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codeName="ThisWorkbook"/>
  <mc:AlternateContent xmlns:mc="http://schemas.openxmlformats.org/markup-compatibility/2006">
    <mc:Choice Requires="x15">
      <x15ac:absPath xmlns:x15ac="http://schemas.microsoft.com/office/spreadsheetml/2010/11/ac" url="https://appriver3651001394-my.sharepoint.com/personal/alaina_defranco_us_q-cells_com/Documents/Desktop/TOPL_App_GUI_Package/"/>
    </mc:Choice>
  </mc:AlternateContent>
  <xr:revisionPtr revIDLastSave="0" documentId="8_{96F8620B-0492-4D60-87A0-73C4097BF67B}" xr6:coauthVersionLast="47" xr6:coauthVersionMax="47" xr10:uidLastSave="{00000000-0000-0000-0000-000000000000}"/>
  <bookViews>
    <workbookView xWindow="1605" yWindow="2595" windowWidth="21600" windowHeight="11295" firstSheet="11" activeTab="11" xr2:uid="{00000000-000D-0000-FFFF-FFFF00000000}"/>
  </bookViews>
  <sheets>
    <sheet name="Code Checks" sheetId="1" state="hidden" r:id="rId1"/>
    <sheet name="Inputs" sheetId="2" r:id="rId2"/>
    <sheet name="Master Key" sheetId="3" state="hidden" r:id="rId3"/>
    <sheet name="Aerolastic Coefficients" sheetId="4" state="hidden" r:id="rId4"/>
    <sheet name="Client Inputs" sheetId="5" r:id="rId5"/>
    <sheet name="Revision History" sheetId="6" state="hidden" r:id="rId6"/>
    <sheet name="RISA" sheetId="7" state="hidden" r:id="rId7"/>
    <sheet name="Module Pressure ASCE 7-22" sheetId="8" r:id="rId8"/>
    <sheet name="Module Pressure ASCE 7-16" sheetId="9" r:id="rId9"/>
    <sheet name="DAFs (External)" sheetId="10" r:id="rId10"/>
    <sheet name="GCM_Cantilever 1.0" sheetId="11" r:id="rId11"/>
    <sheet name="GCM_Halftracker 1.0" sheetId="12" r:id="rId12"/>
    <sheet name="GCM_HalfTracker_DAF 1.0" sheetId="13" r:id="rId13"/>
    <sheet name="GCN_Module" sheetId="14" r:id="rId14"/>
    <sheet name="GCN_Post 1.0" sheetId="15" r:id="rId15"/>
    <sheet name="GCM_Purlin 1.0" sheetId="16" r:id="rId16"/>
    <sheet name="GCN_Clip 1.0" sheetId="17" r:id="rId17"/>
    <sheet name="GCN_Post_DAF 1.0" sheetId="18" r:id="rId18"/>
    <sheet name="List Data" sheetId="19" state="hidden" r:id="rId19"/>
    <sheet name="Top of Pile Load Calcs" sheetId="20" state="hidden" r:id="rId20"/>
    <sheet name="Wind Calcs" sheetId="21" r:id="rId21"/>
    <sheet name="Vertical Rail Loading" sheetId="22" state="hidden" r:id="rId22"/>
    <sheet name="Canadian TOPL Results" sheetId="23" state="hidden" r:id="rId23"/>
    <sheet name="Results ASCE 7-22" sheetId="24" state="hidden" r:id="rId24"/>
    <sheet name="Results ASCE 7-16" sheetId="25" state="hidden" r:id="rId25"/>
    <sheet name="Shapes" sheetId="26" state="hidden" r:id="rId26"/>
    <sheet name="Pile Design" sheetId="27" state="hidden" r:id="rId27"/>
  </sheets>
  <definedNames>
    <definedName name="_xleta.IF" hidden="1" xlm="1">#NAME?</definedName>
    <definedName name="_xleta.SLOPE" hidden="1" xlm="1">#NAME?</definedName>
    <definedName name="A">'Pile Design'!$D$16</definedName>
    <definedName name="Ae">'Pile Design'!$C$78</definedName>
    <definedName name="aw">'Pile Design'!$C$106</definedName>
    <definedName name="be">'Pile Design'!$C$72</definedName>
    <definedName name="bf">'Pile Design'!$D$20</definedName>
    <definedName name="Cb">'Pile Design'!$C$93</definedName>
    <definedName name="controlling_code">Inputs!$B$5</definedName>
    <definedName name="d">'Pile Design'!$D$17</definedName>
    <definedName name="de">'Pile Design'!$C$77</definedName>
    <definedName name="Drive_E">Inputs!$B$12</definedName>
    <definedName name="Drive_I">Inputs!$B$13</definedName>
    <definedName name="E">'Pile Design'!$J$8</definedName>
    <definedName name="Ecc">Inputs!$B$129</definedName>
    <definedName name="EVS">Inputs!$B$84</definedName>
    <definedName name="Fcr">'Pile Design'!$C$61</definedName>
    <definedName name="FcrM">'Pile Design'!$C$94</definedName>
    <definedName name="Fel">'Pile Design'!$C$71</definedName>
    <definedName name="Felb">'Pile Design'!$C$76</definedName>
    <definedName name="Fy">'Pile Design'!$J$9</definedName>
    <definedName name="GCR">Inputs!$B$7</definedName>
    <definedName name="GL">Inputs!$B$87</definedName>
    <definedName name="GR">Inputs!$B$88</definedName>
    <definedName name="hc">'Pile Design'!$C$105</definedName>
    <definedName name="ho">'Pile Design'!$I$20</definedName>
    <definedName name="ICW">Inputs!$B$126</definedName>
    <definedName name="IVS">Inputs!$B$85</definedName>
    <definedName name="Ix">'Pile Design'!$D$21</definedName>
    <definedName name="Iy">'Pile Design'!$I$16</definedName>
    <definedName name="J">'Pile Design'!$I$22</definedName>
    <definedName name="K">'Pile Design'!$C$49</definedName>
    <definedName name="Ke">Inputs!$B$34</definedName>
    <definedName name="kv">'Pile Design'!$C$137</definedName>
    <definedName name="Lb">'Pile Design'!$C$90</definedName>
    <definedName name="Lp">'Pile Design'!$C$91</definedName>
    <definedName name="Lr">'Pile Design'!$C$92</definedName>
    <definedName name="LS">Inputs!$B$101</definedName>
    <definedName name="LSE_1">Inputs!$B$14</definedName>
    <definedName name="LSE_10">Inputs!$K$14</definedName>
    <definedName name="LSE_2">Inputs!$C$14</definedName>
    <definedName name="LSE_3">Inputs!$D$14</definedName>
    <definedName name="LSE_4">Inputs!$E$14</definedName>
    <definedName name="LSE_5">Inputs!$F$14</definedName>
    <definedName name="LSE_6">Inputs!$G$14</definedName>
    <definedName name="LSE_7">Inputs!$H$14</definedName>
    <definedName name="LSE_8">Inputs!$I$14</definedName>
    <definedName name="LSE_9">Inputs!$J$14</definedName>
    <definedName name="LSI_1">Inputs!$B$16</definedName>
    <definedName name="LSI_10">Inputs!$K$16</definedName>
    <definedName name="LSI_2">Inputs!$C$16</definedName>
    <definedName name="LSI_3">Inputs!$D$16</definedName>
    <definedName name="LSI_4">Inputs!$E$16</definedName>
    <definedName name="LSI_5">Inputs!$F$16</definedName>
    <definedName name="LSI_6">Inputs!$G$16</definedName>
    <definedName name="LSI_7">Inputs!$H$16</definedName>
    <definedName name="LSI_8">Inputs!$I$16</definedName>
    <definedName name="LSI_9">Inputs!$J$16</definedName>
    <definedName name="LSR">Inputs!$B$97</definedName>
    <definedName name="M1A">Inputs!$B$113</definedName>
    <definedName name="m1b">Inputs!$C$113</definedName>
    <definedName name="M2A">Inputs!$B$114</definedName>
    <definedName name="m2b">Inputs!$C$114</definedName>
    <definedName name="M3A">Inputs!$B$115</definedName>
    <definedName name="m3b">Inputs!$C$115</definedName>
    <definedName name="M4A">Inputs!$B$116</definedName>
    <definedName name="m4b">Inputs!$C$116</definedName>
    <definedName name="Metal_Loss">'Pile Design'!$D$14</definedName>
    <definedName name="ML">Inputs!$D$69</definedName>
    <definedName name="Mp">'Pile Design'!$C$87</definedName>
    <definedName name="MSL">Inputs!$D$72</definedName>
    <definedName name="MSW">Inputs!$D$73</definedName>
    <definedName name="MT">Inputs!$D$71</definedName>
    <definedName name="MW">Inputs!$D$70</definedName>
    <definedName name="P_Left">Inputs!$B$75</definedName>
    <definedName name="P_Right">Inputs!$B$76</definedName>
    <definedName name="P_Weight">Inputs!$B$29</definedName>
    <definedName name="pf">Inputs!$B$24</definedName>
    <definedName name="PL">Inputs!$B$32</definedName>
    <definedName name="Post_NE">Inputs!$B$10</definedName>
    <definedName name="Post_NI">Inputs!$B$11</definedName>
    <definedName name="_xlnm.Print_Area" localSheetId="22">'Canadian TOPL Results'!$A$1:$V$168</definedName>
    <definedName name="_xlnm.Print_Area" localSheetId="9">'DAFs (External)'!$A$1:$G$24</definedName>
    <definedName name="_xlnm.Print_Area" localSheetId="10">'GCM_Cantilever 1.0'!$C$2:$S$19,'GCM_Cantilever 1.0'!$C$21:$S$38</definedName>
    <definedName name="_xlnm.Print_Area" localSheetId="11">'GCM_Halftracker 1.0'!$B$2:$S$19,'GCM_Halftracker 1.0'!$B$21:$S$38</definedName>
    <definedName name="_xlnm.Print_Area" localSheetId="15">'GCM_Purlin 1.0'!$A$2:$R$50</definedName>
    <definedName name="_xlnm.Print_Area" localSheetId="13">GCN_Module!$A$2:$T$43</definedName>
    <definedName name="_xlnm.Print_Area" localSheetId="14">'GCN_Post 1.0'!$A$2:$S$55</definedName>
    <definedName name="_xlnm.Print_Area" localSheetId="8">'Module Pressure ASCE 7-16'!$A$1:$I$42</definedName>
    <definedName name="_xlnm.Print_Area" localSheetId="7">'Module Pressure ASCE 7-22'!$A$1:$I$42</definedName>
    <definedName name="_xlnm.Print_Area" localSheetId="24">'Results ASCE 7-16'!$A$1:$V$146</definedName>
    <definedName name="_xlnm.Print_Area" localSheetId="23">'Results ASCE 7-22'!$A$1:$V$146</definedName>
    <definedName name="Profile">'Pile Design'!$D$9</definedName>
    <definedName name="Pult">Inputs!$B$40</definedName>
    <definedName name="PW">Inputs!$B$29</definedName>
    <definedName name="Quarter_Area">Inputs!$B$117</definedName>
    <definedName name="Radians">Inputs!$B$35</definedName>
    <definedName name="Rpg">'Pile Design'!$C$108</definedName>
    <definedName name="RS">Inputs!$B$102</definedName>
    <definedName name="RSE_1">Inputs!$B$15</definedName>
    <definedName name="RSE_10">Inputs!$K$15</definedName>
    <definedName name="RSE_2">Inputs!$C$15</definedName>
    <definedName name="RSE_3">Inputs!$D$15</definedName>
    <definedName name="RSE_4">Inputs!$E$15</definedName>
    <definedName name="RSE_5">Inputs!$F$15</definedName>
    <definedName name="RSE_6">Inputs!$G$15</definedName>
    <definedName name="RSE_7">Inputs!$H$15</definedName>
    <definedName name="RSE_8">Inputs!$I$15</definedName>
    <definedName name="RSE_9">Inputs!$J$15</definedName>
    <definedName name="RSI_1">Inputs!$B$17</definedName>
    <definedName name="RSI_10">Inputs!$K$17</definedName>
    <definedName name="RSI_2">Inputs!$C$17</definedName>
    <definedName name="RSI_3">Inputs!$D$17</definedName>
    <definedName name="RSI_4">Inputs!$E$17</definedName>
    <definedName name="RSI_5">Inputs!$F$17</definedName>
    <definedName name="RSI_6">Inputs!$G$17</definedName>
    <definedName name="RSI_7">Inputs!$H$17</definedName>
    <definedName name="RSI_8">Inputs!$I$17</definedName>
    <definedName name="RSI_9">Inputs!$J$17</definedName>
    <definedName name="RSL">Inputs!$B$28</definedName>
    <definedName name="RSR">Inputs!$B$98</definedName>
    <definedName name="rts">'Pile Design'!$I$21</definedName>
    <definedName name="rx">'Pile Design'!$D$23</definedName>
    <definedName name="ry">'Pile Design'!$I$18</definedName>
    <definedName name="SDW">Inputs!$B$125</definedName>
    <definedName name="Slope">Inputs!$B$131</definedName>
    <definedName name="SMA">Inputs!$B$130</definedName>
    <definedName name="Sx">'Pile Design'!$D$22</definedName>
    <definedName name="Sy">'Pile Design'!$I$17</definedName>
    <definedName name="tf">'Pile Design'!$D$19</definedName>
    <definedName name="TG">Inputs!$B$127</definedName>
    <definedName name="Theta">Inputs!$B$33</definedName>
    <definedName name="TotS">Inputs!$B$103</definedName>
    <definedName name="TS">Inputs!$B$89</definedName>
    <definedName name="tw">'Pile Design'!$D$18</definedName>
    <definedName name="Twidth">Inputs!$B$90</definedName>
    <definedName name="V_Left">Inputs!$B$82</definedName>
    <definedName name="V_Right">Inputs!$B$83</definedName>
    <definedName name="VL">Inputs!$B$81</definedName>
    <definedName name="VS">Inputs!$B$86</definedName>
    <definedName name="Wh">'Pile Design'!$D$25</definedName>
    <definedName name="WL">Inputs!$B$41</definedName>
    <definedName name="Zx">'Pile Design'!$D$24</definedName>
    <definedName name="Zy">'Pile Design'!$I$19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8" i="27" l="1"/>
  <c r="C147" i="27"/>
  <c r="C140" i="27"/>
  <c r="C138" i="27"/>
  <c r="C69" i="27"/>
  <c r="C59" i="27"/>
  <c r="P57" i="27"/>
  <c r="P56" i="27"/>
  <c r="P53" i="27"/>
  <c r="P52" i="27"/>
  <c r="P49" i="27"/>
  <c r="P48" i="27"/>
  <c r="C46" i="27"/>
  <c r="C45" i="27"/>
  <c r="C43" i="27"/>
  <c r="C42" i="27"/>
  <c r="C38" i="27"/>
  <c r="P37" i="27"/>
  <c r="P36" i="27"/>
  <c r="C35" i="27"/>
  <c r="M33" i="27"/>
  <c r="E30" i="27"/>
  <c r="C29" i="27"/>
  <c r="C27" i="27"/>
  <c r="H30" i="27" s="1"/>
  <c r="C53" i="27" s="1"/>
  <c r="I18" i="27"/>
  <c r="C91" i="27" s="1"/>
  <c r="D14" i="27"/>
  <c r="D13" i="27"/>
  <c r="C6" i="27"/>
  <c r="C5" i="27"/>
  <c r="C4" i="27"/>
  <c r="C3" i="27"/>
  <c r="C2" i="27"/>
  <c r="M109" i="25"/>
  <c r="B109" i="25"/>
  <c r="M108" i="25"/>
  <c r="B108" i="25"/>
  <c r="N105" i="25"/>
  <c r="C105" i="25"/>
  <c r="N104" i="25"/>
  <c r="N103" i="25"/>
  <c r="N102" i="25"/>
  <c r="N100" i="25"/>
  <c r="C100" i="25"/>
  <c r="M61" i="25"/>
  <c r="B61" i="25"/>
  <c r="M60" i="25"/>
  <c r="B60" i="25"/>
  <c r="N57" i="25"/>
  <c r="C57" i="25"/>
  <c r="N56" i="25"/>
  <c r="C55" i="25"/>
  <c r="N54" i="25"/>
  <c r="C54" i="25"/>
  <c r="N52" i="25"/>
  <c r="C52" i="25"/>
  <c r="M11" i="25"/>
  <c r="M10" i="25"/>
  <c r="B10" i="25"/>
  <c r="N7" i="25"/>
  <c r="C6" i="25"/>
  <c r="C5" i="25"/>
  <c r="C4" i="25"/>
  <c r="N4" i="25" s="1"/>
  <c r="C3" i="25"/>
  <c r="N2" i="25"/>
  <c r="C2" i="25"/>
  <c r="M109" i="24"/>
  <c r="B109" i="24"/>
  <c r="M108" i="24"/>
  <c r="B108" i="24"/>
  <c r="N105" i="24"/>
  <c r="C105" i="24"/>
  <c r="N101" i="24"/>
  <c r="C100" i="24"/>
  <c r="M61" i="24"/>
  <c r="B61" i="24"/>
  <c r="M60" i="24"/>
  <c r="B60" i="24"/>
  <c r="N57" i="24"/>
  <c r="C57" i="24"/>
  <c r="N55" i="24"/>
  <c r="N54" i="24"/>
  <c r="N53" i="24"/>
  <c r="C53" i="24"/>
  <c r="N52" i="24"/>
  <c r="C52" i="24"/>
  <c r="M11" i="24"/>
  <c r="M10" i="24"/>
  <c r="B10" i="24"/>
  <c r="N7" i="24"/>
  <c r="C6" i="24"/>
  <c r="C5" i="24"/>
  <c r="C4" i="24"/>
  <c r="N3" i="24"/>
  <c r="C3" i="24"/>
  <c r="C101" i="24" s="1"/>
  <c r="N2" i="24"/>
  <c r="C2" i="24"/>
  <c r="N100" i="24" s="1"/>
  <c r="M123" i="23"/>
  <c r="B123" i="23"/>
  <c r="M122" i="23"/>
  <c r="B122" i="23"/>
  <c r="N119" i="23"/>
  <c r="C119" i="23"/>
  <c r="N117" i="23"/>
  <c r="N116" i="23"/>
  <c r="C116" i="23"/>
  <c r="N115" i="23"/>
  <c r="N114" i="23"/>
  <c r="M68" i="23"/>
  <c r="B68" i="23"/>
  <c r="M67" i="23"/>
  <c r="B67" i="23"/>
  <c r="N64" i="23"/>
  <c r="C64" i="23"/>
  <c r="C63" i="23"/>
  <c r="N61" i="23"/>
  <c r="C61" i="23"/>
  <c r="N60" i="23"/>
  <c r="C60" i="23"/>
  <c r="N59" i="23"/>
  <c r="M11" i="23"/>
  <c r="M10" i="23"/>
  <c r="B10" i="23"/>
  <c r="N7" i="23"/>
  <c r="C6" i="23"/>
  <c r="C5" i="23"/>
  <c r="C117" i="23" s="1"/>
  <c r="N4" i="23"/>
  <c r="C4" i="23"/>
  <c r="N3" i="23"/>
  <c r="C3" i="23"/>
  <c r="C115" i="23" s="1"/>
  <c r="N2" i="23"/>
  <c r="C2" i="23"/>
  <c r="C86" i="22"/>
  <c r="C85" i="22"/>
  <c r="C84" i="22"/>
  <c r="C83" i="22"/>
  <c r="C82" i="22"/>
  <c r="C81" i="22"/>
  <c r="C80" i="22"/>
  <c r="C79" i="22"/>
  <c r="C78" i="22"/>
  <c r="C77" i="22"/>
  <c r="C76" i="22"/>
  <c r="C75" i="22"/>
  <c r="C74" i="22"/>
  <c r="C73" i="22"/>
  <c r="C72" i="22"/>
  <c r="C71" i="22"/>
  <c r="C70" i="22"/>
  <c r="C69" i="22"/>
  <c r="C68" i="22"/>
  <c r="C67" i="22"/>
  <c r="B67" i="22"/>
  <c r="C66" i="22"/>
  <c r="C65" i="22"/>
  <c r="C64" i="22"/>
  <c r="C63" i="22"/>
  <c r="C62" i="22"/>
  <c r="C61" i="22"/>
  <c r="C60" i="22"/>
  <c r="C59" i="22"/>
  <c r="C58" i="22"/>
  <c r="C57" i="22"/>
  <c r="C56" i="22"/>
  <c r="C55" i="22"/>
  <c r="C54" i="22"/>
  <c r="C53" i="22"/>
  <c r="C52" i="22"/>
  <c r="C51" i="22"/>
  <c r="C50" i="22"/>
  <c r="C49" i="22"/>
  <c r="C48" i="22"/>
  <c r="C47" i="22"/>
  <c r="B47" i="22"/>
  <c r="D46" i="22"/>
  <c r="C46" i="22"/>
  <c r="B46" i="22"/>
  <c r="A46" i="22"/>
  <c r="C43" i="22"/>
  <c r="C42" i="22"/>
  <c r="C41" i="22"/>
  <c r="C40" i="22"/>
  <c r="C39" i="22"/>
  <c r="C38" i="22"/>
  <c r="C37" i="22"/>
  <c r="C36" i="22"/>
  <c r="C35" i="22"/>
  <c r="C34" i="22"/>
  <c r="C33" i="22"/>
  <c r="C32" i="22"/>
  <c r="C31" i="22"/>
  <c r="C30" i="22"/>
  <c r="C29" i="22"/>
  <c r="C28" i="22"/>
  <c r="C27" i="22"/>
  <c r="C26" i="22"/>
  <c r="C25" i="22"/>
  <c r="C24" i="22"/>
  <c r="B24" i="22"/>
  <c r="C23" i="22"/>
  <c r="C22" i="22"/>
  <c r="C21" i="22"/>
  <c r="C20" i="22"/>
  <c r="C19" i="22"/>
  <c r="C18" i="22"/>
  <c r="C17" i="22"/>
  <c r="C16" i="22"/>
  <c r="C15" i="22"/>
  <c r="C14" i="22"/>
  <c r="C13" i="22"/>
  <c r="C12" i="22"/>
  <c r="C11" i="22"/>
  <c r="C10" i="22"/>
  <c r="C9" i="22"/>
  <c r="C8" i="22"/>
  <c r="C7" i="22"/>
  <c r="C6" i="22"/>
  <c r="C5" i="22"/>
  <c r="C4" i="22"/>
  <c r="B4" i="22"/>
  <c r="D3" i="22"/>
  <c r="C3" i="22"/>
  <c r="B3" i="22"/>
  <c r="A3" i="22"/>
  <c r="AH206" i="21"/>
  <c r="AG206" i="21"/>
  <c r="AF206" i="21"/>
  <c r="AE206" i="21"/>
  <c r="AD206" i="21"/>
  <c r="U206" i="21"/>
  <c r="T206" i="21"/>
  <c r="S206" i="21"/>
  <c r="R206" i="21"/>
  <c r="M206" i="21"/>
  <c r="J206" i="21"/>
  <c r="I206" i="21"/>
  <c r="H206" i="21"/>
  <c r="G206" i="21"/>
  <c r="F206" i="21"/>
  <c r="AH205" i="21"/>
  <c r="AG205" i="21"/>
  <c r="AF205" i="21"/>
  <c r="AE205" i="21"/>
  <c r="AD205" i="21"/>
  <c r="AC205" i="21"/>
  <c r="AB205" i="21"/>
  <c r="AA205" i="21"/>
  <c r="Z205" i="21"/>
  <c r="Y205" i="21"/>
  <c r="X205" i="21"/>
  <c r="W205" i="21"/>
  <c r="V205" i="21"/>
  <c r="U205" i="21"/>
  <c r="T205" i="21"/>
  <c r="S205" i="21"/>
  <c r="R205" i="21"/>
  <c r="Q205" i="21"/>
  <c r="P205" i="21"/>
  <c r="O205" i="21"/>
  <c r="N205" i="21"/>
  <c r="M205" i="21"/>
  <c r="L205" i="21"/>
  <c r="K205" i="21"/>
  <c r="J205" i="21"/>
  <c r="I205" i="21"/>
  <c r="H205" i="21"/>
  <c r="G205" i="21"/>
  <c r="F205" i="21"/>
  <c r="E205" i="21"/>
  <c r="D205" i="21"/>
  <c r="AH204" i="21"/>
  <c r="AG204" i="21"/>
  <c r="AF204" i="21"/>
  <c r="AE204" i="21"/>
  <c r="AD204" i="21"/>
  <c r="AC204" i="21"/>
  <c r="AB204" i="21"/>
  <c r="AA204" i="21"/>
  <c r="Z204" i="21"/>
  <c r="Y204" i="21"/>
  <c r="X204" i="21"/>
  <c r="W204" i="21"/>
  <c r="V204" i="21"/>
  <c r="U204" i="21"/>
  <c r="T204" i="21"/>
  <c r="S204" i="21"/>
  <c r="R204" i="21"/>
  <c r="Q204" i="21"/>
  <c r="P204" i="21"/>
  <c r="O204" i="21"/>
  <c r="N204" i="21"/>
  <c r="M204" i="21"/>
  <c r="L204" i="21"/>
  <c r="K204" i="21"/>
  <c r="J204" i="21"/>
  <c r="I204" i="21"/>
  <c r="H204" i="21"/>
  <c r="G204" i="21"/>
  <c r="F204" i="21"/>
  <c r="E204" i="21"/>
  <c r="D204" i="21"/>
  <c r="AH203" i="21"/>
  <c r="AG203" i="21"/>
  <c r="AF203" i="21"/>
  <c r="AE203" i="21"/>
  <c r="AD203" i="21"/>
  <c r="AC203" i="21"/>
  <c r="AB203" i="21"/>
  <c r="AA203" i="21"/>
  <c r="Z203" i="21"/>
  <c r="Y203" i="21"/>
  <c r="X203" i="21"/>
  <c r="W203" i="21"/>
  <c r="V203" i="21"/>
  <c r="U203" i="21"/>
  <c r="T203" i="21"/>
  <c r="S203" i="21"/>
  <c r="R203" i="21"/>
  <c r="Q203" i="21"/>
  <c r="P203" i="21"/>
  <c r="O203" i="21"/>
  <c r="N203" i="21"/>
  <c r="M203" i="21"/>
  <c r="L203" i="21"/>
  <c r="K203" i="21"/>
  <c r="J203" i="21"/>
  <c r="I203" i="21"/>
  <c r="H203" i="21"/>
  <c r="G203" i="21"/>
  <c r="F203" i="21"/>
  <c r="E203" i="21"/>
  <c r="D203" i="21"/>
  <c r="AH202" i="21"/>
  <c r="AG202" i="21"/>
  <c r="AF202" i="21"/>
  <c r="AE202" i="21"/>
  <c r="AD202" i="21"/>
  <c r="AC202" i="21"/>
  <c r="AC206" i="21" s="1"/>
  <c r="AB202" i="21"/>
  <c r="AB206" i="21" s="1"/>
  <c r="AA202" i="21"/>
  <c r="AA206" i="21" s="1"/>
  <c r="Z202" i="21"/>
  <c r="Z206" i="21" s="1"/>
  <c r="Y202" i="21"/>
  <c r="Y206" i="21" s="1"/>
  <c r="X202" i="21"/>
  <c r="X206" i="21" s="1"/>
  <c r="W202" i="21"/>
  <c r="W206" i="21" s="1"/>
  <c r="V202" i="21"/>
  <c r="V206" i="21" s="1"/>
  <c r="U202" i="21"/>
  <c r="T202" i="21"/>
  <c r="S202" i="21"/>
  <c r="R202" i="21"/>
  <c r="Q202" i="21"/>
  <c r="Q206" i="21" s="1"/>
  <c r="P202" i="21"/>
  <c r="P206" i="21" s="1"/>
  <c r="O202" i="21"/>
  <c r="O206" i="21" s="1"/>
  <c r="N202" i="21"/>
  <c r="N206" i="21" s="1"/>
  <c r="M202" i="21"/>
  <c r="L202" i="21"/>
  <c r="L206" i="21" s="1"/>
  <c r="K202" i="21"/>
  <c r="K206" i="21" s="1"/>
  <c r="J202" i="21"/>
  <c r="I202" i="21"/>
  <c r="H202" i="21"/>
  <c r="G202" i="21"/>
  <c r="F202" i="21"/>
  <c r="E202" i="21"/>
  <c r="E206" i="21" s="1"/>
  <c r="D202" i="21"/>
  <c r="D206" i="21" s="1"/>
  <c r="AG200" i="21"/>
  <c r="AF200" i="21"/>
  <c r="AE200" i="21"/>
  <c r="AD200" i="21"/>
  <c r="AC200" i="21"/>
  <c r="W200" i="21"/>
  <c r="U200" i="21"/>
  <c r="T200" i="21"/>
  <c r="S200" i="21"/>
  <c r="R200" i="21"/>
  <c r="Q200" i="21"/>
  <c r="K200" i="21"/>
  <c r="I200" i="21"/>
  <c r="H200" i="21"/>
  <c r="G200" i="21"/>
  <c r="F200" i="21"/>
  <c r="E200" i="21"/>
  <c r="AH199" i="21"/>
  <c r="AG199" i="21"/>
  <c r="AF199" i="21"/>
  <c r="AE199" i="21"/>
  <c r="AD199" i="21"/>
  <c r="AC199" i="21"/>
  <c r="AB199" i="21"/>
  <c r="AA199" i="21"/>
  <c r="Z199" i="21"/>
  <c r="Y199" i="21"/>
  <c r="X199" i="21"/>
  <c r="W199" i="21"/>
  <c r="V199" i="21"/>
  <c r="U199" i="21"/>
  <c r="T199" i="21"/>
  <c r="S199" i="21"/>
  <c r="R199" i="21"/>
  <c r="Q199" i="21"/>
  <c r="P199" i="21"/>
  <c r="O199" i="21"/>
  <c r="N199" i="21"/>
  <c r="M199" i="21"/>
  <c r="L199" i="21"/>
  <c r="K199" i="21"/>
  <c r="J199" i="21"/>
  <c r="I199" i="21"/>
  <c r="H199" i="21"/>
  <c r="G199" i="21"/>
  <c r="F199" i="21"/>
  <c r="E199" i="21"/>
  <c r="D199" i="21"/>
  <c r="AH198" i="21"/>
  <c r="AG198" i="21"/>
  <c r="AF198" i="21"/>
  <c r="AE198" i="21"/>
  <c r="AD198" i="21"/>
  <c r="AC198" i="21"/>
  <c r="AB198" i="21"/>
  <c r="AA198" i="21"/>
  <c r="Z198" i="21"/>
  <c r="Y198" i="21"/>
  <c r="X198" i="21"/>
  <c r="W198" i="21"/>
  <c r="V198" i="21"/>
  <c r="U198" i="21"/>
  <c r="T198" i="21"/>
  <c r="S198" i="21"/>
  <c r="R198" i="21"/>
  <c r="Q198" i="21"/>
  <c r="P198" i="21"/>
  <c r="O198" i="21"/>
  <c r="N198" i="21"/>
  <c r="M198" i="21"/>
  <c r="L198" i="21"/>
  <c r="K198" i="21"/>
  <c r="J198" i="21"/>
  <c r="I198" i="21"/>
  <c r="H198" i="21"/>
  <c r="G198" i="21"/>
  <c r="F198" i="21"/>
  <c r="E198" i="21"/>
  <c r="D198" i="21"/>
  <c r="AH197" i="21"/>
  <c r="AG197" i="21"/>
  <c r="AF197" i="21"/>
  <c r="AE197" i="21"/>
  <c r="AD197" i="21"/>
  <c r="AC197" i="21"/>
  <c r="AB197" i="21"/>
  <c r="AA197" i="21"/>
  <c r="Z197" i="21"/>
  <c r="Y197" i="21"/>
  <c r="X197" i="21"/>
  <c r="W197" i="21"/>
  <c r="V197" i="21"/>
  <c r="U197" i="21"/>
  <c r="T197" i="21"/>
  <c r="S197" i="21"/>
  <c r="R197" i="21"/>
  <c r="Q197" i="21"/>
  <c r="P197" i="21"/>
  <c r="O197" i="21"/>
  <c r="N197" i="21"/>
  <c r="M197" i="21"/>
  <c r="L197" i="21"/>
  <c r="K197" i="21"/>
  <c r="J197" i="21"/>
  <c r="I197" i="21"/>
  <c r="H197" i="21"/>
  <c r="G197" i="21"/>
  <c r="F197" i="21"/>
  <c r="E197" i="21"/>
  <c r="D197" i="21"/>
  <c r="AH196" i="21"/>
  <c r="AH200" i="21" s="1"/>
  <c r="AG196" i="21"/>
  <c r="AF196" i="21"/>
  <c r="AE196" i="21"/>
  <c r="AD196" i="21"/>
  <c r="AC196" i="21"/>
  <c r="AB196" i="21"/>
  <c r="AB200" i="21" s="1"/>
  <c r="AA196" i="21"/>
  <c r="AA200" i="21" s="1"/>
  <c r="Z196" i="21"/>
  <c r="Z200" i="21" s="1"/>
  <c r="Y196" i="21"/>
  <c r="Y200" i="21" s="1"/>
  <c r="X196" i="21"/>
  <c r="X200" i="21" s="1"/>
  <c r="W196" i="21"/>
  <c r="V196" i="21"/>
  <c r="V200" i="21" s="1"/>
  <c r="U196" i="21"/>
  <c r="T196" i="21"/>
  <c r="S196" i="21"/>
  <c r="R196" i="21"/>
  <c r="Q196" i="21"/>
  <c r="P196" i="21"/>
  <c r="P200" i="21" s="1"/>
  <c r="O196" i="21"/>
  <c r="O200" i="21" s="1"/>
  <c r="N196" i="21"/>
  <c r="N200" i="21" s="1"/>
  <c r="M196" i="21"/>
  <c r="M200" i="21" s="1"/>
  <c r="L196" i="21"/>
  <c r="L200" i="21" s="1"/>
  <c r="K196" i="21"/>
  <c r="J196" i="21"/>
  <c r="J200" i="21" s="1"/>
  <c r="I196" i="21"/>
  <c r="H196" i="21"/>
  <c r="G196" i="21"/>
  <c r="F196" i="21"/>
  <c r="E196" i="21"/>
  <c r="D196" i="21"/>
  <c r="D200" i="21" s="1"/>
  <c r="AF194" i="21"/>
  <c r="AE194" i="21"/>
  <c r="AC194" i="21"/>
  <c r="AB194" i="21"/>
  <c r="W194" i="21"/>
  <c r="S194" i="21"/>
  <c r="R194" i="21"/>
  <c r="Q194" i="21"/>
  <c r="P194" i="21"/>
  <c r="K194" i="21"/>
  <c r="G194" i="21"/>
  <c r="F194" i="21"/>
  <c r="E194" i="21"/>
  <c r="D194" i="21"/>
  <c r="AH193" i="21"/>
  <c r="AG193" i="21"/>
  <c r="AF193" i="21"/>
  <c r="AE193" i="21"/>
  <c r="AD193" i="21"/>
  <c r="AC193" i="21"/>
  <c r="AB193" i="21"/>
  <c r="AA193" i="21"/>
  <c r="Z193" i="21"/>
  <c r="Y193" i="21"/>
  <c r="X193" i="21"/>
  <c r="W193" i="21"/>
  <c r="V193" i="21"/>
  <c r="U193" i="21"/>
  <c r="T193" i="21"/>
  <c r="S193" i="21"/>
  <c r="R193" i="21"/>
  <c r="Q193" i="21"/>
  <c r="P193" i="21"/>
  <c r="O193" i="21"/>
  <c r="N193" i="21"/>
  <c r="M193" i="21"/>
  <c r="L193" i="21"/>
  <c r="K193" i="21"/>
  <c r="J193" i="21"/>
  <c r="I193" i="21"/>
  <c r="H193" i="21"/>
  <c r="G193" i="21"/>
  <c r="F193" i="21"/>
  <c r="E193" i="21"/>
  <c r="D193" i="21"/>
  <c r="AH192" i="21"/>
  <c r="AG192" i="21"/>
  <c r="AF192" i="21"/>
  <c r="AE192" i="21"/>
  <c r="AD192" i="21"/>
  <c r="AC192" i="21"/>
  <c r="AB192" i="21"/>
  <c r="AA192" i="21"/>
  <c r="Z192" i="21"/>
  <c r="Y192" i="21"/>
  <c r="X192" i="21"/>
  <c r="W192" i="21"/>
  <c r="V192" i="21"/>
  <c r="U192" i="21"/>
  <c r="T192" i="21"/>
  <c r="S192" i="21"/>
  <c r="R192" i="21"/>
  <c r="Q192" i="21"/>
  <c r="P192" i="21"/>
  <c r="O192" i="21"/>
  <c r="N192" i="21"/>
  <c r="M192" i="21"/>
  <c r="L192" i="21"/>
  <c r="K192" i="21"/>
  <c r="J192" i="21"/>
  <c r="I192" i="21"/>
  <c r="H192" i="21"/>
  <c r="G192" i="21"/>
  <c r="F192" i="21"/>
  <c r="E192" i="21"/>
  <c r="D192" i="21"/>
  <c r="AH191" i="21"/>
  <c r="AG191" i="21"/>
  <c r="AF191" i="21"/>
  <c r="AE191" i="21"/>
  <c r="AD191" i="21"/>
  <c r="AC191" i="21"/>
  <c r="AB191" i="21"/>
  <c r="AA191" i="21"/>
  <c r="Z191" i="21"/>
  <c r="Y191" i="21"/>
  <c r="X191" i="21"/>
  <c r="W191" i="21"/>
  <c r="V191" i="21"/>
  <c r="U191" i="21"/>
  <c r="T191" i="21"/>
  <c r="S191" i="21"/>
  <c r="R191" i="21"/>
  <c r="Q191" i="21"/>
  <c r="P191" i="21"/>
  <c r="O191" i="21"/>
  <c r="N191" i="21"/>
  <c r="M191" i="21"/>
  <c r="L191" i="21"/>
  <c r="K191" i="21"/>
  <c r="J191" i="21"/>
  <c r="I191" i="21"/>
  <c r="H191" i="21"/>
  <c r="G191" i="21"/>
  <c r="F191" i="21"/>
  <c r="E191" i="21"/>
  <c r="D191" i="21"/>
  <c r="AH190" i="21"/>
  <c r="AH194" i="21" s="1"/>
  <c r="AG190" i="21"/>
  <c r="AG194" i="21" s="1"/>
  <c r="AF190" i="21"/>
  <c r="AE190" i="21"/>
  <c r="AD190" i="21"/>
  <c r="AD194" i="21" s="1"/>
  <c r="AC190" i="21"/>
  <c r="AB190" i="21"/>
  <c r="AA190" i="21"/>
  <c r="AA194" i="21" s="1"/>
  <c r="Z190" i="21"/>
  <c r="Z194" i="21" s="1"/>
  <c r="Y190" i="21"/>
  <c r="Y194" i="21" s="1"/>
  <c r="X190" i="21"/>
  <c r="X194" i="21" s="1"/>
  <c r="W190" i="21"/>
  <c r="V190" i="21"/>
  <c r="V194" i="21" s="1"/>
  <c r="U190" i="21"/>
  <c r="U194" i="21" s="1"/>
  <c r="T190" i="21"/>
  <c r="T194" i="21" s="1"/>
  <c r="S190" i="21"/>
  <c r="R190" i="21"/>
  <c r="Q190" i="21"/>
  <c r="P190" i="21"/>
  <c r="O190" i="21"/>
  <c r="O194" i="21" s="1"/>
  <c r="N190" i="21"/>
  <c r="N194" i="21" s="1"/>
  <c r="M190" i="21"/>
  <c r="M194" i="21" s="1"/>
  <c r="L190" i="21"/>
  <c r="L194" i="21" s="1"/>
  <c r="K190" i="21"/>
  <c r="J190" i="21"/>
  <c r="J194" i="21" s="1"/>
  <c r="I190" i="21"/>
  <c r="I194" i="21" s="1"/>
  <c r="H190" i="21"/>
  <c r="H194" i="21" s="1"/>
  <c r="G190" i="21"/>
  <c r="F190" i="21"/>
  <c r="E190" i="21"/>
  <c r="D190" i="21"/>
  <c r="AH188" i="21"/>
  <c r="AF188" i="21"/>
  <c r="AD188" i="21"/>
  <c r="AA188" i="21"/>
  <c r="Y188" i="21"/>
  <c r="U188" i="21"/>
  <c r="R188" i="21"/>
  <c r="O188" i="21"/>
  <c r="M188" i="21"/>
  <c r="J188" i="21"/>
  <c r="I188" i="21"/>
  <c r="H188" i="21"/>
  <c r="G188" i="21"/>
  <c r="F188" i="21"/>
  <c r="AH187" i="21"/>
  <c r="AG187" i="21"/>
  <c r="AF187" i="21"/>
  <c r="AE187" i="21"/>
  <c r="AD187" i="21"/>
  <c r="AC187" i="21"/>
  <c r="AB187" i="21"/>
  <c r="AA187" i="21"/>
  <c r="Z187" i="21"/>
  <c r="Y187" i="21"/>
  <c r="X187" i="21"/>
  <c r="W187" i="21"/>
  <c r="V187" i="21"/>
  <c r="U187" i="21"/>
  <c r="T187" i="21"/>
  <c r="S187" i="21"/>
  <c r="R187" i="21"/>
  <c r="Q187" i="21"/>
  <c r="P187" i="21"/>
  <c r="O187" i="21"/>
  <c r="N187" i="21"/>
  <c r="M187" i="21"/>
  <c r="L187" i="21"/>
  <c r="K187" i="21"/>
  <c r="J187" i="21"/>
  <c r="I187" i="21"/>
  <c r="H187" i="21"/>
  <c r="G187" i="21"/>
  <c r="F187" i="21"/>
  <c r="E187" i="21"/>
  <c r="D187" i="21"/>
  <c r="AH186" i="21"/>
  <c r="AG186" i="21"/>
  <c r="AF186" i="21"/>
  <c r="AE186" i="21"/>
  <c r="AD186" i="21"/>
  <c r="AC186" i="21"/>
  <c r="AB186" i="21"/>
  <c r="AA186" i="21"/>
  <c r="Z186" i="21"/>
  <c r="Y186" i="21"/>
  <c r="X186" i="21"/>
  <c r="W186" i="21"/>
  <c r="V186" i="21"/>
  <c r="U186" i="21"/>
  <c r="T186" i="21"/>
  <c r="S186" i="21"/>
  <c r="R186" i="21"/>
  <c r="Q186" i="21"/>
  <c r="P186" i="21"/>
  <c r="O186" i="21"/>
  <c r="N186" i="21"/>
  <c r="M186" i="21"/>
  <c r="L186" i="21"/>
  <c r="K186" i="21"/>
  <c r="J186" i="21"/>
  <c r="I186" i="21"/>
  <c r="H186" i="21"/>
  <c r="G186" i="21"/>
  <c r="F186" i="21"/>
  <c r="E186" i="21"/>
  <c r="D186" i="21"/>
  <c r="AH185" i="21"/>
  <c r="AG185" i="21"/>
  <c r="AF185" i="21"/>
  <c r="AE185" i="21"/>
  <c r="AD185" i="21"/>
  <c r="AC185" i="21"/>
  <c r="AB185" i="21"/>
  <c r="AA185" i="21"/>
  <c r="Z185" i="21"/>
  <c r="Y185" i="21"/>
  <c r="X185" i="21"/>
  <c r="W185" i="21"/>
  <c r="V185" i="21"/>
  <c r="U185" i="21"/>
  <c r="T185" i="21"/>
  <c r="S185" i="21"/>
  <c r="R185" i="21"/>
  <c r="Q185" i="21"/>
  <c r="P185" i="21"/>
  <c r="O185" i="21"/>
  <c r="N185" i="21"/>
  <c r="M185" i="21"/>
  <c r="L185" i="21"/>
  <c r="K185" i="21"/>
  <c r="J185" i="21"/>
  <c r="I185" i="21"/>
  <c r="H185" i="21"/>
  <c r="G185" i="21"/>
  <c r="F185" i="21"/>
  <c r="E185" i="21"/>
  <c r="D185" i="21"/>
  <c r="AH184" i="21"/>
  <c r="AG184" i="21"/>
  <c r="AG188" i="21" s="1"/>
  <c r="AF184" i="21"/>
  <c r="AE184" i="21"/>
  <c r="AE188" i="21" s="1"/>
  <c r="AD184" i="21"/>
  <c r="AC184" i="21"/>
  <c r="AC188" i="21" s="1"/>
  <c r="AB184" i="21"/>
  <c r="AB188" i="21" s="1"/>
  <c r="AA184" i="21"/>
  <c r="Z184" i="21"/>
  <c r="Z188" i="21" s="1"/>
  <c r="Y184" i="21"/>
  <c r="X184" i="21"/>
  <c r="X188" i="21" s="1"/>
  <c r="W184" i="21"/>
  <c r="W188" i="21" s="1"/>
  <c r="V184" i="21"/>
  <c r="V188" i="21" s="1"/>
  <c r="U184" i="21"/>
  <c r="T184" i="21"/>
  <c r="T188" i="21" s="1"/>
  <c r="S184" i="21"/>
  <c r="S188" i="21" s="1"/>
  <c r="R184" i="21"/>
  <c r="Q184" i="21"/>
  <c r="Q188" i="21" s="1"/>
  <c r="P184" i="21"/>
  <c r="P188" i="21" s="1"/>
  <c r="O184" i="21"/>
  <c r="N184" i="21"/>
  <c r="N188" i="21" s="1"/>
  <c r="M184" i="21"/>
  <c r="L184" i="21"/>
  <c r="L188" i="21" s="1"/>
  <c r="K184" i="21"/>
  <c r="K188" i="21" s="1"/>
  <c r="J184" i="21"/>
  <c r="I184" i="21"/>
  <c r="H184" i="21"/>
  <c r="G184" i="21"/>
  <c r="F184" i="21"/>
  <c r="E184" i="21"/>
  <c r="E188" i="21" s="1"/>
  <c r="D184" i="21"/>
  <c r="D188" i="21" s="1"/>
  <c r="AG182" i="21"/>
  <c r="AF182" i="21"/>
  <c r="AC182" i="21"/>
  <c r="AB182" i="21"/>
  <c r="Z182" i="21"/>
  <c r="P182" i="21"/>
  <c r="O182" i="21"/>
  <c r="N182" i="21"/>
  <c r="L182" i="21"/>
  <c r="D182" i="21"/>
  <c r="AH181" i="21"/>
  <c r="AG181" i="21"/>
  <c r="AF181" i="21"/>
  <c r="AE181" i="21"/>
  <c r="AD181" i="21"/>
  <c r="AC181" i="21"/>
  <c r="AB181" i="21"/>
  <c r="AA181" i="21"/>
  <c r="Z181" i="21"/>
  <c r="Y181" i="21"/>
  <c r="X181" i="21"/>
  <c r="W181" i="21"/>
  <c r="V181" i="21"/>
  <c r="U181" i="21"/>
  <c r="T181" i="21"/>
  <c r="S181" i="21"/>
  <c r="R181" i="21"/>
  <c r="Q181" i="21"/>
  <c r="P181" i="21"/>
  <c r="O181" i="21"/>
  <c r="N181" i="21"/>
  <c r="M181" i="21"/>
  <c r="L181" i="21"/>
  <c r="K181" i="21"/>
  <c r="J181" i="21"/>
  <c r="I181" i="21"/>
  <c r="H181" i="21"/>
  <c r="G181" i="21"/>
  <c r="F181" i="21"/>
  <c r="E181" i="21"/>
  <c r="D181" i="21"/>
  <c r="AH180" i="21"/>
  <c r="AG180" i="21"/>
  <c r="AF180" i="21"/>
  <c r="AE180" i="21"/>
  <c r="AD180" i="21"/>
  <c r="AC180" i="21"/>
  <c r="AB180" i="21"/>
  <c r="AA180" i="21"/>
  <c r="Z180" i="21"/>
  <c r="Y180" i="21"/>
  <c r="X180" i="21"/>
  <c r="W180" i="21"/>
  <c r="V180" i="21"/>
  <c r="U180" i="21"/>
  <c r="T180" i="21"/>
  <c r="S180" i="21"/>
  <c r="R180" i="21"/>
  <c r="Q180" i="21"/>
  <c r="P180" i="21"/>
  <c r="O180" i="21"/>
  <c r="N180" i="21"/>
  <c r="M180" i="21"/>
  <c r="L180" i="21"/>
  <c r="K180" i="21"/>
  <c r="J180" i="21"/>
  <c r="I180" i="21"/>
  <c r="H180" i="21"/>
  <c r="G180" i="21"/>
  <c r="F180" i="21"/>
  <c r="E180" i="21"/>
  <c r="D180" i="21"/>
  <c r="AH179" i="21"/>
  <c r="AG179" i="21"/>
  <c r="AF179" i="21"/>
  <c r="AE179" i="21"/>
  <c r="AD179" i="21"/>
  <c r="AC179" i="21"/>
  <c r="AB179" i="21"/>
  <c r="AA179" i="21"/>
  <c r="Z179" i="21"/>
  <c r="Y179" i="21"/>
  <c r="X179" i="21"/>
  <c r="W179" i="21"/>
  <c r="V179" i="21"/>
  <c r="U179" i="21"/>
  <c r="T179" i="21"/>
  <c r="S179" i="21"/>
  <c r="R179" i="21"/>
  <c r="Q179" i="21"/>
  <c r="P179" i="21"/>
  <c r="O179" i="21"/>
  <c r="N179" i="21"/>
  <c r="M179" i="21"/>
  <c r="L179" i="21"/>
  <c r="K179" i="21"/>
  <c r="J179" i="21"/>
  <c r="I179" i="21"/>
  <c r="H179" i="21"/>
  <c r="G179" i="21"/>
  <c r="F179" i="21"/>
  <c r="E179" i="21"/>
  <c r="D179" i="21"/>
  <c r="AH178" i="21"/>
  <c r="AH182" i="21" s="1"/>
  <c r="AG178" i="21"/>
  <c r="AF178" i="21"/>
  <c r="AE178" i="21"/>
  <c r="AE182" i="21" s="1"/>
  <c r="AD178" i="21"/>
  <c r="AD182" i="21" s="1"/>
  <c r="AC178" i="21"/>
  <c r="AB178" i="21"/>
  <c r="AA178" i="21"/>
  <c r="AA182" i="21" s="1"/>
  <c r="Z178" i="21"/>
  <c r="Y178" i="21"/>
  <c r="Y182" i="21" s="1"/>
  <c r="X178" i="21"/>
  <c r="X182" i="21" s="1"/>
  <c r="W178" i="21"/>
  <c r="W182" i="21" s="1"/>
  <c r="V178" i="21"/>
  <c r="V182" i="21" s="1"/>
  <c r="U178" i="21"/>
  <c r="U182" i="21" s="1"/>
  <c r="T178" i="21"/>
  <c r="T182" i="21" s="1"/>
  <c r="S178" i="21"/>
  <c r="S182" i="21" s="1"/>
  <c r="R178" i="21"/>
  <c r="R182" i="21" s="1"/>
  <c r="Q178" i="21"/>
  <c r="Q182" i="21" s="1"/>
  <c r="P178" i="21"/>
  <c r="O178" i="21"/>
  <c r="N178" i="21"/>
  <c r="M178" i="21"/>
  <c r="M182" i="21" s="1"/>
  <c r="L178" i="21"/>
  <c r="K178" i="21"/>
  <c r="K182" i="21" s="1"/>
  <c r="J178" i="21"/>
  <c r="J182" i="21" s="1"/>
  <c r="I178" i="21"/>
  <c r="I182" i="21" s="1"/>
  <c r="H178" i="21"/>
  <c r="H182" i="21" s="1"/>
  <c r="G178" i="21"/>
  <c r="G182" i="21" s="1"/>
  <c r="F178" i="21"/>
  <c r="F182" i="21" s="1"/>
  <c r="E178" i="21"/>
  <c r="E182" i="21" s="1"/>
  <c r="D178" i="21"/>
  <c r="AH175" i="21"/>
  <c r="AG175" i="21"/>
  <c r="AF175" i="21"/>
  <c r="AE175" i="21"/>
  <c r="AD175" i="21"/>
  <c r="AC175" i="21"/>
  <c r="AB175" i="21"/>
  <c r="AA175" i="21"/>
  <c r="Z175" i="21"/>
  <c r="Y175" i="21"/>
  <c r="X175" i="21"/>
  <c r="W175" i="21"/>
  <c r="V175" i="21"/>
  <c r="U175" i="21"/>
  <c r="T175" i="21"/>
  <c r="S175" i="21"/>
  <c r="R175" i="21"/>
  <c r="Q175" i="21"/>
  <c r="P175" i="21"/>
  <c r="O175" i="21"/>
  <c r="N175" i="21"/>
  <c r="M175" i="21"/>
  <c r="L175" i="21"/>
  <c r="K175" i="21"/>
  <c r="J175" i="21"/>
  <c r="I175" i="21"/>
  <c r="H175" i="21"/>
  <c r="G175" i="21"/>
  <c r="F175" i="21"/>
  <c r="E175" i="21"/>
  <c r="D175" i="21"/>
  <c r="AH174" i="21"/>
  <c r="AG174" i="21"/>
  <c r="AF174" i="21"/>
  <c r="AE174" i="21"/>
  <c r="AD174" i="21"/>
  <c r="AC174" i="21"/>
  <c r="AB174" i="21"/>
  <c r="AA174" i="21"/>
  <c r="Z174" i="21"/>
  <c r="Y174" i="21"/>
  <c r="X174" i="21"/>
  <c r="W174" i="21"/>
  <c r="V174" i="21"/>
  <c r="U174" i="21"/>
  <c r="T174" i="21"/>
  <c r="S174" i="21"/>
  <c r="R174" i="21"/>
  <c r="Q174" i="21"/>
  <c r="P174" i="21"/>
  <c r="O174" i="21"/>
  <c r="N174" i="21"/>
  <c r="M174" i="21"/>
  <c r="L174" i="21"/>
  <c r="K174" i="21"/>
  <c r="J174" i="21"/>
  <c r="I174" i="21"/>
  <c r="H174" i="21"/>
  <c r="G174" i="21"/>
  <c r="F174" i="21"/>
  <c r="E174" i="21"/>
  <c r="D174" i="21"/>
  <c r="AH173" i="21"/>
  <c r="AG173" i="21"/>
  <c r="AF173" i="21"/>
  <c r="AE173" i="21"/>
  <c r="AD173" i="21"/>
  <c r="AC173" i="21"/>
  <c r="AB173" i="21"/>
  <c r="AA173" i="21"/>
  <c r="Z173" i="21"/>
  <c r="Y173" i="21"/>
  <c r="X173" i="21"/>
  <c r="W173" i="21"/>
  <c r="V173" i="21"/>
  <c r="U173" i="21"/>
  <c r="T173" i="21"/>
  <c r="S173" i="21"/>
  <c r="R173" i="21"/>
  <c r="Q173" i="21"/>
  <c r="P173" i="21"/>
  <c r="O173" i="21"/>
  <c r="N173" i="21"/>
  <c r="M173" i="21"/>
  <c r="L173" i="21"/>
  <c r="K173" i="21"/>
  <c r="J173" i="21"/>
  <c r="I173" i="21"/>
  <c r="H173" i="21"/>
  <c r="G173" i="21"/>
  <c r="F173" i="21"/>
  <c r="E173" i="21"/>
  <c r="D173" i="21"/>
  <c r="AH172" i="21"/>
  <c r="AG172" i="21"/>
  <c r="AF172" i="21"/>
  <c r="AE172" i="21"/>
  <c r="AD172" i="21"/>
  <c r="AC172" i="21"/>
  <c r="AB172" i="21"/>
  <c r="AA172" i="21"/>
  <c r="Z172" i="21"/>
  <c r="Y172" i="21"/>
  <c r="X172" i="21"/>
  <c r="W172" i="21"/>
  <c r="V172" i="21"/>
  <c r="U172" i="21"/>
  <c r="T172" i="21"/>
  <c r="S172" i="21"/>
  <c r="R172" i="21"/>
  <c r="Q172" i="21"/>
  <c r="P172" i="21"/>
  <c r="O172" i="21"/>
  <c r="N172" i="21"/>
  <c r="M172" i="21"/>
  <c r="L172" i="21"/>
  <c r="K172" i="21"/>
  <c r="J172" i="21"/>
  <c r="I172" i="21"/>
  <c r="H172" i="21"/>
  <c r="G172" i="21"/>
  <c r="F172" i="21"/>
  <c r="E172" i="21"/>
  <c r="D172" i="21"/>
  <c r="AH171" i="21"/>
  <c r="AG171" i="21"/>
  <c r="AF171" i="21"/>
  <c r="AE171" i="21"/>
  <c r="AD171" i="21"/>
  <c r="AC171" i="21"/>
  <c r="AB171" i="21"/>
  <c r="AA171" i="21"/>
  <c r="Z171" i="21"/>
  <c r="Y171" i="21"/>
  <c r="X171" i="21"/>
  <c r="W171" i="21"/>
  <c r="V171" i="21"/>
  <c r="U171" i="21"/>
  <c r="T171" i="21"/>
  <c r="S171" i="21"/>
  <c r="R171" i="21"/>
  <c r="Q171" i="21"/>
  <c r="P171" i="21"/>
  <c r="O171" i="21"/>
  <c r="N171" i="21"/>
  <c r="M171" i="21"/>
  <c r="L171" i="21"/>
  <c r="K171" i="21"/>
  <c r="J171" i="21"/>
  <c r="I171" i="21"/>
  <c r="H171" i="21"/>
  <c r="G171" i="21"/>
  <c r="F171" i="21"/>
  <c r="E171" i="21"/>
  <c r="D171" i="21"/>
  <c r="AD112" i="21"/>
  <c r="AC112" i="21"/>
  <c r="AB112" i="21"/>
  <c r="X112" i="21"/>
  <c r="W112" i="21"/>
  <c r="R112" i="21"/>
  <c r="P112" i="21"/>
  <c r="O112" i="21"/>
  <c r="N112" i="21"/>
  <c r="L112" i="21"/>
  <c r="F112" i="21"/>
  <c r="E112" i="21"/>
  <c r="D112" i="21"/>
  <c r="AH111" i="21"/>
  <c r="AG111" i="21"/>
  <c r="AF111" i="21"/>
  <c r="AE111" i="21"/>
  <c r="AD111" i="21"/>
  <c r="AC111" i="21"/>
  <c r="AB111" i="21"/>
  <c r="AA111" i="21"/>
  <c r="Z111" i="21"/>
  <c r="Y111" i="21"/>
  <c r="X111" i="21"/>
  <c r="W111" i="21"/>
  <c r="V111" i="21"/>
  <c r="U111" i="21"/>
  <c r="T111" i="21"/>
  <c r="S111" i="21"/>
  <c r="R111" i="21"/>
  <c r="Q111" i="21"/>
  <c r="P111" i="21"/>
  <c r="O111" i="21"/>
  <c r="N111" i="21"/>
  <c r="M111" i="21"/>
  <c r="L111" i="21"/>
  <c r="K111" i="21"/>
  <c r="J111" i="21"/>
  <c r="I111" i="21"/>
  <c r="H111" i="21"/>
  <c r="G111" i="21"/>
  <c r="F111" i="21"/>
  <c r="E111" i="21"/>
  <c r="D111" i="21"/>
  <c r="AH110" i="21"/>
  <c r="AG110" i="21"/>
  <c r="AF110" i="21"/>
  <c r="AE110" i="21"/>
  <c r="AD110" i="21"/>
  <c r="AC110" i="21"/>
  <c r="AB110" i="21"/>
  <c r="AA110" i="21"/>
  <c r="Z110" i="21"/>
  <c r="Y110" i="21"/>
  <c r="X110" i="21"/>
  <c r="W110" i="21"/>
  <c r="V110" i="21"/>
  <c r="U110" i="21"/>
  <c r="T110" i="21"/>
  <c r="S110" i="21"/>
  <c r="R110" i="21"/>
  <c r="Q110" i="21"/>
  <c r="P110" i="21"/>
  <c r="O110" i="21"/>
  <c r="N110" i="21"/>
  <c r="M110" i="21"/>
  <c r="L110" i="21"/>
  <c r="K110" i="21"/>
  <c r="J110" i="21"/>
  <c r="I110" i="21"/>
  <c r="H110" i="21"/>
  <c r="G110" i="21"/>
  <c r="F110" i="21"/>
  <c r="E110" i="21"/>
  <c r="D110" i="21"/>
  <c r="AH109" i="21"/>
  <c r="AG109" i="21"/>
  <c r="AF109" i="21"/>
  <c r="AE109" i="21"/>
  <c r="AD109" i="21"/>
  <c r="AC109" i="21"/>
  <c r="AB109" i="21"/>
  <c r="AA109" i="21"/>
  <c r="Z109" i="21"/>
  <c r="Y109" i="21"/>
  <c r="X109" i="21"/>
  <c r="W109" i="21"/>
  <c r="V109" i="21"/>
  <c r="U109" i="21"/>
  <c r="T109" i="21"/>
  <c r="S109" i="21"/>
  <c r="R109" i="21"/>
  <c r="Q109" i="21"/>
  <c r="P109" i="21"/>
  <c r="O109" i="21"/>
  <c r="N109" i="21"/>
  <c r="M109" i="21"/>
  <c r="L109" i="21"/>
  <c r="K109" i="21"/>
  <c r="J109" i="21"/>
  <c r="I109" i="21"/>
  <c r="H109" i="21"/>
  <c r="G109" i="21"/>
  <c r="F109" i="21"/>
  <c r="E109" i="21"/>
  <c r="D109" i="21"/>
  <c r="AH108" i="21"/>
  <c r="AH112" i="21" s="1"/>
  <c r="AG108" i="21"/>
  <c r="AG112" i="21" s="1"/>
  <c r="AF108" i="21"/>
  <c r="AF112" i="21" s="1"/>
  <c r="AE108" i="21"/>
  <c r="AE112" i="21" s="1"/>
  <c r="AD108" i="21"/>
  <c r="AC108" i="21"/>
  <c r="AB108" i="21"/>
  <c r="AA108" i="21"/>
  <c r="AA112" i="21" s="1"/>
  <c r="Z108" i="21"/>
  <c r="Z112" i="21" s="1"/>
  <c r="Y108" i="21"/>
  <c r="Y112" i="21" s="1"/>
  <c r="X108" i="21"/>
  <c r="W108" i="21"/>
  <c r="V108" i="21"/>
  <c r="V112" i="21" s="1"/>
  <c r="U108" i="21"/>
  <c r="U112" i="21" s="1"/>
  <c r="T108" i="21"/>
  <c r="T112" i="21" s="1"/>
  <c r="S108" i="21"/>
  <c r="S112" i="21" s="1"/>
  <c r="R108" i="21"/>
  <c r="Q108" i="21"/>
  <c r="Q112" i="21" s="1"/>
  <c r="P108" i="21"/>
  <c r="O108" i="21"/>
  <c r="N108" i="21"/>
  <c r="M108" i="21"/>
  <c r="M112" i="21" s="1"/>
  <c r="L108" i="21"/>
  <c r="K108" i="21"/>
  <c r="K112" i="21" s="1"/>
  <c r="J108" i="21"/>
  <c r="J112" i="21" s="1"/>
  <c r="I108" i="21"/>
  <c r="I112" i="21" s="1"/>
  <c r="H108" i="21"/>
  <c r="H112" i="21" s="1"/>
  <c r="G108" i="21"/>
  <c r="G112" i="21" s="1"/>
  <c r="F108" i="21"/>
  <c r="E108" i="21"/>
  <c r="D108" i="21"/>
  <c r="AH106" i="21"/>
  <c r="AF106" i="21"/>
  <c r="AC106" i="21"/>
  <c r="AB106" i="21"/>
  <c r="Z106" i="21"/>
  <c r="X106" i="21"/>
  <c r="W106" i="21"/>
  <c r="V106" i="21"/>
  <c r="T106" i="21"/>
  <c r="O106" i="21"/>
  <c r="K106" i="21"/>
  <c r="J106" i="21"/>
  <c r="I106" i="21"/>
  <c r="H106" i="21"/>
  <c r="AH105" i="21"/>
  <c r="AG105" i="21"/>
  <c r="AF105" i="21"/>
  <c r="AE105" i="21"/>
  <c r="AD105" i="21"/>
  <c r="AC105" i="21"/>
  <c r="AB105" i="21"/>
  <c r="AA105" i="21"/>
  <c r="Z105" i="21"/>
  <c r="Y105" i="21"/>
  <c r="X105" i="21"/>
  <c r="W105" i="21"/>
  <c r="V105" i="21"/>
  <c r="U105" i="21"/>
  <c r="T105" i="21"/>
  <c r="S105" i="21"/>
  <c r="R105" i="21"/>
  <c r="Q105" i="21"/>
  <c r="P105" i="21"/>
  <c r="O105" i="21"/>
  <c r="N105" i="21"/>
  <c r="M105" i="21"/>
  <c r="L105" i="21"/>
  <c r="K105" i="21"/>
  <c r="J105" i="21"/>
  <c r="I105" i="21"/>
  <c r="H105" i="21"/>
  <c r="G105" i="21"/>
  <c r="F105" i="21"/>
  <c r="E105" i="21"/>
  <c r="D105" i="21"/>
  <c r="AH104" i="21"/>
  <c r="AG104" i="21"/>
  <c r="AF104" i="21"/>
  <c r="AE104" i="21"/>
  <c r="AD104" i="21"/>
  <c r="AC104" i="21"/>
  <c r="AB104" i="21"/>
  <c r="AA104" i="21"/>
  <c r="Z104" i="21"/>
  <c r="Y104" i="21"/>
  <c r="X104" i="21"/>
  <c r="W104" i="21"/>
  <c r="V104" i="21"/>
  <c r="U104" i="21"/>
  <c r="T104" i="21"/>
  <c r="S104" i="21"/>
  <c r="R104" i="21"/>
  <c r="Q104" i="21"/>
  <c r="P104" i="21"/>
  <c r="O104" i="21"/>
  <c r="N104" i="21"/>
  <c r="M104" i="21"/>
  <c r="L104" i="21"/>
  <c r="K104" i="21"/>
  <c r="J104" i="21"/>
  <c r="I104" i="21"/>
  <c r="H104" i="21"/>
  <c r="G104" i="21"/>
  <c r="F104" i="21"/>
  <c r="E104" i="21"/>
  <c r="D104" i="21"/>
  <c r="AH103" i="21"/>
  <c r="AG103" i="21"/>
  <c r="AF103" i="21"/>
  <c r="AE103" i="21"/>
  <c r="AD103" i="21"/>
  <c r="AC103" i="21"/>
  <c r="AB103" i="21"/>
  <c r="AA103" i="21"/>
  <c r="Z103" i="21"/>
  <c r="Y103" i="21"/>
  <c r="X103" i="21"/>
  <c r="W103" i="21"/>
  <c r="V103" i="21"/>
  <c r="U103" i="21"/>
  <c r="T103" i="21"/>
  <c r="S103" i="21"/>
  <c r="R103" i="21"/>
  <c r="Q103" i="21"/>
  <c r="P103" i="21"/>
  <c r="O103" i="21"/>
  <c r="N103" i="21"/>
  <c r="M103" i="21"/>
  <c r="L103" i="21"/>
  <c r="K103" i="21"/>
  <c r="J103" i="21"/>
  <c r="I103" i="21"/>
  <c r="H103" i="21"/>
  <c r="G103" i="21"/>
  <c r="F103" i="21"/>
  <c r="E103" i="21"/>
  <c r="D103" i="21"/>
  <c r="AH102" i="21"/>
  <c r="AG102" i="21"/>
  <c r="AG106" i="21" s="1"/>
  <c r="AF102" i="21"/>
  <c r="AE102" i="21"/>
  <c r="AE106" i="21" s="1"/>
  <c r="AD102" i="21"/>
  <c r="AD106" i="21" s="1"/>
  <c r="AC102" i="21"/>
  <c r="AB102" i="21"/>
  <c r="AA102" i="21"/>
  <c r="AA106" i="21" s="1"/>
  <c r="Z102" i="21"/>
  <c r="Y102" i="21"/>
  <c r="Y106" i="21" s="1"/>
  <c r="X102" i="21"/>
  <c r="W102" i="21"/>
  <c r="V102" i="21"/>
  <c r="U102" i="21"/>
  <c r="U106" i="21" s="1"/>
  <c r="T102" i="21"/>
  <c r="S102" i="21"/>
  <c r="S106" i="21" s="1"/>
  <c r="R102" i="21"/>
  <c r="R106" i="21" s="1"/>
  <c r="Q102" i="21"/>
  <c r="Q106" i="21" s="1"/>
  <c r="P102" i="21"/>
  <c r="P106" i="21" s="1"/>
  <c r="O102" i="21"/>
  <c r="N102" i="21"/>
  <c r="N106" i="21" s="1"/>
  <c r="M102" i="21"/>
  <c r="M106" i="21" s="1"/>
  <c r="L102" i="21"/>
  <c r="L106" i="21" s="1"/>
  <c r="K102" i="21"/>
  <c r="J102" i="21"/>
  <c r="I102" i="21"/>
  <c r="H102" i="21"/>
  <c r="G102" i="21"/>
  <c r="G106" i="21" s="1"/>
  <c r="F102" i="21"/>
  <c r="F106" i="21" s="1"/>
  <c r="E102" i="21"/>
  <c r="E106" i="21" s="1"/>
  <c r="D102" i="21"/>
  <c r="D106" i="21" s="1"/>
  <c r="AH100" i="21"/>
  <c r="AG100" i="21"/>
  <c r="AF100" i="21"/>
  <c r="AE100" i="21"/>
  <c r="X100" i="21"/>
  <c r="W100" i="21"/>
  <c r="V100" i="21"/>
  <c r="U100" i="21"/>
  <c r="T100" i="21"/>
  <c r="S100" i="21"/>
  <c r="L100" i="21"/>
  <c r="J100" i="21"/>
  <c r="I100" i="21"/>
  <c r="H100" i="21"/>
  <c r="G100" i="21"/>
  <c r="AH99" i="21"/>
  <c r="AG99" i="21"/>
  <c r="AF99" i="21"/>
  <c r="AE99" i="21"/>
  <c r="AD99" i="21"/>
  <c r="AC99" i="21"/>
  <c r="AB99" i="21"/>
  <c r="AA99" i="21"/>
  <c r="Z99" i="21"/>
  <c r="Y99" i="21"/>
  <c r="X99" i="21"/>
  <c r="W99" i="21"/>
  <c r="V99" i="21"/>
  <c r="U99" i="21"/>
  <c r="T99" i="21"/>
  <c r="S99" i="21"/>
  <c r="R99" i="21"/>
  <c r="Q99" i="21"/>
  <c r="P99" i="21"/>
  <c r="O99" i="21"/>
  <c r="N99" i="21"/>
  <c r="M99" i="21"/>
  <c r="L99" i="21"/>
  <c r="K99" i="21"/>
  <c r="J99" i="21"/>
  <c r="I99" i="21"/>
  <c r="H99" i="21"/>
  <c r="G99" i="21"/>
  <c r="F99" i="21"/>
  <c r="E99" i="21"/>
  <c r="D99" i="21"/>
  <c r="AH98" i="21"/>
  <c r="AG98" i="21"/>
  <c r="AF98" i="21"/>
  <c r="AE98" i="21"/>
  <c r="AD98" i="21"/>
  <c r="AC98" i="21"/>
  <c r="AB98" i="21"/>
  <c r="AA98" i="21"/>
  <c r="Z98" i="21"/>
  <c r="Y98" i="21"/>
  <c r="X98" i="21"/>
  <c r="W98" i="21"/>
  <c r="V98" i="21"/>
  <c r="U98" i="21"/>
  <c r="T98" i="21"/>
  <c r="S98" i="21"/>
  <c r="R98" i="21"/>
  <c r="Q98" i="21"/>
  <c r="P98" i="21"/>
  <c r="O98" i="21"/>
  <c r="N98" i="21"/>
  <c r="M98" i="21"/>
  <c r="L98" i="21"/>
  <c r="K98" i="21"/>
  <c r="J98" i="21"/>
  <c r="I98" i="21"/>
  <c r="H98" i="21"/>
  <c r="G98" i="21"/>
  <c r="F98" i="21"/>
  <c r="E98" i="21"/>
  <c r="D98" i="21"/>
  <c r="AH97" i="21"/>
  <c r="AG97" i="21"/>
  <c r="AF97" i="21"/>
  <c r="AE97" i="21"/>
  <c r="AD97" i="21"/>
  <c r="AC97" i="21"/>
  <c r="AB97" i="21"/>
  <c r="AA97" i="21"/>
  <c r="Z97" i="21"/>
  <c r="Y97" i="21"/>
  <c r="X97" i="21"/>
  <c r="W97" i="21"/>
  <c r="V97" i="21"/>
  <c r="U97" i="21"/>
  <c r="T97" i="21"/>
  <c r="S97" i="21"/>
  <c r="R97" i="21"/>
  <c r="Q97" i="21"/>
  <c r="P97" i="21"/>
  <c r="O97" i="21"/>
  <c r="N97" i="21"/>
  <c r="M97" i="21"/>
  <c r="L97" i="21"/>
  <c r="K97" i="21"/>
  <c r="J97" i="21"/>
  <c r="I97" i="21"/>
  <c r="H97" i="21"/>
  <c r="G97" i="21"/>
  <c r="F97" i="21"/>
  <c r="E97" i="21"/>
  <c r="D97" i="21"/>
  <c r="AH96" i="21"/>
  <c r="AG96" i="21"/>
  <c r="AF96" i="21"/>
  <c r="AE96" i="21"/>
  <c r="AD96" i="21"/>
  <c r="AD100" i="21" s="1"/>
  <c r="AC96" i="21"/>
  <c r="AC100" i="21" s="1"/>
  <c r="AB96" i="21"/>
  <c r="AB100" i="21" s="1"/>
  <c r="AA96" i="21"/>
  <c r="AA100" i="21" s="1"/>
  <c r="Z96" i="21"/>
  <c r="Z100" i="21" s="1"/>
  <c r="Y96" i="21"/>
  <c r="Y100" i="21" s="1"/>
  <c r="X96" i="21"/>
  <c r="W96" i="21"/>
  <c r="V96" i="21"/>
  <c r="U96" i="21"/>
  <c r="T96" i="21"/>
  <c r="S96" i="21"/>
  <c r="R96" i="21"/>
  <c r="R100" i="21" s="1"/>
  <c r="Q96" i="21"/>
  <c r="Q100" i="21" s="1"/>
  <c r="P96" i="21"/>
  <c r="P100" i="21" s="1"/>
  <c r="O96" i="21"/>
  <c r="O100" i="21" s="1"/>
  <c r="N96" i="21"/>
  <c r="N100" i="21" s="1"/>
  <c r="M96" i="21"/>
  <c r="M100" i="21" s="1"/>
  <c r="L96" i="21"/>
  <c r="K96" i="21"/>
  <c r="K100" i="21" s="1"/>
  <c r="J96" i="21"/>
  <c r="I96" i="21"/>
  <c r="H96" i="21"/>
  <c r="G96" i="21"/>
  <c r="F96" i="21"/>
  <c r="F100" i="21" s="1"/>
  <c r="E96" i="21"/>
  <c r="E100" i="21" s="1"/>
  <c r="D96" i="21"/>
  <c r="D100" i="21" s="1"/>
  <c r="AG94" i="21"/>
  <c r="AF94" i="21"/>
  <c r="AE94" i="21"/>
  <c r="AD94" i="21"/>
  <c r="Y94" i="21"/>
  <c r="V94" i="21"/>
  <c r="U94" i="21"/>
  <c r="T94" i="21"/>
  <c r="S94" i="21"/>
  <c r="R94" i="21"/>
  <c r="M94" i="21"/>
  <c r="L94" i="21"/>
  <c r="J94" i="21"/>
  <c r="I94" i="21"/>
  <c r="H94" i="21"/>
  <c r="G94" i="21"/>
  <c r="F94" i="21"/>
  <c r="AH93" i="21"/>
  <c r="AG93" i="21"/>
  <c r="AF93" i="21"/>
  <c r="AE93" i="21"/>
  <c r="AD93" i="21"/>
  <c r="AC93" i="21"/>
  <c r="AB93" i="21"/>
  <c r="AA93" i="21"/>
  <c r="Z93" i="21"/>
  <c r="Y93" i="21"/>
  <c r="X93" i="21"/>
  <c r="W93" i="21"/>
  <c r="V93" i="21"/>
  <c r="U93" i="21"/>
  <c r="T93" i="21"/>
  <c r="S93" i="21"/>
  <c r="R93" i="21"/>
  <c r="Q93" i="21"/>
  <c r="P93" i="21"/>
  <c r="O93" i="21"/>
  <c r="N93" i="21"/>
  <c r="M93" i="21"/>
  <c r="L93" i="21"/>
  <c r="K93" i="21"/>
  <c r="J93" i="21"/>
  <c r="I93" i="21"/>
  <c r="H93" i="21"/>
  <c r="G93" i="21"/>
  <c r="F93" i="21"/>
  <c r="E93" i="21"/>
  <c r="D93" i="21"/>
  <c r="AH92" i="21"/>
  <c r="AG92" i="21"/>
  <c r="AF92" i="21"/>
  <c r="AE92" i="21"/>
  <c r="AD92" i="21"/>
  <c r="AC92" i="21"/>
  <c r="AB92" i="21"/>
  <c r="AA92" i="21"/>
  <c r="Z92" i="21"/>
  <c r="Y92" i="21"/>
  <c r="X92" i="21"/>
  <c r="W92" i="21"/>
  <c r="V92" i="21"/>
  <c r="U92" i="21"/>
  <c r="T92" i="21"/>
  <c r="S92" i="21"/>
  <c r="R92" i="21"/>
  <c r="Q92" i="21"/>
  <c r="P92" i="21"/>
  <c r="O92" i="21"/>
  <c r="N92" i="21"/>
  <c r="M92" i="21"/>
  <c r="L92" i="21"/>
  <c r="K92" i="21"/>
  <c r="J92" i="21"/>
  <c r="I92" i="21"/>
  <c r="H92" i="21"/>
  <c r="G92" i="21"/>
  <c r="F92" i="21"/>
  <c r="E92" i="21"/>
  <c r="D92" i="21"/>
  <c r="AH91" i="21"/>
  <c r="AG91" i="21"/>
  <c r="AF91" i="21"/>
  <c r="AE91" i="21"/>
  <c r="AD91" i="21"/>
  <c r="AC91" i="21"/>
  <c r="AB91" i="21"/>
  <c r="AA91" i="21"/>
  <c r="Z91" i="21"/>
  <c r="Y91" i="21"/>
  <c r="X91" i="21"/>
  <c r="W91" i="21"/>
  <c r="V91" i="21"/>
  <c r="U91" i="21"/>
  <c r="T91" i="21"/>
  <c r="S91" i="21"/>
  <c r="R91" i="21"/>
  <c r="Q91" i="21"/>
  <c r="P91" i="21"/>
  <c r="O91" i="21"/>
  <c r="N91" i="21"/>
  <c r="M91" i="21"/>
  <c r="L91" i="21"/>
  <c r="K91" i="21"/>
  <c r="J91" i="21"/>
  <c r="I91" i="21"/>
  <c r="H91" i="21"/>
  <c r="G91" i="21"/>
  <c r="F91" i="21"/>
  <c r="E91" i="21"/>
  <c r="D91" i="21"/>
  <c r="AH90" i="21"/>
  <c r="AH94" i="21" s="1"/>
  <c r="AG90" i="21"/>
  <c r="AF90" i="21"/>
  <c r="AE90" i="21"/>
  <c r="AD90" i="21"/>
  <c r="AC90" i="21"/>
  <c r="AC94" i="21" s="1"/>
  <c r="AB90" i="21"/>
  <c r="AB94" i="21" s="1"/>
  <c r="AA90" i="21"/>
  <c r="AA94" i="21" s="1"/>
  <c r="Z90" i="21"/>
  <c r="Z94" i="21" s="1"/>
  <c r="Y90" i="21"/>
  <c r="X90" i="21"/>
  <c r="X94" i="21" s="1"/>
  <c r="W90" i="21"/>
  <c r="W94" i="21" s="1"/>
  <c r="V90" i="21"/>
  <c r="U90" i="21"/>
  <c r="T90" i="21"/>
  <c r="S90" i="21"/>
  <c r="R90" i="21"/>
  <c r="Q90" i="21"/>
  <c r="Q94" i="21" s="1"/>
  <c r="P90" i="21"/>
  <c r="P94" i="21" s="1"/>
  <c r="O90" i="21"/>
  <c r="O94" i="21" s="1"/>
  <c r="N90" i="21"/>
  <c r="N94" i="21" s="1"/>
  <c r="M90" i="21"/>
  <c r="L90" i="21"/>
  <c r="K90" i="21"/>
  <c r="K94" i="21" s="1"/>
  <c r="J90" i="21"/>
  <c r="I90" i="21"/>
  <c r="H90" i="21"/>
  <c r="G90" i="21"/>
  <c r="F90" i="21"/>
  <c r="E90" i="21"/>
  <c r="E94" i="21" s="1"/>
  <c r="D90" i="21"/>
  <c r="D94" i="21" s="1"/>
  <c r="AG88" i="21"/>
  <c r="AF88" i="21"/>
  <c r="AE88" i="21"/>
  <c r="AD88" i="21"/>
  <c r="AC88" i="21"/>
  <c r="V88" i="21"/>
  <c r="T88" i="21"/>
  <c r="S88" i="21"/>
  <c r="R88" i="21"/>
  <c r="Q88" i="21"/>
  <c r="J88" i="21"/>
  <c r="I88" i="21"/>
  <c r="H88" i="21"/>
  <c r="G88" i="21"/>
  <c r="F88" i="21"/>
  <c r="E88" i="21"/>
  <c r="AH87" i="21"/>
  <c r="AG87" i="21"/>
  <c r="AF87" i="21"/>
  <c r="AE87" i="21"/>
  <c r="AD87" i="21"/>
  <c r="AC87" i="21"/>
  <c r="AB87" i="21"/>
  <c r="AA87" i="21"/>
  <c r="Z87" i="21"/>
  <c r="Y87" i="21"/>
  <c r="X87" i="21"/>
  <c r="W87" i="21"/>
  <c r="V87" i="21"/>
  <c r="U87" i="21"/>
  <c r="T87" i="21"/>
  <c r="S87" i="21"/>
  <c r="R87" i="21"/>
  <c r="Q87" i="21"/>
  <c r="P87" i="21"/>
  <c r="O87" i="21"/>
  <c r="N87" i="21"/>
  <c r="M87" i="21"/>
  <c r="L87" i="21"/>
  <c r="K87" i="21"/>
  <c r="J87" i="21"/>
  <c r="I87" i="21"/>
  <c r="H87" i="21"/>
  <c r="G87" i="21"/>
  <c r="F87" i="21"/>
  <c r="E87" i="21"/>
  <c r="D87" i="21"/>
  <c r="AH86" i="21"/>
  <c r="AG86" i="21"/>
  <c r="AF86" i="21"/>
  <c r="AE86" i="21"/>
  <c r="AD86" i="21"/>
  <c r="AC86" i="21"/>
  <c r="AB86" i="21"/>
  <c r="AA86" i="21"/>
  <c r="Z86" i="21"/>
  <c r="Y86" i="21"/>
  <c r="X86" i="21"/>
  <c r="W86" i="21"/>
  <c r="V86" i="21"/>
  <c r="U86" i="21"/>
  <c r="T86" i="21"/>
  <c r="S86" i="21"/>
  <c r="R86" i="21"/>
  <c r="Q86" i="21"/>
  <c r="P86" i="21"/>
  <c r="O86" i="21"/>
  <c r="N86" i="21"/>
  <c r="M86" i="21"/>
  <c r="L86" i="21"/>
  <c r="K86" i="21"/>
  <c r="J86" i="21"/>
  <c r="I86" i="21"/>
  <c r="H86" i="21"/>
  <c r="G86" i="21"/>
  <c r="F86" i="21"/>
  <c r="E86" i="21"/>
  <c r="D86" i="21"/>
  <c r="AH85" i="21"/>
  <c r="AG85" i="21"/>
  <c r="AF85" i="21"/>
  <c r="AE85" i="21"/>
  <c r="AD85" i="21"/>
  <c r="AC85" i="21"/>
  <c r="AB85" i="21"/>
  <c r="AA85" i="21"/>
  <c r="Z85" i="21"/>
  <c r="Y85" i="21"/>
  <c r="X85" i="21"/>
  <c r="W85" i="21"/>
  <c r="V85" i="21"/>
  <c r="U85" i="21"/>
  <c r="T85" i="21"/>
  <c r="S85" i="21"/>
  <c r="R85" i="21"/>
  <c r="Q85" i="21"/>
  <c r="P85" i="21"/>
  <c r="O85" i="21"/>
  <c r="N85" i="21"/>
  <c r="M85" i="21"/>
  <c r="L85" i="21"/>
  <c r="K85" i="21"/>
  <c r="J85" i="21"/>
  <c r="I85" i="21"/>
  <c r="H85" i="21"/>
  <c r="G85" i="21"/>
  <c r="F85" i="21"/>
  <c r="E85" i="21"/>
  <c r="D85" i="21"/>
  <c r="AH84" i="21"/>
  <c r="AH88" i="21" s="1"/>
  <c r="AG84" i="21"/>
  <c r="AF84" i="21"/>
  <c r="AE84" i="21"/>
  <c r="AD84" i="21"/>
  <c r="AC84" i="21"/>
  <c r="AB84" i="21"/>
  <c r="AB88" i="21" s="1"/>
  <c r="AA84" i="21"/>
  <c r="AA88" i="21" s="1"/>
  <c r="Z84" i="21"/>
  <c r="Z88" i="21" s="1"/>
  <c r="Y84" i="21"/>
  <c r="Y88" i="21" s="1"/>
  <c r="X84" i="21"/>
  <c r="X88" i="21" s="1"/>
  <c r="W84" i="21"/>
  <c r="W88" i="21" s="1"/>
  <c r="V84" i="21"/>
  <c r="U84" i="21"/>
  <c r="U88" i="21" s="1"/>
  <c r="T84" i="21"/>
  <c r="S84" i="21"/>
  <c r="R84" i="21"/>
  <c r="Q84" i="21"/>
  <c r="P84" i="21"/>
  <c r="P88" i="21" s="1"/>
  <c r="O84" i="21"/>
  <c r="O88" i="21" s="1"/>
  <c r="N84" i="21"/>
  <c r="N88" i="21" s="1"/>
  <c r="M84" i="21"/>
  <c r="M88" i="21" s="1"/>
  <c r="L84" i="21"/>
  <c r="L88" i="21" s="1"/>
  <c r="K84" i="21"/>
  <c r="K88" i="21" s="1"/>
  <c r="J84" i="21"/>
  <c r="I84" i="21"/>
  <c r="H84" i="21"/>
  <c r="G84" i="21"/>
  <c r="F84" i="21"/>
  <c r="E84" i="21"/>
  <c r="D84" i="21"/>
  <c r="D88" i="21" s="1"/>
  <c r="AH81" i="21"/>
  <c r="AG81" i="21"/>
  <c r="AF81" i="21"/>
  <c r="AE81" i="21"/>
  <c r="AD81" i="21"/>
  <c r="AC81" i="21"/>
  <c r="AB81" i="21"/>
  <c r="AA81" i="21"/>
  <c r="Z81" i="21"/>
  <c r="Y81" i="21"/>
  <c r="X81" i="21"/>
  <c r="W81" i="21"/>
  <c r="V81" i="21"/>
  <c r="U81" i="21"/>
  <c r="T81" i="21"/>
  <c r="S81" i="21"/>
  <c r="R81" i="21"/>
  <c r="Q81" i="21"/>
  <c r="P81" i="21"/>
  <c r="O81" i="21"/>
  <c r="N81" i="21"/>
  <c r="M81" i="21"/>
  <c r="L81" i="21"/>
  <c r="K81" i="21"/>
  <c r="J81" i="21"/>
  <c r="I81" i="21"/>
  <c r="H81" i="21"/>
  <c r="G81" i="21"/>
  <c r="F81" i="21"/>
  <c r="E81" i="21"/>
  <c r="D81" i="21"/>
  <c r="AH80" i="21"/>
  <c r="AG80" i="21"/>
  <c r="AF80" i="21"/>
  <c r="AE80" i="21"/>
  <c r="AD80" i="21"/>
  <c r="AC80" i="21"/>
  <c r="AB80" i="21"/>
  <c r="AA80" i="21"/>
  <c r="Z80" i="21"/>
  <c r="Y80" i="21"/>
  <c r="X80" i="21"/>
  <c r="W80" i="21"/>
  <c r="V80" i="21"/>
  <c r="U80" i="21"/>
  <c r="T80" i="21"/>
  <c r="S80" i="21"/>
  <c r="R80" i="21"/>
  <c r="Q80" i="21"/>
  <c r="P80" i="21"/>
  <c r="O80" i="21"/>
  <c r="N80" i="21"/>
  <c r="M80" i="21"/>
  <c r="L80" i="21"/>
  <c r="K80" i="21"/>
  <c r="J80" i="21"/>
  <c r="I80" i="21"/>
  <c r="H80" i="21"/>
  <c r="G80" i="21"/>
  <c r="F80" i="21"/>
  <c r="E80" i="21"/>
  <c r="D80" i="21"/>
  <c r="AH79" i="21"/>
  <c r="AG79" i="21"/>
  <c r="AF79" i="21"/>
  <c r="AE79" i="21"/>
  <c r="AD79" i="21"/>
  <c r="AC79" i="21"/>
  <c r="AB79" i="21"/>
  <c r="AA79" i="21"/>
  <c r="Z79" i="21"/>
  <c r="Y79" i="21"/>
  <c r="X79" i="21"/>
  <c r="W79" i="21"/>
  <c r="V79" i="21"/>
  <c r="U79" i="21"/>
  <c r="T79" i="21"/>
  <c r="S79" i="21"/>
  <c r="R79" i="21"/>
  <c r="Q79" i="21"/>
  <c r="P79" i="21"/>
  <c r="O79" i="21"/>
  <c r="N79" i="21"/>
  <c r="M79" i="21"/>
  <c r="L79" i="21"/>
  <c r="K79" i="21"/>
  <c r="J79" i="21"/>
  <c r="I79" i="21"/>
  <c r="H79" i="21"/>
  <c r="G79" i="21"/>
  <c r="F79" i="21"/>
  <c r="E79" i="21"/>
  <c r="D79" i="21"/>
  <c r="AH78" i="21"/>
  <c r="AG78" i="21"/>
  <c r="AF78" i="21"/>
  <c r="AE78" i="21"/>
  <c r="AD78" i="21"/>
  <c r="AC78" i="21"/>
  <c r="AB78" i="21"/>
  <c r="AA78" i="21"/>
  <c r="Z78" i="21"/>
  <c r="Y78" i="21"/>
  <c r="X78" i="21"/>
  <c r="W78" i="21"/>
  <c r="V78" i="21"/>
  <c r="U78" i="21"/>
  <c r="T78" i="21"/>
  <c r="S78" i="21"/>
  <c r="R78" i="21"/>
  <c r="Q78" i="21"/>
  <c r="P78" i="21"/>
  <c r="O78" i="21"/>
  <c r="N78" i="21"/>
  <c r="M78" i="21"/>
  <c r="L78" i="21"/>
  <c r="K78" i="21"/>
  <c r="J78" i="21"/>
  <c r="I78" i="21"/>
  <c r="H78" i="21"/>
  <c r="G78" i="21"/>
  <c r="F78" i="21"/>
  <c r="E78" i="21"/>
  <c r="D78" i="21"/>
  <c r="AH77" i="21"/>
  <c r="AG77" i="21"/>
  <c r="AF77" i="21"/>
  <c r="AE77" i="21"/>
  <c r="AD77" i="21"/>
  <c r="AC77" i="21"/>
  <c r="AB77" i="21"/>
  <c r="AA77" i="21"/>
  <c r="Z77" i="21"/>
  <c r="Y77" i="21"/>
  <c r="X77" i="21"/>
  <c r="W77" i="21"/>
  <c r="V77" i="21"/>
  <c r="U77" i="21"/>
  <c r="T77" i="21"/>
  <c r="S77" i="21"/>
  <c r="R77" i="21"/>
  <c r="Q77" i="21"/>
  <c r="P77" i="21"/>
  <c r="O77" i="21"/>
  <c r="N77" i="21"/>
  <c r="M77" i="21"/>
  <c r="L77" i="21"/>
  <c r="K77" i="21"/>
  <c r="J77" i="21"/>
  <c r="I77" i="21"/>
  <c r="H77" i="21"/>
  <c r="G77" i="21"/>
  <c r="F77" i="21"/>
  <c r="E77" i="21"/>
  <c r="D77" i="21"/>
  <c r="BG159" i="20"/>
  <c r="X159" i="20"/>
  <c r="CD156" i="20"/>
  <c r="BW156" i="20"/>
  <c r="BJ156" i="20"/>
  <c r="AU156" i="20"/>
  <c r="AN156" i="20"/>
  <c r="AA156" i="20"/>
  <c r="BG154" i="20"/>
  <c r="X154" i="20"/>
  <c r="CD151" i="20"/>
  <c r="BW151" i="20"/>
  <c r="BJ151" i="20"/>
  <c r="AU151" i="20"/>
  <c r="AN151" i="20"/>
  <c r="AA151" i="20"/>
  <c r="BG149" i="20"/>
  <c r="X149" i="20"/>
  <c r="CD146" i="20"/>
  <c r="BW146" i="20"/>
  <c r="BJ146" i="20"/>
  <c r="AU146" i="20"/>
  <c r="AN146" i="20"/>
  <c r="AA146" i="20"/>
  <c r="BG144" i="20"/>
  <c r="X144" i="20"/>
  <c r="CD141" i="20"/>
  <c r="BW141" i="20"/>
  <c r="BJ141" i="20"/>
  <c r="AU141" i="20"/>
  <c r="AN141" i="20"/>
  <c r="AA141" i="20"/>
  <c r="BG139" i="20"/>
  <c r="X139" i="20"/>
  <c r="CD136" i="20"/>
  <c r="BW136" i="20"/>
  <c r="BJ136" i="20"/>
  <c r="AU136" i="20"/>
  <c r="AN136" i="20"/>
  <c r="AA136" i="20"/>
  <c r="BG134" i="20"/>
  <c r="X134" i="20"/>
  <c r="CD131" i="20"/>
  <c r="BW131" i="20"/>
  <c r="BJ131" i="20"/>
  <c r="AU131" i="20"/>
  <c r="AN131" i="20"/>
  <c r="AA131" i="20"/>
  <c r="BG129" i="20"/>
  <c r="X129" i="20"/>
  <c r="F127" i="20"/>
  <c r="E127" i="20"/>
  <c r="CD126" i="20"/>
  <c r="BW126" i="20"/>
  <c r="BJ126" i="20"/>
  <c r="AU126" i="20"/>
  <c r="AN126" i="20"/>
  <c r="AA126" i="20"/>
  <c r="F126" i="20"/>
  <c r="E126" i="20"/>
  <c r="F125" i="20"/>
  <c r="E125" i="20"/>
  <c r="BG124" i="20"/>
  <c r="X124" i="20"/>
  <c r="F124" i="20"/>
  <c r="E124" i="20"/>
  <c r="F123" i="20"/>
  <c r="E123" i="20"/>
  <c r="F122" i="20"/>
  <c r="E122" i="20"/>
  <c r="CD121" i="20"/>
  <c r="BW121" i="20"/>
  <c r="BJ121" i="20"/>
  <c r="AU121" i="20"/>
  <c r="AN121" i="20"/>
  <c r="AA121" i="20"/>
  <c r="F121" i="20"/>
  <c r="E121" i="20"/>
  <c r="F120" i="20"/>
  <c r="E120" i="20"/>
  <c r="BG119" i="20"/>
  <c r="X119" i="20"/>
  <c r="F119" i="20"/>
  <c r="D119" i="20" s="1"/>
  <c r="D120" i="20" s="1"/>
  <c r="D121" i="20" s="1"/>
  <c r="D122" i="20" s="1"/>
  <c r="D123" i="20" s="1"/>
  <c r="D124" i="20" s="1"/>
  <c r="E119" i="20"/>
  <c r="CD116" i="20"/>
  <c r="BW116" i="20"/>
  <c r="BJ116" i="20"/>
  <c r="AU116" i="20"/>
  <c r="AN116" i="20"/>
  <c r="AA116" i="20"/>
  <c r="BG114" i="20"/>
  <c r="X114" i="20"/>
  <c r="CD111" i="20"/>
  <c r="BW111" i="20"/>
  <c r="BJ111" i="20"/>
  <c r="AU111" i="20"/>
  <c r="AN111" i="20"/>
  <c r="AA111" i="20"/>
  <c r="BG109" i="20"/>
  <c r="X109" i="20"/>
  <c r="F109" i="20"/>
  <c r="E109" i="20"/>
  <c r="F108" i="20"/>
  <c r="E108" i="20"/>
  <c r="F107" i="20"/>
  <c r="E107" i="20"/>
  <c r="CD106" i="20"/>
  <c r="BW106" i="20"/>
  <c r="BJ106" i="20"/>
  <c r="AU106" i="20"/>
  <c r="AN106" i="20"/>
  <c r="AA106" i="20"/>
  <c r="F106" i="20"/>
  <c r="E106" i="20"/>
  <c r="H105" i="20"/>
  <c r="F105" i="20"/>
  <c r="D105" i="20" s="1"/>
  <c r="D106" i="20" s="1"/>
  <c r="D107" i="20" s="1"/>
  <c r="D108" i="20" s="1"/>
  <c r="D109" i="20" s="1"/>
  <c r="E105" i="20"/>
  <c r="BG104" i="20"/>
  <c r="X104" i="20"/>
  <c r="H104" i="20"/>
  <c r="F104" i="20"/>
  <c r="E104" i="20"/>
  <c r="H103" i="20"/>
  <c r="F103" i="20"/>
  <c r="E103" i="20"/>
  <c r="H102" i="20"/>
  <c r="F102" i="20"/>
  <c r="E102" i="20"/>
  <c r="CD101" i="20"/>
  <c r="BW101" i="20"/>
  <c r="BJ101" i="20"/>
  <c r="AU101" i="20"/>
  <c r="AN101" i="20"/>
  <c r="AA101" i="20"/>
  <c r="H101" i="20"/>
  <c r="F101" i="20"/>
  <c r="E101" i="20"/>
  <c r="D101" i="20"/>
  <c r="D102" i="20" s="1"/>
  <c r="D103" i="20" s="1"/>
  <c r="D104" i="20" s="1"/>
  <c r="H100" i="20"/>
  <c r="BG99" i="20"/>
  <c r="X99" i="20"/>
  <c r="H99" i="20"/>
  <c r="H98" i="20"/>
  <c r="H97" i="20"/>
  <c r="CD96" i="20"/>
  <c r="BW96" i="20"/>
  <c r="BJ96" i="20"/>
  <c r="AU96" i="20"/>
  <c r="AN96" i="20"/>
  <c r="AA96" i="20"/>
  <c r="H96" i="20"/>
  <c r="H95" i="20"/>
  <c r="BG94" i="20"/>
  <c r="X94" i="20"/>
  <c r="H94" i="20"/>
  <c r="H93" i="20"/>
  <c r="H92" i="20"/>
  <c r="CD91" i="20"/>
  <c r="BW91" i="20"/>
  <c r="BJ91" i="20"/>
  <c r="AU91" i="20"/>
  <c r="AN91" i="20"/>
  <c r="AA91" i="20"/>
  <c r="H91" i="20"/>
  <c r="H90" i="20"/>
  <c r="BG89" i="20"/>
  <c r="X89" i="20"/>
  <c r="H89" i="20"/>
  <c r="H88" i="20"/>
  <c r="H87" i="20"/>
  <c r="CD86" i="20"/>
  <c r="BW86" i="20"/>
  <c r="BJ86" i="20"/>
  <c r="AU86" i="20"/>
  <c r="AN86" i="20"/>
  <c r="AA86" i="20"/>
  <c r="H86" i="20"/>
  <c r="H85" i="20"/>
  <c r="BG84" i="20"/>
  <c r="X84" i="20"/>
  <c r="H84" i="20"/>
  <c r="H83" i="20"/>
  <c r="H82" i="20"/>
  <c r="CD81" i="20"/>
  <c r="BW81" i="20"/>
  <c r="BJ81" i="20"/>
  <c r="AU81" i="20"/>
  <c r="AN81" i="20"/>
  <c r="AA81" i="20"/>
  <c r="H81" i="20"/>
  <c r="H80" i="20"/>
  <c r="BG79" i="20"/>
  <c r="X79" i="20"/>
  <c r="H79" i="20"/>
  <c r="H78" i="20"/>
  <c r="H77" i="20"/>
  <c r="CD76" i="20"/>
  <c r="BW76" i="20"/>
  <c r="BJ76" i="20"/>
  <c r="AU76" i="20"/>
  <c r="AN76" i="20"/>
  <c r="AA76" i="20"/>
  <c r="H76" i="20"/>
  <c r="H75" i="20"/>
  <c r="BG74" i="20"/>
  <c r="X74" i="20"/>
  <c r="H74" i="20"/>
  <c r="H73" i="20"/>
  <c r="H72" i="20"/>
  <c r="CD71" i="20"/>
  <c r="BW71" i="20"/>
  <c r="BJ71" i="20"/>
  <c r="AU71" i="20"/>
  <c r="AN71" i="20"/>
  <c r="AA71" i="20"/>
  <c r="H71" i="20"/>
  <c r="H70" i="20"/>
  <c r="BG69" i="20"/>
  <c r="X69" i="20"/>
  <c r="H69" i="20"/>
  <c r="H68" i="20"/>
  <c r="H67" i="20"/>
  <c r="CD66" i="20"/>
  <c r="BW66" i="20"/>
  <c r="BJ66" i="20"/>
  <c r="AU66" i="20"/>
  <c r="AN66" i="20"/>
  <c r="AA66" i="20"/>
  <c r="H66" i="20"/>
  <c r="H65" i="20"/>
  <c r="BG64" i="20"/>
  <c r="X64" i="20"/>
  <c r="H64" i="20"/>
  <c r="H63" i="20"/>
  <c r="H62" i="20"/>
  <c r="CD61" i="20"/>
  <c r="BW61" i="20"/>
  <c r="BJ61" i="20"/>
  <c r="AU61" i="20"/>
  <c r="AN61" i="20"/>
  <c r="AA61" i="20"/>
  <c r="H61" i="20"/>
  <c r="H60" i="20"/>
  <c r="BG59" i="20"/>
  <c r="X59" i="20"/>
  <c r="H59" i="20"/>
  <c r="H58" i="20"/>
  <c r="H57" i="20"/>
  <c r="CD56" i="20"/>
  <c r="BW56" i="20"/>
  <c r="BJ56" i="20"/>
  <c r="AU56" i="20"/>
  <c r="AN56" i="20"/>
  <c r="AA56" i="20"/>
  <c r="H56" i="20"/>
  <c r="H55" i="20"/>
  <c r="BG54" i="20"/>
  <c r="X54" i="20"/>
  <c r="H54" i="20"/>
  <c r="H53" i="20"/>
  <c r="H52" i="20"/>
  <c r="CD51" i="20"/>
  <c r="BW51" i="20"/>
  <c r="BJ51" i="20"/>
  <c r="AU51" i="20"/>
  <c r="AN51" i="20"/>
  <c r="AA51" i="20"/>
  <c r="H51" i="20"/>
  <c r="H50" i="20"/>
  <c r="BG49" i="20"/>
  <c r="X49" i="20"/>
  <c r="H49" i="20"/>
  <c r="H48" i="20"/>
  <c r="H47" i="20"/>
  <c r="CD46" i="20"/>
  <c r="BW46" i="20"/>
  <c r="BJ46" i="20"/>
  <c r="AU46" i="20"/>
  <c r="AN46" i="20"/>
  <c r="AA46" i="20"/>
  <c r="H46" i="20"/>
  <c r="H45" i="20"/>
  <c r="BG44" i="20"/>
  <c r="X44" i="20"/>
  <c r="H44" i="20"/>
  <c r="H43" i="20"/>
  <c r="H42" i="20"/>
  <c r="CD41" i="20"/>
  <c r="BW41" i="20"/>
  <c r="BJ41" i="20"/>
  <c r="AU41" i="20"/>
  <c r="AN41" i="20"/>
  <c r="AA41" i="20"/>
  <c r="H41" i="20"/>
  <c r="H40" i="20"/>
  <c r="BG39" i="20"/>
  <c r="X39" i="20"/>
  <c r="H39" i="20"/>
  <c r="H38" i="20"/>
  <c r="H37" i="20"/>
  <c r="CD36" i="20"/>
  <c r="BW36" i="20"/>
  <c r="BJ36" i="20"/>
  <c r="AU36" i="20"/>
  <c r="AN36" i="20"/>
  <c r="AA36" i="20"/>
  <c r="H36" i="20"/>
  <c r="H35" i="20"/>
  <c r="BG34" i="20"/>
  <c r="X34" i="20"/>
  <c r="H34" i="20"/>
  <c r="H33" i="20"/>
  <c r="H32" i="20"/>
  <c r="CD31" i="20"/>
  <c r="BW31" i="20"/>
  <c r="BJ31" i="20"/>
  <c r="AU31" i="20"/>
  <c r="AN31" i="20"/>
  <c r="AA31" i="20"/>
  <c r="H31" i="20"/>
  <c r="H30" i="20"/>
  <c r="BG29" i="20"/>
  <c r="X29" i="20"/>
  <c r="H29" i="20"/>
  <c r="H28" i="20"/>
  <c r="H27" i="20"/>
  <c r="CD26" i="20"/>
  <c r="BW26" i="20"/>
  <c r="BJ26" i="20"/>
  <c r="AU26" i="20"/>
  <c r="AN26" i="20"/>
  <c r="AA26" i="20"/>
  <c r="H26" i="20"/>
  <c r="H25" i="20"/>
  <c r="BG24" i="20"/>
  <c r="X24" i="20"/>
  <c r="H24" i="20"/>
  <c r="H23" i="20"/>
  <c r="H22" i="20"/>
  <c r="CD21" i="20"/>
  <c r="BW21" i="20"/>
  <c r="BJ21" i="20"/>
  <c r="AU21" i="20"/>
  <c r="AN21" i="20"/>
  <c r="AA21" i="20"/>
  <c r="H21" i="20"/>
  <c r="H20" i="20"/>
  <c r="BG19" i="20"/>
  <c r="X19" i="20"/>
  <c r="H19" i="20"/>
  <c r="H18" i="20"/>
  <c r="H17" i="20"/>
  <c r="CD16" i="20"/>
  <c r="BW16" i="20"/>
  <c r="BJ16" i="20"/>
  <c r="AU16" i="20"/>
  <c r="AN16" i="20"/>
  <c r="AA16" i="20"/>
  <c r="H16" i="20"/>
  <c r="H15" i="20"/>
  <c r="BG14" i="20"/>
  <c r="X14" i="20"/>
  <c r="H14" i="20"/>
  <c r="H13" i="20"/>
  <c r="H12" i="20"/>
  <c r="CD11" i="20"/>
  <c r="BW11" i="20"/>
  <c r="BJ11" i="20"/>
  <c r="AU11" i="20"/>
  <c r="AN11" i="20"/>
  <c r="AA11" i="20"/>
  <c r="H11" i="20"/>
  <c r="H10" i="20"/>
  <c r="BG9" i="20"/>
  <c r="X9" i="20"/>
  <c r="H9" i="20"/>
  <c r="H8" i="20"/>
  <c r="H7" i="20"/>
  <c r="CD6" i="20"/>
  <c r="BW6" i="20"/>
  <c r="BJ6" i="20"/>
  <c r="AU6" i="20"/>
  <c r="AN6" i="20"/>
  <c r="AA6" i="20"/>
  <c r="H6" i="20"/>
  <c r="R136" i="17"/>
  <c r="H8" i="17"/>
  <c r="G8" i="17"/>
  <c r="H7" i="17"/>
  <c r="G7" i="17"/>
  <c r="H6" i="17"/>
  <c r="G6" i="17"/>
  <c r="H5" i="17"/>
  <c r="G5" i="17"/>
  <c r="H4" i="17"/>
  <c r="G4" i="17"/>
  <c r="A2" i="17"/>
  <c r="M297" i="16"/>
  <c r="AT293" i="16"/>
  <c r="AH293" i="16"/>
  <c r="AV292" i="16"/>
  <c r="AI292" i="16"/>
  <c r="AH292" i="16"/>
  <c r="Z291" i="16"/>
  <c r="AR290" i="16"/>
  <c r="AQ290" i="16"/>
  <c r="X290" i="16"/>
  <c r="AF289" i="16"/>
  <c r="AC289" i="16"/>
  <c r="H289" i="16"/>
  <c r="AA288" i="16"/>
  <c r="Z288" i="16"/>
  <c r="P288" i="16"/>
  <c r="P285" i="16"/>
  <c r="AQ283" i="16"/>
  <c r="AI283" i="16"/>
  <c r="H283" i="16"/>
  <c r="AR281" i="16"/>
  <c r="AQ281" i="16"/>
  <c r="L281" i="16"/>
  <c r="AR280" i="16"/>
  <c r="O279" i="16"/>
  <c r="AE278" i="16"/>
  <c r="AX277" i="16"/>
  <c r="F276" i="16"/>
  <c r="Y275" i="16"/>
  <c r="H275" i="16"/>
  <c r="G275" i="16"/>
  <c r="F275" i="16"/>
  <c r="AQ274" i="16"/>
  <c r="O272" i="16"/>
  <c r="AX270" i="16"/>
  <c r="Y270" i="16"/>
  <c r="AQ269" i="16"/>
  <c r="E268" i="16"/>
  <c r="D268" i="16" s="1"/>
  <c r="J267" i="16"/>
  <c r="AA266" i="16"/>
  <c r="Y266" i="16"/>
  <c r="AF264" i="16"/>
  <c r="M264" i="16"/>
  <c r="AF263" i="16"/>
  <c r="T263" i="16"/>
  <c r="AA261" i="16"/>
  <c r="AS260" i="16"/>
  <c r="M260" i="16"/>
  <c r="AV259" i="16"/>
  <c r="AL259" i="16"/>
  <c r="AK259" i="16"/>
  <c r="AH259" i="16"/>
  <c r="O257" i="16"/>
  <c r="AX256" i="16"/>
  <c r="X256" i="16"/>
  <c r="M256" i="16"/>
  <c r="J256" i="16"/>
  <c r="H256" i="16"/>
  <c r="AH255" i="16"/>
  <c r="AF255" i="16"/>
  <c r="AE255" i="16"/>
  <c r="Z254" i="16"/>
  <c r="M253" i="16"/>
  <c r="H252" i="16"/>
  <c r="AI251" i="16"/>
  <c r="AX250" i="16"/>
  <c r="P250" i="16"/>
  <c r="M249" i="16"/>
  <c r="F249" i="16"/>
  <c r="AG248" i="16"/>
  <c r="AA248" i="16"/>
  <c r="L248" i="16"/>
  <c r="AG247" i="16"/>
  <c r="AS245" i="16"/>
  <c r="AR245" i="16"/>
  <c r="AI245" i="16"/>
  <c r="G245" i="16"/>
  <c r="AH244" i="16"/>
  <c r="G244" i="16"/>
  <c r="AI242" i="16"/>
  <c r="AF241" i="16"/>
  <c r="Z241" i="16"/>
  <c r="AQ238" i="16"/>
  <c r="AI238" i="16"/>
  <c r="R236" i="16"/>
  <c r="P235" i="16"/>
  <c r="G235" i="16"/>
  <c r="AE234" i="16"/>
  <c r="AE233" i="16"/>
  <c r="AE297" i="16" s="1"/>
  <c r="AC233" i="16"/>
  <c r="AC297" i="16" s="1"/>
  <c r="Q233" i="16"/>
  <c r="Q297" i="16" s="1"/>
  <c r="AJ232" i="16"/>
  <c r="AJ296" i="16" s="1"/>
  <c r="G231" i="16"/>
  <c r="G295" i="16" s="1"/>
  <c r="E231" i="16"/>
  <c r="AG230" i="16"/>
  <c r="AG294" i="16" s="1"/>
  <c r="Z230" i="16"/>
  <c r="Z294" i="16" s="1"/>
  <c r="G230" i="16"/>
  <c r="G294" i="16" s="1"/>
  <c r="F230" i="16"/>
  <c r="F294" i="16" s="1"/>
  <c r="E230" i="16"/>
  <c r="AT229" i="16"/>
  <c r="AR229" i="16"/>
  <c r="AR293" i="16" s="1"/>
  <c r="P228" i="16"/>
  <c r="P292" i="16" s="1"/>
  <c r="G228" i="16"/>
  <c r="G292" i="16" s="1"/>
  <c r="AX227" i="16"/>
  <c r="AX291" i="16" s="1"/>
  <c r="AS227" i="16"/>
  <c r="AS291" i="16" s="1"/>
  <c r="AQ227" i="16"/>
  <c r="AQ291" i="16" s="1"/>
  <c r="Z227" i="16"/>
  <c r="X227" i="16"/>
  <c r="X291" i="16" s="1"/>
  <c r="AV226" i="16"/>
  <c r="AV290" i="16" s="1"/>
  <c r="AT226" i="16"/>
  <c r="AT290" i="16" s="1"/>
  <c r="AQ226" i="16"/>
  <c r="P226" i="16"/>
  <c r="P290" i="16" s="1"/>
  <c r="AV225" i="16"/>
  <c r="AV289" i="16" s="1"/>
  <c r="AK225" i="16"/>
  <c r="AK289" i="16" s="1"/>
  <c r="AJ225" i="16"/>
  <c r="AJ289" i="16" s="1"/>
  <c r="Y225" i="16"/>
  <c r="Y289" i="16" s="1"/>
  <c r="X225" i="16"/>
  <c r="X289" i="16" s="1"/>
  <c r="AR224" i="16"/>
  <c r="AR288" i="16" s="1"/>
  <c r="AK224" i="16"/>
  <c r="AK288" i="16" s="1"/>
  <c r="AG224" i="16"/>
  <c r="AG288" i="16" s="1"/>
  <c r="P224" i="16"/>
  <c r="AT223" i="16"/>
  <c r="AT287" i="16" s="1"/>
  <c r="J223" i="16"/>
  <c r="J287" i="16" s="1"/>
  <c r="H223" i="16"/>
  <c r="H287" i="16" s="1"/>
  <c r="N222" i="16"/>
  <c r="N286" i="16" s="1"/>
  <c r="N221" i="16"/>
  <c r="N285" i="16" s="1"/>
  <c r="E221" i="16"/>
  <c r="D221" i="16" s="1"/>
  <c r="G220" i="16"/>
  <c r="G284" i="16" s="1"/>
  <c r="AV219" i="16"/>
  <c r="AV283" i="16" s="1"/>
  <c r="F219" i="16"/>
  <c r="F283" i="16" s="1"/>
  <c r="AV218" i="16"/>
  <c r="AV282" i="16" s="1"/>
  <c r="AF218" i="16"/>
  <c r="AF282" i="16" s="1"/>
  <c r="Z218" i="16"/>
  <c r="Z282" i="16" s="1"/>
  <c r="T218" i="16"/>
  <c r="T282" i="16" s="1"/>
  <c r="AT217" i="16"/>
  <c r="AT281" i="16" s="1"/>
  <c r="AF217" i="16"/>
  <c r="AF281" i="16" s="1"/>
  <c r="AV216" i="16"/>
  <c r="AV280" i="16" s="1"/>
  <c r="AS216" i="16"/>
  <c r="AS280" i="16" s="1"/>
  <c r="G216" i="16"/>
  <c r="G280" i="16" s="1"/>
  <c r="F216" i="16"/>
  <c r="F280" i="16" s="1"/>
  <c r="Z215" i="16"/>
  <c r="Z279" i="16" s="1"/>
  <c r="Y215" i="16"/>
  <c r="Y279" i="16" s="1"/>
  <c r="AI214" i="16"/>
  <c r="AI278" i="16" s="1"/>
  <c r="AH214" i="16"/>
  <c r="AH278" i="16" s="1"/>
  <c r="AA214" i="16"/>
  <c r="AA278" i="16" s="1"/>
  <c r="M214" i="16"/>
  <c r="M278" i="16" s="1"/>
  <c r="H214" i="16"/>
  <c r="H278" i="16" s="1"/>
  <c r="F214" i="16"/>
  <c r="F278" i="16" s="1"/>
  <c r="AG213" i="16"/>
  <c r="AG277" i="16" s="1"/>
  <c r="N213" i="16"/>
  <c r="N277" i="16" s="1"/>
  <c r="G213" i="16"/>
  <c r="G277" i="16" s="1"/>
  <c r="AS211" i="16"/>
  <c r="AS275" i="16" s="1"/>
  <c r="P211" i="16"/>
  <c r="P275" i="16" s="1"/>
  <c r="O211" i="16"/>
  <c r="O275" i="16" s="1"/>
  <c r="L211" i="16"/>
  <c r="L275" i="16" s="1"/>
  <c r="D211" i="16"/>
  <c r="AS210" i="16"/>
  <c r="AS274" i="16" s="1"/>
  <c r="AQ210" i="16"/>
  <c r="Y210" i="16"/>
  <c r="Y274" i="16" s="1"/>
  <c r="AX209" i="16"/>
  <c r="AX273" i="16" s="1"/>
  <c r="AT209" i="16"/>
  <c r="AT273" i="16" s="1"/>
  <c r="AD209" i="16"/>
  <c r="AD273" i="16" s="1"/>
  <c r="X209" i="16"/>
  <c r="X273" i="16" s="1"/>
  <c r="H209" i="16"/>
  <c r="H273" i="16" s="1"/>
  <c r="G209" i="16"/>
  <c r="G273" i="16" s="1"/>
  <c r="AS208" i="16"/>
  <c r="AS272" i="16" s="1"/>
  <c r="AI207" i="16"/>
  <c r="AI271" i="16" s="1"/>
  <c r="AH207" i="16"/>
  <c r="AH271" i="16" s="1"/>
  <c r="AG207" i="16"/>
  <c r="AG271" i="16" s="1"/>
  <c r="H207" i="16"/>
  <c r="H271" i="16" s="1"/>
  <c r="AH206" i="16"/>
  <c r="AH270" i="16" s="1"/>
  <c r="AF206" i="16"/>
  <c r="AF270" i="16" s="1"/>
  <c r="P206" i="16"/>
  <c r="P270" i="16" s="1"/>
  <c r="M206" i="16"/>
  <c r="M270" i="16" s="1"/>
  <c r="AG205" i="16"/>
  <c r="AG269" i="16" s="1"/>
  <c r="R205" i="16"/>
  <c r="R269" i="16" s="1"/>
  <c r="L205" i="16"/>
  <c r="L269" i="16" s="1"/>
  <c r="AT204" i="16"/>
  <c r="AT268" i="16" s="1"/>
  <c r="AR204" i="16"/>
  <c r="AR268" i="16" s="1"/>
  <c r="P204" i="16"/>
  <c r="P268" i="16" s="1"/>
  <c r="AA203" i="16"/>
  <c r="AA267" i="16" s="1"/>
  <c r="P203" i="16"/>
  <c r="P267" i="16" s="1"/>
  <c r="AT202" i="16"/>
  <c r="AT266" i="16" s="1"/>
  <c r="AC202" i="16"/>
  <c r="AC266" i="16" s="1"/>
  <c r="S202" i="16"/>
  <c r="S266" i="16" s="1"/>
  <c r="H202" i="16"/>
  <c r="H266" i="16" s="1"/>
  <c r="G202" i="16"/>
  <c r="G266" i="16" s="1"/>
  <c r="F202" i="16"/>
  <c r="F266" i="16" s="1"/>
  <c r="P201" i="16"/>
  <c r="P265" i="16" s="1"/>
  <c r="O201" i="16"/>
  <c r="O265" i="16" s="1"/>
  <c r="Z200" i="16"/>
  <c r="Z264" i="16" s="1"/>
  <c r="X200" i="16"/>
  <c r="X264" i="16" s="1"/>
  <c r="T199" i="16"/>
  <c r="P199" i="16"/>
  <c r="P263" i="16" s="1"/>
  <c r="AA198" i="16"/>
  <c r="AA262" i="16" s="1"/>
  <c r="AG197" i="16"/>
  <c r="AG261" i="16" s="1"/>
  <c r="N197" i="16"/>
  <c r="N261" i="16" s="1"/>
  <c r="F197" i="16"/>
  <c r="F261" i="16" s="1"/>
  <c r="AT196" i="16"/>
  <c r="AT260" i="16" s="1"/>
  <c r="AS196" i="16"/>
  <c r="Z196" i="16"/>
  <c r="Z260" i="16" s="1"/>
  <c r="M196" i="16"/>
  <c r="G196" i="16"/>
  <c r="G260" i="16" s="1"/>
  <c r="AI195" i="16"/>
  <c r="AI259" i="16" s="1"/>
  <c r="AH195" i="16"/>
  <c r="AG195" i="16"/>
  <c r="AG259" i="16" s="1"/>
  <c r="Y195" i="16"/>
  <c r="Y259" i="16" s="1"/>
  <c r="AF194" i="16"/>
  <c r="AF258" i="16" s="1"/>
  <c r="Z194" i="16"/>
  <c r="Z258" i="16" s="1"/>
  <c r="N194" i="16"/>
  <c r="N258" i="16" s="1"/>
  <c r="H194" i="16"/>
  <c r="H258" i="16" s="1"/>
  <c r="AR193" i="16"/>
  <c r="AR257" i="16" s="1"/>
  <c r="AQ193" i="16"/>
  <c r="AQ257" i="16" s="1"/>
  <c r="AH192" i="16"/>
  <c r="AH256" i="16" s="1"/>
  <c r="AD192" i="16"/>
  <c r="AD256" i="16" s="1"/>
  <c r="O192" i="16"/>
  <c r="O256" i="16" s="1"/>
  <c r="M192" i="16"/>
  <c r="AD191" i="16"/>
  <c r="AD255" i="16" s="1"/>
  <c r="Z191" i="16"/>
  <c r="Z255" i="16" s="1"/>
  <c r="E191" i="16"/>
  <c r="AX190" i="16"/>
  <c r="AX254" i="16" s="1"/>
  <c r="P190" i="16"/>
  <c r="P254" i="16" s="1"/>
  <c r="M190" i="16"/>
  <c r="M254" i="16" s="1"/>
  <c r="AS189" i="16"/>
  <c r="AS253" i="16" s="1"/>
  <c r="AR189" i="16"/>
  <c r="AR253" i="16" s="1"/>
  <c r="AA189" i="16"/>
  <c r="AA253" i="16" s="1"/>
  <c r="Y189" i="16"/>
  <c r="Y253" i="16" s="1"/>
  <c r="M189" i="16"/>
  <c r="AH188" i="16"/>
  <c r="AH252" i="16" s="1"/>
  <c r="AG188" i="16"/>
  <c r="AG252" i="16" s="1"/>
  <c r="AF188" i="16"/>
  <c r="AF252" i="16" s="1"/>
  <c r="T188" i="16"/>
  <c r="T252" i="16" s="1"/>
  <c r="H188" i="16"/>
  <c r="Z187" i="16"/>
  <c r="Z251" i="16" s="1"/>
  <c r="Y187" i="16"/>
  <c r="Y251" i="16" s="1"/>
  <c r="AS186" i="16"/>
  <c r="AS250" i="16" s="1"/>
  <c r="AR186" i="16"/>
  <c r="AR250" i="16" s="1"/>
  <c r="AQ186" i="16"/>
  <c r="AQ250" i="16" s="1"/>
  <c r="AA186" i="16"/>
  <c r="AA250" i="16" s="1"/>
  <c r="P186" i="16"/>
  <c r="G186" i="16"/>
  <c r="G250" i="16" s="1"/>
  <c r="AI185" i="16"/>
  <c r="AI249" i="16" s="1"/>
  <c r="AH185" i="16"/>
  <c r="AH249" i="16" s="1"/>
  <c r="AG185" i="16"/>
  <c r="AG249" i="16" s="1"/>
  <c r="AF185" i="16"/>
  <c r="AF249" i="16" s="1"/>
  <c r="J185" i="16"/>
  <c r="J249" i="16" s="1"/>
  <c r="AK184" i="16"/>
  <c r="AK248" i="16" s="1"/>
  <c r="AA184" i="16"/>
  <c r="G184" i="16"/>
  <c r="G248" i="16" s="1"/>
  <c r="Y182" i="16"/>
  <c r="Y246" i="16" s="1"/>
  <c r="K182" i="16"/>
  <c r="K246" i="16" s="1"/>
  <c r="AI181" i="16"/>
  <c r="AH181" i="16"/>
  <c r="AH245" i="16" s="1"/>
  <c r="AG181" i="16"/>
  <c r="AG245" i="16" s="1"/>
  <c r="AF181" i="16"/>
  <c r="AF245" i="16" s="1"/>
  <c r="O181" i="16"/>
  <c r="O245" i="16" s="1"/>
  <c r="AH180" i="16"/>
  <c r="AG180" i="16"/>
  <c r="AG244" i="16" s="1"/>
  <c r="AR179" i="16"/>
  <c r="AR243" i="16" s="1"/>
  <c r="AM179" i="16"/>
  <c r="AM243" i="16" s="1"/>
  <c r="AG179" i="16"/>
  <c r="AG243" i="16" s="1"/>
  <c r="Z179" i="16"/>
  <c r="Z243" i="16" s="1"/>
  <c r="N179" i="16"/>
  <c r="N243" i="16" s="1"/>
  <c r="F179" i="16"/>
  <c r="F243" i="16" s="1"/>
  <c r="AI178" i="16"/>
  <c r="AG178" i="16"/>
  <c r="AG242" i="16" s="1"/>
  <c r="AT177" i="16"/>
  <c r="AT241" i="16" s="1"/>
  <c r="AS177" i="16"/>
  <c r="AS241" i="16" s="1"/>
  <c r="Y177" i="16"/>
  <c r="Y241" i="16" s="1"/>
  <c r="AI176" i="16"/>
  <c r="AI240" i="16" s="1"/>
  <c r="AG176" i="16"/>
  <c r="AG240" i="16" s="1"/>
  <c r="P176" i="16"/>
  <c r="P240" i="16" s="1"/>
  <c r="N176" i="16"/>
  <c r="N240" i="16" s="1"/>
  <c r="AR175" i="16"/>
  <c r="AR239" i="16" s="1"/>
  <c r="AC175" i="16"/>
  <c r="AC239" i="16" s="1"/>
  <c r="G175" i="16"/>
  <c r="G239" i="16" s="1"/>
  <c r="AH174" i="16"/>
  <c r="AH238" i="16" s="1"/>
  <c r="AG174" i="16"/>
  <c r="AG238" i="16" s="1"/>
  <c r="AF173" i="16"/>
  <c r="AF237" i="16" s="1"/>
  <c r="L173" i="16"/>
  <c r="L237" i="16" s="1"/>
  <c r="K173" i="16"/>
  <c r="K237" i="16" s="1"/>
  <c r="E173" i="16"/>
  <c r="AR172" i="16"/>
  <c r="AR236" i="16" s="1"/>
  <c r="P172" i="16"/>
  <c r="P236" i="16" s="1"/>
  <c r="N172" i="16"/>
  <c r="N236" i="16" s="1"/>
  <c r="AD171" i="16"/>
  <c r="AD235" i="16" s="1"/>
  <c r="H171" i="16"/>
  <c r="H235" i="16" s="1"/>
  <c r="AR170" i="16"/>
  <c r="AR234" i="16" s="1"/>
  <c r="AI170" i="16"/>
  <c r="AI234" i="16" s="1"/>
  <c r="Z170" i="16"/>
  <c r="Z234" i="16" s="1"/>
  <c r="T170" i="16"/>
  <c r="T234" i="16" s="1"/>
  <c r="H170" i="16"/>
  <c r="H234" i="16" s="1"/>
  <c r="AT155" i="16"/>
  <c r="AT233" i="16" s="1"/>
  <c r="AT297" i="16" s="1"/>
  <c r="AI155" i="16"/>
  <c r="AI233" i="16" s="1"/>
  <c r="AI297" i="16" s="1"/>
  <c r="AH155" i="16"/>
  <c r="AH233" i="16" s="1"/>
  <c r="AH297" i="16" s="1"/>
  <c r="AG155" i="16"/>
  <c r="AG233" i="16" s="1"/>
  <c r="AG297" i="16" s="1"/>
  <c r="AF155" i="16"/>
  <c r="AF233" i="16" s="1"/>
  <c r="AF297" i="16" s="1"/>
  <c r="AE155" i="16"/>
  <c r="AC155" i="16"/>
  <c r="Q155" i="16"/>
  <c r="O155" i="16"/>
  <c r="O233" i="16" s="1"/>
  <c r="O297" i="16" s="1"/>
  <c r="M155" i="16"/>
  <c r="M233" i="16" s="1"/>
  <c r="F155" i="16"/>
  <c r="F233" i="16" s="1"/>
  <c r="F297" i="16" s="1"/>
  <c r="AV154" i="16"/>
  <c r="AV232" i="16" s="1"/>
  <c r="AV296" i="16" s="1"/>
  <c r="AR154" i="16"/>
  <c r="AR232" i="16" s="1"/>
  <c r="AR296" i="16" s="1"/>
  <c r="AA154" i="16"/>
  <c r="AA232" i="16" s="1"/>
  <c r="AA296" i="16" s="1"/>
  <c r="Y154" i="16"/>
  <c r="Y232" i="16" s="1"/>
  <c r="Y296" i="16" s="1"/>
  <c r="T154" i="16"/>
  <c r="T232" i="16" s="1"/>
  <c r="T296" i="16" s="1"/>
  <c r="H154" i="16"/>
  <c r="H232" i="16" s="1"/>
  <c r="H296" i="16" s="1"/>
  <c r="G154" i="16"/>
  <c r="G232" i="16" s="1"/>
  <c r="G296" i="16" s="1"/>
  <c r="AG153" i="16"/>
  <c r="AG231" i="16" s="1"/>
  <c r="AG295" i="16" s="1"/>
  <c r="AE153" i="16"/>
  <c r="AE231" i="16" s="1"/>
  <c r="AE295" i="16" s="1"/>
  <c r="AB153" i="16"/>
  <c r="AB231" i="16" s="1"/>
  <c r="AB295" i="16" s="1"/>
  <c r="AA153" i="16"/>
  <c r="AA231" i="16" s="1"/>
  <c r="AA295" i="16" s="1"/>
  <c r="N153" i="16"/>
  <c r="N231" i="16" s="1"/>
  <c r="N295" i="16" s="1"/>
  <c r="AT152" i="16"/>
  <c r="AT230" i="16" s="1"/>
  <c r="AT294" i="16" s="1"/>
  <c r="AS152" i="16"/>
  <c r="AS230" i="16" s="1"/>
  <c r="AS294" i="16" s="1"/>
  <c r="AR152" i="16"/>
  <c r="AR230" i="16" s="1"/>
  <c r="AR294" i="16" s="1"/>
  <c r="AC152" i="16"/>
  <c r="AC230" i="16" s="1"/>
  <c r="AC294" i="16" s="1"/>
  <c r="Y152" i="16"/>
  <c r="Y230" i="16" s="1"/>
  <c r="Y294" i="16" s="1"/>
  <c r="T152" i="16"/>
  <c r="T230" i="16" s="1"/>
  <c r="T294" i="16" s="1"/>
  <c r="P152" i="16"/>
  <c r="P230" i="16" s="1"/>
  <c r="P294" i="16" s="1"/>
  <c r="G152" i="16"/>
  <c r="F152" i="16"/>
  <c r="AX151" i="16"/>
  <c r="AX229" i="16" s="1"/>
  <c r="AX293" i="16" s="1"/>
  <c r="AV151" i="16"/>
  <c r="AV229" i="16" s="1"/>
  <c r="AV293" i="16" s="1"/>
  <c r="AJ151" i="16"/>
  <c r="AJ229" i="16" s="1"/>
  <c r="AJ293" i="16" s="1"/>
  <c r="AI151" i="16"/>
  <c r="AI229" i="16" s="1"/>
  <c r="AI293" i="16" s="1"/>
  <c r="AH151" i="16"/>
  <c r="AH229" i="16" s="1"/>
  <c r="AG151" i="16"/>
  <c r="AG229" i="16" s="1"/>
  <c r="AG293" i="16" s="1"/>
  <c r="AF151" i="16"/>
  <c r="AF229" i="16" s="1"/>
  <c r="AF293" i="16" s="1"/>
  <c r="AC151" i="16"/>
  <c r="AC229" i="16" s="1"/>
  <c r="AC293" i="16" s="1"/>
  <c r="H151" i="16"/>
  <c r="H229" i="16" s="1"/>
  <c r="H293" i="16" s="1"/>
  <c r="AR150" i="16"/>
  <c r="AR228" i="16" s="1"/>
  <c r="AR292" i="16" s="1"/>
  <c r="AL150" i="16"/>
  <c r="AL228" i="16" s="1"/>
  <c r="AL292" i="16" s="1"/>
  <c r="AA150" i="16"/>
  <c r="AA228" i="16" s="1"/>
  <c r="AA292" i="16" s="1"/>
  <c r="Y150" i="16"/>
  <c r="Y228" i="16" s="1"/>
  <c r="Y292" i="16" s="1"/>
  <c r="P150" i="16"/>
  <c r="AX149" i="16"/>
  <c r="AT149" i="16"/>
  <c r="AT227" i="16" s="1"/>
  <c r="AT291" i="16" s="1"/>
  <c r="AI149" i="16"/>
  <c r="AI227" i="16" s="1"/>
  <c r="AI291" i="16" s="1"/>
  <c r="AG149" i="16"/>
  <c r="AG227" i="16" s="1"/>
  <c r="AG291" i="16" s="1"/>
  <c r="AB149" i="16"/>
  <c r="AB227" i="16" s="1"/>
  <c r="AB291" i="16" s="1"/>
  <c r="N149" i="16"/>
  <c r="N227" i="16" s="1"/>
  <c r="N291" i="16" s="1"/>
  <c r="G149" i="16"/>
  <c r="G227" i="16" s="1"/>
  <c r="G291" i="16" s="1"/>
  <c r="AV148" i="16"/>
  <c r="AR148" i="16"/>
  <c r="AR226" i="16" s="1"/>
  <c r="AK148" i="16"/>
  <c r="AK226" i="16" s="1"/>
  <c r="AK290" i="16" s="1"/>
  <c r="AA148" i="16"/>
  <c r="AA226" i="16" s="1"/>
  <c r="AA290" i="16" s="1"/>
  <c r="Z148" i="16"/>
  <c r="Z226" i="16" s="1"/>
  <c r="Z290" i="16" s="1"/>
  <c r="X148" i="16"/>
  <c r="X226" i="16" s="1"/>
  <c r="T148" i="16"/>
  <c r="T226" i="16" s="1"/>
  <c r="T290" i="16" s="1"/>
  <c r="G148" i="16"/>
  <c r="G226" i="16" s="1"/>
  <c r="G290" i="16" s="1"/>
  <c r="AV147" i="16"/>
  <c r="AT147" i="16"/>
  <c r="AT225" i="16" s="1"/>
  <c r="AT289" i="16" s="1"/>
  <c r="AK147" i="16"/>
  <c r="AJ147" i="16"/>
  <c r="AG147" i="16"/>
  <c r="AG225" i="16" s="1"/>
  <c r="AG289" i="16" s="1"/>
  <c r="AE147" i="16"/>
  <c r="AE225" i="16" s="1"/>
  <c r="AE289" i="16" s="1"/>
  <c r="AC147" i="16"/>
  <c r="AC225" i="16" s="1"/>
  <c r="AA147" i="16"/>
  <c r="AA225" i="16" s="1"/>
  <c r="AA289" i="16" s="1"/>
  <c r="Y147" i="16"/>
  <c r="L147" i="16"/>
  <c r="L225" i="16" s="1"/>
  <c r="L289" i="16" s="1"/>
  <c r="AT146" i="16"/>
  <c r="AT224" i="16" s="1"/>
  <c r="AT288" i="16" s="1"/>
  <c r="AR146" i="16"/>
  <c r="AK146" i="16"/>
  <c r="AH146" i="16"/>
  <c r="AH224" i="16" s="1"/>
  <c r="AH288" i="16" s="1"/>
  <c r="AG146" i="16"/>
  <c r="T146" i="16"/>
  <c r="T224" i="16" s="1"/>
  <c r="T288" i="16" s="1"/>
  <c r="P146" i="16"/>
  <c r="G146" i="16"/>
  <c r="G224" i="16" s="1"/>
  <c r="G288" i="16" s="1"/>
  <c r="E146" i="16"/>
  <c r="E224" i="16" s="1"/>
  <c r="AX145" i="16"/>
  <c r="AX223" i="16" s="1"/>
  <c r="AX287" i="16" s="1"/>
  <c r="AJ145" i="16"/>
  <c r="AJ223" i="16" s="1"/>
  <c r="AJ287" i="16" s="1"/>
  <c r="Z145" i="16"/>
  <c r="Z223" i="16" s="1"/>
  <c r="Z287" i="16" s="1"/>
  <c r="R145" i="16"/>
  <c r="R223" i="16" s="1"/>
  <c r="R287" i="16" s="1"/>
  <c r="N145" i="16"/>
  <c r="N223" i="16" s="1"/>
  <c r="N287" i="16" s="1"/>
  <c r="J145" i="16"/>
  <c r="H145" i="16"/>
  <c r="AS144" i="16"/>
  <c r="AS222" i="16" s="1"/>
  <c r="AS286" i="16" s="1"/>
  <c r="AR144" i="16"/>
  <c r="AR222" i="16" s="1"/>
  <c r="AR286" i="16" s="1"/>
  <c r="AQ144" i="16"/>
  <c r="AQ222" i="16" s="1"/>
  <c r="AQ286" i="16" s="1"/>
  <c r="AK144" i="16"/>
  <c r="AK222" i="16" s="1"/>
  <c r="AK286" i="16" s="1"/>
  <c r="AG144" i="16"/>
  <c r="AG222" i="16" s="1"/>
  <c r="AG286" i="16" s="1"/>
  <c r="AA144" i="16"/>
  <c r="AA222" i="16" s="1"/>
  <c r="AA286" i="16" s="1"/>
  <c r="Z144" i="16"/>
  <c r="Z222" i="16" s="1"/>
  <c r="Z286" i="16" s="1"/>
  <c r="N144" i="16"/>
  <c r="AX143" i="16"/>
  <c r="AX221" i="16" s="1"/>
  <c r="AX285" i="16" s="1"/>
  <c r="AV143" i="16"/>
  <c r="AV221" i="16" s="1"/>
  <c r="AV285" i="16" s="1"/>
  <c r="AT143" i="16"/>
  <c r="AT221" i="16" s="1"/>
  <c r="AT285" i="16" s="1"/>
  <c r="AH143" i="16"/>
  <c r="AH221" i="16" s="1"/>
  <c r="AH285" i="16" s="1"/>
  <c r="AG143" i="16"/>
  <c r="AG221" i="16" s="1"/>
  <c r="AG285" i="16" s="1"/>
  <c r="AF143" i="16"/>
  <c r="AF221" i="16" s="1"/>
  <c r="AF285" i="16" s="1"/>
  <c r="P143" i="16"/>
  <c r="P221" i="16" s="1"/>
  <c r="M143" i="16"/>
  <c r="M221" i="16" s="1"/>
  <c r="M285" i="16" s="1"/>
  <c r="H143" i="16"/>
  <c r="H221" i="16" s="1"/>
  <c r="H285" i="16" s="1"/>
  <c r="G143" i="16"/>
  <c r="G221" i="16" s="1"/>
  <c r="G285" i="16" s="1"/>
  <c r="AR142" i="16"/>
  <c r="AR220" i="16" s="1"/>
  <c r="AR284" i="16" s="1"/>
  <c r="AM142" i="16"/>
  <c r="AM220" i="16" s="1"/>
  <c r="AM284" i="16" s="1"/>
  <c r="AA142" i="16"/>
  <c r="AA220" i="16" s="1"/>
  <c r="AA284" i="16" s="1"/>
  <c r="Z142" i="16"/>
  <c r="Z220" i="16" s="1"/>
  <c r="Z284" i="16" s="1"/>
  <c r="X142" i="16"/>
  <c r="X220" i="16" s="1"/>
  <c r="X284" i="16" s="1"/>
  <c r="R142" i="16"/>
  <c r="R220" i="16" s="1"/>
  <c r="R284" i="16" s="1"/>
  <c r="G142" i="16"/>
  <c r="AV141" i="16"/>
  <c r="AT141" i="16"/>
  <c r="AT219" i="16" s="1"/>
  <c r="AT283" i="16" s="1"/>
  <c r="AR141" i="16"/>
  <c r="AR219" i="16" s="1"/>
  <c r="AR283" i="16" s="1"/>
  <c r="AI141" i="16"/>
  <c r="AI219" i="16" s="1"/>
  <c r="R141" i="16"/>
  <c r="R219" i="16" s="1"/>
  <c r="R283" i="16" s="1"/>
  <c r="P141" i="16"/>
  <c r="P219" i="16" s="1"/>
  <c r="P283" i="16" s="1"/>
  <c r="O141" i="16"/>
  <c r="O219" i="16" s="1"/>
  <c r="O283" i="16" s="1"/>
  <c r="N141" i="16"/>
  <c r="N219" i="16" s="1"/>
  <c r="N283" i="16" s="1"/>
  <c r="H141" i="16"/>
  <c r="H219" i="16" s="1"/>
  <c r="AV140" i="16"/>
  <c r="AT140" i="16"/>
  <c r="AT218" i="16" s="1"/>
  <c r="AT282" i="16" s="1"/>
  <c r="AS140" i="16"/>
  <c r="AS218" i="16" s="1"/>
  <c r="AS282" i="16" s="1"/>
  <c r="AR140" i="16"/>
  <c r="AR218" i="16" s="1"/>
  <c r="AR282" i="16" s="1"/>
  <c r="AQ140" i="16"/>
  <c r="AQ218" i="16" s="1"/>
  <c r="AQ282" i="16" s="1"/>
  <c r="AD140" i="16"/>
  <c r="AD218" i="16" s="1"/>
  <c r="AD282" i="16" s="1"/>
  <c r="T140" i="16"/>
  <c r="P140" i="16"/>
  <c r="P218" i="16" s="1"/>
  <c r="P282" i="16" s="1"/>
  <c r="H140" i="16"/>
  <c r="H218" i="16" s="1"/>
  <c r="H282" i="16" s="1"/>
  <c r="F140" i="16"/>
  <c r="F218" i="16" s="1"/>
  <c r="F282" i="16" s="1"/>
  <c r="AR139" i="16"/>
  <c r="AR217" i="16" s="1"/>
  <c r="AK139" i="16"/>
  <c r="AK217" i="16" s="1"/>
  <c r="AK281" i="16" s="1"/>
  <c r="AJ139" i="16"/>
  <c r="AJ217" i="16" s="1"/>
  <c r="AJ281" i="16" s="1"/>
  <c r="AG139" i="16"/>
  <c r="AG217" i="16" s="1"/>
  <c r="AG281" i="16" s="1"/>
  <c r="AF139" i="16"/>
  <c r="T139" i="16"/>
  <c r="T217" i="16" s="1"/>
  <c r="T281" i="16" s="1"/>
  <c r="N139" i="16"/>
  <c r="N217" i="16" s="1"/>
  <c r="N281" i="16" s="1"/>
  <c r="AV138" i="16"/>
  <c r="AT138" i="16"/>
  <c r="AT216" i="16" s="1"/>
  <c r="AT280" i="16" s="1"/>
  <c r="AS138" i="16"/>
  <c r="AR138" i="16"/>
  <c r="AR216" i="16" s="1"/>
  <c r="AD138" i="16"/>
  <c r="AD216" i="16" s="1"/>
  <c r="AD280" i="16" s="1"/>
  <c r="AC138" i="16"/>
  <c r="AC216" i="16" s="1"/>
  <c r="AC280" i="16" s="1"/>
  <c r="AA138" i="16"/>
  <c r="AA216" i="16" s="1"/>
  <c r="AA280" i="16" s="1"/>
  <c r="Z138" i="16"/>
  <c r="Z216" i="16" s="1"/>
  <c r="Z280" i="16" s="1"/>
  <c r="Y138" i="16"/>
  <c r="Y216" i="16" s="1"/>
  <c r="Y280" i="16" s="1"/>
  <c r="F138" i="16"/>
  <c r="AX137" i="16"/>
  <c r="AX215" i="16" s="1"/>
  <c r="AX279" i="16" s="1"/>
  <c r="AS137" i="16"/>
  <c r="AS215" i="16" s="1"/>
  <c r="AS279" i="16" s="1"/>
  <c r="AR137" i="16"/>
  <c r="AR215" i="16" s="1"/>
  <c r="AR279" i="16" s="1"/>
  <c r="AQ137" i="16"/>
  <c r="AQ215" i="16" s="1"/>
  <c r="AQ279" i="16" s="1"/>
  <c r="AA137" i="16"/>
  <c r="AA215" i="16" s="1"/>
  <c r="AA279" i="16" s="1"/>
  <c r="Y137" i="16"/>
  <c r="H137" i="16"/>
  <c r="H215" i="16" s="1"/>
  <c r="H279" i="16" s="1"/>
  <c r="E137" i="16"/>
  <c r="E215" i="16" s="1"/>
  <c r="AW136" i="16"/>
  <c r="AW214" i="16" s="1"/>
  <c r="AW278" i="16" s="1"/>
  <c r="AL136" i="16"/>
  <c r="AL214" i="16" s="1"/>
  <c r="AL278" i="16" s="1"/>
  <c r="AI136" i="16"/>
  <c r="AH136" i="16"/>
  <c r="AE136" i="16"/>
  <c r="AE214" i="16" s="1"/>
  <c r="AA136" i="16"/>
  <c r="X136" i="16"/>
  <c r="X214" i="16" s="1"/>
  <c r="X278" i="16" s="1"/>
  <c r="T136" i="16"/>
  <c r="T214" i="16" s="1"/>
  <c r="T278" i="16" s="1"/>
  <c r="Q136" i="16"/>
  <c r="Q214" i="16" s="1"/>
  <c r="Q278" i="16" s="1"/>
  <c r="P136" i="16"/>
  <c r="P214" i="16" s="1"/>
  <c r="P278" i="16" s="1"/>
  <c r="F136" i="16"/>
  <c r="AX135" i="16"/>
  <c r="AX213" i="16" s="1"/>
  <c r="AT135" i="16"/>
  <c r="AT213" i="16" s="1"/>
  <c r="AT277" i="16" s="1"/>
  <c r="AR135" i="16"/>
  <c r="AR213" i="16" s="1"/>
  <c r="AR277" i="16" s="1"/>
  <c r="AI135" i="16"/>
  <c r="AI213" i="16" s="1"/>
  <c r="AI277" i="16" s="1"/>
  <c r="AG135" i="16"/>
  <c r="AE135" i="16"/>
  <c r="AE213" i="16" s="1"/>
  <c r="AE277" i="16" s="1"/>
  <c r="AA135" i="16"/>
  <c r="AA213" i="16" s="1"/>
  <c r="AA277" i="16" s="1"/>
  <c r="P135" i="16"/>
  <c r="P213" i="16" s="1"/>
  <c r="P277" i="16" s="1"/>
  <c r="O135" i="16"/>
  <c r="O213" i="16" s="1"/>
  <c r="O277" i="16" s="1"/>
  <c r="N135" i="16"/>
  <c r="K135" i="16"/>
  <c r="K213" i="16" s="1"/>
  <c r="K277" i="16" s="1"/>
  <c r="AT134" i="16"/>
  <c r="AT212" i="16" s="1"/>
  <c r="AT276" i="16" s="1"/>
  <c r="AS134" i="16"/>
  <c r="AS212" i="16" s="1"/>
  <c r="AS276" i="16" s="1"/>
  <c r="AR134" i="16"/>
  <c r="AR212" i="16" s="1"/>
  <c r="AR276" i="16" s="1"/>
  <c r="AQ134" i="16"/>
  <c r="AQ212" i="16" s="1"/>
  <c r="AQ276" i="16" s="1"/>
  <c r="AM134" i="16"/>
  <c r="AM212" i="16" s="1"/>
  <c r="AM276" i="16" s="1"/>
  <c r="AF134" i="16"/>
  <c r="AF212" i="16" s="1"/>
  <c r="AF276" i="16" s="1"/>
  <c r="AE134" i="16"/>
  <c r="AE212" i="16" s="1"/>
  <c r="AE276" i="16" s="1"/>
  <c r="AA134" i="16"/>
  <c r="AA212" i="16" s="1"/>
  <c r="AA276" i="16" s="1"/>
  <c r="N134" i="16"/>
  <c r="N212" i="16" s="1"/>
  <c r="N276" i="16" s="1"/>
  <c r="J134" i="16"/>
  <c r="J212" i="16" s="1"/>
  <c r="J276" i="16" s="1"/>
  <c r="G134" i="16"/>
  <c r="G212" i="16" s="1"/>
  <c r="G276" i="16" s="1"/>
  <c r="F134" i="16"/>
  <c r="F212" i="16" s="1"/>
  <c r="AA133" i="16"/>
  <c r="AA211" i="16" s="1"/>
  <c r="AA275" i="16" s="1"/>
  <c r="Z133" i="16"/>
  <c r="Z211" i="16" s="1"/>
  <c r="Z275" i="16" s="1"/>
  <c r="K133" i="16"/>
  <c r="K211" i="16" s="1"/>
  <c r="K275" i="16" s="1"/>
  <c r="J133" i="16"/>
  <c r="J211" i="16" s="1"/>
  <c r="J275" i="16" s="1"/>
  <c r="I133" i="16"/>
  <c r="I211" i="16" s="1"/>
  <c r="I275" i="16" s="1"/>
  <c r="H133" i="16"/>
  <c r="H211" i="16" s="1"/>
  <c r="G133" i="16"/>
  <c r="G211" i="16" s="1"/>
  <c r="F133" i="16"/>
  <c r="F211" i="16" s="1"/>
  <c r="E133" i="16"/>
  <c r="E211" i="16" s="1"/>
  <c r="E275" i="16" s="1"/>
  <c r="D275" i="16" s="1"/>
  <c r="AS132" i="16"/>
  <c r="AQ132" i="16"/>
  <c r="AI132" i="16"/>
  <c r="AI210" i="16" s="1"/>
  <c r="AI274" i="16" s="1"/>
  <c r="AG132" i="16"/>
  <c r="AG210" i="16" s="1"/>
  <c r="AG274" i="16" s="1"/>
  <c r="Y132" i="16"/>
  <c r="O132" i="16"/>
  <c r="O210" i="16" s="1"/>
  <c r="O274" i="16" s="1"/>
  <c r="N132" i="16"/>
  <c r="N210" i="16" s="1"/>
  <c r="N274" i="16" s="1"/>
  <c r="H132" i="16"/>
  <c r="H210" i="16" s="1"/>
  <c r="H274" i="16" s="1"/>
  <c r="F132" i="16"/>
  <c r="F210" i="16" s="1"/>
  <c r="F274" i="16" s="1"/>
  <c r="AX131" i="16"/>
  <c r="AT131" i="16"/>
  <c r="AH131" i="16"/>
  <c r="AH209" i="16" s="1"/>
  <c r="AH273" i="16" s="1"/>
  <c r="AD131" i="16"/>
  <c r="S131" i="16"/>
  <c r="S209" i="16" s="1"/>
  <c r="S273" i="16" s="1"/>
  <c r="P131" i="16"/>
  <c r="P209" i="16" s="1"/>
  <c r="P273" i="16" s="1"/>
  <c r="N131" i="16"/>
  <c r="N209" i="16" s="1"/>
  <c r="N273" i="16" s="1"/>
  <c r="L131" i="16"/>
  <c r="L209" i="16" s="1"/>
  <c r="L273" i="16" s="1"/>
  <c r="H131" i="16"/>
  <c r="G131" i="16"/>
  <c r="AW130" i="16"/>
  <c r="AW208" i="16" s="1"/>
  <c r="AW272" i="16" s="1"/>
  <c r="AV130" i="16"/>
  <c r="AV208" i="16" s="1"/>
  <c r="AV272" i="16" s="1"/>
  <c r="AH130" i="16"/>
  <c r="AH208" i="16" s="1"/>
  <c r="AH272" i="16" s="1"/>
  <c r="AG130" i="16"/>
  <c r="AG208" i="16" s="1"/>
  <c r="AG272" i="16" s="1"/>
  <c r="AF130" i="16"/>
  <c r="AF208" i="16" s="1"/>
  <c r="AF272" i="16" s="1"/>
  <c r="AA130" i="16"/>
  <c r="AA208" i="16" s="1"/>
  <c r="AA272" i="16" s="1"/>
  <c r="Z130" i="16"/>
  <c r="Z208" i="16" s="1"/>
  <c r="Z272" i="16" s="1"/>
  <c r="AV129" i="16"/>
  <c r="AV207" i="16" s="1"/>
  <c r="AV271" i="16" s="1"/>
  <c r="AT129" i="16"/>
  <c r="AT207" i="16" s="1"/>
  <c r="AT271" i="16" s="1"/>
  <c r="AS129" i="16"/>
  <c r="AS207" i="16" s="1"/>
  <c r="AS271" i="16" s="1"/>
  <c r="AR129" i="16"/>
  <c r="AR207" i="16" s="1"/>
  <c r="AR271" i="16" s="1"/>
  <c r="AQ129" i="16"/>
  <c r="AQ207" i="16" s="1"/>
  <c r="AQ271" i="16" s="1"/>
  <c r="AD129" i="16"/>
  <c r="AD207" i="16" s="1"/>
  <c r="AD271" i="16" s="1"/>
  <c r="T129" i="16"/>
  <c r="T207" i="16" s="1"/>
  <c r="T271" i="16" s="1"/>
  <c r="H129" i="16"/>
  <c r="F129" i="16"/>
  <c r="F207" i="16" s="1"/>
  <c r="F271" i="16" s="1"/>
  <c r="AX128" i="16"/>
  <c r="AX206" i="16" s="1"/>
  <c r="AV128" i="16"/>
  <c r="AV206" i="16" s="1"/>
  <c r="AV270" i="16" s="1"/>
  <c r="AS128" i="16"/>
  <c r="AS206" i="16" s="1"/>
  <c r="AS270" i="16" s="1"/>
  <c r="AR128" i="16"/>
  <c r="AR206" i="16" s="1"/>
  <c r="AR270" i="16" s="1"/>
  <c r="AM128" i="16"/>
  <c r="AM206" i="16" s="1"/>
  <c r="AM270" i="16" s="1"/>
  <c r="AI128" i="16"/>
  <c r="AI206" i="16" s="1"/>
  <c r="AI270" i="16" s="1"/>
  <c r="AH128" i="16"/>
  <c r="AB128" i="16"/>
  <c r="AB206" i="16" s="1"/>
  <c r="AB270" i="16" s="1"/>
  <c r="AA128" i="16"/>
  <c r="AA206" i="16" s="1"/>
  <c r="AA270" i="16" s="1"/>
  <c r="Y128" i="16"/>
  <c r="Y206" i="16" s="1"/>
  <c r="T128" i="16"/>
  <c r="T206" i="16" s="1"/>
  <c r="T270" i="16" s="1"/>
  <c r="S128" i="16"/>
  <c r="S206" i="16" s="1"/>
  <c r="S270" i="16" s="1"/>
  <c r="P128" i="16"/>
  <c r="H128" i="16"/>
  <c r="H206" i="16" s="1"/>
  <c r="H270" i="16" s="1"/>
  <c r="F128" i="16"/>
  <c r="F206" i="16" s="1"/>
  <c r="F270" i="16" s="1"/>
  <c r="E128" i="16"/>
  <c r="E206" i="16" s="1"/>
  <c r="AI127" i="16"/>
  <c r="AI205" i="16" s="1"/>
  <c r="AI269" i="16" s="1"/>
  <c r="X127" i="16"/>
  <c r="X205" i="16" s="1"/>
  <c r="X269" i="16" s="1"/>
  <c r="T127" i="16"/>
  <c r="T205" i="16" s="1"/>
  <c r="T269" i="16" s="1"/>
  <c r="S127" i="16"/>
  <c r="S205" i="16" s="1"/>
  <c r="S269" i="16" s="1"/>
  <c r="R127" i="16"/>
  <c r="P127" i="16"/>
  <c r="P205" i="16" s="1"/>
  <c r="P269" i="16" s="1"/>
  <c r="N127" i="16"/>
  <c r="N205" i="16" s="1"/>
  <c r="N269" i="16" s="1"/>
  <c r="L127" i="16"/>
  <c r="H127" i="16"/>
  <c r="H205" i="16" s="1"/>
  <c r="H269" i="16" s="1"/>
  <c r="AV126" i="16"/>
  <c r="AV204" i="16" s="1"/>
  <c r="AV268" i="16" s="1"/>
  <c r="AT126" i="16"/>
  <c r="AS126" i="16"/>
  <c r="AS204" i="16" s="1"/>
  <c r="AS268" i="16" s="1"/>
  <c r="AR126" i="16"/>
  <c r="AI126" i="16"/>
  <c r="AI204" i="16" s="1"/>
  <c r="AI268" i="16" s="1"/>
  <c r="P126" i="16"/>
  <c r="AS125" i="16"/>
  <c r="AS203" i="16" s="1"/>
  <c r="AS267" i="16" s="1"/>
  <c r="AR125" i="16"/>
  <c r="AR203" i="16" s="1"/>
  <c r="AR267" i="16" s="1"/>
  <c r="AQ125" i="16"/>
  <c r="AQ203" i="16" s="1"/>
  <c r="AQ267" i="16" s="1"/>
  <c r="AF125" i="16"/>
  <c r="AF203" i="16" s="1"/>
  <c r="AF267" i="16" s="1"/>
  <c r="AE125" i="16"/>
  <c r="AE203" i="16" s="1"/>
  <c r="AE267" i="16" s="1"/>
  <c r="AA125" i="16"/>
  <c r="Y125" i="16"/>
  <c r="Y203" i="16" s="1"/>
  <c r="Y267" i="16" s="1"/>
  <c r="O125" i="16"/>
  <c r="O203" i="16" s="1"/>
  <c r="O267" i="16" s="1"/>
  <c r="L125" i="16"/>
  <c r="L203" i="16" s="1"/>
  <c r="L267" i="16" s="1"/>
  <c r="J125" i="16"/>
  <c r="J203" i="16" s="1"/>
  <c r="H125" i="16"/>
  <c r="H203" i="16" s="1"/>
  <c r="H267" i="16" s="1"/>
  <c r="F125" i="16"/>
  <c r="F203" i="16" s="1"/>
  <c r="F267" i="16" s="1"/>
  <c r="AT124" i="16"/>
  <c r="AR124" i="16"/>
  <c r="AR202" i="16" s="1"/>
  <c r="AR266" i="16" s="1"/>
  <c r="AM124" i="16"/>
  <c r="AM202" i="16" s="1"/>
  <c r="AM266" i="16" s="1"/>
  <c r="AL124" i="16"/>
  <c r="AL202" i="16" s="1"/>
  <c r="AL266" i="16" s="1"/>
  <c r="AI124" i="16"/>
  <c r="AI202" i="16" s="1"/>
  <c r="AI266" i="16" s="1"/>
  <c r="AC124" i="16"/>
  <c r="AA124" i="16"/>
  <c r="AA202" i="16" s="1"/>
  <c r="Y124" i="16"/>
  <c r="Y202" i="16" s="1"/>
  <c r="S124" i="16"/>
  <c r="K124" i="16"/>
  <c r="K202" i="16" s="1"/>
  <c r="K266" i="16" s="1"/>
  <c r="J124" i="16"/>
  <c r="J202" i="16" s="1"/>
  <c r="J266" i="16" s="1"/>
  <c r="H124" i="16"/>
  <c r="F124" i="16"/>
  <c r="AQ123" i="16"/>
  <c r="AQ201" i="16" s="1"/>
  <c r="AQ265" i="16" s="1"/>
  <c r="AI123" i="16"/>
  <c r="AI201" i="16" s="1"/>
  <c r="AI265" i="16" s="1"/>
  <c r="AH123" i="16"/>
  <c r="AH201" i="16" s="1"/>
  <c r="AH265" i="16" s="1"/>
  <c r="AG123" i="16"/>
  <c r="AG201" i="16" s="1"/>
  <c r="AG265" i="16" s="1"/>
  <c r="AA123" i="16"/>
  <c r="AA201" i="16" s="1"/>
  <c r="AA265" i="16" s="1"/>
  <c r="Z123" i="16"/>
  <c r="Z201" i="16" s="1"/>
  <c r="Z265" i="16" s="1"/>
  <c r="P123" i="16"/>
  <c r="K123" i="16"/>
  <c r="K201" i="16" s="1"/>
  <c r="K265" i="16" s="1"/>
  <c r="G123" i="16"/>
  <c r="G201" i="16" s="1"/>
  <c r="G265" i="16" s="1"/>
  <c r="AQ122" i="16"/>
  <c r="AQ200" i="16" s="1"/>
  <c r="AQ264" i="16" s="1"/>
  <c r="AM122" i="16"/>
  <c r="AM200" i="16" s="1"/>
  <c r="AM264" i="16" s="1"/>
  <c r="AI122" i="16"/>
  <c r="AI200" i="16" s="1"/>
  <c r="AI264" i="16" s="1"/>
  <c r="Z122" i="16"/>
  <c r="K122" i="16"/>
  <c r="K200" i="16" s="1"/>
  <c r="K264" i="16" s="1"/>
  <c r="J122" i="16"/>
  <c r="J200" i="16" s="1"/>
  <c r="J264" i="16" s="1"/>
  <c r="H122" i="16"/>
  <c r="H200" i="16" s="1"/>
  <c r="H264" i="16" s="1"/>
  <c r="G122" i="16"/>
  <c r="G200" i="16" s="1"/>
  <c r="G264" i="16" s="1"/>
  <c r="F122" i="16"/>
  <c r="F200" i="16" s="1"/>
  <c r="F264" i="16" s="1"/>
  <c r="E122" i="16"/>
  <c r="E200" i="16" s="1"/>
  <c r="AS121" i="16"/>
  <c r="AS199" i="16" s="1"/>
  <c r="AS263" i="16" s="1"/>
  <c r="AK121" i="16"/>
  <c r="AK199" i="16" s="1"/>
  <c r="AK263" i="16" s="1"/>
  <c r="AJ121" i="16"/>
  <c r="AJ199" i="16" s="1"/>
  <c r="AJ263" i="16" s="1"/>
  <c r="AH121" i="16"/>
  <c r="AH199" i="16" s="1"/>
  <c r="AH263" i="16" s="1"/>
  <c r="AC121" i="16"/>
  <c r="AC199" i="16" s="1"/>
  <c r="AC263" i="16" s="1"/>
  <c r="AA121" i="16"/>
  <c r="AA199" i="16" s="1"/>
  <c r="AA263" i="16" s="1"/>
  <c r="Y121" i="16"/>
  <c r="Y199" i="16" s="1"/>
  <c r="Y263" i="16" s="1"/>
  <c r="T121" i="16"/>
  <c r="P121" i="16"/>
  <c r="L121" i="16"/>
  <c r="L199" i="16" s="1"/>
  <c r="L263" i="16" s="1"/>
  <c r="J121" i="16"/>
  <c r="J199" i="16" s="1"/>
  <c r="J263" i="16" s="1"/>
  <c r="H121" i="16"/>
  <c r="H199" i="16" s="1"/>
  <c r="H263" i="16" s="1"/>
  <c r="F121" i="16"/>
  <c r="F199" i="16" s="1"/>
  <c r="F263" i="16" s="1"/>
  <c r="AR120" i="16"/>
  <c r="AR198" i="16" s="1"/>
  <c r="AR262" i="16" s="1"/>
  <c r="AQ120" i="16"/>
  <c r="AQ198" i="16" s="1"/>
  <c r="AQ262" i="16" s="1"/>
  <c r="AC120" i="16"/>
  <c r="AC198" i="16" s="1"/>
  <c r="AC262" i="16" s="1"/>
  <c r="AA120" i="16"/>
  <c r="Y120" i="16"/>
  <c r="Y198" i="16" s="1"/>
  <c r="Y262" i="16" s="1"/>
  <c r="M120" i="16"/>
  <c r="M198" i="16" s="1"/>
  <c r="M262" i="16" s="1"/>
  <c r="H120" i="16"/>
  <c r="H198" i="16" s="1"/>
  <c r="H262" i="16" s="1"/>
  <c r="AS119" i="16"/>
  <c r="AS197" i="16" s="1"/>
  <c r="AS261" i="16" s="1"/>
  <c r="AR119" i="16"/>
  <c r="AR197" i="16" s="1"/>
  <c r="AR261" i="16" s="1"/>
  <c r="AQ119" i="16"/>
  <c r="AQ197" i="16" s="1"/>
  <c r="AQ261" i="16" s="1"/>
  <c r="AM119" i="16"/>
  <c r="AM197" i="16" s="1"/>
  <c r="AM261" i="16" s="1"/>
  <c r="AI119" i="16"/>
  <c r="AI197" i="16" s="1"/>
  <c r="AI261" i="16" s="1"/>
  <c r="AA119" i="16"/>
  <c r="AA197" i="16" s="1"/>
  <c r="P119" i="16"/>
  <c r="P197" i="16" s="1"/>
  <c r="P261" i="16" s="1"/>
  <c r="N119" i="16"/>
  <c r="M119" i="16"/>
  <c r="M197" i="16" s="1"/>
  <c r="M261" i="16" s="1"/>
  <c r="K119" i="16"/>
  <c r="K197" i="16" s="1"/>
  <c r="K261" i="16" s="1"/>
  <c r="F119" i="16"/>
  <c r="AT118" i="16"/>
  <c r="AS118" i="16"/>
  <c r="AR118" i="16"/>
  <c r="AR196" i="16" s="1"/>
  <c r="AR260" i="16" s="1"/>
  <c r="Z118" i="16"/>
  <c r="Y118" i="16"/>
  <c r="Y196" i="16" s="1"/>
  <c r="Y260" i="16" s="1"/>
  <c r="X118" i="16"/>
  <c r="X196" i="16" s="1"/>
  <c r="X260" i="16" s="1"/>
  <c r="O118" i="16"/>
  <c r="O196" i="16" s="1"/>
  <c r="O260" i="16" s="1"/>
  <c r="H118" i="16"/>
  <c r="H196" i="16" s="1"/>
  <c r="H260" i="16" s="1"/>
  <c r="AV117" i="16"/>
  <c r="AV195" i="16" s="1"/>
  <c r="AT117" i="16"/>
  <c r="AT195" i="16" s="1"/>
  <c r="AT259" i="16" s="1"/>
  <c r="AS117" i="16"/>
  <c r="AS195" i="16" s="1"/>
  <c r="AS259" i="16" s="1"/>
  <c r="AR117" i="16"/>
  <c r="AR195" i="16" s="1"/>
  <c r="AR259" i="16" s="1"/>
  <c r="AQ117" i="16"/>
  <c r="AQ195" i="16" s="1"/>
  <c r="AQ259" i="16" s="1"/>
  <c r="AM117" i="16"/>
  <c r="AM195" i="16" s="1"/>
  <c r="AM259" i="16" s="1"/>
  <c r="AL117" i="16"/>
  <c r="AL195" i="16" s="1"/>
  <c r="AK117" i="16"/>
  <c r="AK195" i="16" s="1"/>
  <c r="AE117" i="16"/>
  <c r="AE195" i="16" s="1"/>
  <c r="AE259" i="16" s="1"/>
  <c r="AA117" i="16"/>
  <c r="AA195" i="16" s="1"/>
  <c r="AA259" i="16" s="1"/>
  <c r="Y117" i="16"/>
  <c r="X117" i="16"/>
  <c r="X195" i="16" s="1"/>
  <c r="X259" i="16" s="1"/>
  <c r="O117" i="16"/>
  <c r="O195" i="16" s="1"/>
  <c r="O259" i="16" s="1"/>
  <c r="N117" i="16"/>
  <c r="N195" i="16" s="1"/>
  <c r="N259" i="16" s="1"/>
  <c r="M117" i="16"/>
  <c r="M195" i="16" s="1"/>
  <c r="M259" i="16" s="1"/>
  <c r="AV116" i="16"/>
  <c r="AV194" i="16" s="1"/>
  <c r="AV258" i="16" s="1"/>
  <c r="AT116" i="16"/>
  <c r="AT194" i="16" s="1"/>
  <c r="AT258" i="16" s="1"/>
  <c r="AS116" i="16"/>
  <c r="AS194" i="16" s="1"/>
  <c r="AS258" i="16" s="1"/>
  <c r="AR116" i="16"/>
  <c r="AR194" i="16" s="1"/>
  <c r="AR258" i="16" s="1"/>
  <c r="AH116" i="16"/>
  <c r="AH194" i="16" s="1"/>
  <c r="AH258" i="16" s="1"/>
  <c r="AF116" i="16"/>
  <c r="AA116" i="16"/>
  <c r="AA194" i="16" s="1"/>
  <c r="AA258" i="16" s="1"/>
  <c r="Z116" i="16"/>
  <c r="Y116" i="16"/>
  <c r="Y194" i="16" s="1"/>
  <c r="Y258" i="16" s="1"/>
  <c r="N116" i="16"/>
  <c r="H116" i="16"/>
  <c r="E116" i="16"/>
  <c r="E194" i="16" s="1"/>
  <c r="AW115" i="16"/>
  <c r="AW193" i="16" s="1"/>
  <c r="AW257" i="16" s="1"/>
  <c r="AT115" i="16"/>
  <c r="AT193" i="16" s="1"/>
  <c r="AT257" i="16" s="1"/>
  <c r="AS115" i="16"/>
  <c r="AS193" i="16" s="1"/>
  <c r="AS257" i="16" s="1"/>
  <c r="AR115" i="16"/>
  <c r="AE115" i="16"/>
  <c r="AE193" i="16" s="1"/>
  <c r="AE257" i="16" s="1"/>
  <c r="AA115" i="16"/>
  <c r="AA193" i="16" s="1"/>
  <c r="AA257" i="16" s="1"/>
  <c r="Q115" i="16"/>
  <c r="Q193" i="16" s="1"/>
  <c r="Q257" i="16" s="1"/>
  <c r="P115" i="16"/>
  <c r="P193" i="16" s="1"/>
  <c r="P257" i="16" s="1"/>
  <c r="O115" i="16"/>
  <c r="O193" i="16" s="1"/>
  <c r="N115" i="16"/>
  <c r="N193" i="16" s="1"/>
  <c r="N257" i="16" s="1"/>
  <c r="AX114" i="16"/>
  <c r="AX192" i="16" s="1"/>
  <c r="AT114" i="16"/>
  <c r="AT192" i="16" s="1"/>
  <c r="AT256" i="16" s="1"/>
  <c r="AH114" i="16"/>
  <c r="AE114" i="16"/>
  <c r="AE192" i="16" s="1"/>
  <c r="AE256" i="16" s="1"/>
  <c r="AD114" i="16"/>
  <c r="AC114" i="16"/>
  <c r="AC192" i="16" s="1"/>
  <c r="AC256" i="16" s="1"/>
  <c r="AB114" i="16"/>
  <c r="AB192" i="16" s="1"/>
  <c r="AB256" i="16" s="1"/>
  <c r="AA114" i="16"/>
  <c r="AA192" i="16" s="1"/>
  <c r="AA256" i="16" s="1"/>
  <c r="Z114" i="16"/>
  <c r="Z192" i="16" s="1"/>
  <c r="Z256" i="16" s="1"/>
  <c r="O114" i="16"/>
  <c r="M114" i="16"/>
  <c r="J114" i="16"/>
  <c r="J192" i="16" s="1"/>
  <c r="AV113" i="16"/>
  <c r="AV191" i="16" s="1"/>
  <c r="AV255" i="16" s="1"/>
  <c r="AU113" i="16"/>
  <c r="AU191" i="16" s="1"/>
  <c r="AU255" i="16" s="1"/>
  <c r="AT113" i="16"/>
  <c r="AT191" i="16" s="1"/>
  <c r="AT255" i="16" s="1"/>
  <c r="AS113" i="16"/>
  <c r="AS191" i="16" s="1"/>
  <c r="AS255" i="16" s="1"/>
  <c r="AR113" i="16"/>
  <c r="AR191" i="16" s="1"/>
  <c r="AR255" i="16" s="1"/>
  <c r="AQ113" i="16"/>
  <c r="AQ191" i="16" s="1"/>
  <c r="AQ255" i="16" s="1"/>
  <c r="AH113" i="16"/>
  <c r="AH191" i="16" s="1"/>
  <c r="AG113" i="16"/>
  <c r="AG191" i="16" s="1"/>
  <c r="AG255" i="16" s="1"/>
  <c r="AF113" i="16"/>
  <c r="AF191" i="16" s="1"/>
  <c r="AE113" i="16"/>
  <c r="AE191" i="16" s="1"/>
  <c r="AD113" i="16"/>
  <c r="AB113" i="16"/>
  <c r="AB191" i="16" s="1"/>
  <c r="AB255" i="16" s="1"/>
  <c r="AA113" i="16"/>
  <c r="AA191" i="16" s="1"/>
  <c r="AA255" i="16" s="1"/>
  <c r="Q113" i="16"/>
  <c r="Q191" i="16" s="1"/>
  <c r="Q255" i="16" s="1"/>
  <c r="P113" i="16"/>
  <c r="P191" i="16" s="1"/>
  <c r="P255" i="16" s="1"/>
  <c r="E113" i="16"/>
  <c r="AX112" i="16"/>
  <c r="AV112" i="16"/>
  <c r="AV190" i="16" s="1"/>
  <c r="AV254" i="16" s="1"/>
  <c r="AT112" i="16"/>
  <c r="AT190" i="16" s="1"/>
  <c r="AT254" i="16" s="1"/>
  <c r="AS112" i="16"/>
  <c r="AS190" i="16" s="1"/>
  <c r="AS254" i="16" s="1"/>
  <c r="AG112" i="16"/>
  <c r="AG190" i="16" s="1"/>
  <c r="AG254" i="16" s="1"/>
  <c r="AE112" i="16"/>
  <c r="AE190" i="16" s="1"/>
  <c r="AE254" i="16" s="1"/>
  <c r="P112" i="16"/>
  <c r="L112" i="16"/>
  <c r="L190" i="16" s="1"/>
  <c r="L254" i="16" s="1"/>
  <c r="K112" i="16"/>
  <c r="K190" i="16" s="1"/>
  <c r="K254" i="16" s="1"/>
  <c r="H112" i="16"/>
  <c r="H190" i="16" s="1"/>
  <c r="H254" i="16" s="1"/>
  <c r="F112" i="16"/>
  <c r="F190" i="16" s="1"/>
  <c r="F254" i="16" s="1"/>
  <c r="E112" i="16"/>
  <c r="E190" i="16" s="1"/>
  <c r="AW111" i="16"/>
  <c r="AW189" i="16" s="1"/>
  <c r="AW253" i="16" s="1"/>
  <c r="AS111" i="16"/>
  <c r="AR111" i="16"/>
  <c r="AI111" i="16"/>
  <c r="AI189" i="16" s="1"/>
  <c r="AI253" i="16" s="1"/>
  <c r="AH111" i="16"/>
  <c r="AH189" i="16" s="1"/>
  <c r="AH253" i="16" s="1"/>
  <c r="AG111" i="16"/>
  <c r="AG189" i="16" s="1"/>
  <c r="AG253" i="16" s="1"/>
  <c r="AA111" i="16"/>
  <c r="O111" i="16"/>
  <c r="O189" i="16" s="1"/>
  <c r="O253" i="16" s="1"/>
  <c r="M111" i="16"/>
  <c r="G111" i="16"/>
  <c r="G189" i="16" s="1"/>
  <c r="G253" i="16" s="1"/>
  <c r="F111" i="16"/>
  <c r="F189" i="16" s="1"/>
  <c r="F253" i="16" s="1"/>
  <c r="AM110" i="16"/>
  <c r="AM188" i="16" s="1"/>
  <c r="AM252" i="16" s="1"/>
  <c r="AI110" i="16"/>
  <c r="AI188" i="16" s="1"/>
  <c r="AI252" i="16" s="1"/>
  <c r="AH110" i="16"/>
  <c r="AG110" i="16"/>
  <c r="AF110" i="16"/>
  <c r="AC110" i="16"/>
  <c r="AC188" i="16" s="1"/>
  <c r="AC252" i="16" s="1"/>
  <c r="T110" i="16"/>
  <c r="P110" i="16"/>
  <c r="P188" i="16" s="1"/>
  <c r="P252" i="16" s="1"/>
  <c r="O110" i="16"/>
  <c r="O188" i="16" s="1"/>
  <c r="O252" i="16" s="1"/>
  <c r="N110" i="16"/>
  <c r="N188" i="16" s="1"/>
  <c r="N252" i="16" s="1"/>
  <c r="M110" i="16"/>
  <c r="M188" i="16" s="1"/>
  <c r="M252" i="16" s="1"/>
  <c r="H110" i="16"/>
  <c r="F110" i="16"/>
  <c r="F188" i="16" s="1"/>
  <c r="F252" i="16" s="1"/>
  <c r="AT109" i="16"/>
  <c r="AT187" i="16" s="1"/>
  <c r="AT251" i="16" s="1"/>
  <c r="AK109" i="16"/>
  <c r="AK187" i="16" s="1"/>
  <c r="AK251" i="16" s="1"/>
  <c r="AJ109" i="16"/>
  <c r="AJ187" i="16" s="1"/>
  <c r="AJ251" i="16" s="1"/>
  <c r="AI109" i="16"/>
  <c r="AI187" i="16" s="1"/>
  <c r="AH109" i="16"/>
  <c r="AH187" i="16" s="1"/>
  <c r="AH251" i="16" s="1"/>
  <c r="AG109" i="16"/>
  <c r="AG187" i="16" s="1"/>
  <c r="AG251" i="16" s="1"/>
  <c r="AF109" i="16"/>
  <c r="AF187" i="16" s="1"/>
  <c r="AF251" i="16" s="1"/>
  <c r="X109" i="16"/>
  <c r="X187" i="16" s="1"/>
  <c r="X251" i="16" s="1"/>
  <c r="T109" i="16"/>
  <c r="T187" i="16" s="1"/>
  <c r="T251" i="16" s="1"/>
  <c r="P109" i="16"/>
  <c r="P187" i="16" s="1"/>
  <c r="P251" i="16" s="1"/>
  <c r="O109" i="16"/>
  <c r="O187" i="16" s="1"/>
  <c r="O251" i="16" s="1"/>
  <c r="G109" i="16"/>
  <c r="G187" i="16" s="1"/>
  <c r="G251" i="16" s="1"/>
  <c r="AX108" i="16"/>
  <c r="AX186" i="16" s="1"/>
  <c r="AV108" i="16"/>
  <c r="AV186" i="16" s="1"/>
  <c r="AV250" i="16" s="1"/>
  <c r="AT108" i="16"/>
  <c r="AT186" i="16" s="1"/>
  <c r="AT250" i="16" s="1"/>
  <c r="AG108" i="16"/>
  <c r="AG186" i="16" s="1"/>
  <c r="AG250" i="16" s="1"/>
  <c r="AE108" i="16"/>
  <c r="AE186" i="16" s="1"/>
  <c r="AE250" i="16" s="1"/>
  <c r="AA108" i="16"/>
  <c r="X108" i="16"/>
  <c r="X186" i="16" s="1"/>
  <c r="X250" i="16" s="1"/>
  <c r="T108" i="16"/>
  <c r="T186" i="16" s="1"/>
  <c r="T250" i="16" s="1"/>
  <c r="S108" i="16"/>
  <c r="S186" i="16" s="1"/>
  <c r="S250" i="16" s="1"/>
  <c r="R108" i="16"/>
  <c r="R186" i="16" s="1"/>
  <c r="R250" i="16" s="1"/>
  <c r="P108" i="16"/>
  <c r="N108" i="16"/>
  <c r="N186" i="16" s="1"/>
  <c r="N250" i="16" s="1"/>
  <c r="G108" i="16"/>
  <c r="AV107" i="16"/>
  <c r="AV185" i="16" s="1"/>
  <c r="AV249" i="16" s="1"/>
  <c r="AM107" i="16"/>
  <c r="AM185" i="16" s="1"/>
  <c r="AM249" i="16" s="1"/>
  <c r="AL107" i="16"/>
  <c r="AL185" i="16" s="1"/>
  <c r="AL249" i="16" s="1"/>
  <c r="AK107" i="16"/>
  <c r="AK185" i="16" s="1"/>
  <c r="AK249" i="16" s="1"/>
  <c r="AI107" i="16"/>
  <c r="AH107" i="16"/>
  <c r="AG107" i="16"/>
  <c r="AF107" i="16"/>
  <c r="AE107" i="16"/>
  <c r="AE185" i="16" s="1"/>
  <c r="AE249" i="16" s="1"/>
  <c r="Y107" i="16"/>
  <c r="Y185" i="16" s="1"/>
  <c r="Y249" i="16" s="1"/>
  <c r="S107" i="16"/>
  <c r="S185" i="16" s="1"/>
  <c r="S249" i="16" s="1"/>
  <c r="Q107" i="16"/>
  <c r="Q185" i="16" s="1"/>
  <c r="Q249" i="16" s="1"/>
  <c r="P107" i="16"/>
  <c r="P185" i="16" s="1"/>
  <c r="P249" i="16" s="1"/>
  <c r="O107" i="16"/>
  <c r="O185" i="16" s="1"/>
  <c r="O249" i="16" s="1"/>
  <c r="M107" i="16"/>
  <c r="M185" i="16" s="1"/>
  <c r="J107" i="16"/>
  <c r="F107" i="16"/>
  <c r="F185" i="16" s="1"/>
  <c r="AK106" i="16"/>
  <c r="AH106" i="16"/>
  <c r="AH184" i="16" s="1"/>
  <c r="AH248" i="16" s="1"/>
  <c r="AG106" i="16"/>
  <c r="AG184" i="16" s="1"/>
  <c r="AF106" i="16"/>
  <c r="AF184" i="16" s="1"/>
  <c r="AF248" i="16" s="1"/>
  <c r="Y106" i="16"/>
  <c r="Y184" i="16" s="1"/>
  <c r="Y248" i="16" s="1"/>
  <c r="R106" i="16"/>
  <c r="R184" i="16" s="1"/>
  <c r="R248" i="16" s="1"/>
  <c r="P106" i="16"/>
  <c r="P184" i="16" s="1"/>
  <c r="P248" i="16" s="1"/>
  <c r="H106" i="16"/>
  <c r="H184" i="16" s="1"/>
  <c r="H248" i="16" s="1"/>
  <c r="F106" i="16"/>
  <c r="F184" i="16" s="1"/>
  <c r="F248" i="16" s="1"/>
  <c r="E106" i="16"/>
  <c r="E184" i="16" s="1"/>
  <c r="E248" i="16" s="1"/>
  <c r="D248" i="16" s="1"/>
  <c r="AM105" i="16"/>
  <c r="AM183" i="16" s="1"/>
  <c r="AM247" i="16" s="1"/>
  <c r="AL105" i="16"/>
  <c r="AL183" i="16" s="1"/>
  <c r="AL247" i="16" s="1"/>
  <c r="AK105" i="16"/>
  <c r="AK183" i="16" s="1"/>
  <c r="AK247" i="16" s="1"/>
  <c r="AI105" i="16"/>
  <c r="AI183" i="16" s="1"/>
  <c r="AI247" i="16" s="1"/>
  <c r="AH105" i="16"/>
  <c r="AH183" i="16" s="1"/>
  <c r="AH247" i="16" s="1"/>
  <c r="AG105" i="16"/>
  <c r="AG183" i="16" s="1"/>
  <c r="AA105" i="16"/>
  <c r="AA183" i="16" s="1"/>
  <c r="AA247" i="16" s="1"/>
  <c r="Z105" i="16"/>
  <c r="Z183" i="16" s="1"/>
  <c r="Z247" i="16" s="1"/>
  <c r="Y105" i="16"/>
  <c r="Y183" i="16" s="1"/>
  <c r="Y247" i="16" s="1"/>
  <c r="X105" i="16"/>
  <c r="X183" i="16" s="1"/>
  <c r="X247" i="16" s="1"/>
  <c r="G105" i="16"/>
  <c r="G183" i="16" s="1"/>
  <c r="G247" i="16" s="1"/>
  <c r="F105" i="16"/>
  <c r="F183" i="16" s="1"/>
  <c r="F247" i="16" s="1"/>
  <c r="AR104" i="16"/>
  <c r="AR182" i="16" s="1"/>
  <c r="AR246" i="16" s="1"/>
  <c r="AQ104" i="16"/>
  <c r="AQ182" i="16" s="1"/>
  <c r="AQ246" i="16" s="1"/>
  <c r="AM104" i="16"/>
  <c r="AM182" i="16" s="1"/>
  <c r="AM246" i="16" s="1"/>
  <c r="AG104" i="16"/>
  <c r="AG182" i="16" s="1"/>
  <c r="AG246" i="16" s="1"/>
  <c r="Z104" i="16"/>
  <c r="Z182" i="16" s="1"/>
  <c r="Z246" i="16" s="1"/>
  <c r="Y104" i="16"/>
  <c r="T104" i="16"/>
  <c r="T182" i="16" s="1"/>
  <c r="T246" i="16" s="1"/>
  <c r="R104" i="16"/>
  <c r="R182" i="16" s="1"/>
  <c r="R246" i="16" s="1"/>
  <c r="K104" i="16"/>
  <c r="G104" i="16"/>
  <c r="G182" i="16" s="1"/>
  <c r="G246" i="16" s="1"/>
  <c r="F104" i="16"/>
  <c r="F182" i="16" s="1"/>
  <c r="F246" i="16" s="1"/>
  <c r="AS103" i="16"/>
  <c r="AS181" i="16" s="1"/>
  <c r="AR103" i="16"/>
  <c r="AR181" i="16" s="1"/>
  <c r="AM103" i="16"/>
  <c r="AM181" i="16" s="1"/>
  <c r="AM245" i="16" s="1"/>
  <c r="AL103" i="16"/>
  <c r="AL181" i="16" s="1"/>
  <c r="AL245" i="16" s="1"/>
  <c r="AI103" i="16"/>
  <c r="AH103" i="16"/>
  <c r="AC103" i="16"/>
  <c r="AC181" i="16" s="1"/>
  <c r="AC245" i="16" s="1"/>
  <c r="AA103" i="16"/>
  <c r="AA181" i="16" s="1"/>
  <c r="AA245" i="16" s="1"/>
  <c r="Y103" i="16"/>
  <c r="Y181" i="16" s="1"/>
  <c r="Y245" i="16" s="1"/>
  <c r="O103" i="16"/>
  <c r="H103" i="16"/>
  <c r="H181" i="16" s="1"/>
  <c r="H245" i="16" s="1"/>
  <c r="G103" i="16"/>
  <c r="G181" i="16" s="1"/>
  <c r="F103" i="16"/>
  <c r="F181" i="16" s="1"/>
  <c r="F245" i="16" s="1"/>
  <c r="AS102" i="16"/>
  <c r="AS180" i="16" s="1"/>
  <c r="AS244" i="16" s="1"/>
  <c r="AR102" i="16"/>
  <c r="AR180" i="16" s="1"/>
  <c r="AR244" i="16" s="1"/>
  <c r="AI102" i="16"/>
  <c r="AI180" i="16" s="1"/>
  <c r="AI244" i="16" s="1"/>
  <c r="AH102" i="16"/>
  <c r="AB102" i="16"/>
  <c r="AB180" i="16" s="1"/>
  <c r="AB244" i="16" s="1"/>
  <c r="AA102" i="16"/>
  <c r="AA180" i="16" s="1"/>
  <c r="AA244" i="16" s="1"/>
  <c r="Y102" i="16"/>
  <c r="Y180" i="16" s="1"/>
  <c r="Y244" i="16" s="1"/>
  <c r="X102" i="16"/>
  <c r="X180" i="16" s="1"/>
  <c r="X244" i="16" s="1"/>
  <c r="K102" i="16"/>
  <c r="K180" i="16" s="1"/>
  <c r="K244" i="16" s="1"/>
  <c r="G102" i="16"/>
  <c r="G180" i="16" s="1"/>
  <c r="AT101" i="16"/>
  <c r="AT179" i="16" s="1"/>
  <c r="AT243" i="16" s="1"/>
  <c r="AS101" i="16"/>
  <c r="AS179" i="16" s="1"/>
  <c r="AS243" i="16" s="1"/>
  <c r="AR101" i="16"/>
  <c r="AI101" i="16"/>
  <c r="AI179" i="16" s="1"/>
  <c r="AI243" i="16" s="1"/>
  <c r="AG101" i="16"/>
  <c r="AC101" i="16"/>
  <c r="AC179" i="16" s="1"/>
  <c r="AC243" i="16" s="1"/>
  <c r="AB101" i="16"/>
  <c r="AB179" i="16" s="1"/>
  <c r="AB243" i="16" s="1"/>
  <c r="Z101" i="16"/>
  <c r="N101" i="16"/>
  <c r="L101" i="16"/>
  <c r="L179" i="16" s="1"/>
  <c r="L243" i="16" s="1"/>
  <c r="H101" i="16"/>
  <c r="H179" i="16" s="1"/>
  <c r="H243" i="16" s="1"/>
  <c r="G101" i="16"/>
  <c r="G179" i="16" s="1"/>
  <c r="G243" i="16" s="1"/>
  <c r="F101" i="16"/>
  <c r="AR100" i="16"/>
  <c r="AR178" i="16" s="1"/>
  <c r="AR242" i="16" s="1"/>
  <c r="AK100" i="16"/>
  <c r="AK178" i="16" s="1"/>
  <c r="AK242" i="16" s="1"/>
  <c r="AE100" i="16"/>
  <c r="AE178" i="16" s="1"/>
  <c r="AE242" i="16" s="1"/>
  <c r="AD100" i="16"/>
  <c r="AD178" i="16" s="1"/>
  <c r="AD242" i="16" s="1"/>
  <c r="AA100" i="16"/>
  <c r="AA178" i="16" s="1"/>
  <c r="AA242" i="16" s="1"/>
  <c r="Z100" i="16"/>
  <c r="Z178" i="16" s="1"/>
  <c r="Z242" i="16" s="1"/>
  <c r="X100" i="16"/>
  <c r="X178" i="16" s="1"/>
  <c r="X242" i="16" s="1"/>
  <c r="N100" i="16"/>
  <c r="N178" i="16" s="1"/>
  <c r="N242" i="16" s="1"/>
  <c r="AT99" i="16"/>
  <c r="AS99" i="16"/>
  <c r="AR99" i="16"/>
  <c r="AR177" i="16" s="1"/>
  <c r="AR241" i="16" s="1"/>
  <c r="AM99" i="16"/>
  <c r="AM177" i="16" s="1"/>
  <c r="AM241" i="16" s="1"/>
  <c r="AL99" i="16"/>
  <c r="AL177" i="16" s="1"/>
  <c r="AL241" i="16" s="1"/>
  <c r="AK99" i="16"/>
  <c r="AK177" i="16" s="1"/>
  <c r="AK241" i="16" s="1"/>
  <c r="AI99" i="16"/>
  <c r="AI177" i="16" s="1"/>
  <c r="AI241" i="16" s="1"/>
  <c r="AE99" i="16"/>
  <c r="AE177" i="16" s="1"/>
  <c r="AE241" i="16" s="1"/>
  <c r="Y99" i="16"/>
  <c r="O99" i="16"/>
  <c r="O177" i="16" s="1"/>
  <c r="O241" i="16" s="1"/>
  <c r="L99" i="16"/>
  <c r="L177" i="16" s="1"/>
  <c r="L241" i="16" s="1"/>
  <c r="H99" i="16"/>
  <c r="H177" i="16" s="1"/>
  <c r="H241" i="16" s="1"/>
  <c r="AR98" i="16"/>
  <c r="AR176" i="16" s="1"/>
  <c r="AR240" i="16" s="1"/>
  <c r="AG98" i="16"/>
  <c r="AE98" i="16"/>
  <c r="AE176" i="16" s="1"/>
  <c r="AE240" i="16" s="1"/>
  <c r="AB98" i="16"/>
  <c r="AB176" i="16" s="1"/>
  <c r="AB240" i="16" s="1"/>
  <c r="AA98" i="16"/>
  <c r="AA176" i="16" s="1"/>
  <c r="AA240" i="16" s="1"/>
  <c r="P98" i="16"/>
  <c r="O98" i="16"/>
  <c r="O176" i="16" s="1"/>
  <c r="O240" i="16" s="1"/>
  <c r="N98" i="16"/>
  <c r="E98" i="16"/>
  <c r="E176" i="16" s="1"/>
  <c r="D176" i="16" s="1"/>
  <c r="AT97" i="16"/>
  <c r="AT175" i="16" s="1"/>
  <c r="AT239" i="16" s="1"/>
  <c r="AR97" i="16"/>
  <c r="AF97" i="16"/>
  <c r="AF175" i="16" s="1"/>
  <c r="AF239" i="16" s="1"/>
  <c r="Z97" i="16"/>
  <c r="Z175" i="16" s="1"/>
  <c r="Z239" i="16" s="1"/>
  <c r="Y97" i="16"/>
  <c r="Y175" i="16" s="1"/>
  <c r="Y239" i="16" s="1"/>
  <c r="N97" i="16"/>
  <c r="N175" i="16" s="1"/>
  <c r="N239" i="16" s="1"/>
  <c r="L97" i="16"/>
  <c r="L175" i="16" s="1"/>
  <c r="L239" i="16" s="1"/>
  <c r="G97" i="16"/>
  <c r="AW96" i="16"/>
  <c r="AW174" i="16" s="1"/>
  <c r="AW238" i="16" s="1"/>
  <c r="AV96" i="16"/>
  <c r="AV174" i="16" s="1"/>
  <c r="AV238" i="16" s="1"/>
  <c r="AS96" i="16"/>
  <c r="AS174" i="16" s="1"/>
  <c r="AS238" i="16" s="1"/>
  <c r="AR96" i="16"/>
  <c r="AR174" i="16" s="1"/>
  <c r="AR238" i="16" s="1"/>
  <c r="AQ96" i="16"/>
  <c r="AQ174" i="16" s="1"/>
  <c r="AH96" i="16"/>
  <c r="AG96" i="16"/>
  <c r="AA96" i="16"/>
  <c r="AA174" i="16" s="1"/>
  <c r="AA238" i="16" s="1"/>
  <c r="Z96" i="16"/>
  <c r="Z174" i="16" s="1"/>
  <c r="Z238" i="16" s="1"/>
  <c r="N96" i="16"/>
  <c r="N174" i="16" s="1"/>
  <c r="N238" i="16" s="1"/>
  <c r="M96" i="16"/>
  <c r="M174" i="16" s="1"/>
  <c r="M238" i="16" s="1"/>
  <c r="AV95" i="16"/>
  <c r="AV173" i="16" s="1"/>
  <c r="AV237" i="16" s="1"/>
  <c r="AT95" i="16"/>
  <c r="AT173" i="16" s="1"/>
  <c r="AT237" i="16" s="1"/>
  <c r="AR95" i="16"/>
  <c r="AR173" i="16" s="1"/>
  <c r="AR237" i="16" s="1"/>
  <c r="AQ95" i="16"/>
  <c r="AQ173" i="16" s="1"/>
  <c r="AQ237" i="16" s="1"/>
  <c r="AH95" i="16"/>
  <c r="AH173" i="16" s="1"/>
  <c r="AH237" i="16" s="1"/>
  <c r="AF95" i="16"/>
  <c r="AA95" i="16"/>
  <c r="AA173" i="16" s="1"/>
  <c r="AA237" i="16" s="1"/>
  <c r="P95" i="16"/>
  <c r="P173" i="16" s="1"/>
  <c r="P237" i="16" s="1"/>
  <c r="O95" i="16"/>
  <c r="O173" i="16" s="1"/>
  <c r="O237" i="16" s="1"/>
  <c r="N95" i="16"/>
  <c r="N173" i="16" s="1"/>
  <c r="N237" i="16" s="1"/>
  <c r="K95" i="16"/>
  <c r="AT94" i="16"/>
  <c r="AT172" i="16" s="1"/>
  <c r="AT236" i="16" s="1"/>
  <c r="AS94" i="16"/>
  <c r="AS172" i="16" s="1"/>
  <c r="AS236" i="16" s="1"/>
  <c r="AR94" i="16"/>
  <c r="AI94" i="16"/>
  <c r="AI172" i="16" s="1"/>
  <c r="AI236" i="16" s="1"/>
  <c r="AD94" i="16"/>
  <c r="AD172" i="16" s="1"/>
  <c r="AD236" i="16" s="1"/>
  <c r="AA94" i="16"/>
  <c r="AA172" i="16" s="1"/>
  <c r="AA236" i="16" s="1"/>
  <c r="R94" i="16"/>
  <c r="R172" i="16" s="1"/>
  <c r="P94" i="16"/>
  <c r="N94" i="16"/>
  <c r="AX93" i="16"/>
  <c r="AX171" i="16" s="1"/>
  <c r="AX235" i="16" s="1"/>
  <c r="AV93" i="16"/>
  <c r="AV171" i="16" s="1"/>
  <c r="AV235" i="16" s="1"/>
  <c r="AT93" i="16"/>
  <c r="AT171" i="16" s="1"/>
  <c r="AT235" i="16" s="1"/>
  <c r="AR93" i="16"/>
  <c r="AR171" i="16" s="1"/>
  <c r="AR235" i="16" s="1"/>
  <c r="AI93" i="16"/>
  <c r="AI171" i="16" s="1"/>
  <c r="AI235" i="16" s="1"/>
  <c r="AD93" i="16"/>
  <c r="AB93" i="16"/>
  <c r="AB171" i="16" s="1"/>
  <c r="AB235" i="16" s="1"/>
  <c r="T93" i="16"/>
  <c r="T171" i="16" s="1"/>
  <c r="T235" i="16" s="1"/>
  <c r="P93" i="16"/>
  <c r="P171" i="16" s="1"/>
  <c r="O93" i="16"/>
  <c r="O171" i="16" s="1"/>
  <c r="O235" i="16" s="1"/>
  <c r="N93" i="16"/>
  <c r="N171" i="16" s="1"/>
  <c r="N235" i="16" s="1"/>
  <c r="H93" i="16"/>
  <c r="G93" i="16"/>
  <c r="G171" i="16" s="1"/>
  <c r="AX92" i="16"/>
  <c r="AX170" i="16" s="1"/>
  <c r="AX234" i="16" s="1"/>
  <c r="AW92" i="16"/>
  <c r="AW170" i="16" s="1"/>
  <c r="AW234" i="16" s="1"/>
  <c r="AV92" i="16"/>
  <c r="AV170" i="16" s="1"/>
  <c r="AV234" i="16" s="1"/>
  <c r="AU92" i="16"/>
  <c r="AU170" i="16" s="1"/>
  <c r="AU234" i="16" s="1"/>
  <c r="AT92" i="16"/>
  <c r="AT170" i="16" s="1"/>
  <c r="AT234" i="16" s="1"/>
  <c r="AS92" i="16"/>
  <c r="AS170" i="16" s="1"/>
  <c r="AS234" i="16" s="1"/>
  <c r="AR92" i="16"/>
  <c r="AI92" i="16"/>
  <c r="AE92" i="16"/>
  <c r="AE170" i="16" s="1"/>
  <c r="AD92" i="16"/>
  <c r="AD170" i="16" s="1"/>
  <c r="AD234" i="16" s="1"/>
  <c r="Z92" i="16"/>
  <c r="T92" i="16"/>
  <c r="P92" i="16"/>
  <c r="P170" i="16" s="1"/>
  <c r="P234" i="16" s="1"/>
  <c r="G92" i="16"/>
  <c r="G170" i="16" s="1"/>
  <c r="G234" i="16" s="1"/>
  <c r="F92" i="16"/>
  <c r="F170" i="16" s="1"/>
  <c r="F234" i="16" s="1"/>
  <c r="BJ86" i="16"/>
  <c r="BI86" i="16"/>
  <c r="BH86" i="16"/>
  <c r="BG86" i="16"/>
  <c r="BF86" i="16"/>
  <c r="AY86" i="16"/>
  <c r="AX86" i="16"/>
  <c r="AW86" i="16"/>
  <c r="AV86" i="16"/>
  <c r="AP86" i="16"/>
  <c r="BK86" i="16" s="1"/>
  <c r="AO86" i="16"/>
  <c r="AT151" i="16" s="1"/>
  <c r="AN86" i="16"/>
  <c r="AM86" i="16"/>
  <c r="AL86" i="16"/>
  <c r="AT139" i="16" s="1"/>
  <c r="AK86" i="16"/>
  <c r="AJ86" i="16"/>
  <c r="BE86" i="16" s="1"/>
  <c r="AI86" i="16"/>
  <c r="AH86" i="16"/>
  <c r="AG86" i="16"/>
  <c r="AF86" i="16"/>
  <c r="BA86" i="16" s="1"/>
  <c r="AE86" i="16"/>
  <c r="AD86" i="16"/>
  <c r="AT107" i="16" s="1"/>
  <c r="AT185" i="16" s="1"/>
  <c r="AT249" i="16" s="1"/>
  <c r="AC86" i="16"/>
  <c r="AT103" i="16" s="1"/>
  <c r="AT181" i="16" s="1"/>
  <c r="AT245" i="16" s="1"/>
  <c r="AB86" i="16"/>
  <c r="AA86" i="16"/>
  <c r="BD85" i="16"/>
  <c r="BC85" i="16"/>
  <c r="BB85" i="16"/>
  <c r="BA85" i="16"/>
  <c r="AV85" i="16"/>
  <c r="AP85" i="16"/>
  <c r="AO85" i="16"/>
  <c r="BJ85" i="16" s="1"/>
  <c r="AN85" i="16"/>
  <c r="BI85" i="16" s="1"/>
  <c r="AM85" i="16"/>
  <c r="AT142" i="16" s="1"/>
  <c r="AT220" i="16" s="1"/>
  <c r="AT284" i="16" s="1"/>
  <c r="AL85" i="16"/>
  <c r="BG85" i="16" s="1"/>
  <c r="AK85" i="16"/>
  <c r="BF85" i="16" s="1"/>
  <c r="AJ85" i="16"/>
  <c r="AT130" i="16" s="1"/>
  <c r="AT208" i="16" s="1"/>
  <c r="AT272" i="16" s="1"/>
  <c r="AI85" i="16"/>
  <c r="AH85" i="16"/>
  <c r="AT122" i="16" s="1"/>
  <c r="AT200" i="16" s="1"/>
  <c r="AT264" i="16" s="1"/>
  <c r="AG85" i="16"/>
  <c r="AF85" i="16"/>
  <c r="AE85" i="16"/>
  <c r="AD85" i="16"/>
  <c r="AC85" i="16"/>
  <c r="AB85" i="16"/>
  <c r="AW85" i="16" s="1"/>
  <c r="AA85" i="16"/>
  <c r="BJ84" i="16"/>
  <c r="BI84" i="16"/>
  <c r="BG84" i="16"/>
  <c r="BA84" i="16"/>
  <c r="AZ84" i="16"/>
  <c r="AY84" i="16"/>
  <c r="AX84" i="16"/>
  <c r="AW84" i="16"/>
  <c r="AP84" i="16"/>
  <c r="AT153" i="16" s="1"/>
  <c r="AT231" i="16" s="1"/>
  <c r="AT295" i="16" s="1"/>
  <c r="AO84" i="16"/>
  <c r="AN84" i="16"/>
  <c r="AT145" i="16" s="1"/>
  <c r="AM84" i="16"/>
  <c r="BH84" i="16" s="1"/>
  <c r="AL84" i="16"/>
  <c r="AT137" i="16" s="1"/>
  <c r="AT215" i="16" s="1"/>
  <c r="AT279" i="16" s="1"/>
  <c r="AK84" i="16"/>
  <c r="AJ84" i="16"/>
  <c r="BE84" i="16" s="1"/>
  <c r="AI84" i="16"/>
  <c r="AH84" i="16"/>
  <c r="AT121" i="16" s="1"/>
  <c r="AT199" i="16" s="1"/>
  <c r="AT263" i="16" s="1"/>
  <c r="AG84" i="16"/>
  <c r="BB84" i="16" s="1"/>
  <c r="AF84" i="16"/>
  <c r="AE84" i="16"/>
  <c r="AD84" i="16"/>
  <c r="AT105" i="16" s="1"/>
  <c r="AT183" i="16" s="1"/>
  <c r="AT247" i="16" s="1"/>
  <c r="AC84" i="16"/>
  <c r="AB84" i="16"/>
  <c r="AA84" i="16"/>
  <c r="AV84" i="16" s="1"/>
  <c r="BJ83" i="16"/>
  <c r="BI83" i="16"/>
  <c r="BH83" i="16"/>
  <c r="BG83" i="16"/>
  <c r="BF83" i="16"/>
  <c r="BE83" i="16"/>
  <c r="BC83" i="16"/>
  <c r="BB83" i="16"/>
  <c r="AV83" i="16"/>
  <c r="AP83" i="16"/>
  <c r="BK83" i="16" s="1"/>
  <c r="AO83" i="16"/>
  <c r="AT148" i="16" s="1"/>
  <c r="AN83" i="16"/>
  <c r="AT144" i="16" s="1"/>
  <c r="AT222" i="16" s="1"/>
  <c r="AT286" i="16" s="1"/>
  <c r="AM83" i="16"/>
  <c r="AL83" i="16"/>
  <c r="AT136" i="16" s="1"/>
  <c r="AT214" i="16" s="1"/>
  <c r="AT278" i="16" s="1"/>
  <c r="AK83" i="16"/>
  <c r="AT132" i="16" s="1"/>
  <c r="AT210" i="16" s="1"/>
  <c r="AT274" i="16" s="1"/>
  <c r="AJ83" i="16"/>
  <c r="AT128" i="16" s="1"/>
  <c r="AT206" i="16" s="1"/>
  <c r="AT270" i="16" s="1"/>
  <c r="AI83" i="16"/>
  <c r="BD83" i="16" s="1"/>
  <c r="AH83" i="16"/>
  <c r="AT120" i="16" s="1"/>
  <c r="AT198" i="16" s="1"/>
  <c r="AT262" i="16" s="1"/>
  <c r="AG83" i="16"/>
  <c r="AF83" i="16"/>
  <c r="BA83" i="16" s="1"/>
  <c r="AE83" i="16"/>
  <c r="AZ83" i="16" s="1"/>
  <c r="AD83" i="16"/>
  <c r="AC83" i="16"/>
  <c r="AB83" i="16"/>
  <c r="AW83" i="16" s="1"/>
  <c r="AA83" i="16"/>
  <c r="BK82" i="16"/>
  <c r="BJ82" i="16"/>
  <c r="BI82" i="16"/>
  <c r="AM147" i="16" s="1"/>
  <c r="AM225" i="16" s="1"/>
  <c r="AM289" i="16" s="1"/>
  <c r="BE82" i="16"/>
  <c r="BD82" i="16"/>
  <c r="BC82" i="16"/>
  <c r="AM123" i="16" s="1"/>
  <c r="AM201" i="16" s="1"/>
  <c r="AM265" i="16" s="1"/>
  <c r="AY82" i="16"/>
  <c r="AX82" i="16"/>
  <c r="AW82" i="16"/>
  <c r="AP82" i="16"/>
  <c r="AO82" i="16"/>
  <c r="AN82" i="16"/>
  <c r="AI147" i="16" s="1"/>
  <c r="AI225" i="16" s="1"/>
  <c r="AI289" i="16" s="1"/>
  <c r="AM82" i="16"/>
  <c r="BH82" i="16" s="1"/>
  <c r="AL82" i="16"/>
  <c r="BG82" i="16" s="1"/>
  <c r="AK82" i="16"/>
  <c r="BF82" i="16" s="1"/>
  <c r="AJ82" i="16"/>
  <c r="AI131" i="16" s="1"/>
  <c r="AI209" i="16" s="1"/>
  <c r="AI273" i="16" s="1"/>
  <c r="AI82" i="16"/>
  <c r="AH82" i="16"/>
  <c r="AG82" i="16"/>
  <c r="BB82" i="16" s="1"/>
  <c r="AF82" i="16"/>
  <c r="AE82" i="16"/>
  <c r="AZ82" i="16" s="1"/>
  <c r="AM111" i="16" s="1"/>
  <c r="AM189" i="16" s="1"/>
  <c r="AM253" i="16" s="1"/>
  <c r="AD82" i="16"/>
  <c r="AC82" i="16"/>
  <c r="AB82" i="16"/>
  <c r="AA82" i="16"/>
  <c r="BG81" i="16"/>
  <c r="BF81" i="16"/>
  <c r="BE81" i="16"/>
  <c r="BD81" i="16"/>
  <c r="BC81" i="16"/>
  <c r="AZ81" i="16"/>
  <c r="AX81" i="16"/>
  <c r="AW81" i="16"/>
  <c r="AP81" i="16"/>
  <c r="AO81" i="16"/>
  <c r="AI150" i="16" s="1"/>
  <c r="AI228" i="16" s="1"/>
  <c r="AN81" i="16"/>
  <c r="BI81" i="16" s="1"/>
  <c r="AM81" i="16"/>
  <c r="BH81" i="16" s="1"/>
  <c r="AL81" i="16"/>
  <c r="AI138" i="16" s="1"/>
  <c r="AI216" i="16" s="1"/>
  <c r="AI280" i="16" s="1"/>
  <c r="AK81" i="16"/>
  <c r="AI134" i="16" s="1"/>
  <c r="AI212" i="16" s="1"/>
  <c r="AI276" i="16" s="1"/>
  <c r="AJ81" i="16"/>
  <c r="AI130" i="16" s="1"/>
  <c r="AI208" i="16" s="1"/>
  <c r="AI272" i="16" s="1"/>
  <c r="AI81" i="16"/>
  <c r="AH81" i="16"/>
  <c r="AG81" i="16"/>
  <c r="AF81" i="16"/>
  <c r="AE81" i="16"/>
  <c r="AD81" i="16"/>
  <c r="AC81" i="16"/>
  <c r="AB81" i="16"/>
  <c r="AI98" i="16" s="1"/>
  <c r="AA81" i="16"/>
  <c r="AV81" i="16" s="1"/>
  <c r="BK80" i="16"/>
  <c r="BJ80" i="16"/>
  <c r="BH80" i="16"/>
  <c r="BE80" i="16"/>
  <c r="AM129" i="16" s="1"/>
  <c r="AM207" i="16" s="1"/>
  <c r="AM271" i="16" s="1"/>
  <c r="BB80" i="16"/>
  <c r="BA80" i="16"/>
  <c r="AZ80" i="16"/>
  <c r="AY80" i="16"/>
  <c r="AX80" i="16"/>
  <c r="AM101" i="16" s="1"/>
  <c r="AV80" i="16"/>
  <c r="AP80" i="16"/>
  <c r="AI153" i="16" s="1"/>
  <c r="AI231" i="16" s="1"/>
  <c r="AI295" i="16" s="1"/>
  <c r="AO80" i="16"/>
  <c r="AN80" i="16"/>
  <c r="AM80" i="16"/>
  <c r="AL80" i="16"/>
  <c r="AK80" i="16"/>
  <c r="BF80" i="16" s="1"/>
  <c r="AJ80" i="16"/>
  <c r="AI129" i="16" s="1"/>
  <c r="AI80" i="16"/>
  <c r="AH80" i="16"/>
  <c r="AG80" i="16"/>
  <c r="AI117" i="16" s="1"/>
  <c r="AF80" i="16"/>
  <c r="AI113" i="16" s="1"/>
  <c r="AI191" i="16" s="1"/>
  <c r="AI255" i="16" s="1"/>
  <c r="AE80" i="16"/>
  <c r="AD80" i="16"/>
  <c r="AC80" i="16"/>
  <c r="AB80" i="16"/>
  <c r="AA80" i="16"/>
  <c r="BH79" i="16"/>
  <c r="BG79" i="16"/>
  <c r="BF79" i="16"/>
  <c r="AM132" i="16" s="1"/>
  <c r="AM210" i="16" s="1"/>
  <c r="AM274" i="16" s="1"/>
  <c r="BE79" i="16"/>
  <c r="BD79" i="16"/>
  <c r="AY79" i="16"/>
  <c r="AX79" i="16"/>
  <c r="AW79" i="16"/>
  <c r="AV79" i="16"/>
  <c r="AP79" i="16"/>
  <c r="AI152" i="16" s="1"/>
  <c r="AI230" i="16" s="1"/>
  <c r="AI294" i="16" s="1"/>
  <c r="AO79" i="16"/>
  <c r="AI148" i="16" s="1"/>
  <c r="AI226" i="16" s="1"/>
  <c r="AI290" i="16" s="1"/>
  <c r="AN79" i="16"/>
  <c r="AI144" i="16" s="1"/>
  <c r="AI222" i="16" s="1"/>
  <c r="AI286" i="16" s="1"/>
  <c r="AM79" i="16"/>
  <c r="AI140" i="16" s="1"/>
  <c r="AI218" i="16" s="1"/>
  <c r="AI282" i="16" s="1"/>
  <c r="AL79" i="16"/>
  <c r="AK79" i="16"/>
  <c r="AJ79" i="16"/>
  <c r="AI79" i="16"/>
  <c r="AH79" i="16"/>
  <c r="AG79" i="16"/>
  <c r="AF79" i="16"/>
  <c r="AE79" i="16"/>
  <c r="AZ79" i="16" s="1"/>
  <c r="AD79" i="16"/>
  <c r="AI104" i="16" s="1"/>
  <c r="AI182" i="16" s="1"/>
  <c r="AI246" i="16" s="1"/>
  <c r="AC79" i="16"/>
  <c r="AI100" i="16" s="1"/>
  <c r="AB79" i="16"/>
  <c r="AI96" i="16" s="1"/>
  <c r="AI174" i="16" s="1"/>
  <c r="AA79" i="16"/>
  <c r="BK78" i="16"/>
  <c r="BF78" i="16"/>
  <c r="BC78" i="16"/>
  <c r="BB78" i="16"/>
  <c r="BA78" i="16"/>
  <c r="AZ78" i="16"/>
  <c r="AY78" i="16"/>
  <c r="AP78" i="16"/>
  <c r="AA155" i="16" s="1"/>
  <c r="AA233" i="16" s="1"/>
  <c r="AA297" i="16" s="1"/>
  <c r="AO78" i="16"/>
  <c r="AN78" i="16"/>
  <c r="BI78" i="16" s="1"/>
  <c r="AM78" i="16"/>
  <c r="AL78" i="16"/>
  <c r="AA139" i="16" s="1"/>
  <c r="AA217" i="16" s="1"/>
  <c r="AA281" i="16" s="1"/>
  <c r="AK78" i="16"/>
  <c r="AJ78" i="16"/>
  <c r="AI78" i="16"/>
  <c r="AH78" i="16"/>
  <c r="AG78" i="16"/>
  <c r="AF78" i="16"/>
  <c r="AE78" i="16"/>
  <c r="AD78" i="16"/>
  <c r="AA107" i="16" s="1"/>
  <c r="AA185" i="16" s="1"/>
  <c r="AA249" i="16" s="1"/>
  <c r="AC78" i="16"/>
  <c r="AX78" i="16" s="1"/>
  <c r="AB78" i="16"/>
  <c r="AW78" i="16" s="1"/>
  <c r="AA78" i="16"/>
  <c r="AV78" i="16" s="1"/>
  <c r="AE95" i="16" s="1"/>
  <c r="AE173" i="16" s="1"/>
  <c r="AE237" i="16" s="1"/>
  <c r="BI77" i="16"/>
  <c r="BH77" i="16"/>
  <c r="BG77" i="16"/>
  <c r="BF77" i="16"/>
  <c r="BA77" i="16"/>
  <c r="AZ77" i="16"/>
  <c r="AY77" i="16"/>
  <c r="AX77" i="16"/>
  <c r="AW77" i="16"/>
  <c r="AV77" i="16"/>
  <c r="AE94" i="16" s="1"/>
  <c r="AE172" i="16" s="1"/>
  <c r="AE236" i="16" s="1"/>
  <c r="AP77" i="16"/>
  <c r="BK77" i="16" s="1"/>
  <c r="AO77" i="16"/>
  <c r="BJ77" i="16" s="1"/>
  <c r="AN77" i="16"/>
  <c r="AA146" i="16" s="1"/>
  <c r="AA224" i="16" s="1"/>
  <c r="AM77" i="16"/>
  <c r="AL77" i="16"/>
  <c r="AK77" i="16"/>
  <c r="AJ77" i="16"/>
  <c r="BE77" i="16" s="1"/>
  <c r="AI77" i="16"/>
  <c r="AH77" i="16"/>
  <c r="AG77" i="16"/>
  <c r="AF77" i="16"/>
  <c r="AE77" i="16"/>
  <c r="AA110" i="16" s="1"/>
  <c r="AA188" i="16" s="1"/>
  <c r="AA252" i="16" s="1"/>
  <c r="AD77" i="16"/>
  <c r="AA106" i="16" s="1"/>
  <c r="AC77" i="16"/>
  <c r="AB77" i="16"/>
  <c r="AA77" i="16"/>
  <c r="BH76" i="16"/>
  <c r="BG76" i="16"/>
  <c r="BE76" i="16"/>
  <c r="BD76" i="16"/>
  <c r="BC76" i="16"/>
  <c r="BB76" i="16"/>
  <c r="BA76" i="16"/>
  <c r="AP76" i="16"/>
  <c r="BK76" i="16" s="1"/>
  <c r="AO76" i="16"/>
  <c r="AN76" i="16"/>
  <c r="AM76" i="16"/>
  <c r="AA141" i="16" s="1"/>
  <c r="AA219" i="16" s="1"/>
  <c r="AA283" i="16" s="1"/>
  <c r="AL76" i="16"/>
  <c r="AK76" i="16"/>
  <c r="BF76" i="16" s="1"/>
  <c r="AJ76" i="16"/>
  <c r="AA129" i="16" s="1"/>
  <c r="AA207" i="16" s="1"/>
  <c r="AA271" i="16" s="1"/>
  <c r="AI76" i="16"/>
  <c r="AH76" i="16"/>
  <c r="AG76" i="16"/>
  <c r="AF76" i="16"/>
  <c r="AE76" i="16"/>
  <c r="AD76" i="16"/>
  <c r="AY76" i="16" s="1"/>
  <c r="AC76" i="16"/>
  <c r="AB76" i="16"/>
  <c r="AA76" i="16"/>
  <c r="BJ75" i="16"/>
  <c r="BI75" i="16"/>
  <c r="BG75" i="16"/>
  <c r="BC75" i="16"/>
  <c r="AZ75" i="16"/>
  <c r="AX75" i="16"/>
  <c r="AW75" i="16"/>
  <c r="AP75" i="16"/>
  <c r="AA152" i="16" s="1"/>
  <c r="AA230" i="16" s="1"/>
  <c r="AA294" i="16" s="1"/>
  <c r="AO75" i="16"/>
  <c r="AN75" i="16"/>
  <c r="AM75" i="16"/>
  <c r="AL75" i="16"/>
  <c r="AK75" i="16"/>
  <c r="AJ75" i="16"/>
  <c r="BE75" i="16" s="1"/>
  <c r="AI75" i="16"/>
  <c r="BD75" i="16" s="1"/>
  <c r="AH75" i="16"/>
  <c r="AG75" i="16"/>
  <c r="BB75" i="16" s="1"/>
  <c r="AF75" i="16"/>
  <c r="BA75" i="16" s="1"/>
  <c r="AE75" i="16"/>
  <c r="AD75" i="16"/>
  <c r="AC75" i="16"/>
  <c r="AB75" i="16"/>
  <c r="AA75" i="16"/>
  <c r="AV75" i="16" s="1"/>
  <c r="BH74" i="16"/>
  <c r="BG74" i="16"/>
  <c r="BE74" i="16"/>
  <c r="BC74" i="16"/>
  <c r="BB74" i="16"/>
  <c r="T119" i="16" s="1"/>
  <c r="T197" i="16" s="1"/>
  <c r="T261" i="16" s="1"/>
  <c r="AV74" i="16"/>
  <c r="AP74" i="16"/>
  <c r="AO74" i="16"/>
  <c r="P151" i="16" s="1"/>
  <c r="P229" i="16" s="1"/>
  <c r="P293" i="16" s="1"/>
  <c r="AN74" i="16"/>
  <c r="AM74" i="16"/>
  <c r="AL74" i="16"/>
  <c r="P139" i="16" s="1"/>
  <c r="P217" i="16" s="1"/>
  <c r="P281" i="16" s="1"/>
  <c r="AK74" i="16"/>
  <c r="BF74" i="16" s="1"/>
  <c r="AJ74" i="16"/>
  <c r="AI74" i="16"/>
  <c r="BD74" i="16" s="1"/>
  <c r="AH74" i="16"/>
  <c r="AG74" i="16"/>
  <c r="AF74" i="16"/>
  <c r="BA74" i="16" s="1"/>
  <c r="AE74" i="16"/>
  <c r="AD74" i="16"/>
  <c r="AY74" i="16" s="1"/>
  <c r="AC74" i="16"/>
  <c r="AB74" i="16"/>
  <c r="P99" i="16" s="1"/>
  <c r="P177" i="16" s="1"/>
  <c r="P241" i="16" s="1"/>
  <c r="AA74" i="16"/>
  <c r="BK73" i="16"/>
  <c r="BJ73" i="16"/>
  <c r="BI73" i="16"/>
  <c r="BD73" i="16"/>
  <c r="AY73" i="16"/>
  <c r="AX73" i="16"/>
  <c r="AW73" i="16"/>
  <c r="AP73" i="16"/>
  <c r="P154" i="16" s="1"/>
  <c r="P232" i="16" s="1"/>
  <c r="P296" i="16" s="1"/>
  <c r="AO73" i="16"/>
  <c r="AN73" i="16"/>
  <c r="AM73" i="16"/>
  <c r="AL73" i="16"/>
  <c r="AK73" i="16"/>
  <c r="AJ73" i="16"/>
  <c r="P130" i="16" s="1"/>
  <c r="P208" i="16" s="1"/>
  <c r="P272" i="16" s="1"/>
  <c r="AI73" i="16"/>
  <c r="AH73" i="16"/>
  <c r="P122" i="16" s="1"/>
  <c r="P200" i="16" s="1"/>
  <c r="P264" i="16" s="1"/>
  <c r="AG73" i="16"/>
  <c r="AF73" i="16"/>
  <c r="AE73" i="16"/>
  <c r="AZ73" i="16" s="1"/>
  <c r="AD73" i="16"/>
  <c r="AC73" i="16"/>
  <c r="P102" i="16" s="1"/>
  <c r="P180" i="16" s="1"/>
  <c r="P244" i="16" s="1"/>
  <c r="AB73" i="16"/>
  <c r="AA73" i="16"/>
  <c r="AV73" i="16" s="1"/>
  <c r="BF72" i="16"/>
  <c r="BE72" i="16"/>
  <c r="BD72" i="16"/>
  <c r="BC72" i="16"/>
  <c r="AZ72" i="16"/>
  <c r="AP72" i="16"/>
  <c r="AO72" i="16"/>
  <c r="AN72" i="16"/>
  <c r="AM72" i="16"/>
  <c r="BH72" i="16" s="1"/>
  <c r="AL72" i="16"/>
  <c r="BG72" i="16" s="1"/>
  <c r="AK72" i="16"/>
  <c r="P133" i="16" s="1"/>
  <c r="AJ72" i="16"/>
  <c r="P129" i="16" s="1"/>
  <c r="P207" i="16" s="1"/>
  <c r="P271" i="16" s="1"/>
  <c r="AI72" i="16"/>
  <c r="P125" i="16" s="1"/>
  <c r="AH72" i="16"/>
  <c r="AG72" i="16"/>
  <c r="AF72" i="16"/>
  <c r="BA72" i="16" s="1"/>
  <c r="AE72" i="16"/>
  <c r="AD72" i="16"/>
  <c r="AC72" i="16"/>
  <c r="AB72" i="16"/>
  <c r="AA72" i="16"/>
  <c r="AV72" i="16" s="1"/>
  <c r="BK71" i="16"/>
  <c r="BJ71" i="16"/>
  <c r="BH71" i="16"/>
  <c r="BF71" i="16"/>
  <c r="BE71" i="16"/>
  <c r="BA71" i="16"/>
  <c r="AZ71" i="16"/>
  <c r="AY71" i="16"/>
  <c r="AX71" i="16"/>
  <c r="AV71" i="16"/>
  <c r="AP71" i="16"/>
  <c r="AO71" i="16"/>
  <c r="P148" i="16" s="1"/>
  <c r="AN71" i="16"/>
  <c r="BI71" i="16" s="1"/>
  <c r="AM71" i="16"/>
  <c r="AL71" i="16"/>
  <c r="BG71" i="16" s="1"/>
  <c r="AK71" i="16"/>
  <c r="P132" i="16" s="1"/>
  <c r="P210" i="16" s="1"/>
  <c r="P274" i="16" s="1"/>
  <c r="AJ71" i="16"/>
  <c r="AI71" i="16"/>
  <c r="AH71" i="16"/>
  <c r="AG71" i="16"/>
  <c r="AF71" i="16"/>
  <c r="AE71" i="16"/>
  <c r="AD71" i="16"/>
  <c r="P104" i="16" s="1"/>
  <c r="P182" i="16" s="1"/>
  <c r="P246" i="16" s="1"/>
  <c r="AC71" i="16"/>
  <c r="P100" i="16" s="1"/>
  <c r="P178" i="16" s="1"/>
  <c r="P242" i="16" s="1"/>
  <c r="AB71" i="16"/>
  <c r="AW71" i="16" s="1"/>
  <c r="AA71" i="16"/>
  <c r="BK70" i="16"/>
  <c r="BI70" i="16"/>
  <c r="BH70" i="16"/>
  <c r="BG70" i="16"/>
  <c r="L139" i="16" s="1"/>
  <c r="L217" i="16" s="1"/>
  <c r="BF70" i="16"/>
  <c r="BE70" i="16"/>
  <c r="BD70" i="16"/>
  <c r="BA70" i="16"/>
  <c r="AY70" i="16"/>
  <c r="AX70" i="16"/>
  <c r="AW70" i="16"/>
  <c r="AV70" i="16"/>
  <c r="L95" i="16" s="1"/>
  <c r="AP70" i="16"/>
  <c r="H155" i="16" s="1"/>
  <c r="H233" i="16" s="1"/>
  <c r="H297" i="16" s="1"/>
  <c r="AO70" i="16"/>
  <c r="BJ70" i="16" s="1"/>
  <c r="L151" i="16" s="1"/>
  <c r="L229" i="16" s="1"/>
  <c r="L293" i="16" s="1"/>
  <c r="AN70" i="16"/>
  <c r="H147" i="16" s="1"/>
  <c r="H225" i="16" s="1"/>
  <c r="AM70" i="16"/>
  <c r="AL70" i="16"/>
  <c r="H139" i="16" s="1"/>
  <c r="H217" i="16" s="1"/>
  <c r="H281" i="16" s="1"/>
  <c r="AK70" i="16"/>
  <c r="H135" i="16" s="1"/>
  <c r="H213" i="16" s="1"/>
  <c r="H277" i="16" s="1"/>
  <c r="AJ70" i="16"/>
  <c r="AI70" i="16"/>
  <c r="AH70" i="16"/>
  <c r="AG70" i="16"/>
  <c r="AF70" i="16"/>
  <c r="H115" i="16" s="1"/>
  <c r="H193" i="16" s="1"/>
  <c r="H257" i="16" s="1"/>
  <c r="AE70" i="16"/>
  <c r="AD70" i="16"/>
  <c r="H107" i="16" s="1"/>
  <c r="H185" i="16" s="1"/>
  <c r="H249" i="16" s="1"/>
  <c r="AC70" i="16"/>
  <c r="AB70" i="16"/>
  <c r="AA70" i="16"/>
  <c r="H95" i="16" s="1"/>
  <c r="H173" i="16" s="1"/>
  <c r="H237" i="16" s="1"/>
  <c r="BK69" i="16"/>
  <c r="BE69" i="16"/>
  <c r="BD69" i="16"/>
  <c r="BC69" i="16"/>
  <c r="L122" i="16" s="1"/>
  <c r="L200" i="16" s="1"/>
  <c r="L264" i="16" s="1"/>
  <c r="BB69" i="16"/>
  <c r="BA69" i="16"/>
  <c r="L114" i="16" s="1"/>
  <c r="L192" i="16" s="1"/>
  <c r="L256" i="16" s="1"/>
  <c r="AZ69" i="16"/>
  <c r="AY69" i="16"/>
  <c r="L106" i="16" s="1"/>
  <c r="L184" i="16" s="1"/>
  <c r="AP69" i="16"/>
  <c r="AO69" i="16"/>
  <c r="AN69" i="16"/>
  <c r="AM69" i="16"/>
  <c r="AL69" i="16"/>
  <c r="H138" i="16" s="1"/>
  <c r="H216" i="16" s="1"/>
  <c r="H280" i="16" s="1"/>
  <c r="AK69" i="16"/>
  <c r="AJ69" i="16"/>
  <c r="H130" i="16" s="1"/>
  <c r="H208" i="16" s="1"/>
  <c r="H272" i="16" s="1"/>
  <c r="AI69" i="16"/>
  <c r="H126" i="16" s="1"/>
  <c r="H204" i="16" s="1"/>
  <c r="H268" i="16" s="1"/>
  <c r="AH69" i="16"/>
  <c r="AG69" i="16"/>
  <c r="AF69" i="16"/>
  <c r="H114" i="16" s="1"/>
  <c r="H192" i="16" s="1"/>
  <c r="AE69" i="16"/>
  <c r="AD69" i="16"/>
  <c r="AC69" i="16"/>
  <c r="AB69" i="16"/>
  <c r="AA69" i="16"/>
  <c r="BK68" i="16"/>
  <c r="BJ68" i="16"/>
  <c r="BI68" i="16"/>
  <c r="BH68" i="16"/>
  <c r="L141" i="16" s="1"/>
  <c r="L219" i="16" s="1"/>
  <c r="L283" i="16" s="1"/>
  <c r="BG68" i="16"/>
  <c r="BF68" i="16"/>
  <c r="L133" i="16" s="1"/>
  <c r="AW68" i="16"/>
  <c r="AV68" i="16"/>
  <c r="AP68" i="16"/>
  <c r="H153" i="16" s="1"/>
  <c r="H231" i="16" s="1"/>
  <c r="H295" i="16" s="1"/>
  <c r="AO68" i="16"/>
  <c r="H149" i="16" s="1"/>
  <c r="H227" i="16" s="1"/>
  <c r="H291" i="16" s="1"/>
  <c r="AN68" i="16"/>
  <c r="AM68" i="16"/>
  <c r="AL68" i="16"/>
  <c r="AK68" i="16"/>
  <c r="AJ68" i="16"/>
  <c r="BE68" i="16" s="1"/>
  <c r="AI68" i="16"/>
  <c r="BD68" i="16" s="1"/>
  <c r="AH68" i="16"/>
  <c r="BC68" i="16" s="1"/>
  <c r="AG68" i="16"/>
  <c r="AF68" i="16"/>
  <c r="AE68" i="16"/>
  <c r="AD68" i="16"/>
  <c r="AC68" i="16"/>
  <c r="AX68" i="16" s="1"/>
  <c r="AB68" i="16"/>
  <c r="H97" i="16" s="1"/>
  <c r="H175" i="16" s="1"/>
  <c r="H239" i="16" s="1"/>
  <c r="AA68" i="16"/>
  <c r="BI67" i="16"/>
  <c r="BD67" i="16"/>
  <c r="BC67" i="16"/>
  <c r="BB67" i="16"/>
  <c r="BA67" i="16"/>
  <c r="AV67" i="16"/>
  <c r="AP67" i="16"/>
  <c r="AO67" i="16"/>
  <c r="AN67" i="16"/>
  <c r="H144" i="16" s="1"/>
  <c r="H222" i="16" s="1"/>
  <c r="H286" i="16" s="1"/>
  <c r="AM67" i="16"/>
  <c r="BH67" i="16" s="1"/>
  <c r="AL67" i="16"/>
  <c r="H136" i="16" s="1"/>
  <c r="AK67" i="16"/>
  <c r="BF67" i="16" s="1"/>
  <c r="AJ67" i="16"/>
  <c r="BE67" i="16" s="1"/>
  <c r="AI67" i="16"/>
  <c r="AH67" i="16"/>
  <c r="AG67" i="16"/>
  <c r="AF67" i="16"/>
  <c r="AE67" i="16"/>
  <c r="AD67" i="16"/>
  <c r="AC67" i="16"/>
  <c r="AB67" i="16"/>
  <c r="AA67" i="16"/>
  <c r="H92" i="16" s="1"/>
  <c r="BJ66" i="16"/>
  <c r="BI66" i="16"/>
  <c r="BG66" i="16"/>
  <c r="BC66" i="16"/>
  <c r="BB66" i="16"/>
  <c r="AZ66" i="16"/>
  <c r="AY66" i="16"/>
  <c r="AX66" i="16"/>
  <c r="AW66" i="16"/>
  <c r="AP66" i="16"/>
  <c r="AR155" i="16" s="1"/>
  <c r="AR233" i="16" s="1"/>
  <c r="AR297" i="16" s="1"/>
  <c r="AO66" i="16"/>
  <c r="AR151" i="16" s="1"/>
  <c r="AN66" i="16"/>
  <c r="AR147" i="16" s="1"/>
  <c r="AR225" i="16" s="1"/>
  <c r="AR289" i="16" s="1"/>
  <c r="AM66" i="16"/>
  <c r="BH66" i="16" s="1"/>
  <c r="AL66" i="16"/>
  <c r="AK66" i="16"/>
  <c r="BF66" i="16" s="1"/>
  <c r="AJ66" i="16"/>
  <c r="AI66" i="16"/>
  <c r="AH66" i="16"/>
  <c r="AR123" i="16" s="1"/>
  <c r="AR201" i="16" s="1"/>
  <c r="AR265" i="16" s="1"/>
  <c r="AG66" i="16"/>
  <c r="AF66" i="16"/>
  <c r="BA66" i="16" s="1"/>
  <c r="AE66" i="16"/>
  <c r="AD66" i="16"/>
  <c r="AR107" i="16" s="1"/>
  <c r="AR185" i="16" s="1"/>
  <c r="AR249" i="16" s="1"/>
  <c r="AC66" i="16"/>
  <c r="AB66" i="16"/>
  <c r="AA66" i="16"/>
  <c r="AV66" i="16" s="1"/>
  <c r="BU65" i="16"/>
  <c r="BT65" i="16"/>
  <c r="BS65" i="16"/>
  <c r="BR65" i="16"/>
  <c r="BQ65" i="16"/>
  <c r="BI65" i="16"/>
  <c r="BH65" i="16"/>
  <c r="BG65" i="16"/>
  <c r="BB65" i="16"/>
  <c r="AZ65" i="16"/>
  <c r="AY65" i="16"/>
  <c r="AV106" i="16" s="1"/>
  <c r="AV184" i="16" s="1"/>
  <c r="AV248" i="16" s="1"/>
  <c r="AW65" i="16"/>
  <c r="AV65" i="16"/>
  <c r="AP65" i="16"/>
  <c r="BK65" i="16" s="1"/>
  <c r="AO65" i="16"/>
  <c r="BJ65" i="16" s="1"/>
  <c r="AV150" i="16" s="1"/>
  <c r="AV228" i="16" s="1"/>
  <c r="AN65" i="16"/>
  <c r="AM65" i="16"/>
  <c r="AL65" i="16"/>
  <c r="AK65" i="16"/>
  <c r="BF65" i="16" s="1"/>
  <c r="AV134" i="16" s="1"/>
  <c r="AV212" i="16" s="1"/>
  <c r="AV276" i="16" s="1"/>
  <c r="AJ65" i="16"/>
  <c r="BE65" i="16" s="1"/>
  <c r="AI65" i="16"/>
  <c r="BD65" i="16" s="1"/>
  <c r="AH65" i="16"/>
  <c r="AG65" i="16"/>
  <c r="AF65" i="16"/>
  <c r="AE65" i="16"/>
  <c r="AR110" i="16" s="1"/>
  <c r="AR188" i="16" s="1"/>
  <c r="AR252" i="16" s="1"/>
  <c r="AD65" i="16"/>
  <c r="AR106" i="16" s="1"/>
  <c r="AR184" i="16" s="1"/>
  <c r="AR248" i="16" s="1"/>
  <c r="AC65" i="16"/>
  <c r="AX65" i="16" s="1"/>
  <c r="AV102" i="16" s="1"/>
  <c r="AV180" i="16" s="1"/>
  <c r="AV244" i="16" s="1"/>
  <c r="AB65" i="16"/>
  <c r="AA65" i="16"/>
  <c r="BU64" i="16"/>
  <c r="BT64" i="16"/>
  <c r="BS64" i="16"/>
  <c r="BR64" i="16"/>
  <c r="BQ64" i="16"/>
  <c r="BK64" i="16"/>
  <c r="BJ64" i="16"/>
  <c r="BI64" i="16"/>
  <c r="AV145" i="16" s="1"/>
  <c r="AV223" i="16" s="1"/>
  <c r="AV287" i="16" s="1"/>
  <c r="BH64" i="16"/>
  <c r="BD64" i="16"/>
  <c r="BC64" i="16"/>
  <c r="BB64" i="16"/>
  <c r="BA64" i="16"/>
  <c r="AY64" i="16"/>
  <c r="AX64" i="16"/>
  <c r="AW64" i="16"/>
  <c r="AV64" i="16"/>
  <c r="AP64" i="16"/>
  <c r="AR153" i="16" s="1"/>
  <c r="AR231" i="16" s="1"/>
  <c r="AR295" i="16" s="1"/>
  <c r="AO64" i="16"/>
  <c r="AR149" i="16" s="1"/>
  <c r="AR227" i="16" s="1"/>
  <c r="AR291" i="16" s="1"/>
  <c r="AN64" i="16"/>
  <c r="AR145" i="16" s="1"/>
  <c r="AR223" i="16" s="1"/>
  <c r="AR287" i="16" s="1"/>
  <c r="AM64" i="16"/>
  <c r="AL64" i="16"/>
  <c r="BG64" i="16" s="1"/>
  <c r="AK64" i="16"/>
  <c r="AJ64" i="16"/>
  <c r="BE64" i="16" s="1"/>
  <c r="AI64" i="16"/>
  <c r="AH64" i="16"/>
  <c r="AR121" i="16" s="1"/>
  <c r="AR199" i="16" s="1"/>
  <c r="AR263" i="16" s="1"/>
  <c r="AG64" i="16"/>
  <c r="AF64" i="16"/>
  <c r="AE64" i="16"/>
  <c r="AD64" i="16"/>
  <c r="AR105" i="16" s="1"/>
  <c r="AR183" i="16" s="1"/>
  <c r="AR247" i="16" s="1"/>
  <c r="AC64" i="16"/>
  <c r="AB64" i="16"/>
  <c r="AA64" i="16"/>
  <c r="BU63" i="16"/>
  <c r="BT63" i="16"/>
  <c r="BS63" i="16"/>
  <c r="BR63" i="16"/>
  <c r="BQ63" i="16"/>
  <c r="BK63" i="16"/>
  <c r="BJ63" i="16"/>
  <c r="BI63" i="16"/>
  <c r="BH63" i="16"/>
  <c r="BE63" i="16"/>
  <c r="BD63" i="16"/>
  <c r="BC63" i="16"/>
  <c r="BB63" i="16"/>
  <c r="AZ63" i="16"/>
  <c r="AY63" i="16"/>
  <c r="AX63" i="16"/>
  <c r="AW63" i="16"/>
  <c r="AV63" i="16"/>
  <c r="AP63" i="16"/>
  <c r="AO63" i="16"/>
  <c r="AN63" i="16"/>
  <c r="AM63" i="16"/>
  <c r="AL63" i="16"/>
  <c r="AK63" i="16"/>
  <c r="AJ63" i="16"/>
  <c r="AI63" i="16"/>
  <c r="AH63" i="16"/>
  <c r="AG63" i="16"/>
  <c r="AF63" i="16"/>
  <c r="BA63" i="16" s="1"/>
  <c r="AE63" i="16"/>
  <c r="AR108" i="16" s="1"/>
  <c r="AD63" i="16"/>
  <c r="AC63" i="16"/>
  <c r="AB63" i="16"/>
  <c r="AA63" i="16"/>
  <c r="BU62" i="16"/>
  <c r="BT62" i="16"/>
  <c r="BS62" i="16"/>
  <c r="BR62" i="16"/>
  <c r="BQ62" i="16"/>
  <c r="BK62" i="16"/>
  <c r="BJ62" i="16"/>
  <c r="BI62" i="16"/>
  <c r="BG62" i="16"/>
  <c r="BE62" i="16"/>
  <c r="BD62" i="16"/>
  <c r="AK127" i="16" s="1"/>
  <c r="AK205" i="16" s="1"/>
  <c r="AK269" i="16" s="1"/>
  <c r="BB62" i="16"/>
  <c r="BA62" i="16"/>
  <c r="AZ62" i="16"/>
  <c r="AY62" i="16"/>
  <c r="AX62" i="16"/>
  <c r="AW62" i="16"/>
  <c r="AP62" i="16"/>
  <c r="AO62" i="16"/>
  <c r="AN62" i="16"/>
  <c r="AM62" i="16"/>
  <c r="BH62" i="16" s="1"/>
  <c r="AL62" i="16"/>
  <c r="AK62" i="16"/>
  <c r="BF62" i="16" s="1"/>
  <c r="AJ62" i="16"/>
  <c r="AG131" i="16" s="1"/>
  <c r="AG209" i="16" s="1"/>
  <c r="AG273" i="16" s="1"/>
  <c r="AI62" i="16"/>
  <c r="AG127" i="16" s="1"/>
  <c r="AH62" i="16"/>
  <c r="BC62" i="16" s="1"/>
  <c r="AK123" i="16" s="1"/>
  <c r="AK201" i="16" s="1"/>
  <c r="AK265" i="16" s="1"/>
  <c r="AG62" i="16"/>
  <c r="AG119" i="16" s="1"/>
  <c r="AF62" i="16"/>
  <c r="AG115" i="16" s="1"/>
  <c r="AG193" i="16" s="1"/>
  <c r="AG257" i="16" s="1"/>
  <c r="AE62" i="16"/>
  <c r="AD62" i="16"/>
  <c r="AC62" i="16"/>
  <c r="AG103" i="16" s="1"/>
  <c r="AB62" i="16"/>
  <c r="AG99" i="16" s="1"/>
  <c r="AG177" i="16" s="1"/>
  <c r="AG241" i="16" s="1"/>
  <c r="AA62" i="16"/>
  <c r="BU61" i="16"/>
  <c r="BT61" i="16"/>
  <c r="BS61" i="16"/>
  <c r="BR61" i="16"/>
  <c r="BQ61" i="16"/>
  <c r="BK61" i="16"/>
  <c r="BJ61" i="16"/>
  <c r="BI61" i="16"/>
  <c r="BA61" i="16"/>
  <c r="AZ61" i="16"/>
  <c r="AY61" i="16"/>
  <c r="AX61" i="16"/>
  <c r="AW61" i="16"/>
  <c r="AP61" i="16"/>
  <c r="AG154" i="16" s="1"/>
  <c r="AG232" i="16" s="1"/>
  <c r="AG296" i="16" s="1"/>
  <c r="AO61" i="16"/>
  <c r="AG150" i="16" s="1"/>
  <c r="AG228" i="16" s="1"/>
  <c r="AG292" i="16" s="1"/>
  <c r="AN61" i="16"/>
  <c r="AM61" i="16"/>
  <c r="AL61" i="16"/>
  <c r="AK61" i="16"/>
  <c r="AJ61" i="16"/>
  <c r="BE61" i="16" s="1"/>
  <c r="AI61" i="16"/>
  <c r="AH61" i="16"/>
  <c r="AG61" i="16"/>
  <c r="AF61" i="16"/>
  <c r="AG114" i="16" s="1"/>
  <c r="AG192" i="16" s="1"/>
  <c r="AG256" i="16" s="1"/>
  <c r="AE61" i="16"/>
  <c r="AD61" i="16"/>
  <c r="AC61" i="16"/>
  <c r="AG102" i="16" s="1"/>
  <c r="AB61" i="16"/>
  <c r="AA61" i="16"/>
  <c r="AV61" i="16" s="1"/>
  <c r="BU60" i="16"/>
  <c r="BT60" i="16"/>
  <c r="BS60" i="16"/>
  <c r="BR60" i="16"/>
  <c r="BQ60" i="16"/>
  <c r="BK60" i="16"/>
  <c r="BJ60" i="16"/>
  <c r="AK149" i="16" s="1"/>
  <c r="AK227" i="16" s="1"/>
  <c r="AK291" i="16" s="1"/>
  <c r="BE60" i="16"/>
  <c r="BD60" i="16"/>
  <c r="BC60" i="16"/>
  <c r="BB60" i="16"/>
  <c r="BA60" i="16"/>
  <c r="AZ60" i="16"/>
  <c r="AY60" i="16"/>
  <c r="AX60" i="16"/>
  <c r="AK101" i="16" s="1"/>
  <c r="AK179" i="16" s="1"/>
  <c r="AK243" i="16" s="1"/>
  <c r="AP60" i="16"/>
  <c r="AO60" i="16"/>
  <c r="AN60" i="16"/>
  <c r="AM60" i="16"/>
  <c r="AL60" i="16"/>
  <c r="AK60" i="16"/>
  <c r="AJ60" i="16"/>
  <c r="AG129" i="16" s="1"/>
  <c r="AI60" i="16"/>
  <c r="AG125" i="16" s="1"/>
  <c r="AG203" i="16" s="1"/>
  <c r="AG267" i="16" s="1"/>
  <c r="AH60" i="16"/>
  <c r="AG121" i="16" s="1"/>
  <c r="AG199" i="16" s="1"/>
  <c r="AG263" i="16" s="1"/>
  <c r="AG60" i="16"/>
  <c r="AG117" i="16" s="1"/>
  <c r="AF60" i="16"/>
  <c r="AE60" i="16"/>
  <c r="AD60" i="16"/>
  <c r="AC60" i="16"/>
  <c r="AB60" i="16"/>
  <c r="AW60" i="16" s="1"/>
  <c r="AA60" i="16"/>
  <c r="BU59" i="16"/>
  <c r="BT59" i="16"/>
  <c r="BS59" i="16"/>
  <c r="BR59" i="16"/>
  <c r="BQ59" i="16"/>
  <c r="BK59" i="16"/>
  <c r="BJ59" i="16"/>
  <c r="BI59" i="16"/>
  <c r="BD59" i="16"/>
  <c r="BB59" i="16"/>
  <c r="BA59" i="16"/>
  <c r="AZ59" i="16"/>
  <c r="AY59" i="16"/>
  <c r="AX59" i="16"/>
  <c r="AW59" i="16"/>
  <c r="AK96" i="16" s="1"/>
  <c r="AK174" i="16" s="1"/>
  <c r="AK238" i="16" s="1"/>
  <c r="AP59" i="16"/>
  <c r="AG152" i="16" s="1"/>
  <c r="AO59" i="16"/>
  <c r="AG148" i="16" s="1"/>
  <c r="AG226" i="16" s="1"/>
  <c r="AG290" i="16" s="1"/>
  <c r="AN59" i="16"/>
  <c r="AM59" i="16"/>
  <c r="AL59" i="16"/>
  <c r="AK59" i="16"/>
  <c r="BF59" i="16" s="1"/>
  <c r="AJ59" i="16"/>
  <c r="AI59" i="16"/>
  <c r="AG124" i="16" s="1"/>
  <c r="AG202" i="16" s="1"/>
  <c r="AG266" i="16" s="1"/>
  <c r="AH59" i="16"/>
  <c r="AG59" i="16"/>
  <c r="AG116" i="16" s="1"/>
  <c r="AG194" i="16" s="1"/>
  <c r="AG258" i="16" s="1"/>
  <c r="AF59" i="16"/>
  <c r="AE59" i="16"/>
  <c r="AD59" i="16"/>
  <c r="AC59" i="16"/>
  <c r="AG100" i="16" s="1"/>
  <c r="AB59" i="16"/>
  <c r="AA59" i="16"/>
  <c r="AV59" i="16" s="1"/>
  <c r="BW58" i="16"/>
  <c r="W20" i="22" s="1"/>
  <c r="BU58" i="16"/>
  <c r="BT58" i="16"/>
  <c r="BS58" i="16"/>
  <c r="BR58" i="16"/>
  <c r="BQ58" i="16"/>
  <c r="BK58" i="16"/>
  <c r="BI58" i="16"/>
  <c r="AZ58" i="16"/>
  <c r="AY58" i="16"/>
  <c r="AW58" i="16"/>
  <c r="AP58" i="16"/>
  <c r="Y155" i="16" s="1"/>
  <c r="Y233" i="16" s="1"/>
  <c r="Y297" i="16" s="1"/>
  <c r="AO58" i="16"/>
  <c r="BJ58" i="16" s="1"/>
  <c r="AN58" i="16"/>
  <c r="AM58" i="16"/>
  <c r="AL58" i="16"/>
  <c r="AK58" i="16"/>
  <c r="AJ58" i="16"/>
  <c r="AI58" i="16"/>
  <c r="AH58" i="16"/>
  <c r="Y123" i="16" s="1"/>
  <c r="Y201" i="16" s="1"/>
  <c r="Y265" i="16" s="1"/>
  <c r="AG58" i="16"/>
  <c r="AF58" i="16"/>
  <c r="AE58" i="16"/>
  <c r="Y111" i="16" s="1"/>
  <c r="AD58" i="16"/>
  <c r="AC58" i="16"/>
  <c r="AX58" i="16" s="1"/>
  <c r="AB58" i="16"/>
  <c r="AA58" i="16"/>
  <c r="BU57" i="16"/>
  <c r="BT57" i="16"/>
  <c r="BS57" i="16"/>
  <c r="BR57" i="16"/>
  <c r="BQ57" i="16"/>
  <c r="BK57" i="16"/>
  <c r="BJ57" i="16"/>
  <c r="BD57" i="16"/>
  <c r="BC57" i="16"/>
  <c r="BB57" i="16"/>
  <c r="AC118" i="16" s="1"/>
  <c r="AC196" i="16" s="1"/>
  <c r="AC260" i="16" s="1"/>
  <c r="BA57" i="16"/>
  <c r="AZ57" i="16"/>
  <c r="AY57" i="16"/>
  <c r="AX57" i="16"/>
  <c r="AC102" i="16" s="1"/>
  <c r="AC180" i="16" s="1"/>
  <c r="AC244" i="16" s="1"/>
  <c r="AP57" i="16"/>
  <c r="AO57" i="16"/>
  <c r="AN57" i="16"/>
  <c r="AM57" i="16"/>
  <c r="AL57" i="16"/>
  <c r="BG57" i="16" s="1"/>
  <c r="AK57" i="16"/>
  <c r="AJ57" i="16"/>
  <c r="AI57" i="16"/>
  <c r="Y126" i="16" s="1"/>
  <c r="Y204" i="16" s="1"/>
  <c r="Y268" i="16" s="1"/>
  <c r="AH57" i="16"/>
  <c r="Y122" i="16" s="1"/>
  <c r="Y200" i="16" s="1"/>
  <c r="Y264" i="16" s="1"/>
  <c r="AG57" i="16"/>
  <c r="AF57" i="16"/>
  <c r="Y114" i="16" s="1"/>
  <c r="Y192" i="16" s="1"/>
  <c r="Y256" i="16" s="1"/>
  <c r="AE57" i="16"/>
  <c r="Y110" i="16" s="1"/>
  <c r="Y188" i="16" s="1"/>
  <c r="Y252" i="16" s="1"/>
  <c r="AD57" i="16"/>
  <c r="AC57" i="16"/>
  <c r="AB57" i="16"/>
  <c r="AA57" i="16"/>
  <c r="BU56" i="16"/>
  <c r="BT56" i="16"/>
  <c r="BS56" i="16"/>
  <c r="BR56" i="16"/>
  <c r="BQ56" i="16"/>
  <c r="BC56" i="16"/>
  <c r="BB56" i="16"/>
  <c r="BA56" i="16"/>
  <c r="AZ56" i="16"/>
  <c r="AP56" i="16"/>
  <c r="AO56" i="16"/>
  <c r="AN56" i="16"/>
  <c r="AM56" i="16"/>
  <c r="AL56" i="16"/>
  <c r="BG56" i="16" s="1"/>
  <c r="AK56" i="16"/>
  <c r="Y133" i="16" s="1"/>
  <c r="Y211" i="16" s="1"/>
  <c r="AJ56" i="16"/>
  <c r="BE56" i="16" s="1"/>
  <c r="AI56" i="16"/>
  <c r="BD56" i="16" s="1"/>
  <c r="AH56" i="16"/>
  <c r="AG56" i="16"/>
  <c r="AF56" i="16"/>
  <c r="Y113" i="16" s="1"/>
  <c r="Y191" i="16" s="1"/>
  <c r="Y255" i="16" s="1"/>
  <c r="AE56" i="16"/>
  <c r="Y109" i="16" s="1"/>
  <c r="AD56" i="16"/>
  <c r="AY56" i="16" s="1"/>
  <c r="AC56" i="16"/>
  <c r="AX56" i="16" s="1"/>
  <c r="AB56" i="16"/>
  <c r="AW56" i="16" s="1"/>
  <c r="AC97" i="16" s="1"/>
  <c r="AA56" i="16"/>
  <c r="BU55" i="16"/>
  <c r="BT55" i="16"/>
  <c r="BS55" i="16"/>
  <c r="BR55" i="16"/>
  <c r="BQ55" i="16"/>
  <c r="BI55" i="16"/>
  <c r="BE55" i="16"/>
  <c r="BD55" i="16"/>
  <c r="BC55" i="16"/>
  <c r="BB55" i="16"/>
  <c r="AP55" i="16"/>
  <c r="BK55" i="16" s="1"/>
  <c r="AO55" i="16"/>
  <c r="AN55" i="16"/>
  <c r="Y144" i="16" s="1"/>
  <c r="Y222" i="16" s="1"/>
  <c r="Y286" i="16" s="1"/>
  <c r="AM55" i="16"/>
  <c r="AL55" i="16"/>
  <c r="AK55" i="16"/>
  <c r="BF55" i="16" s="1"/>
  <c r="AJ55" i="16"/>
  <c r="AI55" i="16"/>
  <c r="AH55" i="16"/>
  <c r="AG55" i="16"/>
  <c r="AF55" i="16"/>
  <c r="AE55" i="16"/>
  <c r="AD55" i="16"/>
  <c r="AY55" i="16" s="1"/>
  <c r="AC55" i="16"/>
  <c r="AB55" i="16"/>
  <c r="Y96" i="16" s="1"/>
  <c r="Y174" i="16" s="1"/>
  <c r="Y238" i="16" s="1"/>
  <c r="AA55" i="16"/>
  <c r="BU54" i="16"/>
  <c r="BT54" i="16"/>
  <c r="BS54" i="16"/>
  <c r="BR54" i="16"/>
  <c r="BQ54" i="16"/>
  <c r="BG54" i="16"/>
  <c r="BF54" i="16"/>
  <c r="BE54" i="16"/>
  <c r="BD54" i="16"/>
  <c r="AV54" i="16"/>
  <c r="AP54" i="16"/>
  <c r="AO54" i="16"/>
  <c r="AN54" i="16"/>
  <c r="AM54" i="16"/>
  <c r="N143" i="16" s="1"/>
  <c r="AL54" i="16"/>
  <c r="AK54" i="16"/>
  <c r="AJ54" i="16"/>
  <c r="AI54" i="16"/>
  <c r="AH54" i="16"/>
  <c r="AG54" i="16"/>
  <c r="BB54" i="16" s="1"/>
  <c r="AF54" i="16"/>
  <c r="BA54" i="16" s="1"/>
  <c r="AE54" i="16"/>
  <c r="AD54" i="16"/>
  <c r="AC54" i="16"/>
  <c r="AB54" i="16"/>
  <c r="AA54" i="16"/>
  <c r="BU53" i="16"/>
  <c r="BT53" i="16"/>
  <c r="BS53" i="16"/>
  <c r="BR53" i="16"/>
  <c r="BQ53" i="16"/>
  <c r="BI53" i="16"/>
  <c r="BH53" i="16"/>
  <c r="BG53" i="16"/>
  <c r="BF53" i="16"/>
  <c r="BA53" i="16"/>
  <c r="AZ53" i="16"/>
  <c r="AY53" i="16"/>
  <c r="AX53" i="16"/>
  <c r="AW53" i="16"/>
  <c r="AV53" i="16"/>
  <c r="AP53" i="16"/>
  <c r="N154" i="16" s="1"/>
  <c r="N232" i="16" s="1"/>
  <c r="N296" i="16" s="1"/>
  <c r="AO53" i="16"/>
  <c r="N150" i="16" s="1"/>
  <c r="N228" i="16" s="1"/>
  <c r="N292" i="16" s="1"/>
  <c r="AN53" i="16"/>
  <c r="N146" i="16" s="1"/>
  <c r="N224" i="16" s="1"/>
  <c r="N288" i="16" s="1"/>
  <c r="AM53" i="16"/>
  <c r="N142" i="16" s="1"/>
  <c r="N220" i="16" s="1"/>
  <c r="N284" i="16" s="1"/>
  <c r="AL53" i="16"/>
  <c r="N138" i="16" s="1"/>
  <c r="N216" i="16" s="1"/>
  <c r="N280" i="16" s="1"/>
  <c r="AK53" i="16"/>
  <c r="AJ53" i="16"/>
  <c r="AI53" i="16"/>
  <c r="AH53" i="16"/>
  <c r="AG53" i="16"/>
  <c r="BB53" i="16" s="1"/>
  <c r="AF53" i="16"/>
  <c r="N114" i="16" s="1"/>
  <c r="N192" i="16" s="1"/>
  <c r="N256" i="16" s="1"/>
  <c r="AE53" i="16"/>
  <c r="AD53" i="16"/>
  <c r="N106" i="16" s="1"/>
  <c r="N184" i="16" s="1"/>
  <c r="N248" i="16" s="1"/>
  <c r="AC53" i="16"/>
  <c r="N102" i="16" s="1"/>
  <c r="N180" i="16" s="1"/>
  <c r="N244" i="16" s="1"/>
  <c r="AB53" i="16"/>
  <c r="AA53" i="16"/>
  <c r="BU52" i="16"/>
  <c r="BT52" i="16"/>
  <c r="BS52" i="16"/>
  <c r="BR52" i="16"/>
  <c r="BQ52" i="16"/>
  <c r="BK52" i="16"/>
  <c r="BJ52" i="16"/>
  <c r="BI52" i="16"/>
  <c r="BH52" i="16"/>
  <c r="BB52" i="16"/>
  <c r="AY52" i="16"/>
  <c r="AX52" i="16"/>
  <c r="AW52" i="16"/>
  <c r="AV52" i="16"/>
  <c r="AP52" i="16"/>
  <c r="AO52" i="16"/>
  <c r="AN52" i="16"/>
  <c r="AM52" i="16"/>
  <c r="AL52" i="16"/>
  <c r="AK52" i="16"/>
  <c r="AJ52" i="16"/>
  <c r="AI52" i="16"/>
  <c r="BD52" i="16" s="1"/>
  <c r="AH52" i="16"/>
  <c r="AG52" i="16"/>
  <c r="AF52" i="16"/>
  <c r="AE52" i="16"/>
  <c r="AD52" i="16"/>
  <c r="N105" i="16" s="1"/>
  <c r="N183" i="16" s="1"/>
  <c r="N247" i="16" s="1"/>
  <c r="AC52" i="16"/>
  <c r="AB52" i="16"/>
  <c r="AA52" i="16"/>
  <c r="BU51" i="16"/>
  <c r="BT51" i="16"/>
  <c r="BS51" i="16"/>
  <c r="BR51" i="16"/>
  <c r="BQ51" i="16"/>
  <c r="BK51" i="16"/>
  <c r="BJ51" i="16"/>
  <c r="BI51" i="16"/>
  <c r="BD51" i="16"/>
  <c r="R124" i="16" s="1"/>
  <c r="R202" i="16" s="1"/>
  <c r="R266" i="16" s="1"/>
  <c r="BC51" i="16"/>
  <c r="AZ51" i="16"/>
  <c r="AY51" i="16"/>
  <c r="AX51" i="16"/>
  <c r="AW51" i="16"/>
  <c r="AP51" i="16"/>
  <c r="N152" i="16" s="1"/>
  <c r="N230" i="16" s="1"/>
  <c r="N294" i="16" s="1"/>
  <c r="AO51" i="16"/>
  <c r="N148" i="16" s="1"/>
  <c r="N226" i="16" s="1"/>
  <c r="N290" i="16" s="1"/>
  <c r="AN51" i="16"/>
  <c r="AM51" i="16"/>
  <c r="AL51" i="16"/>
  <c r="AK51" i="16"/>
  <c r="BF51" i="16" s="1"/>
  <c r="R132" i="16" s="1"/>
  <c r="R210" i="16" s="1"/>
  <c r="R274" i="16" s="1"/>
  <c r="AJ51" i="16"/>
  <c r="AI51" i="16"/>
  <c r="N124" i="16" s="1"/>
  <c r="N202" i="16" s="1"/>
  <c r="N266" i="16" s="1"/>
  <c r="AH51" i="16"/>
  <c r="N120" i="16" s="1"/>
  <c r="N198" i="16" s="1"/>
  <c r="N262" i="16" s="1"/>
  <c r="AG51" i="16"/>
  <c r="BB51" i="16" s="1"/>
  <c r="AF51" i="16"/>
  <c r="AE51" i="16"/>
  <c r="AD51" i="16"/>
  <c r="N104" i="16" s="1"/>
  <c r="N182" i="16" s="1"/>
  <c r="N246" i="16" s="1"/>
  <c r="AC51" i="16"/>
  <c r="AB51" i="16"/>
  <c r="AA51" i="16"/>
  <c r="AV51" i="16" s="1"/>
  <c r="BU50" i="16"/>
  <c r="BT50" i="16"/>
  <c r="BS50" i="16"/>
  <c r="BR50" i="16"/>
  <c r="BQ50" i="16"/>
  <c r="BK50" i="16"/>
  <c r="BE50" i="16"/>
  <c r="BB50" i="16"/>
  <c r="BA50" i="16"/>
  <c r="AZ50" i="16"/>
  <c r="AY50" i="16"/>
  <c r="AP50" i="16"/>
  <c r="AO50" i="16"/>
  <c r="AN50" i="16"/>
  <c r="AM50" i="16"/>
  <c r="AL50" i="16"/>
  <c r="AK50" i="16"/>
  <c r="F135" i="16" s="1"/>
  <c r="F213" i="16" s="1"/>
  <c r="F277" i="16" s="1"/>
  <c r="AJ50" i="16"/>
  <c r="F131" i="16" s="1"/>
  <c r="F209" i="16" s="1"/>
  <c r="F273" i="16" s="1"/>
  <c r="AI50" i="16"/>
  <c r="AH50" i="16"/>
  <c r="F123" i="16" s="1"/>
  <c r="F201" i="16" s="1"/>
  <c r="F265" i="16" s="1"/>
  <c r="AG50" i="16"/>
  <c r="AF50" i="16"/>
  <c r="F115" i="16" s="1"/>
  <c r="F193" i="16" s="1"/>
  <c r="F257" i="16" s="1"/>
  <c r="AE50" i="16"/>
  <c r="AD50" i="16"/>
  <c r="AC50" i="16"/>
  <c r="AX50" i="16" s="1"/>
  <c r="AB50" i="16"/>
  <c r="AA50" i="16"/>
  <c r="BU49" i="16"/>
  <c r="BT49" i="16"/>
  <c r="BS49" i="16"/>
  <c r="BR49" i="16"/>
  <c r="BQ49" i="16"/>
  <c r="BD49" i="16"/>
  <c r="BC49" i="16"/>
  <c r="BB49" i="16"/>
  <c r="BA49" i="16"/>
  <c r="AV49" i="16"/>
  <c r="AP49" i="16"/>
  <c r="BK49" i="16" s="1"/>
  <c r="AO49" i="16"/>
  <c r="AN49" i="16"/>
  <c r="AM49" i="16"/>
  <c r="BH49" i="16" s="1"/>
  <c r="AL49" i="16"/>
  <c r="BG49" i="16" s="1"/>
  <c r="AK49" i="16"/>
  <c r="BF49" i="16" s="1"/>
  <c r="AJ49" i="16"/>
  <c r="F130" i="16" s="1"/>
  <c r="F208" i="16" s="1"/>
  <c r="F272" i="16" s="1"/>
  <c r="AI49" i="16"/>
  <c r="F126" i="16" s="1"/>
  <c r="F204" i="16" s="1"/>
  <c r="F268" i="16" s="1"/>
  <c r="AH49" i="16"/>
  <c r="AG49" i="16"/>
  <c r="F118" i="16" s="1"/>
  <c r="F196" i="16" s="1"/>
  <c r="F260" i="16" s="1"/>
  <c r="AF49" i="16"/>
  <c r="F114" i="16" s="1"/>
  <c r="F192" i="16" s="1"/>
  <c r="F256" i="16" s="1"/>
  <c r="AE49" i="16"/>
  <c r="AZ49" i="16" s="1"/>
  <c r="AD49" i="16"/>
  <c r="AY49" i="16" s="1"/>
  <c r="AC49" i="16"/>
  <c r="AB49" i="16"/>
  <c r="AA49" i="16"/>
  <c r="F94" i="16" s="1"/>
  <c r="F172" i="16" s="1"/>
  <c r="F236" i="16" s="1"/>
  <c r="BU48" i="16"/>
  <c r="BT48" i="16"/>
  <c r="BS48" i="16"/>
  <c r="BR48" i="16"/>
  <c r="BQ48" i="16"/>
  <c r="BI48" i="16"/>
  <c r="BG48" i="16"/>
  <c r="BF48" i="16"/>
  <c r="BE48" i="16"/>
  <c r="J129" i="16" s="1"/>
  <c r="J207" i="16" s="1"/>
  <c r="J271" i="16" s="1"/>
  <c r="BD48" i="16"/>
  <c r="BC48" i="16"/>
  <c r="AW48" i="16"/>
  <c r="AV48" i="16"/>
  <c r="AP48" i="16"/>
  <c r="AO48" i="16"/>
  <c r="F149" i="16" s="1"/>
  <c r="F227" i="16" s="1"/>
  <c r="F291" i="16" s="1"/>
  <c r="AN48" i="16"/>
  <c r="F145" i="16" s="1"/>
  <c r="F223" i="16" s="1"/>
  <c r="F287" i="16" s="1"/>
  <c r="AM48" i="16"/>
  <c r="F141" i="16" s="1"/>
  <c r="AL48" i="16"/>
  <c r="F137" i="16" s="1"/>
  <c r="F215" i="16" s="1"/>
  <c r="F279" i="16" s="1"/>
  <c r="AK48" i="16"/>
  <c r="AJ48" i="16"/>
  <c r="AI48" i="16"/>
  <c r="AH48" i="16"/>
  <c r="AG48" i="16"/>
  <c r="AF48" i="16"/>
  <c r="AE48" i="16"/>
  <c r="AD48" i="16"/>
  <c r="AY48" i="16" s="1"/>
  <c r="AC48" i="16"/>
  <c r="AX48" i="16" s="1"/>
  <c r="J101" i="16" s="1"/>
  <c r="J179" i="16" s="1"/>
  <c r="J243" i="16" s="1"/>
  <c r="AB48" i="16"/>
  <c r="F97" i="16" s="1"/>
  <c r="F175" i="16" s="1"/>
  <c r="F239" i="16" s="1"/>
  <c r="AA48" i="16"/>
  <c r="F93" i="16" s="1"/>
  <c r="F171" i="16" s="1"/>
  <c r="F235" i="16" s="1"/>
  <c r="BU47" i="16"/>
  <c r="BT47" i="16"/>
  <c r="BS47" i="16"/>
  <c r="BR47" i="16"/>
  <c r="BQ47" i="16"/>
  <c r="BJ47" i="16"/>
  <c r="BI47" i="16"/>
  <c r="BH47" i="16"/>
  <c r="BG47" i="16"/>
  <c r="BF47" i="16"/>
  <c r="BE47" i="16"/>
  <c r="BD47" i="16"/>
  <c r="AY47" i="16"/>
  <c r="AP47" i="16"/>
  <c r="BK47" i="16" s="1"/>
  <c r="AO47" i="16"/>
  <c r="F148" i="16" s="1"/>
  <c r="F226" i="16" s="1"/>
  <c r="F290" i="16" s="1"/>
  <c r="AN47" i="16"/>
  <c r="F144" i="16" s="1"/>
  <c r="F222" i="16" s="1"/>
  <c r="F286" i="16" s="1"/>
  <c r="AM47" i="16"/>
  <c r="AL47" i="16"/>
  <c r="AK47" i="16"/>
  <c r="AJ47" i="16"/>
  <c r="AI47" i="16"/>
  <c r="AH47" i="16"/>
  <c r="AG47" i="16"/>
  <c r="AF47" i="16"/>
  <c r="BA47" i="16" s="1"/>
  <c r="AE47" i="16"/>
  <c r="AZ47" i="16" s="1"/>
  <c r="AD47" i="16"/>
  <c r="AC47" i="16"/>
  <c r="AB47" i="16"/>
  <c r="AA47" i="16"/>
  <c r="AV47" i="16" s="1"/>
  <c r="BU46" i="16"/>
  <c r="BT46" i="16"/>
  <c r="BS46" i="16"/>
  <c r="BR46" i="16"/>
  <c r="BQ46" i="16"/>
  <c r="BU45" i="16"/>
  <c r="BT45" i="16"/>
  <c r="BS45" i="16"/>
  <c r="BR45" i="16"/>
  <c r="BQ45" i="16"/>
  <c r="A45" i="16"/>
  <c r="BU44" i="16"/>
  <c r="BT44" i="16"/>
  <c r="BS44" i="16"/>
  <c r="BR44" i="16"/>
  <c r="BQ44" i="16"/>
  <c r="BU43" i="16"/>
  <c r="BT43" i="16"/>
  <c r="BS43" i="16"/>
  <c r="BR43" i="16"/>
  <c r="BQ43" i="16"/>
  <c r="BG43" i="16"/>
  <c r="BC43" i="16"/>
  <c r="BB43" i="16"/>
  <c r="BA43" i="16"/>
  <c r="AZ43" i="16"/>
  <c r="AP43" i="16"/>
  <c r="AO43" i="16"/>
  <c r="AN43" i="16"/>
  <c r="BI43" i="16" s="1"/>
  <c r="AM43" i="16"/>
  <c r="AL43" i="16"/>
  <c r="AS139" i="16" s="1"/>
  <c r="AS217" i="16" s="1"/>
  <c r="AS281" i="16" s="1"/>
  <c r="AK43" i="16"/>
  <c r="AS135" i="16" s="1"/>
  <c r="AS213" i="16" s="1"/>
  <c r="AS277" i="16" s="1"/>
  <c r="AJ43" i="16"/>
  <c r="AS131" i="16" s="1"/>
  <c r="AS209" i="16" s="1"/>
  <c r="AS273" i="16" s="1"/>
  <c r="AI43" i="16"/>
  <c r="AS127" i="16" s="1"/>
  <c r="AS205" i="16" s="1"/>
  <c r="AS269" i="16" s="1"/>
  <c r="AH43" i="16"/>
  <c r="AS123" i="16" s="1"/>
  <c r="AS201" i="16" s="1"/>
  <c r="AS265" i="16" s="1"/>
  <c r="AG43" i="16"/>
  <c r="AF43" i="16"/>
  <c r="AE43" i="16"/>
  <c r="AD43" i="16"/>
  <c r="AC43" i="16"/>
  <c r="AX43" i="16" s="1"/>
  <c r="AB43" i="16"/>
  <c r="AW43" i="16" s="1"/>
  <c r="AA43" i="16"/>
  <c r="BU42" i="16"/>
  <c r="BT42" i="16"/>
  <c r="BS42" i="16"/>
  <c r="BR42" i="16"/>
  <c r="BQ42" i="16"/>
  <c r="BE42" i="16"/>
  <c r="BD42" i="16"/>
  <c r="BC42" i="16"/>
  <c r="BB42" i="16"/>
  <c r="AW42" i="16"/>
  <c r="AV42" i="16"/>
  <c r="AP42" i="16"/>
  <c r="AO42" i="16"/>
  <c r="AN42" i="16"/>
  <c r="BI42" i="16" s="1"/>
  <c r="AM42" i="16"/>
  <c r="AS142" i="16" s="1"/>
  <c r="AS220" i="16" s="1"/>
  <c r="AS284" i="16" s="1"/>
  <c r="AL42" i="16"/>
  <c r="BG42" i="16" s="1"/>
  <c r="AK42" i="16"/>
  <c r="BF42" i="16" s="1"/>
  <c r="AJ42" i="16"/>
  <c r="AS130" i="16" s="1"/>
  <c r="AI42" i="16"/>
  <c r="AH42" i="16"/>
  <c r="AS122" i="16" s="1"/>
  <c r="AS200" i="16" s="1"/>
  <c r="AS264" i="16" s="1"/>
  <c r="AG42" i="16"/>
  <c r="AF42" i="16"/>
  <c r="AE42" i="16"/>
  <c r="AD42" i="16"/>
  <c r="AC42" i="16"/>
  <c r="AX42" i="16" s="1"/>
  <c r="AB42" i="16"/>
  <c r="AS98" i="16" s="1"/>
  <c r="AS176" i="16" s="1"/>
  <c r="AS240" i="16" s="1"/>
  <c r="AA42" i="16"/>
  <c r="BU41" i="16"/>
  <c r="BT41" i="16"/>
  <c r="BS41" i="16"/>
  <c r="BR41" i="16"/>
  <c r="BQ41" i="16"/>
  <c r="BK41" i="16"/>
  <c r="BJ41" i="16"/>
  <c r="BG41" i="16"/>
  <c r="BF41" i="16"/>
  <c r="BE41" i="16"/>
  <c r="BD41" i="16"/>
  <c r="AP41" i="16"/>
  <c r="AS153" i="16" s="1"/>
  <c r="AS231" i="16" s="1"/>
  <c r="AS295" i="16" s="1"/>
  <c r="AO41" i="16"/>
  <c r="AS149" i="16" s="1"/>
  <c r="AN41" i="16"/>
  <c r="AM41" i="16"/>
  <c r="AL41" i="16"/>
  <c r="AK41" i="16"/>
  <c r="AS133" i="16" s="1"/>
  <c r="AJ41" i="16"/>
  <c r="AI41" i="16"/>
  <c r="AH41" i="16"/>
  <c r="BC41" i="16" s="1"/>
  <c r="AG41" i="16"/>
  <c r="BB41" i="16" s="1"/>
  <c r="AF41" i="16"/>
  <c r="BA41" i="16" s="1"/>
  <c r="AW113" i="16" s="1"/>
  <c r="AW191" i="16" s="1"/>
  <c r="AW255" i="16" s="1"/>
  <c r="AE41" i="16"/>
  <c r="AD41" i="16"/>
  <c r="AC41" i="16"/>
  <c r="AX41" i="16" s="1"/>
  <c r="AB41" i="16"/>
  <c r="AA41" i="16"/>
  <c r="BU40" i="16"/>
  <c r="BT40" i="16"/>
  <c r="BS40" i="16"/>
  <c r="BR40" i="16"/>
  <c r="BQ40" i="16"/>
  <c r="BI40" i="16"/>
  <c r="BH40" i="16"/>
  <c r="BG40" i="16"/>
  <c r="BF40" i="16"/>
  <c r="BA40" i="16"/>
  <c r="AZ40" i="16"/>
  <c r="AW40" i="16"/>
  <c r="AV40" i="16"/>
  <c r="AP40" i="16"/>
  <c r="BK40" i="16" s="1"/>
  <c r="AO40" i="16"/>
  <c r="AN40" i="16"/>
  <c r="AM40" i="16"/>
  <c r="AL40" i="16"/>
  <c r="AS136" i="16" s="1"/>
  <c r="AS214" i="16" s="1"/>
  <c r="AS278" i="16" s="1"/>
  <c r="AK40" i="16"/>
  <c r="AJ40" i="16"/>
  <c r="BE40" i="16" s="1"/>
  <c r="AI40" i="16"/>
  <c r="AH40" i="16"/>
  <c r="BC40" i="16" s="1"/>
  <c r="AG40" i="16"/>
  <c r="BB40" i="16" s="1"/>
  <c r="AF40" i="16"/>
  <c r="AE40" i="16"/>
  <c r="AS108" i="16" s="1"/>
  <c r="AD40" i="16"/>
  <c r="AC40" i="16"/>
  <c r="AB40" i="16"/>
  <c r="AA40" i="16"/>
  <c r="BU39" i="16"/>
  <c r="BT39" i="16"/>
  <c r="BS39" i="16"/>
  <c r="BR39" i="16"/>
  <c r="BQ39" i="16"/>
  <c r="BK39" i="16"/>
  <c r="BJ39" i="16"/>
  <c r="BI39" i="16"/>
  <c r="BH39" i="16"/>
  <c r="BC39" i="16"/>
  <c r="AZ39" i="16"/>
  <c r="AY39" i="16"/>
  <c r="AX39" i="16"/>
  <c r="AW39" i="16"/>
  <c r="AV39" i="16"/>
  <c r="AP39" i="16"/>
  <c r="AO39" i="16"/>
  <c r="AN39" i="16"/>
  <c r="AH147" i="16" s="1"/>
  <c r="AH225" i="16" s="1"/>
  <c r="AH289" i="16" s="1"/>
  <c r="AM39" i="16"/>
  <c r="AL39" i="16"/>
  <c r="AK39" i="16"/>
  <c r="AJ39" i="16"/>
  <c r="BE39" i="16" s="1"/>
  <c r="AI39" i="16"/>
  <c r="AH39" i="16"/>
  <c r="AG39" i="16"/>
  <c r="AH119" i="16" s="1"/>
  <c r="AH197" i="16" s="1"/>
  <c r="AH261" i="16" s="1"/>
  <c r="AF39" i="16"/>
  <c r="AE39" i="16"/>
  <c r="AD39" i="16"/>
  <c r="AC39" i="16"/>
  <c r="AB39" i="16"/>
  <c r="AH99" i="16" s="1"/>
  <c r="AH177" i="16" s="1"/>
  <c r="AH241" i="16" s="1"/>
  <c r="AA39" i="16"/>
  <c r="BU38" i="16"/>
  <c r="BT38" i="16"/>
  <c r="BS38" i="16"/>
  <c r="BR38" i="16"/>
  <c r="BQ38" i="16"/>
  <c r="BK38" i="16"/>
  <c r="BJ38" i="16"/>
  <c r="BE38" i="16"/>
  <c r="BA38" i="16"/>
  <c r="AZ38" i="16"/>
  <c r="AY38" i="16"/>
  <c r="AX38" i="16"/>
  <c r="AP38" i="16"/>
  <c r="AH154" i="16" s="1"/>
  <c r="AH232" i="16" s="1"/>
  <c r="AH296" i="16" s="1"/>
  <c r="AO38" i="16"/>
  <c r="AH150" i="16" s="1"/>
  <c r="AH228" i="16" s="1"/>
  <c r="AN38" i="16"/>
  <c r="BI38" i="16" s="1"/>
  <c r="AM38" i="16"/>
  <c r="AL38" i="16"/>
  <c r="AK38" i="16"/>
  <c r="AJ38" i="16"/>
  <c r="AI38" i="16"/>
  <c r="AH38" i="16"/>
  <c r="AG38" i="16"/>
  <c r="AH118" i="16" s="1"/>
  <c r="AH196" i="16" s="1"/>
  <c r="AH260" i="16" s="1"/>
  <c r="AF38" i="16"/>
  <c r="AE38" i="16"/>
  <c r="AD38" i="16"/>
  <c r="AC38" i="16"/>
  <c r="AB38" i="16"/>
  <c r="AA38" i="16"/>
  <c r="AV38" i="16" s="1"/>
  <c r="BU37" i="16"/>
  <c r="BT37" i="16"/>
  <c r="BS37" i="16"/>
  <c r="BR37" i="16"/>
  <c r="BQ37" i="16"/>
  <c r="BG37" i="16"/>
  <c r="BC37" i="16"/>
  <c r="AL121" i="16" s="1"/>
  <c r="AL199" i="16" s="1"/>
  <c r="AL263" i="16" s="1"/>
  <c r="BB37" i="16"/>
  <c r="BA37" i="16"/>
  <c r="AZ37" i="16"/>
  <c r="AP37" i="16"/>
  <c r="AO37" i="16"/>
  <c r="AN37" i="16"/>
  <c r="AM37" i="16"/>
  <c r="AL37" i="16"/>
  <c r="AH137" i="16" s="1"/>
  <c r="AH215" i="16" s="1"/>
  <c r="AH279" i="16" s="1"/>
  <c r="AK37" i="16"/>
  <c r="AJ37" i="16"/>
  <c r="AH129" i="16" s="1"/>
  <c r="AI37" i="16"/>
  <c r="AH125" i="16" s="1"/>
  <c r="AH203" i="16" s="1"/>
  <c r="AH267" i="16" s="1"/>
  <c r="AH37" i="16"/>
  <c r="AG37" i="16"/>
  <c r="AH117" i="16" s="1"/>
  <c r="AF37" i="16"/>
  <c r="AE37" i="16"/>
  <c r="AD37" i="16"/>
  <c r="AY37" i="16" s="1"/>
  <c r="AC37" i="16"/>
  <c r="AB37" i="16"/>
  <c r="AA37" i="16"/>
  <c r="BU36" i="16"/>
  <c r="BT36" i="16"/>
  <c r="BS36" i="16"/>
  <c r="BR36" i="16"/>
  <c r="BQ36" i="16"/>
  <c r="BE36" i="16"/>
  <c r="BD36" i="16"/>
  <c r="BC36" i="16"/>
  <c r="BB36" i="16"/>
  <c r="AW36" i="16"/>
  <c r="AV36" i="16"/>
  <c r="AP36" i="16"/>
  <c r="AO36" i="16"/>
  <c r="AN36" i="16"/>
  <c r="AH144" i="16" s="1"/>
  <c r="AH222" i="16" s="1"/>
  <c r="AH286" i="16" s="1"/>
  <c r="AM36" i="16"/>
  <c r="AH140" i="16" s="1"/>
  <c r="AH218" i="16" s="1"/>
  <c r="AH282" i="16" s="1"/>
  <c r="AL36" i="16"/>
  <c r="BG36" i="16" s="1"/>
  <c r="AK36" i="16"/>
  <c r="AH132" i="16" s="1"/>
  <c r="AH210" i="16" s="1"/>
  <c r="AH274" i="16" s="1"/>
  <c r="AJ36" i="16"/>
  <c r="AI36" i="16"/>
  <c r="AH124" i="16" s="1"/>
  <c r="AH202" i="16" s="1"/>
  <c r="AH266" i="16" s="1"/>
  <c r="AH36" i="16"/>
  <c r="AH120" i="16" s="1"/>
  <c r="AH198" i="16" s="1"/>
  <c r="AH262" i="16" s="1"/>
  <c r="AG36" i="16"/>
  <c r="AF36" i="16"/>
  <c r="AE36" i="16"/>
  <c r="AD36" i="16"/>
  <c r="AC36" i="16"/>
  <c r="AB36" i="16"/>
  <c r="AA36" i="16"/>
  <c r="AH92" i="16" s="1"/>
  <c r="AH170" i="16" s="1"/>
  <c r="AH234" i="16" s="1"/>
  <c r="BU35" i="16"/>
  <c r="BT35" i="16"/>
  <c r="BS35" i="16"/>
  <c r="BR35" i="16"/>
  <c r="BQ35" i="16"/>
  <c r="BJ35" i="16"/>
  <c r="BH35" i="16"/>
  <c r="BG35" i="16"/>
  <c r="BF35" i="16"/>
  <c r="AD135" i="16" s="1"/>
  <c r="AD213" i="16" s="1"/>
  <c r="AD277" i="16" s="1"/>
  <c r="BE35" i="16"/>
  <c r="BD35" i="16"/>
  <c r="BC35" i="16"/>
  <c r="AW35" i="16"/>
  <c r="AV35" i="16"/>
  <c r="AP35" i="16"/>
  <c r="AO35" i="16"/>
  <c r="Z151" i="16" s="1"/>
  <c r="Z229" i="16" s="1"/>
  <c r="Z293" i="16" s="1"/>
  <c r="AN35" i="16"/>
  <c r="Z147" i="16" s="1"/>
  <c r="Z225" i="16" s="1"/>
  <c r="Z289" i="16" s="1"/>
  <c r="AM35" i="16"/>
  <c r="Z143" i="16" s="1"/>
  <c r="Z221" i="16" s="1"/>
  <c r="Z285" i="16" s="1"/>
  <c r="AL35" i="16"/>
  <c r="Z139" i="16" s="1"/>
  <c r="Z217" i="16" s="1"/>
  <c r="Z281" i="16" s="1"/>
  <c r="AK35" i="16"/>
  <c r="Z135" i="16" s="1"/>
  <c r="Z213" i="16" s="1"/>
  <c r="Z277" i="16" s="1"/>
  <c r="AJ35" i="16"/>
  <c r="Z131" i="16" s="1"/>
  <c r="Z209" i="16" s="1"/>
  <c r="Z273" i="16" s="1"/>
  <c r="AI35" i="16"/>
  <c r="Z127" i="16" s="1"/>
  <c r="Z205" i="16" s="1"/>
  <c r="Z269" i="16" s="1"/>
  <c r="AH35" i="16"/>
  <c r="AG35" i="16"/>
  <c r="AF35" i="16"/>
  <c r="AE35" i="16"/>
  <c r="AD35" i="16"/>
  <c r="AC35" i="16"/>
  <c r="AX35" i="16" s="1"/>
  <c r="AB35" i="16"/>
  <c r="Z99" i="16" s="1"/>
  <c r="Z177" i="16" s="1"/>
  <c r="AA35" i="16"/>
  <c r="Z95" i="16" s="1"/>
  <c r="Z173" i="16" s="1"/>
  <c r="Z237" i="16" s="1"/>
  <c r="BW34" i="16"/>
  <c r="W12" i="22" s="1"/>
  <c r="BU34" i="16"/>
  <c r="BT34" i="16"/>
  <c r="BS34" i="16"/>
  <c r="BR34" i="16"/>
  <c r="BQ34" i="16"/>
  <c r="BK34" i="16"/>
  <c r="BJ34" i="16"/>
  <c r="BI34" i="16"/>
  <c r="BH34" i="16"/>
  <c r="BG34" i="16"/>
  <c r="BF34" i="16"/>
  <c r="BE34" i="16"/>
  <c r="AV34" i="16"/>
  <c r="AP34" i="16"/>
  <c r="Z154" i="16" s="1"/>
  <c r="Z232" i="16" s="1"/>
  <c r="Z296" i="16" s="1"/>
  <c r="AO34" i="16"/>
  <c r="Z150" i="16" s="1"/>
  <c r="Z228" i="16" s="1"/>
  <c r="Z292" i="16" s="1"/>
  <c r="AN34" i="16"/>
  <c r="Z146" i="16" s="1"/>
  <c r="Z224" i="16" s="1"/>
  <c r="AM34" i="16"/>
  <c r="AL34" i="16"/>
  <c r="AK34" i="16"/>
  <c r="Z134" i="16" s="1"/>
  <c r="Z212" i="16" s="1"/>
  <c r="Z276" i="16" s="1"/>
  <c r="AJ34" i="16"/>
  <c r="AI34" i="16"/>
  <c r="AH34" i="16"/>
  <c r="BC34" i="16" s="1"/>
  <c r="AG34" i="16"/>
  <c r="BB34" i="16" s="1"/>
  <c r="AF34" i="16"/>
  <c r="BA34" i="16" s="1"/>
  <c r="AE34" i="16"/>
  <c r="AD34" i="16"/>
  <c r="AY34" i="16" s="1"/>
  <c r="AC34" i="16"/>
  <c r="AX34" i="16" s="1"/>
  <c r="AB34" i="16"/>
  <c r="AA34" i="16"/>
  <c r="Z94" i="16" s="1"/>
  <c r="Z172" i="16" s="1"/>
  <c r="Z236" i="16" s="1"/>
  <c r="BU33" i="16"/>
  <c r="BT33" i="16"/>
  <c r="BS33" i="16"/>
  <c r="BR33" i="16"/>
  <c r="BQ33" i="16"/>
  <c r="BI33" i="16"/>
  <c r="BH33" i="16"/>
  <c r="BG33" i="16"/>
  <c r="BF33" i="16"/>
  <c r="BA33" i="16"/>
  <c r="AZ33" i="16"/>
  <c r="AY33" i="16"/>
  <c r="AX33" i="16"/>
  <c r="AW33" i="16"/>
  <c r="AD97" i="16" s="1"/>
  <c r="AD175" i="16" s="1"/>
  <c r="AD239" i="16" s="1"/>
  <c r="AV33" i="16"/>
  <c r="AP33" i="16"/>
  <c r="Z153" i="16" s="1"/>
  <c r="Z231" i="16" s="1"/>
  <c r="Z295" i="16" s="1"/>
  <c r="AO33" i="16"/>
  <c r="Z149" i="16" s="1"/>
  <c r="AN33" i="16"/>
  <c r="AM33" i="16"/>
  <c r="Z141" i="16" s="1"/>
  <c r="Z219" i="16" s="1"/>
  <c r="Z283" i="16" s="1"/>
  <c r="AL33" i="16"/>
  <c r="Z137" i="16" s="1"/>
  <c r="AK33" i="16"/>
  <c r="AJ33" i="16"/>
  <c r="BE33" i="16" s="1"/>
  <c r="AI33" i="16"/>
  <c r="AH33" i="16"/>
  <c r="AG33" i="16"/>
  <c r="AF33" i="16"/>
  <c r="Z113" i="16" s="1"/>
  <c r="AE33" i="16"/>
  <c r="Z109" i="16" s="1"/>
  <c r="AD33" i="16"/>
  <c r="AC33" i="16"/>
  <c r="AB33" i="16"/>
  <c r="AA33" i="16"/>
  <c r="Z93" i="16" s="1"/>
  <c r="Z171" i="16" s="1"/>
  <c r="Z235" i="16" s="1"/>
  <c r="BU32" i="16"/>
  <c r="BT32" i="16"/>
  <c r="BS32" i="16"/>
  <c r="BR32" i="16"/>
  <c r="BQ32" i="16"/>
  <c r="BK32" i="16"/>
  <c r="BJ32" i="16"/>
  <c r="BI32" i="16"/>
  <c r="BH32" i="16"/>
  <c r="BB32" i="16"/>
  <c r="BA32" i="16"/>
  <c r="AZ32" i="16"/>
  <c r="AY32" i="16"/>
  <c r="AX32" i="16"/>
  <c r="AW32" i="16"/>
  <c r="AV32" i="16"/>
  <c r="AP32" i="16"/>
  <c r="Z152" i="16" s="1"/>
  <c r="AO32" i="16"/>
  <c r="AN32" i="16"/>
  <c r="AM32" i="16"/>
  <c r="Z140" i="16" s="1"/>
  <c r="AL32" i="16"/>
  <c r="AK32" i="16"/>
  <c r="AJ32" i="16"/>
  <c r="AI32" i="16"/>
  <c r="AH32" i="16"/>
  <c r="AG32" i="16"/>
  <c r="AF32" i="16"/>
  <c r="Z112" i="16" s="1"/>
  <c r="Z190" i="16" s="1"/>
  <c r="AE32" i="16"/>
  <c r="Z108" i="16" s="1"/>
  <c r="Z186" i="16" s="1"/>
  <c r="Z250" i="16" s="1"/>
  <c r="AD32" i="16"/>
  <c r="AC32" i="16"/>
  <c r="AB32" i="16"/>
  <c r="AA32" i="16"/>
  <c r="BU31" i="16"/>
  <c r="BT31" i="16"/>
  <c r="BS31" i="16"/>
  <c r="BR31" i="16"/>
  <c r="BQ31" i="16"/>
  <c r="BK31" i="16"/>
  <c r="BJ31" i="16"/>
  <c r="BE31" i="16"/>
  <c r="BD31" i="16"/>
  <c r="BC31" i="16"/>
  <c r="S123" i="16" s="1"/>
  <c r="S201" i="16" s="1"/>
  <c r="S265" i="16" s="1"/>
  <c r="BA31" i="16"/>
  <c r="AZ31" i="16"/>
  <c r="AY31" i="16"/>
  <c r="AX31" i="16"/>
  <c r="AP31" i="16"/>
  <c r="AO31" i="16"/>
  <c r="O151" i="16" s="1"/>
  <c r="O229" i="16" s="1"/>
  <c r="O293" i="16" s="1"/>
  <c r="AN31" i="16"/>
  <c r="AM31" i="16"/>
  <c r="AL31" i="16"/>
  <c r="AK31" i="16"/>
  <c r="BF31" i="16" s="1"/>
  <c r="AJ31" i="16"/>
  <c r="O131" i="16" s="1"/>
  <c r="O209" i="16" s="1"/>
  <c r="O273" i="16" s="1"/>
  <c r="AI31" i="16"/>
  <c r="O127" i="16" s="1"/>
  <c r="O205" i="16" s="1"/>
  <c r="O269" i="16" s="1"/>
  <c r="AH31" i="16"/>
  <c r="O123" i="16" s="1"/>
  <c r="AG31" i="16"/>
  <c r="AF31" i="16"/>
  <c r="AE31" i="16"/>
  <c r="AD31" i="16"/>
  <c r="AC31" i="16"/>
  <c r="AB31" i="16"/>
  <c r="AW31" i="16" s="1"/>
  <c r="AA31" i="16"/>
  <c r="AV31" i="16" s="1"/>
  <c r="BU30" i="16"/>
  <c r="BT30" i="16"/>
  <c r="BS30" i="16"/>
  <c r="BR30" i="16"/>
  <c r="BQ30" i="16"/>
  <c r="BC30" i="16"/>
  <c r="BB30" i="16"/>
  <c r="BA30" i="16"/>
  <c r="AZ30" i="16"/>
  <c r="S110" i="16" s="1"/>
  <c r="S188" i="16" s="1"/>
  <c r="S252" i="16" s="1"/>
  <c r="AP30" i="16"/>
  <c r="AO30" i="16"/>
  <c r="BJ30" i="16" s="1"/>
  <c r="AN30" i="16"/>
  <c r="AM30" i="16"/>
  <c r="AL30" i="16"/>
  <c r="O138" i="16" s="1"/>
  <c r="O216" i="16" s="1"/>
  <c r="O280" i="16" s="1"/>
  <c r="AK30" i="16"/>
  <c r="O134" i="16" s="1"/>
  <c r="O212" i="16" s="1"/>
  <c r="O276" i="16" s="1"/>
  <c r="AJ30" i="16"/>
  <c r="O130" i="16" s="1"/>
  <c r="O208" i="16" s="1"/>
  <c r="AI30" i="16"/>
  <c r="O126" i="16" s="1"/>
  <c r="O204" i="16" s="1"/>
  <c r="O268" i="16" s="1"/>
  <c r="AH30" i="16"/>
  <c r="O122" i="16" s="1"/>
  <c r="O200" i="16" s="1"/>
  <c r="O264" i="16" s="1"/>
  <c r="AG30" i="16"/>
  <c r="AF30" i="16"/>
  <c r="AE30" i="16"/>
  <c r="AD30" i="16"/>
  <c r="AC30" i="16"/>
  <c r="AB30" i="16"/>
  <c r="AW30" i="16" s="1"/>
  <c r="AA30" i="16"/>
  <c r="AV30" i="16" s="1"/>
  <c r="BU29" i="16"/>
  <c r="BT29" i="16"/>
  <c r="BS29" i="16"/>
  <c r="BR29" i="16"/>
  <c r="BQ29" i="16"/>
  <c r="BE29" i="16"/>
  <c r="BD29" i="16"/>
  <c r="BC29" i="16"/>
  <c r="BB29" i="16"/>
  <c r="AV29" i="16"/>
  <c r="AP29" i="16"/>
  <c r="AO29" i="16"/>
  <c r="AN29" i="16"/>
  <c r="AM29" i="16"/>
  <c r="BH29" i="16" s="1"/>
  <c r="AL29" i="16"/>
  <c r="O137" i="16" s="1"/>
  <c r="O215" i="16" s="1"/>
  <c r="AK29" i="16"/>
  <c r="O133" i="16" s="1"/>
  <c r="AJ29" i="16"/>
  <c r="O129" i="16" s="1"/>
  <c r="O207" i="16" s="1"/>
  <c r="O271" i="16" s="1"/>
  <c r="AI29" i="16"/>
  <c r="AH29" i="16"/>
  <c r="O121" i="16" s="1"/>
  <c r="O199" i="16" s="1"/>
  <c r="O263" i="16" s="1"/>
  <c r="AG29" i="16"/>
  <c r="AF29" i="16"/>
  <c r="AE29" i="16"/>
  <c r="AZ29" i="16" s="1"/>
  <c r="AD29" i="16"/>
  <c r="AC29" i="16"/>
  <c r="AB29" i="16"/>
  <c r="AW29" i="16" s="1"/>
  <c r="AA29" i="16"/>
  <c r="BU28" i="16"/>
  <c r="BT28" i="16"/>
  <c r="BS28" i="16"/>
  <c r="BR28" i="16"/>
  <c r="BQ28" i="16"/>
  <c r="BK28" i="16"/>
  <c r="BI28" i="16"/>
  <c r="BH28" i="16"/>
  <c r="BG28" i="16"/>
  <c r="BF28" i="16"/>
  <c r="BE28" i="16"/>
  <c r="BD28" i="16"/>
  <c r="AP28" i="16"/>
  <c r="O152" i="16" s="1"/>
  <c r="O230" i="16" s="1"/>
  <c r="O294" i="16" s="1"/>
  <c r="AO28" i="16"/>
  <c r="AN28" i="16"/>
  <c r="O144" i="16" s="1"/>
  <c r="O222" i="16" s="1"/>
  <c r="O286" i="16" s="1"/>
  <c r="AM28" i="16"/>
  <c r="O140" i="16" s="1"/>
  <c r="O218" i="16" s="1"/>
  <c r="O282" i="16" s="1"/>
  <c r="AL28" i="16"/>
  <c r="O136" i="16" s="1"/>
  <c r="O214" i="16" s="1"/>
  <c r="O278" i="16" s="1"/>
  <c r="AK28" i="16"/>
  <c r="AJ28" i="16"/>
  <c r="O128" i="16" s="1"/>
  <c r="O206" i="16" s="1"/>
  <c r="O270" i="16" s="1"/>
  <c r="AI28" i="16"/>
  <c r="O124" i="16" s="1"/>
  <c r="O202" i="16" s="1"/>
  <c r="O266" i="16" s="1"/>
  <c r="AH28" i="16"/>
  <c r="AG28" i="16"/>
  <c r="BB28" i="16" s="1"/>
  <c r="AF28" i="16"/>
  <c r="AE28" i="16"/>
  <c r="AZ28" i="16" s="1"/>
  <c r="AD28" i="16"/>
  <c r="AC28" i="16"/>
  <c r="AB28" i="16"/>
  <c r="AW28" i="16" s="1"/>
  <c r="AA28" i="16"/>
  <c r="BU27" i="16"/>
  <c r="BT27" i="16"/>
  <c r="BS27" i="16"/>
  <c r="BR27" i="16"/>
  <c r="BQ27" i="16"/>
  <c r="BI27" i="16"/>
  <c r="BH27" i="16"/>
  <c r="BG27" i="16"/>
  <c r="K139" i="16" s="1"/>
  <c r="K217" i="16" s="1"/>
  <c r="K281" i="16" s="1"/>
  <c r="BF27" i="16"/>
  <c r="BE27" i="16"/>
  <c r="AZ27" i="16"/>
  <c r="AV27" i="16"/>
  <c r="AP27" i="16"/>
  <c r="AO27" i="16"/>
  <c r="G151" i="16" s="1"/>
  <c r="G229" i="16" s="1"/>
  <c r="G293" i="16" s="1"/>
  <c r="AN27" i="16"/>
  <c r="G147" i="16" s="1"/>
  <c r="G225" i="16" s="1"/>
  <c r="G289" i="16" s="1"/>
  <c r="AM27" i="16"/>
  <c r="AL27" i="16"/>
  <c r="G139" i="16" s="1"/>
  <c r="G217" i="16" s="1"/>
  <c r="G281" i="16" s="1"/>
  <c r="AK27" i="16"/>
  <c r="G135" i="16" s="1"/>
  <c r="AJ27" i="16"/>
  <c r="AI27" i="16"/>
  <c r="AH27" i="16"/>
  <c r="BC27" i="16" s="1"/>
  <c r="AG27" i="16"/>
  <c r="BB27" i="16" s="1"/>
  <c r="AF27" i="16"/>
  <c r="AE27" i="16"/>
  <c r="AD27" i="16"/>
  <c r="AC27" i="16"/>
  <c r="AX27" i="16" s="1"/>
  <c r="AB27" i="16"/>
  <c r="AA27" i="16"/>
  <c r="G95" i="16" s="1"/>
  <c r="G173" i="16" s="1"/>
  <c r="G237" i="16" s="1"/>
  <c r="BU26" i="16"/>
  <c r="BT26" i="16"/>
  <c r="BS26" i="16"/>
  <c r="BR26" i="16"/>
  <c r="BQ26" i="16"/>
  <c r="BJ26" i="16"/>
  <c r="BI26" i="16"/>
  <c r="BH26" i="16"/>
  <c r="BG26" i="16"/>
  <c r="AY26" i="16"/>
  <c r="AX26" i="16"/>
  <c r="AW26" i="16"/>
  <c r="AV26" i="16"/>
  <c r="AP26" i="16"/>
  <c r="BK26" i="16" s="1"/>
  <c r="AO26" i="16"/>
  <c r="G150" i="16" s="1"/>
  <c r="AN26" i="16"/>
  <c r="AM26" i="16"/>
  <c r="AL26" i="16"/>
  <c r="G138" i="16" s="1"/>
  <c r="AK26" i="16"/>
  <c r="BF26" i="16" s="1"/>
  <c r="AJ26" i="16"/>
  <c r="AI26" i="16"/>
  <c r="AH26" i="16"/>
  <c r="BC26" i="16" s="1"/>
  <c r="AG26" i="16"/>
  <c r="G118" i="16" s="1"/>
  <c r="AF26" i="16"/>
  <c r="AE26" i="16"/>
  <c r="AD26" i="16"/>
  <c r="G106" i="16" s="1"/>
  <c r="AC26" i="16"/>
  <c r="AB26" i="16"/>
  <c r="G98" i="16" s="1"/>
  <c r="G176" i="16" s="1"/>
  <c r="G240" i="16" s="1"/>
  <c r="AA26" i="16"/>
  <c r="G94" i="16" s="1"/>
  <c r="G172" i="16" s="1"/>
  <c r="G236" i="16" s="1"/>
  <c r="BU25" i="16"/>
  <c r="BT25" i="16"/>
  <c r="BS25" i="16"/>
  <c r="BR25" i="16"/>
  <c r="BQ25" i="16"/>
  <c r="BK25" i="16"/>
  <c r="BJ25" i="16"/>
  <c r="BI25" i="16"/>
  <c r="AZ25" i="16"/>
  <c r="AY25" i="16"/>
  <c r="AX25" i="16"/>
  <c r="K101" i="16" s="1"/>
  <c r="K179" i="16" s="1"/>
  <c r="K243" i="16" s="1"/>
  <c r="AW25" i="16"/>
  <c r="AP25" i="16"/>
  <c r="G153" i="16" s="1"/>
  <c r="AO25" i="16"/>
  <c r="AN25" i="16"/>
  <c r="G145" i="16" s="1"/>
  <c r="G223" i="16" s="1"/>
  <c r="G287" i="16" s="1"/>
  <c r="AM25" i="16"/>
  <c r="AL25" i="16"/>
  <c r="BG25" i="16" s="1"/>
  <c r="AK25" i="16"/>
  <c r="BF25" i="16" s="1"/>
  <c r="AJ25" i="16"/>
  <c r="AI25" i="16"/>
  <c r="AH25" i="16"/>
  <c r="AG25" i="16"/>
  <c r="AF25" i="16"/>
  <c r="AE25" i="16"/>
  <c r="AD25" i="16"/>
  <c r="AC25" i="16"/>
  <c r="AB25" i="16"/>
  <c r="AA25" i="16"/>
  <c r="AV25" i="16" s="1"/>
  <c r="BU24" i="16"/>
  <c r="BT24" i="16"/>
  <c r="BS24" i="16"/>
  <c r="BR24" i="16"/>
  <c r="BQ24" i="16"/>
  <c r="BK24" i="16"/>
  <c r="BE24" i="16"/>
  <c r="BD24" i="16"/>
  <c r="BB24" i="16"/>
  <c r="BA24" i="16"/>
  <c r="AZ24" i="16"/>
  <c r="AY24" i="16"/>
  <c r="AP24" i="16"/>
  <c r="AO24" i="16"/>
  <c r="BJ24" i="16" s="1"/>
  <c r="AN24" i="16"/>
  <c r="AM24" i="16"/>
  <c r="BH24" i="16" s="1"/>
  <c r="AL24" i="16"/>
  <c r="AK24" i="16"/>
  <c r="G132" i="16" s="1"/>
  <c r="G210" i="16" s="1"/>
  <c r="G274" i="16" s="1"/>
  <c r="AJ24" i="16"/>
  <c r="G128" i="16" s="1"/>
  <c r="G206" i="16" s="1"/>
  <c r="G270" i="16" s="1"/>
  <c r="AI24" i="16"/>
  <c r="G124" i="16" s="1"/>
  <c r="AH24" i="16"/>
  <c r="G120" i="16" s="1"/>
  <c r="G198" i="16" s="1"/>
  <c r="G262" i="16" s="1"/>
  <c r="AG24" i="16"/>
  <c r="G116" i="16" s="1"/>
  <c r="G194" i="16" s="1"/>
  <c r="G258" i="16" s="1"/>
  <c r="AF24" i="16"/>
  <c r="G112" i="16" s="1"/>
  <c r="G190" i="16" s="1"/>
  <c r="G254" i="16" s="1"/>
  <c r="AE24" i="16"/>
  <c r="AD24" i="16"/>
  <c r="AC24" i="16"/>
  <c r="AX24" i="16" s="1"/>
  <c r="AB24" i="16"/>
  <c r="AA24" i="16"/>
  <c r="AV24" i="16" s="1"/>
  <c r="BU23" i="16"/>
  <c r="BT23" i="16"/>
  <c r="BS23" i="16"/>
  <c r="BR23" i="16"/>
  <c r="BQ23" i="16"/>
  <c r="BD23" i="16"/>
  <c r="BC23" i="16"/>
  <c r="BB23" i="16"/>
  <c r="BA23" i="16"/>
  <c r="AV23" i="16"/>
  <c r="AU95" i="16" s="1"/>
  <c r="AU173" i="16" s="1"/>
  <c r="AU237" i="16" s="1"/>
  <c r="AP23" i="16"/>
  <c r="AO23" i="16"/>
  <c r="AN23" i="16"/>
  <c r="AM23" i="16"/>
  <c r="AQ143" i="16" s="1"/>
  <c r="AQ221" i="16" s="1"/>
  <c r="AQ285" i="16" s="1"/>
  <c r="AL23" i="16"/>
  <c r="AQ139" i="16" s="1"/>
  <c r="AQ217" i="16" s="1"/>
  <c r="AK23" i="16"/>
  <c r="AQ135" i="16" s="1"/>
  <c r="AQ213" i="16" s="1"/>
  <c r="AQ277" i="16" s="1"/>
  <c r="AJ23" i="16"/>
  <c r="AQ131" i="16" s="1"/>
  <c r="AQ209" i="16" s="1"/>
  <c r="AQ273" i="16" s="1"/>
  <c r="AI23" i="16"/>
  <c r="AQ127" i="16" s="1"/>
  <c r="AQ205" i="16" s="1"/>
  <c r="AH23" i="16"/>
  <c r="AG23" i="16"/>
  <c r="AF23" i="16"/>
  <c r="AQ115" i="16" s="1"/>
  <c r="AE23" i="16"/>
  <c r="AD23" i="16"/>
  <c r="AC23" i="16"/>
  <c r="AB23" i="16"/>
  <c r="AW23" i="16" s="1"/>
  <c r="AA23" i="16"/>
  <c r="BU22" i="16"/>
  <c r="BT22" i="16"/>
  <c r="BS22" i="16"/>
  <c r="BR22" i="16"/>
  <c r="BQ22" i="16"/>
  <c r="BJ22" i="16"/>
  <c r="BI22" i="16"/>
  <c r="BG22" i="16"/>
  <c r="BF22" i="16"/>
  <c r="AU134" i="16" s="1"/>
  <c r="AU212" i="16" s="1"/>
  <c r="AU276" i="16" s="1"/>
  <c r="BE22" i="16"/>
  <c r="BD22" i="16"/>
  <c r="BC22" i="16"/>
  <c r="AP22" i="16"/>
  <c r="AO22" i="16"/>
  <c r="AQ150" i="16" s="1"/>
  <c r="AQ228" i="16" s="1"/>
  <c r="AQ292" i="16" s="1"/>
  <c r="AN22" i="16"/>
  <c r="AQ146" i="16" s="1"/>
  <c r="AQ224" i="16" s="1"/>
  <c r="AQ288" i="16" s="1"/>
  <c r="AM22" i="16"/>
  <c r="AL22" i="16"/>
  <c r="AQ138" i="16" s="1"/>
  <c r="AQ216" i="16" s="1"/>
  <c r="AQ280" i="16" s="1"/>
  <c r="AK22" i="16"/>
  <c r="AJ22" i="16"/>
  <c r="AQ130" i="16" s="1"/>
  <c r="AQ208" i="16" s="1"/>
  <c r="AQ272" i="16" s="1"/>
  <c r="AI22" i="16"/>
  <c r="AQ126" i="16" s="1"/>
  <c r="AQ204" i="16" s="1"/>
  <c r="AQ268" i="16" s="1"/>
  <c r="AH22" i="16"/>
  <c r="AG22" i="16"/>
  <c r="AF22" i="16"/>
  <c r="AE22" i="16"/>
  <c r="AD22" i="16"/>
  <c r="AC22" i="16"/>
  <c r="AB22" i="16"/>
  <c r="AQ98" i="16" s="1"/>
  <c r="AQ176" i="16" s="1"/>
  <c r="AQ240" i="16" s="1"/>
  <c r="AA22" i="16"/>
  <c r="BU21" i="16"/>
  <c r="BT21" i="16"/>
  <c r="BS21" i="16"/>
  <c r="BR21" i="16"/>
  <c r="BQ21" i="16"/>
  <c r="BK21" i="16"/>
  <c r="BJ21" i="16"/>
  <c r="BI21" i="16"/>
  <c r="BG21" i="16"/>
  <c r="BF21" i="16"/>
  <c r="BE21" i="16"/>
  <c r="BD21" i="16"/>
  <c r="AP21" i="16"/>
  <c r="AQ153" i="16" s="1"/>
  <c r="AQ231" i="16" s="1"/>
  <c r="AQ295" i="16" s="1"/>
  <c r="AO21" i="16"/>
  <c r="AQ149" i="16" s="1"/>
  <c r="AN21" i="16"/>
  <c r="AQ145" i="16" s="1"/>
  <c r="AQ223" i="16" s="1"/>
  <c r="AQ287" i="16" s="1"/>
  <c r="AM21" i="16"/>
  <c r="AQ141" i="16" s="1"/>
  <c r="AQ219" i="16" s="1"/>
  <c r="AL21" i="16"/>
  <c r="AK21" i="16"/>
  <c r="AQ133" i="16" s="1"/>
  <c r="AQ211" i="16" s="1"/>
  <c r="AQ275" i="16" s="1"/>
  <c r="AJ21" i="16"/>
  <c r="AI21" i="16"/>
  <c r="AH21" i="16"/>
  <c r="AG21" i="16"/>
  <c r="BB21" i="16" s="1"/>
  <c r="AF21" i="16"/>
  <c r="BA21" i="16" s="1"/>
  <c r="AE21" i="16"/>
  <c r="AD21" i="16"/>
  <c r="AY21" i="16" s="1"/>
  <c r="AC21" i="16"/>
  <c r="AB21" i="16"/>
  <c r="AA21" i="16"/>
  <c r="AQ93" i="16" s="1"/>
  <c r="AQ171" i="16" s="1"/>
  <c r="AQ235" i="16" s="1"/>
  <c r="BU20" i="16"/>
  <c r="BT20" i="16"/>
  <c r="BS20" i="16"/>
  <c r="BR20" i="16"/>
  <c r="BQ20" i="16"/>
  <c r="BI20" i="16"/>
  <c r="BH20" i="16"/>
  <c r="BG20" i="16"/>
  <c r="BF20" i="16"/>
  <c r="AZ20" i="16"/>
  <c r="AY20" i="16"/>
  <c r="AX20" i="16"/>
  <c r="AW20" i="16"/>
  <c r="AV20" i="16"/>
  <c r="AP20" i="16"/>
  <c r="AQ152" i="16" s="1"/>
  <c r="AQ230" i="16" s="1"/>
  <c r="AQ294" i="16" s="1"/>
  <c r="AO20" i="16"/>
  <c r="AQ148" i="16" s="1"/>
  <c r="AN20" i="16"/>
  <c r="AM20" i="16"/>
  <c r="AL20" i="16"/>
  <c r="AQ136" i="16" s="1"/>
  <c r="AQ214" i="16" s="1"/>
  <c r="AQ278" i="16" s="1"/>
  <c r="AK20" i="16"/>
  <c r="AJ20" i="16"/>
  <c r="BE20" i="16" s="1"/>
  <c r="AI20" i="16"/>
  <c r="AH20" i="16"/>
  <c r="BC20" i="16" s="1"/>
  <c r="AG20" i="16"/>
  <c r="AF20" i="16"/>
  <c r="AE20" i="16"/>
  <c r="AQ108" i="16" s="1"/>
  <c r="AD20" i="16"/>
  <c r="AC20" i="16"/>
  <c r="AQ100" i="16" s="1"/>
  <c r="AQ178" i="16" s="1"/>
  <c r="AQ242" i="16" s="1"/>
  <c r="AB20" i="16"/>
  <c r="AA20" i="16"/>
  <c r="AQ92" i="16" s="1"/>
  <c r="AQ170" i="16" s="1"/>
  <c r="AQ234" i="16" s="1"/>
  <c r="BU19" i="16"/>
  <c r="BT19" i="16"/>
  <c r="BS19" i="16"/>
  <c r="BR19" i="16"/>
  <c r="BQ19" i="16"/>
  <c r="BK19" i="16"/>
  <c r="BJ19" i="16"/>
  <c r="BI19" i="16"/>
  <c r="BH19" i="16"/>
  <c r="BB19" i="16"/>
  <c r="BA19" i="16"/>
  <c r="AZ19" i="16"/>
  <c r="AY19" i="16"/>
  <c r="AX19" i="16"/>
  <c r="AW19" i="16"/>
  <c r="AV19" i="16"/>
  <c r="AP19" i="16"/>
  <c r="AO19" i="16"/>
  <c r="AN19" i="16"/>
  <c r="AF147" i="16" s="1"/>
  <c r="AF225" i="16" s="1"/>
  <c r="AM19" i="16"/>
  <c r="AL19" i="16"/>
  <c r="BG19" i="16" s="1"/>
  <c r="AK19" i="16"/>
  <c r="AJ19" i="16"/>
  <c r="AI19" i="16"/>
  <c r="AH19" i="16"/>
  <c r="AG19" i="16"/>
  <c r="AF119" i="16" s="1"/>
  <c r="AF197" i="16" s="1"/>
  <c r="AF261" i="16" s="1"/>
  <c r="AF19" i="16"/>
  <c r="AF115" i="16" s="1"/>
  <c r="AF193" i="16" s="1"/>
  <c r="AF257" i="16" s="1"/>
  <c r="AE19" i="16"/>
  <c r="AF111" i="16" s="1"/>
  <c r="AF189" i="16" s="1"/>
  <c r="AF253" i="16" s="1"/>
  <c r="AD19" i="16"/>
  <c r="AC19" i="16"/>
  <c r="AF103" i="16" s="1"/>
  <c r="AB19" i="16"/>
  <c r="AF99" i="16" s="1"/>
  <c r="AF177" i="16" s="1"/>
  <c r="AA19" i="16"/>
  <c r="BU18" i="16"/>
  <c r="BT18" i="16"/>
  <c r="BS18" i="16"/>
  <c r="BR18" i="16"/>
  <c r="BQ18" i="16"/>
  <c r="BK18" i="16"/>
  <c r="AJ154" i="16" s="1"/>
  <c r="BJ18" i="16"/>
  <c r="AJ150" i="16" s="1"/>
  <c r="AJ228" i="16" s="1"/>
  <c r="AJ292" i="16" s="1"/>
  <c r="BE18" i="16"/>
  <c r="BD18" i="16"/>
  <c r="BC18" i="16"/>
  <c r="BA18" i="16"/>
  <c r="AZ18" i="16"/>
  <c r="AY18" i="16"/>
  <c r="AX18" i="16"/>
  <c r="AP18" i="16"/>
  <c r="AF154" i="16" s="1"/>
  <c r="AF232" i="16" s="1"/>
  <c r="AF296" i="16" s="1"/>
  <c r="AO18" i="16"/>
  <c r="AF150" i="16" s="1"/>
  <c r="AF228" i="16" s="1"/>
  <c r="AF292" i="16" s="1"/>
  <c r="AN18" i="16"/>
  <c r="AM18" i="16"/>
  <c r="AL18" i="16"/>
  <c r="AK18" i="16"/>
  <c r="BF18" i="16" s="1"/>
  <c r="AJ18" i="16"/>
  <c r="AI18" i="16"/>
  <c r="AF126" i="16" s="1"/>
  <c r="AF204" i="16" s="1"/>
  <c r="AF268" i="16" s="1"/>
  <c r="AH18" i="16"/>
  <c r="AF122" i="16" s="1"/>
  <c r="AF200" i="16" s="1"/>
  <c r="AG18" i="16"/>
  <c r="AF18" i="16"/>
  <c r="AF114" i="16" s="1"/>
  <c r="AF192" i="16" s="1"/>
  <c r="AF256" i="16" s="1"/>
  <c r="AE18" i="16"/>
  <c r="AD18" i="16"/>
  <c r="AC18" i="16"/>
  <c r="AF102" i="16" s="1"/>
  <c r="AF180" i="16" s="1"/>
  <c r="AF244" i="16" s="1"/>
  <c r="AB18" i="16"/>
  <c r="AW18" i="16" s="1"/>
  <c r="AA18" i="16"/>
  <c r="BU17" i="16"/>
  <c r="BT17" i="16"/>
  <c r="BS17" i="16"/>
  <c r="BR17" i="16"/>
  <c r="BQ17" i="16"/>
  <c r="BE17" i="16"/>
  <c r="BC17" i="16"/>
  <c r="BB17" i="16"/>
  <c r="BA17" i="16"/>
  <c r="AZ17" i="16"/>
  <c r="AP17" i="16"/>
  <c r="AO17" i="16"/>
  <c r="BJ17" i="16" s="1"/>
  <c r="AN17" i="16"/>
  <c r="BI17" i="16" s="1"/>
  <c r="AM17" i="16"/>
  <c r="AL17" i="16"/>
  <c r="AK17" i="16"/>
  <c r="AJ17" i="16"/>
  <c r="AF129" i="16" s="1"/>
  <c r="AF207" i="16" s="1"/>
  <c r="AF271" i="16" s="1"/>
  <c r="AI17" i="16"/>
  <c r="BD17" i="16" s="1"/>
  <c r="AH17" i="16"/>
  <c r="AF121" i="16" s="1"/>
  <c r="AF199" i="16" s="1"/>
  <c r="AG17" i="16"/>
  <c r="AF117" i="16" s="1"/>
  <c r="AF195" i="16" s="1"/>
  <c r="AF259" i="16" s="1"/>
  <c r="AF17" i="16"/>
  <c r="AE17" i="16"/>
  <c r="AD17" i="16"/>
  <c r="AC17" i="16"/>
  <c r="AB17" i="16"/>
  <c r="AW17" i="16" s="1"/>
  <c r="AA17" i="16"/>
  <c r="BU16" i="16"/>
  <c r="BT16" i="16"/>
  <c r="BS16" i="16"/>
  <c r="BR16" i="16"/>
  <c r="BQ16" i="16"/>
  <c r="BE16" i="16"/>
  <c r="BD16" i="16"/>
  <c r="BC16" i="16"/>
  <c r="BB16" i="16"/>
  <c r="AV16" i="16"/>
  <c r="AP16" i="16"/>
  <c r="AO16" i="16"/>
  <c r="AN16" i="16"/>
  <c r="AM16" i="16"/>
  <c r="AF140" i="16" s="1"/>
  <c r="AL16" i="16"/>
  <c r="BG16" i="16" s="1"/>
  <c r="AK16" i="16"/>
  <c r="AF132" i="16" s="1"/>
  <c r="AF210" i="16" s="1"/>
  <c r="AF274" i="16" s="1"/>
  <c r="AJ16" i="16"/>
  <c r="AF128" i="16" s="1"/>
  <c r="AI16" i="16"/>
  <c r="AF124" i="16" s="1"/>
  <c r="AF202" i="16" s="1"/>
  <c r="AF266" i="16" s="1"/>
  <c r="AH16" i="16"/>
  <c r="AF120" i="16" s="1"/>
  <c r="AF198" i="16" s="1"/>
  <c r="AF262" i="16" s="1"/>
  <c r="AG16" i="16"/>
  <c r="AF16" i="16"/>
  <c r="BA16" i="16" s="1"/>
  <c r="AE16" i="16"/>
  <c r="AD16" i="16"/>
  <c r="AC16" i="16"/>
  <c r="AB16" i="16"/>
  <c r="AA16" i="16"/>
  <c r="AF92" i="16" s="1"/>
  <c r="AF170" i="16" s="1"/>
  <c r="AF234" i="16" s="1"/>
  <c r="BU15" i="16"/>
  <c r="BT15" i="16"/>
  <c r="BS15" i="16"/>
  <c r="BR15" i="16"/>
  <c r="BQ15" i="16"/>
  <c r="BJ15" i="16"/>
  <c r="BG15" i="16"/>
  <c r="BF15" i="16"/>
  <c r="BE15" i="16"/>
  <c r="BD15" i="16"/>
  <c r="AW15" i="16"/>
  <c r="AV15" i="16"/>
  <c r="AP15" i="16"/>
  <c r="AO15" i="16"/>
  <c r="X151" i="16" s="1"/>
  <c r="X229" i="16" s="1"/>
  <c r="X293" i="16" s="1"/>
  <c r="AN15" i="16"/>
  <c r="X147" i="16" s="1"/>
  <c r="AM15" i="16"/>
  <c r="X143" i="16" s="1"/>
  <c r="X221" i="16" s="1"/>
  <c r="X285" i="16" s="1"/>
  <c r="AL15" i="16"/>
  <c r="X139" i="16" s="1"/>
  <c r="X217" i="16" s="1"/>
  <c r="X281" i="16" s="1"/>
  <c r="AK15" i="16"/>
  <c r="X135" i="16" s="1"/>
  <c r="X213" i="16" s="1"/>
  <c r="X277" i="16" s="1"/>
  <c r="AJ15" i="16"/>
  <c r="X131" i="16" s="1"/>
  <c r="AI15" i="16"/>
  <c r="AH15" i="16"/>
  <c r="BC15" i="16" s="1"/>
  <c r="AG15" i="16"/>
  <c r="AF15" i="16"/>
  <c r="AE15" i="16"/>
  <c r="AD15" i="16"/>
  <c r="AC15" i="16"/>
  <c r="X103" i="16" s="1"/>
  <c r="X181" i="16" s="1"/>
  <c r="X245" i="16" s="1"/>
  <c r="AB15" i="16"/>
  <c r="X99" i="16" s="1"/>
  <c r="X177" i="16" s="1"/>
  <c r="X241" i="16" s="1"/>
  <c r="AA15" i="16"/>
  <c r="X95" i="16" s="1"/>
  <c r="X173" i="16" s="1"/>
  <c r="X237" i="16" s="1"/>
  <c r="BU14" i="16"/>
  <c r="BT14" i="16"/>
  <c r="BS14" i="16"/>
  <c r="BR14" i="16"/>
  <c r="BQ14" i="16"/>
  <c r="BJ14" i="16"/>
  <c r="BI14" i="16"/>
  <c r="BH14" i="16"/>
  <c r="BF14" i="16"/>
  <c r="BC14" i="16"/>
  <c r="BA14" i="16"/>
  <c r="AZ14" i="16"/>
  <c r="AW14" i="16"/>
  <c r="AV14" i="16"/>
  <c r="AP14" i="16"/>
  <c r="X154" i="16" s="1"/>
  <c r="X232" i="16" s="1"/>
  <c r="X296" i="16" s="1"/>
  <c r="AO14" i="16"/>
  <c r="X150" i="16" s="1"/>
  <c r="X228" i="16" s="1"/>
  <c r="X292" i="16" s="1"/>
  <c r="AN14" i="16"/>
  <c r="X146" i="16" s="1"/>
  <c r="X224" i="16" s="1"/>
  <c r="X288" i="16" s="1"/>
  <c r="AM14" i="16"/>
  <c r="AL14" i="16"/>
  <c r="AK14" i="16"/>
  <c r="X134" i="16" s="1"/>
  <c r="X212" i="16" s="1"/>
  <c r="X276" i="16" s="1"/>
  <c r="AJ14" i="16"/>
  <c r="AI14" i="16"/>
  <c r="AH14" i="16"/>
  <c r="X122" i="16" s="1"/>
  <c r="AG14" i="16"/>
  <c r="BB14" i="16" s="1"/>
  <c r="AF14" i="16"/>
  <c r="X114" i="16" s="1"/>
  <c r="X192" i="16" s="1"/>
  <c r="AE14" i="16"/>
  <c r="X110" i="16" s="1"/>
  <c r="X188" i="16" s="1"/>
  <c r="X252" i="16" s="1"/>
  <c r="AD14" i="16"/>
  <c r="AY14" i="16" s="1"/>
  <c r="AC14" i="16"/>
  <c r="AX14" i="16" s="1"/>
  <c r="AB14" i="16"/>
  <c r="X98" i="16" s="1"/>
  <c r="X176" i="16" s="1"/>
  <c r="X240" i="16" s="1"/>
  <c r="AA14" i="16"/>
  <c r="X94" i="16" s="1"/>
  <c r="X172" i="16" s="1"/>
  <c r="X236" i="16" s="1"/>
  <c r="BU13" i="16"/>
  <c r="BT13" i="16"/>
  <c r="BS13" i="16"/>
  <c r="BR13" i="16"/>
  <c r="BQ13" i="16"/>
  <c r="BK13" i="16"/>
  <c r="BJ13" i="16"/>
  <c r="BH13" i="16"/>
  <c r="AB141" i="16" s="1"/>
  <c r="AB219" i="16" s="1"/>
  <c r="AB283" i="16" s="1"/>
  <c r="BE13" i="16"/>
  <c r="BC13" i="16"/>
  <c r="BB13" i="16"/>
  <c r="BA13" i="16"/>
  <c r="AZ13" i="16"/>
  <c r="AY13" i="16"/>
  <c r="AX13" i="16"/>
  <c r="AV13" i="16"/>
  <c r="AP13" i="16"/>
  <c r="X153" i="16" s="1"/>
  <c r="X231" i="16" s="1"/>
  <c r="X295" i="16" s="1"/>
  <c r="AO13" i="16"/>
  <c r="X149" i="16" s="1"/>
  <c r="AN13" i="16"/>
  <c r="X145" i="16" s="1"/>
  <c r="X223" i="16" s="1"/>
  <c r="X287" i="16" s="1"/>
  <c r="AM13" i="16"/>
  <c r="X141" i="16" s="1"/>
  <c r="X219" i="16" s="1"/>
  <c r="X283" i="16" s="1"/>
  <c r="AL13" i="16"/>
  <c r="AK13" i="16"/>
  <c r="AJ13" i="16"/>
  <c r="X129" i="16" s="1"/>
  <c r="X207" i="16" s="1"/>
  <c r="X271" i="16" s="1"/>
  <c r="AI13" i="16"/>
  <c r="AH13" i="16"/>
  <c r="X121" i="16" s="1"/>
  <c r="X199" i="16" s="1"/>
  <c r="X263" i="16" s="1"/>
  <c r="AG13" i="16"/>
  <c r="AF13" i="16"/>
  <c r="X113" i="16" s="1"/>
  <c r="X191" i="16" s="1"/>
  <c r="X255" i="16" s="1"/>
  <c r="AE13" i="16"/>
  <c r="AD13" i="16"/>
  <c r="AC13" i="16"/>
  <c r="X101" i="16" s="1"/>
  <c r="X179" i="16" s="1"/>
  <c r="X243" i="16" s="1"/>
  <c r="AB13" i="16"/>
  <c r="AA13" i="16"/>
  <c r="X93" i="16" s="1"/>
  <c r="X171" i="16" s="1"/>
  <c r="X235" i="16" s="1"/>
  <c r="BU12" i="16"/>
  <c r="BT12" i="16"/>
  <c r="BS12" i="16"/>
  <c r="BR12" i="16"/>
  <c r="BQ12" i="16"/>
  <c r="BJ12" i="16"/>
  <c r="BH12" i="16"/>
  <c r="BG12" i="16"/>
  <c r="BE12" i="16"/>
  <c r="BB12" i="16"/>
  <c r="BA12" i="16"/>
  <c r="AZ12" i="16"/>
  <c r="AX12" i="16"/>
  <c r="AP12" i="16"/>
  <c r="AO12" i="16"/>
  <c r="AN12" i="16"/>
  <c r="AM12" i="16"/>
  <c r="X140" i="16" s="1"/>
  <c r="X218" i="16" s="1"/>
  <c r="X282" i="16" s="1"/>
  <c r="AL12" i="16"/>
  <c r="AK12" i="16"/>
  <c r="AJ12" i="16"/>
  <c r="X128" i="16" s="1"/>
  <c r="X206" i="16" s="1"/>
  <c r="X270" i="16" s="1"/>
  <c r="AI12" i="16"/>
  <c r="X124" i="16" s="1"/>
  <c r="X202" i="16" s="1"/>
  <c r="X266" i="16" s="1"/>
  <c r="AH12" i="16"/>
  <c r="AG12" i="16"/>
  <c r="X116" i="16" s="1"/>
  <c r="X194" i="16" s="1"/>
  <c r="X258" i="16" s="1"/>
  <c r="AF12" i="16"/>
  <c r="X112" i="16" s="1"/>
  <c r="X190" i="16" s="1"/>
  <c r="X254" i="16" s="1"/>
  <c r="AE12" i="16"/>
  <c r="AD12" i="16"/>
  <c r="AC12" i="16"/>
  <c r="AB12" i="16"/>
  <c r="AA12" i="16"/>
  <c r="BU11" i="16"/>
  <c r="BT11" i="16"/>
  <c r="BS11" i="16"/>
  <c r="BR11" i="16"/>
  <c r="BQ11" i="16"/>
  <c r="BK11" i="16"/>
  <c r="BF11" i="16"/>
  <c r="BC11" i="16"/>
  <c r="BB11" i="16"/>
  <c r="BA11" i="16"/>
  <c r="AZ11" i="16"/>
  <c r="AY11" i="16"/>
  <c r="AP11" i="16"/>
  <c r="AO11" i="16"/>
  <c r="AN11" i="16"/>
  <c r="AM11" i="16"/>
  <c r="BH11" i="16" s="1"/>
  <c r="AL11" i="16"/>
  <c r="AK11" i="16"/>
  <c r="M135" i="16" s="1"/>
  <c r="M213" i="16" s="1"/>
  <c r="M277" i="16" s="1"/>
  <c r="AJ11" i="16"/>
  <c r="AI11" i="16"/>
  <c r="M127" i="16" s="1"/>
  <c r="M205" i="16" s="1"/>
  <c r="M269" i="16" s="1"/>
  <c r="AH11" i="16"/>
  <c r="M123" i="16" s="1"/>
  <c r="M201" i="16" s="1"/>
  <c r="M265" i="16" s="1"/>
  <c r="AG11" i="16"/>
  <c r="AF11" i="16"/>
  <c r="M115" i="16" s="1"/>
  <c r="M193" i="16" s="1"/>
  <c r="M257" i="16" s="1"/>
  <c r="AE11" i="16"/>
  <c r="AD11" i="16"/>
  <c r="AC11" i="16"/>
  <c r="AB11" i="16"/>
  <c r="AA11" i="16"/>
  <c r="BW10" i="16"/>
  <c r="W4" i="22" s="1"/>
  <c r="BU10" i="16"/>
  <c r="BT10" i="16"/>
  <c r="BS10" i="16"/>
  <c r="BR10" i="16"/>
  <c r="BQ10" i="16"/>
  <c r="BF10" i="16"/>
  <c r="BD10" i="16"/>
  <c r="BB10" i="16"/>
  <c r="BA10" i="16"/>
  <c r="AZ10" i="16"/>
  <c r="AP10" i="16"/>
  <c r="AO10" i="16"/>
  <c r="AN10" i="16"/>
  <c r="AM10" i="16"/>
  <c r="AL10" i="16"/>
  <c r="M138" i="16" s="1"/>
  <c r="M216" i="16" s="1"/>
  <c r="M280" i="16" s="1"/>
  <c r="AK10" i="16"/>
  <c r="M134" i="16" s="1"/>
  <c r="M212" i="16" s="1"/>
  <c r="M276" i="16" s="1"/>
  <c r="AJ10" i="16"/>
  <c r="M130" i="16" s="1"/>
  <c r="M208" i="16" s="1"/>
  <c r="M272" i="16" s="1"/>
  <c r="AI10" i="16"/>
  <c r="M126" i="16" s="1"/>
  <c r="M204" i="16" s="1"/>
  <c r="M268" i="16" s="1"/>
  <c r="AH10" i="16"/>
  <c r="M122" i="16" s="1"/>
  <c r="M200" i="16" s="1"/>
  <c r="AG10" i="16"/>
  <c r="M118" i="16" s="1"/>
  <c r="AF10" i="16"/>
  <c r="AE10" i="16"/>
  <c r="AD10" i="16"/>
  <c r="AC10" i="16"/>
  <c r="AB10" i="16"/>
  <c r="AW10" i="16" s="1"/>
  <c r="AA10" i="16"/>
  <c r="BU9" i="16"/>
  <c r="BT9" i="16"/>
  <c r="BS9" i="16"/>
  <c r="BR9" i="16"/>
  <c r="BQ9" i="16"/>
  <c r="BK9" i="16"/>
  <c r="BG9" i="16"/>
  <c r="BF9" i="16"/>
  <c r="BD9" i="16"/>
  <c r="BB9" i="16"/>
  <c r="BA9" i="16"/>
  <c r="AZ9" i="16"/>
  <c r="AY9" i="16"/>
  <c r="AP9" i="16"/>
  <c r="M153" i="16" s="1"/>
  <c r="M231" i="16" s="1"/>
  <c r="M295" i="16" s="1"/>
  <c r="AO9" i="16"/>
  <c r="AN9" i="16"/>
  <c r="AM9" i="16"/>
  <c r="AL9" i="16"/>
  <c r="M137" i="16" s="1"/>
  <c r="M215" i="16" s="1"/>
  <c r="M279" i="16" s="1"/>
  <c r="AK9" i="16"/>
  <c r="M133" i="16" s="1"/>
  <c r="M211" i="16" s="1"/>
  <c r="M275" i="16" s="1"/>
  <c r="AJ9" i="16"/>
  <c r="M129" i="16" s="1"/>
  <c r="M207" i="16" s="1"/>
  <c r="M271" i="16" s="1"/>
  <c r="AI9" i="16"/>
  <c r="M125" i="16" s="1"/>
  <c r="M203" i="16" s="1"/>
  <c r="M267" i="16" s="1"/>
  <c r="AH9" i="16"/>
  <c r="AG9" i="16"/>
  <c r="AF9" i="16"/>
  <c r="M113" i="16" s="1"/>
  <c r="M191" i="16" s="1"/>
  <c r="M255" i="16" s="1"/>
  <c r="AE9" i="16"/>
  <c r="M109" i="16" s="1"/>
  <c r="M187" i="16" s="1"/>
  <c r="M251" i="16" s="1"/>
  <c r="AD9" i="16"/>
  <c r="M105" i="16" s="1"/>
  <c r="M183" i="16" s="1"/>
  <c r="M247" i="16" s="1"/>
  <c r="AC9" i="16"/>
  <c r="AX9" i="16" s="1"/>
  <c r="AB9" i="16"/>
  <c r="AA9" i="16"/>
  <c r="BU8" i="16"/>
  <c r="BT8" i="16"/>
  <c r="BS8" i="16"/>
  <c r="BR8" i="16"/>
  <c r="BQ8" i="16"/>
  <c r="BG8" i="16"/>
  <c r="BF8" i="16"/>
  <c r="BD8" i="16"/>
  <c r="BB8" i="16"/>
  <c r="BA8" i="16"/>
  <c r="AY8" i="16"/>
  <c r="AP8" i="16"/>
  <c r="AO8" i="16"/>
  <c r="AN8" i="16"/>
  <c r="AM8" i="16"/>
  <c r="AL8" i="16"/>
  <c r="M136" i="16" s="1"/>
  <c r="AK8" i="16"/>
  <c r="M132" i="16" s="1"/>
  <c r="M210" i="16" s="1"/>
  <c r="M274" i="16" s="1"/>
  <c r="AJ8" i="16"/>
  <c r="M128" i="16" s="1"/>
  <c r="AI8" i="16"/>
  <c r="M124" i="16" s="1"/>
  <c r="M202" i="16" s="1"/>
  <c r="M266" i="16" s="1"/>
  <c r="AH8" i="16"/>
  <c r="BC8" i="16" s="1"/>
  <c r="AG8" i="16"/>
  <c r="M116" i="16" s="1"/>
  <c r="M194" i="16" s="1"/>
  <c r="M258" i="16" s="1"/>
  <c r="AF8" i="16"/>
  <c r="M112" i="16" s="1"/>
  <c r="AE8" i="16"/>
  <c r="AD8" i="16"/>
  <c r="M104" i="16" s="1"/>
  <c r="M182" i="16" s="1"/>
  <c r="M246" i="16" s="1"/>
  <c r="AC8" i="16"/>
  <c r="AB8" i="16"/>
  <c r="AW8" i="16" s="1"/>
  <c r="AA8" i="16"/>
  <c r="BU7" i="16"/>
  <c r="BT7" i="16"/>
  <c r="BS7" i="16"/>
  <c r="BR7" i="16"/>
  <c r="BQ7" i="16"/>
  <c r="BI7" i="16"/>
  <c r="BH7" i="16"/>
  <c r="BF7" i="16"/>
  <c r="BD7" i="16"/>
  <c r="BC7" i="16"/>
  <c r="BA7" i="16"/>
  <c r="AP7" i="16"/>
  <c r="AO7" i="16"/>
  <c r="AN7" i="16"/>
  <c r="E147" i="16" s="1"/>
  <c r="E225" i="16" s="1"/>
  <c r="AM7" i="16"/>
  <c r="E143" i="16" s="1"/>
  <c r="AL7" i="16"/>
  <c r="E139" i="16" s="1"/>
  <c r="E217" i="16" s="1"/>
  <c r="AK7" i="16"/>
  <c r="E135" i="16" s="1"/>
  <c r="E213" i="16" s="1"/>
  <c r="AJ7" i="16"/>
  <c r="E131" i="16" s="1"/>
  <c r="E209" i="16" s="1"/>
  <c r="AI7" i="16"/>
  <c r="E127" i="16" s="1"/>
  <c r="E205" i="16" s="1"/>
  <c r="AH7" i="16"/>
  <c r="E123" i="16" s="1"/>
  <c r="E201" i="16" s="1"/>
  <c r="AG7" i="16"/>
  <c r="AF7" i="16"/>
  <c r="E115" i="16" s="1"/>
  <c r="E193" i="16" s="1"/>
  <c r="AE7" i="16"/>
  <c r="AD7" i="16"/>
  <c r="AC7" i="16"/>
  <c r="AX7" i="16" s="1"/>
  <c r="AB7" i="16"/>
  <c r="AA7" i="16"/>
  <c r="E95" i="16" s="1"/>
  <c r="BU6" i="16"/>
  <c r="BT6" i="16"/>
  <c r="BS6" i="16"/>
  <c r="BR6" i="16"/>
  <c r="BQ6" i="16"/>
  <c r="BM6" i="16"/>
  <c r="BK6" i="16"/>
  <c r="BI6" i="16"/>
  <c r="BH6" i="16"/>
  <c r="BD6" i="16"/>
  <c r="BC6" i="16"/>
  <c r="AX6" i="16"/>
  <c r="AW6" i="16"/>
  <c r="AP6" i="16"/>
  <c r="E154" i="16" s="1"/>
  <c r="E232" i="16" s="1"/>
  <c r="AO6" i="16"/>
  <c r="AN6" i="16"/>
  <c r="AM6" i="16"/>
  <c r="E142" i="16" s="1"/>
  <c r="E220" i="16" s="1"/>
  <c r="AL6" i="16"/>
  <c r="E138" i="16" s="1"/>
  <c r="E216" i="16" s="1"/>
  <c r="AK6" i="16"/>
  <c r="E134" i="16" s="1"/>
  <c r="E212" i="16" s="1"/>
  <c r="D212" i="16" s="1"/>
  <c r="AJ6" i="16"/>
  <c r="AI6" i="16"/>
  <c r="E126" i="16" s="1"/>
  <c r="E204" i="16" s="1"/>
  <c r="D204" i="16" s="1"/>
  <c r="AH6" i="16"/>
  <c r="AG6" i="16"/>
  <c r="E118" i="16" s="1"/>
  <c r="E196" i="16" s="1"/>
  <c r="AF6" i="16"/>
  <c r="AE6" i="16"/>
  <c r="AD6" i="16"/>
  <c r="AY6" i="16" s="1"/>
  <c r="AC6" i="16"/>
  <c r="E102" i="16" s="1"/>
  <c r="E180" i="16" s="1"/>
  <c r="AB6" i="16"/>
  <c r="AA6" i="16"/>
  <c r="AV6" i="16" s="1"/>
  <c r="BK5" i="16"/>
  <c r="I153" i="16" s="1"/>
  <c r="I231" i="16" s="1"/>
  <c r="I295" i="16" s="1"/>
  <c r="BG5" i="16"/>
  <c r="BF5" i="16"/>
  <c r="BC5" i="16"/>
  <c r="BA5" i="16"/>
  <c r="AZ5" i="16"/>
  <c r="AY5" i="16"/>
  <c r="AX5" i="16"/>
  <c r="AP5" i="16"/>
  <c r="E153" i="16" s="1"/>
  <c r="AO5" i="16"/>
  <c r="AN5" i="16"/>
  <c r="AM5" i="16"/>
  <c r="AL5" i="16"/>
  <c r="AK5" i="16"/>
  <c r="AJ5" i="16"/>
  <c r="AI5" i="16"/>
  <c r="E125" i="16" s="1"/>
  <c r="E203" i="16" s="1"/>
  <c r="AH5" i="16"/>
  <c r="E121" i="16" s="1"/>
  <c r="E199" i="16" s="1"/>
  <c r="AG5" i="16"/>
  <c r="AF5" i="16"/>
  <c r="AE5" i="16"/>
  <c r="E109" i="16" s="1"/>
  <c r="E187" i="16" s="1"/>
  <c r="AD5" i="16"/>
  <c r="E105" i="16" s="1"/>
  <c r="E183" i="16" s="1"/>
  <c r="E247" i="16" s="1"/>
  <c r="D247" i="16" s="1"/>
  <c r="AC5" i="16"/>
  <c r="E101" i="16" s="1"/>
  <c r="E179" i="16" s="1"/>
  <c r="AB5" i="16"/>
  <c r="AA5" i="16"/>
  <c r="BH4" i="16"/>
  <c r="BG4" i="16"/>
  <c r="BF4" i="16"/>
  <c r="BE4" i="16"/>
  <c r="BB4" i="16"/>
  <c r="BA4" i="16"/>
  <c r="AZ4" i="16"/>
  <c r="AY4" i="16"/>
  <c r="AP4" i="16"/>
  <c r="E152" i="16" s="1"/>
  <c r="AO4" i="16"/>
  <c r="AN4" i="16"/>
  <c r="E144" i="16" s="1"/>
  <c r="E222" i="16" s="1"/>
  <c r="AM4" i="16"/>
  <c r="E140" i="16" s="1"/>
  <c r="E218" i="16" s="1"/>
  <c r="AL4" i="16"/>
  <c r="E136" i="16" s="1"/>
  <c r="E214" i="16" s="1"/>
  <c r="AK4" i="16"/>
  <c r="E132" i="16" s="1"/>
  <c r="E210" i="16" s="1"/>
  <c r="AJ4" i="16"/>
  <c r="AI4" i="16"/>
  <c r="AH4" i="16"/>
  <c r="AG4" i="16"/>
  <c r="AF4" i="16"/>
  <c r="AE4" i="16"/>
  <c r="E108" i="16" s="1"/>
  <c r="E186" i="16" s="1"/>
  <c r="AD4" i="16"/>
  <c r="E104" i="16" s="1"/>
  <c r="E182" i="16" s="1"/>
  <c r="AC4" i="16"/>
  <c r="AB4" i="16"/>
  <c r="AA4" i="16"/>
  <c r="BW3" i="16"/>
  <c r="A2" i="16"/>
  <c r="X506" i="15"/>
  <c r="W506" i="15"/>
  <c r="V506" i="15"/>
  <c r="U506" i="15"/>
  <c r="T506" i="15"/>
  <c r="S506" i="15"/>
  <c r="R506" i="15"/>
  <c r="Q506" i="15"/>
  <c r="P506" i="15"/>
  <c r="O506" i="15"/>
  <c r="N506" i="15"/>
  <c r="M506" i="15"/>
  <c r="L506" i="15"/>
  <c r="K506" i="15"/>
  <c r="J506" i="15"/>
  <c r="I506" i="15"/>
  <c r="D139" i="21" s="1"/>
  <c r="X505" i="15"/>
  <c r="W505" i="15"/>
  <c r="V505" i="15"/>
  <c r="U505" i="15"/>
  <c r="T505" i="15"/>
  <c r="S505" i="15"/>
  <c r="R505" i="15"/>
  <c r="Q505" i="15"/>
  <c r="P505" i="15"/>
  <c r="O505" i="15"/>
  <c r="N505" i="15"/>
  <c r="M505" i="15"/>
  <c r="L505" i="15"/>
  <c r="K505" i="15"/>
  <c r="J505" i="15"/>
  <c r="I505" i="15"/>
  <c r="D138" i="21" s="1"/>
  <c r="X504" i="15"/>
  <c r="W504" i="15"/>
  <c r="V504" i="15"/>
  <c r="U504" i="15"/>
  <c r="T504" i="15"/>
  <c r="S504" i="15"/>
  <c r="R504" i="15"/>
  <c r="Q504" i="15"/>
  <c r="P504" i="15"/>
  <c r="O504" i="15"/>
  <c r="N504" i="15"/>
  <c r="M504" i="15"/>
  <c r="L504" i="15"/>
  <c r="K504" i="15"/>
  <c r="J504" i="15"/>
  <c r="I504" i="15"/>
  <c r="D137" i="21" s="1"/>
  <c r="X503" i="15"/>
  <c r="W503" i="15"/>
  <c r="V503" i="15"/>
  <c r="U503" i="15"/>
  <c r="T503" i="15"/>
  <c r="S503" i="15"/>
  <c r="R503" i="15"/>
  <c r="Q503" i="15"/>
  <c r="P503" i="15"/>
  <c r="O503" i="15"/>
  <c r="N503" i="15"/>
  <c r="M503" i="15"/>
  <c r="L503" i="15"/>
  <c r="K503" i="15"/>
  <c r="J503" i="15"/>
  <c r="I503" i="15"/>
  <c r="D136" i="21" s="1"/>
  <c r="X502" i="15"/>
  <c r="W502" i="15"/>
  <c r="V502" i="15"/>
  <c r="U502" i="15"/>
  <c r="T502" i="15"/>
  <c r="S502" i="15"/>
  <c r="R502" i="15"/>
  <c r="Q502" i="15"/>
  <c r="P502" i="15"/>
  <c r="O502" i="15"/>
  <c r="N502" i="15"/>
  <c r="M502" i="15"/>
  <c r="L502" i="15"/>
  <c r="K502" i="15"/>
  <c r="J502" i="15"/>
  <c r="I502" i="15"/>
  <c r="D134" i="21" s="1"/>
  <c r="X501" i="15"/>
  <c r="W501" i="15"/>
  <c r="V501" i="15"/>
  <c r="U501" i="15"/>
  <c r="T501" i="15"/>
  <c r="S501" i="15"/>
  <c r="R501" i="15"/>
  <c r="Q501" i="15"/>
  <c r="P501" i="15"/>
  <c r="O501" i="15"/>
  <c r="N501" i="15"/>
  <c r="M501" i="15"/>
  <c r="L501" i="15"/>
  <c r="K501" i="15"/>
  <c r="J501" i="15"/>
  <c r="I501" i="15"/>
  <c r="D133" i="21" s="1"/>
  <c r="X500" i="15"/>
  <c r="W500" i="15"/>
  <c r="V500" i="15"/>
  <c r="U500" i="15"/>
  <c r="T500" i="15"/>
  <c r="S500" i="15"/>
  <c r="R500" i="15"/>
  <c r="Q500" i="15"/>
  <c r="P500" i="15"/>
  <c r="O500" i="15"/>
  <c r="N500" i="15"/>
  <c r="M500" i="15"/>
  <c r="L500" i="15"/>
  <c r="K500" i="15"/>
  <c r="J500" i="15"/>
  <c r="I500" i="15"/>
  <c r="D132" i="21" s="1"/>
  <c r="X499" i="15"/>
  <c r="W499" i="15"/>
  <c r="V499" i="15"/>
  <c r="U499" i="15"/>
  <c r="T499" i="15"/>
  <c r="S499" i="15"/>
  <c r="R499" i="15"/>
  <c r="Q499" i="15"/>
  <c r="P499" i="15"/>
  <c r="O499" i="15"/>
  <c r="N499" i="15"/>
  <c r="M499" i="15"/>
  <c r="L499" i="15"/>
  <c r="K499" i="15"/>
  <c r="J499" i="15"/>
  <c r="I499" i="15"/>
  <c r="D131" i="21" s="1"/>
  <c r="X498" i="15"/>
  <c r="W498" i="15"/>
  <c r="V498" i="15"/>
  <c r="U498" i="15"/>
  <c r="T498" i="15"/>
  <c r="S498" i="15"/>
  <c r="R498" i="15"/>
  <c r="Q498" i="15"/>
  <c r="P498" i="15"/>
  <c r="O498" i="15"/>
  <c r="N498" i="15"/>
  <c r="M498" i="15"/>
  <c r="L498" i="15"/>
  <c r="K498" i="15"/>
  <c r="J498" i="15"/>
  <c r="I498" i="15"/>
  <c r="D129" i="21" s="1"/>
  <c r="X497" i="15"/>
  <c r="W497" i="15"/>
  <c r="V497" i="15"/>
  <c r="U497" i="15"/>
  <c r="T497" i="15"/>
  <c r="S497" i="15"/>
  <c r="R497" i="15"/>
  <c r="Q497" i="15"/>
  <c r="P497" i="15"/>
  <c r="O497" i="15"/>
  <c r="N497" i="15"/>
  <c r="M497" i="15"/>
  <c r="L497" i="15"/>
  <c r="K497" i="15"/>
  <c r="J497" i="15"/>
  <c r="I497" i="15"/>
  <c r="D128" i="21" s="1"/>
  <c r="X496" i="15"/>
  <c r="W496" i="15"/>
  <c r="V496" i="15"/>
  <c r="U496" i="15"/>
  <c r="T496" i="15"/>
  <c r="S496" i="15"/>
  <c r="R496" i="15"/>
  <c r="Q496" i="15"/>
  <c r="P496" i="15"/>
  <c r="O496" i="15"/>
  <c r="N496" i="15"/>
  <c r="M496" i="15"/>
  <c r="L496" i="15"/>
  <c r="K496" i="15"/>
  <c r="J496" i="15"/>
  <c r="I496" i="15"/>
  <c r="D127" i="21" s="1"/>
  <c r="X495" i="15"/>
  <c r="W495" i="15"/>
  <c r="V495" i="15"/>
  <c r="U495" i="15"/>
  <c r="T495" i="15"/>
  <c r="S495" i="15"/>
  <c r="R495" i="15"/>
  <c r="Q495" i="15"/>
  <c r="P495" i="15"/>
  <c r="O495" i="15"/>
  <c r="N495" i="15"/>
  <c r="M495" i="15"/>
  <c r="L495" i="15"/>
  <c r="K495" i="15"/>
  <c r="J495" i="15"/>
  <c r="I495" i="15"/>
  <c r="D126" i="21" s="1"/>
  <c r="X494" i="15"/>
  <c r="W494" i="15"/>
  <c r="V494" i="15"/>
  <c r="U494" i="15"/>
  <c r="T494" i="15"/>
  <c r="S494" i="15"/>
  <c r="R494" i="15"/>
  <c r="Q494" i="15"/>
  <c r="P494" i="15"/>
  <c r="O494" i="15"/>
  <c r="N494" i="15"/>
  <c r="M494" i="15"/>
  <c r="L494" i="15"/>
  <c r="K494" i="15"/>
  <c r="J494" i="15"/>
  <c r="I494" i="15"/>
  <c r="D124" i="21" s="1"/>
  <c r="X493" i="15"/>
  <c r="W493" i="15"/>
  <c r="V493" i="15"/>
  <c r="U493" i="15"/>
  <c r="T493" i="15"/>
  <c r="S493" i="15"/>
  <c r="R493" i="15"/>
  <c r="Q493" i="15"/>
  <c r="P493" i="15"/>
  <c r="O493" i="15"/>
  <c r="N493" i="15"/>
  <c r="M493" i="15"/>
  <c r="L493" i="15"/>
  <c r="K493" i="15"/>
  <c r="J493" i="15"/>
  <c r="I493" i="15"/>
  <c r="D123" i="21" s="1"/>
  <c r="X492" i="15"/>
  <c r="W492" i="15"/>
  <c r="V492" i="15"/>
  <c r="U492" i="15"/>
  <c r="T492" i="15"/>
  <c r="S492" i="15"/>
  <c r="R492" i="15"/>
  <c r="Q492" i="15"/>
  <c r="P492" i="15"/>
  <c r="O492" i="15"/>
  <c r="N492" i="15"/>
  <c r="M492" i="15"/>
  <c r="L492" i="15"/>
  <c r="K492" i="15"/>
  <c r="J492" i="15"/>
  <c r="I492" i="15"/>
  <c r="D122" i="21" s="1"/>
  <c r="X491" i="15"/>
  <c r="W491" i="15"/>
  <c r="V491" i="15"/>
  <c r="U491" i="15"/>
  <c r="T491" i="15"/>
  <c r="S491" i="15"/>
  <c r="R491" i="15"/>
  <c r="Q491" i="15"/>
  <c r="P491" i="15"/>
  <c r="O491" i="15"/>
  <c r="N491" i="15"/>
  <c r="M491" i="15"/>
  <c r="L491" i="15"/>
  <c r="K491" i="15"/>
  <c r="J491" i="15"/>
  <c r="I491" i="15"/>
  <c r="D121" i="21" s="1"/>
  <c r="X490" i="15"/>
  <c r="W490" i="15"/>
  <c r="V490" i="15"/>
  <c r="U490" i="15"/>
  <c r="T490" i="15"/>
  <c r="S490" i="15"/>
  <c r="R490" i="15"/>
  <c r="Q490" i="15"/>
  <c r="P490" i="15"/>
  <c r="O490" i="15"/>
  <c r="N490" i="15"/>
  <c r="M490" i="15"/>
  <c r="L490" i="15"/>
  <c r="K490" i="15"/>
  <c r="J490" i="15"/>
  <c r="I490" i="15"/>
  <c r="D119" i="21" s="1"/>
  <c r="X489" i="15"/>
  <c r="W489" i="15"/>
  <c r="V489" i="15"/>
  <c r="U489" i="15"/>
  <c r="T489" i="15"/>
  <c r="S489" i="15"/>
  <c r="R489" i="15"/>
  <c r="Q489" i="15"/>
  <c r="P489" i="15"/>
  <c r="O489" i="15"/>
  <c r="N489" i="15"/>
  <c r="M489" i="15"/>
  <c r="L489" i="15"/>
  <c r="K489" i="15"/>
  <c r="J489" i="15"/>
  <c r="I489" i="15"/>
  <c r="D118" i="21" s="1"/>
  <c r="X488" i="15"/>
  <c r="W488" i="15"/>
  <c r="V488" i="15"/>
  <c r="U488" i="15"/>
  <c r="T488" i="15"/>
  <c r="S488" i="15"/>
  <c r="R488" i="15"/>
  <c r="Q488" i="15"/>
  <c r="P488" i="15"/>
  <c r="O488" i="15"/>
  <c r="N488" i="15"/>
  <c r="M488" i="15"/>
  <c r="L488" i="15"/>
  <c r="K488" i="15"/>
  <c r="J488" i="15"/>
  <c r="I488" i="15"/>
  <c r="D117" i="21" s="1"/>
  <c r="X487" i="15"/>
  <c r="W487" i="15"/>
  <c r="V487" i="15"/>
  <c r="U487" i="15"/>
  <c r="T487" i="15"/>
  <c r="S487" i="15"/>
  <c r="R487" i="15"/>
  <c r="Q487" i="15"/>
  <c r="P487" i="15"/>
  <c r="O487" i="15"/>
  <c r="N487" i="15"/>
  <c r="M487" i="15"/>
  <c r="L487" i="15"/>
  <c r="K487" i="15"/>
  <c r="J487" i="15"/>
  <c r="I487" i="15"/>
  <c r="D116" i="21" s="1"/>
  <c r="X486" i="15"/>
  <c r="W486" i="15"/>
  <c r="V486" i="15"/>
  <c r="U486" i="15"/>
  <c r="T486" i="15"/>
  <c r="S486" i="15"/>
  <c r="R486" i="15"/>
  <c r="Q486" i="15"/>
  <c r="P486" i="15"/>
  <c r="O486" i="15"/>
  <c r="N486" i="15"/>
  <c r="M486" i="15"/>
  <c r="L486" i="15"/>
  <c r="K486" i="15"/>
  <c r="J486" i="15"/>
  <c r="I486" i="15"/>
  <c r="D45" i="21" s="1"/>
  <c r="X485" i="15"/>
  <c r="W485" i="15"/>
  <c r="V485" i="15"/>
  <c r="U485" i="15"/>
  <c r="T485" i="15"/>
  <c r="S485" i="15"/>
  <c r="R485" i="15"/>
  <c r="Q485" i="15"/>
  <c r="P485" i="15"/>
  <c r="O485" i="15"/>
  <c r="N485" i="15"/>
  <c r="M485" i="15"/>
  <c r="L485" i="15"/>
  <c r="K485" i="15"/>
  <c r="J485" i="15"/>
  <c r="I485" i="15"/>
  <c r="D44" i="21" s="1"/>
  <c r="X484" i="15"/>
  <c r="W484" i="15"/>
  <c r="V484" i="15"/>
  <c r="U484" i="15"/>
  <c r="T484" i="15"/>
  <c r="S484" i="15"/>
  <c r="R484" i="15"/>
  <c r="Q484" i="15"/>
  <c r="P484" i="15"/>
  <c r="O484" i="15"/>
  <c r="N484" i="15"/>
  <c r="M484" i="15"/>
  <c r="L484" i="15"/>
  <c r="K484" i="15"/>
  <c r="J484" i="15"/>
  <c r="I484" i="15"/>
  <c r="D43" i="21" s="1"/>
  <c r="X483" i="15"/>
  <c r="W483" i="15"/>
  <c r="V483" i="15"/>
  <c r="U483" i="15"/>
  <c r="T483" i="15"/>
  <c r="S483" i="15"/>
  <c r="R483" i="15"/>
  <c r="Q483" i="15"/>
  <c r="P483" i="15"/>
  <c r="O483" i="15"/>
  <c r="N483" i="15"/>
  <c r="M483" i="15"/>
  <c r="L483" i="15"/>
  <c r="K483" i="15"/>
  <c r="J483" i="15"/>
  <c r="I483" i="15"/>
  <c r="D42" i="21" s="1"/>
  <c r="X482" i="15"/>
  <c r="W482" i="15"/>
  <c r="V482" i="15"/>
  <c r="U482" i="15"/>
  <c r="T482" i="15"/>
  <c r="S482" i="15"/>
  <c r="R482" i="15"/>
  <c r="Q482" i="15"/>
  <c r="P482" i="15"/>
  <c r="O482" i="15"/>
  <c r="N482" i="15"/>
  <c r="M482" i="15"/>
  <c r="L482" i="15"/>
  <c r="K482" i="15"/>
  <c r="J482" i="15"/>
  <c r="I482" i="15"/>
  <c r="D40" i="21" s="1"/>
  <c r="X481" i="15"/>
  <c r="W481" i="15"/>
  <c r="V481" i="15"/>
  <c r="U481" i="15"/>
  <c r="T481" i="15"/>
  <c r="S481" i="15"/>
  <c r="R481" i="15"/>
  <c r="Q481" i="15"/>
  <c r="P481" i="15"/>
  <c r="O481" i="15"/>
  <c r="N481" i="15"/>
  <c r="M481" i="15"/>
  <c r="L481" i="15"/>
  <c r="K481" i="15"/>
  <c r="J481" i="15"/>
  <c r="I481" i="15"/>
  <c r="D39" i="21" s="1"/>
  <c r="X480" i="15"/>
  <c r="W480" i="15"/>
  <c r="V480" i="15"/>
  <c r="U480" i="15"/>
  <c r="T480" i="15"/>
  <c r="S480" i="15"/>
  <c r="R480" i="15"/>
  <c r="Q480" i="15"/>
  <c r="P480" i="15"/>
  <c r="O480" i="15"/>
  <c r="N480" i="15"/>
  <c r="M480" i="15"/>
  <c r="L480" i="15"/>
  <c r="K480" i="15"/>
  <c r="J480" i="15"/>
  <c r="I480" i="15"/>
  <c r="D38" i="21" s="1"/>
  <c r="X479" i="15"/>
  <c r="W479" i="15"/>
  <c r="V479" i="15"/>
  <c r="U479" i="15"/>
  <c r="T479" i="15"/>
  <c r="S479" i="15"/>
  <c r="R479" i="15"/>
  <c r="Q479" i="15"/>
  <c r="P479" i="15"/>
  <c r="O479" i="15"/>
  <c r="N479" i="15"/>
  <c r="M479" i="15"/>
  <c r="L479" i="15"/>
  <c r="K479" i="15"/>
  <c r="J479" i="15"/>
  <c r="I479" i="15"/>
  <c r="D37" i="21" s="1"/>
  <c r="X478" i="15"/>
  <c r="W478" i="15"/>
  <c r="V478" i="15"/>
  <c r="U478" i="15"/>
  <c r="T478" i="15"/>
  <c r="S478" i="15"/>
  <c r="R478" i="15"/>
  <c r="Q478" i="15"/>
  <c r="P478" i="15"/>
  <c r="O478" i="15"/>
  <c r="N478" i="15"/>
  <c r="M478" i="15"/>
  <c r="L478" i="15"/>
  <c r="K478" i="15"/>
  <c r="J478" i="15"/>
  <c r="I478" i="15"/>
  <c r="D35" i="21" s="1"/>
  <c r="X477" i="15"/>
  <c r="W477" i="15"/>
  <c r="V477" i="15"/>
  <c r="U477" i="15"/>
  <c r="T477" i="15"/>
  <c r="S477" i="15"/>
  <c r="R477" i="15"/>
  <c r="Q477" i="15"/>
  <c r="P477" i="15"/>
  <c r="O477" i="15"/>
  <c r="N477" i="15"/>
  <c r="M477" i="15"/>
  <c r="L477" i="15"/>
  <c r="K477" i="15"/>
  <c r="J477" i="15"/>
  <c r="I477" i="15"/>
  <c r="D34" i="21" s="1"/>
  <c r="X476" i="15"/>
  <c r="W476" i="15"/>
  <c r="V476" i="15"/>
  <c r="U476" i="15"/>
  <c r="T476" i="15"/>
  <c r="S476" i="15"/>
  <c r="R476" i="15"/>
  <c r="Q476" i="15"/>
  <c r="P476" i="15"/>
  <c r="O476" i="15"/>
  <c r="N476" i="15"/>
  <c r="M476" i="15"/>
  <c r="L476" i="15"/>
  <c r="K476" i="15"/>
  <c r="J476" i="15"/>
  <c r="I476" i="15"/>
  <c r="D33" i="21" s="1"/>
  <c r="X475" i="15"/>
  <c r="W475" i="15"/>
  <c r="V475" i="15"/>
  <c r="U475" i="15"/>
  <c r="T475" i="15"/>
  <c r="S475" i="15"/>
  <c r="R475" i="15"/>
  <c r="Q475" i="15"/>
  <c r="P475" i="15"/>
  <c r="O475" i="15"/>
  <c r="N475" i="15"/>
  <c r="M475" i="15"/>
  <c r="L475" i="15"/>
  <c r="K475" i="15"/>
  <c r="J475" i="15"/>
  <c r="I475" i="15"/>
  <c r="D32" i="21" s="1"/>
  <c r="X474" i="15"/>
  <c r="W474" i="15"/>
  <c r="V474" i="15"/>
  <c r="U474" i="15"/>
  <c r="T474" i="15"/>
  <c r="S474" i="15"/>
  <c r="R474" i="15"/>
  <c r="Q474" i="15"/>
  <c r="P474" i="15"/>
  <c r="O474" i="15"/>
  <c r="N474" i="15"/>
  <c r="M474" i="15"/>
  <c r="L474" i="15"/>
  <c r="K474" i="15"/>
  <c r="J474" i="15"/>
  <c r="I474" i="15"/>
  <c r="D30" i="21" s="1"/>
  <c r="X473" i="15"/>
  <c r="W473" i="15"/>
  <c r="V473" i="15"/>
  <c r="U473" i="15"/>
  <c r="T473" i="15"/>
  <c r="S473" i="15"/>
  <c r="R473" i="15"/>
  <c r="Q473" i="15"/>
  <c r="P473" i="15"/>
  <c r="O473" i="15"/>
  <c r="N473" i="15"/>
  <c r="M473" i="15"/>
  <c r="L473" i="15"/>
  <c r="K473" i="15"/>
  <c r="J473" i="15"/>
  <c r="I473" i="15"/>
  <c r="D29" i="21" s="1"/>
  <c r="X472" i="15"/>
  <c r="W472" i="15"/>
  <c r="V472" i="15"/>
  <c r="U472" i="15"/>
  <c r="T472" i="15"/>
  <c r="S472" i="15"/>
  <c r="R472" i="15"/>
  <c r="Q472" i="15"/>
  <c r="P472" i="15"/>
  <c r="O472" i="15"/>
  <c r="N472" i="15"/>
  <c r="M472" i="15"/>
  <c r="L472" i="15"/>
  <c r="K472" i="15"/>
  <c r="J472" i="15"/>
  <c r="I472" i="15"/>
  <c r="D28" i="21" s="1"/>
  <c r="X471" i="15"/>
  <c r="W471" i="15"/>
  <c r="V471" i="15"/>
  <c r="U471" i="15"/>
  <c r="T471" i="15"/>
  <c r="S471" i="15"/>
  <c r="R471" i="15"/>
  <c r="Q471" i="15"/>
  <c r="P471" i="15"/>
  <c r="O471" i="15"/>
  <c r="N471" i="15"/>
  <c r="M471" i="15"/>
  <c r="L471" i="15"/>
  <c r="K471" i="15"/>
  <c r="J471" i="15"/>
  <c r="I471" i="15"/>
  <c r="D27" i="21" s="1"/>
  <c r="X470" i="15"/>
  <c r="W470" i="15"/>
  <c r="V470" i="15"/>
  <c r="U470" i="15"/>
  <c r="T470" i="15"/>
  <c r="S470" i="15"/>
  <c r="R470" i="15"/>
  <c r="Q470" i="15"/>
  <c r="P470" i="15"/>
  <c r="O470" i="15"/>
  <c r="N470" i="15"/>
  <c r="M470" i="15"/>
  <c r="L470" i="15"/>
  <c r="K470" i="15"/>
  <c r="J470" i="15"/>
  <c r="I470" i="15"/>
  <c r="D25" i="21" s="1"/>
  <c r="X469" i="15"/>
  <c r="W469" i="15"/>
  <c r="V469" i="15"/>
  <c r="U469" i="15"/>
  <c r="T469" i="15"/>
  <c r="S469" i="15"/>
  <c r="R469" i="15"/>
  <c r="Q469" i="15"/>
  <c r="P469" i="15"/>
  <c r="O469" i="15"/>
  <c r="N469" i="15"/>
  <c r="M469" i="15"/>
  <c r="L469" i="15"/>
  <c r="K469" i="15"/>
  <c r="J469" i="15"/>
  <c r="I469" i="15"/>
  <c r="D24" i="21" s="1"/>
  <c r="X468" i="15"/>
  <c r="W468" i="15"/>
  <c r="V468" i="15"/>
  <c r="U468" i="15"/>
  <c r="T468" i="15"/>
  <c r="S468" i="15"/>
  <c r="R468" i="15"/>
  <c r="Q468" i="15"/>
  <c r="P468" i="15"/>
  <c r="O468" i="15"/>
  <c r="N468" i="15"/>
  <c r="M468" i="15"/>
  <c r="L468" i="15"/>
  <c r="K468" i="15"/>
  <c r="J468" i="15"/>
  <c r="I468" i="15"/>
  <c r="D23" i="21" s="1"/>
  <c r="X467" i="15"/>
  <c r="W467" i="15"/>
  <c r="V467" i="15"/>
  <c r="U467" i="15"/>
  <c r="T467" i="15"/>
  <c r="S467" i="15"/>
  <c r="R467" i="15"/>
  <c r="Q467" i="15"/>
  <c r="P467" i="15"/>
  <c r="O467" i="15"/>
  <c r="N467" i="15"/>
  <c r="M467" i="15"/>
  <c r="L467" i="15"/>
  <c r="K467" i="15"/>
  <c r="J467" i="15"/>
  <c r="I467" i="15"/>
  <c r="D22" i="21" s="1"/>
  <c r="AW284" i="15"/>
  <c r="AR284" i="15"/>
  <c r="AK284" i="15"/>
  <c r="AG284" i="15"/>
  <c r="AC284" i="15"/>
  <c r="Y284" i="15"/>
  <c r="P284" i="15"/>
  <c r="J284" i="15"/>
  <c r="F284" i="15"/>
  <c r="AV283" i="15"/>
  <c r="AP283" i="15"/>
  <c r="AC283" i="15"/>
  <c r="T283" i="15"/>
  <c r="Q283" i="15"/>
  <c r="P283" i="15"/>
  <c r="N283" i="15"/>
  <c r="F283" i="15"/>
  <c r="AV282" i="15"/>
  <c r="AT282" i="15"/>
  <c r="AS282" i="15"/>
  <c r="AL282" i="15"/>
  <c r="AK282" i="15"/>
  <c r="Y282" i="15"/>
  <c r="T282" i="15"/>
  <c r="R282" i="15"/>
  <c r="P282" i="15"/>
  <c r="J282" i="15"/>
  <c r="F282" i="15"/>
  <c r="AV281" i="15"/>
  <c r="AT281" i="15"/>
  <c r="AR281" i="15"/>
  <c r="AK281" i="15"/>
  <c r="AC281" i="15"/>
  <c r="Y281" i="15"/>
  <c r="W281" i="15"/>
  <c r="P281" i="15"/>
  <c r="J281" i="15"/>
  <c r="AV280" i="15"/>
  <c r="AR280" i="15"/>
  <c r="AP280" i="15"/>
  <c r="AG280" i="15"/>
  <c r="AC280" i="15"/>
  <c r="T280" i="15"/>
  <c r="P280" i="15"/>
  <c r="O280" i="15"/>
  <c r="N280" i="15"/>
  <c r="J280" i="15"/>
  <c r="I280" i="15"/>
  <c r="E280" i="15"/>
  <c r="D280" i="15" s="1"/>
  <c r="AV279" i="15"/>
  <c r="AK279" i="15"/>
  <c r="AG279" i="15"/>
  <c r="AE279" i="15"/>
  <c r="AC279" i="15"/>
  <c r="Y279" i="15"/>
  <c r="T279" i="15"/>
  <c r="R279" i="15"/>
  <c r="N279" i="15"/>
  <c r="J279" i="15"/>
  <c r="AR278" i="15"/>
  <c r="AQ278" i="15"/>
  <c r="AK278" i="15"/>
  <c r="AG278" i="15"/>
  <c r="AE278" i="15"/>
  <c r="AC278" i="15"/>
  <c r="Y278" i="15"/>
  <c r="T278" i="15"/>
  <c r="R278" i="15"/>
  <c r="P278" i="15"/>
  <c r="O278" i="15"/>
  <c r="AV277" i="15"/>
  <c r="AR277" i="15"/>
  <c r="AL277" i="15"/>
  <c r="AG277" i="15"/>
  <c r="AC277" i="15"/>
  <c r="AA277" i="15"/>
  <c r="T277" i="15"/>
  <c r="P277" i="15"/>
  <c r="J277" i="15"/>
  <c r="F277" i="15"/>
  <c r="AW276" i="15"/>
  <c r="AV276" i="15"/>
  <c r="AK276" i="15"/>
  <c r="AG276" i="15"/>
  <c r="AE276" i="15"/>
  <c r="AC276" i="15"/>
  <c r="O276" i="15"/>
  <c r="N276" i="15"/>
  <c r="J276" i="15"/>
  <c r="F276" i="15"/>
  <c r="AR275" i="15"/>
  <c r="AK275" i="15"/>
  <c r="AI275" i="15"/>
  <c r="AC275" i="15"/>
  <c r="T275" i="15"/>
  <c r="P275" i="15"/>
  <c r="J275" i="15"/>
  <c r="G275" i="15"/>
  <c r="F275" i="15"/>
  <c r="AV274" i="15"/>
  <c r="AR274" i="15"/>
  <c r="AQ274" i="15"/>
  <c r="AI274" i="15"/>
  <c r="AG274" i="15"/>
  <c r="AC274" i="15"/>
  <c r="T274" i="15"/>
  <c r="S274" i="15"/>
  <c r="P274" i="15"/>
  <c r="F274" i="15"/>
  <c r="AV273" i="15"/>
  <c r="AT273" i="15"/>
  <c r="AP273" i="15"/>
  <c r="AK273" i="15"/>
  <c r="AG273" i="15"/>
  <c r="AC273" i="15"/>
  <c r="Z273" i="15"/>
  <c r="Y273" i="15"/>
  <c r="T273" i="15"/>
  <c r="J273" i="15"/>
  <c r="F273" i="15"/>
  <c r="AK272" i="15"/>
  <c r="AG272" i="15"/>
  <c r="AC272" i="15"/>
  <c r="Z272" i="15"/>
  <c r="Y272" i="15"/>
  <c r="W272" i="15"/>
  <c r="P272" i="15"/>
  <c r="J272" i="15"/>
  <c r="H272" i="15"/>
  <c r="AV271" i="15"/>
  <c r="AK271" i="15"/>
  <c r="AG271" i="15"/>
  <c r="AC271" i="15"/>
  <c r="Y271" i="15"/>
  <c r="T271" i="15"/>
  <c r="P271" i="15"/>
  <c r="J271" i="15"/>
  <c r="H271" i="15"/>
  <c r="F271" i="15"/>
  <c r="AV270" i="15"/>
  <c r="AR270" i="15"/>
  <c r="AK270" i="15"/>
  <c r="Y270" i="15"/>
  <c r="T270" i="15"/>
  <c r="J270" i="15"/>
  <c r="F270" i="15"/>
  <c r="AR269" i="15"/>
  <c r="AK269" i="15"/>
  <c r="AI269" i="15"/>
  <c r="AC269" i="15"/>
  <c r="Y269" i="15"/>
  <c r="W269" i="15"/>
  <c r="R269" i="15"/>
  <c r="J269" i="15"/>
  <c r="AV268" i="15"/>
  <c r="AP268" i="15"/>
  <c r="AG268" i="15"/>
  <c r="AC268" i="15"/>
  <c r="Z268" i="15"/>
  <c r="X268" i="15"/>
  <c r="W268" i="15"/>
  <c r="T268" i="15"/>
  <c r="F268" i="15"/>
  <c r="AV267" i="15"/>
  <c r="AT267" i="15"/>
  <c r="AR267" i="15"/>
  <c r="AK267" i="15"/>
  <c r="AG267" i="15"/>
  <c r="AF267" i="15"/>
  <c r="AD267" i="15"/>
  <c r="AC267" i="15"/>
  <c r="Y267" i="15"/>
  <c r="T267" i="15"/>
  <c r="O267" i="15"/>
  <c r="N267" i="15"/>
  <c r="J267" i="15"/>
  <c r="F267" i="15"/>
  <c r="AR266" i="15"/>
  <c r="AK266" i="15"/>
  <c r="AI266" i="15"/>
  <c r="AH266" i="15"/>
  <c r="AE266" i="15"/>
  <c r="AC266" i="15"/>
  <c r="Y266" i="15"/>
  <c r="P266" i="15"/>
  <c r="J266" i="15"/>
  <c r="AV265" i="15"/>
  <c r="AR265" i="15"/>
  <c r="AP265" i="15"/>
  <c r="AL265" i="15"/>
  <c r="AC265" i="15"/>
  <c r="Y265" i="15"/>
  <c r="W265" i="15"/>
  <c r="T265" i="15"/>
  <c r="P265" i="15"/>
  <c r="F265" i="15"/>
  <c r="AV264" i="15"/>
  <c r="AT264" i="15"/>
  <c r="AR264" i="15"/>
  <c r="AK264" i="15"/>
  <c r="AE264" i="15"/>
  <c r="AC264" i="15"/>
  <c r="AA264" i="15"/>
  <c r="Y264" i="15"/>
  <c r="T264" i="15"/>
  <c r="P264" i="15"/>
  <c r="J264" i="15"/>
  <c r="F264" i="15"/>
  <c r="AV263" i="15"/>
  <c r="AT263" i="15"/>
  <c r="AR263" i="15"/>
  <c r="AK263" i="15"/>
  <c r="AG263" i="15"/>
  <c r="AC263" i="15"/>
  <c r="Y263" i="15"/>
  <c r="R263" i="15"/>
  <c r="Q263" i="15"/>
  <c r="P263" i="15"/>
  <c r="O263" i="15"/>
  <c r="AV262" i="15"/>
  <c r="AR262" i="15"/>
  <c r="AL262" i="15"/>
  <c r="AG262" i="15"/>
  <c r="AC262" i="15"/>
  <c r="T262" i="15"/>
  <c r="P262" i="15"/>
  <c r="N262" i="15"/>
  <c r="AV261" i="15"/>
  <c r="AU261" i="15"/>
  <c r="AT261" i="15"/>
  <c r="AS261" i="15"/>
  <c r="AR261" i="15"/>
  <c r="AK261" i="15"/>
  <c r="AG261" i="15"/>
  <c r="Y261" i="15"/>
  <c r="X261" i="15"/>
  <c r="S261" i="15"/>
  <c r="J261" i="15"/>
  <c r="AV260" i="15"/>
  <c r="AT260" i="15"/>
  <c r="AS260" i="15"/>
  <c r="AR260" i="15"/>
  <c r="AK260" i="15"/>
  <c r="AG260" i="15"/>
  <c r="AC260" i="15"/>
  <c r="T260" i="15"/>
  <c r="P260" i="15"/>
  <c r="J260" i="15"/>
  <c r="I260" i="15"/>
  <c r="AV259" i="15"/>
  <c r="AI259" i="15"/>
  <c r="AG259" i="15"/>
  <c r="AC259" i="15"/>
  <c r="AA259" i="15"/>
  <c r="T259" i="15"/>
  <c r="J259" i="15"/>
  <c r="F259" i="15"/>
  <c r="D259" i="15"/>
  <c r="AV258" i="15"/>
  <c r="AK258" i="15"/>
  <c r="AI258" i="15"/>
  <c r="AC258" i="15"/>
  <c r="AA258" i="15"/>
  <c r="T258" i="15"/>
  <c r="F258" i="15"/>
  <c r="AV257" i="15"/>
  <c r="AR257" i="15"/>
  <c r="AK257" i="15"/>
  <c r="AI257" i="15"/>
  <c r="AC257" i="15"/>
  <c r="P257" i="15"/>
  <c r="J257" i="15"/>
  <c r="AV256" i="15"/>
  <c r="AR256" i="15"/>
  <c r="AG256" i="15"/>
  <c r="AC256" i="15"/>
  <c r="AA256" i="15"/>
  <c r="T256" i="15"/>
  <c r="J256" i="15"/>
  <c r="F256" i="15"/>
  <c r="AV255" i="15"/>
  <c r="AK255" i="15"/>
  <c r="AI255" i="15"/>
  <c r="AG255" i="15"/>
  <c r="AC255" i="15"/>
  <c r="AA255" i="15"/>
  <c r="T255" i="15"/>
  <c r="J255" i="15"/>
  <c r="D255" i="15"/>
  <c r="AV254" i="15"/>
  <c r="AR254" i="15"/>
  <c r="AK254" i="15"/>
  <c r="AC254" i="15"/>
  <c r="AA254" i="15"/>
  <c r="X254" i="15"/>
  <c r="V254" i="15"/>
  <c r="P254" i="15"/>
  <c r="F254" i="15"/>
  <c r="AV253" i="15"/>
  <c r="AR253" i="15"/>
  <c r="AG253" i="15"/>
  <c r="AC253" i="15"/>
  <c r="V253" i="15"/>
  <c r="T253" i="15"/>
  <c r="P253" i="15"/>
  <c r="J253" i="15"/>
  <c r="AV252" i="15"/>
  <c r="AK252" i="15"/>
  <c r="AG252" i="15"/>
  <c r="AC252" i="15"/>
  <c r="AA252" i="15"/>
  <c r="T252" i="15"/>
  <c r="J252" i="15"/>
  <c r="I252" i="15"/>
  <c r="F252" i="15"/>
  <c r="AV251" i="15"/>
  <c r="AR251" i="15"/>
  <c r="AK251" i="15"/>
  <c r="AG251" i="15"/>
  <c r="AC251" i="15"/>
  <c r="Z251" i="15"/>
  <c r="J251" i="15"/>
  <c r="AV250" i="15"/>
  <c r="AR250" i="15"/>
  <c r="AG250" i="15"/>
  <c r="AC250" i="15"/>
  <c r="AA250" i="15"/>
  <c r="X250" i="15"/>
  <c r="T250" i="15"/>
  <c r="P250" i="15"/>
  <c r="F250" i="15"/>
  <c r="AV249" i="15"/>
  <c r="AT249" i="15"/>
  <c r="AS249" i="15"/>
  <c r="AK249" i="15"/>
  <c r="AG249" i="15"/>
  <c r="T249" i="15"/>
  <c r="R249" i="15"/>
  <c r="J249" i="15"/>
  <c r="AR248" i="15"/>
  <c r="AI248" i="15"/>
  <c r="AC248" i="15"/>
  <c r="Y248" i="15"/>
  <c r="X248" i="15"/>
  <c r="R248" i="15"/>
  <c r="P248" i="15"/>
  <c r="J248" i="15"/>
  <c r="H248" i="15"/>
  <c r="AV247" i="15"/>
  <c r="AR247" i="15"/>
  <c r="AI247" i="15"/>
  <c r="AG247" i="15"/>
  <c r="AC247" i="15"/>
  <c r="AA247" i="15"/>
  <c r="T247" i="15"/>
  <c r="P247" i="15"/>
  <c r="O247" i="15"/>
  <c r="AV246" i="15"/>
  <c r="AK246" i="15"/>
  <c r="AG246" i="15"/>
  <c r="AB246" i="15"/>
  <c r="Y246" i="15"/>
  <c r="T246" i="15"/>
  <c r="R246" i="15"/>
  <c r="J246" i="15"/>
  <c r="AR245" i="15"/>
  <c r="AL245" i="15"/>
  <c r="AK245" i="15"/>
  <c r="AI245" i="15"/>
  <c r="AC245" i="15"/>
  <c r="Y245" i="15"/>
  <c r="T245" i="15"/>
  <c r="R245" i="15"/>
  <c r="P245" i="15"/>
  <c r="K245" i="15"/>
  <c r="J245" i="15"/>
  <c r="AV244" i="15"/>
  <c r="AR244" i="15"/>
  <c r="AG244" i="15"/>
  <c r="AC244" i="15"/>
  <c r="AA244" i="15"/>
  <c r="Y244" i="15"/>
  <c r="T244" i="15"/>
  <c r="P244" i="15"/>
  <c r="E244" i="15"/>
  <c r="D244" i="15" s="1"/>
  <c r="AV243" i="15"/>
  <c r="AU243" i="15"/>
  <c r="AT243" i="15"/>
  <c r="AK243" i="15"/>
  <c r="AD243" i="15"/>
  <c r="Y243" i="15"/>
  <c r="T243" i="15"/>
  <c r="J243" i="15"/>
  <c r="AR242" i="15"/>
  <c r="AK242" i="15"/>
  <c r="AI242" i="15"/>
  <c r="AH242" i="15"/>
  <c r="AC242" i="15"/>
  <c r="AA242" i="15"/>
  <c r="Y242" i="15"/>
  <c r="P242" i="15"/>
  <c r="J242" i="15"/>
  <c r="H242" i="15"/>
  <c r="AV241" i="15"/>
  <c r="AL241" i="15"/>
  <c r="AI241" i="15"/>
  <c r="AG241" i="15"/>
  <c r="AC241" i="15"/>
  <c r="AA241" i="15"/>
  <c r="T241" i="15"/>
  <c r="P241" i="15"/>
  <c r="K241" i="15"/>
  <c r="AT240" i="15"/>
  <c r="AK240" i="15"/>
  <c r="AG240" i="15"/>
  <c r="Y240" i="15"/>
  <c r="X240" i="15"/>
  <c r="R240" i="15"/>
  <c r="J240" i="15"/>
  <c r="AV239" i="15"/>
  <c r="AR239" i="15"/>
  <c r="AK239" i="15"/>
  <c r="AI239" i="15"/>
  <c r="AC239" i="15"/>
  <c r="Y239" i="15"/>
  <c r="R239" i="15"/>
  <c r="P239" i="15"/>
  <c r="J239" i="15"/>
  <c r="AW238" i="15"/>
  <c r="AV238" i="15"/>
  <c r="AT238" i="15"/>
  <c r="AR238" i="15"/>
  <c r="AG238" i="15"/>
  <c r="AA238" i="15"/>
  <c r="T238" i="15"/>
  <c r="P238" i="15"/>
  <c r="AV237" i="15"/>
  <c r="AT237" i="15"/>
  <c r="AK237" i="15"/>
  <c r="AG237" i="15"/>
  <c r="AD237" i="15"/>
  <c r="AC237" i="15"/>
  <c r="Y237" i="15"/>
  <c r="T237" i="15"/>
  <c r="R237" i="15"/>
  <c r="J237" i="15"/>
  <c r="G237" i="15"/>
  <c r="AW236" i="15"/>
  <c r="AV236" i="15"/>
  <c r="AT236" i="15"/>
  <c r="AR236" i="15"/>
  <c r="AC236" i="15"/>
  <c r="AA236" i="15"/>
  <c r="W236" i="15"/>
  <c r="P236" i="15"/>
  <c r="O236" i="15"/>
  <c r="F236" i="15"/>
  <c r="AV235" i="15"/>
  <c r="AP235" i="15"/>
  <c r="AK235" i="15"/>
  <c r="AI235" i="15"/>
  <c r="AG235" i="15"/>
  <c r="AA235" i="15"/>
  <c r="T235" i="15"/>
  <c r="R235" i="15"/>
  <c r="N235" i="15"/>
  <c r="K235" i="15"/>
  <c r="F235" i="15"/>
  <c r="AT234" i="15"/>
  <c r="AR234" i="15"/>
  <c r="AK234" i="15"/>
  <c r="AC234" i="15"/>
  <c r="Y234" i="15"/>
  <c r="W234" i="15"/>
  <c r="R234" i="15"/>
  <c r="J234" i="15"/>
  <c r="H234" i="15"/>
  <c r="E234" i="15"/>
  <c r="D234" i="15" s="1"/>
  <c r="AW233" i="15"/>
  <c r="AR233" i="15"/>
  <c r="AI233" i="15"/>
  <c r="AG233" i="15"/>
  <c r="AC233" i="15"/>
  <c r="W233" i="15"/>
  <c r="R233" i="15"/>
  <c r="Q233" i="15"/>
  <c r="P233" i="15"/>
  <c r="N233" i="15"/>
  <c r="AV232" i="15"/>
  <c r="AT232" i="15"/>
  <c r="AP232" i="15"/>
  <c r="AG232" i="15"/>
  <c r="Y232" i="15"/>
  <c r="T232" i="15"/>
  <c r="N232" i="15"/>
  <c r="F232" i="15"/>
  <c r="AW231" i="15"/>
  <c r="AU231" i="15"/>
  <c r="AT231" i="15"/>
  <c r="AK231" i="15"/>
  <c r="AF231" i="15"/>
  <c r="AE231" i="15"/>
  <c r="Y231" i="15"/>
  <c r="R231" i="15"/>
  <c r="J231" i="15"/>
  <c r="AR230" i="15"/>
  <c r="AL230" i="15"/>
  <c r="AC230" i="15"/>
  <c r="W230" i="15"/>
  <c r="P230" i="15"/>
  <c r="N230" i="15"/>
  <c r="H230" i="15"/>
  <c r="AV229" i="15"/>
  <c r="AP229" i="15"/>
  <c r="AL229" i="15"/>
  <c r="AG229" i="15"/>
  <c r="AA229" i="15"/>
  <c r="Y229" i="15"/>
  <c r="X229" i="15"/>
  <c r="T229" i="15"/>
  <c r="F229" i="15"/>
  <c r="AK228" i="15"/>
  <c r="Y228" i="15"/>
  <c r="R228" i="15"/>
  <c r="Q228" i="15"/>
  <c r="N228" i="15"/>
  <c r="J228" i="15"/>
  <c r="AR227" i="15"/>
  <c r="AI227" i="15"/>
  <c r="AH227" i="15"/>
  <c r="AC227" i="15"/>
  <c r="W227" i="15"/>
  <c r="T227" i="15"/>
  <c r="P227" i="15"/>
  <c r="AV226" i="15"/>
  <c r="AP226" i="15"/>
  <c r="AG226" i="15"/>
  <c r="AA226" i="15"/>
  <c r="T226" i="15"/>
  <c r="N226" i="15"/>
  <c r="J226" i="15"/>
  <c r="F226" i="15"/>
  <c r="AT225" i="15"/>
  <c r="AP225" i="15"/>
  <c r="AK225" i="15"/>
  <c r="AE225" i="15"/>
  <c r="AD225" i="15"/>
  <c r="Y225" i="15"/>
  <c r="Q225" i="15"/>
  <c r="P225" i="15"/>
  <c r="J225" i="15"/>
  <c r="AR224" i="15"/>
  <c r="AC224" i="15"/>
  <c r="AA224" i="15"/>
  <c r="X224" i="15"/>
  <c r="W224" i="15"/>
  <c r="R224" i="15"/>
  <c r="P224" i="15"/>
  <c r="H224" i="15"/>
  <c r="F224" i="15"/>
  <c r="AV223" i="15"/>
  <c r="AP223" i="15"/>
  <c r="AI223" i="15"/>
  <c r="AG223" i="15"/>
  <c r="AA223" i="15"/>
  <c r="T223" i="15"/>
  <c r="H223" i="15"/>
  <c r="F223" i="15"/>
  <c r="AT222" i="15"/>
  <c r="AK222" i="15"/>
  <c r="AH222" i="15"/>
  <c r="AE222" i="15"/>
  <c r="Y222" i="15"/>
  <c r="R222" i="15"/>
  <c r="P222" i="15"/>
  <c r="J222" i="15"/>
  <c r="AV221" i="15"/>
  <c r="AT221" i="15"/>
  <c r="AA221" i="15"/>
  <c r="Z221" i="15"/>
  <c r="W221" i="15"/>
  <c r="T221" i="15"/>
  <c r="H221" i="15"/>
  <c r="AW220" i="15"/>
  <c r="AV220" i="15"/>
  <c r="AV284" i="15" s="1"/>
  <c r="AT220" i="15"/>
  <c r="AT284" i="15" s="1"/>
  <c r="AR220" i="15"/>
  <c r="AP220" i="15"/>
  <c r="AL220" i="15"/>
  <c r="AL284" i="15" s="1"/>
  <c r="AK220" i="15"/>
  <c r="AI220" i="15"/>
  <c r="AI284" i="15" s="1"/>
  <c r="AG220" i="15"/>
  <c r="AC220" i="15"/>
  <c r="AA220" i="15"/>
  <c r="AA284" i="15" s="1"/>
  <c r="Y220" i="15"/>
  <c r="X220" i="15"/>
  <c r="X284" i="15" s="1"/>
  <c r="V220" i="15"/>
  <c r="V284" i="15" s="1"/>
  <c r="T220" i="15"/>
  <c r="T284" i="15" s="1"/>
  <c r="R220" i="15"/>
  <c r="R284" i="15" s="1"/>
  <c r="P220" i="15"/>
  <c r="J220" i="15"/>
  <c r="H220" i="15"/>
  <c r="H284" i="15" s="1"/>
  <c r="F220" i="15"/>
  <c r="E220" i="15"/>
  <c r="AV219" i="15"/>
  <c r="AT219" i="15"/>
  <c r="AT283" i="15" s="1"/>
  <c r="AR219" i="15"/>
  <c r="AR283" i="15" s="1"/>
  <c r="AQ219" i="15"/>
  <c r="AQ283" i="15" s="1"/>
  <c r="AK219" i="15"/>
  <c r="AK283" i="15" s="1"/>
  <c r="AI219" i="15"/>
  <c r="AI283" i="15" s="1"/>
  <c r="AG219" i="15"/>
  <c r="AG283" i="15" s="1"/>
  <c r="AE219" i="15"/>
  <c r="AC219" i="15"/>
  <c r="AA219" i="15"/>
  <c r="AA283" i="15" s="1"/>
  <c r="Z219" i="15"/>
  <c r="Z283" i="15" s="1"/>
  <c r="Y219" i="15"/>
  <c r="Y283" i="15" s="1"/>
  <c r="W219" i="15"/>
  <c r="T219" i="15"/>
  <c r="R219" i="15"/>
  <c r="R283" i="15" s="1"/>
  <c r="Q219" i="15"/>
  <c r="P219" i="15"/>
  <c r="J219" i="15"/>
  <c r="J283" i="15" s="1"/>
  <c r="I219" i="15"/>
  <c r="I283" i="15" s="1"/>
  <c r="H219" i="15"/>
  <c r="H283" i="15" s="1"/>
  <c r="G219" i="15"/>
  <c r="G283" i="15" s="1"/>
  <c r="F219" i="15"/>
  <c r="AV218" i="15"/>
  <c r="AT218" i="15"/>
  <c r="AR218" i="15"/>
  <c r="AR282" i="15" s="1"/>
  <c r="AP218" i="15"/>
  <c r="AK218" i="15"/>
  <c r="AI218" i="15"/>
  <c r="AI282" i="15" s="1"/>
  <c r="AG218" i="15"/>
  <c r="AG282" i="15" s="1"/>
  <c r="AC218" i="15"/>
  <c r="AC282" i="15" s="1"/>
  <c r="AA218" i="15"/>
  <c r="AA282" i="15" s="1"/>
  <c r="Y218" i="15"/>
  <c r="W218" i="15"/>
  <c r="T218" i="15"/>
  <c r="R218" i="15"/>
  <c r="P218" i="15"/>
  <c r="N218" i="15"/>
  <c r="J218" i="15"/>
  <c r="H218" i="15"/>
  <c r="H282" i="15" s="1"/>
  <c r="F218" i="15"/>
  <c r="AV217" i="15"/>
  <c r="AT217" i="15"/>
  <c r="AR217" i="15"/>
  <c r="AP217" i="15"/>
  <c r="AL217" i="15"/>
  <c r="AL281" i="15" s="1"/>
  <c r="AK217" i="15"/>
  <c r="AI217" i="15"/>
  <c r="AI281" i="15" s="1"/>
  <c r="AG217" i="15"/>
  <c r="AG281" i="15" s="1"/>
  <c r="AC217" i="15"/>
  <c r="AA217" i="15"/>
  <c r="AA281" i="15" s="1"/>
  <c r="Y217" i="15"/>
  <c r="W217" i="15"/>
  <c r="V217" i="15"/>
  <c r="V281" i="15" s="1"/>
  <c r="T217" i="15"/>
  <c r="T281" i="15" s="1"/>
  <c r="R217" i="15"/>
  <c r="R281" i="15" s="1"/>
  <c r="P217" i="15"/>
  <c r="N217" i="15"/>
  <c r="J217" i="15"/>
  <c r="H217" i="15"/>
  <c r="H281" i="15" s="1"/>
  <c r="G217" i="15"/>
  <c r="G281" i="15" s="1"/>
  <c r="F217" i="15"/>
  <c r="F281" i="15" s="1"/>
  <c r="AV216" i="15"/>
  <c r="AT216" i="15"/>
  <c r="AT280" i="15" s="1"/>
  <c r="AR216" i="15"/>
  <c r="AK216" i="15"/>
  <c r="AK280" i="15" s="1"/>
  <c r="AI216" i="15"/>
  <c r="AI280" i="15" s="1"/>
  <c r="AG216" i="15"/>
  <c r="AC216" i="15"/>
  <c r="AB216" i="15"/>
  <c r="AB280" i="15" s="1"/>
  <c r="AA216" i="15"/>
  <c r="AA280" i="15" s="1"/>
  <c r="Z216" i="15"/>
  <c r="Z280" i="15" s="1"/>
  <c r="Y216" i="15"/>
  <c r="Y280" i="15" s="1"/>
  <c r="T216" i="15"/>
  <c r="R216" i="15"/>
  <c r="R280" i="15" s="1"/>
  <c r="P216" i="15"/>
  <c r="O216" i="15"/>
  <c r="N216" i="15"/>
  <c r="J216" i="15"/>
  <c r="H216" i="15"/>
  <c r="H280" i="15" s="1"/>
  <c r="G216" i="15"/>
  <c r="G280" i="15" s="1"/>
  <c r="F216" i="15"/>
  <c r="F280" i="15" s="1"/>
  <c r="AV215" i="15"/>
  <c r="AT215" i="15"/>
  <c r="AT279" i="15" s="1"/>
  <c r="AR215" i="15"/>
  <c r="AR279" i="15" s="1"/>
  <c r="AQ215" i="15"/>
  <c r="AQ279" i="15" s="1"/>
  <c r="AP215" i="15"/>
  <c r="AK215" i="15"/>
  <c r="AI215" i="15"/>
  <c r="AI279" i="15" s="1"/>
  <c r="AG215" i="15"/>
  <c r="AC215" i="15"/>
  <c r="AA215" i="15"/>
  <c r="AA279" i="15" s="1"/>
  <c r="Y215" i="15"/>
  <c r="W215" i="15"/>
  <c r="T215" i="15"/>
  <c r="R215" i="15"/>
  <c r="P215" i="15"/>
  <c r="P279" i="15" s="1"/>
  <c r="N215" i="15"/>
  <c r="K215" i="15"/>
  <c r="K279" i="15" s="1"/>
  <c r="J215" i="15"/>
  <c r="H215" i="15"/>
  <c r="H279" i="15" s="1"/>
  <c r="F215" i="15"/>
  <c r="F279" i="15" s="1"/>
  <c r="AV214" i="15"/>
  <c r="AV278" i="15" s="1"/>
  <c r="AT214" i="15"/>
  <c r="AT278" i="15" s="1"/>
  <c r="AR214" i="15"/>
  <c r="AP214" i="15"/>
  <c r="AK214" i="15"/>
  <c r="AI214" i="15"/>
  <c r="AI278" i="15" s="1"/>
  <c r="AG214" i="15"/>
  <c r="AE214" i="15"/>
  <c r="AC214" i="15"/>
  <c r="AA214" i="15"/>
  <c r="AA278" i="15" s="1"/>
  <c r="Z214" i="15"/>
  <c r="Z278" i="15" s="1"/>
  <c r="Y214" i="15"/>
  <c r="X214" i="15"/>
  <c r="X278" i="15" s="1"/>
  <c r="T214" i="15"/>
  <c r="R214" i="15"/>
  <c r="P214" i="15"/>
  <c r="N214" i="15"/>
  <c r="J214" i="15"/>
  <c r="J278" i="15" s="1"/>
  <c r="H214" i="15"/>
  <c r="H278" i="15" s="1"/>
  <c r="F214" i="15"/>
  <c r="F278" i="15" s="1"/>
  <c r="AV213" i="15"/>
  <c r="AT213" i="15"/>
  <c r="AT277" i="15" s="1"/>
  <c r="AR213" i="15"/>
  <c r="AL213" i="15"/>
  <c r="AK213" i="15"/>
  <c r="AK277" i="15" s="1"/>
  <c r="AI213" i="15"/>
  <c r="AI277" i="15" s="1"/>
  <c r="AG213" i="15"/>
  <c r="AE213" i="15"/>
  <c r="AC213" i="15"/>
  <c r="AA213" i="15"/>
  <c r="Y213" i="15"/>
  <c r="Y277" i="15" s="1"/>
  <c r="T213" i="15"/>
  <c r="R213" i="15"/>
  <c r="R277" i="15" s="1"/>
  <c r="P213" i="15"/>
  <c r="K213" i="15"/>
  <c r="K277" i="15" s="1"/>
  <c r="J213" i="15"/>
  <c r="I213" i="15"/>
  <c r="I277" i="15" s="1"/>
  <c r="H213" i="15"/>
  <c r="H277" i="15" s="1"/>
  <c r="F213" i="15"/>
  <c r="AV212" i="15"/>
  <c r="AT212" i="15"/>
  <c r="AT276" i="15" s="1"/>
  <c r="AR212" i="15"/>
  <c r="AR276" i="15" s="1"/>
  <c r="AK212" i="15"/>
  <c r="AI212" i="15"/>
  <c r="AI276" i="15" s="1"/>
  <c r="AG212" i="15"/>
  <c r="AE212" i="15"/>
  <c r="AD212" i="15"/>
  <c r="AD276" i="15" s="1"/>
  <c r="AC212" i="15"/>
  <c r="AA212" i="15"/>
  <c r="AA276" i="15" s="1"/>
  <c r="Z212" i="15"/>
  <c r="Z276" i="15" s="1"/>
  <c r="Y212" i="15"/>
  <c r="Y276" i="15" s="1"/>
  <c r="W212" i="15"/>
  <c r="T212" i="15"/>
  <c r="T276" i="15" s="1"/>
  <c r="R212" i="15"/>
  <c r="R276" i="15" s="1"/>
  <c r="P212" i="15"/>
  <c r="P276" i="15" s="1"/>
  <c r="O212" i="15"/>
  <c r="J212" i="15"/>
  <c r="H212" i="15"/>
  <c r="H276" i="15" s="1"/>
  <c r="F212" i="15"/>
  <c r="AV211" i="15"/>
  <c r="AV275" i="15" s="1"/>
  <c r="AT211" i="15"/>
  <c r="AT275" i="15" s="1"/>
  <c r="AS211" i="15"/>
  <c r="AS275" i="15" s="1"/>
  <c r="AR211" i="15"/>
  <c r="AP211" i="15"/>
  <c r="AK211" i="15"/>
  <c r="AI211" i="15"/>
  <c r="AG211" i="15"/>
  <c r="AG275" i="15" s="1"/>
  <c r="AC211" i="15"/>
  <c r="AA211" i="15"/>
  <c r="AA275" i="15" s="1"/>
  <c r="Y211" i="15"/>
  <c r="Y275" i="15" s="1"/>
  <c r="T211" i="15"/>
  <c r="R211" i="15"/>
  <c r="R275" i="15" s="1"/>
  <c r="P211" i="15"/>
  <c r="N211" i="15"/>
  <c r="J211" i="15"/>
  <c r="H211" i="15"/>
  <c r="H275" i="15" s="1"/>
  <c r="G211" i="15"/>
  <c r="F211" i="15"/>
  <c r="D211" i="15"/>
  <c r="AW210" i="15"/>
  <c r="AW274" i="15" s="1"/>
  <c r="AV210" i="15"/>
  <c r="AT210" i="15"/>
  <c r="AT274" i="15" s="1"/>
  <c r="AR210" i="15"/>
  <c r="AK210" i="15"/>
  <c r="AK274" i="15" s="1"/>
  <c r="AI210" i="15"/>
  <c r="AG210" i="15"/>
  <c r="AE210" i="15"/>
  <c r="AC210" i="15"/>
  <c r="AA210" i="15"/>
  <c r="AA274" i="15" s="1"/>
  <c r="Y210" i="15"/>
  <c r="Y274" i="15" s="1"/>
  <c r="T210" i="15"/>
  <c r="R210" i="15"/>
  <c r="R274" i="15" s="1"/>
  <c r="P210" i="15"/>
  <c r="O210" i="15"/>
  <c r="O274" i="15" s="1"/>
  <c r="N210" i="15"/>
  <c r="J210" i="15"/>
  <c r="J274" i="15" s="1"/>
  <c r="H210" i="15"/>
  <c r="H274" i="15" s="1"/>
  <c r="F210" i="15"/>
  <c r="AV209" i="15"/>
  <c r="AT209" i="15"/>
  <c r="AR209" i="15"/>
  <c r="AR273" i="15" s="1"/>
  <c r="AK209" i="15"/>
  <c r="AI209" i="15"/>
  <c r="AI273" i="15" s="1"/>
  <c r="AG209" i="15"/>
  <c r="AF209" i="15"/>
  <c r="AF273" i="15" s="1"/>
  <c r="AE209" i="15"/>
  <c r="AC209" i="15"/>
  <c r="AA209" i="15"/>
  <c r="AA273" i="15" s="1"/>
  <c r="Y209" i="15"/>
  <c r="T209" i="15"/>
  <c r="S209" i="15"/>
  <c r="S273" i="15" s="1"/>
  <c r="R209" i="15"/>
  <c r="R273" i="15" s="1"/>
  <c r="Q209" i="15"/>
  <c r="Q273" i="15" s="1"/>
  <c r="P209" i="15"/>
  <c r="P273" i="15" s="1"/>
  <c r="O209" i="15"/>
  <c r="O273" i="15" s="1"/>
  <c r="J209" i="15"/>
  <c r="H209" i="15"/>
  <c r="H273" i="15" s="1"/>
  <c r="F209" i="15"/>
  <c r="AV208" i="15"/>
  <c r="AV272" i="15" s="1"/>
  <c r="AT208" i="15"/>
  <c r="AT272" i="15" s="1"/>
  <c r="AR208" i="15"/>
  <c r="AR272" i="15" s="1"/>
  <c r="AP208" i="15"/>
  <c r="AP284" i="15" s="1"/>
  <c r="AK208" i="15"/>
  <c r="AI208" i="15"/>
  <c r="AI272" i="15" s="1"/>
  <c r="AG208" i="15"/>
  <c r="AE208" i="15"/>
  <c r="AE284" i="15" s="1"/>
  <c r="AC208" i="15"/>
  <c r="AA208" i="15"/>
  <c r="AA272" i="15" s="1"/>
  <c r="Y208" i="15"/>
  <c r="W208" i="15"/>
  <c r="W284" i="15" s="1"/>
  <c r="V208" i="15"/>
  <c r="V272" i="15" s="1"/>
  <c r="T208" i="15"/>
  <c r="T272" i="15" s="1"/>
  <c r="R208" i="15"/>
  <c r="R272" i="15" s="1"/>
  <c r="P208" i="15"/>
  <c r="N208" i="15"/>
  <c r="N284" i="15" s="1"/>
  <c r="J208" i="15"/>
  <c r="H208" i="15"/>
  <c r="F208" i="15"/>
  <c r="F272" i="15" s="1"/>
  <c r="E208" i="15"/>
  <c r="E272" i="15" s="1"/>
  <c r="D272" i="15" s="1"/>
  <c r="D208" i="15"/>
  <c r="AV207" i="15"/>
  <c r="AT207" i="15"/>
  <c r="AT271" i="15" s="1"/>
  <c r="AR207" i="15"/>
  <c r="AR271" i="15" s="1"/>
  <c r="AP207" i="15"/>
  <c r="AK207" i="15"/>
  <c r="AI207" i="15"/>
  <c r="AI271" i="15" s="1"/>
  <c r="AG207" i="15"/>
  <c r="AE207" i="15"/>
  <c r="AE283" i="15" s="1"/>
  <c r="AD207" i="15"/>
  <c r="AD271" i="15" s="1"/>
  <c r="AC207" i="15"/>
  <c r="AA207" i="15"/>
  <c r="AA271" i="15" s="1"/>
  <c r="Y207" i="15"/>
  <c r="W207" i="15"/>
  <c r="W283" i="15" s="1"/>
  <c r="T207" i="15"/>
  <c r="R207" i="15"/>
  <c r="R271" i="15" s="1"/>
  <c r="P207" i="15"/>
  <c r="N207" i="15"/>
  <c r="J207" i="15"/>
  <c r="H207" i="15"/>
  <c r="F207" i="15"/>
  <c r="AV206" i="15"/>
  <c r="AT206" i="15"/>
  <c r="AT270" i="15" s="1"/>
  <c r="AR206" i="15"/>
  <c r="AP206" i="15"/>
  <c r="AP282" i="15" s="1"/>
  <c r="AK206" i="15"/>
  <c r="AI206" i="15"/>
  <c r="AI270" i="15" s="1"/>
  <c r="AG206" i="15"/>
  <c r="AG270" i="15" s="1"/>
  <c r="AE206" i="15"/>
  <c r="AE282" i="15" s="1"/>
  <c r="AC206" i="15"/>
  <c r="AC270" i="15" s="1"/>
  <c r="AA206" i="15"/>
  <c r="AA270" i="15" s="1"/>
  <c r="Y206" i="15"/>
  <c r="W206" i="15"/>
  <c r="W282" i="15" s="1"/>
  <c r="T206" i="15"/>
  <c r="R206" i="15"/>
  <c r="R270" i="15" s="1"/>
  <c r="P206" i="15"/>
  <c r="P270" i="15" s="1"/>
  <c r="N206" i="15"/>
  <c r="N282" i="15" s="1"/>
  <c r="J206" i="15"/>
  <c r="H206" i="15"/>
  <c r="H270" i="15" s="1"/>
  <c r="F206" i="15"/>
  <c r="AW205" i="15"/>
  <c r="AW269" i="15" s="1"/>
  <c r="AV205" i="15"/>
  <c r="AV269" i="15" s="1"/>
  <c r="AT205" i="15"/>
  <c r="AT269" i="15" s="1"/>
  <c r="AR205" i="15"/>
  <c r="AP205" i="15"/>
  <c r="AP281" i="15" s="1"/>
  <c r="AK205" i="15"/>
  <c r="AI205" i="15"/>
  <c r="AG205" i="15"/>
  <c r="AG269" i="15" s="1"/>
  <c r="AF205" i="15"/>
  <c r="AF269" i="15" s="1"/>
  <c r="AE205" i="15"/>
  <c r="AE281" i="15" s="1"/>
  <c r="AC205" i="15"/>
  <c r="AA205" i="15"/>
  <c r="AA269" i="15" s="1"/>
  <c r="Y205" i="15"/>
  <c r="W205" i="15"/>
  <c r="T205" i="15"/>
  <c r="T269" i="15" s="1"/>
  <c r="S205" i="15"/>
  <c r="S269" i="15" s="1"/>
  <c r="R205" i="15"/>
  <c r="P205" i="15"/>
  <c r="P269" i="15" s="1"/>
  <c r="N205" i="15"/>
  <c r="N281" i="15" s="1"/>
  <c r="J205" i="15"/>
  <c r="H205" i="15"/>
  <c r="H269" i="15" s="1"/>
  <c r="F205" i="15"/>
  <c r="F269" i="15" s="1"/>
  <c r="AV204" i="15"/>
  <c r="AT204" i="15"/>
  <c r="AT268" i="15" s="1"/>
  <c r="AR204" i="15"/>
  <c r="AR268" i="15" s="1"/>
  <c r="AP204" i="15"/>
  <c r="AK204" i="15"/>
  <c r="AK268" i="15" s="1"/>
  <c r="AI204" i="15"/>
  <c r="AI268" i="15" s="1"/>
  <c r="AG204" i="15"/>
  <c r="AE204" i="15"/>
  <c r="AE280" i="15" s="1"/>
  <c r="AC204" i="15"/>
  <c r="AA204" i="15"/>
  <c r="AA268" i="15" s="1"/>
  <c r="Y204" i="15"/>
  <c r="Y268" i="15" s="1"/>
  <c r="W204" i="15"/>
  <c r="W280" i="15" s="1"/>
  <c r="V204" i="15"/>
  <c r="V268" i="15" s="1"/>
  <c r="T204" i="15"/>
  <c r="R204" i="15"/>
  <c r="R268" i="15" s="1"/>
  <c r="P204" i="15"/>
  <c r="P268" i="15" s="1"/>
  <c r="N204" i="15"/>
  <c r="J204" i="15"/>
  <c r="J268" i="15" s="1"/>
  <c r="H204" i="15"/>
  <c r="H268" i="15" s="1"/>
  <c r="F204" i="15"/>
  <c r="AV203" i="15"/>
  <c r="AT203" i="15"/>
  <c r="AR203" i="15"/>
  <c r="AP203" i="15"/>
  <c r="AP279" i="15" s="1"/>
  <c r="AK203" i="15"/>
  <c r="AI203" i="15"/>
  <c r="AI267" i="15" s="1"/>
  <c r="AG203" i="15"/>
  <c r="AF203" i="15"/>
  <c r="AE203" i="15"/>
  <c r="AC203" i="15"/>
  <c r="AA203" i="15"/>
  <c r="AA267" i="15" s="1"/>
  <c r="Y203" i="15"/>
  <c r="W203" i="15"/>
  <c r="W279" i="15" s="1"/>
  <c r="T203" i="15"/>
  <c r="R203" i="15"/>
  <c r="R267" i="15" s="1"/>
  <c r="P203" i="15"/>
  <c r="P267" i="15" s="1"/>
  <c r="O203" i="15"/>
  <c r="N203" i="15"/>
  <c r="J203" i="15"/>
  <c r="H203" i="15"/>
  <c r="H267" i="15" s="1"/>
  <c r="F203" i="15"/>
  <c r="AV202" i="15"/>
  <c r="AV266" i="15" s="1"/>
  <c r="AT202" i="15"/>
  <c r="AT266" i="15" s="1"/>
  <c r="AR202" i="15"/>
  <c r="AP202" i="15"/>
  <c r="AP278" i="15" s="1"/>
  <c r="AL202" i="15"/>
  <c r="AL266" i="15" s="1"/>
  <c r="AK202" i="15"/>
  <c r="AJ202" i="15"/>
  <c r="AJ266" i="15" s="1"/>
  <c r="AI202" i="15"/>
  <c r="AH202" i="15"/>
  <c r="AG202" i="15"/>
  <c r="AG266" i="15" s="1"/>
  <c r="AE202" i="15"/>
  <c r="AC202" i="15"/>
  <c r="AA202" i="15"/>
  <c r="AA266" i="15" s="1"/>
  <c r="Z202" i="15"/>
  <c r="Z266" i="15" s="1"/>
  <c r="Y202" i="15"/>
  <c r="W202" i="15"/>
  <c r="W278" i="15" s="1"/>
  <c r="V202" i="15"/>
  <c r="V266" i="15" s="1"/>
  <c r="T202" i="15"/>
  <c r="T266" i="15" s="1"/>
  <c r="R202" i="15"/>
  <c r="R266" i="15" s="1"/>
  <c r="P202" i="15"/>
  <c r="N202" i="15"/>
  <c r="N278" i="15" s="1"/>
  <c r="J202" i="15"/>
  <c r="H202" i="15"/>
  <c r="H266" i="15" s="1"/>
  <c r="F202" i="15"/>
  <c r="F266" i="15" s="1"/>
  <c r="AV201" i="15"/>
  <c r="AT201" i="15"/>
  <c r="AT265" i="15" s="1"/>
  <c r="AR201" i="15"/>
  <c r="AP201" i="15"/>
  <c r="AP277" i="15" s="1"/>
  <c r="AK201" i="15"/>
  <c r="AK265" i="15" s="1"/>
  <c r="AJ201" i="15"/>
  <c r="AJ265" i="15" s="1"/>
  <c r="AI201" i="15"/>
  <c r="AI265" i="15" s="1"/>
  <c r="AG201" i="15"/>
  <c r="AG265" i="15" s="1"/>
  <c r="AE201" i="15"/>
  <c r="AE277" i="15" s="1"/>
  <c r="AC201" i="15"/>
  <c r="AA201" i="15"/>
  <c r="AA265" i="15" s="1"/>
  <c r="Y201" i="15"/>
  <c r="W201" i="15"/>
  <c r="W277" i="15" s="1"/>
  <c r="V201" i="15"/>
  <c r="V265" i="15" s="1"/>
  <c r="T201" i="15"/>
  <c r="R201" i="15"/>
  <c r="R265" i="15" s="1"/>
  <c r="P201" i="15"/>
  <c r="N201" i="15"/>
  <c r="N277" i="15" s="1"/>
  <c r="J201" i="15"/>
  <c r="J265" i="15" s="1"/>
  <c r="H201" i="15"/>
  <c r="H265" i="15" s="1"/>
  <c r="F201" i="15"/>
  <c r="AV200" i="15"/>
  <c r="AT200" i="15"/>
  <c r="AR200" i="15"/>
  <c r="AQ200" i="15"/>
  <c r="AQ264" i="15" s="1"/>
  <c r="AP200" i="15"/>
  <c r="AP276" i="15" s="1"/>
  <c r="AK200" i="15"/>
  <c r="AI200" i="15"/>
  <c r="AI264" i="15" s="1"/>
  <c r="AG200" i="15"/>
  <c r="AG264" i="15" s="1"/>
  <c r="AE200" i="15"/>
  <c r="AD200" i="15"/>
  <c r="AD264" i="15" s="1"/>
  <c r="AC200" i="15"/>
  <c r="AA200" i="15"/>
  <c r="Z200" i="15"/>
  <c r="Z264" i="15" s="1"/>
  <c r="Y200" i="15"/>
  <c r="W200" i="15"/>
  <c r="W276" i="15" s="1"/>
  <c r="T200" i="15"/>
  <c r="R200" i="15"/>
  <c r="R264" i="15" s="1"/>
  <c r="P200" i="15"/>
  <c r="N200" i="15"/>
  <c r="K200" i="15"/>
  <c r="K264" i="15" s="1"/>
  <c r="J200" i="15"/>
  <c r="H200" i="15"/>
  <c r="H264" i="15" s="1"/>
  <c r="F200" i="15"/>
  <c r="AV199" i="15"/>
  <c r="AT199" i="15"/>
  <c r="AR199" i="15"/>
  <c r="AP199" i="15"/>
  <c r="AP275" i="15" s="1"/>
  <c r="AK199" i="15"/>
  <c r="AI199" i="15"/>
  <c r="AI263" i="15" s="1"/>
  <c r="AH199" i="15"/>
  <c r="AH263" i="15" s="1"/>
  <c r="AG199" i="15"/>
  <c r="AE199" i="15"/>
  <c r="AE275" i="15" s="1"/>
  <c r="AC199" i="15"/>
  <c r="AA199" i="15"/>
  <c r="AA263" i="15" s="1"/>
  <c r="Y199" i="15"/>
  <c r="W199" i="15"/>
  <c r="W275" i="15" s="1"/>
  <c r="V199" i="15"/>
  <c r="V263" i="15" s="1"/>
  <c r="T199" i="15"/>
  <c r="T263" i="15" s="1"/>
  <c r="R199" i="15"/>
  <c r="P199" i="15"/>
  <c r="N199" i="15"/>
  <c r="N275" i="15" s="1"/>
  <c r="J199" i="15"/>
  <c r="J263" i="15" s="1"/>
  <c r="I199" i="15"/>
  <c r="I263" i="15" s="1"/>
  <c r="H199" i="15"/>
  <c r="H263" i="15" s="1"/>
  <c r="G199" i="15"/>
  <c r="G263" i="15" s="1"/>
  <c r="F199" i="15"/>
  <c r="F263" i="15" s="1"/>
  <c r="AV198" i="15"/>
  <c r="AT198" i="15"/>
  <c r="AT262" i="15" s="1"/>
  <c r="AS198" i="15"/>
  <c r="AS262" i="15" s="1"/>
  <c r="AR198" i="15"/>
  <c r="AP198" i="15"/>
  <c r="AP274" i="15" s="1"/>
  <c r="AL198" i="15"/>
  <c r="AK198" i="15"/>
  <c r="AK262" i="15" s="1"/>
  <c r="AI198" i="15"/>
  <c r="AI262" i="15" s="1"/>
  <c r="AG198" i="15"/>
  <c r="AE198" i="15"/>
  <c r="AE274" i="15" s="1"/>
  <c r="AC198" i="15"/>
  <c r="AA198" i="15"/>
  <c r="AA262" i="15" s="1"/>
  <c r="Z198" i="15"/>
  <c r="Z262" i="15" s="1"/>
  <c r="Y198" i="15"/>
  <c r="Y262" i="15" s="1"/>
  <c r="W198" i="15"/>
  <c r="W274" i="15" s="1"/>
  <c r="T198" i="15"/>
  <c r="R198" i="15"/>
  <c r="R262" i="15" s="1"/>
  <c r="P198" i="15"/>
  <c r="N198" i="15"/>
  <c r="N274" i="15" s="1"/>
  <c r="J198" i="15"/>
  <c r="J262" i="15" s="1"/>
  <c r="H198" i="15"/>
  <c r="H262" i="15" s="1"/>
  <c r="F198" i="15"/>
  <c r="F262" i="15" s="1"/>
  <c r="AV197" i="15"/>
  <c r="AT197" i="15"/>
  <c r="AR197" i="15"/>
  <c r="AP197" i="15"/>
  <c r="AK197" i="15"/>
  <c r="AI197" i="15"/>
  <c r="AI261" i="15" s="1"/>
  <c r="AG197" i="15"/>
  <c r="AE197" i="15"/>
  <c r="AE273" i="15" s="1"/>
  <c r="AC197" i="15"/>
  <c r="AC261" i="15" s="1"/>
  <c r="AB197" i="15"/>
  <c r="AB261" i="15" s="1"/>
  <c r="AA197" i="15"/>
  <c r="AA261" i="15" s="1"/>
  <c r="Z197" i="15"/>
  <c r="Z261" i="15" s="1"/>
  <c r="Y197" i="15"/>
  <c r="W197" i="15"/>
  <c r="W273" i="15" s="1"/>
  <c r="T197" i="15"/>
  <c r="T261" i="15" s="1"/>
  <c r="R197" i="15"/>
  <c r="R261" i="15" s="1"/>
  <c r="P197" i="15"/>
  <c r="P261" i="15" s="1"/>
  <c r="O197" i="15"/>
  <c r="O261" i="15" s="1"/>
  <c r="N197" i="15"/>
  <c r="N273" i="15" s="1"/>
  <c r="J197" i="15"/>
  <c r="H197" i="15"/>
  <c r="H261" i="15" s="1"/>
  <c r="F197" i="15"/>
  <c r="F261" i="15" s="1"/>
  <c r="AV196" i="15"/>
  <c r="AT196" i="15"/>
  <c r="AR196" i="15"/>
  <c r="AP196" i="15"/>
  <c r="AP272" i="15" s="1"/>
  <c r="AK196" i="15"/>
  <c r="AI196" i="15"/>
  <c r="AI260" i="15" s="1"/>
  <c r="AG196" i="15"/>
  <c r="AE196" i="15"/>
  <c r="AE272" i="15" s="1"/>
  <c r="AC196" i="15"/>
  <c r="AA196" i="15"/>
  <c r="AA260" i="15" s="1"/>
  <c r="Y196" i="15"/>
  <c r="Y260" i="15" s="1"/>
  <c r="W196" i="15"/>
  <c r="T196" i="15"/>
  <c r="R196" i="15"/>
  <c r="R260" i="15" s="1"/>
  <c r="P196" i="15"/>
  <c r="N196" i="15"/>
  <c r="N272" i="15" s="1"/>
  <c r="J196" i="15"/>
  <c r="H196" i="15"/>
  <c r="H260" i="15" s="1"/>
  <c r="F196" i="15"/>
  <c r="F260" i="15" s="1"/>
  <c r="AV195" i="15"/>
  <c r="AT195" i="15"/>
  <c r="AT259" i="15" s="1"/>
  <c r="AR195" i="15"/>
  <c r="AR259" i="15" s="1"/>
  <c r="AP195" i="15"/>
  <c r="AP271" i="15" s="1"/>
  <c r="AK195" i="15"/>
  <c r="AK259" i="15" s="1"/>
  <c r="AI195" i="15"/>
  <c r="AG195" i="15"/>
  <c r="AE195" i="15"/>
  <c r="AE271" i="15" s="1"/>
  <c r="AC195" i="15"/>
  <c r="AA195" i="15"/>
  <c r="Z195" i="15"/>
  <c r="Z259" i="15" s="1"/>
  <c r="Y195" i="15"/>
  <c r="Y259" i="15" s="1"/>
  <c r="X195" i="15"/>
  <c r="X259" i="15" s="1"/>
  <c r="W195" i="15"/>
  <c r="W271" i="15" s="1"/>
  <c r="T195" i="15"/>
  <c r="R195" i="15"/>
  <c r="R259" i="15" s="1"/>
  <c r="P195" i="15"/>
  <c r="P259" i="15" s="1"/>
  <c r="O195" i="15"/>
  <c r="O259" i="15" s="1"/>
  <c r="N195" i="15"/>
  <c r="N271" i="15" s="1"/>
  <c r="J195" i="15"/>
  <c r="H195" i="15"/>
  <c r="H259" i="15" s="1"/>
  <c r="F195" i="15"/>
  <c r="AV194" i="15"/>
  <c r="AT194" i="15"/>
  <c r="AT258" i="15" s="1"/>
  <c r="AR194" i="15"/>
  <c r="AR258" i="15" s="1"/>
  <c r="AP194" i="15"/>
  <c r="AP270" i="15" s="1"/>
  <c r="AK194" i="15"/>
  <c r="AI194" i="15"/>
  <c r="AG194" i="15"/>
  <c r="AG258" i="15" s="1"/>
  <c r="AE194" i="15"/>
  <c r="AE270" i="15" s="1"/>
  <c r="AC194" i="15"/>
  <c r="AA194" i="15"/>
  <c r="Y194" i="15"/>
  <c r="Y258" i="15" s="1"/>
  <c r="W194" i="15"/>
  <c r="W270" i="15" s="1"/>
  <c r="T194" i="15"/>
  <c r="R194" i="15"/>
  <c r="R258" i="15" s="1"/>
  <c r="Q194" i="15"/>
  <c r="Q258" i="15" s="1"/>
  <c r="P194" i="15"/>
  <c r="P258" i="15" s="1"/>
  <c r="N194" i="15"/>
  <c r="N270" i="15" s="1"/>
  <c r="J194" i="15"/>
  <c r="J258" i="15" s="1"/>
  <c r="H194" i="15"/>
  <c r="H258" i="15" s="1"/>
  <c r="F194" i="15"/>
  <c r="AV193" i="15"/>
  <c r="AU193" i="15"/>
  <c r="AU257" i="15" s="1"/>
  <c r="AT193" i="15"/>
  <c r="AT257" i="15" s="1"/>
  <c r="AS193" i="15"/>
  <c r="AS257" i="15" s="1"/>
  <c r="AR193" i="15"/>
  <c r="AP193" i="15"/>
  <c r="AP269" i="15" s="1"/>
  <c r="AK193" i="15"/>
  <c r="AI193" i="15"/>
  <c r="AG193" i="15"/>
  <c r="AG257" i="15" s="1"/>
  <c r="AE193" i="15"/>
  <c r="AE269" i="15" s="1"/>
  <c r="AC193" i="15"/>
  <c r="AA193" i="15"/>
  <c r="AA257" i="15" s="1"/>
  <c r="Y193" i="15"/>
  <c r="Y257" i="15" s="1"/>
  <c r="W193" i="15"/>
  <c r="T193" i="15"/>
  <c r="T257" i="15" s="1"/>
  <c r="R193" i="15"/>
  <c r="R257" i="15" s="1"/>
  <c r="P193" i="15"/>
  <c r="N193" i="15"/>
  <c r="N269" i="15" s="1"/>
  <c r="J193" i="15"/>
  <c r="H193" i="15"/>
  <c r="H257" i="15" s="1"/>
  <c r="F193" i="15"/>
  <c r="F257" i="15" s="1"/>
  <c r="D193" i="15"/>
  <c r="AV192" i="15"/>
  <c r="AT192" i="15"/>
  <c r="AT256" i="15" s="1"/>
  <c r="AR192" i="15"/>
  <c r="AP192" i="15"/>
  <c r="AK192" i="15"/>
  <c r="AK256" i="15" s="1"/>
  <c r="AI192" i="15"/>
  <c r="AI256" i="15" s="1"/>
  <c r="AG192" i="15"/>
  <c r="AE192" i="15"/>
  <c r="AE268" i="15" s="1"/>
  <c r="AC192" i="15"/>
  <c r="AA192" i="15"/>
  <c r="Y192" i="15"/>
  <c r="Y256" i="15" s="1"/>
  <c r="W192" i="15"/>
  <c r="T192" i="15"/>
  <c r="R192" i="15"/>
  <c r="R256" i="15" s="1"/>
  <c r="P192" i="15"/>
  <c r="P256" i="15" s="1"/>
  <c r="N192" i="15"/>
  <c r="N268" i="15" s="1"/>
  <c r="K192" i="15"/>
  <c r="K256" i="15" s="1"/>
  <c r="J192" i="15"/>
  <c r="H192" i="15"/>
  <c r="H256" i="15" s="1"/>
  <c r="F192" i="15"/>
  <c r="AV191" i="15"/>
  <c r="AT191" i="15"/>
  <c r="AT255" i="15" s="1"/>
  <c r="AS191" i="15"/>
  <c r="AS255" i="15" s="1"/>
  <c r="AR191" i="15"/>
  <c r="AR255" i="15" s="1"/>
  <c r="AP191" i="15"/>
  <c r="AP267" i="15" s="1"/>
  <c r="AK191" i="15"/>
  <c r="AI191" i="15"/>
  <c r="AG191" i="15"/>
  <c r="AE191" i="15"/>
  <c r="AE267" i="15" s="1"/>
  <c r="AC191" i="15"/>
  <c r="AA191" i="15"/>
  <c r="Y191" i="15"/>
  <c r="Y255" i="15" s="1"/>
  <c r="W191" i="15"/>
  <c r="W267" i="15" s="1"/>
  <c r="T191" i="15"/>
  <c r="R191" i="15"/>
  <c r="R255" i="15" s="1"/>
  <c r="P191" i="15"/>
  <c r="P255" i="15" s="1"/>
  <c r="N191" i="15"/>
  <c r="J191" i="15"/>
  <c r="H191" i="15"/>
  <c r="H255" i="15" s="1"/>
  <c r="F191" i="15"/>
  <c r="F255" i="15" s="1"/>
  <c r="E191" i="15"/>
  <c r="E255" i="15" s="1"/>
  <c r="D191" i="15"/>
  <c r="AW190" i="15"/>
  <c r="AW254" i="15" s="1"/>
  <c r="AV190" i="15"/>
  <c r="AT190" i="15"/>
  <c r="AT254" i="15" s="1"/>
  <c r="AR190" i="15"/>
  <c r="AP190" i="15"/>
  <c r="AP266" i="15" s="1"/>
  <c r="AK190" i="15"/>
  <c r="AI190" i="15"/>
  <c r="AI254" i="15" s="1"/>
  <c r="AG190" i="15"/>
  <c r="AG254" i="15" s="1"/>
  <c r="AE190" i="15"/>
  <c r="AC190" i="15"/>
  <c r="AA190" i="15"/>
  <c r="Y190" i="15"/>
  <c r="Y254" i="15" s="1"/>
  <c r="W190" i="15"/>
  <c r="W266" i="15" s="1"/>
  <c r="V190" i="15"/>
  <c r="T190" i="15"/>
  <c r="T254" i="15" s="1"/>
  <c r="S190" i="15"/>
  <c r="S254" i="15" s="1"/>
  <c r="R190" i="15"/>
  <c r="R254" i="15" s="1"/>
  <c r="Q190" i="15"/>
  <c r="Q254" i="15" s="1"/>
  <c r="P190" i="15"/>
  <c r="N190" i="15"/>
  <c r="N266" i="15" s="1"/>
  <c r="J190" i="15"/>
  <c r="J254" i="15" s="1"/>
  <c r="H190" i="15"/>
  <c r="H254" i="15" s="1"/>
  <c r="F190" i="15"/>
  <c r="AV189" i="15"/>
  <c r="AT189" i="15"/>
  <c r="AT253" i="15" s="1"/>
  <c r="AS189" i="15"/>
  <c r="AS253" i="15" s="1"/>
  <c r="AR189" i="15"/>
  <c r="AP189" i="15"/>
  <c r="AK189" i="15"/>
  <c r="AK253" i="15" s="1"/>
  <c r="AI189" i="15"/>
  <c r="AI253" i="15" s="1"/>
  <c r="AG189" i="15"/>
  <c r="AE189" i="15"/>
  <c r="AE265" i="15" s="1"/>
  <c r="AC189" i="15"/>
  <c r="AA189" i="15"/>
  <c r="AA253" i="15" s="1"/>
  <c r="Y189" i="15"/>
  <c r="Y253" i="15" s="1"/>
  <c r="W189" i="15"/>
  <c r="T189" i="15"/>
  <c r="R189" i="15"/>
  <c r="R253" i="15" s="1"/>
  <c r="Q189" i="15"/>
  <c r="Q253" i="15" s="1"/>
  <c r="P189" i="15"/>
  <c r="N189" i="15"/>
  <c r="N265" i="15" s="1"/>
  <c r="J189" i="15"/>
  <c r="H189" i="15"/>
  <c r="H253" i="15" s="1"/>
  <c r="F189" i="15"/>
  <c r="F253" i="15" s="1"/>
  <c r="AV188" i="15"/>
  <c r="AT188" i="15"/>
  <c r="AT252" i="15" s="1"/>
  <c r="AR188" i="15"/>
  <c r="AR252" i="15" s="1"/>
  <c r="AP188" i="15"/>
  <c r="AP264" i="15" s="1"/>
  <c r="AK188" i="15"/>
  <c r="AI188" i="15"/>
  <c r="AI252" i="15" s="1"/>
  <c r="AG188" i="15"/>
  <c r="AE188" i="15"/>
  <c r="AC188" i="15"/>
  <c r="AA188" i="15"/>
  <c r="Y188" i="15"/>
  <c r="Y252" i="15" s="1"/>
  <c r="W188" i="15"/>
  <c r="W264" i="15" s="1"/>
  <c r="T188" i="15"/>
  <c r="R188" i="15"/>
  <c r="R252" i="15" s="1"/>
  <c r="P188" i="15"/>
  <c r="P252" i="15" s="1"/>
  <c r="N188" i="15"/>
  <c r="N264" i="15" s="1"/>
  <c r="J188" i="15"/>
  <c r="H188" i="15"/>
  <c r="H252" i="15" s="1"/>
  <c r="F188" i="15"/>
  <c r="AV187" i="15"/>
  <c r="AT187" i="15"/>
  <c r="AT251" i="15" s="1"/>
  <c r="AR187" i="15"/>
  <c r="AP187" i="15"/>
  <c r="AP263" i="15" s="1"/>
  <c r="AK187" i="15"/>
  <c r="AI187" i="15"/>
  <c r="AI251" i="15" s="1"/>
  <c r="AH187" i="15"/>
  <c r="AH251" i="15" s="1"/>
  <c r="AG187" i="15"/>
  <c r="AE187" i="15"/>
  <c r="AE263" i="15" s="1"/>
  <c r="AC187" i="15"/>
  <c r="AA187" i="15"/>
  <c r="AA251" i="15" s="1"/>
  <c r="Y187" i="15"/>
  <c r="Y251" i="15" s="1"/>
  <c r="W187" i="15"/>
  <c r="W263" i="15" s="1"/>
  <c r="V187" i="15"/>
  <c r="V251" i="15" s="1"/>
  <c r="T187" i="15"/>
  <c r="T251" i="15" s="1"/>
  <c r="R187" i="15"/>
  <c r="R251" i="15" s="1"/>
  <c r="P187" i="15"/>
  <c r="P251" i="15" s="1"/>
  <c r="N187" i="15"/>
  <c r="N263" i="15" s="1"/>
  <c r="J187" i="15"/>
  <c r="H187" i="15"/>
  <c r="H251" i="15" s="1"/>
  <c r="F187" i="15"/>
  <c r="F251" i="15" s="1"/>
  <c r="AV186" i="15"/>
  <c r="AT186" i="15"/>
  <c r="AT250" i="15" s="1"/>
  <c r="AR186" i="15"/>
  <c r="AP186" i="15"/>
  <c r="AP262" i="15" s="1"/>
  <c r="AK186" i="15"/>
  <c r="AK250" i="15" s="1"/>
  <c r="AI186" i="15"/>
  <c r="AI250" i="15" s="1"/>
  <c r="AH186" i="15"/>
  <c r="AH250" i="15" s="1"/>
  <c r="AG186" i="15"/>
  <c r="AE186" i="15"/>
  <c r="AE262" i="15" s="1"/>
  <c r="AC186" i="15"/>
  <c r="AA186" i="15"/>
  <c r="Y186" i="15"/>
  <c r="Y250" i="15" s="1"/>
  <c r="W186" i="15"/>
  <c r="W262" i="15" s="1"/>
  <c r="T186" i="15"/>
  <c r="R186" i="15"/>
  <c r="R250" i="15" s="1"/>
  <c r="P186" i="15"/>
  <c r="N186" i="15"/>
  <c r="K186" i="15"/>
  <c r="K250" i="15" s="1"/>
  <c r="J186" i="15"/>
  <c r="J250" i="15" s="1"/>
  <c r="H186" i="15"/>
  <c r="H250" i="15" s="1"/>
  <c r="G186" i="15"/>
  <c r="G250" i="15" s="1"/>
  <c r="F186" i="15"/>
  <c r="AV185" i="15"/>
  <c r="AT185" i="15"/>
  <c r="AS185" i="15"/>
  <c r="AR185" i="15"/>
  <c r="AR249" i="15" s="1"/>
  <c r="AP185" i="15"/>
  <c r="AP261" i="15" s="1"/>
  <c r="AK185" i="15"/>
  <c r="AI185" i="15"/>
  <c r="AI249" i="15" s="1"/>
  <c r="AG185" i="15"/>
  <c r="AE185" i="15"/>
  <c r="AE261" i="15" s="1"/>
  <c r="AC185" i="15"/>
  <c r="AC249" i="15" s="1"/>
  <c r="AA185" i="15"/>
  <c r="AA249" i="15" s="1"/>
  <c r="Y185" i="15"/>
  <c r="Y249" i="15" s="1"/>
  <c r="W185" i="15"/>
  <c r="W261" i="15" s="1"/>
  <c r="T185" i="15"/>
  <c r="R185" i="15"/>
  <c r="P185" i="15"/>
  <c r="P249" i="15" s="1"/>
  <c r="O185" i="15"/>
  <c r="O249" i="15" s="1"/>
  <c r="N185" i="15"/>
  <c r="N261" i="15" s="1"/>
  <c r="J185" i="15"/>
  <c r="H185" i="15"/>
  <c r="H249" i="15" s="1"/>
  <c r="F185" i="15"/>
  <c r="F249" i="15" s="1"/>
  <c r="AV184" i="15"/>
  <c r="AV248" i="15" s="1"/>
  <c r="AU184" i="15"/>
  <c r="AU248" i="15" s="1"/>
  <c r="AT184" i="15"/>
  <c r="AT248" i="15" s="1"/>
  <c r="AR184" i="15"/>
  <c r="AP184" i="15"/>
  <c r="AP236" i="15" s="1"/>
  <c r="AK184" i="15"/>
  <c r="AK248" i="15" s="1"/>
  <c r="AI184" i="15"/>
  <c r="AG184" i="15"/>
  <c r="AG248" i="15" s="1"/>
  <c r="AF184" i="15"/>
  <c r="AF248" i="15" s="1"/>
  <c r="AE184" i="15"/>
  <c r="AE236" i="15" s="1"/>
  <c r="AD184" i="15"/>
  <c r="AD248" i="15" s="1"/>
  <c r="AC184" i="15"/>
  <c r="AB184" i="15"/>
  <c r="AB248" i="15" s="1"/>
  <c r="AA184" i="15"/>
  <c r="AA248" i="15" s="1"/>
  <c r="Y184" i="15"/>
  <c r="W184" i="15"/>
  <c r="V184" i="15"/>
  <c r="V248" i="15" s="1"/>
  <c r="T184" i="15"/>
  <c r="T248" i="15" s="1"/>
  <c r="R184" i="15"/>
  <c r="P184" i="15"/>
  <c r="N184" i="15"/>
  <c r="N236" i="15" s="1"/>
  <c r="J184" i="15"/>
  <c r="H184" i="15"/>
  <c r="G184" i="15"/>
  <c r="G248" i="15" s="1"/>
  <c r="F184" i="15"/>
  <c r="F248" i="15" s="1"/>
  <c r="E184" i="15"/>
  <c r="E248" i="15" s="1"/>
  <c r="D248" i="15" s="1"/>
  <c r="D184" i="15"/>
  <c r="AW183" i="15"/>
  <c r="AW247" i="15" s="1"/>
  <c r="AV183" i="15"/>
  <c r="AT183" i="15"/>
  <c r="AT247" i="15" s="1"/>
  <c r="AR183" i="15"/>
  <c r="AP183" i="15"/>
  <c r="AL183" i="15"/>
  <c r="AL247" i="15" s="1"/>
  <c r="AK183" i="15"/>
  <c r="AK247" i="15" s="1"/>
  <c r="AI183" i="15"/>
  <c r="AG183" i="15"/>
  <c r="AE183" i="15"/>
  <c r="AE235" i="15" s="1"/>
  <c r="AC183" i="15"/>
  <c r="AA183" i="15"/>
  <c r="Y183" i="15"/>
  <c r="Y247" i="15" s="1"/>
  <c r="W183" i="15"/>
  <c r="W235" i="15" s="1"/>
  <c r="T183" i="15"/>
  <c r="R183" i="15"/>
  <c r="R247" i="15" s="1"/>
  <c r="P183" i="15"/>
  <c r="O183" i="15"/>
  <c r="N183" i="15"/>
  <c r="J183" i="15"/>
  <c r="J247" i="15" s="1"/>
  <c r="H183" i="15"/>
  <c r="H247" i="15" s="1"/>
  <c r="F183" i="15"/>
  <c r="F247" i="15" s="1"/>
  <c r="AV182" i="15"/>
  <c r="AT182" i="15"/>
  <c r="AT246" i="15" s="1"/>
  <c r="AR182" i="15"/>
  <c r="AR246" i="15" s="1"/>
  <c r="AQ182" i="15"/>
  <c r="AQ246" i="15" s="1"/>
  <c r="AP182" i="15"/>
  <c r="AP234" i="15" s="1"/>
  <c r="AK182" i="15"/>
  <c r="AI182" i="15"/>
  <c r="AI246" i="15" s="1"/>
  <c r="AG182" i="15"/>
  <c r="AE182" i="15"/>
  <c r="AE234" i="15" s="1"/>
  <c r="AC182" i="15"/>
  <c r="AC246" i="15" s="1"/>
  <c r="AA182" i="15"/>
  <c r="AA246" i="15" s="1"/>
  <c r="Y182" i="15"/>
  <c r="X182" i="15"/>
  <c r="X246" i="15" s="1"/>
  <c r="W182" i="15"/>
  <c r="T182" i="15"/>
  <c r="R182" i="15"/>
  <c r="P182" i="15"/>
  <c r="P246" i="15" s="1"/>
  <c r="O182" i="15"/>
  <c r="O246" i="15" s="1"/>
  <c r="N182" i="15"/>
  <c r="N234" i="15" s="1"/>
  <c r="J182" i="15"/>
  <c r="H182" i="15"/>
  <c r="H246" i="15" s="1"/>
  <c r="F182" i="15"/>
  <c r="F246" i="15" s="1"/>
  <c r="AW181" i="15"/>
  <c r="AW245" i="15" s="1"/>
  <c r="AV181" i="15"/>
  <c r="AV245" i="15" s="1"/>
  <c r="AT181" i="15"/>
  <c r="AT245" i="15" s="1"/>
  <c r="AS181" i="15"/>
  <c r="AS245" i="15" s="1"/>
  <c r="AR181" i="15"/>
  <c r="AP181" i="15"/>
  <c r="AP233" i="15" s="1"/>
  <c r="AK181" i="15"/>
  <c r="AI181" i="15"/>
  <c r="AG181" i="15"/>
  <c r="AG245" i="15" s="1"/>
  <c r="AF181" i="15"/>
  <c r="AF245" i="15" s="1"/>
  <c r="AE181" i="15"/>
  <c r="AE233" i="15" s="1"/>
  <c r="AC181" i="15"/>
  <c r="AA181" i="15"/>
  <c r="AA245" i="15" s="1"/>
  <c r="Y181" i="15"/>
  <c r="W181" i="15"/>
  <c r="T181" i="15"/>
  <c r="R181" i="15"/>
  <c r="Q181" i="15"/>
  <c r="Q245" i="15" s="1"/>
  <c r="P181" i="15"/>
  <c r="N181" i="15"/>
  <c r="J181" i="15"/>
  <c r="H181" i="15"/>
  <c r="H245" i="15" s="1"/>
  <c r="F181" i="15"/>
  <c r="F245" i="15" s="1"/>
  <c r="AV180" i="15"/>
  <c r="AT180" i="15"/>
  <c r="AT244" i="15" s="1"/>
  <c r="AR180" i="15"/>
  <c r="AP180" i="15"/>
  <c r="AK180" i="15"/>
  <c r="AK244" i="15" s="1"/>
  <c r="AI180" i="15"/>
  <c r="AI244" i="15" s="1"/>
  <c r="AG180" i="15"/>
  <c r="AF180" i="15"/>
  <c r="AF244" i="15" s="1"/>
  <c r="AE180" i="15"/>
  <c r="AE232" i="15" s="1"/>
  <c r="AC180" i="15"/>
  <c r="AA180" i="15"/>
  <c r="Y180" i="15"/>
  <c r="W180" i="15"/>
  <c r="W232" i="15" s="1"/>
  <c r="T180" i="15"/>
  <c r="R180" i="15"/>
  <c r="R244" i="15" s="1"/>
  <c r="P180" i="15"/>
  <c r="N180" i="15"/>
  <c r="J180" i="15"/>
  <c r="J244" i="15" s="1"/>
  <c r="H180" i="15"/>
  <c r="H244" i="15" s="1"/>
  <c r="F180" i="15"/>
  <c r="F244" i="15" s="1"/>
  <c r="AV179" i="15"/>
  <c r="AT179" i="15"/>
  <c r="AR179" i="15"/>
  <c r="AR243" i="15" s="1"/>
  <c r="AP179" i="15"/>
  <c r="AP231" i="15" s="1"/>
  <c r="AK179" i="15"/>
  <c r="AI179" i="15"/>
  <c r="AI243" i="15" s="1"/>
  <c r="AG179" i="15"/>
  <c r="AG243" i="15" s="1"/>
  <c r="AE179" i="15"/>
  <c r="AD179" i="15"/>
  <c r="AC179" i="15"/>
  <c r="AC243" i="15" s="1"/>
  <c r="AA179" i="15"/>
  <c r="AA243" i="15" s="1"/>
  <c r="Z179" i="15"/>
  <c r="Z243" i="15" s="1"/>
  <c r="Y179" i="15"/>
  <c r="W179" i="15"/>
  <c r="W231" i="15" s="1"/>
  <c r="T179" i="15"/>
  <c r="R179" i="15"/>
  <c r="R243" i="15" s="1"/>
  <c r="P179" i="15"/>
  <c r="P243" i="15" s="1"/>
  <c r="N179" i="15"/>
  <c r="N231" i="15" s="1"/>
  <c r="J179" i="15"/>
  <c r="H179" i="15"/>
  <c r="H243" i="15" s="1"/>
  <c r="F179" i="15"/>
  <c r="F243" i="15" s="1"/>
  <c r="AV178" i="15"/>
  <c r="AV242" i="15" s="1"/>
  <c r="AT178" i="15"/>
  <c r="AT242" i="15" s="1"/>
  <c r="AR178" i="15"/>
  <c r="AQ178" i="15"/>
  <c r="AQ242" i="15" s="1"/>
  <c r="AP178" i="15"/>
  <c r="AP230" i="15" s="1"/>
  <c r="AK178" i="15"/>
  <c r="AI178" i="15"/>
  <c r="AG178" i="15"/>
  <c r="AG242" i="15" s="1"/>
  <c r="AE178" i="15"/>
  <c r="AE230" i="15" s="1"/>
  <c r="AC178" i="15"/>
  <c r="AA178" i="15"/>
  <c r="Y178" i="15"/>
  <c r="W178" i="15"/>
  <c r="V178" i="15"/>
  <c r="V242" i="15" s="1"/>
  <c r="T178" i="15"/>
  <c r="T242" i="15" s="1"/>
  <c r="R178" i="15"/>
  <c r="R242" i="15" s="1"/>
  <c r="Q178" i="15"/>
  <c r="Q242" i="15" s="1"/>
  <c r="P178" i="15"/>
  <c r="N178" i="15"/>
  <c r="J178" i="15"/>
  <c r="H178" i="15"/>
  <c r="F178" i="15"/>
  <c r="F242" i="15" s="1"/>
  <c r="AV177" i="15"/>
  <c r="AU177" i="15"/>
  <c r="AU241" i="15" s="1"/>
  <c r="AT177" i="15"/>
  <c r="AT241" i="15" s="1"/>
  <c r="AR177" i="15"/>
  <c r="AR241" i="15" s="1"/>
  <c r="AP177" i="15"/>
  <c r="AK177" i="15"/>
  <c r="AK241" i="15" s="1"/>
  <c r="AI177" i="15"/>
  <c r="AH177" i="15"/>
  <c r="AH241" i="15" s="1"/>
  <c r="AG177" i="15"/>
  <c r="AE177" i="15"/>
  <c r="AE229" i="15" s="1"/>
  <c r="AC177" i="15"/>
  <c r="AA177" i="15"/>
  <c r="Y177" i="15"/>
  <c r="Y241" i="15" s="1"/>
  <c r="W177" i="15"/>
  <c r="W229" i="15" s="1"/>
  <c r="T177" i="15"/>
  <c r="R177" i="15"/>
  <c r="R241" i="15" s="1"/>
  <c r="P177" i="15"/>
  <c r="N177" i="15"/>
  <c r="N229" i="15" s="1"/>
  <c r="J177" i="15"/>
  <c r="J241" i="15" s="1"/>
  <c r="H177" i="15"/>
  <c r="H241" i="15" s="1"/>
  <c r="F177" i="15"/>
  <c r="F241" i="15" s="1"/>
  <c r="AV176" i="15"/>
  <c r="AV240" i="15" s="1"/>
  <c r="AT176" i="15"/>
  <c r="AR176" i="15"/>
  <c r="AR240" i="15" s="1"/>
  <c r="AP176" i="15"/>
  <c r="AP228" i="15" s="1"/>
  <c r="AK176" i="15"/>
  <c r="AJ176" i="15"/>
  <c r="AJ240" i="15" s="1"/>
  <c r="AI176" i="15"/>
  <c r="AI240" i="15" s="1"/>
  <c r="AG176" i="15"/>
  <c r="AE176" i="15"/>
  <c r="AE228" i="15" s="1"/>
  <c r="AC176" i="15"/>
  <c r="AC240" i="15" s="1"/>
  <c r="AA176" i="15"/>
  <c r="AA240" i="15" s="1"/>
  <c r="Y176" i="15"/>
  <c r="W176" i="15"/>
  <c r="W228" i="15" s="1"/>
  <c r="T176" i="15"/>
  <c r="T240" i="15" s="1"/>
  <c r="R176" i="15"/>
  <c r="P176" i="15"/>
  <c r="P240" i="15" s="1"/>
  <c r="N176" i="15"/>
  <c r="J176" i="15"/>
  <c r="I176" i="15"/>
  <c r="I240" i="15" s="1"/>
  <c r="H176" i="15"/>
  <c r="H240" i="15" s="1"/>
  <c r="F176" i="15"/>
  <c r="F240" i="15" s="1"/>
  <c r="AV175" i="15"/>
  <c r="AT175" i="15"/>
  <c r="AT239" i="15" s="1"/>
  <c r="AR175" i="15"/>
  <c r="AP175" i="15"/>
  <c r="AP227" i="15" s="1"/>
  <c r="AK175" i="15"/>
  <c r="AI175" i="15"/>
  <c r="AG175" i="15"/>
  <c r="AG239" i="15" s="1"/>
  <c r="AF175" i="15"/>
  <c r="AF239" i="15" s="1"/>
  <c r="AE175" i="15"/>
  <c r="AE227" i="15" s="1"/>
  <c r="AD175" i="15"/>
  <c r="AD239" i="15" s="1"/>
  <c r="AC175" i="15"/>
  <c r="AA175" i="15"/>
  <c r="AA239" i="15" s="1"/>
  <c r="Y175" i="15"/>
  <c r="W175" i="15"/>
  <c r="T175" i="15"/>
  <c r="T239" i="15" s="1"/>
  <c r="R175" i="15"/>
  <c r="P175" i="15"/>
  <c r="N175" i="15"/>
  <c r="N227" i="15" s="1"/>
  <c r="J175" i="15"/>
  <c r="H175" i="15"/>
  <c r="H239" i="15" s="1"/>
  <c r="F175" i="15"/>
  <c r="F239" i="15" s="1"/>
  <c r="AV174" i="15"/>
  <c r="AT174" i="15"/>
  <c r="AR174" i="15"/>
  <c r="AP174" i="15"/>
  <c r="AK174" i="15"/>
  <c r="AK238" i="15" s="1"/>
  <c r="AI174" i="15"/>
  <c r="AI238" i="15" s="1"/>
  <c r="AH174" i="15"/>
  <c r="AH238" i="15" s="1"/>
  <c r="AG174" i="15"/>
  <c r="AE174" i="15"/>
  <c r="AE226" i="15" s="1"/>
  <c r="AC174" i="15"/>
  <c r="AC238" i="15" s="1"/>
  <c r="AA174" i="15"/>
  <c r="Y174" i="15"/>
  <c r="Y238" i="15" s="1"/>
  <c r="X174" i="15"/>
  <c r="X238" i="15" s="1"/>
  <c r="W174" i="15"/>
  <c r="W226" i="15" s="1"/>
  <c r="T174" i="15"/>
  <c r="R174" i="15"/>
  <c r="R238" i="15" s="1"/>
  <c r="P174" i="15"/>
  <c r="N174" i="15"/>
  <c r="J174" i="15"/>
  <c r="J238" i="15" s="1"/>
  <c r="H174" i="15"/>
  <c r="H238" i="15" s="1"/>
  <c r="F174" i="15"/>
  <c r="F238" i="15" s="1"/>
  <c r="AV173" i="15"/>
  <c r="AT173" i="15"/>
  <c r="AR173" i="15"/>
  <c r="AR237" i="15" s="1"/>
  <c r="AP173" i="15"/>
  <c r="AK173" i="15"/>
  <c r="AI173" i="15"/>
  <c r="AI237" i="15" s="1"/>
  <c r="AG173" i="15"/>
  <c r="AE173" i="15"/>
  <c r="AC173" i="15"/>
  <c r="AA173" i="15"/>
  <c r="AA237" i="15" s="1"/>
  <c r="Z173" i="15"/>
  <c r="Z237" i="15" s="1"/>
  <c r="Y173" i="15"/>
  <c r="W173" i="15"/>
  <c r="W225" i="15" s="1"/>
  <c r="T173" i="15"/>
  <c r="R173" i="15"/>
  <c r="P173" i="15"/>
  <c r="P237" i="15" s="1"/>
  <c r="N173" i="15"/>
  <c r="N225" i="15" s="1"/>
  <c r="J173" i="15"/>
  <c r="H173" i="15"/>
  <c r="H237" i="15" s="1"/>
  <c r="F173" i="15"/>
  <c r="F237" i="15" s="1"/>
  <c r="AV172" i="15"/>
  <c r="AT172" i="15"/>
  <c r="AR172" i="15"/>
  <c r="AP172" i="15"/>
  <c r="AP224" i="15" s="1"/>
  <c r="AK172" i="15"/>
  <c r="AK236" i="15" s="1"/>
  <c r="AI172" i="15"/>
  <c r="AI236" i="15" s="1"/>
  <c r="AG172" i="15"/>
  <c r="AG236" i="15" s="1"/>
  <c r="AE172" i="15"/>
  <c r="AE224" i="15" s="1"/>
  <c r="AC172" i="15"/>
  <c r="AA172" i="15"/>
  <c r="Y172" i="15"/>
  <c r="Y236" i="15" s="1"/>
  <c r="W172" i="15"/>
  <c r="T172" i="15"/>
  <c r="T236" i="15" s="1"/>
  <c r="R172" i="15"/>
  <c r="R236" i="15" s="1"/>
  <c r="Q172" i="15"/>
  <c r="Q236" i="15" s="1"/>
  <c r="P172" i="15"/>
  <c r="O172" i="15"/>
  <c r="N172" i="15"/>
  <c r="N224" i="15" s="1"/>
  <c r="J172" i="15"/>
  <c r="J236" i="15" s="1"/>
  <c r="H172" i="15"/>
  <c r="H236" i="15" s="1"/>
  <c r="F172" i="15"/>
  <c r="D172" i="15"/>
  <c r="AV171" i="15"/>
  <c r="AU171" i="15"/>
  <c r="AU235" i="15" s="1"/>
  <c r="AT171" i="15"/>
  <c r="AT235" i="15" s="1"/>
  <c r="AR171" i="15"/>
  <c r="AR235" i="15" s="1"/>
  <c r="AP171" i="15"/>
  <c r="AK171" i="15"/>
  <c r="AI171" i="15"/>
  <c r="AG171" i="15"/>
  <c r="AE171" i="15"/>
  <c r="AE223" i="15" s="1"/>
  <c r="AC171" i="15"/>
  <c r="AC235" i="15" s="1"/>
  <c r="AA171" i="15"/>
  <c r="Y171" i="15"/>
  <c r="Y235" i="15" s="1"/>
  <c r="X171" i="15"/>
  <c r="X235" i="15" s="1"/>
  <c r="W171" i="15"/>
  <c r="W223" i="15" s="1"/>
  <c r="T171" i="15"/>
  <c r="R171" i="15"/>
  <c r="P171" i="15"/>
  <c r="P235" i="15" s="1"/>
  <c r="N171" i="15"/>
  <c r="N223" i="15" s="1"/>
  <c r="J171" i="15"/>
  <c r="J235" i="15" s="1"/>
  <c r="H171" i="15"/>
  <c r="H235" i="15" s="1"/>
  <c r="G171" i="15"/>
  <c r="G235" i="15" s="1"/>
  <c r="F171" i="15"/>
  <c r="AV170" i="15"/>
  <c r="AV234" i="15" s="1"/>
  <c r="AT170" i="15"/>
  <c r="AR170" i="15"/>
  <c r="AP170" i="15"/>
  <c r="AP222" i="15" s="1"/>
  <c r="AK170" i="15"/>
  <c r="AI170" i="15"/>
  <c r="AI234" i="15" s="1"/>
  <c r="AG170" i="15"/>
  <c r="AG234" i="15" s="1"/>
  <c r="AE170" i="15"/>
  <c r="AC170" i="15"/>
  <c r="AA170" i="15"/>
  <c r="AA234" i="15" s="1"/>
  <c r="Y170" i="15"/>
  <c r="X170" i="15"/>
  <c r="X234" i="15" s="1"/>
  <c r="W170" i="15"/>
  <c r="W222" i="15" s="1"/>
  <c r="T170" i="15"/>
  <c r="T234" i="15" s="1"/>
  <c r="R170" i="15"/>
  <c r="P170" i="15"/>
  <c r="P234" i="15" s="1"/>
  <c r="O170" i="15"/>
  <c r="O234" i="15" s="1"/>
  <c r="N170" i="15"/>
  <c r="N222" i="15" s="1"/>
  <c r="J170" i="15"/>
  <c r="H170" i="15"/>
  <c r="F170" i="15"/>
  <c r="F234" i="15" s="1"/>
  <c r="AW169" i="15"/>
  <c r="AV169" i="15"/>
  <c r="AV233" i="15" s="1"/>
  <c r="AT169" i="15"/>
  <c r="AT233" i="15" s="1"/>
  <c r="AS169" i="15"/>
  <c r="AS233" i="15" s="1"/>
  <c r="AR169" i="15"/>
  <c r="AP169" i="15"/>
  <c r="AP221" i="15" s="1"/>
  <c r="AK169" i="15"/>
  <c r="AK233" i="15" s="1"/>
  <c r="AI169" i="15"/>
  <c r="AG169" i="15"/>
  <c r="AE169" i="15"/>
  <c r="AE221" i="15" s="1"/>
  <c r="AD169" i="15"/>
  <c r="AD233" i="15" s="1"/>
  <c r="AC169" i="15"/>
  <c r="AA169" i="15"/>
  <c r="AA233" i="15" s="1"/>
  <c r="Y169" i="15"/>
  <c r="Y233" i="15" s="1"/>
  <c r="W169" i="15"/>
  <c r="T169" i="15"/>
  <c r="T233" i="15" s="1"/>
  <c r="R169" i="15"/>
  <c r="P169" i="15"/>
  <c r="N169" i="15"/>
  <c r="N221" i="15" s="1"/>
  <c r="J169" i="15"/>
  <c r="J233" i="15" s="1"/>
  <c r="H169" i="15"/>
  <c r="H233" i="15" s="1"/>
  <c r="F169" i="15"/>
  <c r="F233" i="15" s="1"/>
  <c r="E169" i="15"/>
  <c r="AV168" i="15"/>
  <c r="AT168" i="15"/>
  <c r="AR168" i="15"/>
  <c r="AR232" i="15" s="1"/>
  <c r="AP168" i="15"/>
  <c r="AK168" i="15"/>
  <c r="AK232" i="15" s="1"/>
  <c r="AI168" i="15"/>
  <c r="AI232" i="15" s="1"/>
  <c r="AG168" i="15"/>
  <c r="AE168" i="15"/>
  <c r="AE220" i="15" s="1"/>
  <c r="AC168" i="15"/>
  <c r="AC232" i="15" s="1"/>
  <c r="AA168" i="15"/>
  <c r="AA232" i="15" s="1"/>
  <c r="Y168" i="15"/>
  <c r="X168" i="15"/>
  <c r="X232" i="15" s="1"/>
  <c r="W168" i="15"/>
  <c r="W220" i="15" s="1"/>
  <c r="T168" i="15"/>
  <c r="S168" i="15"/>
  <c r="S232" i="15" s="1"/>
  <c r="R168" i="15"/>
  <c r="R232" i="15" s="1"/>
  <c r="P168" i="15"/>
  <c r="P232" i="15" s="1"/>
  <c r="O168" i="15"/>
  <c r="O232" i="15" s="1"/>
  <c r="N168" i="15"/>
  <c r="N220" i="15" s="1"/>
  <c r="K168" i="15"/>
  <c r="K232" i="15" s="1"/>
  <c r="J168" i="15"/>
  <c r="J232" i="15" s="1"/>
  <c r="H168" i="15"/>
  <c r="H232" i="15" s="1"/>
  <c r="G168" i="15"/>
  <c r="G232" i="15" s="1"/>
  <c r="F168" i="15"/>
  <c r="D168" i="15"/>
  <c r="AV167" i="15"/>
  <c r="AV231" i="15" s="1"/>
  <c r="AT167" i="15"/>
  <c r="AR167" i="15"/>
  <c r="AR231" i="15" s="1"/>
  <c r="AP167" i="15"/>
  <c r="AP219" i="15" s="1"/>
  <c r="AK167" i="15"/>
  <c r="AJ167" i="15"/>
  <c r="AJ231" i="15" s="1"/>
  <c r="AI167" i="15"/>
  <c r="AI231" i="15" s="1"/>
  <c r="AG167" i="15"/>
  <c r="AG231" i="15" s="1"/>
  <c r="AF167" i="15"/>
  <c r="AE167" i="15"/>
  <c r="AC167" i="15"/>
  <c r="AC231" i="15" s="1"/>
  <c r="AA167" i="15"/>
  <c r="AA231" i="15" s="1"/>
  <c r="Y167" i="15"/>
  <c r="W167" i="15"/>
  <c r="T167" i="15"/>
  <c r="T231" i="15" s="1"/>
  <c r="R167" i="15"/>
  <c r="P167" i="15"/>
  <c r="P231" i="15" s="1"/>
  <c r="N167" i="15"/>
  <c r="N219" i="15" s="1"/>
  <c r="J167" i="15"/>
  <c r="I167" i="15"/>
  <c r="I231" i="15" s="1"/>
  <c r="H167" i="15"/>
  <c r="H231" i="15" s="1"/>
  <c r="F167" i="15"/>
  <c r="F231" i="15" s="1"/>
  <c r="AV166" i="15"/>
  <c r="AV230" i="15" s="1"/>
  <c r="AU166" i="15"/>
  <c r="AU230" i="15" s="1"/>
  <c r="AT166" i="15"/>
  <c r="AT230" i="15" s="1"/>
  <c r="AS166" i="15"/>
  <c r="AS230" i="15" s="1"/>
  <c r="AR166" i="15"/>
  <c r="AQ166" i="15"/>
  <c r="AQ230" i="15" s="1"/>
  <c r="AP166" i="15"/>
  <c r="AK166" i="15"/>
  <c r="AK230" i="15" s="1"/>
  <c r="AI166" i="15"/>
  <c r="AI230" i="15" s="1"/>
  <c r="AG166" i="15"/>
  <c r="AG230" i="15" s="1"/>
  <c r="AE166" i="15"/>
  <c r="AE218" i="15" s="1"/>
  <c r="AC166" i="15"/>
  <c r="AB166" i="15"/>
  <c r="AB230" i="15" s="1"/>
  <c r="AA166" i="15"/>
  <c r="AA230" i="15" s="1"/>
  <c r="Y166" i="15"/>
  <c r="Y230" i="15" s="1"/>
  <c r="W166" i="15"/>
  <c r="T166" i="15"/>
  <c r="T230" i="15" s="1"/>
  <c r="S166" i="15"/>
  <c r="S230" i="15" s="1"/>
  <c r="R166" i="15"/>
  <c r="R230" i="15" s="1"/>
  <c r="P166" i="15"/>
  <c r="O166" i="15"/>
  <c r="O230" i="15" s="1"/>
  <c r="N166" i="15"/>
  <c r="J166" i="15"/>
  <c r="J230" i="15" s="1"/>
  <c r="H166" i="15"/>
  <c r="F166" i="15"/>
  <c r="F230" i="15" s="1"/>
  <c r="AV165" i="15"/>
  <c r="AT165" i="15"/>
  <c r="AT229" i="15" s="1"/>
  <c r="AR165" i="15"/>
  <c r="AR229" i="15" s="1"/>
  <c r="AP165" i="15"/>
  <c r="AL165" i="15"/>
  <c r="AK165" i="15"/>
  <c r="AK229" i="15" s="1"/>
  <c r="AI165" i="15"/>
  <c r="AI229" i="15" s="1"/>
  <c r="AH165" i="15"/>
  <c r="AH229" i="15" s="1"/>
  <c r="AG165" i="15"/>
  <c r="AE165" i="15"/>
  <c r="AE217" i="15" s="1"/>
  <c r="AC165" i="15"/>
  <c r="AC229" i="15" s="1"/>
  <c r="AA165" i="15"/>
  <c r="Y165" i="15"/>
  <c r="X165" i="15"/>
  <c r="W165" i="15"/>
  <c r="T165" i="15"/>
  <c r="R165" i="15"/>
  <c r="R229" i="15" s="1"/>
  <c r="P165" i="15"/>
  <c r="P229" i="15" s="1"/>
  <c r="N165" i="15"/>
  <c r="J165" i="15"/>
  <c r="J229" i="15" s="1"/>
  <c r="H165" i="15"/>
  <c r="H229" i="15" s="1"/>
  <c r="F165" i="15"/>
  <c r="AV164" i="15"/>
  <c r="AV228" i="15" s="1"/>
  <c r="AT164" i="15"/>
  <c r="AT228" i="15" s="1"/>
  <c r="AS164" i="15"/>
  <c r="AS228" i="15" s="1"/>
  <c r="AR164" i="15"/>
  <c r="AR228" i="15" s="1"/>
  <c r="AQ164" i="15"/>
  <c r="AQ228" i="15" s="1"/>
  <c r="AP164" i="15"/>
  <c r="AP216" i="15" s="1"/>
  <c r="AK164" i="15"/>
  <c r="AI164" i="15"/>
  <c r="AI228" i="15" s="1"/>
  <c r="AG164" i="15"/>
  <c r="AG228" i="15" s="1"/>
  <c r="AE164" i="15"/>
  <c r="AE216" i="15" s="1"/>
  <c r="AC164" i="15"/>
  <c r="AC228" i="15" s="1"/>
  <c r="AA164" i="15"/>
  <c r="AA228" i="15" s="1"/>
  <c r="Y164" i="15"/>
  <c r="W164" i="15"/>
  <c r="W216" i="15" s="1"/>
  <c r="T164" i="15"/>
  <c r="T228" i="15" s="1"/>
  <c r="R164" i="15"/>
  <c r="P164" i="15"/>
  <c r="P228" i="15" s="1"/>
  <c r="N164" i="15"/>
  <c r="J164" i="15"/>
  <c r="H164" i="15"/>
  <c r="H228" i="15" s="1"/>
  <c r="F164" i="15"/>
  <c r="F228" i="15" s="1"/>
  <c r="AV163" i="15"/>
  <c r="AV227" i="15" s="1"/>
  <c r="AT163" i="15"/>
  <c r="AT227" i="15" s="1"/>
  <c r="AR163" i="15"/>
  <c r="AP163" i="15"/>
  <c r="AK163" i="15"/>
  <c r="AK227" i="15" s="1"/>
  <c r="AI163" i="15"/>
  <c r="AG163" i="15"/>
  <c r="AG227" i="15" s="1"/>
  <c r="AF163" i="15"/>
  <c r="AF227" i="15" s="1"/>
  <c r="AE163" i="15"/>
  <c r="AE215" i="15" s="1"/>
  <c r="AC163" i="15"/>
  <c r="AA163" i="15"/>
  <c r="AA227" i="15" s="1"/>
  <c r="Y163" i="15"/>
  <c r="Y227" i="15" s="1"/>
  <c r="W163" i="15"/>
  <c r="T163" i="15"/>
  <c r="R163" i="15"/>
  <c r="R227" i="15" s="1"/>
  <c r="P163" i="15"/>
  <c r="N163" i="15"/>
  <c r="J163" i="15"/>
  <c r="J227" i="15" s="1"/>
  <c r="H163" i="15"/>
  <c r="H227" i="15" s="1"/>
  <c r="F163" i="15"/>
  <c r="F227" i="15" s="1"/>
  <c r="AV162" i="15"/>
  <c r="AT162" i="15"/>
  <c r="AT226" i="15" s="1"/>
  <c r="AR162" i="15"/>
  <c r="AR226" i="15" s="1"/>
  <c r="AP162" i="15"/>
  <c r="AK162" i="15"/>
  <c r="AK226" i="15" s="1"/>
  <c r="AJ162" i="15"/>
  <c r="AJ226" i="15" s="1"/>
  <c r="AI162" i="15"/>
  <c r="AI226" i="15" s="1"/>
  <c r="AG162" i="15"/>
  <c r="AF162" i="15"/>
  <c r="AF226" i="15" s="1"/>
  <c r="AE162" i="15"/>
  <c r="AC162" i="15"/>
  <c r="AC226" i="15" s="1"/>
  <c r="AA162" i="15"/>
  <c r="Y162" i="15"/>
  <c r="Y226" i="15" s="1"/>
  <c r="W162" i="15"/>
  <c r="W214" i="15" s="1"/>
  <c r="T162" i="15"/>
  <c r="S162" i="15"/>
  <c r="S226" i="15" s="1"/>
  <c r="R162" i="15"/>
  <c r="R226" i="15" s="1"/>
  <c r="P162" i="15"/>
  <c r="P226" i="15" s="1"/>
  <c r="N162" i="15"/>
  <c r="J162" i="15"/>
  <c r="H162" i="15"/>
  <c r="H226" i="15" s="1"/>
  <c r="F162" i="15"/>
  <c r="E162" i="15"/>
  <c r="AV161" i="15"/>
  <c r="AV225" i="15" s="1"/>
  <c r="AT161" i="15"/>
  <c r="AR161" i="15"/>
  <c r="AR225" i="15" s="1"/>
  <c r="AP161" i="15"/>
  <c r="AP213" i="15" s="1"/>
  <c r="AK161" i="15"/>
  <c r="AI161" i="15"/>
  <c r="AI225" i="15" s="1"/>
  <c r="AG161" i="15"/>
  <c r="AG225" i="15" s="1"/>
  <c r="AE161" i="15"/>
  <c r="AC161" i="15"/>
  <c r="AC225" i="15" s="1"/>
  <c r="AA161" i="15"/>
  <c r="AA225" i="15" s="1"/>
  <c r="Y161" i="15"/>
  <c r="W161" i="15"/>
  <c r="W213" i="15" s="1"/>
  <c r="T161" i="15"/>
  <c r="T225" i="15" s="1"/>
  <c r="R161" i="15"/>
  <c r="R225" i="15" s="1"/>
  <c r="Q161" i="15"/>
  <c r="P161" i="15"/>
  <c r="O161" i="15"/>
  <c r="O225" i="15" s="1"/>
  <c r="N161" i="15"/>
  <c r="N213" i="15" s="1"/>
  <c r="K161" i="15"/>
  <c r="K225" i="15" s="1"/>
  <c r="J161" i="15"/>
  <c r="H161" i="15"/>
  <c r="H225" i="15" s="1"/>
  <c r="F161" i="15"/>
  <c r="F225" i="15" s="1"/>
  <c r="AV160" i="15"/>
  <c r="AV224" i="15" s="1"/>
  <c r="AT160" i="15"/>
  <c r="AT224" i="15" s="1"/>
  <c r="AS160" i="15"/>
  <c r="AS224" i="15" s="1"/>
  <c r="AR160" i="15"/>
  <c r="AP160" i="15"/>
  <c r="AP212" i="15" s="1"/>
  <c r="AK160" i="15"/>
  <c r="AK224" i="15" s="1"/>
  <c r="AI160" i="15"/>
  <c r="AI224" i="15" s="1"/>
  <c r="AH160" i="15"/>
  <c r="AH224" i="15" s="1"/>
  <c r="AG160" i="15"/>
  <c r="AG224" i="15" s="1"/>
  <c r="AE160" i="15"/>
  <c r="AC160" i="15"/>
  <c r="AB160" i="15"/>
  <c r="AB224" i="15" s="1"/>
  <c r="AA160" i="15"/>
  <c r="Y160" i="15"/>
  <c r="Y224" i="15" s="1"/>
  <c r="W160" i="15"/>
  <c r="T160" i="15"/>
  <c r="T224" i="15" s="1"/>
  <c r="R160" i="15"/>
  <c r="P160" i="15"/>
  <c r="N160" i="15"/>
  <c r="N212" i="15" s="1"/>
  <c r="J160" i="15"/>
  <c r="J224" i="15" s="1"/>
  <c r="H160" i="15"/>
  <c r="F160" i="15"/>
  <c r="AV159" i="15"/>
  <c r="AT159" i="15"/>
  <c r="AT223" i="15" s="1"/>
  <c r="AR159" i="15"/>
  <c r="AR223" i="15" s="1"/>
  <c r="AP159" i="15"/>
  <c r="AK159" i="15"/>
  <c r="AK223" i="15" s="1"/>
  <c r="AJ159" i="15"/>
  <c r="AJ223" i="15" s="1"/>
  <c r="AI159" i="15"/>
  <c r="AG159" i="15"/>
  <c r="AE159" i="15"/>
  <c r="AE211" i="15" s="1"/>
  <c r="AC159" i="15"/>
  <c r="AC223" i="15" s="1"/>
  <c r="AA159" i="15"/>
  <c r="Y159" i="15"/>
  <c r="Y223" i="15" s="1"/>
  <c r="W159" i="15"/>
  <c r="W211" i="15" s="1"/>
  <c r="T159" i="15"/>
  <c r="S159" i="15"/>
  <c r="S223" i="15" s="1"/>
  <c r="R159" i="15"/>
  <c r="R223" i="15" s="1"/>
  <c r="P159" i="15"/>
  <c r="P223" i="15" s="1"/>
  <c r="N159" i="15"/>
  <c r="J159" i="15"/>
  <c r="J223" i="15" s="1"/>
  <c r="H159" i="15"/>
  <c r="F159" i="15"/>
  <c r="AV158" i="15"/>
  <c r="AV222" i="15" s="1"/>
  <c r="AT158" i="15"/>
  <c r="AR158" i="15"/>
  <c r="AR222" i="15" s="1"/>
  <c r="AQ158" i="15"/>
  <c r="AQ222" i="15" s="1"/>
  <c r="AP158" i="15"/>
  <c r="AP210" i="15" s="1"/>
  <c r="AK158" i="15"/>
  <c r="AI158" i="15"/>
  <c r="AI222" i="15" s="1"/>
  <c r="AG158" i="15"/>
  <c r="AG222" i="15" s="1"/>
  <c r="AE158" i="15"/>
  <c r="AC158" i="15"/>
  <c r="AC222" i="15" s="1"/>
  <c r="AA158" i="15"/>
  <c r="AA222" i="15" s="1"/>
  <c r="Y158" i="15"/>
  <c r="W158" i="15"/>
  <c r="W210" i="15" s="1"/>
  <c r="T158" i="15"/>
  <c r="T222" i="15" s="1"/>
  <c r="R158" i="15"/>
  <c r="P158" i="15"/>
  <c r="N158" i="15"/>
  <c r="K158" i="15"/>
  <c r="K222" i="15" s="1"/>
  <c r="J158" i="15"/>
  <c r="H158" i="15"/>
  <c r="H222" i="15" s="1"/>
  <c r="F158" i="15"/>
  <c r="F222" i="15" s="1"/>
  <c r="AX157" i="15"/>
  <c r="AV157" i="15"/>
  <c r="AT157" i="15"/>
  <c r="AR157" i="15"/>
  <c r="AR221" i="15" s="1"/>
  <c r="AQ157" i="15"/>
  <c r="AQ221" i="15" s="1"/>
  <c r="AP157" i="15"/>
  <c r="AP209" i="15" s="1"/>
  <c r="AK157" i="15"/>
  <c r="AK221" i="15" s="1"/>
  <c r="AI157" i="15"/>
  <c r="AI221" i="15" s="1"/>
  <c r="AG157" i="15"/>
  <c r="AG221" i="15" s="1"/>
  <c r="AE157" i="15"/>
  <c r="AC157" i="15"/>
  <c r="AC221" i="15" s="1"/>
  <c r="AB157" i="15"/>
  <c r="AB221" i="15" s="1"/>
  <c r="AA157" i="15"/>
  <c r="Y157" i="15"/>
  <c r="Y221" i="15" s="1"/>
  <c r="W157" i="15"/>
  <c r="W209" i="15" s="1"/>
  <c r="T157" i="15"/>
  <c r="R157" i="15"/>
  <c r="R221" i="15" s="1"/>
  <c r="P157" i="15"/>
  <c r="P221" i="15" s="1"/>
  <c r="N157" i="15"/>
  <c r="N209" i="15" s="1"/>
  <c r="J157" i="15"/>
  <c r="J221" i="15" s="1"/>
  <c r="H157" i="15"/>
  <c r="F157" i="15"/>
  <c r="F221" i="15" s="1"/>
  <c r="AS155" i="15"/>
  <c r="AS220" i="15" s="1"/>
  <c r="AS284" i="15" s="1"/>
  <c r="AL155" i="15"/>
  <c r="AJ155" i="15"/>
  <c r="AJ220" i="15" s="1"/>
  <c r="AJ284" i="15" s="1"/>
  <c r="AH155" i="15"/>
  <c r="AH220" i="15" s="1"/>
  <c r="AH284" i="15" s="1"/>
  <c r="AF155" i="15"/>
  <c r="AF220" i="15" s="1"/>
  <c r="AF284" i="15" s="1"/>
  <c r="Q155" i="15"/>
  <c r="Q220" i="15" s="1"/>
  <c r="Q284" i="15" s="1"/>
  <c r="O155" i="15"/>
  <c r="O220" i="15" s="1"/>
  <c r="O284" i="15" s="1"/>
  <c r="I155" i="15"/>
  <c r="I220" i="15" s="1"/>
  <c r="I284" i="15" s="1"/>
  <c r="E155" i="15"/>
  <c r="AS154" i="15"/>
  <c r="AS219" i="15" s="1"/>
  <c r="AS283" i="15" s="1"/>
  <c r="AQ154" i="15"/>
  <c r="Z154" i="15"/>
  <c r="X154" i="15"/>
  <c r="X219" i="15" s="1"/>
  <c r="X283" i="15" s="1"/>
  <c r="V154" i="15"/>
  <c r="V219" i="15" s="1"/>
  <c r="V283" i="15" s="1"/>
  <c r="AS153" i="15"/>
  <c r="AS218" i="15" s="1"/>
  <c r="AB153" i="15"/>
  <c r="AB218" i="15" s="1"/>
  <c r="AB282" i="15" s="1"/>
  <c r="X153" i="15"/>
  <c r="X218" i="15" s="1"/>
  <c r="X282" i="15" s="1"/>
  <c r="G153" i="15"/>
  <c r="G218" i="15" s="1"/>
  <c r="G282" i="15" s="1"/>
  <c r="E153" i="15"/>
  <c r="E218" i="15" s="1"/>
  <c r="AS152" i="15"/>
  <c r="AS217" i="15" s="1"/>
  <c r="AS281" i="15" s="1"/>
  <c r="AL152" i="15"/>
  <c r="G152" i="15"/>
  <c r="E152" i="15"/>
  <c r="E217" i="15" s="1"/>
  <c r="AW151" i="15"/>
  <c r="AW216" i="15" s="1"/>
  <c r="AW280" i="15" s="1"/>
  <c r="AH151" i="15"/>
  <c r="AH216" i="15" s="1"/>
  <c r="AH280" i="15" s="1"/>
  <c r="AB151" i="15"/>
  <c r="Z151" i="15"/>
  <c r="X151" i="15"/>
  <c r="X216" i="15" s="1"/>
  <c r="X280" i="15" s="1"/>
  <c r="S151" i="15"/>
  <c r="S216" i="15" s="1"/>
  <c r="S280" i="15" s="1"/>
  <c r="O151" i="15"/>
  <c r="G151" i="15"/>
  <c r="E151" i="15"/>
  <c r="E216" i="15" s="1"/>
  <c r="D216" i="15" s="1"/>
  <c r="AU150" i="15"/>
  <c r="AU215" i="15" s="1"/>
  <c r="AU279" i="15" s="1"/>
  <c r="AS150" i="15"/>
  <c r="AS215" i="15" s="1"/>
  <c r="AS279" i="15" s="1"/>
  <c r="AQ150" i="15"/>
  <c r="AF150" i="15"/>
  <c r="AF215" i="15" s="1"/>
  <c r="AF279" i="15" s="1"/>
  <c r="Q150" i="15"/>
  <c r="Q215" i="15" s="1"/>
  <c r="Q279" i="15" s="1"/>
  <c r="K150" i="15"/>
  <c r="I150" i="15"/>
  <c r="I215" i="15" s="1"/>
  <c r="I279" i="15" s="1"/>
  <c r="G150" i="15"/>
  <c r="G215" i="15" s="1"/>
  <c r="G279" i="15" s="1"/>
  <c r="E150" i="15"/>
  <c r="E215" i="15" s="1"/>
  <c r="AS149" i="15"/>
  <c r="AS214" i="15" s="1"/>
  <c r="AS278" i="15" s="1"/>
  <c r="AQ149" i="15"/>
  <c r="AQ214" i="15" s="1"/>
  <c r="AB149" i="15"/>
  <c r="AB214" i="15" s="1"/>
  <c r="AB278" i="15" s="1"/>
  <c r="Z149" i="15"/>
  <c r="X149" i="15"/>
  <c r="S149" i="15"/>
  <c r="S214" i="15" s="1"/>
  <c r="S278" i="15" s="1"/>
  <c r="O149" i="15"/>
  <c r="O214" i="15" s="1"/>
  <c r="AQ148" i="15"/>
  <c r="AQ213" i="15" s="1"/>
  <c r="AQ277" i="15" s="1"/>
  <c r="AH148" i="15"/>
  <c r="AH213" i="15" s="1"/>
  <c r="AH277" i="15" s="1"/>
  <c r="X148" i="15"/>
  <c r="X213" i="15" s="1"/>
  <c r="X277" i="15" s="1"/>
  <c r="G148" i="15"/>
  <c r="G213" i="15" s="1"/>
  <c r="G277" i="15" s="1"/>
  <c r="AW147" i="15"/>
  <c r="AW212" i="15" s="1"/>
  <c r="AU147" i="15"/>
  <c r="AU212" i="15" s="1"/>
  <c r="AU276" i="15" s="1"/>
  <c r="AS147" i="15"/>
  <c r="AS212" i="15" s="1"/>
  <c r="AS276" i="15" s="1"/>
  <c r="AL147" i="15"/>
  <c r="AL212" i="15" s="1"/>
  <c r="AL276" i="15" s="1"/>
  <c r="AH147" i="15"/>
  <c r="AH212" i="15" s="1"/>
  <c r="AH276" i="15" s="1"/>
  <c r="Z147" i="15"/>
  <c r="Q147" i="15"/>
  <c r="Q212" i="15" s="1"/>
  <c r="Q276" i="15" s="1"/>
  <c r="O147" i="15"/>
  <c r="I147" i="15"/>
  <c r="I212" i="15" s="1"/>
  <c r="I276" i="15" s="1"/>
  <c r="E147" i="15"/>
  <c r="E212" i="15" s="1"/>
  <c r="AH146" i="15"/>
  <c r="AH211" i="15" s="1"/>
  <c r="AH275" i="15" s="1"/>
  <c r="AF146" i="15"/>
  <c r="AF211" i="15" s="1"/>
  <c r="AF275" i="15" s="1"/>
  <c r="G146" i="15"/>
  <c r="AW145" i="15"/>
  <c r="AU145" i="15"/>
  <c r="AU210" i="15" s="1"/>
  <c r="AU274" i="15" s="1"/>
  <c r="AS145" i="15"/>
  <c r="AS210" i="15" s="1"/>
  <c r="AS274" i="15" s="1"/>
  <c r="AQ145" i="15"/>
  <c r="AQ210" i="15" s="1"/>
  <c r="AH145" i="15"/>
  <c r="AH210" i="15" s="1"/>
  <c r="AH274" i="15" s="1"/>
  <c r="AF145" i="15"/>
  <c r="AF210" i="15" s="1"/>
  <c r="AF274" i="15" s="1"/>
  <c r="AD145" i="15"/>
  <c r="AD210" i="15" s="1"/>
  <c r="AD274" i="15" s="1"/>
  <c r="S145" i="15"/>
  <c r="S210" i="15" s="1"/>
  <c r="O145" i="15"/>
  <c r="I145" i="15"/>
  <c r="I210" i="15" s="1"/>
  <c r="I274" i="15" s="1"/>
  <c r="E145" i="15"/>
  <c r="E210" i="15" s="1"/>
  <c r="AW144" i="15"/>
  <c r="AW209" i="15" s="1"/>
  <c r="AW273" i="15" s="1"/>
  <c r="AF144" i="15"/>
  <c r="Z144" i="15"/>
  <c r="Z209" i="15" s="1"/>
  <c r="V144" i="15"/>
  <c r="V209" i="15" s="1"/>
  <c r="V273" i="15" s="1"/>
  <c r="Q144" i="15"/>
  <c r="O144" i="15"/>
  <c r="K144" i="15"/>
  <c r="K209" i="15" s="1"/>
  <c r="K273" i="15" s="1"/>
  <c r="G144" i="15"/>
  <c r="G209" i="15" s="1"/>
  <c r="G273" i="15" s="1"/>
  <c r="AQ143" i="15"/>
  <c r="AQ208" i="15" s="1"/>
  <c r="AQ272" i="15" s="1"/>
  <c r="AH143" i="15"/>
  <c r="AH208" i="15" s="1"/>
  <c r="AH272" i="15" s="1"/>
  <c r="AD143" i="15"/>
  <c r="AD208" i="15" s="1"/>
  <c r="AD272" i="15" s="1"/>
  <c r="AB143" i="15"/>
  <c r="AB208" i="15" s="1"/>
  <c r="AB272" i="15" s="1"/>
  <c r="Z143" i="15"/>
  <c r="Z208" i="15" s="1"/>
  <c r="E143" i="15"/>
  <c r="AU142" i="15"/>
  <c r="AU207" i="15" s="1"/>
  <c r="AU271" i="15" s="1"/>
  <c r="AQ142" i="15"/>
  <c r="AQ207" i="15" s="1"/>
  <c r="AQ271" i="15" s="1"/>
  <c r="AJ142" i="15"/>
  <c r="AJ207" i="15" s="1"/>
  <c r="AJ271" i="15" s="1"/>
  <c r="X142" i="15"/>
  <c r="X207" i="15" s="1"/>
  <c r="X271" i="15" s="1"/>
  <c r="O142" i="15"/>
  <c r="O207" i="15" s="1"/>
  <c r="O271" i="15" s="1"/>
  <c r="AH141" i="15"/>
  <c r="AH206" i="15" s="1"/>
  <c r="AH270" i="15" s="1"/>
  <c r="Z141" i="15"/>
  <c r="Z206" i="15" s="1"/>
  <c r="Z270" i="15" s="1"/>
  <c r="AU140" i="15"/>
  <c r="AU205" i="15" s="1"/>
  <c r="AU269" i="15" s="1"/>
  <c r="AS140" i="15"/>
  <c r="AS205" i="15" s="1"/>
  <c r="AS269" i="15" s="1"/>
  <c r="AQ140" i="15"/>
  <c r="AQ205" i="15" s="1"/>
  <c r="AQ269" i="15" s="1"/>
  <c r="AF140" i="15"/>
  <c r="K140" i="15"/>
  <c r="K205" i="15" s="1"/>
  <c r="K269" i="15" s="1"/>
  <c r="G140" i="15"/>
  <c r="G205" i="15" s="1"/>
  <c r="G269" i="15" s="1"/>
  <c r="E140" i="15"/>
  <c r="E205" i="15" s="1"/>
  <c r="AF139" i="15"/>
  <c r="AF204" i="15" s="1"/>
  <c r="AF268" i="15" s="1"/>
  <c r="AD139" i="15"/>
  <c r="AD204" i="15" s="1"/>
  <c r="AD268" i="15" s="1"/>
  <c r="Z139" i="15"/>
  <c r="Z204" i="15" s="1"/>
  <c r="X139" i="15"/>
  <c r="X204" i="15" s="1"/>
  <c r="V139" i="15"/>
  <c r="Q139" i="15"/>
  <c r="Q204" i="15" s="1"/>
  <c r="Q268" i="15" s="1"/>
  <c r="AQ138" i="15"/>
  <c r="AQ203" i="15" s="1"/>
  <c r="AQ267" i="15" s="1"/>
  <c r="AL138" i="15"/>
  <c r="AL203" i="15" s="1"/>
  <c r="AL267" i="15" s="1"/>
  <c r="AF138" i="15"/>
  <c r="X138" i="15"/>
  <c r="X203" i="15" s="1"/>
  <c r="X267" i="15" s="1"/>
  <c r="O138" i="15"/>
  <c r="G138" i="15"/>
  <c r="G203" i="15" s="1"/>
  <c r="G267" i="15" s="1"/>
  <c r="AU137" i="15"/>
  <c r="AU202" i="15" s="1"/>
  <c r="AU266" i="15" s="1"/>
  <c r="AQ137" i="15"/>
  <c r="AQ202" i="15" s="1"/>
  <c r="AQ266" i="15" s="1"/>
  <c r="AL137" i="15"/>
  <c r="AJ137" i="15"/>
  <c r="AH137" i="15"/>
  <c r="Z137" i="15"/>
  <c r="Q137" i="15"/>
  <c r="Q202" i="15" s="1"/>
  <c r="Q266" i="15" s="1"/>
  <c r="AJ136" i="15"/>
  <c r="AH136" i="15"/>
  <c r="AH201" i="15" s="1"/>
  <c r="AH265" i="15" s="1"/>
  <c r="AF136" i="15"/>
  <c r="AF201" i="15" s="1"/>
  <c r="AF265" i="15" s="1"/>
  <c r="X136" i="15"/>
  <c r="X201" i="15" s="1"/>
  <c r="X265" i="15" s="1"/>
  <c r="V136" i="15"/>
  <c r="S136" i="15"/>
  <c r="S201" i="15" s="1"/>
  <c r="S265" i="15" s="1"/>
  <c r="Q136" i="15"/>
  <c r="Q201" i="15" s="1"/>
  <c r="Q265" i="15" s="1"/>
  <c r="AQ135" i="15"/>
  <c r="AL135" i="15"/>
  <c r="AL200" i="15" s="1"/>
  <c r="AL264" i="15" s="1"/>
  <c r="AH135" i="15"/>
  <c r="AH200" i="15" s="1"/>
  <c r="AH264" i="15" s="1"/>
  <c r="Z135" i="15"/>
  <c r="O135" i="15"/>
  <c r="O200" i="15" s="1"/>
  <c r="O264" i="15" s="1"/>
  <c r="K135" i="15"/>
  <c r="G135" i="15"/>
  <c r="G200" i="15" s="1"/>
  <c r="G264" i="15" s="1"/>
  <c r="E135" i="15"/>
  <c r="E200" i="15" s="1"/>
  <c r="AS134" i="15"/>
  <c r="AS199" i="15" s="1"/>
  <c r="AS263" i="15" s="1"/>
  <c r="AH134" i="15"/>
  <c r="AB134" i="15"/>
  <c r="AB199" i="15" s="1"/>
  <c r="AB263" i="15" s="1"/>
  <c r="Z134" i="15"/>
  <c r="Z199" i="15" s="1"/>
  <c r="Z263" i="15" s="1"/>
  <c r="X134" i="15"/>
  <c r="X199" i="15" s="1"/>
  <c r="X263" i="15" s="1"/>
  <c r="Q134" i="15"/>
  <c r="Q199" i="15" s="1"/>
  <c r="O134" i="15"/>
  <c r="O199" i="15" s="1"/>
  <c r="K134" i="15"/>
  <c r="K199" i="15" s="1"/>
  <c r="K263" i="15" s="1"/>
  <c r="G134" i="15"/>
  <c r="AU133" i="15"/>
  <c r="AU198" i="15" s="1"/>
  <c r="AU262" i="15" s="1"/>
  <c r="AS133" i="15"/>
  <c r="AQ133" i="15"/>
  <c r="AQ198" i="15" s="1"/>
  <c r="AQ262" i="15" s="1"/>
  <c r="AJ133" i="15"/>
  <c r="AJ198" i="15" s="1"/>
  <c r="AJ262" i="15" s="1"/>
  <c r="AH133" i="15"/>
  <c r="AH198" i="15" s="1"/>
  <c r="AH262" i="15" s="1"/>
  <c r="AF133" i="15"/>
  <c r="AF198" i="15" s="1"/>
  <c r="AF262" i="15" s="1"/>
  <c r="AD133" i="15"/>
  <c r="AD198" i="15" s="1"/>
  <c r="AD262" i="15" s="1"/>
  <c r="Z133" i="15"/>
  <c r="Q133" i="15"/>
  <c r="Q198" i="15" s="1"/>
  <c r="Q262" i="15" s="1"/>
  <c r="G133" i="15"/>
  <c r="G198" i="15" s="1"/>
  <c r="G262" i="15" s="1"/>
  <c r="E133" i="15"/>
  <c r="E198" i="15" s="1"/>
  <c r="AW132" i="15"/>
  <c r="AW197" i="15" s="1"/>
  <c r="AW261" i="15" s="1"/>
  <c r="AU132" i="15"/>
  <c r="AU197" i="15" s="1"/>
  <c r="AS132" i="15"/>
  <c r="AS197" i="15" s="1"/>
  <c r="AQ132" i="15"/>
  <c r="AQ197" i="15" s="1"/>
  <c r="AQ261" i="15" s="1"/>
  <c r="AF132" i="15"/>
  <c r="AF197" i="15" s="1"/>
  <c r="AF261" i="15" s="1"/>
  <c r="AB132" i="15"/>
  <c r="Z132" i="15"/>
  <c r="X132" i="15"/>
  <c r="X197" i="15" s="1"/>
  <c r="S132" i="15"/>
  <c r="S197" i="15" s="1"/>
  <c r="Q132" i="15"/>
  <c r="Q197" i="15" s="1"/>
  <c r="Q261" i="15" s="1"/>
  <c r="O132" i="15"/>
  <c r="AQ131" i="15"/>
  <c r="AQ196" i="15" s="1"/>
  <c r="AQ260" i="15" s="1"/>
  <c r="AH131" i="15"/>
  <c r="AH196" i="15" s="1"/>
  <c r="AH260" i="15" s="1"/>
  <c r="X131" i="15"/>
  <c r="X196" i="15" s="1"/>
  <c r="X260" i="15" s="1"/>
  <c r="Q131" i="15"/>
  <c r="Q196" i="15" s="1"/>
  <c r="Q260" i="15" s="1"/>
  <c r="AS130" i="15"/>
  <c r="AS195" i="15" s="1"/>
  <c r="AS259" i="15" s="1"/>
  <c r="AF130" i="15"/>
  <c r="AF195" i="15" s="1"/>
  <c r="AF259" i="15" s="1"/>
  <c r="X130" i="15"/>
  <c r="O130" i="15"/>
  <c r="AW129" i="15"/>
  <c r="AW194" i="15" s="1"/>
  <c r="AW258" i="15" s="1"/>
  <c r="AS129" i="15"/>
  <c r="AS194" i="15" s="1"/>
  <c r="AS258" i="15" s="1"/>
  <c r="AB129" i="15"/>
  <c r="AB194" i="15" s="1"/>
  <c r="AB258" i="15" s="1"/>
  <c r="Z129" i="15"/>
  <c r="Z194" i="15" s="1"/>
  <c r="Z258" i="15" s="1"/>
  <c r="Q129" i="15"/>
  <c r="E129" i="15"/>
  <c r="E194" i="15" s="1"/>
  <c r="AS128" i="15"/>
  <c r="AQ128" i="15"/>
  <c r="AQ193" i="15" s="1"/>
  <c r="AQ257" i="15" s="1"/>
  <c r="AH128" i="15"/>
  <c r="AH193" i="15" s="1"/>
  <c r="AH257" i="15" s="1"/>
  <c r="AF128" i="15"/>
  <c r="AF193" i="15" s="1"/>
  <c r="AF257" i="15" s="1"/>
  <c r="AB128" i="15"/>
  <c r="AB193" i="15" s="1"/>
  <c r="AB257" i="15" s="1"/>
  <c r="Z128" i="15"/>
  <c r="Z193" i="15" s="1"/>
  <c r="Z257" i="15" s="1"/>
  <c r="X128" i="15"/>
  <c r="X193" i="15" s="1"/>
  <c r="X257" i="15" s="1"/>
  <c r="E128" i="15"/>
  <c r="E193" i="15" s="1"/>
  <c r="E257" i="15" s="1"/>
  <c r="D257" i="15" s="1"/>
  <c r="AU127" i="15"/>
  <c r="AU192" i="15" s="1"/>
  <c r="AU256" i="15" s="1"/>
  <c r="AQ127" i="15"/>
  <c r="AQ192" i="15" s="1"/>
  <c r="AQ256" i="15" s="1"/>
  <c r="Q127" i="15"/>
  <c r="Q192" i="15" s="1"/>
  <c r="Q256" i="15" s="1"/>
  <c r="G127" i="15"/>
  <c r="G192" i="15" s="1"/>
  <c r="G256" i="15" s="1"/>
  <c r="AH126" i="15"/>
  <c r="AH191" i="15" s="1"/>
  <c r="AH255" i="15" s="1"/>
  <c r="AF126" i="15"/>
  <c r="AF191" i="15" s="1"/>
  <c r="AF255" i="15" s="1"/>
  <c r="S126" i="15"/>
  <c r="S191" i="15" s="1"/>
  <c r="S255" i="15" s="1"/>
  <c r="E126" i="15"/>
  <c r="AQ125" i="15"/>
  <c r="AQ190" i="15" s="1"/>
  <c r="AQ254" i="15" s="1"/>
  <c r="AJ125" i="15"/>
  <c r="AJ190" i="15" s="1"/>
  <c r="AJ254" i="15" s="1"/>
  <c r="AF125" i="15"/>
  <c r="AF190" i="15" s="1"/>
  <c r="AF254" i="15" s="1"/>
  <c r="Q125" i="15"/>
  <c r="O125" i="15"/>
  <c r="O190" i="15" s="1"/>
  <c r="O254" i="15" s="1"/>
  <c r="K125" i="15"/>
  <c r="K190" i="15" s="1"/>
  <c r="K254" i="15" s="1"/>
  <c r="G125" i="15"/>
  <c r="G190" i="15" s="1"/>
  <c r="G254" i="15" s="1"/>
  <c r="AS124" i="15"/>
  <c r="X124" i="15"/>
  <c r="X189" i="15" s="1"/>
  <c r="X253" i="15" s="1"/>
  <c r="S124" i="15"/>
  <c r="S189" i="15" s="1"/>
  <c r="S253" i="15" s="1"/>
  <c r="Q124" i="15"/>
  <c r="O124" i="15"/>
  <c r="O189" i="15" s="1"/>
  <c r="O253" i="15" s="1"/>
  <c r="AS123" i="15"/>
  <c r="AS188" i="15" s="1"/>
  <c r="AS252" i="15" s="1"/>
  <c r="AQ123" i="15"/>
  <c r="AQ188" i="15" s="1"/>
  <c r="AQ252" i="15" s="1"/>
  <c r="AF123" i="15"/>
  <c r="AF188" i="15" s="1"/>
  <c r="AF252" i="15" s="1"/>
  <c r="X123" i="15"/>
  <c r="X188" i="15" s="1"/>
  <c r="X252" i="15" s="1"/>
  <c r="G123" i="15"/>
  <c r="G188" i="15" s="1"/>
  <c r="G252" i="15" s="1"/>
  <c r="E123" i="15"/>
  <c r="E188" i="15" s="1"/>
  <c r="D188" i="15" s="1"/>
  <c r="AS122" i="15"/>
  <c r="AS187" i="15" s="1"/>
  <c r="AS251" i="15" s="1"/>
  <c r="AH122" i="15"/>
  <c r="Z122" i="15"/>
  <c r="Z187" i="15" s="1"/>
  <c r="S122" i="15"/>
  <c r="S187" i="15" s="1"/>
  <c r="S251" i="15" s="1"/>
  <c r="Q122" i="15"/>
  <c r="Q187" i="15" s="1"/>
  <c r="Q251" i="15" s="1"/>
  <c r="O122" i="15"/>
  <c r="O187" i="15" s="1"/>
  <c r="O251" i="15" s="1"/>
  <c r="E122" i="15"/>
  <c r="E187" i="15" s="1"/>
  <c r="E251" i="15" s="1"/>
  <c r="D251" i="15" s="1"/>
  <c r="AH121" i="15"/>
  <c r="AF121" i="15"/>
  <c r="AF186" i="15" s="1"/>
  <c r="AF250" i="15" s="1"/>
  <c r="G121" i="15"/>
  <c r="AU120" i="15"/>
  <c r="AU185" i="15" s="1"/>
  <c r="AU249" i="15" s="1"/>
  <c r="AQ120" i="15"/>
  <c r="AQ185" i="15" s="1"/>
  <c r="AQ249" i="15" s="1"/>
  <c r="AL120" i="15"/>
  <c r="AL185" i="15" s="1"/>
  <c r="AL249" i="15" s="1"/>
  <c r="AJ120" i="15"/>
  <c r="AJ185" i="15" s="1"/>
  <c r="AJ249" i="15" s="1"/>
  <c r="AH120" i="15"/>
  <c r="AH185" i="15" s="1"/>
  <c r="AH249" i="15" s="1"/>
  <c r="AF120" i="15"/>
  <c r="AF185" i="15" s="1"/>
  <c r="AF249" i="15" s="1"/>
  <c r="E120" i="15"/>
  <c r="E185" i="15" s="1"/>
  <c r="D185" i="15" s="1"/>
  <c r="AU119" i="15"/>
  <c r="AS119" i="15"/>
  <c r="AS184" i="15" s="1"/>
  <c r="AS248" i="15" s="1"/>
  <c r="AF119" i="15"/>
  <c r="AB119" i="15"/>
  <c r="Z119" i="15"/>
  <c r="Z184" i="15" s="1"/>
  <c r="Z248" i="15" s="1"/>
  <c r="X119" i="15"/>
  <c r="X184" i="15" s="1"/>
  <c r="Q119" i="15"/>
  <c r="Q184" i="15" s="1"/>
  <c r="Q248" i="15" s="1"/>
  <c r="K119" i="15"/>
  <c r="K184" i="15" s="1"/>
  <c r="K248" i="15" s="1"/>
  <c r="G119" i="15"/>
  <c r="E119" i="15"/>
  <c r="AQ118" i="15"/>
  <c r="AQ183" i="15" s="1"/>
  <c r="AQ247" i="15" s="1"/>
  <c r="AJ118" i="15"/>
  <c r="AJ183" i="15" s="1"/>
  <c r="AJ247" i="15" s="1"/>
  <c r="AH118" i="15"/>
  <c r="AH183" i="15" s="1"/>
  <c r="AH247" i="15" s="1"/>
  <c r="AF118" i="15"/>
  <c r="AF183" i="15" s="1"/>
  <c r="AF247" i="15" s="1"/>
  <c r="Z118" i="15"/>
  <c r="Z183" i="15" s="1"/>
  <c r="Z247" i="15" s="1"/>
  <c r="O118" i="15"/>
  <c r="E118" i="15"/>
  <c r="E183" i="15" s="1"/>
  <c r="D183" i="15" s="1"/>
  <c r="AU117" i="15"/>
  <c r="AU182" i="15" s="1"/>
  <c r="AU246" i="15" s="1"/>
  <c r="AQ117" i="15"/>
  <c r="AL117" i="15"/>
  <c r="AL182" i="15" s="1"/>
  <c r="AL246" i="15" s="1"/>
  <c r="AH117" i="15"/>
  <c r="AH182" i="15" s="1"/>
  <c r="AH246" i="15" s="1"/>
  <c r="X117" i="15"/>
  <c r="O117" i="15"/>
  <c r="K117" i="15"/>
  <c r="K182" i="15" s="1"/>
  <c r="K246" i="15" s="1"/>
  <c r="G117" i="15"/>
  <c r="G182" i="15" s="1"/>
  <c r="G246" i="15" s="1"/>
  <c r="AS116" i="15"/>
  <c r="AH116" i="15"/>
  <c r="AH181" i="15" s="1"/>
  <c r="AH245" i="15" s="1"/>
  <c r="AF116" i="15"/>
  <c r="AD116" i="15"/>
  <c r="AD181" i="15" s="1"/>
  <c r="AD245" i="15" s="1"/>
  <c r="Z116" i="15"/>
  <c r="Z181" i="15" s="1"/>
  <c r="Z245" i="15" s="1"/>
  <c r="Q116" i="15"/>
  <c r="E116" i="15"/>
  <c r="E181" i="15" s="1"/>
  <c r="AU115" i="15"/>
  <c r="AU180" i="15" s="1"/>
  <c r="AU244" i="15" s="1"/>
  <c r="AJ115" i="15"/>
  <c r="AJ180" i="15" s="1"/>
  <c r="AJ244" i="15" s="1"/>
  <c r="S115" i="15"/>
  <c r="S180" i="15" s="1"/>
  <c r="S244" i="15" s="1"/>
  <c r="O115" i="15"/>
  <c r="O180" i="15" s="1"/>
  <c r="O244" i="15" s="1"/>
  <c r="AH114" i="15"/>
  <c r="AH179" i="15" s="1"/>
  <c r="AH243" i="15" s="1"/>
  <c r="Z114" i="15"/>
  <c r="X114" i="15"/>
  <c r="X179" i="15" s="1"/>
  <c r="X243" i="15" s="1"/>
  <c r="V114" i="15"/>
  <c r="V179" i="15" s="1"/>
  <c r="V243" i="15" s="1"/>
  <c r="Q114" i="15"/>
  <c r="Q179" i="15" s="1"/>
  <c r="Q243" i="15" s="1"/>
  <c r="AQ113" i="15"/>
  <c r="AJ113" i="15"/>
  <c r="AJ178" i="15" s="1"/>
  <c r="AJ242" i="15" s="1"/>
  <c r="AF113" i="15"/>
  <c r="AF178" i="15" s="1"/>
  <c r="AF242" i="15" s="1"/>
  <c r="Q113" i="15"/>
  <c r="AS112" i="15"/>
  <c r="AS177" i="15" s="1"/>
  <c r="AS241" i="15" s="1"/>
  <c r="AQ112" i="15"/>
  <c r="AQ177" i="15" s="1"/>
  <c r="AQ241" i="15" s="1"/>
  <c r="Z112" i="15"/>
  <c r="Z177" i="15" s="1"/>
  <c r="Z241" i="15" s="1"/>
  <c r="G112" i="15"/>
  <c r="G177" i="15" s="1"/>
  <c r="G241" i="15" s="1"/>
  <c r="AF111" i="15"/>
  <c r="AF176" i="15" s="1"/>
  <c r="AF240" i="15" s="1"/>
  <c r="X111" i="15"/>
  <c r="X176" i="15" s="1"/>
  <c r="I111" i="15"/>
  <c r="E111" i="15"/>
  <c r="E176" i="15" s="1"/>
  <c r="AH110" i="15"/>
  <c r="AH175" i="15" s="1"/>
  <c r="AH239" i="15" s="1"/>
  <c r="AD110" i="15"/>
  <c r="Q110" i="15"/>
  <c r="Q175" i="15" s="1"/>
  <c r="Q239" i="15" s="1"/>
  <c r="G110" i="15"/>
  <c r="G175" i="15" s="1"/>
  <c r="G239" i="15" s="1"/>
  <c r="AD109" i="15"/>
  <c r="AD174" i="15" s="1"/>
  <c r="AD238" i="15" s="1"/>
  <c r="X109" i="15"/>
  <c r="Q109" i="15"/>
  <c r="Q174" i="15" s="1"/>
  <c r="Q238" i="15" s="1"/>
  <c r="AL108" i="15"/>
  <c r="AL173" i="15" s="1"/>
  <c r="AL237" i="15" s="1"/>
  <c r="AH108" i="15"/>
  <c r="AH173" i="15" s="1"/>
  <c r="AH237" i="15" s="1"/>
  <c r="Z108" i="15"/>
  <c r="G108" i="15"/>
  <c r="G173" i="15" s="1"/>
  <c r="AS107" i="15"/>
  <c r="AS172" i="15" s="1"/>
  <c r="AS236" i="15" s="1"/>
  <c r="X107" i="15"/>
  <c r="X172" i="15" s="1"/>
  <c r="X236" i="15" s="1"/>
  <c r="S107" i="15"/>
  <c r="S172" i="15" s="1"/>
  <c r="S236" i="15" s="1"/>
  <c r="Q107" i="15"/>
  <c r="O107" i="15"/>
  <c r="AQ106" i="15"/>
  <c r="AQ171" i="15" s="1"/>
  <c r="AQ235" i="15" s="1"/>
  <c r="AH106" i="15"/>
  <c r="AH171" i="15" s="1"/>
  <c r="AH235" i="15" s="1"/>
  <c r="X106" i="15"/>
  <c r="Q106" i="15"/>
  <c r="Q171" i="15" s="1"/>
  <c r="Q235" i="15" s="1"/>
  <c r="G106" i="15"/>
  <c r="AS105" i="15"/>
  <c r="AS170" i="15" s="1"/>
  <c r="AS234" i="15" s="1"/>
  <c r="X105" i="15"/>
  <c r="O105" i="15"/>
  <c r="E105" i="15"/>
  <c r="E170" i="15" s="1"/>
  <c r="D170" i="15" s="1"/>
  <c r="AS104" i="15"/>
  <c r="AF104" i="15"/>
  <c r="AF169" i="15" s="1"/>
  <c r="AF233" i="15" s="1"/>
  <c r="Z104" i="15"/>
  <c r="Z169" i="15" s="1"/>
  <c r="Z233" i="15" s="1"/>
  <c r="Q104" i="15"/>
  <c r="Q169" i="15" s="1"/>
  <c r="I104" i="15"/>
  <c r="I169" i="15" s="1"/>
  <c r="I233" i="15" s="1"/>
  <c r="E104" i="15"/>
  <c r="AJ103" i="15"/>
  <c r="AJ168" i="15" s="1"/>
  <c r="AJ232" i="15" s="1"/>
  <c r="AH103" i="15"/>
  <c r="AH168" i="15" s="1"/>
  <c r="AH232" i="15" s="1"/>
  <c r="AB103" i="15"/>
  <c r="AB168" i="15" s="1"/>
  <c r="AB232" i="15" s="1"/>
  <c r="X103" i="15"/>
  <c r="I103" i="15"/>
  <c r="I168" i="15" s="1"/>
  <c r="I232" i="15" s="1"/>
  <c r="G103" i="15"/>
  <c r="E103" i="15"/>
  <c r="E168" i="15" s="1"/>
  <c r="E232" i="15" s="1"/>
  <c r="D232" i="15" s="1"/>
  <c r="AW102" i="15"/>
  <c r="AW167" i="15" s="1"/>
  <c r="AU102" i="15"/>
  <c r="AU167" i="15" s="1"/>
  <c r="AS102" i="15"/>
  <c r="AS167" i="15" s="1"/>
  <c r="AS231" i="15" s="1"/>
  <c r="AQ102" i="15"/>
  <c r="AQ167" i="15" s="1"/>
  <c r="AQ231" i="15" s="1"/>
  <c r="AJ102" i="15"/>
  <c r="AF102" i="15"/>
  <c r="V102" i="15"/>
  <c r="V167" i="15" s="1"/>
  <c r="V231" i="15" s="1"/>
  <c r="Q102" i="15"/>
  <c r="Q167" i="15" s="1"/>
  <c r="Q231" i="15" s="1"/>
  <c r="I102" i="15"/>
  <c r="G102" i="15"/>
  <c r="G167" i="15" s="1"/>
  <c r="G231" i="15" s="1"/>
  <c r="E102" i="15"/>
  <c r="E167" i="15" s="1"/>
  <c r="AU101" i="15"/>
  <c r="AQ101" i="15"/>
  <c r="AH101" i="15"/>
  <c r="AH166" i="15" s="1"/>
  <c r="AH230" i="15" s="1"/>
  <c r="AD101" i="15"/>
  <c r="AD166" i="15" s="1"/>
  <c r="AD230" i="15" s="1"/>
  <c r="AB101" i="15"/>
  <c r="Z101" i="15"/>
  <c r="Z166" i="15" s="1"/>
  <c r="Z230" i="15" s="1"/>
  <c r="X101" i="15"/>
  <c r="X166" i="15" s="1"/>
  <c r="X230" i="15" s="1"/>
  <c r="S101" i="15"/>
  <c r="O101" i="15"/>
  <c r="E101" i="15"/>
  <c r="E166" i="15" s="1"/>
  <c r="AQ100" i="15"/>
  <c r="AQ165" i="15" s="1"/>
  <c r="AQ229" i="15" s="1"/>
  <c r="AH100" i="15"/>
  <c r="X100" i="15"/>
  <c r="V100" i="15"/>
  <c r="V165" i="15" s="1"/>
  <c r="V229" i="15" s="1"/>
  <c r="Q100" i="15"/>
  <c r="Q165" i="15" s="1"/>
  <c r="Q229" i="15" s="1"/>
  <c r="O100" i="15"/>
  <c r="O165" i="15" s="1"/>
  <c r="O229" i="15" s="1"/>
  <c r="G100" i="15"/>
  <c r="G165" i="15" s="1"/>
  <c r="G229" i="15" s="1"/>
  <c r="AS99" i="15"/>
  <c r="AH99" i="15"/>
  <c r="AH164" i="15" s="1"/>
  <c r="AH228" i="15" s="1"/>
  <c r="Z99" i="15"/>
  <c r="Z164" i="15" s="1"/>
  <c r="Z228" i="15" s="1"/>
  <c r="S99" i="15"/>
  <c r="S164" i="15" s="1"/>
  <c r="S228" i="15" s="1"/>
  <c r="E99" i="15"/>
  <c r="E164" i="15" s="1"/>
  <c r="AU98" i="15"/>
  <c r="AU163" i="15" s="1"/>
  <c r="AU227" i="15" s="1"/>
  <c r="AS98" i="15"/>
  <c r="AS163" i="15" s="1"/>
  <c r="AS227" i="15" s="1"/>
  <c r="AQ98" i="15"/>
  <c r="AQ163" i="15" s="1"/>
  <c r="AQ227" i="15" s="1"/>
  <c r="AL98" i="15"/>
  <c r="AL163" i="15" s="1"/>
  <c r="AL227" i="15" s="1"/>
  <c r="AH98" i="15"/>
  <c r="AH163" i="15" s="1"/>
  <c r="K98" i="15"/>
  <c r="K163" i="15" s="1"/>
  <c r="K227" i="15" s="1"/>
  <c r="G98" i="15"/>
  <c r="G163" i="15" s="1"/>
  <c r="G227" i="15" s="1"/>
  <c r="E98" i="15"/>
  <c r="E163" i="15" s="1"/>
  <c r="AS97" i="15"/>
  <c r="AS162" i="15" s="1"/>
  <c r="AS226" i="15" s="1"/>
  <c r="AJ97" i="15"/>
  <c r="AF97" i="15"/>
  <c r="Z97" i="15"/>
  <c r="Z162" i="15" s="1"/>
  <c r="Z226" i="15" s="1"/>
  <c r="O97" i="15"/>
  <c r="O162" i="15" s="1"/>
  <c r="O226" i="15" s="1"/>
  <c r="E97" i="15"/>
  <c r="AQ96" i="15"/>
  <c r="AQ161" i="15" s="1"/>
  <c r="AQ225" i="15" s="1"/>
  <c r="AF96" i="15"/>
  <c r="AF161" i="15" s="1"/>
  <c r="AF225" i="15" s="1"/>
  <c r="AB96" i="15"/>
  <c r="AB161" i="15" s="1"/>
  <c r="AB225" i="15" s="1"/>
  <c r="Q96" i="15"/>
  <c r="O96" i="15"/>
  <c r="G96" i="15"/>
  <c r="G161" i="15" s="1"/>
  <c r="G225" i="15" s="1"/>
  <c r="AS95" i="15"/>
  <c r="AQ95" i="15"/>
  <c r="AQ160" i="15" s="1"/>
  <c r="AQ224" i="15" s="1"/>
  <c r="AL95" i="15"/>
  <c r="AL160" i="15" s="1"/>
  <c r="AL224" i="15" s="1"/>
  <c r="AH95" i="15"/>
  <c r="Z95" i="15"/>
  <c r="Z160" i="15" s="1"/>
  <c r="Z224" i="15" s="1"/>
  <c r="X95" i="15"/>
  <c r="X160" i="15" s="1"/>
  <c r="Q95" i="15"/>
  <c r="Q160" i="15" s="1"/>
  <c r="Q224" i="15" s="1"/>
  <c r="G95" i="15"/>
  <c r="G160" i="15" s="1"/>
  <c r="G224" i="15" s="1"/>
  <c r="E95" i="15"/>
  <c r="E160" i="15" s="1"/>
  <c r="AF94" i="15"/>
  <c r="AF159" i="15" s="1"/>
  <c r="AF223" i="15" s="1"/>
  <c r="AB94" i="15"/>
  <c r="AB159" i="15" s="1"/>
  <c r="AB223" i="15" s="1"/>
  <c r="Z94" i="15"/>
  <c r="Z159" i="15" s="1"/>
  <c r="Z223" i="15" s="1"/>
  <c r="X94" i="15"/>
  <c r="X159" i="15" s="1"/>
  <c r="X223" i="15" s="1"/>
  <c r="AS93" i="15"/>
  <c r="AS158" i="15" s="1"/>
  <c r="AS222" i="15" s="1"/>
  <c r="AL93" i="15"/>
  <c r="AL158" i="15" s="1"/>
  <c r="AL222" i="15" s="1"/>
  <c r="AH93" i="15"/>
  <c r="AH158" i="15" s="1"/>
  <c r="O93" i="15"/>
  <c r="O158" i="15" s="1"/>
  <c r="O222" i="15" s="1"/>
  <c r="K93" i="15"/>
  <c r="I93" i="15"/>
  <c r="I158" i="15" s="1"/>
  <c r="I222" i="15" s="1"/>
  <c r="G93" i="15"/>
  <c r="G158" i="15" s="1"/>
  <c r="G222" i="15" s="1"/>
  <c r="E93" i="15"/>
  <c r="E158" i="15" s="1"/>
  <c r="AQ92" i="15"/>
  <c r="AB92" i="15"/>
  <c r="Z92" i="15"/>
  <c r="Z157" i="15" s="1"/>
  <c r="X92" i="15"/>
  <c r="X157" i="15" s="1"/>
  <c r="X221" i="15" s="1"/>
  <c r="Q92" i="15"/>
  <c r="Q157" i="15" s="1"/>
  <c r="Q221" i="15" s="1"/>
  <c r="O92" i="15"/>
  <c r="O157" i="15" s="1"/>
  <c r="O221" i="15" s="1"/>
  <c r="N74" i="15"/>
  <c r="O72" i="15"/>
  <c r="K68" i="15"/>
  <c r="J67" i="15"/>
  <c r="K58" i="15"/>
  <c r="E51" i="15"/>
  <c r="O70" i="15" s="1"/>
  <c r="Q48" i="15"/>
  <c r="BK43" i="15"/>
  <c r="AW155" i="15" s="1"/>
  <c r="BI43" i="15"/>
  <c r="BC43" i="15"/>
  <c r="AW123" i="15" s="1"/>
  <c r="AW188" i="15" s="1"/>
  <c r="AW252" i="15" s="1"/>
  <c r="BB43" i="15"/>
  <c r="AW119" i="15" s="1"/>
  <c r="AW184" i="15" s="1"/>
  <c r="AW248" i="15" s="1"/>
  <c r="AY43" i="15"/>
  <c r="AW107" i="15" s="1"/>
  <c r="AW172" i="15" s="1"/>
  <c r="AW43" i="15"/>
  <c r="AW99" i="15" s="1"/>
  <c r="AW164" i="15" s="1"/>
  <c r="AW228" i="15" s="1"/>
  <c r="AP43" i="15"/>
  <c r="AO43" i="15"/>
  <c r="BJ43" i="15" s="1"/>
  <c r="AN43" i="15"/>
  <c r="AM43" i="15"/>
  <c r="BH43" i="15" s="1"/>
  <c r="AW143" i="15" s="1"/>
  <c r="AW208" i="15" s="1"/>
  <c r="AW272" i="15" s="1"/>
  <c r="AL43" i="15"/>
  <c r="AK43" i="15"/>
  <c r="AJ43" i="15"/>
  <c r="AS131" i="15" s="1"/>
  <c r="AS196" i="15" s="1"/>
  <c r="AI43" i="15"/>
  <c r="AS127" i="15" s="1"/>
  <c r="AS192" i="15" s="1"/>
  <c r="AS256" i="15" s="1"/>
  <c r="AH43" i="15"/>
  <c r="AG43" i="15"/>
  <c r="AF43" i="15"/>
  <c r="BA43" i="15" s="1"/>
  <c r="AW115" i="15" s="1"/>
  <c r="AW180" i="15" s="1"/>
  <c r="AW244" i="15" s="1"/>
  <c r="AE43" i="15"/>
  <c r="AZ43" i="15" s="1"/>
  <c r="AW111" i="15" s="1"/>
  <c r="AW176" i="15" s="1"/>
  <c r="AW240" i="15" s="1"/>
  <c r="AD43" i="15"/>
  <c r="AC43" i="15"/>
  <c r="AB43" i="15"/>
  <c r="AA43" i="15"/>
  <c r="AV43" i="15" s="1"/>
  <c r="AW95" i="15" s="1"/>
  <c r="AW160" i="15" s="1"/>
  <c r="AW224" i="15" s="1"/>
  <c r="BJ42" i="15"/>
  <c r="AW150" i="15" s="1"/>
  <c r="AW215" i="15" s="1"/>
  <c r="AW279" i="15" s="1"/>
  <c r="BI42" i="15"/>
  <c r="AW146" i="15" s="1"/>
  <c r="AW211" i="15" s="1"/>
  <c r="AW275" i="15" s="1"/>
  <c r="BE42" i="15"/>
  <c r="AW130" i="15" s="1"/>
  <c r="AW195" i="15" s="1"/>
  <c r="AW259" i="15" s="1"/>
  <c r="BD42" i="15"/>
  <c r="AW126" i="15" s="1"/>
  <c r="AW191" i="15" s="1"/>
  <c r="AW255" i="15" s="1"/>
  <c r="BC42" i="15"/>
  <c r="AW122" i="15" s="1"/>
  <c r="AW187" i="15" s="1"/>
  <c r="AW251" i="15" s="1"/>
  <c r="AX42" i="15"/>
  <c r="AP42" i="15"/>
  <c r="BK42" i="15" s="1"/>
  <c r="AW154" i="15" s="1"/>
  <c r="AW219" i="15" s="1"/>
  <c r="AW283" i="15" s="1"/>
  <c r="AO42" i="15"/>
  <c r="AN42" i="15"/>
  <c r="AS146" i="15" s="1"/>
  <c r="AM42" i="15"/>
  <c r="AL42" i="15"/>
  <c r="AK42" i="15"/>
  <c r="BF42" i="15" s="1"/>
  <c r="AW134" i="15" s="1"/>
  <c r="AW199" i="15" s="1"/>
  <c r="AW263" i="15" s="1"/>
  <c r="AJ42" i="15"/>
  <c r="AI42" i="15"/>
  <c r="AS126" i="15" s="1"/>
  <c r="AH42" i="15"/>
  <c r="AG42" i="15"/>
  <c r="BB42" i="15" s="1"/>
  <c r="AW118" i="15" s="1"/>
  <c r="AF42" i="15"/>
  <c r="AE42" i="15"/>
  <c r="AZ42" i="15" s="1"/>
  <c r="AW110" i="15" s="1"/>
  <c r="AW175" i="15" s="1"/>
  <c r="AW239" i="15" s="1"/>
  <c r="AD42" i="15"/>
  <c r="AC42" i="15"/>
  <c r="AB42" i="15"/>
  <c r="AW42" i="15" s="1"/>
  <c r="AW98" i="15" s="1"/>
  <c r="AW163" i="15" s="1"/>
  <c r="AW227" i="15" s="1"/>
  <c r="AA42" i="15"/>
  <c r="BK41" i="15"/>
  <c r="AW153" i="15" s="1"/>
  <c r="AW218" i="15" s="1"/>
  <c r="AW282" i="15" s="1"/>
  <c r="BJ41" i="15"/>
  <c r="AW149" i="15" s="1"/>
  <c r="AW214" i="15" s="1"/>
  <c r="AW278" i="15" s="1"/>
  <c r="BI41" i="15"/>
  <c r="BF41" i="15"/>
  <c r="AW133" i="15" s="1"/>
  <c r="AW198" i="15" s="1"/>
  <c r="AW262" i="15" s="1"/>
  <c r="BE41" i="15"/>
  <c r="BD41" i="15"/>
  <c r="AW125" i="15" s="1"/>
  <c r="AZ41" i="15"/>
  <c r="AW109" i="15" s="1"/>
  <c r="AW174" i="15" s="1"/>
  <c r="AY41" i="15"/>
  <c r="AW105" i="15" s="1"/>
  <c r="AW170" i="15" s="1"/>
  <c r="AW234" i="15" s="1"/>
  <c r="AX41" i="15"/>
  <c r="AW101" i="15" s="1"/>
  <c r="AW166" i="15" s="1"/>
  <c r="AW230" i="15" s="1"/>
  <c r="AW41" i="15"/>
  <c r="AW97" i="15" s="1"/>
  <c r="AW162" i="15" s="1"/>
  <c r="AW226" i="15" s="1"/>
  <c r="AP41" i="15"/>
  <c r="AO41" i="15"/>
  <c r="AN41" i="15"/>
  <c r="AM41" i="15"/>
  <c r="AS141" i="15" s="1"/>
  <c r="AS206" i="15" s="1"/>
  <c r="AS270" i="15" s="1"/>
  <c r="AL41" i="15"/>
  <c r="AK41" i="15"/>
  <c r="AJ41" i="15"/>
  <c r="AI41" i="15"/>
  <c r="AS125" i="15" s="1"/>
  <c r="AS190" i="15" s="1"/>
  <c r="AS254" i="15" s="1"/>
  <c r="AH41" i="15"/>
  <c r="AG41" i="15"/>
  <c r="AF41" i="15"/>
  <c r="AE41" i="15"/>
  <c r="AS109" i="15" s="1"/>
  <c r="AS174" i="15" s="1"/>
  <c r="AS238" i="15" s="1"/>
  <c r="AD41" i="15"/>
  <c r="AC41" i="15"/>
  <c r="AS101" i="15" s="1"/>
  <c r="AB41" i="15"/>
  <c r="AA41" i="15"/>
  <c r="AV41" i="15" s="1"/>
  <c r="AW93" i="15" s="1"/>
  <c r="AW158" i="15" s="1"/>
  <c r="AW222" i="15" s="1"/>
  <c r="BK40" i="15"/>
  <c r="AW152" i="15" s="1"/>
  <c r="AW217" i="15" s="1"/>
  <c r="AW281" i="15" s="1"/>
  <c r="BI40" i="15"/>
  <c r="BE40" i="15"/>
  <c r="AW128" i="15" s="1"/>
  <c r="AW193" i="15" s="1"/>
  <c r="AW257" i="15" s="1"/>
  <c r="BD40" i="15"/>
  <c r="AW124" i="15" s="1"/>
  <c r="AW189" i="15" s="1"/>
  <c r="AW253" i="15" s="1"/>
  <c r="BC40" i="15"/>
  <c r="AW120" i="15" s="1"/>
  <c r="AW185" i="15" s="1"/>
  <c r="AW249" i="15" s="1"/>
  <c r="BB40" i="15"/>
  <c r="AW116" i="15" s="1"/>
  <c r="AY40" i="15"/>
  <c r="AW104" i="15" s="1"/>
  <c r="AV40" i="15"/>
  <c r="AW92" i="15" s="1"/>
  <c r="AW157" i="15" s="1"/>
  <c r="AW221" i="15" s="1"/>
  <c r="AP40" i="15"/>
  <c r="AO40" i="15"/>
  <c r="AN40" i="15"/>
  <c r="AS144" i="15" s="1"/>
  <c r="AS209" i="15" s="1"/>
  <c r="AS273" i="15" s="1"/>
  <c r="AM40" i="15"/>
  <c r="BH40" i="15" s="1"/>
  <c r="AW140" i="15" s="1"/>
  <c r="AL40" i="15"/>
  <c r="AS136" i="15" s="1"/>
  <c r="AS201" i="15" s="1"/>
  <c r="AS265" i="15" s="1"/>
  <c r="AK40" i="15"/>
  <c r="BF40" i="15" s="1"/>
  <c r="AJ40" i="15"/>
  <c r="AI40" i="15"/>
  <c r="AH40" i="15"/>
  <c r="AS120" i="15" s="1"/>
  <c r="AG40" i="15"/>
  <c r="AF40" i="15"/>
  <c r="BA40" i="15" s="1"/>
  <c r="AW112" i="15" s="1"/>
  <c r="AW177" i="15" s="1"/>
  <c r="AW241" i="15" s="1"/>
  <c r="AE40" i="15"/>
  <c r="AD40" i="15"/>
  <c r="AC40" i="15"/>
  <c r="AB40" i="15"/>
  <c r="AA40" i="15"/>
  <c r="AS92" i="15" s="1"/>
  <c r="AS157" i="15" s="1"/>
  <c r="AS221" i="15" s="1"/>
  <c r="BK39" i="15"/>
  <c r="BJ39" i="15"/>
  <c r="AL151" i="15" s="1"/>
  <c r="AL216" i="15" s="1"/>
  <c r="AL280" i="15" s="1"/>
  <c r="BI39" i="15"/>
  <c r="BH39" i="15"/>
  <c r="AL143" i="15" s="1"/>
  <c r="AL208" i="15" s="1"/>
  <c r="AL272" i="15" s="1"/>
  <c r="BC39" i="15"/>
  <c r="AL123" i="15" s="1"/>
  <c r="AL188" i="15" s="1"/>
  <c r="AL252" i="15" s="1"/>
  <c r="AZ39" i="15"/>
  <c r="AL111" i="15" s="1"/>
  <c r="AL176" i="15" s="1"/>
  <c r="AL240" i="15" s="1"/>
  <c r="AY39" i="15"/>
  <c r="AL107" i="15" s="1"/>
  <c r="AL172" i="15" s="1"/>
  <c r="AL236" i="15" s="1"/>
  <c r="AX39" i="15"/>
  <c r="AL103" i="15" s="1"/>
  <c r="AL168" i="15" s="1"/>
  <c r="AL232" i="15" s="1"/>
  <c r="AW39" i="15"/>
  <c r="AL99" i="15" s="1"/>
  <c r="AL164" i="15" s="1"/>
  <c r="AL228" i="15" s="1"/>
  <c r="AV39" i="15"/>
  <c r="AP39" i="15"/>
  <c r="AO39" i="15"/>
  <c r="AN39" i="15"/>
  <c r="AM39" i="15"/>
  <c r="AL39" i="15"/>
  <c r="AH139" i="15" s="1"/>
  <c r="AH204" i="15" s="1"/>
  <c r="AH268" i="15" s="1"/>
  <c r="AK39" i="15"/>
  <c r="BF39" i="15" s="1"/>
  <c r="AJ39" i="15"/>
  <c r="BE39" i="15" s="1"/>
  <c r="AL131" i="15" s="1"/>
  <c r="AL196" i="15" s="1"/>
  <c r="AL260" i="15" s="1"/>
  <c r="AI39" i="15"/>
  <c r="AH39" i="15"/>
  <c r="AH123" i="15" s="1"/>
  <c r="AH188" i="15" s="1"/>
  <c r="AH252" i="15" s="1"/>
  <c r="AG39" i="15"/>
  <c r="AF39" i="15"/>
  <c r="BA39" i="15" s="1"/>
  <c r="AL115" i="15" s="1"/>
  <c r="AL180" i="15" s="1"/>
  <c r="AL244" i="15" s="1"/>
  <c r="AE39" i="15"/>
  <c r="AH111" i="15" s="1"/>
  <c r="AH176" i="15" s="1"/>
  <c r="AH240" i="15" s="1"/>
  <c r="AD39" i="15"/>
  <c r="AH107" i="15" s="1"/>
  <c r="AH172" i="15" s="1"/>
  <c r="AH236" i="15" s="1"/>
  <c r="AC39" i="15"/>
  <c r="AB39" i="15"/>
  <c r="AA39" i="15"/>
  <c r="BI38" i="15"/>
  <c r="AL146" i="15" s="1"/>
  <c r="AL211" i="15" s="1"/>
  <c r="AL275" i="15" s="1"/>
  <c r="BH38" i="15"/>
  <c r="AL142" i="15" s="1"/>
  <c r="AL207" i="15" s="1"/>
  <c r="AL271" i="15" s="1"/>
  <c r="BG38" i="15"/>
  <c r="BF38" i="15"/>
  <c r="AL134" i="15" s="1"/>
  <c r="AL199" i="15" s="1"/>
  <c r="AL263" i="15" s="1"/>
  <c r="BD38" i="15"/>
  <c r="AL126" i="15" s="1"/>
  <c r="AL191" i="15" s="1"/>
  <c r="AL255" i="15" s="1"/>
  <c r="BC38" i="15"/>
  <c r="AL122" i="15" s="1"/>
  <c r="AL187" i="15" s="1"/>
  <c r="AL251" i="15" s="1"/>
  <c r="BA38" i="15"/>
  <c r="AL114" i="15" s="1"/>
  <c r="AL179" i="15" s="1"/>
  <c r="AL243" i="15" s="1"/>
  <c r="AP38" i="15"/>
  <c r="AO38" i="15"/>
  <c r="BJ38" i="15" s="1"/>
  <c r="AL150" i="15" s="1"/>
  <c r="AL215" i="15" s="1"/>
  <c r="AL279" i="15" s="1"/>
  <c r="AN38" i="15"/>
  <c r="AM38" i="15"/>
  <c r="AH142" i="15" s="1"/>
  <c r="AH207" i="15" s="1"/>
  <c r="AH271" i="15" s="1"/>
  <c r="AL38" i="15"/>
  <c r="AH138" i="15" s="1"/>
  <c r="AH203" i="15" s="1"/>
  <c r="AH267" i="15" s="1"/>
  <c r="AK38" i="15"/>
  <c r="AJ38" i="15"/>
  <c r="AI38" i="15"/>
  <c r="AH38" i="15"/>
  <c r="AG38" i="15"/>
  <c r="BB38" i="15" s="1"/>
  <c r="AL118" i="15" s="1"/>
  <c r="AF38" i="15"/>
  <c r="AE38" i="15"/>
  <c r="AZ38" i="15" s="1"/>
  <c r="AL110" i="15" s="1"/>
  <c r="AL175" i="15" s="1"/>
  <c r="AL239" i="15" s="1"/>
  <c r="AD38" i="15"/>
  <c r="AY38" i="15" s="1"/>
  <c r="AL106" i="15" s="1"/>
  <c r="AL171" i="15" s="1"/>
  <c r="AL235" i="15" s="1"/>
  <c r="AC38" i="15"/>
  <c r="AB38" i="15"/>
  <c r="AW38" i="15" s="1"/>
  <c r="AA38" i="15"/>
  <c r="BK37" i="15"/>
  <c r="AL153" i="15" s="1"/>
  <c r="AL218" i="15" s="1"/>
  <c r="BI37" i="15"/>
  <c r="AL145" i="15" s="1"/>
  <c r="AL210" i="15" s="1"/>
  <c r="AL274" i="15" s="1"/>
  <c r="BH37" i="15"/>
  <c r="AL141" i="15" s="1"/>
  <c r="AL206" i="15" s="1"/>
  <c r="AL270" i="15" s="1"/>
  <c r="BG37" i="15"/>
  <c r="BF37" i="15"/>
  <c r="AL133" i="15" s="1"/>
  <c r="BB37" i="15"/>
  <c r="BA37" i="15"/>
  <c r="AL113" i="15" s="1"/>
  <c r="AL178" i="15" s="1"/>
  <c r="AL242" i="15" s="1"/>
  <c r="AW37" i="15"/>
  <c r="AL97" i="15" s="1"/>
  <c r="AL162" i="15" s="1"/>
  <c r="AL226" i="15" s="1"/>
  <c r="AV37" i="15"/>
  <c r="AP37" i="15"/>
  <c r="AH153" i="15" s="1"/>
  <c r="AH218" i="15" s="1"/>
  <c r="AH282" i="15" s="1"/>
  <c r="AO37" i="15"/>
  <c r="AN37" i="15"/>
  <c r="AM37" i="15"/>
  <c r="AL37" i="15"/>
  <c r="AK37" i="15"/>
  <c r="AJ37" i="15"/>
  <c r="BE37" i="15" s="1"/>
  <c r="AL129" i="15" s="1"/>
  <c r="AL194" i="15" s="1"/>
  <c r="AL258" i="15" s="1"/>
  <c r="AI37" i="15"/>
  <c r="BD37" i="15" s="1"/>
  <c r="AL125" i="15" s="1"/>
  <c r="AL190" i="15" s="1"/>
  <c r="AL254" i="15" s="1"/>
  <c r="AH37" i="15"/>
  <c r="BC37" i="15" s="1"/>
  <c r="AL121" i="15" s="1"/>
  <c r="AL186" i="15" s="1"/>
  <c r="AL250" i="15" s="1"/>
  <c r="AG37" i="15"/>
  <c r="AF37" i="15"/>
  <c r="AH113" i="15" s="1"/>
  <c r="AH178" i="15" s="1"/>
  <c r="AE37" i="15"/>
  <c r="AH109" i="15" s="1"/>
  <c r="AD37" i="15"/>
  <c r="AY37" i="15" s="1"/>
  <c r="AL105" i="15" s="1"/>
  <c r="AL170" i="15" s="1"/>
  <c r="AL234" i="15" s="1"/>
  <c r="AC37" i="15"/>
  <c r="AX37" i="15" s="1"/>
  <c r="AL101" i="15" s="1"/>
  <c r="AL166" i="15" s="1"/>
  <c r="AB37" i="15"/>
  <c r="AH97" i="15" s="1"/>
  <c r="AH162" i="15" s="1"/>
  <c r="AH226" i="15" s="1"/>
  <c r="AA37" i="15"/>
  <c r="BJ36" i="15"/>
  <c r="AL148" i="15" s="1"/>
  <c r="BG36" i="15"/>
  <c r="AL136" i="15" s="1"/>
  <c r="AL201" i="15" s="1"/>
  <c r="BD36" i="15"/>
  <c r="AL124" i="15" s="1"/>
  <c r="AL189" i="15" s="1"/>
  <c r="AL253" i="15" s="1"/>
  <c r="BC36" i="15"/>
  <c r="BB36" i="15"/>
  <c r="AL116" i="15" s="1"/>
  <c r="AL181" i="15" s="1"/>
  <c r="BA36" i="15"/>
  <c r="AL112" i="15" s="1"/>
  <c r="AL177" i="15" s="1"/>
  <c r="AZ36" i="15"/>
  <c r="AX36" i="15"/>
  <c r="AL100" i="15" s="1"/>
  <c r="AP36" i="15"/>
  <c r="BK36" i="15" s="1"/>
  <c r="AO36" i="15"/>
  <c r="AN36" i="15"/>
  <c r="AM36" i="15"/>
  <c r="AL36" i="15"/>
  <c r="AK36" i="15"/>
  <c r="AJ36" i="15"/>
  <c r="BE36" i="15" s="1"/>
  <c r="AL128" i="15" s="1"/>
  <c r="AL193" i="15" s="1"/>
  <c r="AL257" i="15" s="1"/>
  <c r="AI36" i="15"/>
  <c r="AH124" i="15" s="1"/>
  <c r="AH189" i="15" s="1"/>
  <c r="AH253" i="15" s="1"/>
  <c r="AH36" i="15"/>
  <c r="AG36" i="15"/>
  <c r="AF36" i="15"/>
  <c r="AH112" i="15" s="1"/>
  <c r="AE36" i="15"/>
  <c r="AD36" i="15"/>
  <c r="AY36" i="15" s="1"/>
  <c r="AL104" i="15" s="1"/>
  <c r="AL169" i="15" s="1"/>
  <c r="AL233" i="15" s="1"/>
  <c r="AC36" i="15"/>
  <c r="AB36" i="15"/>
  <c r="AA36" i="15"/>
  <c r="BJ35" i="15"/>
  <c r="AD151" i="15" s="1"/>
  <c r="AD216" i="15" s="1"/>
  <c r="AD280" i="15" s="1"/>
  <c r="BI35" i="15"/>
  <c r="AD147" i="15" s="1"/>
  <c r="BH35" i="15"/>
  <c r="BG35" i="15"/>
  <c r="BF35" i="15"/>
  <c r="AD135" i="15" s="1"/>
  <c r="AX35" i="15"/>
  <c r="AD103" i="15" s="1"/>
  <c r="AD168" i="15" s="1"/>
  <c r="AD232" i="15" s="1"/>
  <c r="AW35" i="15"/>
  <c r="AD99" i="15" s="1"/>
  <c r="AD164" i="15" s="1"/>
  <c r="AD228" i="15" s="1"/>
  <c r="AV35" i="15"/>
  <c r="AD95" i="15" s="1"/>
  <c r="AD160" i="15" s="1"/>
  <c r="AD224" i="15" s="1"/>
  <c r="AP35" i="15"/>
  <c r="AO35" i="15"/>
  <c r="AN35" i="15"/>
  <c r="AM35" i="15"/>
  <c r="AL35" i="15"/>
  <c r="AK35" i="15"/>
  <c r="AJ35" i="15"/>
  <c r="BE35" i="15" s="1"/>
  <c r="AD131" i="15" s="1"/>
  <c r="AD196" i="15" s="1"/>
  <c r="AD260" i="15" s="1"/>
  <c r="AI35" i="15"/>
  <c r="AH35" i="15"/>
  <c r="AG35" i="15"/>
  <c r="BB35" i="15" s="1"/>
  <c r="AD119" i="15" s="1"/>
  <c r="AF35" i="15"/>
  <c r="AE35" i="15"/>
  <c r="AZ35" i="15" s="1"/>
  <c r="AD111" i="15" s="1"/>
  <c r="AD176" i="15" s="1"/>
  <c r="AD240" i="15" s="1"/>
  <c r="AD35" i="15"/>
  <c r="AC35" i="15"/>
  <c r="Z103" i="15" s="1"/>
  <c r="Z168" i="15" s="1"/>
  <c r="Z232" i="15" s="1"/>
  <c r="AB35" i="15"/>
  <c r="AA35" i="15"/>
  <c r="BH34" i="15"/>
  <c r="AD142" i="15" s="1"/>
  <c r="BG34" i="15"/>
  <c r="AD138" i="15" s="1"/>
  <c r="AD203" i="15" s="1"/>
  <c r="BE34" i="15"/>
  <c r="AD130" i="15" s="1"/>
  <c r="AD195" i="15" s="1"/>
  <c r="AD259" i="15" s="1"/>
  <c r="BC34" i="15"/>
  <c r="AD122" i="15" s="1"/>
  <c r="AD187" i="15" s="1"/>
  <c r="AD251" i="15" s="1"/>
  <c r="BB34" i="15"/>
  <c r="AD118" i="15" s="1"/>
  <c r="AD183" i="15" s="1"/>
  <c r="AD247" i="15" s="1"/>
  <c r="BA34" i="15"/>
  <c r="AD114" i="15" s="1"/>
  <c r="AP34" i="15"/>
  <c r="BK34" i="15" s="1"/>
  <c r="AD154" i="15" s="1"/>
  <c r="AD219" i="15" s="1"/>
  <c r="AD283" i="15" s="1"/>
  <c r="AO34" i="15"/>
  <c r="AN34" i="15"/>
  <c r="AM34" i="15"/>
  <c r="Z142" i="15" s="1"/>
  <c r="Z207" i="15" s="1"/>
  <c r="Z271" i="15" s="1"/>
  <c r="AL34" i="15"/>
  <c r="Z138" i="15" s="1"/>
  <c r="Z203" i="15" s="1"/>
  <c r="Z267" i="15" s="1"/>
  <c r="AK34" i="15"/>
  <c r="BF34" i="15" s="1"/>
  <c r="AD134" i="15" s="1"/>
  <c r="AD199" i="15" s="1"/>
  <c r="AD263" i="15" s="1"/>
  <c r="AJ34" i="15"/>
  <c r="Z130" i="15" s="1"/>
  <c r="AI34" i="15"/>
  <c r="AH34" i="15"/>
  <c r="AG34" i="15"/>
  <c r="AF34" i="15"/>
  <c r="AE34" i="15"/>
  <c r="AZ34" i="15" s="1"/>
  <c r="AD34" i="15"/>
  <c r="Z106" i="15" s="1"/>
  <c r="Z171" i="15" s="1"/>
  <c r="Z235" i="15" s="1"/>
  <c r="AC34" i="15"/>
  <c r="AB34" i="15"/>
  <c r="AA34" i="15"/>
  <c r="AV34" i="15" s="1"/>
  <c r="AD94" i="15" s="1"/>
  <c r="AD159" i="15" s="1"/>
  <c r="AD223" i="15" s="1"/>
  <c r="BJ33" i="15"/>
  <c r="AD149" i="15" s="1"/>
  <c r="AD214" i="15" s="1"/>
  <c r="AD278" i="15" s="1"/>
  <c r="BI33" i="15"/>
  <c r="BH33" i="15"/>
  <c r="AD141" i="15" s="1"/>
  <c r="AD206" i="15" s="1"/>
  <c r="AD270" i="15" s="1"/>
  <c r="AZ33" i="15"/>
  <c r="AX33" i="15"/>
  <c r="AW33" i="15"/>
  <c r="AD97" i="15" s="1"/>
  <c r="AD162" i="15" s="1"/>
  <c r="AD226" i="15" s="1"/>
  <c r="AV33" i="15"/>
  <c r="AD93" i="15" s="1"/>
  <c r="AD158" i="15" s="1"/>
  <c r="AD222" i="15" s="1"/>
  <c r="AP33" i="15"/>
  <c r="AO33" i="15"/>
  <c r="AN33" i="15"/>
  <c r="Z145" i="15" s="1"/>
  <c r="Z210" i="15" s="1"/>
  <c r="Z274" i="15" s="1"/>
  <c r="AM33" i="15"/>
  <c r="AL33" i="15"/>
  <c r="BG33" i="15" s="1"/>
  <c r="AD137" i="15" s="1"/>
  <c r="AD202" i="15" s="1"/>
  <c r="AD266" i="15" s="1"/>
  <c r="AK33" i="15"/>
  <c r="BF33" i="15" s="1"/>
  <c r="AJ33" i="15"/>
  <c r="BE33" i="15" s="1"/>
  <c r="AD129" i="15" s="1"/>
  <c r="AD194" i="15" s="1"/>
  <c r="AD258" i="15" s="1"/>
  <c r="AI33" i="15"/>
  <c r="AH33" i="15"/>
  <c r="AG33" i="15"/>
  <c r="AF33" i="15"/>
  <c r="AE33" i="15"/>
  <c r="Z109" i="15" s="1"/>
  <c r="Z174" i="15" s="1"/>
  <c r="Z238" i="15" s="1"/>
  <c r="AD33" i="15"/>
  <c r="Z105" i="15" s="1"/>
  <c r="Z170" i="15" s="1"/>
  <c r="Z234" i="15" s="1"/>
  <c r="AC33" i="15"/>
  <c r="AB33" i="15"/>
  <c r="AA33" i="15"/>
  <c r="Z93" i="15" s="1"/>
  <c r="Z158" i="15" s="1"/>
  <c r="Z222" i="15" s="1"/>
  <c r="BH32" i="15"/>
  <c r="AD140" i="15" s="1"/>
  <c r="AD205" i="15" s="1"/>
  <c r="AD269" i="15" s="1"/>
  <c r="BF32" i="15"/>
  <c r="AD132" i="15" s="1"/>
  <c r="AD197" i="15" s="1"/>
  <c r="AD261" i="15" s="1"/>
  <c r="BE32" i="15"/>
  <c r="AD128" i="15" s="1"/>
  <c r="AD193" i="15" s="1"/>
  <c r="AD257" i="15" s="1"/>
  <c r="BC32" i="15"/>
  <c r="AD120" i="15" s="1"/>
  <c r="AD185" i="15" s="1"/>
  <c r="AD249" i="15" s="1"/>
  <c r="AZ32" i="15"/>
  <c r="AD108" i="15" s="1"/>
  <c r="AD173" i="15" s="1"/>
  <c r="AP32" i="15"/>
  <c r="BK32" i="15" s="1"/>
  <c r="AD152" i="15" s="1"/>
  <c r="AD217" i="15" s="1"/>
  <c r="AD281" i="15" s="1"/>
  <c r="AO32" i="15"/>
  <c r="AN32" i="15"/>
  <c r="BI32" i="15" s="1"/>
  <c r="AD144" i="15" s="1"/>
  <c r="AD209" i="15" s="1"/>
  <c r="AD273" i="15" s="1"/>
  <c r="AM32" i="15"/>
  <c r="Z140" i="15" s="1"/>
  <c r="Z205" i="15" s="1"/>
  <c r="Z269" i="15" s="1"/>
  <c r="AL32" i="15"/>
  <c r="Z136" i="15" s="1"/>
  <c r="Z201" i="15" s="1"/>
  <c r="Z265" i="15" s="1"/>
  <c r="AK32" i="15"/>
  <c r="AJ32" i="15"/>
  <c r="AI32" i="15"/>
  <c r="Z124" i="15" s="1"/>
  <c r="Z189" i="15" s="1"/>
  <c r="Z253" i="15" s="1"/>
  <c r="AH32" i="15"/>
  <c r="Z120" i="15" s="1"/>
  <c r="Z185" i="15" s="1"/>
  <c r="Z249" i="15" s="1"/>
  <c r="AG32" i="15"/>
  <c r="BB32" i="15" s="1"/>
  <c r="AF32" i="15"/>
  <c r="BA32" i="15" s="1"/>
  <c r="AD112" i="15" s="1"/>
  <c r="AD177" i="15" s="1"/>
  <c r="AD241" i="15" s="1"/>
  <c r="AE32" i="15"/>
  <c r="AD32" i="15"/>
  <c r="AY32" i="15" s="1"/>
  <c r="AD104" i="15" s="1"/>
  <c r="AC32" i="15"/>
  <c r="AB32" i="15"/>
  <c r="AW32" i="15" s="1"/>
  <c r="AD96" i="15" s="1"/>
  <c r="AD161" i="15" s="1"/>
  <c r="AA32" i="15"/>
  <c r="AV32" i="15" s="1"/>
  <c r="AD92" i="15" s="1"/>
  <c r="AD157" i="15" s="1"/>
  <c r="AD221" i="15" s="1"/>
  <c r="BK31" i="15"/>
  <c r="V155" i="15" s="1"/>
  <c r="BI31" i="15"/>
  <c r="V147" i="15" s="1"/>
  <c r="V212" i="15" s="1"/>
  <c r="V276" i="15" s="1"/>
  <c r="BG31" i="15"/>
  <c r="BF31" i="15"/>
  <c r="V135" i="15" s="1"/>
  <c r="V200" i="15" s="1"/>
  <c r="V264" i="15" s="1"/>
  <c r="BE31" i="15"/>
  <c r="V131" i="15" s="1"/>
  <c r="V196" i="15" s="1"/>
  <c r="V260" i="15" s="1"/>
  <c r="BB31" i="15"/>
  <c r="V119" i="15" s="1"/>
  <c r="AZ31" i="15"/>
  <c r="V111" i="15" s="1"/>
  <c r="V176" i="15" s="1"/>
  <c r="V240" i="15" s="1"/>
  <c r="AY31" i="15"/>
  <c r="V107" i="15" s="1"/>
  <c r="V172" i="15" s="1"/>
  <c r="V236" i="15" s="1"/>
  <c r="AW31" i="15"/>
  <c r="V99" i="15" s="1"/>
  <c r="V164" i="15" s="1"/>
  <c r="V228" i="15" s="1"/>
  <c r="AV31" i="15"/>
  <c r="V95" i="15" s="1"/>
  <c r="V160" i="15" s="1"/>
  <c r="V224" i="15" s="1"/>
  <c r="AP31" i="15"/>
  <c r="AO31" i="15"/>
  <c r="AN31" i="15"/>
  <c r="AM31" i="15"/>
  <c r="BH31" i="15" s="1"/>
  <c r="V143" i="15" s="1"/>
  <c r="AL31" i="15"/>
  <c r="AK31" i="15"/>
  <c r="Q135" i="15" s="1"/>
  <c r="Q200" i="15" s="1"/>
  <c r="Q264" i="15" s="1"/>
  <c r="AJ31" i="15"/>
  <c r="AI31" i="15"/>
  <c r="BD31" i="15" s="1"/>
  <c r="V127" i="15" s="1"/>
  <c r="V192" i="15" s="1"/>
  <c r="V256" i="15" s="1"/>
  <c r="AH31" i="15"/>
  <c r="AG31" i="15"/>
  <c r="AF31" i="15"/>
  <c r="AE31" i="15"/>
  <c r="Q111" i="15" s="1"/>
  <c r="Q176" i="15" s="1"/>
  <c r="Q240" i="15" s="1"/>
  <c r="AD31" i="15"/>
  <c r="AC31" i="15"/>
  <c r="AB31" i="15"/>
  <c r="Q99" i="15" s="1"/>
  <c r="Q164" i="15" s="1"/>
  <c r="AA31" i="15"/>
  <c r="BK30" i="15"/>
  <c r="BJ30" i="15"/>
  <c r="V150" i="15" s="1"/>
  <c r="V215" i="15" s="1"/>
  <c r="V279" i="15" s="1"/>
  <c r="BE30" i="15"/>
  <c r="V130" i="15" s="1"/>
  <c r="V195" i="15" s="1"/>
  <c r="V259" i="15" s="1"/>
  <c r="BA30" i="15"/>
  <c r="AZ30" i="15"/>
  <c r="V110" i="15" s="1"/>
  <c r="V175" i="15" s="1"/>
  <c r="V239" i="15" s="1"/>
  <c r="AY30" i="15"/>
  <c r="V106" i="15" s="1"/>
  <c r="V171" i="15" s="1"/>
  <c r="V235" i="15" s="1"/>
  <c r="AX30" i="15"/>
  <c r="AP30" i="15"/>
  <c r="Q154" i="15" s="1"/>
  <c r="AO30" i="15"/>
  <c r="AN30" i="15"/>
  <c r="BI30" i="15" s="1"/>
  <c r="V146" i="15" s="1"/>
  <c r="V211" i="15" s="1"/>
  <c r="V275" i="15" s="1"/>
  <c r="AM30" i="15"/>
  <c r="AL30" i="15"/>
  <c r="AK30" i="15"/>
  <c r="BF30" i="15" s="1"/>
  <c r="V134" i="15" s="1"/>
  <c r="AJ30" i="15"/>
  <c r="Q130" i="15" s="1"/>
  <c r="Q195" i="15" s="1"/>
  <c r="Q259" i="15" s="1"/>
  <c r="AI30" i="15"/>
  <c r="Q126" i="15" s="1"/>
  <c r="Q191" i="15" s="1"/>
  <c r="Q255" i="15" s="1"/>
  <c r="AH30" i="15"/>
  <c r="BC30" i="15" s="1"/>
  <c r="V122" i="15" s="1"/>
  <c r="AG30" i="15"/>
  <c r="AF30" i="15"/>
  <c r="AE30" i="15"/>
  <c r="AD30" i="15"/>
  <c r="AC30" i="15"/>
  <c r="AB30" i="15"/>
  <c r="AA30" i="15"/>
  <c r="BK29" i="15"/>
  <c r="V153" i="15" s="1"/>
  <c r="V218" i="15" s="1"/>
  <c r="V282" i="15" s="1"/>
  <c r="BI29" i="15"/>
  <c r="V145" i="15" s="1"/>
  <c r="V210" i="15" s="1"/>
  <c r="V274" i="15" s="1"/>
  <c r="BG29" i="15"/>
  <c r="V137" i="15" s="1"/>
  <c r="BF29" i="15"/>
  <c r="V133" i="15" s="1"/>
  <c r="V198" i="15" s="1"/>
  <c r="V262" i="15" s="1"/>
  <c r="BE29" i="15"/>
  <c r="V129" i="15" s="1"/>
  <c r="V194" i="15" s="1"/>
  <c r="V258" i="15" s="1"/>
  <c r="BD29" i="15"/>
  <c r="V125" i="15" s="1"/>
  <c r="BA29" i="15"/>
  <c r="V113" i="15" s="1"/>
  <c r="AP29" i="15"/>
  <c r="Q153" i="15" s="1"/>
  <c r="Q218" i="15" s="1"/>
  <c r="Q282" i="15" s="1"/>
  <c r="AO29" i="15"/>
  <c r="BJ29" i="15" s="1"/>
  <c r="V149" i="15" s="1"/>
  <c r="V214" i="15" s="1"/>
  <c r="V278" i="15" s="1"/>
  <c r="AN29" i="15"/>
  <c r="Q145" i="15" s="1"/>
  <c r="Q210" i="15" s="1"/>
  <c r="Q274" i="15" s="1"/>
  <c r="AM29" i="15"/>
  <c r="AL29" i="15"/>
  <c r="AK29" i="15"/>
  <c r="AJ29" i="15"/>
  <c r="AI29" i="15"/>
  <c r="AH29" i="15"/>
  <c r="Q121" i="15" s="1"/>
  <c r="Q186" i="15" s="1"/>
  <c r="Q250" i="15" s="1"/>
  <c r="AG29" i="15"/>
  <c r="BB29" i="15" s="1"/>
  <c r="V117" i="15" s="1"/>
  <c r="V182" i="15" s="1"/>
  <c r="V246" i="15" s="1"/>
  <c r="AF29" i="15"/>
  <c r="AE29" i="15"/>
  <c r="AZ29" i="15" s="1"/>
  <c r="V109" i="15" s="1"/>
  <c r="V174" i="15" s="1"/>
  <c r="V238" i="15" s="1"/>
  <c r="AD29" i="15"/>
  <c r="AC29" i="15"/>
  <c r="AB29" i="15"/>
  <c r="AA29" i="15"/>
  <c r="BK28" i="15"/>
  <c r="V152" i="15" s="1"/>
  <c r="BI28" i="15"/>
  <c r="BG28" i="15"/>
  <c r="BE28" i="15"/>
  <c r="V128" i="15" s="1"/>
  <c r="V193" i="15" s="1"/>
  <c r="V257" i="15" s="1"/>
  <c r="BB28" i="15"/>
  <c r="V116" i="15" s="1"/>
  <c r="V181" i="15" s="1"/>
  <c r="V245" i="15" s="1"/>
  <c r="AZ28" i="15"/>
  <c r="V108" i="15" s="1"/>
  <c r="V173" i="15" s="1"/>
  <c r="V237" i="15" s="1"/>
  <c r="AY28" i="15"/>
  <c r="V104" i="15" s="1"/>
  <c r="V169" i="15" s="1"/>
  <c r="V233" i="15" s="1"/>
  <c r="AW28" i="15"/>
  <c r="V96" i="15" s="1"/>
  <c r="V161" i="15" s="1"/>
  <c r="V225" i="15" s="1"/>
  <c r="AP28" i="15"/>
  <c r="Q152" i="15" s="1"/>
  <c r="Q217" i="15" s="1"/>
  <c r="Q281" i="15" s="1"/>
  <c r="AO28" i="15"/>
  <c r="BJ28" i="15" s="1"/>
  <c r="V148" i="15" s="1"/>
  <c r="V213" i="15" s="1"/>
  <c r="V277" i="15" s="1"/>
  <c r="AN28" i="15"/>
  <c r="AM28" i="15"/>
  <c r="BH28" i="15" s="1"/>
  <c r="V140" i="15" s="1"/>
  <c r="V205" i="15" s="1"/>
  <c r="V269" i="15" s="1"/>
  <c r="AL28" i="15"/>
  <c r="AK28" i="15"/>
  <c r="BF28" i="15" s="1"/>
  <c r="V132" i="15" s="1"/>
  <c r="V197" i="15" s="1"/>
  <c r="V261" i="15" s="1"/>
  <c r="AJ28" i="15"/>
  <c r="Q128" i="15" s="1"/>
  <c r="Q193" i="15" s="1"/>
  <c r="Q257" i="15" s="1"/>
  <c r="AI28" i="15"/>
  <c r="BD28" i="15" s="1"/>
  <c r="V124" i="15" s="1"/>
  <c r="V189" i="15" s="1"/>
  <c r="AH28" i="15"/>
  <c r="AG28" i="15"/>
  <c r="AF28" i="15"/>
  <c r="AE28" i="15"/>
  <c r="Q108" i="15" s="1"/>
  <c r="Q173" i="15" s="1"/>
  <c r="Q237" i="15" s="1"/>
  <c r="AD28" i="15"/>
  <c r="AC28" i="15"/>
  <c r="AX28" i="15" s="1"/>
  <c r="AB28" i="15"/>
  <c r="AA28" i="15"/>
  <c r="AV28" i="15" s="1"/>
  <c r="V92" i="15" s="1"/>
  <c r="V157" i="15" s="1"/>
  <c r="V221" i="15" s="1"/>
  <c r="BJ27" i="15"/>
  <c r="K151" i="15" s="1"/>
  <c r="K216" i="15" s="1"/>
  <c r="K280" i="15" s="1"/>
  <c r="BE27" i="15"/>
  <c r="K131" i="15" s="1"/>
  <c r="K196" i="15" s="1"/>
  <c r="K260" i="15" s="1"/>
  <c r="BD27" i="15"/>
  <c r="K127" i="15" s="1"/>
  <c r="BC27" i="15"/>
  <c r="K123" i="15" s="1"/>
  <c r="K188" i="15" s="1"/>
  <c r="K252" i="15" s="1"/>
  <c r="BB27" i="15"/>
  <c r="AX27" i="15"/>
  <c r="K103" i="15" s="1"/>
  <c r="AV27" i="15"/>
  <c r="K95" i="15" s="1"/>
  <c r="K160" i="15" s="1"/>
  <c r="K224" i="15" s="1"/>
  <c r="AP27" i="15"/>
  <c r="AO27" i="15"/>
  <c r="AN27" i="15"/>
  <c r="AM27" i="15"/>
  <c r="G143" i="15" s="1"/>
  <c r="G208" i="15" s="1"/>
  <c r="G272" i="15" s="1"/>
  <c r="AL27" i="15"/>
  <c r="G139" i="15" s="1"/>
  <c r="G204" i="15" s="1"/>
  <c r="G268" i="15" s="1"/>
  <c r="AK27" i="15"/>
  <c r="BF27" i="15" s="1"/>
  <c r="AJ27" i="15"/>
  <c r="G131" i="15" s="1"/>
  <c r="G196" i="15" s="1"/>
  <c r="G260" i="15" s="1"/>
  <c r="AI27" i="15"/>
  <c r="AH27" i="15"/>
  <c r="AG27" i="15"/>
  <c r="AF27" i="15"/>
  <c r="AE27" i="15"/>
  <c r="AD27" i="15"/>
  <c r="AC27" i="15"/>
  <c r="AB27" i="15"/>
  <c r="AA27" i="15"/>
  <c r="BK26" i="15"/>
  <c r="K154" i="15" s="1"/>
  <c r="K219" i="15" s="1"/>
  <c r="K283" i="15" s="1"/>
  <c r="BJ26" i="15"/>
  <c r="BI26" i="15"/>
  <c r="K146" i="15" s="1"/>
  <c r="K211" i="15" s="1"/>
  <c r="K275" i="15" s="1"/>
  <c r="BF26" i="15"/>
  <c r="BD26" i="15"/>
  <c r="K126" i="15" s="1"/>
  <c r="K191" i="15" s="1"/>
  <c r="K255" i="15" s="1"/>
  <c r="BC26" i="15"/>
  <c r="K122" i="15" s="1"/>
  <c r="K187" i="15" s="1"/>
  <c r="K251" i="15" s="1"/>
  <c r="BA26" i="15"/>
  <c r="K114" i="15" s="1"/>
  <c r="K179" i="15" s="1"/>
  <c r="K243" i="15" s="1"/>
  <c r="AZ26" i="15"/>
  <c r="K110" i="15" s="1"/>
  <c r="K175" i="15" s="1"/>
  <c r="K239" i="15" s="1"/>
  <c r="AY26" i="15"/>
  <c r="K106" i="15" s="1"/>
  <c r="K171" i="15" s="1"/>
  <c r="AX26" i="15"/>
  <c r="K102" i="15" s="1"/>
  <c r="K167" i="15" s="1"/>
  <c r="K231" i="15" s="1"/>
  <c r="AW26" i="15"/>
  <c r="AP26" i="15"/>
  <c r="G154" i="15" s="1"/>
  <c r="AO26" i="15"/>
  <c r="AN26" i="15"/>
  <c r="AM26" i="15"/>
  <c r="AL26" i="15"/>
  <c r="BG26" i="15" s="1"/>
  <c r="K138" i="15" s="1"/>
  <c r="K203" i="15" s="1"/>
  <c r="K267" i="15" s="1"/>
  <c r="AK26" i="15"/>
  <c r="AJ26" i="15"/>
  <c r="AI26" i="15"/>
  <c r="G126" i="15" s="1"/>
  <c r="G191" i="15" s="1"/>
  <c r="G255" i="15" s="1"/>
  <c r="AH26" i="15"/>
  <c r="G122" i="15" s="1"/>
  <c r="G187" i="15" s="1"/>
  <c r="G251" i="15" s="1"/>
  <c r="AG26" i="15"/>
  <c r="AF26" i="15"/>
  <c r="G114" i="15" s="1"/>
  <c r="G179" i="15" s="1"/>
  <c r="G243" i="15" s="1"/>
  <c r="AE26" i="15"/>
  <c r="AD26" i="15"/>
  <c r="AC26" i="15"/>
  <c r="AB26" i="15"/>
  <c r="AA26" i="15"/>
  <c r="BK25" i="15"/>
  <c r="K153" i="15" s="1"/>
  <c r="K218" i="15" s="1"/>
  <c r="K282" i="15" s="1"/>
  <c r="BI25" i="15"/>
  <c r="K145" i="15" s="1"/>
  <c r="K210" i="15" s="1"/>
  <c r="K274" i="15" s="1"/>
  <c r="BF25" i="15"/>
  <c r="K133" i="15" s="1"/>
  <c r="K198" i="15" s="1"/>
  <c r="K262" i="15" s="1"/>
  <c r="BE25" i="15"/>
  <c r="K129" i="15" s="1"/>
  <c r="K194" i="15" s="1"/>
  <c r="K258" i="15" s="1"/>
  <c r="BD25" i="15"/>
  <c r="BC25" i="15"/>
  <c r="K121" i="15" s="1"/>
  <c r="BB25" i="15"/>
  <c r="AP25" i="15"/>
  <c r="AO25" i="15"/>
  <c r="AN25" i="15"/>
  <c r="G145" i="15" s="1"/>
  <c r="G210" i="15" s="1"/>
  <c r="G274" i="15" s="1"/>
  <c r="AM25" i="15"/>
  <c r="G141" i="15" s="1"/>
  <c r="G206" i="15" s="1"/>
  <c r="G270" i="15" s="1"/>
  <c r="AL25" i="15"/>
  <c r="AK25" i="15"/>
  <c r="AJ25" i="15"/>
  <c r="G129" i="15" s="1"/>
  <c r="G194" i="15" s="1"/>
  <c r="G258" i="15" s="1"/>
  <c r="AI25" i="15"/>
  <c r="AH25" i="15"/>
  <c r="AG25" i="15"/>
  <c r="AF25" i="15"/>
  <c r="AE25" i="15"/>
  <c r="AD25" i="15"/>
  <c r="AC25" i="15"/>
  <c r="AX25" i="15" s="1"/>
  <c r="K101" i="15" s="1"/>
  <c r="K166" i="15" s="1"/>
  <c r="K230" i="15" s="1"/>
  <c r="AB25" i="15"/>
  <c r="G97" i="15" s="1"/>
  <c r="G162" i="15" s="1"/>
  <c r="G226" i="15" s="1"/>
  <c r="AA25" i="15"/>
  <c r="AV25" i="15" s="1"/>
  <c r="BK24" i="15"/>
  <c r="K152" i="15" s="1"/>
  <c r="K217" i="15" s="1"/>
  <c r="K281" i="15" s="1"/>
  <c r="BJ24" i="15"/>
  <c r="K148" i="15" s="1"/>
  <c r="BI24" i="15"/>
  <c r="BB24" i="15"/>
  <c r="K116" i="15" s="1"/>
  <c r="K181" i="15" s="1"/>
  <c r="AZ24" i="15"/>
  <c r="K108" i="15" s="1"/>
  <c r="K173" i="15" s="1"/>
  <c r="K237" i="15" s="1"/>
  <c r="AY24" i="15"/>
  <c r="K104" i="15" s="1"/>
  <c r="K169" i="15" s="1"/>
  <c r="K233" i="15" s="1"/>
  <c r="AX24" i="15"/>
  <c r="K100" i="15" s="1"/>
  <c r="K165" i="15" s="1"/>
  <c r="K229" i="15" s="1"/>
  <c r="AW24" i="15"/>
  <c r="K96" i="15" s="1"/>
  <c r="AP24" i="15"/>
  <c r="AO24" i="15"/>
  <c r="AN24" i="15"/>
  <c r="AM24" i="15"/>
  <c r="BH24" i="15" s="1"/>
  <c r="AL24" i="15"/>
  <c r="AK24" i="15"/>
  <c r="BF24" i="15" s="1"/>
  <c r="K132" i="15" s="1"/>
  <c r="K197" i="15" s="1"/>
  <c r="K261" i="15" s="1"/>
  <c r="AJ24" i="15"/>
  <c r="AI24" i="15"/>
  <c r="AH24" i="15"/>
  <c r="AG24" i="15"/>
  <c r="G116" i="15" s="1"/>
  <c r="G181" i="15" s="1"/>
  <c r="G245" i="15" s="1"/>
  <c r="AF24" i="15"/>
  <c r="BA24" i="15" s="1"/>
  <c r="K112" i="15" s="1"/>
  <c r="K177" i="15" s="1"/>
  <c r="AE24" i="15"/>
  <c r="AD24" i="15"/>
  <c r="G104" i="15" s="1"/>
  <c r="G169" i="15" s="1"/>
  <c r="G233" i="15" s="1"/>
  <c r="AC24" i="15"/>
  <c r="AB24" i="15"/>
  <c r="AA24" i="15"/>
  <c r="G92" i="15" s="1"/>
  <c r="G157" i="15" s="1"/>
  <c r="G221" i="15" s="1"/>
  <c r="BH23" i="15"/>
  <c r="AU143" i="15" s="1"/>
  <c r="AU208" i="15" s="1"/>
  <c r="AU272" i="15" s="1"/>
  <c r="BF23" i="15"/>
  <c r="AU135" i="15" s="1"/>
  <c r="AU200" i="15" s="1"/>
  <c r="AU264" i="15" s="1"/>
  <c r="BE23" i="15"/>
  <c r="AU131" i="15" s="1"/>
  <c r="AU196" i="15" s="1"/>
  <c r="AU260" i="15" s="1"/>
  <c r="BD23" i="15"/>
  <c r="BC23" i="15"/>
  <c r="AU123" i="15" s="1"/>
  <c r="AU188" i="15" s="1"/>
  <c r="AU252" i="15" s="1"/>
  <c r="AV23" i="15"/>
  <c r="AU95" i="15" s="1"/>
  <c r="AU160" i="15" s="1"/>
  <c r="AU224" i="15" s="1"/>
  <c r="AP23" i="15"/>
  <c r="BK23" i="15" s="1"/>
  <c r="AU155" i="15" s="1"/>
  <c r="AU220" i="15" s="1"/>
  <c r="AU284" i="15" s="1"/>
  <c r="AO23" i="15"/>
  <c r="AN23" i="15"/>
  <c r="BI23" i="15" s="1"/>
  <c r="AM23" i="15"/>
  <c r="AL23" i="15"/>
  <c r="AQ139" i="15" s="1"/>
  <c r="AQ204" i="15" s="1"/>
  <c r="AQ268" i="15" s="1"/>
  <c r="AK23" i="15"/>
  <c r="AJ23" i="15"/>
  <c r="AI23" i="15"/>
  <c r="AH23" i="15"/>
  <c r="AG23" i="15"/>
  <c r="BB23" i="15" s="1"/>
  <c r="AF23" i="15"/>
  <c r="BA23" i="15" s="1"/>
  <c r="AE23" i="15"/>
  <c r="AD23" i="15"/>
  <c r="AC23" i="15"/>
  <c r="AB23" i="15"/>
  <c r="AQ99" i="15" s="1"/>
  <c r="AA23" i="15"/>
  <c r="BK22" i="15"/>
  <c r="AU154" i="15" s="1"/>
  <c r="AU219" i="15" s="1"/>
  <c r="AU283" i="15" s="1"/>
  <c r="BI22" i="15"/>
  <c r="AU146" i="15" s="1"/>
  <c r="AU211" i="15" s="1"/>
  <c r="AU275" i="15" s="1"/>
  <c r="BB22" i="15"/>
  <c r="AU118" i="15" s="1"/>
  <c r="AU183" i="15" s="1"/>
  <c r="AU247" i="15" s="1"/>
  <c r="BA22" i="15"/>
  <c r="AU114" i="15" s="1"/>
  <c r="AU179" i="15" s="1"/>
  <c r="AY22" i="15"/>
  <c r="AU106" i="15" s="1"/>
  <c r="AW22" i="15"/>
  <c r="AV22" i="15"/>
  <c r="AU94" i="15" s="1"/>
  <c r="AU159" i="15" s="1"/>
  <c r="AU223" i="15" s="1"/>
  <c r="AP22" i="15"/>
  <c r="AO22" i="15"/>
  <c r="BJ22" i="15" s="1"/>
  <c r="AN22" i="15"/>
  <c r="AQ146" i="15" s="1"/>
  <c r="AQ211" i="15" s="1"/>
  <c r="AQ275" i="15" s="1"/>
  <c r="AM22" i="15"/>
  <c r="BH22" i="15" s="1"/>
  <c r="AL22" i="15"/>
  <c r="BG22" i="15" s="1"/>
  <c r="AU138" i="15" s="1"/>
  <c r="AU203" i="15" s="1"/>
  <c r="AU267" i="15" s="1"/>
  <c r="AK22" i="15"/>
  <c r="AJ22" i="15"/>
  <c r="AI22" i="15"/>
  <c r="AH22" i="15"/>
  <c r="AG22" i="15"/>
  <c r="AF22" i="15"/>
  <c r="AQ114" i="15" s="1"/>
  <c r="AQ179" i="15" s="1"/>
  <c r="AQ243" i="15" s="1"/>
  <c r="AE22" i="15"/>
  <c r="AZ22" i="15" s="1"/>
  <c r="AU110" i="15" s="1"/>
  <c r="AU175" i="15" s="1"/>
  <c r="AU239" i="15" s="1"/>
  <c r="AD22" i="15"/>
  <c r="AC22" i="15"/>
  <c r="AX22" i="15" s="1"/>
  <c r="AB22" i="15"/>
  <c r="AA22" i="15"/>
  <c r="AQ94" i="15" s="1"/>
  <c r="AQ159" i="15" s="1"/>
  <c r="AQ223" i="15" s="1"/>
  <c r="BJ21" i="15"/>
  <c r="AU149" i="15" s="1"/>
  <c r="AU214" i="15" s="1"/>
  <c r="AU278" i="15" s="1"/>
  <c r="BH21" i="15"/>
  <c r="AU141" i="15" s="1"/>
  <c r="AU206" i="15" s="1"/>
  <c r="AU270" i="15" s="1"/>
  <c r="BG21" i="15"/>
  <c r="BE21" i="15"/>
  <c r="AU129" i="15" s="1"/>
  <c r="AU194" i="15" s="1"/>
  <c r="AU258" i="15" s="1"/>
  <c r="BD21" i="15"/>
  <c r="AU125" i="15" s="1"/>
  <c r="AU190" i="15" s="1"/>
  <c r="AU254" i="15" s="1"/>
  <c r="BC21" i="15"/>
  <c r="AU121" i="15" s="1"/>
  <c r="AU186" i="15" s="1"/>
  <c r="AU250" i="15" s="1"/>
  <c r="AX21" i="15"/>
  <c r="AV21" i="15"/>
  <c r="AU93" i="15" s="1"/>
  <c r="AU158" i="15" s="1"/>
  <c r="AU222" i="15" s="1"/>
  <c r="AP21" i="15"/>
  <c r="AO21" i="15"/>
  <c r="AN21" i="15"/>
  <c r="BI21" i="15" s="1"/>
  <c r="AM21" i="15"/>
  <c r="AQ141" i="15" s="1"/>
  <c r="AQ206" i="15" s="1"/>
  <c r="AQ270" i="15" s="1"/>
  <c r="AL21" i="15"/>
  <c r="AK21" i="15"/>
  <c r="BF21" i="15" s="1"/>
  <c r="AJ21" i="15"/>
  <c r="AQ129" i="15" s="1"/>
  <c r="AQ194" i="15" s="1"/>
  <c r="AQ258" i="15" s="1"/>
  <c r="AI21" i="15"/>
  <c r="AH21" i="15"/>
  <c r="AQ121" i="15" s="1"/>
  <c r="AQ186" i="15" s="1"/>
  <c r="AQ250" i="15" s="1"/>
  <c r="AG21" i="15"/>
  <c r="BB21" i="15" s="1"/>
  <c r="AF21" i="15"/>
  <c r="BA21" i="15" s="1"/>
  <c r="AU113" i="15" s="1"/>
  <c r="AU178" i="15" s="1"/>
  <c r="AU242" i="15" s="1"/>
  <c r="AE21" i="15"/>
  <c r="AD21" i="15"/>
  <c r="AC21" i="15"/>
  <c r="AB21" i="15"/>
  <c r="AA21" i="15"/>
  <c r="AQ93" i="15" s="1"/>
  <c r="BI20" i="15"/>
  <c r="AU144" i="15" s="1"/>
  <c r="AU209" i="15" s="1"/>
  <c r="AU273" i="15" s="1"/>
  <c r="BH20" i="15"/>
  <c r="BG20" i="15"/>
  <c r="AU136" i="15" s="1"/>
  <c r="AU201" i="15" s="1"/>
  <c r="AU265" i="15" s="1"/>
  <c r="BF20" i="15"/>
  <c r="BC20" i="15"/>
  <c r="BA20" i="15"/>
  <c r="AU112" i="15" s="1"/>
  <c r="AY20" i="15"/>
  <c r="AU104" i="15" s="1"/>
  <c r="AU169" i="15" s="1"/>
  <c r="AU233" i="15" s="1"/>
  <c r="AX20" i="15"/>
  <c r="AU100" i="15" s="1"/>
  <c r="AU165" i="15" s="1"/>
  <c r="AU229" i="15" s="1"/>
  <c r="AV20" i="15"/>
  <c r="AU92" i="15" s="1"/>
  <c r="AU157" i="15" s="1"/>
  <c r="AU221" i="15" s="1"/>
  <c r="AP20" i="15"/>
  <c r="AO20" i="15"/>
  <c r="BJ20" i="15" s="1"/>
  <c r="AU148" i="15" s="1"/>
  <c r="AU213" i="15" s="1"/>
  <c r="AU277" i="15" s="1"/>
  <c r="AN20" i="15"/>
  <c r="AQ144" i="15" s="1"/>
  <c r="AQ209" i="15" s="1"/>
  <c r="AQ273" i="15" s="1"/>
  <c r="AM20" i="15"/>
  <c r="AL20" i="15"/>
  <c r="AQ136" i="15" s="1"/>
  <c r="AQ201" i="15" s="1"/>
  <c r="AQ265" i="15" s="1"/>
  <c r="AK20" i="15"/>
  <c r="AJ20" i="15"/>
  <c r="BE20" i="15" s="1"/>
  <c r="AU128" i="15" s="1"/>
  <c r="AI20" i="15"/>
  <c r="AH20" i="15"/>
  <c r="AG20" i="15"/>
  <c r="AF20" i="15"/>
  <c r="AE20" i="15"/>
  <c r="AD20" i="15"/>
  <c r="AQ104" i="15" s="1"/>
  <c r="AQ169" i="15" s="1"/>
  <c r="AQ233" i="15" s="1"/>
  <c r="AC20" i="15"/>
  <c r="AB20" i="15"/>
  <c r="AW20" i="15" s="1"/>
  <c r="AU96" i="15" s="1"/>
  <c r="AU161" i="15" s="1"/>
  <c r="AU225" i="15" s="1"/>
  <c r="AA20" i="15"/>
  <c r="BG19" i="15"/>
  <c r="AJ139" i="15" s="1"/>
  <c r="AJ204" i="15" s="1"/>
  <c r="AJ268" i="15" s="1"/>
  <c r="BF19" i="15"/>
  <c r="AJ135" i="15" s="1"/>
  <c r="AJ200" i="15" s="1"/>
  <c r="AJ264" i="15" s="1"/>
  <c r="BC19" i="15"/>
  <c r="AJ123" i="15" s="1"/>
  <c r="AJ188" i="15" s="1"/>
  <c r="AJ252" i="15" s="1"/>
  <c r="BB19" i="15"/>
  <c r="AJ119" i="15" s="1"/>
  <c r="AJ184" i="15" s="1"/>
  <c r="AJ248" i="15" s="1"/>
  <c r="BA19" i="15"/>
  <c r="AZ19" i="15"/>
  <c r="AJ111" i="15" s="1"/>
  <c r="AP19" i="15"/>
  <c r="BK19" i="15" s="1"/>
  <c r="AO19" i="15"/>
  <c r="AN19" i="15"/>
  <c r="AM19" i="15"/>
  <c r="AL19" i="15"/>
  <c r="AK19" i="15"/>
  <c r="AF135" i="15" s="1"/>
  <c r="AF200" i="15" s="1"/>
  <c r="AF264" i="15" s="1"/>
  <c r="AJ19" i="15"/>
  <c r="AF131" i="15" s="1"/>
  <c r="AF196" i="15" s="1"/>
  <c r="AF260" i="15" s="1"/>
  <c r="AI19" i="15"/>
  <c r="AH19" i="15"/>
  <c r="AG19" i="15"/>
  <c r="AF19" i="15"/>
  <c r="AF115" i="15" s="1"/>
  <c r="AE19" i="15"/>
  <c r="AD19" i="15"/>
  <c r="AY19" i="15" s="1"/>
  <c r="AJ107" i="15" s="1"/>
  <c r="AJ172" i="15" s="1"/>
  <c r="AJ236" i="15" s="1"/>
  <c r="AC19" i="15"/>
  <c r="AX19" i="15" s="1"/>
  <c r="AB19" i="15"/>
  <c r="AA19" i="15"/>
  <c r="BJ18" i="15"/>
  <c r="AJ150" i="15" s="1"/>
  <c r="AJ215" i="15" s="1"/>
  <c r="AJ279" i="15" s="1"/>
  <c r="BI18" i="15"/>
  <c r="AJ146" i="15" s="1"/>
  <c r="AJ211" i="15" s="1"/>
  <c r="AJ275" i="15" s="1"/>
  <c r="BH18" i="15"/>
  <c r="BG18" i="15"/>
  <c r="AJ138" i="15" s="1"/>
  <c r="AJ203" i="15" s="1"/>
  <c r="AJ267" i="15" s="1"/>
  <c r="BB18" i="15"/>
  <c r="AZ18" i="15"/>
  <c r="AJ110" i="15" s="1"/>
  <c r="AJ175" i="15" s="1"/>
  <c r="AJ239" i="15" s="1"/>
  <c r="AX18" i="15"/>
  <c r="AW18" i="15"/>
  <c r="AJ98" i="15" s="1"/>
  <c r="AJ163" i="15" s="1"/>
  <c r="AJ227" i="15" s="1"/>
  <c r="AV18" i="15"/>
  <c r="AJ94" i="15" s="1"/>
  <c r="AP18" i="15"/>
  <c r="AO18" i="15"/>
  <c r="AN18" i="15"/>
  <c r="AM18" i="15"/>
  <c r="AF142" i="15" s="1"/>
  <c r="AF207" i="15" s="1"/>
  <c r="AF271" i="15" s="1"/>
  <c r="AL18" i="15"/>
  <c r="AK18" i="15"/>
  <c r="AJ18" i="15"/>
  <c r="BE18" i="15" s="1"/>
  <c r="AJ130" i="15" s="1"/>
  <c r="AJ195" i="15" s="1"/>
  <c r="AJ259" i="15" s="1"/>
  <c r="AI18" i="15"/>
  <c r="BD18" i="15" s="1"/>
  <c r="AJ126" i="15" s="1"/>
  <c r="AJ191" i="15" s="1"/>
  <c r="AJ255" i="15" s="1"/>
  <c r="AH18" i="15"/>
  <c r="AG18" i="15"/>
  <c r="AF18" i="15"/>
  <c r="AE18" i="15"/>
  <c r="AF110" i="15" s="1"/>
  <c r="AD18" i="15"/>
  <c r="AC18" i="15"/>
  <c r="AB18" i="15"/>
  <c r="AF98" i="15" s="1"/>
  <c r="AA18" i="15"/>
  <c r="BI17" i="15"/>
  <c r="AJ145" i="15" s="1"/>
  <c r="AJ210" i="15" s="1"/>
  <c r="AJ274" i="15" s="1"/>
  <c r="BG17" i="15"/>
  <c r="BF17" i="15"/>
  <c r="BD17" i="15"/>
  <c r="BC17" i="15"/>
  <c r="AJ121" i="15" s="1"/>
  <c r="AJ186" i="15" s="1"/>
  <c r="AJ250" i="15" s="1"/>
  <c r="BA17" i="15"/>
  <c r="AW17" i="15"/>
  <c r="AP17" i="15"/>
  <c r="AO17" i="15"/>
  <c r="AN17" i="15"/>
  <c r="AM17" i="15"/>
  <c r="AL17" i="15"/>
  <c r="AF137" i="15" s="1"/>
  <c r="AF202" i="15" s="1"/>
  <c r="AF266" i="15" s="1"/>
  <c r="AK17" i="15"/>
  <c r="AJ17" i="15"/>
  <c r="AI17" i="15"/>
  <c r="AH17" i="15"/>
  <c r="AG17" i="15"/>
  <c r="AF17" i="15"/>
  <c r="AE17" i="15"/>
  <c r="AZ17" i="15" s="1"/>
  <c r="AJ109" i="15" s="1"/>
  <c r="AJ174" i="15" s="1"/>
  <c r="AJ238" i="15" s="1"/>
  <c r="AD17" i="15"/>
  <c r="AC17" i="15"/>
  <c r="AB17" i="15"/>
  <c r="AA17" i="15"/>
  <c r="BI16" i="15"/>
  <c r="AJ144" i="15" s="1"/>
  <c r="AJ209" i="15" s="1"/>
  <c r="AJ273" i="15" s="1"/>
  <c r="BH16" i="15"/>
  <c r="AJ140" i="15" s="1"/>
  <c r="AJ205" i="15" s="1"/>
  <c r="AJ269" i="15" s="1"/>
  <c r="BG16" i="15"/>
  <c r="BF16" i="15"/>
  <c r="AJ132" i="15" s="1"/>
  <c r="AJ197" i="15" s="1"/>
  <c r="AJ261" i="15" s="1"/>
  <c r="BC16" i="15"/>
  <c r="BB16" i="15"/>
  <c r="AJ116" i="15" s="1"/>
  <c r="AJ181" i="15" s="1"/>
  <c r="AJ245" i="15" s="1"/>
  <c r="AW16" i="15"/>
  <c r="AJ96" i="15" s="1"/>
  <c r="AJ161" i="15" s="1"/>
  <c r="AJ225" i="15" s="1"/>
  <c r="AV16" i="15"/>
  <c r="AJ92" i="15" s="1"/>
  <c r="AJ157" i="15" s="1"/>
  <c r="AJ221" i="15" s="1"/>
  <c r="AP16" i="15"/>
  <c r="AO16" i="15"/>
  <c r="AN16" i="15"/>
  <c r="AM16" i="15"/>
  <c r="AL16" i="15"/>
  <c r="AK16" i="15"/>
  <c r="AJ16" i="15"/>
  <c r="BE16" i="15" s="1"/>
  <c r="AJ128" i="15" s="1"/>
  <c r="AJ193" i="15" s="1"/>
  <c r="AJ257" i="15" s="1"/>
  <c r="AI16" i="15"/>
  <c r="AH16" i="15"/>
  <c r="AG16" i="15"/>
  <c r="AF16" i="15"/>
  <c r="AE16" i="15"/>
  <c r="AD16" i="15"/>
  <c r="AY16" i="15" s="1"/>
  <c r="AJ104" i="15" s="1"/>
  <c r="AJ169" i="15" s="1"/>
  <c r="AJ233" i="15" s="1"/>
  <c r="AC16" i="15"/>
  <c r="AB16" i="15"/>
  <c r="AA16" i="15"/>
  <c r="AF92" i="15" s="1"/>
  <c r="AF157" i="15" s="1"/>
  <c r="AF221" i="15" s="1"/>
  <c r="BJ15" i="15"/>
  <c r="BH15" i="15"/>
  <c r="BE15" i="15"/>
  <c r="AB131" i="15" s="1"/>
  <c r="AB196" i="15" s="1"/>
  <c r="AB260" i="15" s="1"/>
  <c r="BC15" i="15"/>
  <c r="AB123" i="15" s="1"/>
  <c r="AB188" i="15" s="1"/>
  <c r="AB252" i="15" s="1"/>
  <c r="BB15" i="15"/>
  <c r="BA15" i="15"/>
  <c r="AB115" i="15" s="1"/>
  <c r="AB180" i="15" s="1"/>
  <c r="AB244" i="15" s="1"/>
  <c r="AZ15" i="15"/>
  <c r="AB111" i="15" s="1"/>
  <c r="AB176" i="15" s="1"/>
  <c r="AB240" i="15" s="1"/>
  <c r="AX15" i="15"/>
  <c r="AP15" i="15"/>
  <c r="X155" i="15" s="1"/>
  <c r="AO15" i="15"/>
  <c r="AN15" i="15"/>
  <c r="AM15" i="15"/>
  <c r="X143" i="15" s="1"/>
  <c r="X208" i="15" s="1"/>
  <c r="X272" i="15" s="1"/>
  <c r="AL15" i="15"/>
  <c r="BG15" i="15" s="1"/>
  <c r="AB139" i="15" s="1"/>
  <c r="AB204" i="15" s="1"/>
  <c r="AB268" i="15" s="1"/>
  <c r="AK15" i="15"/>
  <c r="AJ15" i="15"/>
  <c r="AI15" i="15"/>
  <c r="AH15" i="15"/>
  <c r="AG15" i="15"/>
  <c r="AF15" i="15"/>
  <c r="X115" i="15" s="1"/>
  <c r="X180" i="15" s="1"/>
  <c r="X244" i="15" s="1"/>
  <c r="AE15" i="15"/>
  <c r="AD15" i="15"/>
  <c r="AY15" i="15" s="1"/>
  <c r="AB107" i="15" s="1"/>
  <c r="AB172" i="15" s="1"/>
  <c r="AB236" i="15" s="1"/>
  <c r="AC15" i="15"/>
  <c r="AB15" i="15"/>
  <c r="AA15" i="15"/>
  <c r="AV15" i="15" s="1"/>
  <c r="AB95" i="15" s="1"/>
  <c r="BI14" i="15"/>
  <c r="AB146" i="15" s="1"/>
  <c r="AB211" i="15" s="1"/>
  <c r="AB275" i="15" s="1"/>
  <c r="BH14" i="15"/>
  <c r="AB142" i="15" s="1"/>
  <c r="AB207" i="15" s="1"/>
  <c r="AB271" i="15" s="1"/>
  <c r="BG14" i="15"/>
  <c r="AB138" i="15" s="1"/>
  <c r="AB203" i="15" s="1"/>
  <c r="AB267" i="15" s="1"/>
  <c r="BF14" i="15"/>
  <c r="BE14" i="15"/>
  <c r="AB130" i="15" s="1"/>
  <c r="AB195" i="15" s="1"/>
  <c r="AB259" i="15" s="1"/>
  <c r="AZ14" i="15"/>
  <c r="AB110" i="15" s="1"/>
  <c r="AB175" i="15" s="1"/>
  <c r="AB239" i="15" s="1"/>
  <c r="AY14" i="15"/>
  <c r="AB106" i="15" s="1"/>
  <c r="AB171" i="15" s="1"/>
  <c r="AB235" i="15" s="1"/>
  <c r="AW14" i="15"/>
  <c r="AB98" i="15" s="1"/>
  <c r="AB163" i="15" s="1"/>
  <c r="AB227" i="15" s="1"/>
  <c r="AV14" i="15"/>
  <c r="AP14" i="15"/>
  <c r="BK14" i="15" s="1"/>
  <c r="AB154" i="15" s="1"/>
  <c r="AB219" i="15" s="1"/>
  <c r="AB283" i="15" s="1"/>
  <c r="AO14" i="15"/>
  <c r="X150" i="15" s="1"/>
  <c r="X215" i="15" s="1"/>
  <c r="X279" i="15" s="1"/>
  <c r="AN14" i="15"/>
  <c r="X146" i="15" s="1"/>
  <c r="X211" i="15" s="1"/>
  <c r="X275" i="15" s="1"/>
  <c r="AM14" i="15"/>
  <c r="AL14" i="15"/>
  <c r="AK14" i="15"/>
  <c r="AJ14" i="15"/>
  <c r="AI14" i="15"/>
  <c r="AH14" i="15"/>
  <c r="AG14" i="15"/>
  <c r="AF14" i="15"/>
  <c r="BA14" i="15" s="1"/>
  <c r="AB114" i="15" s="1"/>
  <c r="AB179" i="15" s="1"/>
  <c r="AB243" i="15" s="1"/>
  <c r="AE14" i="15"/>
  <c r="X110" i="15" s="1"/>
  <c r="X175" i="15" s="1"/>
  <c r="X239" i="15" s="1"/>
  <c r="AD14" i="15"/>
  <c r="AC14" i="15"/>
  <c r="AX14" i="15" s="1"/>
  <c r="AB102" i="15" s="1"/>
  <c r="AB167" i="15" s="1"/>
  <c r="AB231" i="15" s="1"/>
  <c r="AB14" i="15"/>
  <c r="X98" i="15" s="1"/>
  <c r="X163" i="15" s="1"/>
  <c r="X227" i="15" s="1"/>
  <c r="AA14" i="15"/>
  <c r="BK13" i="15"/>
  <c r="BE13" i="15"/>
  <c r="BC13" i="15"/>
  <c r="AB121" i="15" s="1"/>
  <c r="AB186" i="15" s="1"/>
  <c r="AB250" i="15" s="1"/>
  <c r="BB13" i="15"/>
  <c r="AB117" i="15" s="1"/>
  <c r="AB182" i="15" s="1"/>
  <c r="BA13" i="15"/>
  <c r="AB113" i="15" s="1"/>
  <c r="AB178" i="15" s="1"/>
  <c r="AB242" i="15" s="1"/>
  <c r="AZ13" i="15"/>
  <c r="AB109" i="15" s="1"/>
  <c r="AB174" i="15" s="1"/>
  <c r="AB238" i="15" s="1"/>
  <c r="AY13" i="15"/>
  <c r="AB105" i="15" s="1"/>
  <c r="AB170" i="15" s="1"/>
  <c r="AB234" i="15" s="1"/>
  <c r="AP13" i="15"/>
  <c r="AO13" i="15"/>
  <c r="BJ13" i="15" s="1"/>
  <c r="AN13" i="15"/>
  <c r="AM13" i="15"/>
  <c r="AL13" i="15"/>
  <c r="AK13" i="15"/>
  <c r="AJ13" i="15"/>
  <c r="X129" i="15" s="1"/>
  <c r="X194" i="15" s="1"/>
  <c r="X258" i="15" s="1"/>
  <c r="AI13" i="15"/>
  <c r="X125" i="15" s="1"/>
  <c r="X190" i="15" s="1"/>
  <c r="AH13" i="15"/>
  <c r="X121" i="15" s="1"/>
  <c r="X186" i="15" s="1"/>
  <c r="AG13" i="15"/>
  <c r="AF13" i="15"/>
  <c r="X113" i="15" s="1"/>
  <c r="X178" i="15" s="1"/>
  <c r="X242" i="15" s="1"/>
  <c r="AE13" i="15"/>
  <c r="AD13" i="15"/>
  <c r="AC13" i="15"/>
  <c r="AX13" i="15" s="1"/>
  <c r="AB13" i="15"/>
  <c r="AA13" i="15"/>
  <c r="BJ12" i="15"/>
  <c r="AB148" i="15" s="1"/>
  <c r="AB213" i="15" s="1"/>
  <c r="AB277" i="15" s="1"/>
  <c r="BI12" i="15"/>
  <c r="AB144" i="15" s="1"/>
  <c r="AB209" i="15" s="1"/>
  <c r="AB273" i="15" s="1"/>
  <c r="BH12" i="15"/>
  <c r="AB140" i="15" s="1"/>
  <c r="AB205" i="15" s="1"/>
  <c r="AB269" i="15" s="1"/>
  <c r="BG12" i="15"/>
  <c r="AB136" i="15" s="1"/>
  <c r="AB201" i="15" s="1"/>
  <c r="AB265" i="15" s="1"/>
  <c r="BE12" i="15"/>
  <c r="AX12" i="15"/>
  <c r="AB100" i="15" s="1"/>
  <c r="AB165" i="15" s="1"/>
  <c r="AB229" i="15" s="1"/>
  <c r="AW12" i="15"/>
  <c r="AV12" i="15"/>
  <c r="AP12" i="15"/>
  <c r="AO12" i="15"/>
  <c r="AN12" i="15"/>
  <c r="X144" i="15" s="1"/>
  <c r="X209" i="15" s="1"/>
  <c r="X273" i="15" s="1"/>
  <c r="AM12" i="15"/>
  <c r="X140" i="15" s="1"/>
  <c r="X205" i="15" s="1"/>
  <c r="X269" i="15" s="1"/>
  <c r="AL12" i="15"/>
  <c r="AK12" i="15"/>
  <c r="BF12" i="15" s="1"/>
  <c r="AJ12" i="15"/>
  <c r="AI12" i="15"/>
  <c r="BD12" i="15" s="1"/>
  <c r="AB124" i="15" s="1"/>
  <c r="AB189" i="15" s="1"/>
  <c r="AB253" i="15" s="1"/>
  <c r="AH12" i="15"/>
  <c r="AG12" i="15"/>
  <c r="AF12" i="15"/>
  <c r="BA12" i="15" s="1"/>
  <c r="AB112" i="15" s="1"/>
  <c r="AB177" i="15" s="1"/>
  <c r="AB241" i="15" s="1"/>
  <c r="AE12" i="15"/>
  <c r="AD12" i="15"/>
  <c r="AC12" i="15"/>
  <c r="AB12" i="15"/>
  <c r="X96" i="15" s="1"/>
  <c r="X161" i="15" s="1"/>
  <c r="X225" i="15" s="1"/>
  <c r="AA12" i="15"/>
  <c r="BK11" i="15"/>
  <c r="S155" i="15" s="1"/>
  <c r="S220" i="15" s="1"/>
  <c r="S284" i="15" s="1"/>
  <c r="BF11" i="15"/>
  <c r="S135" i="15" s="1"/>
  <c r="S200" i="15" s="1"/>
  <c r="S264" i="15" s="1"/>
  <c r="BC11" i="15"/>
  <c r="S123" i="15" s="1"/>
  <c r="S188" i="15" s="1"/>
  <c r="S252" i="15" s="1"/>
  <c r="BA11" i="15"/>
  <c r="AZ11" i="15"/>
  <c r="S111" i="15" s="1"/>
  <c r="S176" i="15" s="1"/>
  <c r="S240" i="15" s="1"/>
  <c r="AY11" i="15"/>
  <c r="AX11" i="15"/>
  <c r="S103" i="15" s="1"/>
  <c r="AP11" i="15"/>
  <c r="AO11" i="15"/>
  <c r="BJ11" i="15" s="1"/>
  <c r="AN11" i="15"/>
  <c r="BI11" i="15" s="1"/>
  <c r="S147" i="15" s="1"/>
  <c r="S212" i="15" s="1"/>
  <c r="S276" i="15" s="1"/>
  <c r="AM11" i="15"/>
  <c r="AL11" i="15"/>
  <c r="AK11" i="15"/>
  <c r="AJ11" i="15"/>
  <c r="O131" i="15" s="1"/>
  <c r="O196" i="15" s="1"/>
  <c r="O260" i="15" s="1"/>
  <c r="AI11" i="15"/>
  <c r="O127" i="15" s="1"/>
  <c r="O192" i="15" s="1"/>
  <c r="O256" i="15" s="1"/>
  <c r="AH11" i="15"/>
  <c r="O123" i="15" s="1"/>
  <c r="O188" i="15" s="1"/>
  <c r="O252" i="15" s="1"/>
  <c r="AG11" i="15"/>
  <c r="AF11" i="15"/>
  <c r="AE11" i="15"/>
  <c r="O111" i="15" s="1"/>
  <c r="O176" i="15" s="1"/>
  <c r="O240" i="15" s="1"/>
  <c r="AD11" i="15"/>
  <c r="AC11" i="15"/>
  <c r="O103" i="15" s="1"/>
  <c r="AB11" i="15"/>
  <c r="AW11" i="15" s="1"/>
  <c r="AA11" i="15"/>
  <c r="BH10" i="15"/>
  <c r="S142" i="15" s="1"/>
  <c r="S207" i="15" s="1"/>
  <c r="S271" i="15" s="1"/>
  <c r="BG10" i="15"/>
  <c r="S138" i="15" s="1"/>
  <c r="S203" i="15" s="1"/>
  <c r="S267" i="15" s="1"/>
  <c r="BF10" i="15"/>
  <c r="S134" i="15" s="1"/>
  <c r="S199" i="15" s="1"/>
  <c r="S263" i="15" s="1"/>
  <c r="BE10" i="15"/>
  <c r="S130" i="15" s="1"/>
  <c r="S195" i="15" s="1"/>
  <c r="S259" i="15" s="1"/>
  <c r="BC10" i="15"/>
  <c r="BB10" i="15"/>
  <c r="S118" i="15" s="1"/>
  <c r="S183" i="15" s="1"/>
  <c r="S247" i="15" s="1"/>
  <c r="AV10" i="15"/>
  <c r="S94" i="15" s="1"/>
  <c r="AP10" i="15"/>
  <c r="AO10" i="15"/>
  <c r="AN10" i="15"/>
  <c r="AM10" i="15"/>
  <c r="AL10" i="15"/>
  <c r="AK10" i="15"/>
  <c r="AJ10" i="15"/>
  <c r="AI10" i="15"/>
  <c r="BD10" i="15" s="1"/>
  <c r="AH10" i="15"/>
  <c r="AG10" i="15"/>
  <c r="AF10" i="15"/>
  <c r="AE10" i="15"/>
  <c r="AZ10" i="15" s="1"/>
  <c r="S110" i="15" s="1"/>
  <c r="S175" i="15" s="1"/>
  <c r="S239" i="15" s="1"/>
  <c r="AD10" i="15"/>
  <c r="AC10" i="15"/>
  <c r="AB10" i="15"/>
  <c r="AA10" i="15"/>
  <c r="O94" i="15" s="1"/>
  <c r="O159" i="15" s="1"/>
  <c r="O223" i="15" s="1"/>
  <c r="BJ9" i="15"/>
  <c r="BI9" i="15"/>
  <c r="BB9" i="15"/>
  <c r="S117" i="15" s="1"/>
  <c r="S182" i="15" s="1"/>
  <c r="S246" i="15" s="1"/>
  <c r="AZ9" i="15"/>
  <c r="S109" i="15" s="1"/>
  <c r="S174" i="15" s="1"/>
  <c r="S238" i="15" s="1"/>
  <c r="AY9" i="15"/>
  <c r="S105" i="15" s="1"/>
  <c r="S170" i="15" s="1"/>
  <c r="S234" i="15" s="1"/>
  <c r="AX9" i="15"/>
  <c r="AW9" i="15"/>
  <c r="S97" i="15" s="1"/>
  <c r="AP9" i="15"/>
  <c r="BK9" i="15" s="1"/>
  <c r="S153" i="15" s="1"/>
  <c r="S218" i="15" s="1"/>
  <c r="S282" i="15" s="1"/>
  <c r="AO9" i="15"/>
  <c r="AN9" i="15"/>
  <c r="AM9" i="15"/>
  <c r="O141" i="15" s="1"/>
  <c r="O206" i="15" s="1"/>
  <c r="O270" i="15" s="1"/>
  <c r="AL9" i="15"/>
  <c r="AK9" i="15"/>
  <c r="AJ9" i="15"/>
  <c r="AI9" i="15"/>
  <c r="BD9" i="15" s="1"/>
  <c r="S125" i="15" s="1"/>
  <c r="AH9" i="15"/>
  <c r="AG9" i="15"/>
  <c r="AF9" i="15"/>
  <c r="AE9" i="15"/>
  <c r="O109" i="15" s="1"/>
  <c r="O174" i="15" s="1"/>
  <c r="O238" i="15" s="1"/>
  <c r="AD9" i="15"/>
  <c r="AC9" i="15"/>
  <c r="AB9" i="15"/>
  <c r="AA9" i="15"/>
  <c r="AV9" i="15" s="1"/>
  <c r="S93" i="15" s="1"/>
  <c r="S158" i="15" s="1"/>
  <c r="S222" i="15" s="1"/>
  <c r="BJ8" i="15"/>
  <c r="S148" i="15" s="1"/>
  <c r="S213" i="15" s="1"/>
  <c r="S277" i="15" s="1"/>
  <c r="BI8" i="15"/>
  <c r="S144" i="15" s="1"/>
  <c r="BG8" i="15"/>
  <c r="BF8" i="15"/>
  <c r="BE8" i="15"/>
  <c r="S128" i="15" s="1"/>
  <c r="S193" i="15" s="1"/>
  <c r="S257" i="15" s="1"/>
  <c r="BD8" i="15"/>
  <c r="AX8" i="15"/>
  <c r="S100" i="15" s="1"/>
  <c r="S165" i="15" s="1"/>
  <c r="S229" i="15" s="1"/>
  <c r="AW8" i="15"/>
  <c r="S96" i="15" s="1"/>
  <c r="S161" i="15" s="1"/>
  <c r="S225" i="15" s="1"/>
  <c r="AV8" i="15"/>
  <c r="S92" i="15" s="1"/>
  <c r="S157" i="15" s="1"/>
  <c r="S221" i="15" s="1"/>
  <c r="AP8" i="15"/>
  <c r="AO8" i="15"/>
  <c r="O148" i="15" s="1"/>
  <c r="O213" i="15" s="1"/>
  <c r="O277" i="15" s="1"/>
  <c r="AN8" i="15"/>
  <c r="AM8" i="15"/>
  <c r="BH8" i="15" s="1"/>
  <c r="S140" i="15" s="1"/>
  <c r="AL8" i="15"/>
  <c r="O136" i="15" s="1"/>
  <c r="O201" i="15" s="1"/>
  <c r="O265" i="15" s="1"/>
  <c r="AK8" i="15"/>
  <c r="AJ8" i="15"/>
  <c r="O128" i="15" s="1"/>
  <c r="O193" i="15" s="1"/>
  <c r="O257" i="15" s="1"/>
  <c r="AI8" i="15"/>
  <c r="AH8" i="15"/>
  <c r="O120" i="15" s="1"/>
  <c r="AG8" i="15"/>
  <c r="AF8" i="15"/>
  <c r="AE8" i="15"/>
  <c r="AD8" i="15"/>
  <c r="AC8" i="15"/>
  <c r="AB8" i="15"/>
  <c r="AA8" i="15"/>
  <c r="BK7" i="15"/>
  <c r="BI7" i="15"/>
  <c r="BE7" i="15"/>
  <c r="I131" i="15" s="1"/>
  <c r="I196" i="15" s="1"/>
  <c r="BD7" i="15"/>
  <c r="I127" i="15" s="1"/>
  <c r="I192" i="15" s="1"/>
  <c r="I256" i="15" s="1"/>
  <c r="BC7" i="15"/>
  <c r="I123" i="15" s="1"/>
  <c r="I188" i="15" s="1"/>
  <c r="BB7" i="15"/>
  <c r="I119" i="15" s="1"/>
  <c r="I184" i="15" s="1"/>
  <c r="I248" i="15" s="1"/>
  <c r="BA7" i="15"/>
  <c r="I115" i="15" s="1"/>
  <c r="I180" i="15" s="1"/>
  <c r="I244" i="15" s="1"/>
  <c r="AY7" i="15"/>
  <c r="I107" i="15" s="1"/>
  <c r="I172" i="15" s="1"/>
  <c r="I236" i="15" s="1"/>
  <c r="AW7" i="15"/>
  <c r="I99" i="15" s="1"/>
  <c r="I164" i="15" s="1"/>
  <c r="I228" i="15" s="1"/>
  <c r="AP7" i="15"/>
  <c r="AO7" i="15"/>
  <c r="BJ7" i="15" s="1"/>
  <c r="I151" i="15" s="1"/>
  <c r="I216" i="15" s="1"/>
  <c r="AN7" i="15"/>
  <c r="AM7" i="15"/>
  <c r="BH7" i="15" s="1"/>
  <c r="I143" i="15" s="1"/>
  <c r="I208" i="15" s="1"/>
  <c r="I272" i="15" s="1"/>
  <c r="AL7" i="15"/>
  <c r="AK7" i="15"/>
  <c r="BF7" i="15" s="1"/>
  <c r="I135" i="15" s="1"/>
  <c r="I200" i="15" s="1"/>
  <c r="I264" i="15" s="1"/>
  <c r="AJ7" i="15"/>
  <c r="E131" i="15" s="1"/>
  <c r="E196" i="15" s="1"/>
  <c r="AI7" i="15"/>
  <c r="E127" i="15" s="1"/>
  <c r="E192" i="15" s="1"/>
  <c r="AH7" i="15"/>
  <c r="AG7" i="15"/>
  <c r="AF7" i="15"/>
  <c r="E115" i="15" s="1"/>
  <c r="E180" i="15" s="1"/>
  <c r="D180" i="15" s="1"/>
  <c r="AE7" i="15"/>
  <c r="AZ7" i="15" s="1"/>
  <c r="AD7" i="15"/>
  <c r="E107" i="15" s="1"/>
  <c r="E172" i="15" s="1"/>
  <c r="E236" i="15" s="1"/>
  <c r="D236" i="15" s="1"/>
  <c r="AC7" i="15"/>
  <c r="AX7" i="15" s="1"/>
  <c r="AB7" i="15"/>
  <c r="AA7" i="15"/>
  <c r="AV7" i="15" s="1"/>
  <c r="I95" i="15" s="1"/>
  <c r="I160" i="15" s="1"/>
  <c r="I224" i="15" s="1"/>
  <c r="BK6" i="15"/>
  <c r="I154" i="15" s="1"/>
  <c r="BJ6" i="15"/>
  <c r="BI6" i="15"/>
  <c r="I146" i="15" s="1"/>
  <c r="I211" i="15" s="1"/>
  <c r="I275" i="15" s="1"/>
  <c r="BE6" i="15"/>
  <c r="I130" i="15" s="1"/>
  <c r="I195" i="15" s="1"/>
  <c r="I259" i="15" s="1"/>
  <c r="BD6" i="15"/>
  <c r="I126" i="15" s="1"/>
  <c r="I191" i="15" s="1"/>
  <c r="I255" i="15" s="1"/>
  <c r="BC6" i="15"/>
  <c r="I122" i="15" s="1"/>
  <c r="I187" i="15" s="1"/>
  <c r="I251" i="15" s="1"/>
  <c r="AX6" i="15"/>
  <c r="AP6" i="15"/>
  <c r="E154" i="15" s="1"/>
  <c r="E219" i="15" s="1"/>
  <c r="AO6" i="15"/>
  <c r="AN6" i="15"/>
  <c r="E146" i="15" s="1"/>
  <c r="E211" i="15" s="1"/>
  <c r="E275" i="15" s="1"/>
  <c r="D275" i="15" s="1"/>
  <c r="AM6" i="15"/>
  <c r="AL6" i="15"/>
  <c r="AK6" i="15"/>
  <c r="BF6" i="15" s="1"/>
  <c r="I134" i="15" s="1"/>
  <c r="AJ6" i="15"/>
  <c r="E130" i="15" s="1"/>
  <c r="E195" i="15" s="1"/>
  <c r="E259" i="15" s="1"/>
  <c r="AI6" i="15"/>
  <c r="AH6" i="15"/>
  <c r="AG6" i="15"/>
  <c r="BB6" i="15" s="1"/>
  <c r="I118" i="15" s="1"/>
  <c r="I183" i="15" s="1"/>
  <c r="I247" i="15" s="1"/>
  <c r="AF6" i="15"/>
  <c r="AE6" i="15"/>
  <c r="AZ6" i="15" s="1"/>
  <c r="I110" i="15" s="1"/>
  <c r="I175" i="15" s="1"/>
  <c r="I239" i="15" s="1"/>
  <c r="AD6" i="15"/>
  <c r="AC6" i="15"/>
  <c r="AB6" i="15"/>
  <c r="AW6" i="15" s="1"/>
  <c r="I98" i="15" s="1"/>
  <c r="I163" i="15" s="1"/>
  <c r="I227" i="15" s="1"/>
  <c r="AA6" i="15"/>
  <c r="BK5" i="15"/>
  <c r="I153" i="15" s="1"/>
  <c r="I218" i="15" s="1"/>
  <c r="I282" i="15" s="1"/>
  <c r="BJ5" i="15"/>
  <c r="I149" i="15" s="1"/>
  <c r="I214" i="15" s="1"/>
  <c r="I278" i="15" s="1"/>
  <c r="BI5" i="15"/>
  <c r="BF5" i="15"/>
  <c r="I133" i="15" s="1"/>
  <c r="I198" i="15" s="1"/>
  <c r="I262" i="15" s="1"/>
  <c r="BE5" i="15"/>
  <c r="I129" i="15" s="1"/>
  <c r="I194" i="15" s="1"/>
  <c r="I258" i="15" s="1"/>
  <c r="BD5" i="15"/>
  <c r="I125" i="15" s="1"/>
  <c r="I190" i="15" s="1"/>
  <c r="I254" i="15" s="1"/>
  <c r="AZ5" i="15"/>
  <c r="I109" i="15" s="1"/>
  <c r="I174" i="15" s="1"/>
  <c r="I238" i="15" s="1"/>
  <c r="AY5" i="15"/>
  <c r="I105" i="15" s="1"/>
  <c r="I170" i="15" s="1"/>
  <c r="I234" i="15" s="1"/>
  <c r="AX5" i="15"/>
  <c r="I101" i="15" s="1"/>
  <c r="I166" i="15" s="1"/>
  <c r="I230" i="15" s="1"/>
  <c r="AW5" i="15"/>
  <c r="I97" i="15" s="1"/>
  <c r="I162" i="15" s="1"/>
  <c r="I226" i="15" s="1"/>
  <c r="AP5" i="15"/>
  <c r="AO5" i="15"/>
  <c r="E149" i="15" s="1"/>
  <c r="E214" i="15" s="1"/>
  <c r="AN5" i="15"/>
  <c r="AM5" i="15"/>
  <c r="BH5" i="15" s="1"/>
  <c r="I141" i="15" s="1"/>
  <c r="I206" i="15" s="1"/>
  <c r="I270" i="15" s="1"/>
  <c r="AL5" i="15"/>
  <c r="AK5" i="15"/>
  <c r="AJ5" i="15"/>
  <c r="AI5" i="15"/>
  <c r="E125" i="15" s="1"/>
  <c r="E190" i="15" s="1"/>
  <c r="AH5" i="15"/>
  <c r="E121" i="15" s="1"/>
  <c r="E186" i="15" s="1"/>
  <c r="AG5" i="15"/>
  <c r="AF5" i="15"/>
  <c r="AE5" i="15"/>
  <c r="E109" i="15" s="1"/>
  <c r="E174" i="15" s="1"/>
  <c r="AD5" i="15"/>
  <c r="AC5" i="15"/>
  <c r="AB5" i="15"/>
  <c r="AA5" i="15"/>
  <c r="AV5" i="15" s="1"/>
  <c r="BK4" i="15"/>
  <c r="I152" i="15" s="1"/>
  <c r="I217" i="15" s="1"/>
  <c r="I281" i="15" s="1"/>
  <c r="BG4" i="15"/>
  <c r="I136" i="15" s="1"/>
  <c r="I201" i="15" s="1"/>
  <c r="I265" i="15" s="1"/>
  <c r="BE4" i="15"/>
  <c r="I128" i="15" s="1"/>
  <c r="I193" i="15" s="1"/>
  <c r="I257" i="15" s="1"/>
  <c r="BD4" i="15"/>
  <c r="I124" i="15" s="1"/>
  <c r="I189" i="15" s="1"/>
  <c r="I253" i="15" s="1"/>
  <c r="BC4" i="15"/>
  <c r="I120" i="15" s="1"/>
  <c r="I185" i="15" s="1"/>
  <c r="I249" i="15" s="1"/>
  <c r="BB4" i="15"/>
  <c r="I116" i="15" s="1"/>
  <c r="I181" i="15" s="1"/>
  <c r="I245" i="15" s="1"/>
  <c r="AY4" i="15"/>
  <c r="AV4" i="15"/>
  <c r="I92" i="15" s="1"/>
  <c r="I157" i="15" s="1"/>
  <c r="I221" i="15" s="1"/>
  <c r="AP4" i="15"/>
  <c r="AO4" i="15"/>
  <c r="BJ4" i="15" s="1"/>
  <c r="I148" i="15" s="1"/>
  <c r="AN4" i="15"/>
  <c r="E144" i="15" s="1"/>
  <c r="E209" i="15" s="1"/>
  <c r="AM4" i="15"/>
  <c r="BH4" i="15" s="1"/>
  <c r="I140" i="15" s="1"/>
  <c r="I205" i="15" s="1"/>
  <c r="I269" i="15" s="1"/>
  <c r="AL4" i="15"/>
  <c r="E136" i="15" s="1"/>
  <c r="E201" i="15" s="1"/>
  <c r="AK4" i="15"/>
  <c r="E132" i="15" s="1"/>
  <c r="E197" i="15" s="1"/>
  <c r="AJ4" i="15"/>
  <c r="AI4" i="15"/>
  <c r="E124" i="15" s="1"/>
  <c r="E189" i="15" s="1"/>
  <c r="AH4" i="15"/>
  <c r="AG4" i="15"/>
  <c r="AF4" i="15"/>
  <c r="E112" i="15" s="1"/>
  <c r="E177" i="15" s="1"/>
  <c r="AE4" i="15"/>
  <c r="AD4" i="15"/>
  <c r="AC4" i="15"/>
  <c r="AB4" i="15"/>
  <c r="AA4" i="15"/>
  <c r="E92" i="15" s="1"/>
  <c r="E157" i="15" s="1"/>
  <c r="A2" i="15"/>
  <c r="AV284" i="14"/>
  <c r="AR284" i="14"/>
  <c r="AI284" i="14"/>
  <c r="AG284" i="14"/>
  <c r="AC284" i="14"/>
  <c r="AA284" i="14"/>
  <c r="T284" i="14"/>
  <c r="AW283" i="14"/>
  <c r="AV283" i="14"/>
  <c r="AI283" i="14"/>
  <c r="AC283" i="14"/>
  <c r="T283" i="14"/>
  <c r="P283" i="14"/>
  <c r="F283" i="14"/>
  <c r="AT282" i="14"/>
  <c r="AR282" i="14"/>
  <c r="AI282" i="14"/>
  <c r="AE282" i="14"/>
  <c r="AC282" i="14"/>
  <c r="R282" i="14"/>
  <c r="P282" i="14"/>
  <c r="AV281" i="14"/>
  <c r="AK281" i="14"/>
  <c r="AG281" i="14"/>
  <c r="AE281" i="14"/>
  <c r="AD281" i="14"/>
  <c r="AC281" i="14"/>
  <c r="T281" i="14"/>
  <c r="F281" i="14"/>
  <c r="AK280" i="14"/>
  <c r="AI280" i="14"/>
  <c r="AG280" i="14"/>
  <c r="R280" i="14"/>
  <c r="F280" i="14"/>
  <c r="AK279" i="14"/>
  <c r="AI279" i="14"/>
  <c r="AF279" i="14"/>
  <c r="T279" i="14"/>
  <c r="P279" i="14"/>
  <c r="H279" i="14"/>
  <c r="G279" i="14"/>
  <c r="F279" i="14"/>
  <c r="AV278" i="14"/>
  <c r="AG278" i="14"/>
  <c r="AE278" i="14"/>
  <c r="T278" i="14"/>
  <c r="R278" i="14"/>
  <c r="J278" i="14"/>
  <c r="H278" i="14"/>
  <c r="F278" i="14"/>
  <c r="AK277" i="14"/>
  <c r="AG277" i="14"/>
  <c r="Y277" i="14"/>
  <c r="T277" i="14"/>
  <c r="J277" i="14"/>
  <c r="AP276" i="14"/>
  <c r="AI276" i="14"/>
  <c r="Y276" i="14"/>
  <c r="W276" i="14"/>
  <c r="T276" i="14"/>
  <c r="H276" i="14"/>
  <c r="AQ275" i="14"/>
  <c r="AP275" i="14"/>
  <c r="AK275" i="14"/>
  <c r="AG275" i="14"/>
  <c r="W275" i="14"/>
  <c r="T275" i="14"/>
  <c r="F275" i="14"/>
  <c r="AP274" i="14"/>
  <c r="AK274" i="14"/>
  <c r="Y274" i="14"/>
  <c r="W274" i="14"/>
  <c r="J274" i="14"/>
  <c r="AR273" i="14"/>
  <c r="AQ273" i="14"/>
  <c r="AI273" i="14"/>
  <c r="AC273" i="14"/>
  <c r="Y273" i="14"/>
  <c r="W273" i="14"/>
  <c r="N273" i="14"/>
  <c r="J273" i="14"/>
  <c r="AT272" i="14"/>
  <c r="AR272" i="14"/>
  <c r="AK272" i="14"/>
  <c r="Y272" i="14"/>
  <c r="N272" i="14"/>
  <c r="J272" i="14"/>
  <c r="F272" i="14"/>
  <c r="AP271" i="14"/>
  <c r="AK271" i="14"/>
  <c r="AJ271" i="14"/>
  <c r="AA271" i="14"/>
  <c r="Y271" i="14"/>
  <c r="O271" i="14"/>
  <c r="N271" i="14"/>
  <c r="J271" i="14"/>
  <c r="AV270" i="14"/>
  <c r="AR270" i="14"/>
  <c r="AP270" i="14"/>
  <c r="AL270" i="14"/>
  <c r="AC270" i="14"/>
  <c r="Y270" i="14"/>
  <c r="P270" i="14"/>
  <c r="AV269" i="14"/>
  <c r="AA269" i="14"/>
  <c r="P269" i="14"/>
  <c r="AT268" i="14"/>
  <c r="AP268" i="14"/>
  <c r="AC268" i="14"/>
  <c r="Y268" i="14"/>
  <c r="J268" i="14"/>
  <c r="AR267" i="14"/>
  <c r="AP267" i="14"/>
  <c r="AC267" i="14"/>
  <c r="P267" i="14"/>
  <c r="N267" i="14"/>
  <c r="AV266" i="14"/>
  <c r="AR266" i="14"/>
  <c r="AT265" i="14"/>
  <c r="AG265" i="14"/>
  <c r="AE265" i="14"/>
  <c r="AC265" i="14"/>
  <c r="R265" i="14"/>
  <c r="F265" i="14"/>
  <c r="D265" i="14"/>
  <c r="AV264" i="14"/>
  <c r="AC264" i="14"/>
  <c r="T264" i="14"/>
  <c r="F264" i="14"/>
  <c r="AV263" i="14"/>
  <c r="T263" i="14"/>
  <c r="H263" i="14"/>
  <c r="F263" i="14"/>
  <c r="AG262" i="14"/>
  <c r="AF262" i="14"/>
  <c r="AE262" i="14"/>
  <c r="H262" i="14"/>
  <c r="F262" i="14"/>
  <c r="AV261" i="14"/>
  <c r="AE261" i="14"/>
  <c r="X261" i="14"/>
  <c r="W261" i="14"/>
  <c r="V261" i="14"/>
  <c r="T261" i="14"/>
  <c r="AH260" i="14"/>
  <c r="T260" i="14"/>
  <c r="P260" i="14"/>
  <c r="E260" i="14"/>
  <c r="D260" i="14" s="1"/>
  <c r="AT259" i="14"/>
  <c r="AR259" i="14"/>
  <c r="AC259" i="14"/>
  <c r="P259" i="14"/>
  <c r="AR258" i="14"/>
  <c r="AQ258" i="14"/>
  <c r="AC258" i="14"/>
  <c r="Y258" i="14"/>
  <c r="X258" i="14"/>
  <c r="H258" i="14"/>
  <c r="AK257" i="14"/>
  <c r="AI257" i="14"/>
  <c r="V257" i="14"/>
  <c r="F257" i="14"/>
  <c r="AL256" i="14"/>
  <c r="AK256" i="14"/>
  <c r="AF256" i="14"/>
  <c r="AC256" i="14"/>
  <c r="AV255" i="14"/>
  <c r="AH255" i="14"/>
  <c r="AB255" i="14"/>
  <c r="AA255" i="14"/>
  <c r="AV254" i="14"/>
  <c r="AR254" i="14"/>
  <c r="AA254" i="14"/>
  <c r="AR253" i="14"/>
  <c r="AA253" i="14"/>
  <c r="Y253" i="14"/>
  <c r="AV252" i="14"/>
  <c r="AK252" i="14"/>
  <c r="Y252" i="14"/>
  <c r="R252" i="14"/>
  <c r="P252" i="14"/>
  <c r="AK251" i="14"/>
  <c r="AI251" i="14"/>
  <c r="AG251" i="14"/>
  <c r="Y251" i="14"/>
  <c r="R251" i="14"/>
  <c r="P251" i="14"/>
  <c r="AV250" i="14"/>
  <c r="AK250" i="14"/>
  <c r="AI250" i="14"/>
  <c r="AG250" i="14"/>
  <c r="P250" i="14"/>
  <c r="AV249" i="14"/>
  <c r="AI249" i="14"/>
  <c r="Y249" i="14"/>
  <c r="R249" i="14"/>
  <c r="AW248" i="14"/>
  <c r="AV248" i="14"/>
  <c r="AI248" i="14"/>
  <c r="Y248" i="14"/>
  <c r="R248" i="14"/>
  <c r="AV247" i="14"/>
  <c r="AI247" i="14"/>
  <c r="Y247" i="14"/>
  <c r="X247" i="14"/>
  <c r="R247" i="14"/>
  <c r="AV246" i="14"/>
  <c r="AJ246" i="14"/>
  <c r="AI246" i="14"/>
  <c r="AG246" i="14"/>
  <c r="Y246" i="14"/>
  <c r="AK245" i="14"/>
  <c r="AI245" i="14"/>
  <c r="T245" i="14"/>
  <c r="P245" i="14"/>
  <c r="AV244" i="14"/>
  <c r="AI244" i="14"/>
  <c r="Y244" i="14"/>
  <c r="T244" i="14"/>
  <c r="P244" i="14"/>
  <c r="AK243" i="14"/>
  <c r="AI243" i="14"/>
  <c r="Y243" i="14"/>
  <c r="F243" i="14"/>
  <c r="AV242" i="14"/>
  <c r="AK242" i="14"/>
  <c r="AI242" i="14"/>
  <c r="R242" i="14"/>
  <c r="Q242" i="14"/>
  <c r="AV241" i="14"/>
  <c r="AK241" i="14"/>
  <c r="Y241" i="14"/>
  <c r="R241" i="14"/>
  <c r="P241" i="14"/>
  <c r="AV240" i="14"/>
  <c r="AK240" i="14"/>
  <c r="Y240" i="14"/>
  <c r="H240" i="14"/>
  <c r="AK239" i="14"/>
  <c r="Y239" i="14"/>
  <c r="R239" i="14"/>
  <c r="P239" i="14"/>
  <c r="R238" i="14"/>
  <c r="P238" i="14"/>
  <c r="AW237" i="14"/>
  <c r="AV237" i="14"/>
  <c r="R237" i="14"/>
  <c r="P237" i="14"/>
  <c r="D237" i="14"/>
  <c r="AV236" i="14"/>
  <c r="AA236" i="14"/>
  <c r="Y236" i="14"/>
  <c r="H236" i="14"/>
  <c r="AR235" i="14"/>
  <c r="AC235" i="14"/>
  <c r="N235" i="14"/>
  <c r="J235" i="14"/>
  <c r="AV234" i="14"/>
  <c r="AC234" i="14"/>
  <c r="R234" i="14"/>
  <c r="Q234" i="14"/>
  <c r="P234" i="14"/>
  <c r="AG233" i="14"/>
  <c r="W233" i="14"/>
  <c r="V233" i="14"/>
  <c r="T233" i="14"/>
  <c r="AT232" i="14"/>
  <c r="AA232" i="14"/>
  <c r="P232" i="14"/>
  <c r="AV231" i="14"/>
  <c r="AR231" i="14"/>
  <c r="AQ231" i="14"/>
  <c r="AC231" i="14"/>
  <c r="T231" i="14"/>
  <c r="F231" i="14"/>
  <c r="AV230" i="14"/>
  <c r="AI230" i="14"/>
  <c r="AG230" i="14"/>
  <c r="Y230" i="14"/>
  <c r="W230" i="14"/>
  <c r="J230" i="14"/>
  <c r="F230" i="14"/>
  <c r="E230" i="14"/>
  <c r="D230" i="14" s="1"/>
  <c r="AK229" i="14"/>
  <c r="R229" i="14"/>
  <c r="P229" i="14"/>
  <c r="J229" i="14"/>
  <c r="AT228" i="14"/>
  <c r="AG228" i="14"/>
  <c r="T228" i="14"/>
  <c r="AK227" i="14"/>
  <c r="Y227" i="14"/>
  <c r="T227" i="14"/>
  <c r="H227" i="14"/>
  <c r="G227" i="14"/>
  <c r="AR226" i="14"/>
  <c r="AP226" i="14"/>
  <c r="AE226" i="14"/>
  <c r="Y226" i="14"/>
  <c r="J226" i="14"/>
  <c r="AI225" i="14"/>
  <c r="AC225" i="14"/>
  <c r="F225" i="14"/>
  <c r="AP224" i="14"/>
  <c r="AG224" i="14"/>
  <c r="W224" i="14"/>
  <c r="AT223" i="14"/>
  <c r="AK223" i="14"/>
  <c r="AA223" i="14"/>
  <c r="N223" i="14"/>
  <c r="AV222" i="14"/>
  <c r="H222" i="14"/>
  <c r="F222" i="14"/>
  <c r="AV221" i="14"/>
  <c r="AG221" i="14"/>
  <c r="X221" i="14"/>
  <c r="T221" i="14"/>
  <c r="J221" i="14"/>
  <c r="G221" i="14"/>
  <c r="F221" i="14"/>
  <c r="AV220" i="14"/>
  <c r="AT220" i="14"/>
  <c r="AT284" i="14" s="1"/>
  <c r="AR220" i="14"/>
  <c r="AK220" i="14"/>
  <c r="AK284" i="14" s="1"/>
  <c r="AI220" i="14"/>
  <c r="AG220" i="14"/>
  <c r="AE220" i="14"/>
  <c r="AC220" i="14"/>
  <c r="AA220" i="14"/>
  <c r="Y220" i="14"/>
  <c r="Y284" i="14" s="1"/>
  <c r="T220" i="14"/>
  <c r="R220" i="14"/>
  <c r="R284" i="14" s="1"/>
  <c r="P220" i="14"/>
  <c r="P284" i="14" s="1"/>
  <c r="O220" i="14"/>
  <c r="O284" i="14" s="1"/>
  <c r="J220" i="14"/>
  <c r="J284" i="14" s="1"/>
  <c r="H220" i="14"/>
  <c r="H284" i="14" s="1"/>
  <c r="F220" i="14"/>
  <c r="F284" i="14" s="1"/>
  <c r="AV219" i="14"/>
  <c r="AT219" i="14"/>
  <c r="AT283" i="14" s="1"/>
  <c r="AR219" i="14"/>
  <c r="AR283" i="14" s="1"/>
  <c r="AK219" i="14"/>
  <c r="AK283" i="14" s="1"/>
  <c r="AI219" i="14"/>
  <c r="AG219" i="14"/>
  <c r="AG283" i="14" s="1"/>
  <c r="AE219" i="14"/>
  <c r="AC219" i="14"/>
  <c r="AA219" i="14"/>
  <c r="AA283" i="14" s="1"/>
  <c r="Y219" i="14"/>
  <c r="Y283" i="14" s="1"/>
  <c r="T219" i="14"/>
  <c r="R219" i="14"/>
  <c r="R283" i="14" s="1"/>
  <c r="P219" i="14"/>
  <c r="J219" i="14"/>
  <c r="J283" i="14" s="1"/>
  <c r="H219" i="14"/>
  <c r="H283" i="14" s="1"/>
  <c r="F219" i="14"/>
  <c r="AV218" i="14"/>
  <c r="AV282" i="14" s="1"/>
  <c r="AT218" i="14"/>
  <c r="AR218" i="14"/>
  <c r="AK218" i="14"/>
  <c r="AK282" i="14" s="1"/>
  <c r="AI218" i="14"/>
  <c r="AG218" i="14"/>
  <c r="AG282" i="14" s="1"/>
  <c r="AC218" i="14"/>
  <c r="AA218" i="14"/>
  <c r="AA282" i="14" s="1"/>
  <c r="Y218" i="14"/>
  <c r="Y282" i="14" s="1"/>
  <c r="T218" i="14"/>
  <c r="T282" i="14" s="1"/>
  <c r="R218" i="14"/>
  <c r="P218" i="14"/>
  <c r="J218" i="14"/>
  <c r="J282" i="14" s="1"/>
  <c r="I218" i="14"/>
  <c r="I282" i="14" s="1"/>
  <c r="H218" i="14"/>
  <c r="H282" i="14" s="1"/>
  <c r="F218" i="14"/>
  <c r="F282" i="14" s="1"/>
  <c r="AV217" i="14"/>
  <c r="AT217" i="14"/>
  <c r="AT281" i="14" s="1"/>
  <c r="AR217" i="14"/>
  <c r="AR281" i="14" s="1"/>
  <c r="AQ217" i="14"/>
  <c r="AQ281" i="14" s="1"/>
  <c r="AP217" i="14"/>
  <c r="AK217" i="14"/>
  <c r="AI217" i="14"/>
  <c r="AI281" i="14" s="1"/>
  <c r="AG217" i="14"/>
  <c r="AE217" i="14"/>
  <c r="AC217" i="14"/>
  <c r="AA217" i="14"/>
  <c r="AA281" i="14" s="1"/>
  <c r="Y217" i="14"/>
  <c r="Y281" i="14" s="1"/>
  <c r="T217" i="14"/>
  <c r="R217" i="14"/>
  <c r="R281" i="14" s="1"/>
  <c r="P217" i="14"/>
  <c r="P281" i="14" s="1"/>
  <c r="J217" i="14"/>
  <c r="J281" i="14" s="1"/>
  <c r="H217" i="14"/>
  <c r="H281" i="14" s="1"/>
  <c r="F217" i="14"/>
  <c r="AV216" i="14"/>
  <c r="AV280" i="14" s="1"/>
  <c r="AT216" i="14"/>
  <c r="AT280" i="14" s="1"/>
  <c r="AR216" i="14"/>
  <c r="AR280" i="14" s="1"/>
  <c r="AK216" i="14"/>
  <c r="AI216" i="14"/>
  <c r="AG216" i="14"/>
  <c r="AE216" i="14"/>
  <c r="AC216" i="14"/>
  <c r="AC280" i="14" s="1"/>
  <c r="AA216" i="14"/>
  <c r="AA280" i="14" s="1"/>
  <c r="Y216" i="14"/>
  <c r="Y280" i="14" s="1"/>
  <c r="T216" i="14"/>
  <c r="T280" i="14" s="1"/>
  <c r="R216" i="14"/>
  <c r="Q216" i="14"/>
  <c r="Q280" i="14" s="1"/>
  <c r="P216" i="14"/>
  <c r="P280" i="14" s="1"/>
  <c r="N216" i="14"/>
  <c r="J216" i="14"/>
  <c r="J280" i="14" s="1"/>
  <c r="H216" i="14"/>
  <c r="H280" i="14" s="1"/>
  <c r="F216" i="14"/>
  <c r="AV215" i="14"/>
  <c r="AV279" i="14" s="1"/>
  <c r="AT215" i="14"/>
  <c r="AT279" i="14" s="1"/>
  <c r="AR215" i="14"/>
  <c r="AR279" i="14" s="1"/>
  <c r="AP215" i="14"/>
  <c r="AK215" i="14"/>
  <c r="AI215" i="14"/>
  <c r="AG215" i="14"/>
  <c r="AG279" i="14" s="1"/>
  <c r="AF215" i="14"/>
  <c r="AC215" i="14"/>
  <c r="AC279" i="14" s="1"/>
  <c r="AA215" i="14"/>
  <c r="AA279" i="14" s="1"/>
  <c r="Y215" i="14"/>
  <c r="Y279" i="14" s="1"/>
  <c r="T215" i="14"/>
  <c r="R215" i="14"/>
  <c r="R279" i="14" s="1"/>
  <c r="P215" i="14"/>
  <c r="J215" i="14"/>
  <c r="J279" i="14" s="1"/>
  <c r="H215" i="14"/>
  <c r="F215" i="14"/>
  <c r="AV214" i="14"/>
  <c r="AT214" i="14"/>
  <c r="AT278" i="14" s="1"/>
  <c r="AS214" i="14"/>
  <c r="AS278" i="14" s="1"/>
  <c r="AR214" i="14"/>
  <c r="AR278" i="14" s="1"/>
  <c r="AK214" i="14"/>
  <c r="AK278" i="14" s="1"/>
  <c r="AI214" i="14"/>
  <c r="AI278" i="14" s="1"/>
  <c r="AG214" i="14"/>
  <c r="AC214" i="14"/>
  <c r="AC278" i="14" s="1"/>
  <c r="AA214" i="14"/>
  <c r="AA278" i="14" s="1"/>
  <c r="Y214" i="14"/>
  <c r="Y278" i="14" s="1"/>
  <c r="T214" i="14"/>
  <c r="R214" i="14"/>
  <c r="P214" i="14"/>
  <c r="P278" i="14" s="1"/>
  <c r="J214" i="14"/>
  <c r="I214" i="14"/>
  <c r="I278" i="14" s="1"/>
  <c r="H214" i="14"/>
  <c r="F214" i="14"/>
  <c r="AV213" i="14"/>
  <c r="AV277" i="14" s="1"/>
  <c r="AT213" i="14"/>
  <c r="AT277" i="14" s="1"/>
  <c r="AR213" i="14"/>
  <c r="AR277" i="14" s="1"/>
  <c r="AK213" i="14"/>
  <c r="AI213" i="14"/>
  <c r="AI277" i="14" s="1"/>
  <c r="AG213" i="14"/>
  <c r="AC213" i="14"/>
  <c r="AC277" i="14" s="1"/>
  <c r="AA213" i="14"/>
  <c r="AA277" i="14" s="1"/>
  <c r="Y213" i="14"/>
  <c r="T213" i="14"/>
  <c r="R213" i="14"/>
  <c r="R277" i="14" s="1"/>
  <c r="P213" i="14"/>
  <c r="P277" i="14" s="1"/>
  <c r="J213" i="14"/>
  <c r="H213" i="14"/>
  <c r="H277" i="14" s="1"/>
  <c r="F213" i="14"/>
  <c r="F277" i="14" s="1"/>
  <c r="AV212" i="14"/>
  <c r="AV276" i="14" s="1"/>
  <c r="AT212" i="14"/>
  <c r="AT276" i="14" s="1"/>
  <c r="AR212" i="14"/>
  <c r="AR276" i="14" s="1"/>
  <c r="AK212" i="14"/>
  <c r="AK276" i="14" s="1"/>
  <c r="AI212" i="14"/>
  <c r="AG212" i="14"/>
  <c r="AG276" i="14" s="1"/>
  <c r="AE212" i="14"/>
  <c r="AC212" i="14"/>
  <c r="AC276" i="14" s="1"/>
  <c r="AA212" i="14"/>
  <c r="AA276" i="14" s="1"/>
  <c r="Y212" i="14"/>
  <c r="W212" i="14"/>
  <c r="T212" i="14"/>
  <c r="R212" i="14"/>
  <c r="R276" i="14" s="1"/>
  <c r="P212" i="14"/>
  <c r="P276" i="14" s="1"/>
  <c r="N212" i="14"/>
  <c r="J212" i="14"/>
  <c r="J276" i="14" s="1"/>
  <c r="H212" i="14"/>
  <c r="F212" i="14"/>
  <c r="F276" i="14" s="1"/>
  <c r="AV211" i="14"/>
  <c r="AV275" i="14" s="1"/>
  <c r="AT211" i="14"/>
  <c r="AT275" i="14" s="1"/>
  <c r="AR211" i="14"/>
  <c r="AR275" i="14" s="1"/>
  <c r="AK211" i="14"/>
  <c r="AJ211" i="14"/>
  <c r="AJ275" i="14" s="1"/>
  <c r="AI211" i="14"/>
  <c r="AI275" i="14" s="1"/>
  <c r="AG211" i="14"/>
  <c r="AC211" i="14"/>
  <c r="AC275" i="14" s="1"/>
  <c r="AA211" i="14"/>
  <c r="AA275" i="14" s="1"/>
  <c r="Y211" i="14"/>
  <c r="Y275" i="14" s="1"/>
  <c r="T211" i="14"/>
  <c r="R211" i="14"/>
  <c r="R275" i="14" s="1"/>
  <c r="P211" i="14"/>
  <c r="P275" i="14" s="1"/>
  <c r="J211" i="14"/>
  <c r="J275" i="14" s="1"/>
  <c r="H211" i="14"/>
  <c r="H275" i="14" s="1"/>
  <c r="F211" i="14"/>
  <c r="AV210" i="14"/>
  <c r="AV274" i="14" s="1"/>
  <c r="AT210" i="14"/>
  <c r="AT274" i="14" s="1"/>
  <c r="AR210" i="14"/>
  <c r="AR274" i="14" s="1"/>
  <c r="AP210" i="14"/>
  <c r="AK210" i="14"/>
  <c r="AI210" i="14"/>
  <c r="AI274" i="14" s="1"/>
  <c r="AG210" i="14"/>
  <c r="AG274" i="14" s="1"/>
  <c r="AC210" i="14"/>
  <c r="AC274" i="14" s="1"/>
  <c r="AA210" i="14"/>
  <c r="AA274" i="14" s="1"/>
  <c r="Y210" i="14"/>
  <c r="W210" i="14"/>
  <c r="T210" i="14"/>
  <c r="T274" i="14" s="1"/>
  <c r="R210" i="14"/>
  <c r="R274" i="14" s="1"/>
  <c r="P210" i="14"/>
  <c r="P274" i="14" s="1"/>
  <c r="J210" i="14"/>
  <c r="H210" i="14"/>
  <c r="H274" i="14" s="1"/>
  <c r="G210" i="14"/>
  <c r="G274" i="14" s="1"/>
  <c r="F210" i="14"/>
  <c r="F274" i="14" s="1"/>
  <c r="AV209" i="14"/>
  <c r="AV273" i="14" s="1"/>
  <c r="AT209" i="14"/>
  <c r="AT273" i="14" s="1"/>
  <c r="AR209" i="14"/>
  <c r="AK209" i="14"/>
  <c r="AK273" i="14" s="1"/>
  <c r="AI209" i="14"/>
  <c r="AG209" i="14"/>
  <c r="AG273" i="14" s="1"/>
  <c r="AC209" i="14"/>
  <c r="AA209" i="14"/>
  <c r="AA273" i="14" s="1"/>
  <c r="Y209" i="14"/>
  <c r="X209" i="14"/>
  <c r="X273" i="14" s="1"/>
  <c r="W209" i="14"/>
  <c r="T209" i="14"/>
  <c r="T273" i="14" s="1"/>
  <c r="R209" i="14"/>
  <c r="R273" i="14" s="1"/>
  <c r="P209" i="14"/>
  <c r="P273" i="14" s="1"/>
  <c r="J209" i="14"/>
  <c r="H209" i="14"/>
  <c r="H273" i="14" s="1"/>
  <c r="F209" i="14"/>
  <c r="F273" i="14" s="1"/>
  <c r="AV208" i="14"/>
  <c r="AV272" i="14" s="1"/>
  <c r="AT208" i="14"/>
  <c r="AR208" i="14"/>
  <c r="AP208" i="14"/>
  <c r="AP284" i="14" s="1"/>
  <c r="AK208" i="14"/>
  <c r="AI208" i="14"/>
  <c r="AI272" i="14" s="1"/>
  <c r="AG208" i="14"/>
  <c r="AG272" i="14" s="1"/>
  <c r="AE208" i="14"/>
  <c r="AE284" i="14" s="1"/>
  <c r="AC208" i="14"/>
  <c r="AC272" i="14" s="1"/>
  <c r="AA208" i="14"/>
  <c r="AA272" i="14" s="1"/>
  <c r="Y208" i="14"/>
  <c r="W208" i="14"/>
  <c r="W284" i="14" s="1"/>
  <c r="T208" i="14"/>
  <c r="T272" i="14" s="1"/>
  <c r="R208" i="14"/>
  <c r="R272" i="14" s="1"/>
  <c r="P208" i="14"/>
  <c r="P272" i="14" s="1"/>
  <c r="N208" i="14"/>
  <c r="N284" i="14" s="1"/>
  <c r="J208" i="14"/>
  <c r="H208" i="14"/>
  <c r="H272" i="14" s="1"/>
  <c r="F208" i="14"/>
  <c r="AV207" i="14"/>
  <c r="AV271" i="14" s="1"/>
  <c r="AT207" i="14"/>
  <c r="AT271" i="14" s="1"/>
  <c r="AR207" i="14"/>
  <c r="AR271" i="14" s="1"/>
  <c r="AP207" i="14"/>
  <c r="AP283" i="14" s="1"/>
  <c r="AK207" i="14"/>
  <c r="AI207" i="14"/>
  <c r="AI271" i="14" s="1"/>
  <c r="AH207" i="14"/>
  <c r="AH271" i="14" s="1"/>
  <c r="AG207" i="14"/>
  <c r="AG271" i="14" s="1"/>
  <c r="AF207" i="14"/>
  <c r="AF271" i="14" s="1"/>
  <c r="AE207" i="14"/>
  <c r="AE283" i="14" s="1"/>
  <c r="AC207" i="14"/>
  <c r="AC271" i="14" s="1"/>
  <c r="AA207" i="14"/>
  <c r="Y207" i="14"/>
  <c r="W207" i="14"/>
  <c r="W283" i="14" s="1"/>
  <c r="T207" i="14"/>
  <c r="T271" i="14" s="1"/>
  <c r="R207" i="14"/>
  <c r="R271" i="14" s="1"/>
  <c r="Q207" i="14"/>
  <c r="Q271" i="14" s="1"/>
  <c r="P207" i="14"/>
  <c r="P271" i="14" s="1"/>
  <c r="N207" i="14"/>
  <c r="N283" i="14" s="1"/>
  <c r="J207" i="14"/>
  <c r="H207" i="14"/>
  <c r="H271" i="14" s="1"/>
  <c r="F207" i="14"/>
  <c r="F271" i="14" s="1"/>
  <c r="AV206" i="14"/>
  <c r="AT206" i="14"/>
  <c r="AT270" i="14" s="1"/>
  <c r="AR206" i="14"/>
  <c r="AP206" i="14"/>
  <c r="AP282" i="14" s="1"/>
  <c r="AK206" i="14"/>
  <c r="AK270" i="14" s="1"/>
  <c r="AI206" i="14"/>
  <c r="AI270" i="14" s="1"/>
  <c r="AG206" i="14"/>
  <c r="AG270" i="14" s="1"/>
  <c r="AE206" i="14"/>
  <c r="AC206" i="14"/>
  <c r="AA206" i="14"/>
  <c r="AA270" i="14" s="1"/>
  <c r="Z206" i="14"/>
  <c r="Z270" i="14" s="1"/>
  <c r="Y206" i="14"/>
  <c r="W206" i="14"/>
  <c r="W282" i="14" s="1"/>
  <c r="T206" i="14"/>
  <c r="T270" i="14" s="1"/>
  <c r="R206" i="14"/>
  <c r="R270" i="14" s="1"/>
  <c r="P206" i="14"/>
  <c r="N206" i="14"/>
  <c r="N282" i="14" s="1"/>
  <c r="J206" i="14"/>
  <c r="J270" i="14" s="1"/>
  <c r="H206" i="14"/>
  <c r="H270" i="14" s="1"/>
  <c r="F206" i="14"/>
  <c r="F270" i="14" s="1"/>
  <c r="AV205" i="14"/>
  <c r="AT205" i="14"/>
  <c r="AT269" i="14" s="1"/>
  <c r="AR205" i="14"/>
  <c r="AR269" i="14" s="1"/>
  <c r="AP205" i="14"/>
  <c r="AP281" i="14" s="1"/>
  <c r="AK205" i="14"/>
  <c r="AK269" i="14" s="1"/>
  <c r="AI205" i="14"/>
  <c r="AI269" i="14" s="1"/>
  <c r="AG205" i="14"/>
  <c r="AG269" i="14" s="1"/>
  <c r="AE205" i="14"/>
  <c r="AC205" i="14"/>
  <c r="AC269" i="14" s="1"/>
  <c r="AB205" i="14"/>
  <c r="AB269" i="14" s="1"/>
  <c r="AA205" i="14"/>
  <c r="Y205" i="14"/>
  <c r="Y269" i="14" s="1"/>
  <c r="W205" i="14"/>
  <c r="W281" i="14" s="1"/>
  <c r="T205" i="14"/>
  <c r="T269" i="14" s="1"/>
  <c r="R205" i="14"/>
  <c r="R269" i="14" s="1"/>
  <c r="P205" i="14"/>
  <c r="N205" i="14"/>
  <c r="N281" i="14" s="1"/>
  <c r="K205" i="14"/>
  <c r="K269" i="14" s="1"/>
  <c r="J205" i="14"/>
  <c r="J269" i="14" s="1"/>
  <c r="H205" i="14"/>
  <c r="H269" i="14" s="1"/>
  <c r="F205" i="14"/>
  <c r="F269" i="14" s="1"/>
  <c r="AV204" i="14"/>
  <c r="AV268" i="14" s="1"/>
  <c r="AT204" i="14"/>
  <c r="AS204" i="14"/>
  <c r="AS268" i="14" s="1"/>
  <c r="AR204" i="14"/>
  <c r="AR268" i="14" s="1"/>
  <c r="AP204" i="14"/>
  <c r="AP280" i="14" s="1"/>
  <c r="AK204" i="14"/>
  <c r="AK268" i="14" s="1"/>
  <c r="AI204" i="14"/>
  <c r="AI268" i="14" s="1"/>
  <c r="AG204" i="14"/>
  <c r="AG268" i="14" s="1"/>
  <c r="AE204" i="14"/>
  <c r="AE280" i="14" s="1"/>
  <c r="AC204" i="14"/>
  <c r="AA204" i="14"/>
  <c r="AA268" i="14" s="1"/>
  <c r="Y204" i="14"/>
  <c r="W204" i="14"/>
  <c r="W280" i="14" s="1"/>
  <c r="T204" i="14"/>
  <c r="T268" i="14" s="1"/>
  <c r="R204" i="14"/>
  <c r="R268" i="14" s="1"/>
  <c r="P204" i="14"/>
  <c r="P268" i="14" s="1"/>
  <c r="N204" i="14"/>
  <c r="N280" i="14" s="1"/>
  <c r="J204" i="14"/>
  <c r="H204" i="14"/>
  <c r="H268" i="14" s="1"/>
  <c r="F204" i="14"/>
  <c r="F268" i="14" s="1"/>
  <c r="AV203" i="14"/>
  <c r="AV267" i="14" s="1"/>
  <c r="AT203" i="14"/>
  <c r="AT267" i="14" s="1"/>
  <c r="AR203" i="14"/>
  <c r="AP203" i="14"/>
  <c r="AP279" i="14" s="1"/>
  <c r="AK203" i="14"/>
  <c r="AK267" i="14" s="1"/>
  <c r="AI203" i="14"/>
  <c r="AI267" i="14" s="1"/>
  <c r="AH203" i="14"/>
  <c r="AH267" i="14" s="1"/>
  <c r="AG203" i="14"/>
  <c r="AG267" i="14" s="1"/>
  <c r="AE203" i="14"/>
  <c r="AE279" i="14" s="1"/>
  <c r="AC203" i="14"/>
  <c r="AA203" i="14"/>
  <c r="AA267" i="14" s="1"/>
  <c r="Y203" i="14"/>
  <c r="Y267" i="14" s="1"/>
  <c r="W203" i="14"/>
  <c r="W279" i="14" s="1"/>
  <c r="T203" i="14"/>
  <c r="T267" i="14" s="1"/>
  <c r="R203" i="14"/>
  <c r="R267" i="14" s="1"/>
  <c r="P203" i="14"/>
  <c r="N203" i="14"/>
  <c r="N279" i="14" s="1"/>
  <c r="J203" i="14"/>
  <c r="J267" i="14" s="1"/>
  <c r="H203" i="14"/>
  <c r="H267" i="14" s="1"/>
  <c r="G203" i="14"/>
  <c r="G267" i="14" s="1"/>
  <c r="F203" i="14"/>
  <c r="F267" i="14" s="1"/>
  <c r="AV202" i="14"/>
  <c r="AT202" i="14"/>
  <c r="AT266" i="14" s="1"/>
  <c r="AR202" i="14"/>
  <c r="AP202" i="14"/>
  <c r="AP278" i="14" s="1"/>
  <c r="AK202" i="14"/>
  <c r="AK266" i="14" s="1"/>
  <c r="AI202" i="14"/>
  <c r="AI266" i="14" s="1"/>
  <c r="AG202" i="14"/>
  <c r="AG266" i="14" s="1"/>
  <c r="AE202" i="14"/>
  <c r="AD202" i="14"/>
  <c r="AD266" i="14" s="1"/>
  <c r="AC202" i="14"/>
  <c r="AC266" i="14" s="1"/>
  <c r="AA202" i="14"/>
  <c r="AA266" i="14" s="1"/>
  <c r="Y202" i="14"/>
  <c r="Y266" i="14" s="1"/>
  <c r="W202" i="14"/>
  <c r="W278" i="14" s="1"/>
  <c r="T202" i="14"/>
  <c r="T266" i="14" s="1"/>
  <c r="R202" i="14"/>
  <c r="R266" i="14" s="1"/>
  <c r="P202" i="14"/>
  <c r="P266" i="14" s="1"/>
  <c r="N202" i="14"/>
  <c r="N278" i="14" s="1"/>
  <c r="J202" i="14"/>
  <c r="J266" i="14" s="1"/>
  <c r="H202" i="14"/>
  <c r="H266" i="14" s="1"/>
  <c r="F202" i="14"/>
  <c r="F266" i="14" s="1"/>
  <c r="AV201" i="14"/>
  <c r="AV265" i="14" s="1"/>
  <c r="AU201" i="14"/>
  <c r="AU265" i="14" s="1"/>
  <c r="AT201" i="14"/>
  <c r="AR201" i="14"/>
  <c r="AR265" i="14" s="1"/>
  <c r="AQ201" i="14"/>
  <c r="AQ265" i="14" s="1"/>
  <c r="AP201" i="14"/>
  <c r="AP277" i="14" s="1"/>
  <c r="AK201" i="14"/>
  <c r="AK265" i="14" s="1"/>
  <c r="AI201" i="14"/>
  <c r="AI265" i="14" s="1"/>
  <c r="AG201" i="14"/>
  <c r="AE201" i="14"/>
  <c r="AE277" i="14" s="1"/>
  <c r="AC201" i="14"/>
  <c r="AB201" i="14"/>
  <c r="AB265" i="14" s="1"/>
  <c r="AA201" i="14"/>
  <c r="AA265" i="14" s="1"/>
  <c r="Y201" i="14"/>
  <c r="Y265" i="14" s="1"/>
  <c r="W201" i="14"/>
  <c r="W277" i="14" s="1"/>
  <c r="T201" i="14"/>
  <c r="T265" i="14" s="1"/>
  <c r="R201" i="14"/>
  <c r="P201" i="14"/>
  <c r="P265" i="14" s="1"/>
  <c r="N201" i="14"/>
  <c r="N277" i="14" s="1"/>
  <c r="J201" i="14"/>
  <c r="J265" i="14" s="1"/>
  <c r="H201" i="14"/>
  <c r="H265" i="14" s="1"/>
  <c r="F201" i="14"/>
  <c r="D201" i="14"/>
  <c r="AV200" i="14"/>
  <c r="AT200" i="14"/>
  <c r="AT264" i="14" s="1"/>
  <c r="AR200" i="14"/>
  <c r="AR264" i="14" s="1"/>
  <c r="AP200" i="14"/>
  <c r="AK200" i="14"/>
  <c r="AK264" i="14" s="1"/>
  <c r="AI200" i="14"/>
  <c r="AI264" i="14" s="1"/>
  <c r="AG200" i="14"/>
  <c r="AG264" i="14" s="1"/>
  <c r="AE200" i="14"/>
  <c r="AE276" i="14" s="1"/>
  <c r="AC200" i="14"/>
  <c r="AA200" i="14"/>
  <c r="AA264" i="14" s="1"/>
  <c r="Z200" i="14"/>
  <c r="Z264" i="14" s="1"/>
  <c r="Y200" i="14"/>
  <c r="Y264" i="14" s="1"/>
  <c r="W200" i="14"/>
  <c r="T200" i="14"/>
  <c r="R200" i="14"/>
  <c r="R264" i="14" s="1"/>
  <c r="P200" i="14"/>
  <c r="P264" i="14" s="1"/>
  <c r="N200" i="14"/>
  <c r="N276" i="14" s="1"/>
  <c r="J200" i="14"/>
  <c r="J264" i="14" s="1"/>
  <c r="H200" i="14"/>
  <c r="H264" i="14" s="1"/>
  <c r="F200" i="14"/>
  <c r="AV199" i="14"/>
  <c r="AT199" i="14"/>
  <c r="AT263" i="14" s="1"/>
  <c r="AR199" i="14"/>
  <c r="AR263" i="14" s="1"/>
  <c r="AP199" i="14"/>
  <c r="AK199" i="14"/>
  <c r="AK263" i="14" s="1"/>
  <c r="AJ199" i="14"/>
  <c r="AJ263" i="14" s="1"/>
  <c r="AI199" i="14"/>
  <c r="AI263" i="14" s="1"/>
  <c r="AG199" i="14"/>
  <c r="AG263" i="14" s="1"/>
  <c r="AE199" i="14"/>
  <c r="AE275" i="14" s="1"/>
  <c r="AC199" i="14"/>
  <c r="AC263" i="14" s="1"/>
  <c r="AA199" i="14"/>
  <c r="AA263" i="14" s="1"/>
  <c r="Y199" i="14"/>
  <c r="Y263" i="14" s="1"/>
  <c r="W199" i="14"/>
  <c r="T199" i="14"/>
  <c r="R199" i="14"/>
  <c r="R263" i="14" s="1"/>
  <c r="Q199" i="14"/>
  <c r="Q263" i="14" s="1"/>
  <c r="P199" i="14"/>
  <c r="P263" i="14" s="1"/>
  <c r="N199" i="14"/>
  <c r="N275" i="14" s="1"/>
  <c r="J199" i="14"/>
  <c r="J263" i="14" s="1"/>
  <c r="H199" i="14"/>
  <c r="F199" i="14"/>
  <c r="AV198" i="14"/>
  <c r="AV262" i="14" s="1"/>
  <c r="AT198" i="14"/>
  <c r="AT262" i="14" s="1"/>
  <c r="AR198" i="14"/>
  <c r="AR262" i="14" s="1"/>
  <c r="AP198" i="14"/>
  <c r="AK198" i="14"/>
  <c r="AK262" i="14" s="1"/>
  <c r="AI198" i="14"/>
  <c r="AI262" i="14" s="1"/>
  <c r="AG198" i="14"/>
  <c r="AF198" i="14"/>
  <c r="AE198" i="14"/>
  <c r="AE274" i="14" s="1"/>
  <c r="AC198" i="14"/>
  <c r="AC262" i="14" s="1"/>
  <c r="AA198" i="14"/>
  <c r="AA262" i="14" s="1"/>
  <c r="Y198" i="14"/>
  <c r="Y262" i="14" s="1"/>
  <c r="W198" i="14"/>
  <c r="T198" i="14"/>
  <c r="T262" i="14" s="1"/>
  <c r="R198" i="14"/>
  <c r="R262" i="14" s="1"/>
  <c r="P198" i="14"/>
  <c r="P262" i="14" s="1"/>
  <c r="N198" i="14"/>
  <c r="N274" i="14" s="1"/>
  <c r="J198" i="14"/>
  <c r="J262" i="14" s="1"/>
  <c r="H198" i="14"/>
  <c r="F198" i="14"/>
  <c r="AV197" i="14"/>
  <c r="AT197" i="14"/>
  <c r="AT261" i="14" s="1"/>
  <c r="AR197" i="14"/>
  <c r="AR261" i="14" s="1"/>
  <c r="AP197" i="14"/>
  <c r="AP273" i="14" s="1"/>
  <c r="AK197" i="14"/>
  <c r="AK261" i="14" s="1"/>
  <c r="AI197" i="14"/>
  <c r="AI261" i="14" s="1"/>
  <c r="AG197" i="14"/>
  <c r="AG261" i="14" s="1"/>
  <c r="AE197" i="14"/>
  <c r="AE273" i="14" s="1"/>
  <c r="AC197" i="14"/>
  <c r="AC261" i="14" s="1"/>
  <c r="AA197" i="14"/>
  <c r="AA261" i="14" s="1"/>
  <c r="Y197" i="14"/>
  <c r="Y261" i="14" s="1"/>
  <c r="W197" i="14"/>
  <c r="T197" i="14"/>
  <c r="R197" i="14"/>
  <c r="R261" i="14" s="1"/>
  <c r="P197" i="14"/>
  <c r="P261" i="14" s="1"/>
  <c r="N197" i="14"/>
  <c r="J197" i="14"/>
  <c r="J261" i="14" s="1"/>
  <c r="H197" i="14"/>
  <c r="H261" i="14" s="1"/>
  <c r="F197" i="14"/>
  <c r="F261" i="14" s="1"/>
  <c r="AV196" i="14"/>
  <c r="AV260" i="14" s="1"/>
  <c r="AT196" i="14"/>
  <c r="AT260" i="14" s="1"/>
  <c r="AR196" i="14"/>
  <c r="AR260" i="14" s="1"/>
  <c r="AP196" i="14"/>
  <c r="AP272" i="14" s="1"/>
  <c r="AK196" i="14"/>
  <c r="AK260" i="14" s="1"/>
  <c r="AI196" i="14"/>
  <c r="AI260" i="14" s="1"/>
  <c r="AG196" i="14"/>
  <c r="AG260" i="14" s="1"/>
  <c r="AE196" i="14"/>
  <c r="AE272" i="14" s="1"/>
  <c r="AC196" i="14"/>
  <c r="AC260" i="14" s="1"/>
  <c r="AA196" i="14"/>
  <c r="AA260" i="14" s="1"/>
  <c r="Y196" i="14"/>
  <c r="Y260" i="14" s="1"/>
  <c r="W196" i="14"/>
  <c r="W272" i="14" s="1"/>
  <c r="T196" i="14"/>
  <c r="R196" i="14"/>
  <c r="R260" i="14" s="1"/>
  <c r="P196" i="14"/>
  <c r="N196" i="14"/>
  <c r="J196" i="14"/>
  <c r="J260" i="14" s="1"/>
  <c r="H196" i="14"/>
  <c r="H260" i="14" s="1"/>
  <c r="F196" i="14"/>
  <c r="F260" i="14" s="1"/>
  <c r="D196" i="14"/>
  <c r="AV195" i="14"/>
  <c r="AV259" i="14" s="1"/>
  <c r="AT195" i="14"/>
  <c r="AR195" i="14"/>
  <c r="AP195" i="14"/>
  <c r="AK195" i="14"/>
  <c r="AK259" i="14" s="1"/>
  <c r="AI195" i="14"/>
  <c r="AI259" i="14" s="1"/>
  <c r="AG195" i="14"/>
  <c r="AG259" i="14" s="1"/>
  <c r="AE195" i="14"/>
  <c r="AE271" i="14" s="1"/>
  <c r="AC195" i="14"/>
  <c r="AA195" i="14"/>
  <c r="AA259" i="14" s="1"/>
  <c r="Y195" i="14"/>
  <c r="Y259" i="14" s="1"/>
  <c r="W195" i="14"/>
  <c r="W271" i="14" s="1"/>
  <c r="T195" i="14"/>
  <c r="T259" i="14" s="1"/>
  <c r="R195" i="14"/>
  <c r="R259" i="14" s="1"/>
  <c r="P195" i="14"/>
  <c r="N195" i="14"/>
  <c r="J195" i="14"/>
  <c r="J259" i="14" s="1"/>
  <c r="H195" i="14"/>
  <c r="H259" i="14" s="1"/>
  <c r="F195" i="14"/>
  <c r="F259" i="14" s="1"/>
  <c r="AV194" i="14"/>
  <c r="AV258" i="14" s="1"/>
  <c r="AT194" i="14"/>
  <c r="AT258" i="14" s="1"/>
  <c r="AR194" i="14"/>
  <c r="AP194" i="14"/>
  <c r="AK194" i="14"/>
  <c r="AK258" i="14" s="1"/>
  <c r="AI194" i="14"/>
  <c r="AI258" i="14" s="1"/>
  <c r="AH194" i="14"/>
  <c r="AH258" i="14" s="1"/>
  <c r="AG194" i="14"/>
  <c r="AG258" i="14" s="1"/>
  <c r="AE194" i="14"/>
  <c r="AE270" i="14" s="1"/>
  <c r="AC194" i="14"/>
  <c r="AA194" i="14"/>
  <c r="AA258" i="14" s="1"/>
  <c r="Y194" i="14"/>
  <c r="W194" i="14"/>
  <c r="W270" i="14" s="1"/>
  <c r="T194" i="14"/>
  <c r="T258" i="14" s="1"/>
  <c r="R194" i="14"/>
  <c r="R258" i="14" s="1"/>
  <c r="P194" i="14"/>
  <c r="P258" i="14" s="1"/>
  <c r="N194" i="14"/>
  <c r="N270" i="14" s="1"/>
  <c r="J194" i="14"/>
  <c r="J258" i="14" s="1"/>
  <c r="H194" i="14"/>
  <c r="F194" i="14"/>
  <c r="F258" i="14" s="1"/>
  <c r="AV193" i="14"/>
  <c r="AV257" i="14" s="1"/>
  <c r="AT193" i="14"/>
  <c r="AT257" i="14" s="1"/>
  <c r="AR193" i="14"/>
  <c r="AR257" i="14" s="1"/>
  <c r="AP193" i="14"/>
  <c r="AP269" i="14" s="1"/>
  <c r="AK193" i="14"/>
  <c r="AI193" i="14"/>
  <c r="AG193" i="14"/>
  <c r="AG257" i="14" s="1"/>
  <c r="AE193" i="14"/>
  <c r="AE269" i="14" s="1"/>
  <c r="AC193" i="14"/>
  <c r="AC257" i="14" s="1"/>
  <c r="AA193" i="14"/>
  <c r="AA257" i="14" s="1"/>
  <c r="Y193" i="14"/>
  <c r="Y257" i="14" s="1"/>
  <c r="W193" i="14"/>
  <c r="W269" i="14" s="1"/>
  <c r="T193" i="14"/>
  <c r="T257" i="14" s="1"/>
  <c r="R193" i="14"/>
  <c r="R257" i="14" s="1"/>
  <c r="P193" i="14"/>
  <c r="P257" i="14" s="1"/>
  <c r="N193" i="14"/>
  <c r="N269" i="14" s="1"/>
  <c r="J193" i="14"/>
  <c r="J257" i="14" s="1"/>
  <c r="H193" i="14"/>
  <c r="H257" i="14" s="1"/>
  <c r="F193" i="14"/>
  <c r="AV192" i="14"/>
  <c r="AV256" i="14" s="1"/>
  <c r="AT192" i="14"/>
  <c r="AT256" i="14" s="1"/>
  <c r="AR192" i="14"/>
  <c r="AR256" i="14" s="1"/>
  <c r="AP192" i="14"/>
  <c r="AK192" i="14"/>
  <c r="AI192" i="14"/>
  <c r="AI256" i="14" s="1"/>
  <c r="AG192" i="14"/>
  <c r="AG256" i="14" s="1"/>
  <c r="AF192" i="14"/>
  <c r="AE192" i="14"/>
  <c r="AE268" i="14" s="1"/>
  <c r="AC192" i="14"/>
  <c r="AB192" i="14"/>
  <c r="AB256" i="14" s="1"/>
  <c r="AA192" i="14"/>
  <c r="AA256" i="14" s="1"/>
  <c r="Y192" i="14"/>
  <c r="Y256" i="14" s="1"/>
  <c r="W192" i="14"/>
  <c r="W268" i="14" s="1"/>
  <c r="T192" i="14"/>
  <c r="T256" i="14" s="1"/>
  <c r="R192" i="14"/>
  <c r="R256" i="14" s="1"/>
  <c r="P192" i="14"/>
  <c r="P256" i="14" s="1"/>
  <c r="N192" i="14"/>
  <c r="N268" i="14" s="1"/>
  <c r="J192" i="14"/>
  <c r="J256" i="14" s="1"/>
  <c r="H192" i="14"/>
  <c r="H256" i="14" s="1"/>
  <c r="F192" i="14"/>
  <c r="F256" i="14" s="1"/>
  <c r="AV191" i="14"/>
  <c r="AT191" i="14"/>
  <c r="AT255" i="14" s="1"/>
  <c r="AR191" i="14"/>
  <c r="AR255" i="14" s="1"/>
  <c r="AP191" i="14"/>
  <c r="AK191" i="14"/>
  <c r="AK255" i="14" s="1"/>
  <c r="AI191" i="14"/>
  <c r="AI255" i="14" s="1"/>
  <c r="AG191" i="14"/>
  <c r="AG255" i="14" s="1"/>
  <c r="AE191" i="14"/>
  <c r="AE267" i="14" s="1"/>
  <c r="AC191" i="14"/>
  <c r="AC255" i="14" s="1"/>
  <c r="AA191" i="14"/>
  <c r="Y191" i="14"/>
  <c r="Y255" i="14" s="1"/>
  <c r="X191" i="14"/>
  <c r="X255" i="14" s="1"/>
  <c r="W191" i="14"/>
  <c r="W267" i="14" s="1"/>
  <c r="T191" i="14"/>
  <c r="T255" i="14" s="1"/>
  <c r="R191" i="14"/>
  <c r="R255" i="14" s="1"/>
  <c r="P191" i="14"/>
  <c r="P255" i="14" s="1"/>
  <c r="N191" i="14"/>
  <c r="J191" i="14"/>
  <c r="J255" i="14" s="1"/>
  <c r="H191" i="14"/>
  <c r="H255" i="14" s="1"/>
  <c r="F191" i="14"/>
  <c r="F255" i="14" s="1"/>
  <c r="AV190" i="14"/>
  <c r="AT190" i="14"/>
  <c r="AT254" i="14" s="1"/>
  <c r="AR190" i="14"/>
  <c r="AP190" i="14"/>
  <c r="AP266" i="14" s="1"/>
  <c r="AK190" i="14"/>
  <c r="AK254" i="14" s="1"/>
  <c r="AI190" i="14"/>
  <c r="AI254" i="14" s="1"/>
  <c r="AG190" i="14"/>
  <c r="AG254" i="14" s="1"/>
  <c r="AE190" i="14"/>
  <c r="AE266" i="14" s="1"/>
  <c r="AC190" i="14"/>
  <c r="AC254" i="14" s="1"/>
  <c r="AA190" i="14"/>
  <c r="Z190" i="14"/>
  <c r="Z254" i="14" s="1"/>
  <c r="Y190" i="14"/>
  <c r="Y254" i="14" s="1"/>
  <c r="W190" i="14"/>
  <c r="W266" i="14" s="1"/>
  <c r="T190" i="14"/>
  <c r="T254" i="14" s="1"/>
  <c r="R190" i="14"/>
  <c r="R254" i="14" s="1"/>
  <c r="P190" i="14"/>
  <c r="P254" i="14" s="1"/>
  <c r="O190" i="14"/>
  <c r="O254" i="14" s="1"/>
  <c r="N190" i="14"/>
  <c r="N266" i="14" s="1"/>
  <c r="J190" i="14"/>
  <c r="J254" i="14" s="1"/>
  <c r="I190" i="14"/>
  <c r="I254" i="14" s="1"/>
  <c r="H190" i="14"/>
  <c r="H254" i="14" s="1"/>
  <c r="G190" i="14"/>
  <c r="G254" i="14" s="1"/>
  <c r="F190" i="14"/>
  <c r="F254" i="14" s="1"/>
  <c r="AV189" i="14"/>
  <c r="AV253" i="14" s="1"/>
  <c r="AT189" i="14"/>
  <c r="AT253" i="14" s="1"/>
  <c r="AR189" i="14"/>
  <c r="AP189" i="14"/>
  <c r="AP265" i="14" s="1"/>
  <c r="AK189" i="14"/>
  <c r="AK253" i="14" s="1"/>
  <c r="AI189" i="14"/>
  <c r="AI253" i="14" s="1"/>
  <c r="AG189" i="14"/>
  <c r="AG253" i="14" s="1"/>
  <c r="AE189" i="14"/>
  <c r="AC189" i="14"/>
  <c r="AC253" i="14" s="1"/>
  <c r="AA189" i="14"/>
  <c r="Z189" i="14"/>
  <c r="Z253" i="14" s="1"/>
  <c r="Y189" i="14"/>
  <c r="W189" i="14"/>
  <c r="W265" i="14" s="1"/>
  <c r="T189" i="14"/>
  <c r="T253" i="14" s="1"/>
  <c r="S189" i="14"/>
  <c r="S253" i="14" s="1"/>
  <c r="R189" i="14"/>
  <c r="R253" i="14" s="1"/>
  <c r="P189" i="14"/>
  <c r="P253" i="14" s="1"/>
  <c r="N189" i="14"/>
  <c r="N265" i="14" s="1"/>
  <c r="J189" i="14"/>
  <c r="J253" i="14" s="1"/>
  <c r="H189" i="14"/>
  <c r="H253" i="14" s="1"/>
  <c r="F189" i="14"/>
  <c r="F253" i="14" s="1"/>
  <c r="AV188" i="14"/>
  <c r="AU188" i="14"/>
  <c r="AU252" i="14" s="1"/>
  <c r="AT188" i="14"/>
  <c r="AT252" i="14" s="1"/>
  <c r="AR188" i="14"/>
  <c r="AR252" i="14" s="1"/>
  <c r="AP188" i="14"/>
  <c r="AP264" i="14" s="1"/>
  <c r="AK188" i="14"/>
  <c r="AJ188" i="14"/>
  <c r="AJ252" i="14" s="1"/>
  <c r="AI188" i="14"/>
  <c r="AI252" i="14" s="1"/>
  <c r="AG188" i="14"/>
  <c r="AG252" i="14" s="1"/>
  <c r="AE188" i="14"/>
  <c r="AE264" i="14" s="1"/>
  <c r="AC188" i="14"/>
  <c r="AC252" i="14" s="1"/>
  <c r="AA188" i="14"/>
  <c r="AA252" i="14" s="1"/>
  <c r="Y188" i="14"/>
  <c r="W188" i="14"/>
  <c r="W264" i="14" s="1"/>
  <c r="T188" i="14"/>
  <c r="T252" i="14" s="1"/>
  <c r="R188" i="14"/>
  <c r="P188" i="14"/>
  <c r="N188" i="14"/>
  <c r="N264" i="14" s="1"/>
  <c r="J188" i="14"/>
  <c r="J252" i="14" s="1"/>
  <c r="H188" i="14"/>
  <c r="H252" i="14" s="1"/>
  <c r="F188" i="14"/>
  <c r="F252" i="14" s="1"/>
  <c r="AV187" i="14"/>
  <c r="AV251" i="14" s="1"/>
  <c r="AT187" i="14"/>
  <c r="AT251" i="14" s="1"/>
  <c r="AR187" i="14"/>
  <c r="AR251" i="14" s="1"/>
  <c r="AQ187" i="14"/>
  <c r="AQ251" i="14" s="1"/>
  <c r="AP187" i="14"/>
  <c r="AP263" i="14" s="1"/>
  <c r="AK187" i="14"/>
  <c r="AI187" i="14"/>
  <c r="AG187" i="14"/>
  <c r="AE187" i="14"/>
  <c r="AE263" i="14" s="1"/>
  <c r="AC187" i="14"/>
  <c r="AC251" i="14" s="1"/>
  <c r="AA187" i="14"/>
  <c r="AA251" i="14" s="1"/>
  <c r="Z187" i="14"/>
  <c r="Z251" i="14" s="1"/>
  <c r="Y187" i="14"/>
  <c r="W187" i="14"/>
  <c r="W263" i="14" s="1"/>
  <c r="T187" i="14"/>
  <c r="T251" i="14" s="1"/>
  <c r="R187" i="14"/>
  <c r="P187" i="14"/>
  <c r="N187" i="14"/>
  <c r="N263" i="14" s="1"/>
  <c r="J187" i="14"/>
  <c r="J251" i="14" s="1"/>
  <c r="H187" i="14"/>
  <c r="H251" i="14" s="1"/>
  <c r="F187" i="14"/>
  <c r="F251" i="14" s="1"/>
  <c r="AV186" i="14"/>
  <c r="AT186" i="14"/>
  <c r="AT250" i="14" s="1"/>
  <c r="AS186" i="14"/>
  <c r="AS250" i="14" s="1"/>
  <c r="AR186" i="14"/>
  <c r="AR250" i="14" s="1"/>
  <c r="AQ186" i="14"/>
  <c r="AQ250" i="14" s="1"/>
  <c r="AP186" i="14"/>
  <c r="AP262" i="14" s="1"/>
  <c r="AK186" i="14"/>
  <c r="AI186" i="14"/>
  <c r="AG186" i="14"/>
  <c r="AE186" i="14"/>
  <c r="AC186" i="14"/>
  <c r="AC250" i="14" s="1"/>
  <c r="AA186" i="14"/>
  <c r="AA250" i="14" s="1"/>
  <c r="Y186" i="14"/>
  <c r="Y250" i="14" s="1"/>
  <c r="W186" i="14"/>
  <c r="W262" i="14" s="1"/>
  <c r="T186" i="14"/>
  <c r="T250" i="14" s="1"/>
  <c r="R186" i="14"/>
  <c r="R250" i="14" s="1"/>
  <c r="P186" i="14"/>
  <c r="N186" i="14"/>
  <c r="N262" i="14" s="1"/>
  <c r="J186" i="14"/>
  <c r="J250" i="14" s="1"/>
  <c r="H186" i="14"/>
  <c r="H250" i="14" s="1"/>
  <c r="F186" i="14"/>
  <c r="F250" i="14" s="1"/>
  <c r="E186" i="14"/>
  <c r="AV185" i="14"/>
  <c r="AT185" i="14"/>
  <c r="AT249" i="14" s="1"/>
  <c r="AR185" i="14"/>
  <c r="AR249" i="14" s="1"/>
  <c r="AP185" i="14"/>
  <c r="AP261" i="14" s="1"/>
  <c r="AK185" i="14"/>
  <c r="AK249" i="14" s="1"/>
  <c r="AI185" i="14"/>
  <c r="AG185" i="14"/>
  <c r="AG249" i="14" s="1"/>
  <c r="AE185" i="14"/>
  <c r="AD185" i="14"/>
  <c r="AD249" i="14" s="1"/>
  <c r="AC185" i="14"/>
  <c r="AC249" i="14" s="1"/>
  <c r="AA185" i="14"/>
  <c r="AA249" i="14" s="1"/>
  <c r="Y185" i="14"/>
  <c r="W185" i="14"/>
  <c r="T185" i="14"/>
  <c r="T249" i="14" s="1"/>
  <c r="R185" i="14"/>
  <c r="P185" i="14"/>
  <c r="P249" i="14" s="1"/>
  <c r="N185" i="14"/>
  <c r="N261" i="14" s="1"/>
  <c r="J185" i="14"/>
  <c r="J249" i="14" s="1"/>
  <c r="H185" i="14"/>
  <c r="H249" i="14" s="1"/>
  <c r="F185" i="14"/>
  <c r="F249" i="14" s="1"/>
  <c r="AV184" i="14"/>
  <c r="AT184" i="14"/>
  <c r="AT248" i="14" s="1"/>
  <c r="AS184" i="14"/>
  <c r="AS248" i="14" s="1"/>
  <c r="AR184" i="14"/>
  <c r="AR248" i="14" s="1"/>
  <c r="AP184" i="14"/>
  <c r="AP236" i="14" s="1"/>
  <c r="AK184" i="14"/>
  <c r="AK248" i="14" s="1"/>
  <c r="AI184" i="14"/>
  <c r="AG184" i="14"/>
  <c r="AG248" i="14" s="1"/>
  <c r="AE184" i="14"/>
  <c r="AE236" i="14" s="1"/>
  <c r="AC184" i="14"/>
  <c r="AC248" i="14" s="1"/>
  <c r="AA184" i="14"/>
  <c r="AA248" i="14" s="1"/>
  <c r="Y184" i="14"/>
  <c r="W184" i="14"/>
  <c r="W236" i="14" s="1"/>
  <c r="T184" i="14"/>
  <c r="T248" i="14" s="1"/>
  <c r="R184" i="14"/>
  <c r="P184" i="14"/>
  <c r="P248" i="14" s="1"/>
  <c r="N184" i="14"/>
  <c r="N236" i="14" s="1"/>
  <c r="J184" i="14"/>
  <c r="J248" i="14" s="1"/>
  <c r="H184" i="14"/>
  <c r="H248" i="14" s="1"/>
  <c r="F184" i="14"/>
  <c r="F248" i="14" s="1"/>
  <c r="AV183" i="14"/>
  <c r="AT183" i="14"/>
  <c r="AT247" i="14" s="1"/>
  <c r="AS183" i="14"/>
  <c r="AS247" i="14" s="1"/>
  <c r="AR183" i="14"/>
  <c r="AR247" i="14" s="1"/>
  <c r="AP183" i="14"/>
  <c r="AP235" i="14" s="1"/>
  <c r="AL183" i="14"/>
  <c r="AL247" i="14" s="1"/>
  <c r="AK183" i="14"/>
  <c r="AK247" i="14" s="1"/>
  <c r="AI183" i="14"/>
  <c r="AG183" i="14"/>
  <c r="AG247" i="14" s="1"/>
  <c r="AE183" i="14"/>
  <c r="AE235" i="14" s="1"/>
  <c r="AC183" i="14"/>
  <c r="AC247" i="14" s="1"/>
  <c r="AA183" i="14"/>
  <c r="AA247" i="14" s="1"/>
  <c r="Y183" i="14"/>
  <c r="W183" i="14"/>
  <c r="W235" i="14" s="1"/>
  <c r="T183" i="14"/>
  <c r="T247" i="14" s="1"/>
  <c r="R183" i="14"/>
  <c r="P183" i="14"/>
  <c r="P247" i="14" s="1"/>
  <c r="N183" i="14"/>
  <c r="J183" i="14"/>
  <c r="J247" i="14" s="1"/>
  <c r="H183" i="14"/>
  <c r="H247" i="14" s="1"/>
  <c r="F183" i="14"/>
  <c r="F247" i="14" s="1"/>
  <c r="AV182" i="14"/>
  <c r="AT182" i="14"/>
  <c r="AT246" i="14" s="1"/>
  <c r="AR182" i="14"/>
  <c r="AR246" i="14" s="1"/>
  <c r="AP182" i="14"/>
  <c r="AP234" i="14" s="1"/>
  <c r="AK182" i="14"/>
  <c r="AK246" i="14" s="1"/>
  <c r="AI182" i="14"/>
  <c r="AG182" i="14"/>
  <c r="AF182" i="14"/>
  <c r="AF246" i="14" s="1"/>
  <c r="AE182" i="14"/>
  <c r="AE234" i="14" s="1"/>
  <c r="AC182" i="14"/>
  <c r="AC246" i="14" s="1"/>
  <c r="AA182" i="14"/>
  <c r="AA246" i="14" s="1"/>
  <c r="Y182" i="14"/>
  <c r="W182" i="14"/>
  <c r="W234" i="14" s="1"/>
  <c r="V182" i="14"/>
  <c r="V246" i="14" s="1"/>
  <c r="T182" i="14"/>
  <c r="T246" i="14" s="1"/>
  <c r="R182" i="14"/>
  <c r="R246" i="14" s="1"/>
  <c r="Q182" i="14"/>
  <c r="Q246" i="14" s="1"/>
  <c r="P182" i="14"/>
  <c r="P246" i="14" s="1"/>
  <c r="N182" i="14"/>
  <c r="N234" i="14" s="1"/>
  <c r="J182" i="14"/>
  <c r="J246" i="14" s="1"/>
  <c r="H182" i="14"/>
  <c r="H246" i="14" s="1"/>
  <c r="F182" i="14"/>
  <c r="F246" i="14" s="1"/>
  <c r="AV181" i="14"/>
  <c r="AV245" i="14" s="1"/>
  <c r="AT181" i="14"/>
  <c r="AT245" i="14" s="1"/>
  <c r="AS181" i="14"/>
  <c r="AS245" i="14" s="1"/>
  <c r="AR181" i="14"/>
  <c r="AR245" i="14" s="1"/>
  <c r="AP181" i="14"/>
  <c r="AP233" i="14" s="1"/>
  <c r="AK181" i="14"/>
  <c r="AI181" i="14"/>
  <c r="AG181" i="14"/>
  <c r="AG245" i="14" s="1"/>
  <c r="AE181" i="14"/>
  <c r="AE233" i="14" s="1"/>
  <c r="AC181" i="14"/>
  <c r="AC245" i="14" s="1"/>
  <c r="AA181" i="14"/>
  <c r="AA245" i="14" s="1"/>
  <c r="Y181" i="14"/>
  <c r="Y245" i="14" s="1"/>
  <c r="W181" i="14"/>
  <c r="T181" i="14"/>
  <c r="R181" i="14"/>
  <c r="R245" i="14" s="1"/>
  <c r="P181" i="14"/>
  <c r="O181" i="14"/>
  <c r="O245" i="14" s="1"/>
  <c r="N181" i="14"/>
  <c r="N233" i="14" s="1"/>
  <c r="J181" i="14"/>
  <c r="J245" i="14" s="1"/>
  <c r="H181" i="14"/>
  <c r="H245" i="14" s="1"/>
  <c r="F181" i="14"/>
  <c r="F245" i="14" s="1"/>
  <c r="AV180" i="14"/>
  <c r="AT180" i="14"/>
  <c r="AT244" i="14" s="1"/>
  <c r="AR180" i="14"/>
  <c r="AR244" i="14" s="1"/>
  <c r="AP180" i="14"/>
  <c r="AP232" i="14" s="1"/>
  <c r="AK180" i="14"/>
  <c r="AK244" i="14" s="1"/>
  <c r="AI180" i="14"/>
  <c r="AG180" i="14"/>
  <c r="AG244" i="14" s="1"/>
  <c r="AE180" i="14"/>
  <c r="AE232" i="14" s="1"/>
  <c r="AC180" i="14"/>
  <c r="AC244" i="14" s="1"/>
  <c r="AA180" i="14"/>
  <c r="AA244" i="14" s="1"/>
  <c r="Y180" i="14"/>
  <c r="W180" i="14"/>
  <c r="W232" i="14" s="1"/>
  <c r="T180" i="14"/>
  <c r="R180" i="14"/>
  <c r="R244" i="14" s="1"/>
  <c r="P180" i="14"/>
  <c r="N180" i="14"/>
  <c r="N232" i="14" s="1"/>
  <c r="J180" i="14"/>
  <c r="J244" i="14" s="1"/>
  <c r="H180" i="14"/>
  <c r="H244" i="14" s="1"/>
  <c r="F180" i="14"/>
  <c r="F244" i="14" s="1"/>
  <c r="AW179" i="14"/>
  <c r="AW243" i="14" s="1"/>
  <c r="AV179" i="14"/>
  <c r="AV243" i="14" s="1"/>
  <c r="AT179" i="14"/>
  <c r="AT243" i="14" s="1"/>
  <c r="AR179" i="14"/>
  <c r="AR243" i="14" s="1"/>
  <c r="AP179" i="14"/>
  <c r="AP231" i="14" s="1"/>
  <c r="AK179" i="14"/>
  <c r="AI179" i="14"/>
  <c r="AG179" i="14"/>
  <c r="AG243" i="14" s="1"/>
  <c r="AE179" i="14"/>
  <c r="AE231" i="14" s="1"/>
  <c r="AC179" i="14"/>
  <c r="AC243" i="14" s="1"/>
  <c r="AA179" i="14"/>
  <c r="AA243" i="14" s="1"/>
  <c r="Y179" i="14"/>
  <c r="W179" i="14"/>
  <c r="W231" i="14" s="1"/>
  <c r="T179" i="14"/>
  <c r="T243" i="14" s="1"/>
  <c r="R179" i="14"/>
  <c r="R243" i="14" s="1"/>
  <c r="Q179" i="14"/>
  <c r="Q243" i="14" s="1"/>
  <c r="P179" i="14"/>
  <c r="P243" i="14" s="1"/>
  <c r="N179" i="14"/>
  <c r="N231" i="14" s="1"/>
  <c r="J179" i="14"/>
  <c r="J243" i="14" s="1"/>
  <c r="H179" i="14"/>
  <c r="H243" i="14" s="1"/>
  <c r="F179" i="14"/>
  <c r="AV178" i="14"/>
  <c r="AT178" i="14"/>
  <c r="AT242" i="14" s="1"/>
  <c r="AR178" i="14"/>
  <c r="AR242" i="14" s="1"/>
  <c r="AP178" i="14"/>
  <c r="AP230" i="14" s="1"/>
  <c r="AK178" i="14"/>
  <c r="AI178" i="14"/>
  <c r="AG178" i="14"/>
  <c r="AG242" i="14" s="1"/>
  <c r="AE178" i="14"/>
  <c r="AE230" i="14" s="1"/>
  <c r="AC178" i="14"/>
  <c r="AC242" i="14" s="1"/>
  <c r="AB178" i="14"/>
  <c r="AB242" i="14" s="1"/>
  <c r="AA178" i="14"/>
  <c r="AA242" i="14" s="1"/>
  <c r="Y178" i="14"/>
  <c r="Y242" i="14" s="1"/>
  <c r="W178" i="14"/>
  <c r="T178" i="14"/>
  <c r="T242" i="14" s="1"/>
  <c r="R178" i="14"/>
  <c r="P178" i="14"/>
  <c r="P242" i="14" s="1"/>
  <c r="N178" i="14"/>
  <c r="N230" i="14" s="1"/>
  <c r="J178" i="14"/>
  <c r="J242" i="14" s="1"/>
  <c r="H178" i="14"/>
  <c r="H242" i="14" s="1"/>
  <c r="F178" i="14"/>
  <c r="F242" i="14" s="1"/>
  <c r="AV177" i="14"/>
  <c r="AT177" i="14"/>
  <c r="AT241" i="14" s="1"/>
  <c r="AS177" i="14"/>
  <c r="AS241" i="14" s="1"/>
  <c r="AR177" i="14"/>
  <c r="AR241" i="14" s="1"/>
  <c r="AP177" i="14"/>
  <c r="AP229" i="14" s="1"/>
  <c r="AK177" i="14"/>
  <c r="AI177" i="14"/>
  <c r="AI241" i="14" s="1"/>
  <c r="AH177" i="14"/>
  <c r="AH241" i="14" s="1"/>
  <c r="AG177" i="14"/>
  <c r="AG241" i="14" s="1"/>
  <c r="AE177" i="14"/>
  <c r="AE229" i="14" s="1"/>
  <c r="AC177" i="14"/>
  <c r="AC241" i="14" s="1"/>
  <c r="AA177" i="14"/>
  <c r="AA241" i="14" s="1"/>
  <c r="Y177" i="14"/>
  <c r="W177" i="14"/>
  <c r="W229" i="14" s="1"/>
  <c r="V177" i="14"/>
  <c r="V241" i="14" s="1"/>
  <c r="T177" i="14"/>
  <c r="T241" i="14" s="1"/>
  <c r="R177" i="14"/>
  <c r="P177" i="14"/>
  <c r="N177" i="14"/>
  <c r="N229" i="14" s="1"/>
  <c r="J177" i="14"/>
  <c r="J241" i="14" s="1"/>
  <c r="H177" i="14"/>
  <c r="H241" i="14" s="1"/>
  <c r="F177" i="14"/>
  <c r="F241" i="14" s="1"/>
  <c r="E177" i="14"/>
  <c r="AV176" i="14"/>
  <c r="AT176" i="14"/>
  <c r="AT240" i="14" s="1"/>
  <c r="AR176" i="14"/>
  <c r="AR240" i="14" s="1"/>
  <c r="AP176" i="14"/>
  <c r="AP228" i="14" s="1"/>
  <c r="AK176" i="14"/>
  <c r="AI176" i="14"/>
  <c r="AI240" i="14" s="1"/>
  <c r="AG176" i="14"/>
  <c r="AG240" i="14" s="1"/>
  <c r="AE176" i="14"/>
  <c r="AE228" i="14" s="1"/>
  <c r="AC176" i="14"/>
  <c r="AC240" i="14" s="1"/>
  <c r="AA176" i="14"/>
  <c r="AA240" i="14" s="1"/>
  <c r="Y176" i="14"/>
  <c r="W176" i="14"/>
  <c r="W228" i="14" s="1"/>
  <c r="T176" i="14"/>
  <c r="T240" i="14" s="1"/>
  <c r="R176" i="14"/>
  <c r="R240" i="14" s="1"/>
  <c r="P176" i="14"/>
  <c r="P240" i="14" s="1"/>
  <c r="N176" i="14"/>
  <c r="N228" i="14" s="1"/>
  <c r="J176" i="14"/>
  <c r="J240" i="14" s="1"/>
  <c r="H176" i="14"/>
  <c r="F176" i="14"/>
  <c r="F240" i="14" s="1"/>
  <c r="AV175" i="14"/>
  <c r="AV239" i="14" s="1"/>
  <c r="AT175" i="14"/>
  <c r="AT239" i="14" s="1"/>
  <c r="AR175" i="14"/>
  <c r="AR239" i="14" s="1"/>
  <c r="AP175" i="14"/>
  <c r="AP227" i="14" s="1"/>
  <c r="AK175" i="14"/>
  <c r="AI175" i="14"/>
  <c r="AI239" i="14" s="1"/>
  <c r="AH175" i="14"/>
  <c r="AH239" i="14" s="1"/>
  <c r="AG175" i="14"/>
  <c r="AG239" i="14" s="1"/>
  <c r="AE175" i="14"/>
  <c r="AE227" i="14" s="1"/>
  <c r="AC175" i="14"/>
  <c r="AC239" i="14" s="1"/>
  <c r="AA175" i="14"/>
  <c r="AA239" i="14" s="1"/>
  <c r="Y175" i="14"/>
  <c r="W175" i="14"/>
  <c r="W227" i="14" s="1"/>
  <c r="T175" i="14"/>
  <c r="T239" i="14" s="1"/>
  <c r="R175" i="14"/>
  <c r="P175" i="14"/>
  <c r="N175" i="14"/>
  <c r="N227" i="14" s="1"/>
  <c r="J175" i="14"/>
  <c r="J239" i="14" s="1"/>
  <c r="H175" i="14"/>
  <c r="H239" i="14" s="1"/>
  <c r="F175" i="14"/>
  <c r="F239" i="14" s="1"/>
  <c r="AV174" i="14"/>
  <c r="AV238" i="14" s="1"/>
  <c r="AU174" i="14"/>
  <c r="AU238" i="14" s="1"/>
  <c r="AT174" i="14"/>
  <c r="AT238" i="14" s="1"/>
  <c r="AR174" i="14"/>
  <c r="AR238" i="14" s="1"/>
  <c r="AP174" i="14"/>
  <c r="AK174" i="14"/>
  <c r="AK238" i="14" s="1"/>
  <c r="AI174" i="14"/>
  <c r="AI238" i="14" s="1"/>
  <c r="AG174" i="14"/>
  <c r="AG238" i="14" s="1"/>
  <c r="AE174" i="14"/>
  <c r="AD174" i="14"/>
  <c r="AD238" i="14" s="1"/>
  <c r="AC174" i="14"/>
  <c r="AC238" i="14" s="1"/>
  <c r="AA174" i="14"/>
  <c r="AA238" i="14" s="1"/>
  <c r="Y174" i="14"/>
  <c r="Y238" i="14" s="1"/>
  <c r="W174" i="14"/>
  <c r="W226" i="14" s="1"/>
  <c r="T174" i="14"/>
  <c r="T238" i="14" s="1"/>
  <c r="R174" i="14"/>
  <c r="P174" i="14"/>
  <c r="N174" i="14"/>
  <c r="N226" i="14" s="1"/>
  <c r="J174" i="14"/>
  <c r="J238" i="14" s="1"/>
  <c r="H174" i="14"/>
  <c r="H238" i="14" s="1"/>
  <c r="F174" i="14"/>
  <c r="F238" i="14" s="1"/>
  <c r="AV173" i="14"/>
  <c r="AT173" i="14"/>
  <c r="AT237" i="14" s="1"/>
  <c r="AR173" i="14"/>
  <c r="AR237" i="14" s="1"/>
  <c r="AP173" i="14"/>
  <c r="AP225" i="14" s="1"/>
  <c r="AK173" i="14"/>
  <c r="AK237" i="14" s="1"/>
  <c r="AJ173" i="14"/>
  <c r="AJ237" i="14" s="1"/>
  <c r="AI173" i="14"/>
  <c r="AI237" i="14" s="1"/>
  <c r="AH173" i="14"/>
  <c r="AH237" i="14" s="1"/>
  <c r="AG173" i="14"/>
  <c r="AG237" i="14" s="1"/>
  <c r="AE173" i="14"/>
  <c r="AE225" i="14" s="1"/>
  <c r="AC173" i="14"/>
  <c r="AC237" i="14" s="1"/>
  <c r="AA173" i="14"/>
  <c r="AA237" i="14" s="1"/>
  <c r="Y173" i="14"/>
  <c r="Y237" i="14" s="1"/>
  <c r="W173" i="14"/>
  <c r="W225" i="14" s="1"/>
  <c r="T173" i="14"/>
  <c r="T237" i="14" s="1"/>
  <c r="R173" i="14"/>
  <c r="P173" i="14"/>
  <c r="N173" i="14"/>
  <c r="N225" i="14" s="1"/>
  <c r="J173" i="14"/>
  <c r="J237" i="14" s="1"/>
  <c r="I173" i="14"/>
  <c r="I237" i="14" s="1"/>
  <c r="H173" i="14"/>
  <c r="H237" i="14" s="1"/>
  <c r="F173" i="14"/>
  <c r="F237" i="14" s="1"/>
  <c r="E173" i="14"/>
  <c r="E237" i="14" s="1"/>
  <c r="AV172" i="14"/>
  <c r="AT172" i="14"/>
  <c r="AT236" i="14" s="1"/>
  <c r="AR172" i="14"/>
  <c r="AR236" i="14" s="1"/>
  <c r="AP172" i="14"/>
  <c r="AK172" i="14"/>
  <c r="AK236" i="14" s="1"/>
  <c r="AI172" i="14"/>
  <c r="AI236" i="14" s="1"/>
  <c r="AG172" i="14"/>
  <c r="AG236" i="14" s="1"/>
  <c r="AE172" i="14"/>
  <c r="AE224" i="14" s="1"/>
  <c r="AC172" i="14"/>
  <c r="AC236" i="14" s="1"/>
  <c r="AA172" i="14"/>
  <c r="Y172" i="14"/>
  <c r="W172" i="14"/>
  <c r="T172" i="14"/>
  <c r="T236" i="14" s="1"/>
  <c r="R172" i="14"/>
  <c r="R236" i="14" s="1"/>
  <c r="Q172" i="14"/>
  <c r="Q236" i="14" s="1"/>
  <c r="P172" i="14"/>
  <c r="P236" i="14" s="1"/>
  <c r="N172" i="14"/>
  <c r="N224" i="14" s="1"/>
  <c r="J172" i="14"/>
  <c r="J236" i="14" s="1"/>
  <c r="H172" i="14"/>
  <c r="F172" i="14"/>
  <c r="F236" i="14" s="1"/>
  <c r="AV171" i="14"/>
  <c r="AV235" i="14" s="1"/>
  <c r="AT171" i="14"/>
  <c r="AT235" i="14" s="1"/>
  <c r="AS171" i="14"/>
  <c r="AS235" i="14" s="1"/>
  <c r="AR171" i="14"/>
  <c r="AP171" i="14"/>
  <c r="AP223" i="14" s="1"/>
  <c r="AK171" i="14"/>
  <c r="AK235" i="14" s="1"/>
  <c r="AI171" i="14"/>
  <c r="AI235" i="14" s="1"/>
  <c r="AG171" i="14"/>
  <c r="AG235" i="14" s="1"/>
  <c r="AE171" i="14"/>
  <c r="AE223" i="14" s="1"/>
  <c r="AC171" i="14"/>
  <c r="AA171" i="14"/>
  <c r="AA235" i="14" s="1"/>
  <c r="Y171" i="14"/>
  <c r="Y235" i="14" s="1"/>
  <c r="W171" i="14"/>
  <c r="W223" i="14" s="1"/>
  <c r="T171" i="14"/>
  <c r="T235" i="14" s="1"/>
  <c r="S171" i="14"/>
  <c r="S235" i="14" s="1"/>
  <c r="R171" i="14"/>
  <c r="R235" i="14" s="1"/>
  <c r="P171" i="14"/>
  <c r="P235" i="14" s="1"/>
  <c r="N171" i="14"/>
  <c r="J171" i="14"/>
  <c r="H171" i="14"/>
  <c r="H235" i="14" s="1"/>
  <c r="F171" i="14"/>
  <c r="F235" i="14" s="1"/>
  <c r="AV170" i="14"/>
  <c r="AT170" i="14"/>
  <c r="AT234" i="14" s="1"/>
  <c r="AR170" i="14"/>
  <c r="AR234" i="14" s="1"/>
  <c r="AP170" i="14"/>
  <c r="AP222" i="14" s="1"/>
  <c r="AK170" i="14"/>
  <c r="AK234" i="14" s="1"/>
  <c r="AI170" i="14"/>
  <c r="AI234" i="14" s="1"/>
  <c r="AG170" i="14"/>
  <c r="AG234" i="14" s="1"/>
  <c r="AE170" i="14"/>
  <c r="AE222" i="14" s="1"/>
  <c r="AC170" i="14"/>
  <c r="AA170" i="14"/>
  <c r="AA234" i="14" s="1"/>
  <c r="Z170" i="14"/>
  <c r="Z234" i="14" s="1"/>
  <c r="Y170" i="14"/>
  <c r="Y234" i="14" s="1"/>
  <c r="W170" i="14"/>
  <c r="W222" i="14" s="1"/>
  <c r="T170" i="14"/>
  <c r="T234" i="14" s="1"/>
  <c r="R170" i="14"/>
  <c r="P170" i="14"/>
  <c r="N170" i="14"/>
  <c r="N222" i="14" s="1"/>
  <c r="J170" i="14"/>
  <c r="J234" i="14" s="1"/>
  <c r="H170" i="14"/>
  <c r="H234" i="14" s="1"/>
  <c r="F170" i="14"/>
  <c r="F234" i="14" s="1"/>
  <c r="AV169" i="14"/>
  <c r="AV233" i="14" s="1"/>
  <c r="AT169" i="14"/>
  <c r="AT233" i="14" s="1"/>
  <c r="AR169" i="14"/>
  <c r="AR233" i="14" s="1"/>
  <c r="AQ169" i="14"/>
  <c r="AQ233" i="14" s="1"/>
  <c r="AP169" i="14"/>
  <c r="AP221" i="14" s="1"/>
  <c r="AK169" i="14"/>
  <c r="AK233" i="14" s="1"/>
  <c r="AI169" i="14"/>
  <c r="AI233" i="14" s="1"/>
  <c r="AG169" i="14"/>
  <c r="AE169" i="14"/>
  <c r="AE221" i="14" s="1"/>
  <c r="AC169" i="14"/>
  <c r="AC233" i="14" s="1"/>
  <c r="AA169" i="14"/>
  <c r="AA233" i="14" s="1"/>
  <c r="Y169" i="14"/>
  <c r="Y233" i="14" s="1"/>
  <c r="W169" i="14"/>
  <c r="W221" i="14" s="1"/>
  <c r="T169" i="14"/>
  <c r="R169" i="14"/>
  <c r="R233" i="14" s="1"/>
  <c r="P169" i="14"/>
  <c r="P233" i="14" s="1"/>
  <c r="N169" i="14"/>
  <c r="N221" i="14" s="1"/>
  <c r="J169" i="14"/>
  <c r="J233" i="14" s="1"/>
  <c r="H169" i="14"/>
  <c r="H233" i="14" s="1"/>
  <c r="F169" i="14"/>
  <c r="F233" i="14" s="1"/>
  <c r="AV168" i="14"/>
  <c r="AV232" i="14" s="1"/>
  <c r="AT168" i="14"/>
  <c r="AR168" i="14"/>
  <c r="AR232" i="14" s="1"/>
  <c r="AP168" i="14"/>
  <c r="AP220" i="14" s="1"/>
  <c r="AL168" i="14"/>
  <c r="AL232" i="14" s="1"/>
  <c r="AK168" i="14"/>
  <c r="AK232" i="14" s="1"/>
  <c r="AI168" i="14"/>
  <c r="AI232" i="14" s="1"/>
  <c r="AG168" i="14"/>
  <c r="AG232" i="14" s="1"/>
  <c r="AE168" i="14"/>
  <c r="AC168" i="14"/>
  <c r="AC232" i="14" s="1"/>
  <c r="AA168" i="14"/>
  <c r="Y168" i="14"/>
  <c r="Y232" i="14" s="1"/>
  <c r="W168" i="14"/>
  <c r="W220" i="14" s="1"/>
  <c r="T168" i="14"/>
  <c r="T232" i="14" s="1"/>
  <c r="R168" i="14"/>
  <c r="R232" i="14" s="1"/>
  <c r="P168" i="14"/>
  <c r="N168" i="14"/>
  <c r="N220" i="14" s="1"/>
  <c r="J168" i="14"/>
  <c r="J232" i="14" s="1"/>
  <c r="H168" i="14"/>
  <c r="H232" i="14" s="1"/>
  <c r="F168" i="14"/>
  <c r="F232" i="14" s="1"/>
  <c r="AV167" i="14"/>
  <c r="AT167" i="14"/>
  <c r="AT231" i="14" s="1"/>
  <c r="AR167" i="14"/>
  <c r="AP167" i="14"/>
  <c r="AP219" i="14" s="1"/>
  <c r="AK167" i="14"/>
  <c r="AK231" i="14" s="1"/>
  <c r="AI167" i="14"/>
  <c r="AI231" i="14" s="1"/>
  <c r="AG167" i="14"/>
  <c r="AG231" i="14" s="1"/>
  <c r="AF167" i="14"/>
  <c r="AF231" i="14" s="1"/>
  <c r="AE167" i="14"/>
  <c r="AC167" i="14"/>
  <c r="AA167" i="14"/>
  <c r="AA231" i="14" s="1"/>
  <c r="Y167" i="14"/>
  <c r="Y231" i="14" s="1"/>
  <c r="W167" i="14"/>
  <c r="W219" i="14" s="1"/>
  <c r="T167" i="14"/>
  <c r="R167" i="14"/>
  <c r="R231" i="14" s="1"/>
  <c r="P167" i="14"/>
  <c r="P231" i="14" s="1"/>
  <c r="N167" i="14"/>
  <c r="N219" i="14" s="1"/>
  <c r="J167" i="14"/>
  <c r="J231" i="14" s="1"/>
  <c r="H167" i="14"/>
  <c r="H231" i="14" s="1"/>
  <c r="F167" i="14"/>
  <c r="AV166" i="14"/>
  <c r="AT166" i="14"/>
  <c r="AT230" i="14" s="1"/>
  <c r="AS166" i="14"/>
  <c r="AS230" i="14" s="1"/>
  <c r="AR166" i="14"/>
  <c r="AR230" i="14" s="1"/>
  <c r="AP166" i="14"/>
  <c r="AP218" i="14" s="1"/>
  <c r="AK166" i="14"/>
  <c r="AK230" i="14" s="1"/>
  <c r="AJ166" i="14"/>
  <c r="AJ230" i="14" s="1"/>
  <c r="AI166" i="14"/>
  <c r="AG166" i="14"/>
  <c r="AE166" i="14"/>
  <c r="AE218" i="14" s="1"/>
  <c r="AC166" i="14"/>
  <c r="AC230" i="14" s="1"/>
  <c r="AA166" i="14"/>
  <c r="AA230" i="14" s="1"/>
  <c r="Y166" i="14"/>
  <c r="W166" i="14"/>
  <c r="W218" i="14" s="1"/>
  <c r="T166" i="14"/>
  <c r="T230" i="14" s="1"/>
  <c r="R166" i="14"/>
  <c r="R230" i="14" s="1"/>
  <c r="P166" i="14"/>
  <c r="P230" i="14" s="1"/>
  <c r="O166" i="14"/>
  <c r="O230" i="14" s="1"/>
  <c r="N166" i="14"/>
  <c r="N218" i="14" s="1"/>
  <c r="J166" i="14"/>
  <c r="H166" i="14"/>
  <c r="H230" i="14" s="1"/>
  <c r="F166" i="14"/>
  <c r="D166" i="14"/>
  <c r="AV165" i="14"/>
  <c r="AV229" i="14" s="1"/>
  <c r="AT165" i="14"/>
  <c r="AT229" i="14" s="1"/>
  <c r="AS165" i="14"/>
  <c r="AS229" i="14" s="1"/>
  <c r="AR165" i="14"/>
  <c r="AR229" i="14" s="1"/>
  <c r="AP165" i="14"/>
  <c r="AK165" i="14"/>
  <c r="AI165" i="14"/>
  <c r="AI229" i="14" s="1"/>
  <c r="AG165" i="14"/>
  <c r="AG229" i="14" s="1"/>
  <c r="AE165" i="14"/>
  <c r="AC165" i="14"/>
  <c r="AC229" i="14" s="1"/>
  <c r="AA165" i="14"/>
  <c r="AA229" i="14" s="1"/>
  <c r="Y165" i="14"/>
  <c r="Y229" i="14" s="1"/>
  <c r="W165" i="14"/>
  <c r="W217" i="14" s="1"/>
  <c r="T165" i="14"/>
  <c r="T229" i="14" s="1"/>
  <c r="R165" i="14"/>
  <c r="P165" i="14"/>
  <c r="N165" i="14"/>
  <c r="N217" i="14" s="1"/>
  <c r="K165" i="14"/>
  <c r="K229" i="14" s="1"/>
  <c r="J165" i="14"/>
  <c r="H165" i="14"/>
  <c r="H229" i="14" s="1"/>
  <c r="F165" i="14"/>
  <c r="F229" i="14" s="1"/>
  <c r="AV164" i="14"/>
  <c r="AV228" i="14" s="1"/>
  <c r="AU164" i="14"/>
  <c r="AU228" i="14" s="1"/>
  <c r="AT164" i="14"/>
  <c r="AR164" i="14"/>
  <c r="AR228" i="14" s="1"/>
  <c r="AP164" i="14"/>
  <c r="AP216" i="14" s="1"/>
  <c r="AK164" i="14"/>
  <c r="AK228" i="14" s="1"/>
  <c r="AI164" i="14"/>
  <c r="AI228" i="14" s="1"/>
  <c r="AG164" i="14"/>
  <c r="AE164" i="14"/>
  <c r="AC164" i="14"/>
  <c r="AC228" i="14" s="1"/>
  <c r="AA164" i="14"/>
  <c r="AA228" i="14" s="1"/>
  <c r="Z164" i="14"/>
  <c r="Z228" i="14" s="1"/>
  <c r="Y164" i="14"/>
  <c r="Y228" i="14" s="1"/>
  <c r="X164" i="14"/>
  <c r="X228" i="14" s="1"/>
  <c r="W164" i="14"/>
  <c r="W216" i="14" s="1"/>
  <c r="T164" i="14"/>
  <c r="R164" i="14"/>
  <c r="R228" i="14" s="1"/>
  <c r="P164" i="14"/>
  <c r="P228" i="14" s="1"/>
  <c r="N164" i="14"/>
  <c r="J164" i="14"/>
  <c r="J228" i="14" s="1"/>
  <c r="H164" i="14"/>
  <c r="H228" i="14" s="1"/>
  <c r="F164" i="14"/>
  <c r="F228" i="14" s="1"/>
  <c r="AV163" i="14"/>
  <c r="AV227" i="14" s="1"/>
  <c r="AT163" i="14"/>
  <c r="AT227" i="14" s="1"/>
  <c r="AR163" i="14"/>
  <c r="AR227" i="14" s="1"/>
  <c r="AP163" i="14"/>
  <c r="AK163" i="14"/>
  <c r="AI163" i="14"/>
  <c r="AI227" i="14" s="1"/>
  <c r="AG163" i="14"/>
  <c r="AG227" i="14" s="1"/>
  <c r="AE163" i="14"/>
  <c r="AE215" i="14" s="1"/>
  <c r="AC163" i="14"/>
  <c r="AC227" i="14" s="1"/>
  <c r="AA163" i="14"/>
  <c r="AA227" i="14" s="1"/>
  <c r="Y163" i="14"/>
  <c r="W163" i="14"/>
  <c r="W215" i="14" s="1"/>
  <c r="T163" i="14"/>
  <c r="R163" i="14"/>
  <c r="R227" i="14" s="1"/>
  <c r="P163" i="14"/>
  <c r="P227" i="14" s="1"/>
  <c r="N163" i="14"/>
  <c r="N215" i="14" s="1"/>
  <c r="J163" i="14"/>
  <c r="J227" i="14" s="1"/>
  <c r="H163" i="14"/>
  <c r="G163" i="14"/>
  <c r="F163" i="14"/>
  <c r="F227" i="14" s="1"/>
  <c r="AV162" i="14"/>
  <c r="AV226" i="14" s="1"/>
  <c r="AT162" i="14"/>
  <c r="AT226" i="14" s="1"/>
  <c r="AR162" i="14"/>
  <c r="AP162" i="14"/>
  <c r="AP214" i="14" s="1"/>
  <c r="AK162" i="14"/>
  <c r="AK226" i="14" s="1"/>
  <c r="AI162" i="14"/>
  <c r="AI226" i="14" s="1"/>
  <c r="AG162" i="14"/>
  <c r="AG226" i="14" s="1"/>
  <c r="AF162" i="14"/>
  <c r="AF226" i="14" s="1"/>
  <c r="AE162" i="14"/>
  <c r="AE214" i="14" s="1"/>
  <c r="AD162" i="14"/>
  <c r="AD226" i="14" s="1"/>
  <c r="AC162" i="14"/>
  <c r="AC226" i="14" s="1"/>
  <c r="AA162" i="14"/>
  <c r="AA226" i="14" s="1"/>
  <c r="Y162" i="14"/>
  <c r="W162" i="14"/>
  <c r="W214" i="14" s="1"/>
  <c r="T162" i="14"/>
  <c r="T226" i="14" s="1"/>
  <c r="S162" i="14"/>
  <c r="S226" i="14" s="1"/>
  <c r="R162" i="14"/>
  <c r="R226" i="14" s="1"/>
  <c r="P162" i="14"/>
  <c r="P226" i="14" s="1"/>
  <c r="N162" i="14"/>
  <c r="N214" i="14" s="1"/>
  <c r="J162" i="14"/>
  <c r="H162" i="14"/>
  <c r="H226" i="14" s="1"/>
  <c r="F162" i="14"/>
  <c r="F226" i="14" s="1"/>
  <c r="AV161" i="14"/>
  <c r="AV225" i="14" s="1"/>
  <c r="AT161" i="14"/>
  <c r="AT225" i="14" s="1"/>
  <c r="AR161" i="14"/>
  <c r="AR225" i="14" s="1"/>
  <c r="AP161" i="14"/>
  <c r="AP213" i="14" s="1"/>
  <c r="AK161" i="14"/>
  <c r="AK225" i="14" s="1"/>
  <c r="AJ161" i="14"/>
  <c r="AJ225" i="14" s="1"/>
  <c r="AI161" i="14"/>
  <c r="AG161" i="14"/>
  <c r="AG225" i="14" s="1"/>
  <c r="AF161" i="14"/>
  <c r="AF225" i="14" s="1"/>
  <c r="AE161" i="14"/>
  <c r="AE213" i="14" s="1"/>
  <c r="AC161" i="14"/>
  <c r="AA161" i="14"/>
  <c r="AA225" i="14" s="1"/>
  <c r="Y161" i="14"/>
  <c r="Y225" i="14" s="1"/>
  <c r="W161" i="14"/>
  <c r="W213" i="14" s="1"/>
  <c r="T161" i="14"/>
  <c r="T225" i="14" s="1"/>
  <c r="R161" i="14"/>
  <c r="R225" i="14" s="1"/>
  <c r="Q161" i="14"/>
  <c r="Q225" i="14" s="1"/>
  <c r="P161" i="14"/>
  <c r="P225" i="14" s="1"/>
  <c r="N161" i="14"/>
  <c r="N213" i="14" s="1"/>
  <c r="J161" i="14"/>
  <c r="J225" i="14" s="1"/>
  <c r="H161" i="14"/>
  <c r="H225" i="14" s="1"/>
  <c r="F161" i="14"/>
  <c r="AV160" i="14"/>
  <c r="AV224" i="14" s="1"/>
  <c r="AT160" i="14"/>
  <c r="AT224" i="14" s="1"/>
  <c r="AS160" i="14"/>
  <c r="AS224" i="14" s="1"/>
  <c r="AR160" i="14"/>
  <c r="AR224" i="14" s="1"/>
  <c r="AP160" i="14"/>
  <c r="AP212" i="14" s="1"/>
  <c r="AK160" i="14"/>
  <c r="AK224" i="14" s="1"/>
  <c r="AI160" i="14"/>
  <c r="AI224" i="14" s="1"/>
  <c r="AG160" i="14"/>
  <c r="AE160" i="14"/>
  <c r="AC160" i="14"/>
  <c r="AC224" i="14" s="1"/>
  <c r="AA160" i="14"/>
  <c r="AA224" i="14" s="1"/>
  <c r="Y160" i="14"/>
  <c r="Y224" i="14" s="1"/>
  <c r="W160" i="14"/>
  <c r="T160" i="14"/>
  <c r="T224" i="14" s="1"/>
  <c r="R160" i="14"/>
  <c r="R224" i="14" s="1"/>
  <c r="P160" i="14"/>
  <c r="P224" i="14" s="1"/>
  <c r="O160" i="14"/>
  <c r="O224" i="14" s="1"/>
  <c r="N160" i="14"/>
  <c r="J160" i="14"/>
  <c r="J224" i="14" s="1"/>
  <c r="H160" i="14"/>
  <c r="H224" i="14" s="1"/>
  <c r="F160" i="14"/>
  <c r="F224" i="14" s="1"/>
  <c r="AV159" i="14"/>
  <c r="AV223" i="14" s="1"/>
  <c r="AU159" i="14"/>
  <c r="AU223" i="14" s="1"/>
  <c r="AT159" i="14"/>
  <c r="AR159" i="14"/>
  <c r="AR223" i="14" s="1"/>
  <c r="AP159" i="14"/>
  <c r="AP211" i="14" s="1"/>
  <c r="AK159" i="14"/>
  <c r="AI159" i="14"/>
  <c r="AI223" i="14" s="1"/>
  <c r="AG159" i="14"/>
  <c r="AG223" i="14" s="1"/>
  <c r="AE159" i="14"/>
  <c r="AE211" i="14" s="1"/>
  <c r="AC159" i="14"/>
  <c r="AC223" i="14" s="1"/>
  <c r="AA159" i="14"/>
  <c r="Y159" i="14"/>
  <c r="Y223" i="14" s="1"/>
  <c r="W159" i="14"/>
  <c r="W211" i="14" s="1"/>
  <c r="T159" i="14"/>
  <c r="T223" i="14" s="1"/>
  <c r="R159" i="14"/>
  <c r="R223" i="14" s="1"/>
  <c r="P159" i="14"/>
  <c r="P223" i="14" s="1"/>
  <c r="N159" i="14"/>
  <c r="N211" i="14" s="1"/>
  <c r="J159" i="14"/>
  <c r="J223" i="14" s="1"/>
  <c r="H159" i="14"/>
  <c r="H223" i="14" s="1"/>
  <c r="F159" i="14"/>
  <c r="F223" i="14" s="1"/>
  <c r="AV158" i="14"/>
  <c r="AT158" i="14"/>
  <c r="AT222" i="14" s="1"/>
  <c r="AR158" i="14"/>
  <c r="AR222" i="14" s="1"/>
  <c r="AP158" i="14"/>
  <c r="AK158" i="14"/>
  <c r="AK222" i="14" s="1"/>
  <c r="AI158" i="14"/>
  <c r="AI222" i="14" s="1"/>
  <c r="AH158" i="14"/>
  <c r="AH222" i="14" s="1"/>
  <c r="AG158" i="14"/>
  <c r="AG222" i="14" s="1"/>
  <c r="AE158" i="14"/>
  <c r="AE210" i="14" s="1"/>
  <c r="AC158" i="14"/>
  <c r="AC222" i="14" s="1"/>
  <c r="AA158" i="14"/>
  <c r="AA222" i="14" s="1"/>
  <c r="Y158" i="14"/>
  <c r="Y222" i="14" s="1"/>
  <c r="W158" i="14"/>
  <c r="T158" i="14"/>
  <c r="T222" i="14" s="1"/>
  <c r="R158" i="14"/>
  <c r="R222" i="14" s="1"/>
  <c r="P158" i="14"/>
  <c r="P222" i="14" s="1"/>
  <c r="N158" i="14"/>
  <c r="N210" i="14" s="1"/>
  <c r="J158" i="14"/>
  <c r="J222" i="14" s="1"/>
  <c r="H158" i="14"/>
  <c r="F158" i="14"/>
  <c r="AX157" i="14"/>
  <c r="AV157" i="14"/>
  <c r="AT157" i="14"/>
  <c r="AT221" i="14" s="1"/>
  <c r="AR157" i="14"/>
  <c r="AR221" i="14" s="1"/>
  <c r="AP157" i="14"/>
  <c r="AP209" i="14" s="1"/>
  <c r="AK157" i="14"/>
  <c r="AK221" i="14" s="1"/>
  <c r="AI157" i="14"/>
  <c r="AI221" i="14" s="1"/>
  <c r="AG157" i="14"/>
  <c r="AE157" i="14"/>
  <c r="AE209" i="14" s="1"/>
  <c r="AC157" i="14"/>
  <c r="AC221" i="14" s="1"/>
  <c r="AA157" i="14"/>
  <c r="AA221" i="14" s="1"/>
  <c r="Y157" i="14"/>
  <c r="Y221" i="14" s="1"/>
  <c r="W157" i="14"/>
  <c r="V157" i="14"/>
  <c r="V221" i="14" s="1"/>
  <c r="T157" i="14"/>
  <c r="R157" i="14"/>
  <c r="R221" i="14" s="1"/>
  <c r="P157" i="14"/>
  <c r="P221" i="14" s="1"/>
  <c r="N157" i="14"/>
  <c r="N209" i="14" s="1"/>
  <c r="J157" i="14"/>
  <c r="H157" i="14"/>
  <c r="H221" i="14" s="1"/>
  <c r="F157" i="14"/>
  <c r="AU155" i="14"/>
  <c r="AU220" i="14" s="1"/>
  <c r="AU284" i="14" s="1"/>
  <c r="AQ155" i="14"/>
  <c r="AQ220" i="14" s="1"/>
  <c r="AQ284" i="14" s="1"/>
  <c r="Q155" i="14"/>
  <c r="Q220" i="14" s="1"/>
  <c r="Q284" i="14" s="1"/>
  <c r="K155" i="14"/>
  <c r="K220" i="14" s="1"/>
  <c r="K284" i="14" s="1"/>
  <c r="G155" i="14"/>
  <c r="G220" i="14" s="1"/>
  <c r="G284" i="14" s="1"/>
  <c r="AS154" i="14"/>
  <c r="AS219" i="14" s="1"/>
  <c r="AS283" i="14" s="1"/>
  <c r="AH154" i="14"/>
  <c r="AH219" i="14" s="1"/>
  <c r="AH283" i="14" s="1"/>
  <c r="AB154" i="14"/>
  <c r="AB219" i="14" s="1"/>
  <c r="AB283" i="14" s="1"/>
  <c r="Z154" i="14"/>
  <c r="Z219" i="14" s="1"/>
  <c r="Z283" i="14" s="1"/>
  <c r="X154" i="14"/>
  <c r="X219" i="14" s="1"/>
  <c r="X283" i="14" s="1"/>
  <c r="AQ153" i="14"/>
  <c r="AQ218" i="14" s="1"/>
  <c r="AQ282" i="14" s="1"/>
  <c r="AL153" i="14"/>
  <c r="AL218" i="14" s="1"/>
  <c r="AL282" i="14" s="1"/>
  <c r="AH153" i="14"/>
  <c r="AH218" i="14" s="1"/>
  <c r="AH282" i="14" s="1"/>
  <c r="S153" i="14"/>
  <c r="S218" i="14" s="1"/>
  <c r="S282" i="14" s="1"/>
  <c r="O153" i="14"/>
  <c r="O218" i="14" s="1"/>
  <c r="O282" i="14" s="1"/>
  <c r="E153" i="14"/>
  <c r="E218" i="14" s="1"/>
  <c r="AW152" i="14"/>
  <c r="AW217" i="14" s="1"/>
  <c r="AW281" i="14" s="1"/>
  <c r="AS152" i="14"/>
  <c r="AS217" i="14" s="1"/>
  <c r="AS281" i="14" s="1"/>
  <c r="AD152" i="14"/>
  <c r="AD217" i="14" s="1"/>
  <c r="Z152" i="14"/>
  <c r="Z217" i="14" s="1"/>
  <c r="Z281" i="14" s="1"/>
  <c r="V152" i="14"/>
  <c r="V217" i="14" s="1"/>
  <c r="V281" i="14" s="1"/>
  <c r="Q152" i="14"/>
  <c r="Q217" i="14" s="1"/>
  <c r="Q281" i="14" s="1"/>
  <c r="AH151" i="14"/>
  <c r="AH216" i="14" s="1"/>
  <c r="AH280" i="14" s="1"/>
  <c r="AW150" i="14"/>
  <c r="AW215" i="14" s="1"/>
  <c r="AW279" i="14" s="1"/>
  <c r="AU150" i="14"/>
  <c r="AU215" i="14" s="1"/>
  <c r="AU279" i="14" s="1"/>
  <c r="AS150" i="14"/>
  <c r="AS215" i="14" s="1"/>
  <c r="AS279" i="14" s="1"/>
  <c r="AQ150" i="14"/>
  <c r="AQ215" i="14" s="1"/>
  <c r="AQ279" i="14" s="1"/>
  <c r="AF150" i="14"/>
  <c r="Z150" i="14"/>
  <c r="Z215" i="14" s="1"/>
  <c r="Z279" i="14" s="1"/>
  <c r="X150" i="14"/>
  <c r="X215" i="14" s="1"/>
  <c r="X279" i="14" s="1"/>
  <c r="S150" i="14"/>
  <c r="S215" i="14" s="1"/>
  <c r="S279" i="14" s="1"/>
  <c r="O150" i="14"/>
  <c r="O215" i="14" s="1"/>
  <c r="O279" i="14" s="1"/>
  <c r="AS149" i="14"/>
  <c r="Z149" i="14"/>
  <c r="Z214" i="14" s="1"/>
  <c r="Z278" i="14" s="1"/>
  <c r="O149" i="14"/>
  <c r="O214" i="14" s="1"/>
  <c r="O278" i="14" s="1"/>
  <c r="G149" i="14"/>
  <c r="G214" i="14" s="1"/>
  <c r="G278" i="14" s="1"/>
  <c r="E149" i="14"/>
  <c r="E214" i="14" s="1"/>
  <c r="E278" i="14" s="1"/>
  <c r="D278" i="14" s="1"/>
  <c r="AS148" i="14"/>
  <c r="AS213" i="14" s="1"/>
  <c r="AS277" i="14" s="1"/>
  <c r="AQ148" i="14"/>
  <c r="AQ213" i="14" s="1"/>
  <c r="AQ277" i="14" s="1"/>
  <c r="AJ148" i="14"/>
  <c r="AJ213" i="14" s="1"/>
  <c r="AJ277" i="14" s="1"/>
  <c r="G148" i="14"/>
  <c r="G213" i="14" s="1"/>
  <c r="G277" i="14" s="1"/>
  <c r="AS147" i="14"/>
  <c r="AS212" i="14" s="1"/>
  <c r="AS276" i="14" s="1"/>
  <c r="AQ147" i="14"/>
  <c r="AQ212" i="14" s="1"/>
  <c r="AQ276" i="14" s="1"/>
  <c r="Z147" i="14"/>
  <c r="Z212" i="14" s="1"/>
  <c r="Z276" i="14" s="1"/>
  <c r="X147" i="14"/>
  <c r="X212" i="14" s="1"/>
  <c r="X276" i="14" s="1"/>
  <c r="S147" i="14"/>
  <c r="S212" i="14" s="1"/>
  <c r="S276" i="14" s="1"/>
  <c r="Q147" i="14"/>
  <c r="Q212" i="14" s="1"/>
  <c r="Q276" i="14" s="1"/>
  <c r="AU146" i="14"/>
  <c r="AU211" i="14" s="1"/>
  <c r="AU275" i="14" s="1"/>
  <c r="AS146" i="14"/>
  <c r="AS211" i="14" s="1"/>
  <c r="AS275" i="14" s="1"/>
  <c r="AQ146" i="14"/>
  <c r="AQ211" i="14" s="1"/>
  <c r="AL146" i="14"/>
  <c r="AL211" i="14" s="1"/>
  <c r="AL275" i="14" s="1"/>
  <c r="AH146" i="14"/>
  <c r="AH211" i="14" s="1"/>
  <c r="AH275" i="14" s="1"/>
  <c r="AF146" i="14"/>
  <c r="AF211" i="14" s="1"/>
  <c r="AF275" i="14" s="1"/>
  <c r="G146" i="14"/>
  <c r="G211" i="14" s="1"/>
  <c r="G275" i="14" s="1"/>
  <c r="E146" i="14"/>
  <c r="E211" i="14" s="1"/>
  <c r="AS145" i="14"/>
  <c r="AS210" i="14" s="1"/>
  <c r="AS274" i="14" s="1"/>
  <c r="AD145" i="14"/>
  <c r="AD210" i="14" s="1"/>
  <c r="AD274" i="14" s="1"/>
  <c r="V145" i="14"/>
  <c r="V210" i="14" s="1"/>
  <c r="V274" i="14" s="1"/>
  <c r="Q145" i="14"/>
  <c r="Q210" i="14" s="1"/>
  <c r="Q274" i="14" s="1"/>
  <c r="O145" i="14"/>
  <c r="O210" i="14" s="1"/>
  <c r="O274" i="14" s="1"/>
  <c r="AQ144" i="14"/>
  <c r="AQ209" i="14" s="1"/>
  <c r="AF144" i="14"/>
  <c r="AF209" i="14" s="1"/>
  <c r="AF273" i="14" s="1"/>
  <c r="AD144" i="14"/>
  <c r="AD209" i="14" s="1"/>
  <c r="AD273" i="14" s="1"/>
  <c r="AB144" i="14"/>
  <c r="AB209" i="14" s="1"/>
  <c r="AB273" i="14" s="1"/>
  <c r="Z144" i="14"/>
  <c r="Z209" i="14" s="1"/>
  <c r="Z273" i="14" s="1"/>
  <c r="X144" i="14"/>
  <c r="E144" i="14"/>
  <c r="E209" i="14" s="1"/>
  <c r="AS143" i="14"/>
  <c r="AS208" i="14" s="1"/>
  <c r="AS272" i="14" s="1"/>
  <c r="S143" i="14"/>
  <c r="S208" i="14" s="1"/>
  <c r="S272" i="14" s="1"/>
  <c r="O143" i="14"/>
  <c r="O208" i="14" s="1"/>
  <c r="O272" i="14" s="1"/>
  <c r="K143" i="14"/>
  <c r="K208" i="14" s="1"/>
  <c r="K272" i="14" s="1"/>
  <c r="G143" i="14"/>
  <c r="G208" i="14" s="1"/>
  <c r="G272" i="14" s="1"/>
  <c r="AH142" i="14"/>
  <c r="AF142" i="14"/>
  <c r="AL141" i="14"/>
  <c r="AL206" i="14" s="1"/>
  <c r="AH141" i="14"/>
  <c r="AH206" i="14" s="1"/>
  <c r="AH270" i="14" s="1"/>
  <c r="AF141" i="14"/>
  <c r="AF206" i="14" s="1"/>
  <c r="AF270" i="14" s="1"/>
  <c r="Q141" i="14"/>
  <c r="Q206" i="14" s="1"/>
  <c r="Q270" i="14" s="1"/>
  <c r="O141" i="14"/>
  <c r="O206" i="14" s="1"/>
  <c r="O270" i="14" s="1"/>
  <c r="V140" i="14"/>
  <c r="V205" i="14" s="1"/>
  <c r="V269" i="14" s="1"/>
  <c r="Q140" i="14"/>
  <c r="Q205" i="14" s="1"/>
  <c r="Q269" i="14" s="1"/>
  <c r="O140" i="14"/>
  <c r="O205" i="14" s="1"/>
  <c r="O269" i="14" s="1"/>
  <c r="G140" i="14"/>
  <c r="G205" i="14" s="1"/>
  <c r="G269" i="14" s="1"/>
  <c r="E140" i="14"/>
  <c r="E205" i="14" s="1"/>
  <c r="E269" i="14" s="1"/>
  <c r="D269" i="14" s="1"/>
  <c r="AH139" i="14"/>
  <c r="AH204" i="14" s="1"/>
  <c r="AH268" i="14" s="1"/>
  <c r="AD139" i="14"/>
  <c r="AD204" i="14" s="1"/>
  <c r="AD268" i="14" s="1"/>
  <c r="Z139" i="14"/>
  <c r="Z204" i="14" s="1"/>
  <c r="Z268" i="14" s="1"/>
  <c r="AU138" i="14"/>
  <c r="AU203" i="14" s="1"/>
  <c r="AU267" i="14" s="1"/>
  <c r="AQ138" i="14"/>
  <c r="AQ203" i="14" s="1"/>
  <c r="AQ267" i="14" s="1"/>
  <c r="AL138" i="14"/>
  <c r="AL203" i="14" s="1"/>
  <c r="AL267" i="14" s="1"/>
  <c r="Q138" i="14"/>
  <c r="Q203" i="14" s="1"/>
  <c r="Q267" i="14" s="1"/>
  <c r="K138" i="14"/>
  <c r="K203" i="14" s="1"/>
  <c r="K267" i="14" s="1"/>
  <c r="G138" i="14"/>
  <c r="E138" i="14"/>
  <c r="E203" i="14" s="1"/>
  <c r="AJ137" i="14"/>
  <c r="AJ202" i="14" s="1"/>
  <c r="AJ266" i="14" s="1"/>
  <c r="AH137" i="14"/>
  <c r="AH202" i="14" s="1"/>
  <c r="AH266" i="14" s="1"/>
  <c r="Z137" i="14"/>
  <c r="Z202" i="14" s="1"/>
  <c r="Z266" i="14" s="1"/>
  <c r="X137" i="14"/>
  <c r="X202" i="14" s="1"/>
  <c r="X266" i="14" s="1"/>
  <c r="V137" i="14"/>
  <c r="V202" i="14" s="1"/>
  <c r="V266" i="14" s="1"/>
  <c r="AQ136" i="14"/>
  <c r="AH136" i="14"/>
  <c r="AH201" i="14" s="1"/>
  <c r="AH265" i="14" s="1"/>
  <c r="AF136" i="14"/>
  <c r="AF201" i="14" s="1"/>
  <c r="AF265" i="14" s="1"/>
  <c r="Q136" i="14"/>
  <c r="Q201" i="14" s="1"/>
  <c r="Q265" i="14" s="1"/>
  <c r="G136" i="14"/>
  <c r="G201" i="14" s="1"/>
  <c r="G265" i="14" s="1"/>
  <c r="E136" i="14"/>
  <c r="E201" i="14" s="1"/>
  <c r="E265" i="14" s="1"/>
  <c r="AW135" i="14"/>
  <c r="AW200" i="14" s="1"/>
  <c r="AW264" i="14" s="1"/>
  <c r="AS135" i="14"/>
  <c r="AS200" i="14" s="1"/>
  <c r="AS264" i="14" s="1"/>
  <c r="Z135" i="14"/>
  <c r="V135" i="14"/>
  <c r="V200" i="14" s="1"/>
  <c r="V264" i="14" s="1"/>
  <c r="S135" i="14"/>
  <c r="S200" i="14" s="1"/>
  <c r="S264" i="14" s="1"/>
  <c r="Q135" i="14"/>
  <c r="Q200" i="14" s="1"/>
  <c r="Q264" i="14" s="1"/>
  <c r="O135" i="14"/>
  <c r="O200" i="14" s="1"/>
  <c r="O264" i="14" s="1"/>
  <c r="AH134" i="14"/>
  <c r="AH199" i="14" s="1"/>
  <c r="AH263" i="14" s="1"/>
  <c r="AF134" i="14"/>
  <c r="AF199" i="14" s="1"/>
  <c r="AF263" i="14" s="1"/>
  <c r="G134" i="14"/>
  <c r="G199" i="14" s="1"/>
  <c r="G263" i="14" s="1"/>
  <c r="AS133" i="14"/>
  <c r="AS198" i="14" s="1"/>
  <c r="AS262" i="14" s="1"/>
  <c r="AQ133" i="14"/>
  <c r="AQ198" i="14" s="1"/>
  <c r="AQ262" i="14" s="1"/>
  <c r="AL133" i="14"/>
  <c r="AL198" i="14" s="1"/>
  <c r="AL262" i="14" s="1"/>
  <c r="AH133" i="14"/>
  <c r="AH198" i="14" s="1"/>
  <c r="AH262" i="14" s="1"/>
  <c r="AF133" i="14"/>
  <c r="Z133" i="14"/>
  <c r="Z198" i="14" s="1"/>
  <c r="Z262" i="14" s="1"/>
  <c r="X133" i="14"/>
  <c r="X198" i="14" s="1"/>
  <c r="X262" i="14" s="1"/>
  <c r="O133" i="14"/>
  <c r="O198" i="14" s="1"/>
  <c r="O262" i="14" s="1"/>
  <c r="I133" i="14"/>
  <c r="I198" i="14" s="1"/>
  <c r="I262" i="14" s="1"/>
  <c r="AD132" i="14"/>
  <c r="AD197" i="14" s="1"/>
  <c r="AD261" i="14" s="1"/>
  <c r="Z132" i="14"/>
  <c r="Z197" i="14" s="1"/>
  <c r="Z261" i="14" s="1"/>
  <c r="X132" i="14"/>
  <c r="X197" i="14" s="1"/>
  <c r="Q132" i="14"/>
  <c r="Q197" i="14" s="1"/>
  <c r="Q261" i="14" s="1"/>
  <c r="E132" i="14"/>
  <c r="E197" i="14" s="1"/>
  <c r="AW131" i="14"/>
  <c r="AW196" i="14" s="1"/>
  <c r="AW260" i="14" s="1"/>
  <c r="AS131" i="14"/>
  <c r="AS196" i="14" s="1"/>
  <c r="AS260" i="14" s="1"/>
  <c r="AQ131" i="14"/>
  <c r="AQ196" i="14" s="1"/>
  <c r="AQ260" i="14" s="1"/>
  <c r="Q131" i="14"/>
  <c r="Q196" i="14" s="1"/>
  <c r="Q260" i="14" s="1"/>
  <c r="G131" i="14"/>
  <c r="G196" i="14" s="1"/>
  <c r="G260" i="14" s="1"/>
  <c r="E131" i="14"/>
  <c r="E196" i="14" s="1"/>
  <c r="AH130" i="14"/>
  <c r="AH195" i="14" s="1"/>
  <c r="AH259" i="14" s="1"/>
  <c r="AF130" i="14"/>
  <c r="AF195" i="14" s="1"/>
  <c r="AF259" i="14" s="1"/>
  <c r="Z130" i="14"/>
  <c r="Z195" i="14" s="1"/>
  <c r="Z259" i="14" s="1"/>
  <c r="Q130" i="14"/>
  <c r="Q195" i="14" s="1"/>
  <c r="Q259" i="14" s="1"/>
  <c r="AW129" i="14"/>
  <c r="AW194" i="14" s="1"/>
  <c r="AW258" i="14" s="1"/>
  <c r="AU129" i="14"/>
  <c r="AU194" i="14" s="1"/>
  <c r="AU258" i="14" s="1"/>
  <c r="AS129" i="14"/>
  <c r="AS194" i="14" s="1"/>
  <c r="AS258" i="14" s="1"/>
  <c r="AQ129" i="14"/>
  <c r="AQ194" i="14" s="1"/>
  <c r="AL129" i="14"/>
  <c r="AL194" i="14" s="1"/>
  <c r="AL258" i="14" s="1"/>
  <c r="AH129" i="14"/>
  <c r="AF129" i="14"/>
  <c r="AF194" i="14" s="1"/>
  <c r="AF258" i="14" s="1"/>
  <c r="G129" i="14"/>
  <c r="G194" i="14" s="1"/>
  <c r="G258" i="14" s="1"/>
  <c r="AW128" i="14"/>
  <c r="AW193" i="14" s="1"/>
  <c r="AW257" i="14" s="1"/>
  <c r="AU128" i="14"/>
  <c r="AU193" i="14" s="1"/>
  <c r="AU257" i="14" s="1"/>
  <c r="AS128" i="14"/>
  <c r="AS193" i="14" s="1"/>
  <c r="AS257" i="14" s="1"/>
  <c r="AF128" i="14"/>
  <c r="AF193" i="14" s="1"/>
  <c r="AF257" i="14" s="1"/>
  <c r="AD128" i="14"/>
  <c r="AD193" i="14" s="1"/>
  <c r="AD257" i="14" s="1"/>
  <c r="X128" i="14"/>
  <c r="X193" i="14" s="1"/>
  <c r="X257" i="14" s="1"/>
  <c r="S128" i="14"/>
  <c r="S193" i="14" s="1"/>
  <c r="S257" i="14" s="1"/>
  <c r="Q128" i="14"/>
  <c r="Q193" i="14" s="1"/>
  <c r="Q257" i="14" s="1"/>
  <c r="O128" i="14"/>
  <c r="O193" i="14" s="1"/>
  <c r="O257" i="14" s="1"/>
  <c r="AQ127" i="14"/>
  <c r="AQ192" i="14" s="1"/>
  <c r="AQ256" i="14" s="1"/>
  <c r="AH127" i="14"/>
  <c r="AH192" i="14" s="1"/>
  <c r="AH256" i="14" s="1"/>
  <c r="AF127" i="14"/>
  <c r="AB127" i="14"/>
  <c r="X127" i="14"/>
  <c r="X192" i="14" s="1"/>
  <c r="X256" i="14" s="1"/>
  <c r="I127" i="14"/>
  <c r="I192" i="14" s="1"/>
  <c r="I256" i="14" s="1"/>
  <c r="AQ126" i="14"/>
  <c r="AQ191" i="14" s="1"/>
  <c r="AQ255" i="14" s="1"/>
  <c r="Z126" i="14"/>
  <c r="Z191" i="14" s="1"/>
  <c r="Z255" i="14" s="1"/>
  <c r="X126" i="14"/>
  <c r="Q126" i="14"/>
  <c r="Q191" i="14" s="1"/>
  <c r="Q255" i="14" s="1"/>
  <c r="O126" i="14"/>
  <c r="O191" i="14" s="1"/>
  <c r="O255" i="14" s="1"/>
  <c r="AQ125" i="14"/>
  <c r="AQ190" i="14" s="1"/>
  <c r="AQ254" i="14" s="1"/>
  <c r="AJ125" i="14"/>
  <c r="AJ190" i="14" s="1"/>
  <c r="AJ254" i="14" s="1"/>
  <c r="AF125" i="14"/>
  <c r="AF190" i="14" s="1"/>
  <c r="AF254" i="14" s="1"/>
  <c r="AD125" i="14"/>
  <c r="AD190" i="14" s="1"/>
  <c r="AD254" i="14" s="1"/>
  <c r="Z125" i="14"/>
  <c r="X125" i="14"/>
  <c r="X190" i="14" s="1"/>
  <c r="X254" i="14" s="1"/>
  <c r="G125" i="14"/>
  <c r="E125" i="14"/>
  <c r="E190" i="14" s="1"/>
  <c r="Q124" i="14"/>
  <c r="Q189" i="14" s="1"/>
  <c r="Q253" i="14" s="1"/>
  <c r="K124" i="14"/>
  <c r="K189" i="14" s="1"/>
  <c r="K253" i="14" s="1"/>
  <c r="G124" i="14"/>
  <c r="G189" i="14" s="1"/>
  <c r="G253" i="14" s="1"/>
  <c r="AF123" i="14"/>
  <c r="AF188" i="14" s="1"/>
  <c r="AF252" i="14" s="1"/>
  <c r="Z123" i="14"/>
  <c r="Z188" i="14" s="1"/>
  <c r="Z252" i="14" s="1"/>
  <c r="X123" i="14"/>
  <c r="X188" i="14" s="1"/>
  <c r="X252" i="14" s="1"/>
  <c r="AS122" i="14"/>
  <c r="AS187" i="14" s="1"/>
  <c r="AS251" i="14" s="1"/>
  <c r="AJ122" i="14"/>
  <c r="AJ187" i="14" s="1"/>
  <c r="AJ251" i="14" s="1"/>
  <c r="O122" i="14"/>
  <c r="O187" i="14" s="1"/>
  <c r="O251" i="14" s="1"/>
  <c r="G122" i="14"/>
  <c r="G187" i="14" s="1"/>
  <c r="G251" i="14" s="1"/>
  <c r="E122" i="14"/>
  <c r="E187" i="14" s="1"/>
  <c r="AW121" i="14"/>
  <c r="AW186" i="14" s="1"/>
  <c r="AW250" i="14" s="1"/>
  <c r="AS121" i="14"/>
  <c r="Z121" i="14"/>
  <c r="Z186" i="14" s="1"/>
  <c r="Z250" i="14" s="1"/>
  <c r="V121" i="14"/>
  <c r="V186" i="14" s="1"/>
  <c r="V250" i="14" s="1"/>
  <c r="Q121" i="14"/>
  <c r="Q186" i="14" s="1"/>
  <c r="Q250" i="14" s="1"/>
  <c r="E121" i="14"/>
  <c r="AF120" i="14"/>
  <c r="AF185" i="14" s="1"/>
  <c r="AF249" i="14" s="1"/>
  <c r="AD120" i="14"/>
  <c r="Z120" i="14"/>
  <c r="Z185" i="14" s="1"/>
  <c r="Z249" i="14" s="1"/>
  <c r="X120" i="14"/>
  <c r="X185" i="14" s="1"/>
  <c r="X249" i="14" s="1"/>
  <c r="E120" i="14"/>
  <c r="E185" i="14" s="1"/>
  <c r="AU119" i="14"/>
  <c r="AU184" i="14" s="1"/>
  <c r="AU248" i="14" s="1"/>
  <c r="AQ119" i="14"/>
  <c r="AQ184" i="14" s="1"/>
  <c r="AQ248" i="14" s="1"/>
  <c r="K119" i="14"/>
  <c r="K184" i="14" s="1"/>
  <c r="K248" i="14" s="1"/>
  <c r="I119" i="14"/>
  <c r="I184" i="14" s="1"/>
  <c r="I248" i="14" s="1"/>
  <c r="G119" i="14"/>
  <c r="G184" i="14" s="1"/>
  <c r="G248" i="14" s="1"/>
  <c r="E119" i="14"/>
  <c r="E184" i="14" s="1"/>
  <c r="AH118" i="14"/>
  <c r="AH183" i="14" s="1"/>
  <c r="AH247" i="14" s="1"/>
  <c r="AF118" i="14"/>
  <c r="AF183" i="14" s="1"/>
  <c r="AF247" i="14" s="1"/>
  <c r="Z118" i="14"/>
  <c r="Z183" i="14" s="1"/>
  <c r="Z247" i="14" s="1"/>
  <c r="O118" i="14"/>
  <c r="O183" i="14" s="1"/>
  <c r="O247" i="14" s="1"/>
  <c r="AW117" i="14"/>
  <c r="AW182" i="14" s="1"/>
  <c r="AW246" i="14" s="1"/>
  <c r="AS117" i="14"/>
  <c r="AS182" i="14" s="1"/>
  <c r="AS246" i="14" s="1"/>
  <c r="AL117" i="14"/>
  <c r="AL182" i="14" s="1"/>
  <c r="AL246" i="14" s="1"/>
  <c r="AH117" i="14"/>
  <c r="AH182" i="14" s="1"/>
  <c r="AH246" i="14" s="1"/>
  <c r="AF117" i="14"/>
  <c r="AD117" i="14"/>
  <c r="AD182" i="14" s="1"/>
  <c r="AD246" i="14" s="1"/>
  <c r="O117" i="14"/>
  <c r="O182" i="14" s="1"/>
  <c r="O246" i="14" s="1"/>
  <c r="K117" i="14"/>
  <c r="K182" i="14" s="1"/>
  <c r="K246" i="14" s="1"/>
  <c r="G117" i="14"/>
  <c r="G182" i="14" s="1"/>
  <c r="G246" i="14" s="1"/>
  <c r="E117" i="14"/>
  <c r="E182" i="14" s="1"/>
  <c r="AW116" i="14"/>
  <c r="AW181" i="14" s="1"/>
  <c r="AW245" i="14" s="1"/>
  <c r="AS116" i="14"/>
  <c r="Z116" i="14"/>
  <c r="Z181" i="14" s="1"/>
  <c r="Z245" i="14" s="1"/>
  <c r="X116" i="14"/>
  <c r="X181" i="14" s="1"/>
  <c r="X245" i="14" s="1"/>
  <c r="S116" i="14"/>
  <c r="S181" i="14" s="1"/>
  <c r="S245" i="14" s="1"/>
  <c r="Q116" i="14"/>
  <c r="Q181" i="14" s="1"/>
  <c r="Q245" i="14" s="1"/>
  <c r="O116" i="14"/>
  <c r="AL115" i="14"/>
  <c r="AL180" i="14" s="1"/>
  <c r="AL244" i="14" s="1"/>
  <c r="AJ115" i="14"/>
  <c r="AJ180" i="14" s="1"/>
  <c r="AJ244" i="14" s="1"/>
  <c r="AH115" i="14"/>
  <c r="AH180" i="14" s="1"/>
  <c r="AH244" i="14" s="1"/>
  <c r="AF115" i="14"/>
  <c r="AF180" i="14" s="1"/>
  <c r="AF244" i="14" s="1"/>
  <c r="Z115" i="14"/>
  <c r="Z180" i="14" s="1"/>
  <c r="Z244" i="14" s="1"/>
  <c r="I115" i="14"/>
  <c r="I180" i="14" s="1"/>
  <c r="I244" i="14" s="1"/>
  <c r="G115" i="14"/>
  <c r="G180" i="14" s="1"/>
  <c r="G244" i="14" s="1"/>
  <c r="E115" i="14"/>
  <c r="E180" i="14" s="1"/>
  <c r="E244" i="14" s="1"/>
  <c r="D244" i="14" s="1"/>
  <c r="AS114" i="14"/>
  <c r="AS179" i="14" s="1"/>
  <c r="AS243" i="14" s="1"/>
  <c r="V114" i="14"/>
  <c r="V179" i="14" s="1"/>
  <c r="V243" i="14" s="1"/>
  <c r="Q114" i="14"/>
  <c r="O114" i="14"/>
  <c r="O179" i="14" s="1"/>
  <c r="O243" i="14" s="1"/>
  <c r="K114" i="14"/>
  <c r="K179" i="14" s="1"/>
  <c r="K243" i="14" s="1"/>
  <c r="G114" i="14"/>
  <c r="G179" i="14" s="1"/>
  <c r="G243" i="14" s="1"/>
  <c r="E114" i="14"/>
  <c r="E179" i="14" s="1"/>
  <c r="E243" i="14" s="1"/>
  <c r="D243" i="14" s="1"/>
  <c r="AF113" i="14"/>
  <c r="AF178" i="14" s="1"/>
  <c r="AF242" i="14" s="1"/>
  <c r="Z113" i="14"/>
  <c r="Z178" i="14" s="1"/>
  <c r="Z242" i="14" s="1"/>
  <c r="X113" i="14"/>
  <c r="X178" i="14" s="1"/>
  <c r="X242" i="14" s="1"/>
  <c r="Q113" i="14"/>
  <c r="Q178" i="14" s="1"/>
  <c r="AW112" i="14"/>
  <c r="AW177" i="14" s="1"/>
  <c r="AW241" i="14" s="1"/>
  <c r="AS112" i="14"/>
  <c r="AJ112" i="14"/>
  <c r="AJ177" i="14" s="1"/>
  <c r="AJ241" i="14" s="1"/>
  <c r="AH112" i="14"/>
  <c r="AF112" i="14"/>
  <c r="AF177" i="14" s="1"/>
  <c r="AF241" i="14" s="1"/>
  <c r="O112" i="14"/>
  <c r="O177" i="14" s="1"/>
  <c r="O241" i="14" s="1"/>
  <c r="I112" i="14"/>
  <c r="I177" i="14" s="1"/>
  <c r="I241" i="14" s="1"/>
  <c r="G112" i="14"/>
  <c r="G177" i="14" s="1"/>
  <c r="G241" i="14" s="1"/>
  <c r="X111" i="14"/>
  <c r="X176" i="14" s="1"/>
  <c r="X240" i="14" s="1"/>
  <c r="S111" i="14"/>
  <c r="S176" i="14" s="1"/>
  <c r="S240" i="14" s="1"/>
  <c r="Q111" i="14"/>
  <c r="Q176" i="14" s="1"/>
  <c r="Q240" i="14" s="1"/>
  <c r="G111" i="14"/>
  <c r="G176" i="14" s="1"/>
  <c r="G240" i="14" s="1"/>
  <c r="AS110" i="14"/>
  <c r="AS175" i="14" s="1"/>
  <c r="AS239" i="14" s="1"/>
  <c r="AQ110" i="14"/>
  <c r="AQ175" i="14" s="1"/>
  <c r="AQ239" i="14" s="1"/>
  <c r="AH110" i="14"/>
  <c r="AF110" i="14"/>
  <c r="AF175" i="14" s="1"/>
  <c r="AF239" i="14" s="1"/>
  <c r="AQ109" i="14"/>
  <c r="AQ174" i="14" s="1"/>
  <c r="AQ238" i="14" s="1"/>
  <c r="V109" i="14"/>
  <c r="V174" i="14" s="1"/>
  <c r="V238" i="14" s="1"/>
  <c r="O109" i="14"/>
  <c r="O174" i="14" s="1"/>
  <c r="O238" i="14" s="1"/>
  <c r="AH108" i="14"/>
  <c r="AF108" i="14"/>
  <c r="AF173" i="14" s="1"/>
  <c r="AF237" i="14" s="1"/>
  <c r="AB108" i="14"/>
  <c r="AB173" i="14" s="1"/>
  <c r="AB237" i="14" s="1"/>
  <c r="X108" i="14"/>
  <c r="X173" i="14" s="1"/>
  <c r="X237" i="14" s="1"/>
  <c r="E108" i="14"/>
  <c r="AQ107" i="14"/>
  <c r="AQ172" i="14" s="1"/>
  <c r="AQ236" i="14" s="1"/>
  <c r="AJ107" i="14"/>
  <c r="AJ172" i="14" s="1"/>
  <c r="AJ236" i="14" s="1"/>
  <c r="Q107" i="14"/>
  <c r="O107" i="14"/>
  <c r="O172" i="14" s="1"/>
  <c r="O236" i="14" s="1"/>
  <c r="G107" i="14"/>
  <c r="G172" i="14" s="1"/>
  <c r="G236" i="14" s="1"/>
  <c r="AW106" i="14"/>
  <c r="AW171" i="14" s="1"/>
  <c r="AW235" i="14" s="1"/>
  <c r="AS106" i="14"/>
  <c r="X106" i="14"/>
  <c r="X171" i="14" s="1"/>
  <c r="X235" i="14" s="1"/>
  <c r="AQ105" i="14"/>
  <c r="AQ170" i="14" s="1"/>
  <c r="AQ234" i="14" s="1"/>
  <c r="AH105" i="14"/>
  <c r="AH170" i="14" s="1"/>
  <c r="AH234" i="14" s="1"/>
  <c r="AD105" i="14"/>
  <c r="AD170" i="14" s="1"/>
  <c r="AD234" i="14" s="1"/>
  <c r="AS104" i="14"/>
  <c r="AS169" i="14" s="1"/>
  <c r="AS233" i="14" s="1"/>
  <c r="X104" i="14"/>
  <c r="X169" i="14" s="1"/>
  <c r="X233" i="14" s="1"/>
  <c r="V104" i="14"/>
  <c r="V169" i="14" s="1"/>
  <c r="Q104" i="14"/>
  <c r="Q169" i="14" s="1"/>
  <c r="Q233" i="14" s="1"/>
  <c r="G104" i="14"/>
  <c r="G169" i="14" s="1"/>
  <c r="G233" i="14" s="1"/>
  <c r="Z103" i="14"/>
  <c r="Z168" i="14" s="1"/>
  <c r="Z232" i="14" s="1"/>
  <c r="Q103" i="14"/>
  <c r="Q168" i="14" s="1"/>
  <c r="Q232" i="14" s="1"/>
  <c r="AQ102" i="14"/>
  <c r="AQ167" i="14" s="1"/>
  <c r="AH102" i="14"/>
  <c r="AH167" i="14" s="1"/>
  <c r="AH231" i="14" s="1"/>
  <c r="AF102" i="14"/>
  <c r="G102" i="14"/>
  <c r="G167" i="14" s="1"/>
  <c r="G231" i="14" s="1"/>
  <c r="E102" i="14"/>
  <c r="E167" i="14" s="1"/>
  <c r="AW101" i="14"/>
  <c r="AW166" i="14" s="1"/>
  <c r="AW230" i="14" s="1"/>
  <c r="AU101" i="14"/>
  <c r="AU166" i="14" s="1"/>
  <c r="AU230" i="14" s="1"/>
  <c r="AS101" i="14"/>
  <c r="Z101" i="14"/>
  <c r="Z166" i="14" s="1"/>
  <c r="Z230" i="14" s="1"/>
  <c r="V101" i="14"/>
  <c r="V166" i="14" s="1"/>
  <c r="V230" i="14" s="1"/>
  <c r="S101" i="14"/>
  <c r="S166" i="14" s="1"/>
  <c r="S230" i="14" s="1"/>
  <c r="Q101" i="14"/>
  <c r="Q166" i="14" s="1"/>
  <c r="Q230" i="14" s="1"/>
  <c r="O101" i="14"/>
  <c r="E101" i="14"/>
  <c r="E166" i="14" s="1"/>
  <c r="AQ100" i="14"/>
  <c r="AQ165" i="14" s="1"/>
  <c r="AQ229" i="14" s="1"/>
  <c r="AF100" i="14"/>
  <c r="AF165" i="14" s="1"/>
  <c r="AF229" i="14" s="1"/>
  <c r="G100" i="14"/>
  <c r="G165" i="14" s="1"/>
  <c r="G229" i="14" s="1"/>
  <c r="AW99" i="14"/>
  <c r="AW164" i="14" s="1"/>
  <c r="AW228" i="14" s="1"/>
  <c r="AU99" i="14"/>
  <c r="AS99" i="14"/>
  <c r="AS164" i="14" s="1"/>
  <c r="AS228" i="14" s="1"/>
  <c r="AQ99" i="14"/>
  <c r="AQ164" i="14" s="1"/>
  <c r="AQ228" i="14" s="1"/>
  <c r="Z99" i="14"/>
  <c r="X99" i="14"/>
  <c r="Q99" i="14"/>
  <c r="Q164" i="14" s="1"/>
  <c r="Q228" i="14" s="1"/>
  <c r="O99" i="14"/>
  <c r="O164" i="14" s="1"/>
  <c r="O228" i="14" s="1"/>
  <c r="AJ98" i="14"/>
  <c r="AJ163" i="14" s="1"/>
  <c r="AJ227" i="14" s="1"/>
  <c r="AH98" i="14"/>
  <c r="AH163" i="14" s="1"/>
  <c r="AH227" i="14" s="1"/>
  <c r="AF98" i="14"/>
  <c r="AF163" i="14" s="1"/>
  <c r="AF227" i="14" s="1"/>
  <c r="X98" i="14"/>
  <c r="X163" i="14" s="1"/>
  <c r="X227" i="14" s="1"/>
  <c r="G98" i="14"/>
  <c r="E98" i="14"/>
  <c r="E163" i="14" s="1"/>
  <c r="AW97" i="14"/>
  <c r="AW162" i="14" s="1"/>
  <c r="AW226" i="14" s="1"/>
  <c r="AS97" i="14"/>
  <c r="AS162" i="14" s="1"/>
  <c r="AS226" i="14" s="1"/>
  <c r="AL97" i="14"/>
  <c r="AL162" i="14" s="1"/>
  <c r="AL226" i="14" s="1"/>
  <c r="AH97" i="14"/>
  <c r="AH162" i="14" s="1"/>
  <c r="AH226" i="14" s="1"/>
  <c r="Q97" i="14"/>
  <c r="Q162" i="14" s="1"/>
  <c r="Q226" i="14" s="1"/>
  <c r="O97" i="14"/>
  <c r="O162" i="14" s="1"/>
  <c r="O226" i="14" s="1"/>
  <c r="AU96" i="14"/>
  <c r="AU161" i="14" s="1"/>
  <c r="AU225" i="14" s="1"/>
  <c r="AQ96" i="14"/>
  <c r="AQ161" i="14" s="1"/>
  <c r="AQ225" i="14" s="1"/>
  <c r="AF96" i="14"/>
  <c r="AB96" i="14"/>
  <c r="AB161" i="14" s="1"/>
  <c r="AB225" i="14" s="1"/>
  <c r="Z96" i="14"/>
  <c r="Z161" i="14" s="1"/>
  <c r="Z225" i="14" s="1"/>
  <c r="X96" i="14"/>
  <c r="X161" i="14" s="1"/>
  <c r="X225" i="14" s="1"/>
  <c r="Q96" i="14"/>
  <c r="AS95" i="14"/>
  <c r="AJ95" i="14"/>
  <c r="AJ160" i="14" s="1"/>
  <c r="AJ224" i="14" s="1"/>
  <c r="AF95" i="14"/>
  <c r="AF160" i="14" s="1"/>
  <c r="AF224" i="14" s="1"/>
  <c r="AD95" i="14"/>
  <c r="AD160" i="14" s="1"/>
  <c r="AD224" i="14" s="1"/>
  <c r="Z95" i="14"/>
  <c r="Z160" i="14" s="1"/>
  <c r="Z224" i="14" s="1"/>
  <c r="O95" i="14"/>
  <c r="AQ94" i="14"/>
  <c r="AQ159" i="14" s="1"/>
  <c r="AQ223" i="14" s="1"/>
  <c r="O94" i="14"/>
  <c r="O159" i="14" s="1"/>
  <c r="O223" i="14" s="1"/>
  <c r="K94" i="14"/>
  <c r="K159" i="14" s="1"/>
  <c r="K223" i="14" s="1"/>
  <c r="G94" i="14"/>
  <c r="G159" i="14" s="1"/>
  <c r="G223" i="14" s="1"/>
  <c r="AF93" i="14"/>
  <c r="AF158" i="14" s="1"/>
  <c r="AF222" i="14" s="1"/>
  <c r="Z93" i="14"/>
  <c r="Z158" i="14" s="1"/>
  <c r="Z222" i="14" s="1"/>
  <c r="X93" i="14"/>
  <c r="X158" i="14" s="1"/>
  <c r="X222" i="14" s="1"/>
  <c r="AU92" i="14"/>
  <c r="AU157" i="14" s="1"/>
  <c r="AU221" i="14" s="1"/>
  <c r="AQ92" i="14"/>
  <c r="AQ157" i="14" s="1"/>
  <c r="AQ221" i="14" s="1"/>
  <c r="AL92" i="14"/>
  <c r="AL157" i="14" s="1"/>
  <c r="AL221" i="14" s="1"/>
  <c r="AH92" i="14"/>
  <c r="AH157" i="14" s="1"/>
  <c r="AH221" i="14" s="1"/>
  <c r="Q92" i="14"/>
  <c r="Q157" i="14" s="1"/>
  <c r="Q221" i="14" s="1"/>
  <c r="O92" i="14"/>
  <c r="O157" i="14" s="1"/>
  <c r="O221" i="14" s="1"/>
  <c r="I92" i="14"/>
  <c r="I157" i="14" s="1"/>
  <c r="I221" i="14" s="1"/>
  <c r="G92" i="14"/>
  <c r="G157" i="14" s="1"/>
  <c r="E92" i="14"/>
  <c r="E157" i="14" s="1"/>
  <c r="K79" i="14"/>
  <c r="I79" i="14"/>
  <c r="K78" i="14"/>
  <c r="J77" i="14"/>
  <c r="N74" i="14"/>
  <c r="K72" i="14"/>
  <c r="J72" i="14"/>
  <c r="N69" i="14"/>
  <c r="O67" i="14"/>
  <c r="N67" i="14"/>
  <c r="J65" i="14"/>
  <c r="I64" i="14"/>
  <c r="J60" i="14"/>
  <c r="K59" i="14"/>
  <c r="I58" i="14"/>
  <c r="N55" i="14"/>
  <c r="J55" i="14"/>
  <c r="N54" i="14"/>
  <c r="J53" i="14"/>
  <c r="E51" i="14"/>
  <c r="O73" i="14" s="1"/>
  <c r="Q48" i="14"/>
  <c r="BI43" i="14"/>
  <c r="AW147" i="14" s="1"/>
  <c r="AW212" i="14" s="1"/>
  <c r="AW276" i="14" s="1"/>
  <c r="BH43" i="14"/>
  <c r="AW143" i="14" s="1"/>
  <c r="AW208" i="14" s="1"/>
  <c r="AW272" i="14" s="1"/>
  <c r="BG43" i="14"/>
  <c r="AW139" i="14" s="1"/>
  <c r="AW204" i="14" s="1"/>
  <c r="AW268" i="14" s="1"/>
  <c r="BE43" i="14"/>
  <c r="BB43" i="14"/>
  <c r="AW119" i="14" s="1"/>
  <c r="AW184" i="14" s="1"/>
  <c r="AW43" i="14"/>
  <c r="AV43" i="14"/>
  <c r="AW95" i="14" s="1"/>
  <c r="AW160" i="14" s="1"/>
  <c r="AW224" i="14" s="1"/>
  <c r="AP43" i="14"/>
  <c r="AO43" i="14"/>
  <c r="AS151" i="14" s="1"/>
  <c r="AS216" i="14" s="1"/>
  <c r="AS280" i="14" s="1"/>
  <c r="AN43" i="14"/>
  <c r="AM43" i="14"/>
  <c r="AL43" i="14"/>
  <c r="AS139" i="14" s="1"/>
  <c r="AK43" i="14"/>
  <c r="BF43" i="14" s="1"/>
  <c r="AJ43" i="14"/>
  <c r="AI43" i="14"/>
  <c r="BD43" i="14" s="1"/>
  <c r="AW127" i="14" s="1"/>
  <c r="AW192" i="14" s="1"/>
  <c r="AW256" i="14" s="1"/>
  <c r="AH43" i="14"/>
  <c r="AG43" i="14"/>
  <c r="AS119" i="14" s="1"/>
  <c r="AF43" i="14"/>
  <c r="AE43" i="14"/>
  <c r="AD43" i="14"/>
  <c r="AC43" i="14"/>
  <c r="AB43" i="14"/>
  <c r="AA43" i="14"/>
  <c r="BK42" i="14"/>
  <c r="AW154" i="14" s="1"/>
  <c r="AW219" i="14" s="1"/>
  <c r="BG42" i="14"/>
  <c r="AW138" i="14" s="1"/>
  <c r="AW203" i="14" s="1"/>
  <c r="AW267" i="14" s="1"/>
  <c r="BC42" i="14"/>
  <c r="AW122" i="14" s="1"/>
  <c r="AW187" i="14" s="1"/>
  <c r="AW251" i="14" s="1"/>
  <c r="BB42" i="14"/>
  <c r="AW118" i="14" s="1"/>
  <c r="AW183" i="14" s="1"/>
  <c r="AW247" i="14" s="1"/>
  <c r="BA42" i="14"/>
  <c r="AW114" i="14" s="1"/>
  <c r="AY42" i="14"/>
  <c r="AP42" i="14"/>
  <c r="AO42" i="14"/>
  <c r="BJ42" i="14" s="1"/>
  <c r="AN42" i="14"/>
  <c r="BI42" i="14" s="1"/>
  <c r="AW146" i="14" s="1"/>
  <c r="AW211" i="14" s="1"/>
  <c r="AW275" i="14" s="1"/>
  <c r="AM42" i="14"/>
  <c r="AL42" i="14"/>
  <c r="AS138" i="14" s="1"/>
  <c r="AS203" i="14" s="1"/>
  <c r="AS267" i="14" s="1"/>
  <c r="AK42" i="14"/>
  <c r="AJ42" i="14"/>
  <c r="AI42" i="14"/>
  <c r="AS126" i="14" s="1"/>
  <c r="AS191" i="14" s="1"/>
  <c r="AS255" i="14" s="1"/>
  <c r="AH42" i="14"/>
  <c r="AG42" i="14"/>
  <c r="AS118" i="14" s="1"/>
  <c r="AF42" i="14"/>
  <c r="AE42" i="14"/>
  <c r="AZ42" i="14" s="1"/>
  <c r="AW110" i="14" s="1"/>
  <c r="AW175" i="14" s="1"/>
  <c r="AW239" i="14" s="1"/>
  <c r="AD42" i="14"/>
  <c r="AC42" i="14"/>
  <c r="AS102" i="14" s="1"/>
  <c r="AS167" i="14" s="1"/>
  <c r="AS231" i="14" s="1"/>
  <c r="AB42" i="14"/>
  <c r="AA42" i="14"/>
  <c r="BJ41" i="14"/>
  <c r="AW149" i="14" s="1"/>
  <c r="AW214" i="14" s="1"/>
  <c r="AW278" i="14" s="1"/>
  <c r="BI41" i="14"/>
  <c r="AW145" i="14" s="1"/>
  <c r="AW210" i="14" s="1"/>
  <c r="AW274" i="14" s="1"/>
  <c r="BH41" i="14"/>
  <c r="AW141" i="14" s="1"/>
  <c r="AW206" i="14" s="1"/>
  <c r="AW270" i="14" s="1"/>
  <c r="BF41" i="14"/>
  <c r="AW133" i="14" s="1"/>
  <c r="AW198" i="14" s="1"/>
  <c r="AW262" i="14" s="1"/>
  <c r="AX41" i="14"/>
  <c r="AW41" i="14"/>
  <c r="AV41" i="14"/>
  <c r="AW93" i="14" s="1"/>
  <c r="AW158" i="14" s="1"/>
  <c r="AW222" i="14" s="1"/>
  <c r="AP41" i="14"/>
  <c r="AO41" i="14"/>
  <c r="AN41" i="14"/>
  <c r="AM41" i="14"/>
  <c r="AS141" i="14" s="1"/>
  <c r="AS206" i="14" s="1"/>
  <c r="AS270" i="14" s="1"/>
  <c r="AL41" i="14"/>
  <c r="BG41" i="14" s="1"/>
  <c r="AW137" i="14" s="1"/>
  <c r="AW202" i="14" s="1"/>
  <c r="AW266" i="14" s="1"/>
  <c r="AK41" i="14"/>
  <c r="AJ41" i="14"/>
  <c r="BE41" i="14" s="1"/>
  <c r="AI41" i="14"/>
  <c r="BD41" i="14" s="1"/>
  <c r="AW125" i="14" s="1"/>
  <c r="AW190" i="14" s="1"/>
  <c r="AW254" i="14" s="1"/>
  <c r="AH41" i="14"/>
  <c r="BC41" i="14" s="1"/>
  <c r="AG41" i="14"/>
  <c r="BB41" i="14" s="1"/>
  <c r="AF41" i="14"/>
  <c r="AS113" i="14" s="1"/>
  <c r="AS178" i="14" s="1"/>
  <c r="AS242" i="14" s="1"/>
  <c r="AE41" i="14"/>
  <c r="AD41" i="14"/>
  <c r="AC41" i="14"/>
  <c r="AB41" i="14"/>
  <c r="AA41" i="14"/>
  <c r="AS93" i="14" s="1"/>
  <c r="AS158" i="14" s="1"/>
  <c r="AS222" i="14" s="1"/>
  <c r="BK40" i="14"/>
  <c r="BG40" i="14"/>
  <c r="AW136" i="14" s="1"/>
  <c r="AW201" i="14" s="1"/>
  <c r="AW265" i="14" s="1"/>
  <c r="BE40" i="14"/>
  <c r="AZ40" i="14"/>
  <c r="AW108" i="14" s="1"/>
  <c r="AW173" i="14" s="1"/>
  <c r="AY40" i="14"/>
  <c r="AW104" i="14" s="1"/>
  <c r="AW169" i="14" s="1"/>
  <c r="AW233" i="14" s="1"/>
  <c r="AP40" i="14"/>
  <c r="AO40" i="14"/>
  <c r="BJ40" i="14" s="1"/>
  <c r="AW148" i="14" s="1"/>
  <c r="AW213" i="14" s="1"/>
  <c r="AW277" i="14" s="1"/>
  <c r="AN40" i="14"/>
  <c r="BI40" i="14" s="1"/>
  <c r="AW144" i="14" s="1"/>
  <c r="AW209" i="14" s="1"/>
  <c r="AW273" i="14" s="1"/>
  <c r="AM40" i="14"/>
  <c r="AL40" i="14"/>
  <c r="AS136" i="14" s="1"/>
  <c r="AS201" i="14" s="1"/>
  <c r="AS265" i="14" s="1"/>
  <c r="AK40" i="14"/>
  <c r="AJ40" i="14"/>
  <c r="AI40" i="14"/>
  <c r="BD40" i="14" s="1"/>
  <c r="AW124" i="14" s="1"/>
  <c r="AW189" i="14" s="1"/>
  <c r="AW253" i="14" s="1"/>
  <c r="AH40" i="14"/>
  <c r="AS120" i="14" s="1"/>
  <c r="AS185" i="14" s="1"/>
  <c r="AS249" i="14" s="1"/>
  <c r="AG40" i="14"/>
  <c r="BB40" i="14" s="1"/>
  <c r="AF40" i="14"/>
  <c r="BA40" i="14" s="1"/>
  <c r="AE40" i="14"/>
  <c r="AS108" i="14" s="1"/>
  <c r="AS173" i="14" s="1"/>
  <c r="AS237" i="14" s="1"/>
  <c r="AD40" i="14"/>
  <c r="AC40" i="14"/>
  <c r="AS100" i="14" s="1"/>
  <c r="AB40" i="14"/>
  <c r="AA40" i="14"/>
  <c r="BJ39" i="14"/>
  <c r="AL151" i="14" s="1"/>
  <c r="AL216" i="14" s="1"/>
  <c r="AL280" i="14" s="1"/>
  <c r="BG39" i="14"/>
  <c r="AL139" i="14" s="1"/>
  <c r="AL204" i="14" s="1"/>
  <c r="AL268" i="14" s="1"/>
  <c r="BF39" i="14"/>
  <c r="AL135" i="14" s="1"/>
  <c r="AL200" i="14" s="1"/>
  <c r="AL264" i="14" s="1"/>
  <c r="BE39" i="14"/>
  <c r="AL131" i="14" s="1"/>
  <c r="AL196" i="14" s="1"/>
  <c r="AL260" i="14" s="1"/>
  <c r="BD39" i="14"/>
  <c r="AL127" i="14" s="1"/>
  <c r="AL192" i="14" s="1"/>
  <c r="BA39" i="14"/>
  <c r="AZ39" i="14"/>
  <c r="AL111" i="14" s="1"/>
  <c r="AL176" i="14" s="1"/>
  <c r="AL240" i="14" s="1"/>
  <c r="AY39" i="14"/>
  <c r="AL107" i="14" s="1"/>
  <c r="AL172" i="14" s="1"/>
  <c r="AL236" i="14" s="1"/>
  <c r="AX39" i="14"/>
  <c r="AL103" i="14" s="1"/>
  <c r="AP39" i="14"/>
  <c r="AO39" i="14"/>
  <c r="AN39" i="14"/>
  <c r="AM39" i="14"/>
  <c r="AL39" i="14"/>
  <c r="AK39" i="14"/>
  <c r="AH135" i="14" s="1"/>
  <c r="AH200" i="14" s="1"/>
  <c r="AH264" i="14" s="1"/>
  <c r="AJ39" i="14"/>
  <c r="AH131" i="14" s="1"/>
  <c r="AH196" i="14" s="1"/>
  <c r="AI39" i="14"/>
  <c r="AH39" i="14"/>
  <c r="BC39" i="14" s="1"/>
  <c r="AL123" i="14" s="1"/>
  <c r="AL188" i="14" s="1"/>
  <c r="AL252" i="14" s="1"/>
  <c r="AG39" i="14"/>
  <c r="AF39" i="14"/>
  <c r="AE39" i="14"/>
  <c r="AH111" i="14" s="1"/>
  <c r="AH176" i="14" s="1"/>
  <c r="AH240" i="14" s="1"/>
  <c r="AD39" i="14"/>
  <c r="AH107" i="14" s="1"/>
  <c r="AH172" i="14" s="1"/>
  <c r="AH236" i="14" s="1"/>
  <c r="AC39" i="14"/>
  <c r="AH103" i="14" s="1"/>
  <c r="AH168" i="14" s="1"/>
  <c r="AH232" i="14" s="1"/>
  <c r="AB39" i="14"/>
  <c r="AA39" i="14"/>
  <c r="BK38" i="14"/>
  <c r="AL154" i="14" s="1"/>
  <c r="AL219" i="14" s="1"/>
  <c r="AL283" i="14" s="1"/>
  <c r="BI38" i="14"/>
  <c r="BG38" i="14"/>
  <c r="BB38" i="14"/>
  <c r="AL118" i="14" s="1"/>
  <c r="BA38" i="14"/>
  <c r="AL114" i="14" s="1"/>
  <c r="AL179" i="14" s="1"/>
  <c r="AL243" i="14" s="1"/>
  <c r="AZ38" i="14"/>
  <c r="AL110" i="14" s="1"/>
  <c r="AL175" i="14" s="1"/>
  <c r="AL239" i="14" s="1"/>
  <c r="AY38" i="14"/>
  <c r="AL106" i="14" s="1"/>
  <c r="AL171" i="14" s="1"/>
  <c r="AL235" i="14" s="1"/>
  <c r="AW38" i="14"/>
  <c r="AL98" i="14" s="1"/>
  <c r="AL163" i="14" s="1"/>
  <c r="AL227" i="14" s="1"/>
  <c r="AP38" i="14"/>
  <c r="AO38" i="14"/>
  <c r="AH150" i="14" s="1"/>
  <c r="AH215" i="14" s="1"/>
  <c r="AH279" i="14" s="1"/>
  <c r="AN38" i="14"/>
  <c r="AM38" i="14"/>
  <c r="BH38" i="14" s="1"/>
  <c r="AL142" i="14" s="1"/>
  <c r="AL207" i="14" s="1"/>
  <c r="AL271" i="14" s="1"/>
  <c r="AL38" i="14"/>
  <c r="AH138" i="14" s="1"/>
  <c r="AK38" i="14"/>
  <c r="BF38" i="14" s="1"/>
  <c r="AL134" i="14" s="1"/>
  <c r="AL199" i="14" s="1"/>
  <c r="AL263" i="14" s="1"/>
  <c r="AJ38" i="14"/>
  <c r="BE38" i="14" s="1"/>
  <c r="AL130" i="14" s="1"/>
  <c r="AL195" i="14" s="1"/>
  <c r="AL259" i="14" s="1"/>
  <c r="AI38" i="14"/>
  <c r="AH126" i="14" s="1"/>
  <c r="AH191" i="14" s="1"/>
  <c r="AH38" i="14"/>
  <c r="AG38" i="14"/>
  <c r="AF38" i="14"/>
  <c r="AH114" i="14" s="1"/>
  <c r="AH179" i="14" s="1"/>
  <c r="AH243" i="14" s="1"/>
  <c r="AE38" i="14"/>
  <c r="AD38" i="14"/>
  <c r="AH106" i="14" s="1"/>
  <c r="AH171" i="14" s="1"/>
  <c r="AH235" i="14" s="1"/>
  <c r="AC38" i="14"/>
  <c r="AX38" i="14" s="1"/>
  <c r="AL102" i="14" s="1"/>
  <c r="AL167" i="14" s="1"/>
  <c r="AL231" i="14" s="1"/>
  <c r="AB38" i="14"/>
  <c r="AA38" i="14"/>
  <c r="BI37" i="14"/>
  <c r="AL145" i="14" s="1"/>
  <c r="AL210" i="14" s="1"/>
  <c r="AL274" i="14" s="1"/>
  <c r="BH37" i="14"/>
  <c r="BG37" i="14"/>
  <c r="AL137" i="14" s="1"/>
  <c r="AL202" i="14" s="1"/>
  <c r="AL266" i="14" s="1"/>
  <c r="BF37" i="14"/>
  <c r="BE37" i="14"/>
  <c r="BB37" i="14"/>
  <c r="AY37" i="14"/>
  <c r="AL105" i="14" s="1"/>
  <c r="AL170" i="14" s="1"/>
  <c r="AL234" i="14" s="1"/>
  <c r="AW37" i="14"/>
  <c r="AV37" i="14"/>
  <c r="AL93" i="14" s="1"/>
  <c r="AL158" i="14" s="1"/>
  <c r="AL222" i="14" s="1"/>
  <c r="AP37" i="14"/>
  <c r="BK37" i="14" s="1"/>
  <c r="AO37" i="14"/>
  <c r="AH149" i="14" s="1"/>
  <c r="AH214" i="14" s="1"/>
  <c r="AH278" i="14" s="1"/>
  <c r="AN37" i="14"/>
  <c r="AH145" i="14" s="1"/>
  <c r="AH210" i="14" s="1"/>
  <c r="AH274" i="14" s="1"/>
  <c r="AM37" i="14"/>
  <c r="AL37" i="14"/>
  <c r="AK37" i="14"/>
  <c r="AJ37" i="14"/>
  <c r="AI37" i="14"/>
  <c r="AH37" i="14"/>
  <c r="AG37" i="14"/>
  <c r="AF37" i="14"/>
  <c r="AE37" i="14"/>
  <c r="AD37" i="14"/>
  <c r="AC37" i="14"/>
  <c r="AB37" i="14"/>
  <c r="AA37" i="14"/>
  <c r="AH93" i="14" s="1"/>
  <c r="BH36" i="14"/>
  <c r="AL140" i="14" s="1"/>
  <c r="AL205" i="14" s="1"/>
  <c r="AL269" i="14" s="1"/>
  <c r="BG36" i="14"/>
  <c r="AL136" i="14" s="1"/>
  <c r="AL201" i="14" s="1"/>
  <c r="AL265" i="14" s="1"/>
  <c r="BC36" i="14"/>
  <c r="AL120" i="14" s="1"/>
  <c r="AL185" i="14" s="1"/>
  <c r="AL249" i="14" s="1"/>
  <c r="BB36" i="14"/>
  <c r="AL116" i="14" s="1"/>
  <c r="AL181" i="14" s="1"/>
  <c r="AL245" i="14" s="1"/>
  <c r="BA36" i="14"/>
  <c r="AL112" i="14" s="1"/>
  <c r="AL177" i="14" s="1"/>
  <c r="AL241" i="14" s="1"/>
  <c r="AZ36" i="14"/>
  <c r="AL108" i="14" s="1"/>
  <c r="AL173" i="14" s="1"/>
  <c r="AL237" i="14" s="1"/>
  <c r="AP36" i="14"/>
  <c r="BK36" i="14" s="1"/>
  <c r="AL152" i="14" s="1"/>
  <c r="AL217" i="14" s="1"/>
  <c r="AL281" i="14" s="1"/>
  <c r="AO36" i="14"/>
  <c r="AN36" i="14"/>
  <c r="AM36" i="14"/>
  <c r="AH140" i="14" s="1"/>
  <c r="AH205" i="14" s="1"/>
  <c r="AH269" i="14" s="1"/>
  <c r="AL36" i="14"/>
  <c r="AK36" i="14"/>
  <c r="AJ36" i="14"/>
  <c r="AI36" i="14"/>
  <c r="AH124" i="14" s="1"/>
  <c r="AH189" i="14" s="1"/>
  <c r="AH253" i="14" s="1"/>
  <c r="AH36" i="14"/>
  <c r="AH120" i="14" s="1"/>
  <c r="AH185" i="14" s="1"/>
  <c r="AH249" i="14" s="1"/>
  <c r="AG36" i="14"/>
  <c r="AH116" i="14" s="1"/>
  <c r="AH181" i="14" s="1"/>
  <c r="AH245" i="14" s="1"/>
  <c r="AF36" i="14"/>
  <c r="AE36" i="14"/>
  <c r="AD36" i="14"/>
  <c r="AH104" i="14" s="1"/>
  <c r="AH169" i="14" s="1"/>
  <c r="AH233" i="14" s="1"/>
  <c r="AC36" i="14"/>
  <c r="AX36" i="14" s="1"/>
  <c r="AL100" i="14" s="1"/>
  <c r="AL165" i="14" s="1"/>
  <c r="AL229" i="14" s="1"/>
  <c r="AB36" i="14"/>
  <c r="AA36" i="14"/>
  <c r="AV36" i="14" s="1"/>
  <c r="BK35" i="14"/>
  <c r="AD155" i="14" s="1"/>
  <c r="AD220" i="14" s="1"/>
  <c r="AD284" i="14" s="1"/>
  <c r="BJ35" i="14"/>
  <c r="AD151" i="14" s="1"/>
  <c r="AD216" i="14" s="1"/>
  <c r="AD280" i="14" s="1"/>
  <c r="BI35" i="14"/>
  <c r="AD147" i="14" s="1"/>
  <c r="AD212" i="14" s="1"/>
  <c r="AD276" i="14" s="1"/>
  <c r="BH35" i="14"/>
  <c r="AD143" i="14" s="1"/>
  <c r="AD208" i="14" s="1"/>
  <c r="AD272" i="14" s="1"/>
  <c r="BG35" i="14"/>
  <c r="BA35" i="14"/>
  <c r="AD115" i="14" s="1"/>
  <c r="AD180" i="14" s="1"/>
  <c r="AD244" i="14" s="1"/>
  <c r="AZ35" i="14"/>
  <c r="AD111" i="14" s="1"/>
  <c r="AD176" i="14" s="1"/>
  <c r="AD240" i="14" s="1"/>
  <c r="AX35" i="14"/>
  <c r="AD103" i="14" s="1"/>
  <c r="AD168" i="14" s="1"/>
  <c r="AD232" i="14" s="1"/>
  <c r="AW35" i="14"/>
  <c r="AD99" i="14" s="1"/>
  <c r="AD164" i="14" s="1"/>
  <c r="AD228" i="14" s="1"/>
  <c r="AV35" i="14"/>
  <c r="AP35" i="14"/>
  <c r="Z155" i="14" s="1"/>
  <c r="Z220" i="14" s="1"/>
  <c r="Z284" i="14" s="1"/>
  <c r="AO35" i="14"/>
  <c r="Z151" i="14" s="1"/>
  <c r="Z216" i="14" s="1"/>
  <c r="Z280" i="14" s="1"/>
  <c r="AN35" i="14"/>
  <c r="AM35" i="14"/>
  <c r="Z143" i="14" s="1"/>
  <c r="Z208" i="14" s="1"/>
  <c r="Z272" i="14" s="1"/>
  <c r="AL35" i="14"/>
  <c r="AK35" i="14"/>
  <c r="BF35" i="14" s="1"/>
  <c r="AD135" i="14" s="1"/>
  <c r="AD200" i="14" s="1"/>
  <c r="AD264" i="14" s="1"/>
  <c r="AJ35" i="14"/>
  <c r="AI35" i="14"/>
  <c r="AH35" i="14"/>
  <c r="BC35" i="14" s="1"/>
  <c r="AD123" i="14" s="1"/>
  <c r="AD188" i="14" s="1"/>
  <c r="AD252" i="14" s="1"/>
  <c r="AG35" i="14"/>
  <c r="AF35" i="14"/>
  <c r="AE35" i="14"/>
  <c r="Z111" i="14" s="1"/>
  <c r="Z176" i="14" s="1"/>
  <c r="Z240" i="14" s="1"/>
  <c r="AD35" i="14"/>
  <c r="AC35" i="14"/>
  <c r="AB35" i="14"/>
  <c r="AA35" i="14"/>
  <c r="BJ34" i="14"/>
  <c r="AD150" i="14" s="1"/>
  <c r="AD215" i="14" s="1"/>
  <c r="AD279" i="14" s="1"/>
  <c r="BF34" i="14"/>
  <c r="AD134" i="14" s="1"/>
  <c r="AD199" i="14" s="1"/>
  <c r="AD263" i="14" s="1"/>
  <c r="BE34" i="14"/>
  <c r="AD130" i="14" s="1"/>
  <c r="AD195" i="14" s="1"/>
  <c r="AD259" i="14" s="1"/>
  <c r="BD34" i="14"/>
  <c r="AD126" i="14" s="1"/>
  <c r="AD191" i="14" s="1"/>
  <c r="AD255" i="14" s="1"/>
  <c r="BC34" i="14"/>
  <c r="AD122" i="14" s="1"/>
  <c r="AD187" i="14" s="1"/>
  <c r="AD251" i="14" s="1"/>
  <c r="BB34" i="14"/>
  <c r="AD118" i="14" s="1"/>
  <c r="AD183" i="14" s="1"/>
  <c r="AD247" i="14" s="1"/>
  <c r="AP34" i="14"/>
  <c r="BK34" i="14" s="1"/>
  <c r="AD154" i="14" s="1"/>
  <c r="AD219" i="14" s="1"/>
  <c r="AD283" i="14" s="1"/>
  <c r="AO34" i="14"/>
  <c r="AN34" i="14"/>
  <c r="AM34" i="14"/>
  <c r="AL34" i="14"/>
  <c r="AK34" i="14"/>
  <c r="Z134" i="14" s="1"/>
  <c r="Z199" i="14" s="1"/>
  <c r="Z263" i="14" s="1"/>
  <c r="AJ34" i="14"/>
  <c r="AI34" i="14"/>
  <c r="AH34" i="14"/>
  <c r="Z122" i="14" s="1"/>
  <c r="AG34" i="14"/>
  <c r="AF34" i="14"/>
  <c r="BA34" i="14" s="1"/>
  <c r="AD114" i="14" s="1"/>
  <c r="AD179" i="14" s="1"/>
  <c r="AD243" i="14" s="1"/>
  <c r="AE34" i="14"/>
  <c r="AZ34" i="14" s="1"/>
  <c r="AD110" i="14" s="1"/>
  <c r="AD175" i="14" s="1"/>
  <c r="AD239" i="14" s="1"/>
  <c r="AD34" i="14"/>
  <c r="AC34" i="14"/>
  <c r="Z102" i="14" s="1"/>
  <c r="Z167" i="14" s="1"/>
  <c r="Z231" i="14" s="1"/>
  <c r="AB34" i="14"/>
  <c r="AA34" i="14"/>
  <c r="BK33" i="14"/>
  <c r="AD153" i="14" s="1"/>
  <c r="AD218" i="14" s="1"/>
  <c r="AD282" i="14" s="1"/>
  <c r="BJ33" i="14"/>
  <c r="AD149" i="14" s="1"/>
  <c r="AD214" i="14" s="1"/>
  <c r="AD278" i="14" s="1"/>
  <c r="BH33" i="14"/>
  <c r="AD141" i="14" s="1"/>
  <c r="AD206" i="14" s="1"/>
  <c r="AD270" i="14" s="1"/>
  <c r="BD33" i="14"/>
  <c r="BC33" i="14"/>
  <c r="AD121" i="14" s="1"/>
  <c r="AD186" i="14" s="1"/>
  <c r="AD250" i="14" s="1"/>
  <c r="BB33" i="14"/>
  <c r="BA33" i="14"/>
  <c r="AD113" i="14" s="1"/>
  <c r="AD178" i="14" s="1"/>
  <c r="AD242" i="14" s="1"/>
  <c r="AY33" i="14"/>
  <c r="AX33" i="14"/>
  <c r="AD101" i="14" s="1"/>
  <c r="AD166" i="14" s="1"/>
  <c r="AD230" i="14" s="1"/>
  <c r="AV33" i="14"/>
  <c r="AD93" i="14" s="1"/>
  <c r="AD158" i="14" s="1"/>
  <c r="AD222" i="14" s="1"/>
  <c r="AP33" i="14"/>
  <c r="Z153" i="14" s="1"/>
  <c r="Z218" i="14" s="1"/>
  <c r="Z282" i="14" s="1"/>
  <c r="AO33" i="14"/>
  <c r="AN33" i="14"/>
  <c r="BI33" i="14" s="1"/>
  <c r="AM33" i="14"/>
  <c r="Z141" i="14" s="1"/>
  <c r="AL33" i="14"/>
  <c r="BG33" i="14" s="1"/>
  <c r="AD137" i="14" s="1"/>
  <c r="AK33" i="14"/>
  <c r="BF33" i="14" s="1"/>
  <c r="AD133" i="14" s="1"/>
  <c r="AD198" i="14" s="1"/>
  <c r="AD262" i="14" s="1"/>
  <c r="AJ33" i="14"/>
  <c r="AI33" i="14"/>
  <c r="AH33" i="14"/>
  <c r="AG33" i="14"/>
  <c r="Z117" i="14" s="1"/>
  <c r="Z182" i="14" s="1"/>
  <c r="Z246" i="14" s="1"/>
  <c r="AF33" i="14"/>
  <c r="AE33" i="14"/>
  <c r="AZ33" i="14" s="1"/>
  <c r="AD109" i="14" s="1"/>
  <c r="AD33" i="14"/>
  <c r="Z105" i="14" s="1"/>
  <c r="AC33" i="14"/>
  <c r="AB33" i="14"/>
  <c r="AW33" i="14" s="1"/>
  <c r="AD97" i="14" s="1"/>
  <c r="AA33" i="14"/>
  <c r="BK32" i="14"/>
  <c r="BJ32" i="14"/>
  <c r="AD148" i="14" s="1"/>
  <c r="AD213" i="14" s="1"/>
  <c r="AD277" i="14" s="1"/>
  <c r="BI32" i="14"/>
  <c r="BF32" i="14"/>
  <c r="BD32" i="14"/>
  <c r="AD124" i="14" s="1"/>
  <c r="AD189" i="14" s="1"/>
  <c r="AD253" i="14" s="1"/>
  <c r="BC32" i="14"/>
  <c r="AW32" i="14"/>
  <c r="AD96" i="14" s="1"/>
  <c r="AD161" i="14" s="1"/>
  <c r="AD225" i="14" s="1"/>
  <c r="AP32" i="14"/>
  <c r="AO32" i="14"/>
  <c r="Z148" i="14" s="1"/>
  <c r="Z213" i="14" s="1"/>
  <c r="Z277" i="14" s="1"/>
  <c r="AN32" i="14"/>
  <c r="AM32" i="14"/>
  <c r="AL32" i="14"/>
  <c r="AK32" i="14"/>
  <c r="AJ32" i="14"/>
  <c r="BE32" i="14" s="1"/>
  <c r="AI32" i="14"/>
  <c r="Z124" i="14" s="1"/>
  <c r="AH32" i="14"/>
  <c r="AG32" i="14"/>
  <c r="BB32" i="14" s="1"/>
  <c r="AD116" i="14" s="1"/>
  <c r="AD181" i="14" s="1"/>
  <c r="AD245" i="14" s="1"/>
  <c r="AF32" i="14"/>
  <c r="AE32" i="14"/>
  <c r="AD32" i="14"/>
  <c r="AY32" i="14" s="1"/>
  <c r="AD104" i="14" s="1"/>
  <c r="AD169" i="14" s="1"/>
  <c r="AD233" i="14" s="1"/>
  <c r="AC32" i="14"/>
  <c r="AB32" i="14"/>
  <c r="AA32" i="14"/>
  <c r="BK31" i="14"/>
  <c r="V155" i="14" s="1"/>
  <c r="V220" i="14" s="1"/>
  <c r="V284" i="14" s="1"/>
  <c r="BJ31" i="14"/>
  <c r="V151" i="14" s="1"/>
  <c r="V216" i="14" s="1"/>
  <c r="V280" i="14" s="1"/>
  <c r="BF31" i="14"/>
  <c r="BE31" i="14"/>
  <c r="V131" i="14" s="1"/>
  <c r="V196" i="14" s="1"/>
  <c r="V260" i="14" s="1"/>
  <c r="AZ31" i="14"/>
  <c r="V111" i="14" s="1"/>
  <c r="V176" i="14" s="1"/>
  <c r="V240" i="14" s="1"/>
  <c r="AY31" i="14"/>
  <c r="V107" i="14" s="1"/>
  <c r="V172" i="14" s="1"/>
  <c r="V236" i="14" s="1"/>
  <c r="AX31" i="14"/>
  <c r="V103" i="14" s="1"/>
  <c r="V168" i="14" s="1"/>
  <c r="V232" i="14" s="1"/>
  <c r="AP31" i="14"/>
  <c r="AO31" i="14"/>
  <c r="Q151" i="14" s="1"/>
  <c r="AN31" i="14"/>
  <c r="BI31" i="14" s="1"/>
  <c r="V147" i="14" s="1"/>
  <c r="V212" i="14" s="1"/>
  <c r="V276" i="14" s="1"/>
  <c r="AM31" i="14"/>
  <c r="AL31" i="14"/>
  <c r="AK31" i="14"/>
  <c r="AJ31" i="14"/>
  <c r="AI31" i="14"/>
  <c r="Q127" i="14" s="1"/>
  <c r="Q192" i="14" s="1"/>
  <c r="Q256" i="14" s="1"/>
  <c r="AH31" i="14"/>
  <c r="AG31" i="14"/>
  <c r="AF31" i="14"/>
  <c r="AE31" i="14"/>
  <c r="AD31" i="14"/>
  <c r="AC31" i="14"/>
  <c r="AB31" i="14"/>
  <c r="AW31" i="14" s="1"/>
  <c r="V99" i="14" s="1"/>
  <c r="V164" i="14" s="1"/>
  <c r="V228" i="14" s="1"/>
  <c r="AA31" i="14"/>
  <c r="BG30" i="14"/>
  <c r="V138" i="14" s="1"/>
  <c r="V203" i="14" s="1"/>
  <c r="V267" i="14" s="1"/>
  <c r="BF30" i="14"/>
  <c r="V134" i="14" s="1"/>
  <c r="V199" i="14" s="1"/>
  <c r="V263" i="14" s="1"/>
  <c r="BE30" i="14"/>
  <c r="V130" i="14" s="1"/>
  <c r="V195" i="14" s="1"/>
  <c r="V259" i="14" s="1"/>
  <c r="BD30" i="14"/>
  <c r="V126" i="14" s="1"/>
  <c r="V191" i="14" s="1"/>
  <c r="V255" i="14" s="1"/>
  <c r="BA30" i="14"/>
  <c r="AZ30" i="14"/>
  <c r="V110" i="14" s="1"/>
  <c r="V175" i="14" s="1"/>
  <c r="V239" i="14" s="1"/>
  <c r="AP30" i="14"/>
  <c r="AO30" i="14"/>
  <c r="AN30" i="14"/>
  <c r="AM30" i="14"/>
  <c r="Q142" i="14" s="1"/>
  <c r="AL30" i="14"/>
  <c r="AK30" i="14"/>
  <c r="Q134" i="14" s="1"/>
  <c r="AJ30" i="14"/>
  <c r="AI30" i="14"/>
  <c r="AH30" i="14"/>
  <c r="BC30" i="14" s="1"/>
  <c r="V122" i="14" s="1"/>
  <c r="V187" i="14" s="1"/>
  <c r="V251" i="14" s="1"/>
  <c r="AG30" i="14"/>
  <c r="BB30" i="14" s="1"/>
  <c r="V118" i="14" s="1"/>
  <c r="V183" i="14" s="1"/>
  <c r="V247" i="14" s="1"/>
  <c r="AF30" i="14"/>
  <c r="AE30" i="14"/>
  <c r="Q110" i="14" s="1"/>
  <c r="Q175" i="14" s="1"/>
  <c r="Q239" i="14" s="1"/>
  <c r="AD30" i="14"/>
  <c r="AC30" i="14"/>
  <c r="AB30" i="14"/>
  <c r="AA30" i="14"/>
  <c r="BK29" i="14"/>
  <c r="V153" i="14" s="1"/>
  <c r="V218" i="14" s="1"/>
  <c r="V282" i="14" s="1"/>
  <c r="BI29" i="14"/>
  <c r="BG29" i="14"/>
  <c r="BD29" i="14"/>
  <c r="V125" i="14" s="1"/>
  <c r="V190" i="14" s="1"/>
  <c r="V254" i="14" s="1"/>
  <c r="BB29" i="14"/>
  <c r="V117" i="14" s="1"/>
  <c r="BA29" i="14"/>
  <c r="V113" i="14" s="1"/>
  <c r="V178" i="14" s="1"/>
  <c r="V242" i="14" s="1"/>
  <c r="AZ29" i="14"/>
  <c r="AY29" i="14"/>
  <c r="V105" i="14" s="1"/>
  <c r="V170" i="14" s="1"/>
  <c r="V234" i="14" s="1"/>
  <c r="AW29" i="14"/>
  <c r="V97" i="14" s="1"/>
  <c r="V162" i="14" s="1"/>
  <c r="V226" i="14" s="1"/>
  <c r="AP29" i="14"/>
  <c r="Q153" i="14" s="1"/>
  <c r="Q218" i="14" s="1"/>
  <c r="Q282" i="14" s="1"/>
  <c r="AO29" i="14"/>
  <c r="Q149" i="14" s="1"/>
  <c r="Q214" i="14" s="1"/>
  <c r="Q278" i="14" s="1"/>
  <c r="AN29" i="14"/>
  <c r="AM29" i="14"/>
  <c r="BH29" i="14" s="1"/>
  <c r="V141" i="14" s="1"/>
  <c r="V206" i="14" s="1"/>
  <c r="V270" i="14" s="1"/>
  <c r="AL29" i="14"/>
  <c r="Q137" i="14" s="1"/>
  <c r="Q202" i="14" s="1"/>
  <c r="Q266" i="14" s="1"/>
  <c r="AK29" i="14"/>
  <c r="Q133" i="14" s="1"/>
  <c r="Q198" i="14" s="1"/>
  <c r="Q262" i="14" s="1"/>
  <c r="AJ29" i="14"/>
  <c r="AI29" i="14"/>
  <c r="Q125" i="14" s="1"/>
  <c r="Q190" i="14" s="1"/>
  <c r="Q254" i="14" s="1"/>
  <c r="AH29" i="14"/>
  <c r="BC29" i="14" s="1"/>
  <c r="AG29" i="14"/>
  <c r="Q117" i="14" s="1"/>
  <c r="AF29" i="14"/>
  <c r="AE29" i="14"/>
  <c r="Q109" i="14" s="1"/>
  <c r="Q174" i="14" s="1"/>
  <c r="Q238" i="14" s="1"/>
  <c r="AD29" i="14"/>
  <c r="Q105" i="14" s="1"/>
  <c r="Q170" i="14" s="1"/>
  <c r="AC29" i="14"/>
  <c r="AX29" i="14" s="1"/>
  <c r="AB29" i="14"/>
  <c r="AA29" i="14"/>
  <c r="BI28" i="14"/>
  <c r="V144" i="14" s="1"/>
  <c r="V209" i="14" s="1"/>
  <c r="V273" i="14" s="1"/>
  <c r="BH28" i="14"/>
  <c r="BG28" i="14"/>
  <c r="V136" i="14" s="1"/>
  <c r="V201" i="14" s="1"/>
  <c r="V265" i="14" s="1"/>
  <c r="BF28" i="14"/>
  <c r="V132" i="14" s="1"/>
  <c r="V197" i="14" s="1"/>
  <c r="BE28" i="14"/>
  <c r="V128" i="14" s="1"/>
  <c r="V193" i="14" s="1"/>
  <c r="BB28" i="14"/>
  <c r="V116" i="14" s="1"/>
  <c r="V181" i="14" s="1"/>
  <c r="V245" i="14" s="1"/>
  <c r="AZ28" i="14"/>
  <c r="V108" i="14" s="1"/>
  <c r="V173" i="14" s="1"/>
  <c r="V237" i="14" s="1"/>
  <c r="AY28" i="14"/>
  <c r="AW28" i="14"/>
  <c r="V96" i="14" s="1"/>
  <c r="V161" i="14" s="1"/>
  <c r="V225" i="14" s="1"/>
  <c r="AV28" i="14"/>
  <c r="V92" i="14" s="1"/>
  <c r="AP28" i="14"/>
  <c r="BK28" i="14" s="1"/>
  <c r="AO28" i="14"/>
  <c r="BJ28" i="14" s="1"/>
  <c r="V148" i="14" s="1"/>
  <c r="V213" i="14" s="1"/>
  <c r="V277" i="14" s="1"/>
  <c r="AN28" i="14"/>
  <c r="Q144" i="14" s="1"/>
  <c r="Q209" i="14" s="1"/>
  <c r="Q273" i="14" s="1"/>
  <c r="AM28" i="14"/>
  <c r="AL28" i="14"/>
  <c r="AK28" i="14"/>
  <c r="AJ28" i="14"/>
  <c r="AI28" i="14"/>
  <c r="BD28" i="14" s="1"/>
  <c r="V124" i="14" s="1"/>
  <c r="V189" i="14" s="1"/>
  <c r="V253" i="14" s="1"/>
  <c r="AH28" i="14"/>
  <c r="AG28" i="14"/>
  <c r="AF28" i="14"/>
  <c r="BA28" i="14" s="1"/>
  <c r="V112" i="14" s="1"/>
  <c r="AE28" i="14"/>
  <c r="Q108" i="14" s="1"/>
  <c r="Q173" i="14" s="1"/>
  <c r="Q237" i="14" s="1"/>
  <c r="AD28" i="14"/>
  <c r="AC28" i="14"/>
  <c r="AB28" i="14"/>
  <c r="AA28" i="14"/>
  <c r="BH27" i="14"/>
  <c r="BF27" i="14"/>
  <c r="K135" i="14" s="1"/>
  <c r="K200" i="14" s="1"/>
  <c r="K264" i="14" s="1"/>
  <c r="BC27" i="14"/>
  <c r="K123" i="14" s="1"/>
  <c r="K188" i="14" s="1"/>
  <c r="K252" i="14" s="1"/>
  <c r="BB27" i="14"/>
  <c r="BA27" i="14"/>
  <c r="K115" i="14" s="1"/>
  <c r="K180" i="14" s="1"/>
  <c r="K244" i="14" s="1"/>
  <c r="AZ27" i="14"/>
  <c r="K111" i="14" s="1"/>
  <c r="K176" i="14" s="1"/>
  <c r="K240" i="14" s="1"/>
  <c r="AP27" i="14"/>
  <c r="BK27" i="14" s="1"/>
  <c r="AO27" i="14"/>
  <c r="BJ27" i="14" s="1"/>
  <c r="K151" i="14" s="1"/>
  <c r="K216" i="14" s="1"/>
  <c r="K280" i="14" s="1"/>
  <c r="AN27" i="14"/>
  <c r="AM27" i="14"/>
  <c r="AL27" i="14"/>
  <c r="G139" i="14" s="1"/>
  <c r="G204" i="14" s="1"/>
  <c r="G268" i="14" s="1"/>
  <c r="AK27" i="14"/>
  <c r="G135" i="14" s="1"/>
  <c r="G200" i="14" s="1"/>
  <c r="G264" i="14" s="1"/>
  <c r="AJ27" i="14"/>
  <c r="BE27" i="14" s="1"/>
  <c r="K131" i="14" s="1"/>
  <c r="K196" i="14" s="1"/>
  <c r="K260" i="14" s="1"/>
  <c r="AI27" i="14"/>
  <c r="G127" i="14" s="1"/>
  <c r="G192" i="14" s="1"/>
  <c r="G256" i="14" s="1"/>
  <c r="AH27" i="14"/>
  <c r="G123" i="14" s="1"/>
  <c r="G188" i="14" s="1"/>
  <c r="G252" i="14" s="1"/>
  <c r="AG27" i="14"/>
  <c r="AF27" i="14"/>
  <c r="AE27" i="14"/>
  <c r="AD27" i="14"/>
  <c r="AY27" i="14" s="1"/>
  <c r="K107" i="14" s="1"/>
  <c r="K172" i="14" s="1"/>
  <c r="K236" i="14" s="1"/>
  <c r="AC27" i="14"/>
  <c r="AB27" i="14"/>
  <c r="AA27" i="14"/>
  <c r="AV27" i="14" s="1"/>
  <c r="K95" i="14" s="1"/>
  <c r="K160" i="14" s="1"/>
  <c r="K224" i="14" s="1"/>
  <c r="BJ26" i="14"/>
  <c r="K150" i="14" s="1"/>
  <c r="K215" i="14" s="1"/>
  <c r="K279" i="14" s="1"/>
  <c r="BI26" i="14"/>
  <c r="K146" i="14" s="1"/>
  <c r="K211" i="14" s="1"/>
  <c r="K275" i="14" s="1"/>
  <c r="BH26" i="14"/>
  <c r="K142" i="14" s="1"/>
  <c r="K207" i="14" s="1"/>
  <c r="K271" i="14" s="1"/>
  <c r="BG26" i="14"/>
  <c r="BA26" i="14"/>
  <c r="AX26" i="14"/>
  <c r="K102" i="14" s="1"/>
  <c r="K167" i="14" s="1"/>
  <c r="K231" i="14" s="1"/>
  <c r="AW26" i="14"/>
  <c r="K98" i="14" s="1"/>
  <c r="K163" i="14" s="1"/>
  <c r="K227" i="14" s="1"/>
  <c r="AV26" i="14"/>
  <c r="AP26" i="14"/>
  <c r="AO26" i="14"/>
  <c r="G150" i="14" s="1"/>
  <c r="G215" i="14" s="1"/>
  <c r="AN26" i="14"/>
  <c r="AM26" i="14"/>
  <c r="G142" i="14" s="1"/>
  <c r="G207" i="14" s="1"/>
  <c r="G271" i="14" s="1"/>
  <c r="AL26" i="14"/>
  <c r="AK26" i="14"/>
  <c r="BF26" i="14" s="1"/>
  <c r="K134" i="14" s="1"/>
  <c r="K199" i="14" s="1"/>
  <c r="K263" i="14" s="1"/>
  <c r="AJ26" i="14"/>
  <c r="AI26" i="14"/>
  <c r="AH26" i="14"/>
  <c r="BC26" i="14" s="1"/>
  <c r="K122" i="14" s="1"/>
  <c r="K187" i="14" s="1"/>
  <c r="K251" i="14" s="1"/>
  <c r="AG26" i="14"/>
  <c r="AF26" i="14"/>
  <c r="AE26" i="14"/>
  <c r="G110" i="14" s="1"/>
  <c r="G175" i="14" s="1"/>
  <c r="G239" i="14" s="1"/>
  <c r="AD26" i="14"/>
  <c r="AC26" i="14"/>
  <c r="AB26" i="14"/>
  <c r="AA26" i="14"/>
  <c r="BJ25" i="14"/>
  <c r="K149" i="14" s="1"/>
  <c r="K214" i="14" s="1"/>
  <c r="K278" i="14" s="1"/>
  <c r="BI25" i="14"/>
  <c r="K145" i="14" s="1"/>
  <c r="K210" i="14" s="1"/>
  <c r="K274" i="14" s="1"/>
  <c r="BE25" i="14"/>
  <c r="K129" i="14" s="1"/>
  <c r="K194" i="14" s="1"/>
  <c r="K258" i="14" s="1"/>
  <c r="BD25" i="14"/>
  <c r="K125" i="14" s="1"/>
  <c r="K190" i="14" s="1"/>
  <c r="K254" i="14" s="1"/>
  <c r="BC25" i="14"/>
  <c r="K121" i="14" s="1"/>
  <c r="K186" i="14" s="1"/>
  <c r="K250" i="14" s="1"/>
  <c r="BB25" i="14"/>
  <c r="AV25" i="14"/>
  <c r="K93" i="14" s="1"/>
  <c r="K158" i="14" s="1"/>
  <c r="K222" i="14" s="1"/>
  <c r="AP25" i="14"/>
  <c r="AO25" i="14"/>
  <c r="AN25" i="14"/>
  <c r="G145" i="14" s="1"/>
  <c r="AM25" i="14"/>
  <c r="G141" i="14" s="1"/>
  <c r="G206" i="14" s="1"/>
  <c r="G270" i="14" s="1"/>
  <c r="AL25" i="14"/>
  <c r="AK25" i="14"/>
  <c r="AJ25" i="14"/>
  <c r="AI25" i="14"/>
  <c r="AH25" i="14"/>
  <c r="G121" i="14" s="1"/>
  <c r="G186" i="14" s="1"/>
  <c r="G250" i="14" s="1"/>
  <c r="AG25" i="14"/>
  <c r="AF25" i="14"/>
  <c r="BA25" i="14" s="1"/>
  <c r="K113" i="14" s="1"/>
  <c r="K178" i="14" s="1"/>
  <c r="K242" i="14" s="1"/>
  <c r="AE25" i="14"/>
  <c r="AD25" i="14"/>
  <c r="AC25" i="14"/>
  <c r="G101" i="14" s="1"/>
  <c r="G166" i="14" s="1"/>
  <c r="G230" i="14" s="1"/>
  <c r="AB25" i="14"/>
  <c r="AW25" i="14" s="1"/>
  <c r="K97" i="14" s="1"/>
  <c r="K162" i="14" s="1"/>
  <c r="K226" i="14" s="1"/>
  <c r="AA25" i="14"/>
  <c r="G93" i="14" s="1"/>
  <c r="G158" i="14" s="1"/>
  <c r="G222" i="14" s="1"/>
  <c r="BK24" i="14"/>
  <c r="K152" i="14" s="1"/>
  <c r="K217" i="14" s="1"/>
  <c r="K281" i="14" s="1"/>
  <c r="BJ24" i="14"/>
  <c r="K148" i="14" s="1"/>
  <c r="K213" i="14" s="1"/>
  <c r="K277" i="14" s="1"/>
  <c r="BH24" i="14"/>
  <c r="K140" i="14" s="1"/>
  <c r="BD24" i="14"/>
  <c r="BA24" i="14"/>
  <c r="K112" i="14" s="1"/>
  <c r="K177" i="14" s="1"/>
  <c r="K241" i="14" s="1"/>
  <c r="AZ24" i="14"/>
  <c r="K108" i="14" s="1"/>
  <c r="K173" i="14" s="1"/>
  <c r="K237" i="14" s="1"/>
  <c r="AY24" i="14"/>
  <c r="K104" i="14" s="1"/>
  <c r="K169" i="14" s="1"/>
  <c r="K233" i="14" s="1"/>
  <c r="AX24" i="14"/>
  <c r="K100" i="14" s="1"/>
  <c r="AV24" i="14"/>
  <c r="K92" i="14" s="1"/>
  <c r="K157" i="14" s="1"/>
  <c r="K221" i="14" s="1"/>
  <c r="AP24" i="14"/>
  <c r="G152" i="14" s="1"/>
  <c r="G217" i="14" s="1"/>
  <c r="G281" i="14" s="1"/>
  <c r="AO24" i="14"/>
  <c r="AN24" i="14"/>
  <c r="AM24" i="14"/>
  <c r="AL24" i="14"/>
  <c r="BG24" i="14" s="1"/>
  <c r="K136" i="14" s="1"/>
  <c r="K201" i="14" s="1"/>
  <c r="K265" i="14" s="1"/>
  <c r="AK24" i="14"/>
  <c r="AJ24" i="14"/>
  <c r="AI24" i="14"/>
  <c r="AH24" i="14"/>
  <c r="BC24" i="14" s="1"/>
  <c r="K120" i="14" s="1"/>
  <c r="K185" i="14" s="1"/>
  <c r="K249" i="14" s="1"/>
  <c r="AG24" i="14"/>
  <c r="AF24" i="14"/>
  <c r="AE24" i="14"/>
  <c r="G108" i="14" s="1"/>
  <c r="G173" i="14" s="1"/>
  <c r="G237" i="14" s="1"/>
  <c r="AD24" i="14"/>
  <c r="AC24" i="14"/>
  <c r="AB24" i="14"/>
  <c r="AW24" i="14" s="1"/>
  <c r="K96" i="14" s="1"/>
  <c r="K161" i="14" s="1"/>
  <c r="K225" i="14" s="1"/>
  <c r="AA24" i="14"/>
  <c r="BK23" i="14"/>
  <c r="BI23" i="14"/>
  <c r="AU147" i="14" s="1"/>
  <c r="AU212" i="14" s="1"/>
  <c r="AU276" i="14" s="1"/>
  <c r="BG23" i="14"/>
  <c r="AU139" i="14" s="1"/>
  <c r="AU204" i="14" s="1"/>
  <c r="AU268" i="14" s="1"/>
  <c r="BF23" i="14"/>
  <c r="AU135" i="14" s="1"/>
  <c r="AU200" i="14" s="1"/>
  <c r="AU264" i="14" s="1"/>
  <c r="BD23" i="14"/>
  <c r="AU127" i="14" s="1"/>
  <c r="AU192" i="14" s="1"/>
  <c r="AU256" i="14" s="1"/>
  <c r="BC23" i="14"/>
  <c r="AU123" i="14" s="1"/>
  <c r="AW23" i="14"/>
  <c r="AV23" i="14"/>
  <c r="AU95" i="14" s="1"/>
  <c r="AU160" i="14" s="1"/>
  <c r="AU224" i="14" s="1"/>
  <c r="AP23" i="14"/>
  <c r="AO23" i="14"/>
  <c r="AN23" i="14"/>
  <c r="AM23" i="14"/>
  <c r="BH23" i="14" s="1"/>
  <c r="AU143" i="14" s="1"/>
  <c r="AU208" i="14" s="1"/>
  <c r="AU272" i="14" s="1"/>
  <c r="AL23" i="14"/>
  <c r="AQ139" i="14" s="1"/>
  <c r="AQ204" i="14" s="1"/>
  <c r="AQ268" i="14" s="1"/>
  <c r="AK23" i="14"/>
  <c r="AQ135" i="14" s="1"/>
  <c r="AQ200" i="14" s="1"/>
  <c r="AQ264" i="14" s="1"/>
  <c r="AJ23" i="14"/>
  <c r="BE23" i="14" s="1"/>
  <c r="AU131" i="14" s="1"/>
  <c r="AU196" i="14" s="1"/>
  <c r="AU260" i="14" s="1"/>
  <c r="AI23" i="14"/>
  <c r="AH23" i="14"/>
  <c r="AQ123" i="14" s="1"/>
  <c r="AQ188" i="14" s="1"/>
  <c r="AQ252" i="14" s="1"/>
  <c r="AG23" i="14"/>
  <c r="BB23" i="14" s="1"/>
  <c r="AF23" i="14"/>
  <c r="AE23" i="14"/>
  <c r="AD23" i="14"/>
  <c r="AY23" i="14" s="1"/>
  <c r="AU107" i="14" s="1"/>
  <c r="AU172" i="14" s="1"/>
  <c r="AU236" i="14" s="1"/>
  <c r="AC23" i="14"/>
  <c r="AB23" i="14"/>
  <c r="AA23" i="14"/>
  <c r="AQ95" i="14" s="1"/>
  <c r="AQ160" i="14" s="1"/>
  <c r="AQ224" i="14" s="1"/>
  <c r="CA22" i="14"/>
  <c r="BZ22" i="14"/>
  <c r="BY22" i="14"/>
  <c r="BX22" i="14"/>
  <c r="BW22" i="14"/>
  <c r="BV22" i="14"/>
  <c r="BU22" i="14"/>
  <c r="BT22" i="14"/>
  <c r="BS22" i="14"/>
  <c r="BR22" i="14"/>
  <c r="BQ22" i="14"/>
  <c r="BK22" i="14"/>
  <c r="AU154" i="14" s="1"/>
  <c r="AU219" i="14" s="1"/>
  <c r="AU283" i="14" s="1"/>
  <c r="BJ22" i="14"/>
  <c r="BI22" i="14"/>
  <c r="BE22" i="14"/>
  <c r="AU130" i="14" s="1"/>
  <c r="AU195" i="14" s="1"/>
  <c r="AU259" i="14" s="1"/>
  <c r="BD22" i="14"/>
  <c r="AU126" i="14" s="1"/>
  <c r="AU191" i="14" s="1"/>
  <c r="AU255" i="14" s="1"/>
  <c r="BC22" i="14"/>
  <c r="AU122" i="14" s="1"/>
  <c r="AU187" i="14" s="1"/>
  <c r="AU251" i="14" s="1"/>
  <c r="AY22" i="14"/>
  <c r="AU106" i="14" s="1"/>
  <c r="AU171" i="14" s="1"/>
  <c r="AU235" i="14" s="1"/>
  <c r="AX22" i="14"/>
  <c r="AU102" i="14" s="1"/>
  <c r="AU167" i="14" s="1"/>
  <c r="AU231" i="14" s="1"/>
  <c r="AW22" i="14"/>
  <c r="AU98" i="14" s="1"/>
  <c r="AU163" i="14" s="1"/>
  <c r="AU227" i="14" s="1"/>
  <c r="AP22" i="14"/>
  <c r="AQ154" i="14" s="1"/>
  <c r="AQ219" i="14" s="1"/>
  <c r="AQ283" i="14" s="1"/>
  <c r="AO22" i="14"/>
  <c r="AN22" i="14"/>
  <c r="AM22" i="14"/>
  <c r="BH22" i="14" s="1"/>
  <c r="AU142" i="14" s="1"/>
  <c r="AU207" i="14" s="1"/>
  <c r="AU271" i="14" s="1"/>
  <c r="AL22" i="14"/>
  <c r="BG22" i="14" s="1"/>
  <c r="AK22" i="14"/>
  <c r="BF22" i="14" s="1"/>
  <c r="AU134" i="14" s="1"/>
  <c r="AU199" i="14" s="1"/>
  <c r="AU263" i="14" s="1"/>
  <c r="AJ22" i="14"/>
  <c r="AQ130" i="14" s="1"/>
  <c r="AQ195" i="14" s="1"/>
  <c r="AQ259" i="14" s="1"/>
  <c r="AI22" i="14"/>
  <c r="AH22" i="14"/>
  <c r="AQ122" i="14" s="1"/>
  <c r="AG22" i="14"/>
  <c r="AF22" i="14"/>
  <c r="AE22" i="14"/>
  <c r="AZ22" i="14" s="1"/>
  <c r="AU110" i="14" s="1"/>
  <c r="AU175" i="14" s="1"/>
  <c r="AU239" i="14" s="1"/>
  <c r="AD22" i="14"/>
  <c r="AQ106" i="14" s="1"/>
  <c r="AQ171" i="14" s="1"/>
  <c r="AQ235" i="14" s="1"/>
  <c r="AC22" i="14"/>
  <c r="AB22" i="14"/>
  <c r="AQ98" i="14" s="1"/>
  <c r="AQ163" i="14" s="1"/>
  <c r="AQ227" i="14" s="1"/>
  <c r="AA22" i="14"/>
  <c r="AV22" i="14" s="1"/>
  <c r="AU94" i="14" s="1"/>
  <c r="BK21" i="14"/>
  <c r="AU153" i="14" s="1"/>
  <c r="AU218" i="14" s="1"/>
  <c r="AU282" i="14" s="1"/>
  <c r="BJ21" i="14"/>
  <c r="AU149" i="14" s="1"/>
  <c r="AU214" i="14" s="1"/>
  <c r="AU278" i="14" s="1"/>
  <c r="BF21" i="14"/>
  <c r="AU133" i="14" s="1"/>
  <c r="AU198" i="14" s="1"/>
  <c r="AU262" i="14" s="1"/>
  <c r="BE21" i="14"/>
  <c r="BD21" i="14"/>
  <c r="AU125" i="14" s="1"/>
  <c r="AU190" i="14" s="1"/>
  <c r="AU254" i="14" s="1"/>
  <c r="BC21" i="14"/>
  <c r="AU121" i="14" s="1"/>
  <c r="AU186" i="14" s="1"/>
  <c r="AU250" i="14" s="1"/>
  <c r="AZ21" i="14"/>
  <c r="AU109" i="14" s="1"/>
  <c r="AY21" i="14"/>
  <c r="AU105" i="14" s="1"/>
  <c r="AU170" i="14" s="1"/>
  <c r="AU234" i="14" s="1"/>
  <c r="AX21" i="14"/>
  <c r="AP21" i="14"/>
  <c r="AO21" i="14"/>
  <c r="AQ149" i="14" s="1"/>
  <c r="AQ214" i="14" s="1"/>
  <c r="AQ278" i="14" s="1"/>
  <c r="AN21" i="14"/>
  <c r="AM21" i="14"/>
  <c r="BH21" i="14" s="1"/>
  <c r="AU141" i="14" s="1"/>
  <c r="AU206" i="14" s="1"/>
  <c r="AU270" i="14" s="1"/>
  <c r="AL21" i="14"/>
  <c r="AQ137" i="14" s="1"/>
  <c r="AQ202" i="14" s="1"/>
  <c r="AQ266" i="14" s="1"/>
  <c r="AK21" i="14"/>
  <c r="AJ21" i="14"/>
  <c r="AI21" i="14"/>
  <c r="AH21" i="14"/>
  <c r="AQ121" i="14" s="1"/>
  <c r="AG21" i="14"/>
  <c r="BB21" i="14" s="1"/>
  <c r="AU117" i="14" s="1"/>
  <c r="AU182" i="14" s="1"/>
  <c r="AU246" i="14" s="1"/>
  <c r="AF21" i="14"/>
  <c r="AE21" i="14"/>
  <c r="AD21" i="14"/>
  <c r="AC21" i="14"/>
  <c r="AQ101" i="14" s="1"/>
  <c r="AQ166" i="14" s="1"/>
  <c r="AQ230" i="14" s="1"/>
  <c r="AB21" i="14"/>
  <c r="AW21" i="14" s="1"/>
  <c r="AU97" i="14" s="1"/>
  <c r="AU162" i="14" s="1"/>
  <c r="AU226" i="14" s="1"/>
  <c r="AA21" i="14"/>
  <c r="CA20" i="14"/>
  <c r="BZ20" i="14"/>
  <c r="BY20" i="14"/>
  <c r="BX20" i="14"/>
  <c r="BW20" i="14"/>
  <c r="BV20" i="14"/>
  <c r="BU20" i="14"/>
  <c r="BT20" i="14"/>
  <c r="BS20" i="14"/>
  <c r="BR20" i="14"/>
  <c r="BQ20" i="14"/>
  <c r="BK20" i="14"/>
  <c r="AU152" i="14" s="1"/>
  <c r="AU217" i="14" s="1"/>
  <c r="AU281" i="14" s="1"/>
  <c r="BJ20" i="14"/>
  <c r="AU148" i="14" s="1"/>
  <c r="AU213" i="14" s="1"/>
  <c r="AU277" i="14" s="1"/>
  <c r="BI20" i="14"/>
  <c r="AU144" i="14" s="1"/>
  <c r="AU209" i="14" s="1"/>
  <c r="AU273" i="14" s="1"/>
  <c r="BG20" i="14"/>
  <c r="AU136" i="14" s="1"/>
  <c r="BE20" i="14"/>
  <c r="BB20" i="14"/>
  <c r="AU116" i="14" s="1"/>
  <c r="AU181" i="14" s="1"/>
  <c r="AU245" i="14" s="1"/>
  <c r="AZ20" i="14"/>
  <c r="AU108" i="14" s="1"/>
  <c r="AU173" i="14" s="1"/>
  <c r="AU237" i="14" s="1"/>
  <c r="AY20" i="14"/>
  <c r="AU104" i="14" s="1"/>
  <c r="AU169" i="14" s="1"/>
  <c r="AU233" i="14" s="1"/>
  <c r="AX20" i="14"/>
  <c r="AU100" i="14" s="1"/>
  <c r="AU165" i="14" s="1"/>
  <c r="AU229" i="14" s="1"/>
  <c r="AW20" i="14"/>
  <c r="AP20" i="14"/>
  <c r="AQ152" i="14" s="1"/>
  <c r="AO20" i="14"/>
  <c r="AN20" i="14"/>
  <c r="AM20" i="14"/>
  <c r="AQ140" i="14" s="1"/>
  <c r="AQ205" i="14" s="1"/>
  <c r="AQ269" i="14" s="1"/>
  <c r="AL20" i="14"/>
  <c r="AK20" i="14"/>
  <c r="AJ20" i="14"/>
  <c r="AQ128" i="14" s="1"/>
  <c r="AQ193" i="14" s="1"/>
  <c r="AQ257" i="14" s="1"/>
  <c r="AI20" i="14"/>
  <c r="BD20" i="14" s="1"/>
  <c r="AU124" i="14" s="1"/>
  <c r="AU189" i="14" s="1"/>
  <c r="AU253" i="14" s="1"/>
  <c r="AH20" i="14"/>
  <c r="BC20" i="14" s="1"/>
  <c r="AU120" i="14" s="1"/>
  <c r="AU185" i="14" s="1"/>
  <c r="AU249" i="14" s="1"/>
  <c r="AG20" i="14"/>
  <c r="AQ116" i="14" s="1"/>
  <c r="AQ181" i="14" s="1"/>
  <c r="AQ245" i="14" s="1"/>
  <c r="AF20" i="14"/>
  <c r="AE20" i="14"/>
  <c r="AQ108" i="14" s="1"/>
  <c r="AQ173" i="14" s="1"/>
  <c r="AQ237" i="14" s="1"/>
  <c r="AD20" i="14"/>
  <c r="AQ104" i="14" s="1"/>
  <c r="AC20" i="14"/>
  <c r="AB20" i="14"/>
  <c r="AA20" i="14"/>
  <c r="AV20" i="14" s="1"/>
  <c r="BI19" i="14"/>
  <c r="AJ147" i="14" s="1"/>
  <c r="AJ212" i="14" s="1"/>
  <c r="AJ276" i="14" s="1"/>
  <c r="BG19" i="14"/>
  <c r="AJ139" i="14" s="1"/>
  <c r="AJ204" i="14" s="1"/>
  <c r="AJ268" i="14" s="1"/>
  <c r="BF19" i="14"/>
  <c r="AJ135" i="14" s="1"/>
  <c r="AJ200" i="14" s="1"/>
  <c r="AJ264" i="14" s="1"/>
  <c r="BE19" i="14"/>
  <c r="AJ131" i="14" s="1"/>
  <c r="AJ196" i="14" s="1"/>
  <c r="AJ260" i="14" s="1"/>
  <c r="BD19" i="14"/>
  <c r="AJ127" i="14" s="1"/>
  <c r="AJ192" i="14" s="1"/>
  <c r="AJ256" i="14" s="1"/>
  <c r="BC19" i="14"/>
  <c r="AJ123" i="14" s="1"/>
  <c r="AV19" i="14"/>
  <c r="AP19" i="14"/>
  <c r="BK19" i="14" s="1"/>
  <c r="AJ155" i="14" s="1"/>
  <c r="AJ220" i="14" s="1"/>
  <c r="AJ284" i="14" s="1"/>
  <c r="AO19" i="14"/>
  <c r="AN19" i="14"/>
  <c r="AF147" i="14" s="1"/>
  <c r="AF212" i="14" s="1"/>
  <c r="AF276" i="14" s="1"/>
  <c r="AM19" i="14"/>
  <c r="AL19" i="14"/>
  <c r="AF139" i="14" s="1"/>
  <c r="AF204" i="14" s="1"/>
  <c r="AF268" i="14" s="1"/>
  <c r="AK19" i="14"/>
  <c r="AF135" i="14" s="1"/>
  <c r="AF200" i="14" s="1"/>
  <c r="AF264" i="14" s="1"/>
  <c r="AJ19" i="14"/>
  <c r="AF131" i="14" s="1"/>
  <c r="AF196" i="14" s="1"/>
  <c r="AF260" i="14" s="1"/>
  <c r="AI19" i="14"/>
  <c r="AH19" i="14"/>
  <c r="AG19" i="14"/>
  <c r="AF119" i="14" s="1"/>
  <c r="AF184" i="14" s="1"/>
  <c r="AF248" i="14" s="1"/>
  <c r="AF19" i="14"/>
  <c r="BA19" i="14" s="1"/>
  <c r="AE19" i="14"/>
  <c r="AD19" i="14"/>
  <c r="AY19" i="14" s="1"/>
  <c r="AC19" i="14"/>
  <c r="AB19" i="14"/>
  <c r="AF99" i="14" s="1"/>
  <c r="AF164" i="14" s="1"/>
  <c r="AF228" i="14" s="1"/>
  <c r="AA19" i="14"/>
  <c r="CA18" i="14"/>
  <c r="BZ18" i="14"/>
  <c r="BY18" i="14"/>
  <c r="BX18" i="14"/>
  <c r="BW18" i="14"/>
  <c r="BV18" i="14"/>
  <c r="BU18" i="14"/>
  <c r="BT18" i="14"/>
  <c r="BS18" i="14"/>
  <c r="BR18" i="14"/>
  <c r="BQ18" i="14"/>
  <c r="BK18" i="14"/>
  <c r="AJ154" i="14" s="1"/>
  <c r="AJ219" i="14" s="1"/>
  <c r="AJ283" i="14" s="1"/>
  <c r="BJ18" i="14"/>
  <c r="AJ150" i="14" s="1"/>
  <c r="AJ215" i="14" s="1"/>
  <c r="AJ279" i="14" s="1"/>
  <c r="BI18" i="14"/>
  <c r="AJ146" i="14" s="1"/>
  <c r="BC18" i="14"/>
  <c r="AZ18" i="14"/>
  <c r="AJ110" i="14" s="1"/>
  <c r="AJ175" i="14" s="1"/>
  <c r="AJ239" i="14" s="1"/>
  <c r="AY18" i="14"/>
  <c r="AJ106" i="14" s="1"/>
  <c r="AJ171" i="14" s="1"/>
  <c r="AJ235" i="14" s="1"/>
  <c r="AX18" i="14"/>
  <c r="AJ102" i="14" s="1"/>
  <c r="AJ167" i="14" s="1"/>
  <c r="AJ231" i="14" s="1"/>
  <c r="AW18" i="14"/>
  <c r="AP18" i="14"/>
  <c r="AF154" i="14" s="1"/>
  <c r="AF219" i="14" s="1"/>
  <c r="AF283" i="14" s="1"/>
  <c r="AO18" i="14"/>
  <c r="AN18" i="14"/>
  <c r="AM18" i="14"/>
  <c r="BH18" i="14" s="1"/>
  <c r="AJ142" i="14" s="1"/>
  <c r="AJ207" i="14" s="1"/>
  <c r="AL18" i="14"/>
  <c r="AK18" i="14"/>
  <c r="BF18" i="14" s="1"/>
  <c r="AJ134" i="14" s="1"/>
  <c r="AJ18" i="14"/>
  <c r="BE18" i="14" s="1"/>
  <c r="AJ130" i="14" s="1"/>
  <c r="AJ195" i="14" s="1"/>
  <c r="AJ259" i="14" s="1"/>
  <c r="AI18" i="14"/>
  <c r="AH18" i="14"/>
  <c r="AF122" i="14" s="1"/>
  <c r="AF187" i="14" s="1"/>
  <c r="AF251" i="14" s="1"/>
  <c r="AG18" i="14"/>
  <c r="BB18" i="14" s="1"/>
  <c r="AJ118" i="14" s="1"/>
  <c r="AJ183" i="14" s="1"/>
  <c r="AJ247" i="14" s="1"/>
  <c r="AF18" i="14"/>
  <c r="AE18" i="14"/>
  <c r="AD18" i="14"/>
  <c r="AF106" i="14" s="1"/>
  <c r="AF171" i="14" s="1"/>
  <c r="AF235" i="14" s="1"/>
  <c r="AC18" i="14"/>
  <c r="AB18" i="14"/>
  <c r="AA18" i="14"/>
  <c r="AV18" i="14" s="1"/>
  <c r="AJ94" i="14" s="1"/>
  <c r="AJ159" i="14" s="1"/>
  <c r="AJ223" i="14" s="1"/>
  <c r="BK17" i="14"/>
  <c r="AJ153" i="14" s="1"/>
  <c r="AJ218" i="14" s="1"/>
  <c r="AJ282" i="14" s="1"/>
  <c r="BJ17" i="14"/>
  <c r="AJ149" i="14" s="1"/>
  <c r="AJ214" i="14" s="1"/>
  <c r="AJ278" i="14" s="1"/>
  <c r="BH17" i="14"/>
  <c r="AJ141" i="14" s="1"/>
  <c r="AJ206" i="14" s="1"/>
  <c r="AJ270" i="14" s="1"/>
  <c r="BG17" i="14"/>
  <c r="BF17" i="14"/>
  <c r="AJ133" i="14" s="1"/>
  <c r="AJ198" i="14" s="1"/>
  <c r="AJ262" i="14" s="1"/>
  <c r="BE17" i="14"/>
  <c r="AJ129" i="14" s="1"/>
  <c r="AJ194" i="14" s="1"/>
  <c r="AJ258" i="14" s="1"/>
  <c r="BD17" i="14"/>
  <c r="AW17" i="14"/>
  <c r="AJ97" i="14" s="1"/>
  <c r="AJ162" i="14" s="1"/>
  <c r="AJ226" i="14" s="1"/>
  <c r="AP17" i="14"/>
  <c r="AF153" i="14" s="1"/>
  <c r="AF218" i="14" s="1"/>
  <c r="AF282" i="14" s="1"/>
  <c r="AO17" i="14"/>
  <c r="AF149" i="14" s="1"/>
  <c r="AF214" i="14" s="1"/>
  <c r="AF278" i="14" s="1"/>
  <c r="AN17" i="14"/>
  <c r="AM17" i="14"/>
  <c r="AL17" i="14"/>
  <c r="AF137" i="14" s="1"/>
  <c r="AF202" i="14" s="1"/>
  <c r="AF266" i="14" s="1"/>
  <c r="AK17" i="14"/>
  <c r="AJ17" i="14"/>
  <c r="AI17" i="14"/>
  <c r="AH17" i="14"/>
  <c r="BC17" i="14" s="1"/>
  <c r="AJ121" i="14" s="1"/>
  <c r="AJ186" i="14" s="1"/>
  <c r="AJ250" i="14" s="1"/>
  <c r="AG17" i="14"/>
  <c r="BB17" i="14" s="1"/>
  <c r="AJ117" i="14" s="1"/>
  <c r="AJ182" i="14" s="1"/>
  <c r="AF17" i="14"/>
  <c r="BA17" i="14" s="1"/>
  <c r="AJ113" i="14" s="1"/>
  <c r="AJ178" i="14" s="1"/>
  <c r="AJ242" i="14" s="1"/>
  <c r="AE17" i="14"/>
  <c r="AF109" i="14" s="1"/>
  <c r="AF174" i="14" s="1"/>
  <c r="AF238" i="14" s="1"/>
  <c r="AD17" i="14"/>
  <c r="AC17" i="14"/>
  <c r="AX17" i="14" s="1"/>
  <c r="AJ101" i="14" s="1"/>
  <c r="AB17" i="14"/>
  <c r="AF97" i="14" s="1"/>
  <c r="AA17" i="14"/>
  <c r="AV17" i="14" s="1"/>
  <c r="AJ93" i="14" s="1"/>
  <c r="AJ158" i="14" s="1"/>
  <c r="AJ222" i="14" s="1"/>
  <c r="CA16" i="14"/>
  <c r="BZ16" i="14"/>
  <c r="BY16" i="14"/>
  <c r="BX16" i="14"/>
  <c r="BW16" i="14"/>
  <c r="BV16" i="14"/>
  <c r="BU16" i="14"/>
  <c r="BT16" i="14"/>
  <c r="BS16" i="14"/>
  <c r="BR16" i="14"/>
  <c r="BQ16" i="14"/>
  <c r="BK16" i="14"/>
  <c r="AJ152" i="14" s="1"/>
  <c r="AJ217" i="14" s="1"/>
  <c r="AJ281" i="14" s="1"/>
  <c r="BJ16" i="14"/>
  <c r="BE16" i="14"/>
  <c r="AJ128" i="14" s="1"/>
  <c r="AJ193" i="14" s="1"/>
  <c r="AJ257" i="14" s="1"/>
  <c r="BA16" i="14"/>
  <c r="AZ16" i="14"/>
  <c r="AJ108" i="14" s="1"/>
  <c r="AY16" i="14"/>
  <c r="AJ104" i="14" s="1"/>
  <c r="AJ169" i="14" s="1"/>
  <c r="AJ233" i="14" s="1"/>
  <c r="AX16" i="14"/>
  <c r="AJ100" i="14" s="1"/>
  <c r="AJ165" i="14" s="1"/>
  <c r="AJ229" i="14" s="1"/>
  <c r="AP16" i="14"/>
  <c r="AF152" i="14" s="1"/>
  <c r="AF217" i="14" s="1"/>
  <c r="AF281" i="14" s="1"/>
  <c r="AO16" i="14"/>
  <c r="AF148" i="14" s="1"/>
  <c r="AF213" i="14" s="1"/>
  <c r="AF277" i="14" s="1"/>
  <c r="AN16" i="14"/>
  <c r="BI16" i="14" s="1"/>
  <c r="AJ144" i="14" s="1"/>
  <c r="AJ209" i="14" s="1"/>
  <c r="AJ273" i="14" s="1"/>
  <c r="AM16" i="14"/>
  <c r="BH16" i="14" s="1"/>
  <c r="AJ140" i="14" s="1"/>
  <c r="AJ205" i="14" s="1"/>
  <c r="AJ269" i="14" s="1"/>
  <c r="AL16" i="14"/>
  <c r="BG16" i="14" s="1"/>
  <c r="AJ136" i="14" s="1"/>
  <c r="AJ201" i="14" s="1"/>
  <c r="AJ265" i="14" s="1"/>
  <c r="AK16" i="14"/>
  <c r="AJ16" i="14"/>
  <c r="AI16" i="14"/>
  <c r="AF124" i="14" s="1"/>
  <c r="AF189" i="14" s="1"/>
  <c r="AF253" i="14" s="1"/>
  <c r="AH16" i="14"/>
  <c r="BC16" i="14" s="1"/>
  <c r="AJ120" i="14" s="1"/>
  <c r="AJ185" i="14" s="1"/>
  <c r="AJ249" i="14" s="1"/>
  <c r="AG16" i="14"/>
  <c r="AF16" i="14"/>
  <c r="AE16" i="14"/>
  <c r="AD16" i="14"/>
  <c r="AF104" i="14" s="1"/>
  <c r="AF169" i="14" s="1"/>
  <c r="AF233" i="14" s="1"/>
  <c r="AC16" i="14"/>
  <c r="AB16" i="14"/>
  <c r="AW16" i="14" s="1"/>
  <c r="AJ96" i="14" s="1"/>
  <c r="AA16" i="14"/>
  <c r="AF92" i="14" s="1"/>
  <c r="AF157" i="14" s="1"/>
  <c r="AF221" i="14" s="1"/>
  <c r="BK15" i="14"/>
  <c r="AB155" i="14" s="1"/>
  <c r="AB220" i="14" s="1"/>
  <c r="AB284" i="14" s="1"/>
  <c r="BJ15" i="14"/>
  <c r="AB151" i="14" s="1"/>
  <c r="AB216" i="14" s="1"/>
  <c r="AB280" i="14" s="1"/>
  <c r="BI15" i="14"/>
  <c r="AB147" i="14" s="1"/>
  <c r="AB212" i="14" s="1"/>
  <c r="AB276" i="14" s="1"/>
  <c r="BG15" i="14"/>
  <c r="AB139" i="14" s="1"/>
  <c r="AB204" i="14" s="1"/>
  <c r="AB268" i="14" s="1"/>
  <c r="BF15" i="14"/>
  <c r="AB135" i="14" s="1"/>
  <c r="AB200" i="14" s="1"/>
  <c r="AB264" i="14" s="1"/>
  <c r="BD15" i="14"/>
  <c r="AX15" i="14"/>
  <c r="AB103" i="14" s="1"/>
  <c r="AB168" i="14" s="1"/>
  <c r="AB232" i="14" s="1"/>
  <c r="AW15" i="14"/>
  <c r="AB99" i="14" s="1"/>
  <c r="AB164" i="14" s="1"/>
  <c r="AB228" i="14" s="1"/>
  <c r="AP15" i="14"/>
  <c r="X155" i="14" s="1"/>
  <c r="X220" i="14" s="1"/>
  <c r="X284" i="14" s="1"/>
  <c r="AO15" i="14"/>
  <c r="X151" i="14" s="1"/>
  <c r="X216" i="14" s="1"/>
  <c r="X280" i="14" s="1"/>
  <c r="AN15" i="14"/>
  <c r="AM15" i="14"/>
  <c r="AL15" i="14"/>
  <c r="X139" i="14" s="1"/>
  <c r="X204" i="14" s="1"/>
  <c r="X268" i="14" s="1"/>
  <c r="AK15" i="14"/>
  <c r="X135" i="14" s="1"/>
  <c r="X200" i="14" s="1"/>
  <c r="X264" i="14" s="1"/>
  <c r="AJ15" i="14"/>
  <c r="BE15" i="14" s="1"/>
  <c r="AB131" i="14" s="1"/>
  <c r="AB196" i="14" s="1"/>
  <c r="AB260" i="14" s="1"/>
  <c r="AI15" i="14"/>
  <c r="AH15" i="14"/>
  <c r="BC15" i="14" s="1"/>
  <c r="AB123" i="14" s="1"/>
  <c r="AB188" i="14" s="1"/>
  <c r="AB252" i="14" s="1"/>
  <c r="AG15" i="14"/>
  <c r="AF15" i="14"/>
  <c r="AE15" i="14"/>
  <c r="AZ15" i="14" s="1"/>
  <c r="AB111" i="14" s="1"/>
  <c r="AB176" i="14" s="1"/>
  <c r="AB240" i="14" s="1"/>
  <c r="AD15" i="14"/>
  <c r="AC15" i="14"/>
  <c r="X103" i="14" s="1"/>
  <c r="X168" i="14" s="1"/>
  <c r="X232" i="14" s="1"/>
  <c r="AB15" i="14"/>
  <c r="AA15" i="14"/>
  <c r="CA14" i="14"/>
  <c r="BZ14" i="14"/>
  <c r="BY14" i="14"/>
  <c r="BX14" i="14"/>
  <c r="BW14" i="14"/>
  <c r="BV14" i="14"/>
  <c r="BU14" i="14"/>
  <c r="BT14" i="14"/>
  <c r="BS14" i="14"/>
  <c r="BR14" i="14"/>
  <c r="BQ14" i="14"/>
  <c r="BK14" i="14"/>
  <c r="BJ14" i="14"/>
  <c r="AB150" i="14" s="1"/>
  <c r="AB215" i="14" s="1"/>
  <c r="AB279" i="14" s="1"/>
  <c r="BF14" i="14"/>
  <c r="AB134" i="14" s="1"/>
  <c r="AB199" i="14" s="1"/>
  <c r="AB263" i="14" s="1"/>
  <c r="BD14" i="14"/>
  <c r="AB126" i="14" s="1"/>
  <c r="AB191" i="14" s="1"/>
  <c r="BA14" i="14"/>
  <c r="AB114" i="14" s="1"/>
  <c r="AB179" i="14" s="1"/>
  <c r="AB243" i="14" s="1"/>
  <c r="AY14" i="14"/>
  <c r="AB106" i="14" s="1"/>
  <c r="AB171" i="14" s="1"/>
  <c r="AB235" i="14" s="1"/>
  <c r="AX14" i="14"/>
  <c r="AB102" i="14" s="1"/>
  <c r="AB167" i="14" s="1"/>
  <c r="AB231" i="14" s="1"/>
  <c r="AP14" i="14"/>
  <c r="AO14" i="14"/>
  <c r="AN14" i="14"/>
  <c r="X146" i="14" s="1"/>
  <c r="X211" i="14" s="1"/>
  <c r="X275" i="14" s="1"/>
  <c r="AM14" i="14"/>
  <c r="AL14" i="14"/>
  <c r="AK14" i="14"/>
  <c r="X134" i="14" s="1"/>
  <c r="X199" i="14" s="1"/>
  <c r="X263" i="14" s="1"/>
  <c r="AJ14" i="14"/>
  <c r="BE14" i="14" s="1"/>
  <c r="AB130" i="14" s="1"/>
  <c r="AB195" i="14" s="1"/>
  <c r="AB259" i="14" s="1"/>
  <c r="AI14" i="14"/>
  <c r="AH14" i="14"/>
  <c r="AG14" i="14"/>
  <c r="X118" i="14" s="1"/>
  <c r="X183" i="14" s="1"/>
  <c r="AF14" i="14"/>
  <c r="X114" i="14" s="1"/>
  <c r="X179" i="14" s="1"/>
  <c r="X243" i="14" s="1"/>
  <c r="AE14" i="14"/>
  <c r="AZ14" i="14" s="1"/>
  <c r="AB110" i="14" s="1"/>
  <c r="AB175" i="14" s="1"/>
  <c r="AB239" i="14" s="1"/>
  <c r="AD14" i="14"/>
  <c r="AC14" i="14"/>
  <c r="X102" i="14" s="1"/>
  <c r="X167" i="14" s="1"/>
  <c r="X231" i="14" s="1"/>
  <c r="AB14" i="14"/>
  <c r="AW14" i="14" s="1"/>
  <c r="AB98" i="14" s="1"/>
  <c r="AB163" i="14" s="1"/>
  <c r="AB227" i="14" s="1"/>
  <c r="AA14" i="14"/>
  <c r="BH13" i="14"/>
  <c r="AB141" i="14" s="1"/>
  <c r="AB206" i="14" s="1"/>
  <c r="AB270" i="14" s="1"/>
  <c r="BG13" i="14"/>
  <c r="AB137" i="14" s="1"/>
  <c r="AB202" i="14" s="1"/>
  <c r="AB266" i="14" s="1"/>
  <c r="BF13" i="14"/>
  <c r="AB133" i="14" s="1"/>
  <c r="AB198" i="14" s="1"/>
  <c r="AB262" i="14" s="1"/>
  <c r="BE13" i="14"/>
  <c r="AB129" i="14" s="1"/>
  <c r="AB194" i="14" s="1"/>
  <c r="AB258" i="14" s="1"/>
  <c r="BA13" i="14"/>
  <c r="AB113" i="14" s="1"/>
  <c r="AZ13" i="14"/>
  <c r="AB109" i="14" s="1"/>
  <c r="AB174" i="14" s="1"/>
  <c r="AB238" i="14" s="1"/>
  <c r="AV13" i="14"/>
  <c r="AB93" i="14" s="1"/>
  <c r="AB158" i="14" s="1"/>
  <c r="AB222" i="14" s="1"/>
  <c r="AP13" i="14"/>
  <c r="AO13" i="14"/>
  <c r="AN13" i="14"/>
  <c r="AM13" i="14"/>
  <c r="X141" i="14" s="1"/>
  <c r="X206" i="14" s="1"/>
  <c r="X270" i="14" s="1"/>
  <c r="AL13" i="14"/>
  <c r="AK13" i="14"/>
  <c r="AJ13" i="14"/>
  <c r="X129" i="14" s="1"/>
  <c r="X194" i="14" s="1"/>
  <c r="AI13" i="14"/>
  <c r="BD13" i="14" s="1"/>
  <c r="AB125" i="14" s="1"/>
  <c r="AB190" i="14" s="1"/>
  <c r="AB254" i="14" s="1"/>
  <c r="AH13" i="14"/>
  <c r="AG13" i="14"/>
  <c r="AF13" i="14"/>
  <c r="AE13" i="14"/>
  <c r="X109" i="14" s="1"/>
  <c r="X174" i="14" s="1"/>
  <c r="X238" i="14" s="1"/>
  <c r="AD13" i="14"/>
  <c r="AC13" i="14"/>
  <c r="AB13" i="14"/>
  <c r="AA13" i="14"/>
  <c r="CA12" i="14"/>
  <c r="BZ12" i="14"/>
  <c r="BY12" i="14"/>
  <c r="BX12" i="14"/>
  <c r="BW12" i="14"/>
  <c r="BV12" i="14"/>
  <c r="BU12" i="14"/>
  <c r="BT12" i="14"/>
  <c r="BS12" i="14"/>
  <c r="BR12" i="14"/>
  <c r="CE8" i="14" s="1"/>
  <c r="G10" i="8" s="1"/>
  <c r="BQ12" i="14"/>
  <c r="BI12" i="14"/>
  <c r="BH12" i="14"/>
  <c r="AB140" i="14" s="1"/>
  <c r="BG12" i="14"/>
  <c r="AB136" i="14" s="1"/>
  <c r="BC12" i="14"/>
  <c r="AB120" i="14" s="1"/>
  <c r="AB185" i="14" s="1"/>
  <c r="AB249" i="14" s="1"/>
  <c r="BB12" i="14"/>
  <c r="AB116" i="14" s="1"/>
  <c r="AB181" i="14" s="1"/>
  <c r="AB245" i="14" s="1"/>
  <c r="BA12" i="14"/>
  <c r="AB112" i="14" s="1"/>
  <c r="AB177" i="14" s="1"/>
  <c r="AB241" i="14" s="1"/>
  <c r="AZ12" i="14"/>
  <c r="AW12" i="14"/>
  <c r="AP12" i="14"/>
  <c r="BK12" i="14" s="1"/>
  <c r="AB152" i="14" s="1"/>
  <c r="AB217" i="14" s="1"/>
  <c r="AB281" i="14" s="1"/>
  <c r="AO12" i="14"/>
  <c r="AN12" i="14"/>
  <c r="AM12" i="14"/>
  <c r="X140" i="14" s="1"/>
  <c r="X205" i="14" s="1"/>
  <c r="X269" i="14" s="1"/>
  <c r="AL12" i="14"/>
  <c r="X136" i="14" s="1"/>
  <c r="X201" i="14" s="1"/>
  <c r="X265" i="14" s="1"/>
  <c r="AK12" i="14"/>
  <c r="BF12" i="14" s="1"/>
  <c r="AB132" i="14" s="1"/>
  <c r="AB197" i="14" s="1"/>
  <c r="AB261" i="14" s="1"/>
  <c r="AJ12" i="14"/>
  <c r="BE12" i="14" s="1"/>
  <c r="AB128" i="14" s="1"/>
  <c r="AB193" i="14" s="1"/>
  <c r="AB257" i="14" s="1"/>
  <c r="AI12" i="14"/>
  <c r="AH12" i="14"/>
  <c r="AG12" i="14"/>
  <c r="AF12" i="14"/>
  <c r="X112" i="14" s="1"/>
  <c r="X177" i="14" s="1"/>
  <c r="X241" i="14" s="1"/>
  <c r="AE12" i="14"/>
  <c r="AD12" i="14"/>
  <c r="AY12" i="14" s="1"/>
  <c r="AB104" i="14" s="1"/>
  <c r="AB169" i="14" s="1"/>
  <c r="AB233" i="14" s="1"/>
  <c r="AC12" i="14"/>
  <c r="AB12" i="14"/>
  <c r="AA12" i="14"/>
  <c r="X92" i="14" s="1"/>
  <c r="X157" i="14" s="1"/>
  <c r="BK11" i="14"/>
  <c r="S155" i="14" s="1"/>
  <c r="S220" i="14" s="1"/>
  <c r="S284" i="14" s="1"/>
  <c r="BJ11" i="14"/>
  <c r="S151" i="14" s="1"/>
  <c r="S216" i="14" s="1"/>
  <c r="S280" i="14" s="1"/>
  <c r="BI11" i="14"/>
  <c r="BH11" i="14"/>
  <c r="BF11" i="14"/>
  <c r="BD11" i="14"/>
  <c r="S127" i="14" s="1"/>
  <c r="S192" i="14" s="1"/>
  <c r="S256" i="14" s="1"/>
  <c r="BA11" i="14"/>
  <c r="S115" i="14" s="1"/>
  <c r="S180" i="14" s="1"/>
  <c r="S244" i="14" s="1"/>
  <c r="AY11" i="14"/>
  <c r="S107" i="14" s="1"/>
  <c r="S172" i="14" s="1"/>
  <c r="S236" i="14" s="1"/>
  <c r="AX11" i="14"/>
  <c r="S103" i="14" s="1"/>
  <c r="S168" i="14" s="1"/>
  <c r="S232" i="14" s="1"/>
  <c r="AW11" i="14"/>
  <c r="S99" i="14" s="1"/>
  <c r="S164" i="14" s="1"/>
  <c r="S228" i="14" s="1"/>
  <c r="AV11" i="14"/>
  <c r="S95" i="14" s="1"/>
  <c r="S160" i="14" s="1"/>
  <c r="S224" i="14" s="1"/>
  <c r="AP11" i="14"/>
  <c r="O155" i="14" s="1"/>
  <c r="AO11" i="14"/>
  <c r="O151" i="14" s="1"/>
  <c r="O216" i="14" s="1"/>
  <c r="O280" i="14" s="1"/>
  <c r="AN11" i="14"/>
  <c r="O147" i="14" s="1"/>
  <c r="O212" i="14" s="1"/>
  <c r="O276" i="14" s="1"/>
  <c r="AM11" i="14"/>
  <c r="AL11" i="14"/>
  <c r="BG11" i="14" s="1"/>
  <c r="S139" i="14" s="1"/>
  <c r="S204" i="14" s="1"/>
  <c r="S268" i="14" s="1"/>
  <c r="AK11" i="14"/>
  <c r="AJ11" i="14"/>
  <c r="AI11" i="14"/>
  <c r="O127" i="14" s="1"/>
  <c r="O192" i="14" s="1"/>
  <c r="O256" i="14" s="1"/>
  <c r="AH11" i="14"/>
  <c r="AG11" i="14"/>
  <c r="AF11" i="14"/>
  <c r="O115" i="14" s="1"/>
  <c r="O180" i="14" s="1"/>
  <c r="O244" i="14" s="1"/>
  <c r="AE11" i="14"/>
  <c r="AZ11" i="14" s="1"/>
  <c r="AD11" i="14"/>
  <c r="AC11" i="14"/>
  <c r="O103" i="14" s="1"/>
  <c r="O168" i="14" s="1"/>
  <c r="O232" i="14" s="1"/>
  <c r="AB11" i="14"/>
  <c r="AA11" i="14"/>
  <c r="CA10" i="14"/>
  <c r="BZ10" i="14"/>
  <c r="BY10" i="14"/>
  <c r="BX10" i="14"/>
  <c r="BW10" i="14"/>
  <c r="BV10" i="14"/>
  <c r="BU10" i="14"/>
  <c r="BT10" i="14"/>
  <c r="BS10" i="14"/>
  <c r="BR10" i="14"/>
  <c r="BQ10" i="14"/>
  <c r="BI10" i="14"/>
  <c r="S146" i="14" s="1"/>
  <c r="S211" i="14" s="1"/>
  <c r="S275" i="14" s="1"/>
  <c r="BH10" i="14"/>
  <c r="S142" i="14" s="1"/>
  <c r="S207" i="14" s="1"/>
  <c r="S271" i="14" s="1"/>
  <c r="BE10" i="14"/>
  <c r="S130" i="14" s="1"/>
  <c r="S195" i="14" s="1"/>
  <c r="S259" i="14" s="1"/>
  <c r="BD10" i="14"/>
  <c r="S126" i="14" s="1"/>
  <c r="S191" i="14" s="1"/>
  <c r="S255" i="14" s="1"/>
  <c r="BC10" i="14"/>
  <c r="S122" i="14" s="1"/>
  <c r="S187" i="14" s="1"/>
  <c r="S251" i="14" s="1"/>
  <c r="BB10" i="14"/>
  <c r="S118" i="14" s="1"/>
  <c r="S183" i="14" s="1"/>
  <c r="S247" i="14" s="1"/>
  <c r="AP10" i="14"/>
  <c r="AO10" i="14"/>
  <c r="BJ10" i="14" s="1"/>
  <c r="AN10" i="14"/>
  <c r="O146" i="14" s="1"/>
  <c r="O211" i="14" s="1"/>
  <c r="O275" i="14" s="1"/>
  <c r="AM10" i="14"/>
  <c r="O142" i="14" s="1"/>
  <c r="O207" i="14" s="1"/>
  <c r="AL10" i="14"/>
  <c r="AK10" i="14"/>
  <c r="AJ10" i="14"/>
  <c r="O130" i="14" s="1"/>
  <c r="O195" i="14" s="1"/>
  <c r="O259" i="14" s="1"/>
  <c r="AI10" i="14"/>
  <c r="AH10" i="14"/>
  <c r="AG10" i="14"/>
  <c r="AF10" i="14"/>
  <c r="BA10" i="14" s="1"/>
  <c r="S114" i="14" s="1"/>
  <c r="S179" i="14" s="1"/>
  <c r="S243" i="14" s="1"/>
  <c r="AE10" i="14"/>
  <c r="AD10" i="14"/>
  <c r="AY10" i="14" s="1"/>
  <c r="S106" i="14" s="1"/>
  <c r="AC10" i="14"/>
  <c r="AB10" i="14"/>
  <c r="AA10" i="14"/>
  <c r="AV10" i="14" s="1"/>
  <c r="S94" i="14" s="1"/>
  <c r="S159" i="14" s="1"/>
  <c r="S223" i="14" s="1"/>
  <c r="CE9" i="14"/>
  <c r="CC9" i="14"/>
  <c r="BK9" i="14"/>
  <c r="BJ9" i="14"/>
  <c r="S149" i="14" s="1"/>
  <c r="S214" i="14" s="1"/>
  <c r="S278" i="14" s="1"/>
  <c r="BF9" i="14"/>
  <c r="S133" i="14" s="1"/>
  <c r="S198" i="14" s="1"/>
  <c r="S262" i="14" s="1"/>
  <c r="BD9" i="14"/>
  <c r="S125" i="14" s="1"/>
  <c r="S190" i="14" s="1"/>
  <c r="S254" i="14" s="1"/>
  <c r="BA9" i="14"/>
  <c r="S113" i="14" s="1"/>
  <c r="S178" i="14" s="1"/>
  <c r="S242" i="14" s="1"/>
  <c r="AZ9" i="14"/>
  <c r="S109" i="14" s="1"/>
  <c r="S174" i="14" s="1"/>
  <c r="S238" i="14" s="1"/>
  <c r="AY9" i="14"/>
  <c r="S105" i="14" s="1"/>
  <c r="S170" i="14" s="1"/>
  <c r="S234" i="14" s="1"/>
  <c r="AX9" i="14"/>
  <c r="AP9" i="14"/>
  <c r="AO9" i="14"/>
  <c r="AN9" i="14"/>
  <c r="BI9" i="14" s="1"/>
  <c r="S145" i="14" s="1"/>
  <c r="S210" i="14" s="1"/>
  <c r="S274" i="14" s="1"/>
  <c r="AM9" i="14"/>
  <c r="BH9" i="14" s="1"/>
  <c r="S141" i="14" s="1"/>
  <c r="S206" i="14" s="1"/>
  <c r="S270" i="14" s="1"/>
  <c r="AL9" i="14"/>
  <c r="AK9" i="14"/>
  <c r="AJ9" i="14"/>
  <c r="O129" i="14" s="1"/>
  <c r="O194" i="14" s="1"/>
  <c r="O258" i="14" s="1"/>
  <c r="AI9" i="14"/>
  <c r="O125" i="14" s="1"/>
  <c r="AH9" i="14"/>
  <c r="BC9" i="14" s="1"/>
  <c r="S121" i="14" s="1"/>
  <c r="S186" i="14" s="1"/>
  <c r="S250" i="14" s="1"/>
  <c r="AG9" i="14"/>
  <c r="BB9" i="14" s="1"/>
  <c r="S117" i="14" s="1"/>
  <c r="S182" i="14" s="1"/>
  <c r="S246" i="14" s="1"/>
  <c r="AF9" i="14"/>
  <c r="O113" i="14" s="1"/>
  <c r="O178" i="14" s="1"/>
  <c r="O242" i="14" s="1"/>
  <c r="AE9" i="14"/>
  <c r="AD9" i="14"/>
  <c r="O105" i="14" s="1"/>
  <c r="O170" i="14" s="1"/>
  <c r="O234" i="14" s="1"/>
  <c r="AC9" i="14"/>
  <c r="AB9" i="14"/>
  <c r="AW9" i="14" s="1"/>
  <c r="S97" i="14" s="1"/>
  <c r="AA9" i="14"/>
  <c r="CA8" i="14"/>
  <c r="BZ8" i="14"/>
  <c r="BY8" i="14"/>
  <c r="BX8" i="14"/>
  <c r="BW8" i="14"/>
  <c r="BV8" i="14"/>
  <c r="BU8" i="14"/>
  <c r="BT8" i="14"/>
  <c r="BS8" i="14"/>
  <c r="BR8" i="14"/>
  <c r="BQ8" i="14"/>
  <c r="BI8" i="14"/>
  <c r="S144" i="14" s="1"/>
  <c r="S209" i="14" s="1"/>
  <c r="S273" i="14" s="1"/>
  <c r="BH8" i="14"/>
  <c r="S140" i="14" s="1"/>
  <c r="S205" i="14" s="1"/>
  <c r="S269" i="14" s="1"/>
  <c r="BG8" i="14"/>
  <c r="S136" i="14" s="1"/>
  <c r="S201" i="14" s="1"/>
  <c r="S265" i="14" s="1"/>
  <c r="BF8" i="14"/>
  <c r="S132" i="14" s="1"/>
  <c r="S197" i="14" s="1"/>
  <c r="S261" i="14" s="1"/>
  <c r="BE8" i="14"/>
  <c r="AV8" i="14"/>
  <c r="S92" i="14" s="1"/>
  <c r="S157" i="14" s="1"/>
  <c r="S221" i="14" s="1"/>
  <c r="AP8" i="14"/>
  <c r="AO8" i="14"/>
  <c r="AN8" i="14"/>
  <c r="O144" i="14" s="1"/>
  <c r="O209" i="14" s="1"/>
  <c r="O273" i="14" s="1"/>
  <c r="AM8" i="14"/>
  <c r="AL8" i="14"/>
  <c r="O136" i="14" s="1"/>
  <c r="O201" i="14" s="1"/>
  <c r="O265" i="14" s="1"/>
  <c r="AK8" i="14"/>
  <c r="O132" i="14" s="1"/>
  <c r="O197" i="14" s="1"/>
  <c r="O261" i="14" s="1"/>
  <c r="AJ8" i="14"/>
  <c r="AI8" i="14"/>
  <c r="BD8" i="14" s="1"/>
  <c r="S124" i="14" s="1"/>
  <c r="AH8" i="14"/>
  <c r="AG8" i="14"/>
  <c r="BB8" i="14" s="1"/>
  <c r="AF8" i="14"/>
  <c r="BA8" i="14" s="1"/>
  <c r="S112" i="14" s="1"/>
  <c r="S177" i="14" s="1"/>
  <c r="S241" i="14" s="1"/>
  <c r="AE8" i="14"/>
  <c r="AD8" i="14"/>
  <c r="AC8" i="14"/>
  <c r="O100" i="14" s="1"/>
  <c r="O165" i="14" s="1"/>
  <c r="O229" i="14" s="1"/>
  <c r="AB8" i="14"/>
  <c r="AW8" i="14" s="1"/>
  <c r="S96" i="14" s="1"/>
  <c r="S161" i="14" s="1"/>
  <c r="S225" i="14" s="1"/>
  <c r="AA8" i="14"/>
  <c r="BI7" i="14"/>
  <c r="I147" i="14" s="1"/>
  <c r="I212" i="14" s="1"/>
  <c r="I276" i="14" s="1"/>
  <c r="BH7" i="14"/>
  <c r="I143" i="14" s="1"/>
  <c r="I208" i="14" s="1"/>
  <c r="I272" i="14" s="1"/>
  <c r="BE7" i="14"/>
  <c r="I131" i="14" s="1"/>
  <c r="I196" i="14" s="1"/>
  <c r="I260" i="14" s="1"/>
  <c r="BD7" i="14"/>
  <c r="BC7" i="14"/>
  <c r="I123" i="14" s="1"/>
  <c r="I188" i="14" s="1"/>
  <c r="I252" i="14" s="1"/>
  <c r="BB7" i="14"/>
  <c r="AP7" i="14"/>
  <c r="AO7" i="14"/>
  <c r="AN7" i="14"/>
  <c r="E147" i="14" s="1"/>
  <c r="E212" i="14" s="1"/>
  <c r="AM7" i="14"/>
  <c r="E143" i="14" s="1"/>
  <c r="E208" i="14" s="1"/>
  <c r="AL7" i="14"/>
  <c r="AK7" i="14"/>
  <c r="AJ7" i="14"/>
  <c r="AI7" i="14"/>
  <c r="E127" i="14" s="1"/>
  <c r="E192" i="14" s="1"/>
  <c r="AH7" i="14"/>
  <c r="E123" i="14" s="1"/>
  <c r="E188" i="14" s="1"/>
  <c r="E252" i="14" s="1"/>
  <c r="D252" i="14" s="1"/>
  <c r="AG7" i="14"/>
  <c r="AF7" i="14"/>
  <c r="BA7" i="14" s="1"/>
  <c r="AE7" i="14"/>
  <c r="AZ7" i="14" s="1"/>
  <c r="I111" i="14" s="1"/>
  <c r="I176" i="14" s="1"/>
  <c r="I240" i="14" s="1"/>
  <c r="AD7" i="14"/>
  <c r="AC7" i="14"/>
  <c r="AB7" i="14"/>
  <c r="E99" i="14" s="1"/>
  <c r="E164" i="14" s="1"/>
  <c r="AA7" i="14"/>
  <c r="CE6" i="14"/>
  <c r="E10" i="9" s="1"/>
  <c r="CA6" i="14"/>
  <c r="BZ6" i="14"/>
  <c r="BY6" i="14"/>
  <c r="BX6" i="14"/>
  <c r="BW6" i="14"/>
  <c r="BV6" i="14"/>
  <c r="BU6" i="14"/>
  <c r="BT6" i="14"/>
  <c r="BS6" i="14"/>
  <c r="BR6" i="14"/>
  <c r="BQ6" i="14"/>
  <c r="BK6" i="14"/>
  <c r="I154" i="14" s="1"/>
  <c r="I219" i="14" s="1"/>
  <c r="I283" i="14" s="1"/>
  <c r="BJ6" i="14"/>
  <c r="I150" i="14" s="1"/>
  <c r="I215" i="14" s="1"/>
  <c r="I279" i="14" s="1"/>
  <c r="BH6" i="14"/>
  <c r="I142" i="14" s="1"/>
  <c r="I207" i="14" s="1"/>
  <c r="I271" i="14" s="1"/>
  <c r="BG6" i="14"/>
  <c r="I138" i="14" s="1"/>
  <c r="I203" i="14" s="1"/>
  <c r="I267" i="14" s="1"/>
  <c r="BC6" i="14"/>
  <c r="I122" i="14" s="1"/>
  <c r="I187" i="14" s="1"/>
  <c r="I251" i="14" s="1"/>
  <c r="BA6" i="14"/>
  <c r="I114" i="14" s="1"/>
  <c r="I179" i="14" s="1"/>
  <c r="I243" i="14" s="1"/>
  <c r="AX6" i="14"/>
  <c r="I102" i="14" s="1"/>
  <c r="I167" i="14" s="1"/>
  <c r="I231" i="14" s="1"/>
  <c r="AV6" i="14"/>
  <c r="I94" i="14" s="1"/>
  <c r="I159" i="14" s="1"/>
  <c r="I223" i="14" s="1"/>
  <c r="AP6" i="14"/>
  <c r="E154" i="14" s="1"/>
  <c r="E219" i="14" s="1"/>
  <c r="AO6" i="14"/>
  <c r="E150" i="14" s="1"/>
  <c r="E215" i="14" s="1"/>
  <c r="AN6" i="14"/>
  <c r="BI6" i="14" s="1"/>
  <c r="I146" i="14" s="1"/>
  <c r="I211" i="14" s="1"/>
  <c r="I275" i="14" s="1"/>
  <c r="AM6" i="14"/>
  <c r="E142" i="14" s="1"/>
  <c r="E207" i="14" s="1"/>
  <c r="AL6" i="14"/>
  <c r="AK6" i="14"/>
  <c r="BF6" i="14" s="1"/>
  <c r="I134" i="14" s="1"/>
  <c r="I199" i="14" s="1"/>
  <c r="I263" i="14" s="1"/>
  <c r="AJ6" i="14"/>
  <c r="AI6" i="14"/>
  <c r="AH6" i="14"/>
  <c r="AG6" i="14"/>
  <c r="E118" i="14" s="1"/>
  <c r="E183" i="14" s="1"/>
  <c r="AF6" i="14"/>
  <c r="AE6" i="14"/>
  <c r="AD6" i="14"/>
  <c r="E106" i="14" s="1"/>
  <c r="E171" i="14" s="1"/>
  <c r="E235" i="14" s="1"/>
  <c r="D235" i="14" s="1"/>
  <c r="AC6" i="14"/>
  <c r="AB6" i="14"/>
  <c r="AW6" i="14" s="1"/>
  <c r="I98" i="14" s="1"/>
  <c r="I163" i="14" s="1"/>
  <c r="I227" i="14" s="1"/>
  <c r="AA6" i="14"/>
  <c r="E94" i="14" s="1"/>
  <c r="E159" i="14" s="1"/>
  <c r="BK5" i="14"/>
  <c r="I153" i="14" s="1"/>
  <c r="BJ5" i="14"/>
  <c r="I149" i="14" s="1"/>
  <c r="BE5" i="14"/>
  <c r="I129" i="14" s="1"/>
  <c r="I194" i="14" s="1"/>
  <c r="I258" i="14" s="1"/>
  <c r="BD5" i="14"/>
  <c r="I125" i="14" s="1"/>
  <c r="BC5" i="14"/>
  <c r="I121" i="14" s="1"/>
  <c r="I186" i="14" s="1"/>
  <c r="I250" i="14" s="1"/>
  <c r="AX5" i="14"/>
  <c r="I101" i="14" s="1"/>
  <c r="I166" i="14" s="1"/>
  <c r="I230" i="14" s="1"/>
  <c r="AV5" i="14"/>
  <c r="I93" i="14" s="1"/>
  <c r="I158" i="14" s="1"/>
  <c r="I222" i="14" s="1"/>
  <c r="AP5" i="14"/>
  <c r="AO5" i="14"/>
  <c r="AN5" i="14"/>
  <c r="AM5" i="14"/>
  <c r="BH5" i="14" s="1"/>
  <c r="I141" i="14" s="1"/>
  <c r="I206" i="14" s="1"/>
  <c r="I270" i="14" s="1"/>
  <c r="AL5" i="14"/>
  <c r="E137" i="14" s="1"/>
  <c r="E202" i="14" s="1"/>
  <c r="AK5" i="14"/>
  <c r="BF5" i="14" s="1"/>
  <c r="AJ5" i="14"/>
  <c r="E129" i="14" s="1"/>
  <c r="E194" i="14" s="1"/>
  <c r="AI5" i="14"/>
  <c r="AH5" i="14"/>
  <c r="AG5" i="14"/>
  <c r="BB5" i="14" s="1"/>
  <c r="I117" i="14" s="1"/>
  <c r="I182" i="14" s="1"/>
  <c r="I246" i="14" s="1"/>
  <c r="AF5" i="14"/>
  <c r="AE5" i="14"/>
  <c r="AD5" i="14"/>
  <c r="AY5" i="14" s="1"/>
  <c r="I105" i="14" s="1"/>
  <c r="I170" i="14" s="1"/>
  <c r="I234" i="14" s="1"/>
  <c r="AC5" i="14"/>
  <c r="AB5" i="14"/>
  <c r="AA5" i="14"/>
  <c r="E93" i="14" s="1"/>
  <c r="E158" i="14" s="1"/>
  <c r="E222" i="14" s="1"/>
  <c r="D222" i="14" s="1"/>
  <c r="CC4" i="14"/>
  <c r="CB4" i="14"/>
  <c r="CA4" i="14"/>
  <c r="BZ4" i="14"/>
  <c r="BY4" i="14"/>
  <c r="BX4" i="14"/>
  <c r="BW4" i="14"/>
  <c r="BV4" i="14"/>
  <c r="BU4" i="14"/>
  <c r="BT4" i="14"/>
  <c r="BS4" i="14"/>
  <c r="BR4" i="14"/>
  <c r="BQ4" i="14"/>
  <c r="BH4" i="14"/>
  <c r="I140" i="14" s="1"/>
  <c r="I205" i="14" s="1"/>
  <c r="I269" i="14" s="1"/>
  <c r="BG4" i="14"/>
  <c r="I136" i="14" s="1"/>
  <c r="I201" i="14" s="1"/>
  <c r="I265" i="14" s="1"/>
  <c r="BF4" i="14"/>
  <c r="I132" i="14" s="1"/>
  <c r="I197" i="14" s="1"/>
  <c r="I261" i="14" s="1"/>
  <c r="BC4" i="14"/>
  <c r="I120" i="14" s="1"/>
  <c r="I185" i="14" s="1"/>
  <c r="I249" i="14" s="1"/>
  <c r="BB4" i="14"/>
  <c r="I116" i="14" s="1"/>
  <c r="I181" i="14" s="1"/>
  <c r="I245" i="14" s="1"/>
  <c r="BA4" i="14"/>
  <c r="AZ4" i="14"/>
  <c r="I108" i="14" s="1"/>
  <c r="AV4" i="14"/>
  <c r="AP4" i="14"/>
  <c r="BK4" i="14" s="1"/>
  <c r="I152" i="14" s="1"/>
  <c r="I217" i="14" s="1"/>
  <c r="I281" i="14" s="1"/>
  <c r="AO4" i="14"/>
  <c r="AN4" i="14"/>
  <c r="BI4" i="14" s="1"/>
  <c r="I144" i="14" s="1"/>
  <c r="I209" i="14" s="1"/>
  <c r="I273" i="14" s="1"/>
  <c r="AM4" i="14"/>
  <c r="AL4" i="14"/>
  <c r="AK4" i="14"/>
  <c r="AJ4" i="14"/>
  <c r="AI4" i="14"/>
  <c r="AH4" i="14"/>
  <c r="AG4" i="14"/>
  <c r="E116" i="14" s="1"/>
  <c r="E181" i="14" s="1"/>
  <c r="AF4" i="14"/>
  <c r="E112" i="14" s="1"/>
  <c r="AE4" i="14"/>
  <c r="AD4" i="14"/>
  <c r="E104" i="14" s="1"/>
  <c r="E169" i="14" s="1"/>
  <c r="AC4" i="14"/>
  <c r="AB4" i="14"/>
  <c r="AA4" i="14"/>
  <c r="A2" i="14"/>
  <c r="W405" i="12"/>
  <c r="S405" i="12"/>
  <c r="X404" i="12"/>
  <c r="X403" i="12"/>
  <c r="W403" i="12"/>
  <c r="Y402" i="12"/>
  <c r="Z401" i="12"/>
  <c r="Y401" i="12"/>
  <c r="S401" i="12"/>
  <c r="S400" i="12"/>
  <c r="Y396" i="12"/>
  <c r="X396" i="12"/>
  <c r="W396" i="12"/>
  <c r="Y395" i="12"/>
  <c r="X395" i="12"/>
  <c r="W395" i="12"/>
  <c r="Z394" i="12"/>
  <c r="Y394" i="12"/>
  <c r="Z393" i="12"/>
  <c r="X393" i="12"/>
  <c r="Z392" i="12"/>
  <c r="Z391" i="12"/>
  <c r="Y391" i="12"/>
  <c r="S387" i="12"/>
  <c r="W386" i="12"/>
  <c r="S382" i="12"/>
  <c r="O382" i="12"/>
  <c r="W400" i="12" s="1"/>
  <c r="AB379" i="12"/>
  <c r="D241" i="12"/>
  <c r="I239" i="12"/>
  <c r="U238" i="12"/>
  <c r="F238" i="12"/>
  <c r="G237" i="12"/>
  <c r="C236" i="12"/>
  <c r="B236" i="12"/>
  <c r="O234" i="12"/>
  <c r="I234" i="12"/>
  <c r="G234" i="12"/>
  <c r="W233" i="12"/>
  <c r="E233" i="12"/>
  <c r="W232" i="12"/>
  <c r="W231" i="12"/>
  <c r="O231" i="12"/>
  <c r="C231" i="12"/>
  <c r="B231" i="12" s="1"/>
  <c r="W230" i="12"/>
  <c r="D230" i="12"/>
  <c r="W229" i="12"/>
  <c r="N229" i="12"/>
  <c r="M229" i="12" s="1"/>
  <c r="W228" i="12"/>
  <c r="S228" i="12"/>
  <c r="C228" i="12"/>
  <c r="B228" i="12" s="1"/>
  <c r="W227" i="12"/>
  <c r="W226" i="12"/>
  <c r="S226" i="12"/>
  <c r="Q226" i="12"/>
  <c r="H226" i="12"/>
  <c r="W225" i="12"/>
  <c r="I225" i="12"/>
  <c r="W224" i="12"/>
  <c r="Q224" i="12"/>
  <c r="W223" i="12"/>
  <c r="W222" i="12"/>
  <c r="F222" i="12"/>
  <c r="W221" i="12"/>
  <c r="N221" i="12"/>
  <c r="M221" i="12" s="1"/>
  <c r="W220" i="12"/>
  <c r="P220" i="12"/>
  <c r="O220" i="12"/>
  <c r="N220" i="12"/>
  <c r="M220" i="12" s="1"/>
  <c r="D220" i="12"/>
  <c r="W219" i="12"/>
  <c r="N218" i="12"/>
  <c r="M218" i="12" s="1"/>
  <c r="W217" i="12"/>
  <c r="R217" i="12"/>
  <c r="W216" i="12"/>
  <c r="H216" i="12"/>
  <c r="W215" i="12"/>
  <c r="Q215" i="12"/>
  <c r="W214" i="12"/>
  <c r="P214" i="12"/>
  <c r="I214" i="12"/>
  <c r="H214" i="12"/>
  <c r="T212" i="12"/>
  <c r="S210" i="12"/>
  <c r="F209" i="12"/>
  <c r="Q205" i="12"/>
  <c r="R203" i="12"/>
  <c r="Q203" i="12"/>
  <c r="G202" i="12"/>
  <c r="E200" i="12"/>
  <c r="D199" i="12"/>
  <c r="M196" i="12"/>
  <c r="T191" i="12"/>
  <c r="S191" i="12"/>
  <c r="G188" i="12"/>
  <c r="F188" i="12"/>
  <c r="P186" i="12"/>
  <c r="T184" i="12"/>
  <c r="H183" i="12"/>
  <c r="Q181" i="12"/>
  <c r="B181" i="12"/>
  <c r="Q179" i="12"/>
  <c r="C179" i="12"/>
  <c r="B179" i="12" s="1"/>
  <c r="G177" i="12"/>
  <c r="G241" i="12" s="1"/>
  <c r="E176" i="12"/>
  <c r="E240" i="12" s="1"/>
  <c r="S175" i="12"/>
  <c r="S239" i="12" s="1"/>
  <c r="D175" i="12"/>
  <c r="D239" i="12" s="1"/>
  <c r="U172" i="12"/>
  <c r="U236" i="12" s="1"/>
  <c r="J172" i="12"/>
  <c r="J236" i="12" s="1"/>
  <c r="F172" i="12"/>
  <c r="F236" i="12" s="1"/>
  <c r="P170" i="12"/>
  <c r="P234" i="12" s="1"/>
  <c r="N169" i="12"/>
  <c r="M169" i="12" s="1"/>
  <c r="G169" i="12"/>
  <c r="G233" i="12" s="1"/>
  <c r="S168" i="12"/>
  <c r="S232" i="12" s="1"/>
  <c r="O168" i="12"/>
  <c r="O232" i="12" s="1"/>
  <c r="J167" i="12"/>
  <c r="J231" i="12" s="1"/>
  <c r="H167" i="12"/>
  <c r="H231" i="12" s="1"/>
  <c r="E167" i="12"/>
  <c r="E231" i="12" s="1"/>
  <c r="C167" i="12"/>
  <c r="B167" i="12" s="1"/>
  <c r="Q165" i="12"/>
  <c r="Q229" i="12" s="1"/>
  <c r="O165" i="12"/>
  <c r="O229" i="12" s="1"/>
  <c r="E164" i="12"/>
  <c r="E228" i="12" s="1"/>
  <c r="R163" i="12"/>
  <c r="R227" i="12" s="1"/>
  <c r="Q163" i="12"/>
  <c r="Q227" i="12" s="1"/>
  <c r="J163" i="12"/>
  <c r="J227" i="12" s="1"/>
  <c r="H162" i="12"/>
  <c r="D162" i="12"/>
  <c r="D226" i="12" s="1"/>
  <c r="O161" i="12"/>
  <c r="O225" i="12" s="1"/>
  <c r="N161" i="12"/>
  <c r="O160" i="12"/>
  <c r="O224" i="12" s="1"/>
  <c r="N160" i="12"/>
  <c r="N224" i="12" s="1"/>
  <c r="M224" i="12" s="1"/>
  <c r="D160" i="12"/>
  <c r="D224" i="12" s="1"/>
  <c r="H158" i="12"/>
  <c r="H222" i="12" s="1"/>
  <c r="F157" i="12"/>
  <c r="F221" i="12" s="1"/>
  <c r="U156" i="12"/>
  <c r="U220" i="12" s="1"/>
  <c r="T156" i="12"/>
  <c r="T220" i="12" s="1"/>
  <c r="M156" i="12"/>
  <c r="J156" i="12"/>
  <c r="J220" i="12" s="1"/>
  <c r="S154" i="12"/>
  <c r="S218" i="12" s="1"/>
  <c r="D154" i="12"/>
  <c r="D218" i="12" s="1"/>
  <c r="F153" i="12"/>
  <c r="F217" i="12" s="1"/>
  <c r="T152" i="12"/>
  <c r="T216" i="12" s="1"/>
  <c r="N152" i="12"/>
  <c r="N216" i="12" s="1"/>
  <c r="M216" i="12" s="1"/>
  <c r="D152" i="12"/>
  <c r="D216" i="12" s="1"/>
  <c r="S151" i="12"/>
  <c r="S215" i="12" s="1"/>
  <c r="R151" i="12"/>
  <c r="R215" i="12" s="1"/>
  <c r="J151" i="12"/>
  <c r="J215" i="12" s="1"/>
  <c r="E151" i="12"/>
  <c r="E215" i="12" s="1"/>
  <c r="D151" i="12"/>
  <c r="D215" i="12" s="1"/>
  <c r="P150" i="12"/>
  <c r="I150" i="12"/>
  <c r="H150" i="12"/>
  <c r="U149" i="12"/>
  <c r="U213" i="12" s="1"/>
  <c r="Q149" i="12"/>
  <c r="Q213" i="12" s="1"/>
  <c r="F149" i="12"/>
  <c r="F213" i="12" s="1"/>
  <c r="E148" i="12"/>
  <c r="E212" i="12" s="1"/>
  <c r="Q147" i="12"/>
  <c r="Q211" i="12" s="1"/>
  <c r="H146" i="12"/>
  <c r="H210" i="12" s="1"/>
  <c r="G146" i="12"/>
  <c r="G210" i="12" s="1"/>
  <c r="D146" i="12"/>
  <c r="D210" i="12" s="1"/>
  <c r="B146" i="12"/>
  <c r="U145" i="12"/>
  <c r="U209" i="12" s="1"/>
  <c r="S144" i="12"/>
  <c r="S208" i="12" s="1"/>
  <c r="O144" i="12"/>
  <c r="O208" i="12" s="1"/>
  <c r="N144" i="12"/>
  <c r="N208" i="12" s="1"/>
  <c r="M208" i="12" s="1"/>
  <c r="E144" i="12"/>
  <c r="E208" i="12" s="1"/>
  <c r="D143" i="12"/>
  <c r="D207" i="12" s="1"/>
  <c r="I142" i="12"/>
  <c r="I206" i="12" s="1"/>
  <c r="M140" i="12"/>
  <c r="Q139" i="12"/>
  <c r="C139" i="12"/>
  <c r="C203" i="12" s="1"/>
  <c r="B203" i="12" s="1"/>
  <c r="B139" i="12"/>
  <c r="S138" i="12"/>
  <c r="S202" i="12" s="1"/>
  <c r="B138" i="12"/>
  <c r="O137" i="12"/>
  <c r="O201" i="12" s="1"/>
  <c r="H137" i="12"/>
  <c r="H201" i="12" s="1"/>
  <c r="E136" i="12"/>
  <c r="B136" i="12"/>
  <c r="T135" i="12"/>
  <c r="T199" i="12" s="1"/>
  <c r="D135" i="12"/>
  <c r="O134" i="12"/>
  <c r="O198" i="12" s="1"/>
  <c r="J134" i="12"/>
  <c r="J198" i="12" s="1"/>
  <c r="I134" i="12"/>
  <c r="I198" i="12" s="1"/>
  <c r="Q133" i="12"/>
  <c r="Q197" i="12" s="1"/>
  <c r="P133" i="12"/>
  <c r="P197" i="12" s="1"/>
  <c r="M132" i="12"/>
  <c r="F132" i="12"/>
  <c r="F196" i="12" s="1"/>
  <c r="E132" i="12"/>
  <c r="E196" i="12" s="1"/>
  <c r="S130" i="12"/>
  <c r="S194" i="12" s="1"/>
  <c r="R130" i="12"/>
  <c r="R194" i="12" s="1"/>
  <c r="P130" i="12"/>
  <c r="P194" i="12" s="1"/>
  <c r="G130" i="12"/>
  <c r="G194" i="12" s="1"/>
  <c r="F130" i="12"/>
  <c r="F194" i="12" s="1"/>
  <c r="D130" i="12"/>
  <c r="D194" i="12" s="1"/>
  <c r="H129" i="12"/>
  <c r="H193" i="12" s="1"/>
  <c r="G129" i="12"/>
  <c r="G193" i="12" s="1"/>
  <c r="S127" i="12"/>
  <c r="D127" i="12"/>
  <c r="D191" i="12" s="1"/>
  <c r="C127" i="12"/>
  <c r="F125" i="12"/>
  <c r="F189" i="12" s="1"/>
  <c r="E125" i="12"/>
  <c r="E189" i="12" s="1"/>
  <c r="G124" i="12"/>
  <c r="F124" i="12"/>
  <c r="Q123" i="12"/>
  <c r="Q187" i="12" s="1"/>
  <c r="P122" i="12"/>
  <c r="O121" i="12"/>
  <c r="O185" i="12" s="1"/>
  <c r="H121" i="12"/>
  <c r="H185" i="12" s="1"/>
  <c r="O120" i="12"/>
  <c r="O184" i="12" s="1"/>
  <c r="E120" i="12"/>
  <c r="E184" i="12" s="1"/>
  <c r="T119" i="12"/>
  <c r="T183" i="12" s="1"/>
  <c r="H119" i="12"/>
  <c r="C119" i="12"/>
  <c r="B119" i="12" s="1"/>
  <c r="P118" i="12"/>
  <c r="P182" i="12" s="1"/>
  <c r="O118" i="12"/>
  <c r="O182" i="12" s="1"/>
  <c r="I118" i="12"/>
  <c r="I182" i="12" s="1"/>
  <c r="Q117" i="12"/>
  <c r="B117" i="12"/>
  <c r="U116" i="12"/>
  <c r="U180" i="12" s="1"/>
  <c r="J116" i="12"/>
  <c r="J180" i="12" s="1"/>
  <c r="Q115" i="12"/>
  <c r="C115" i="12"/>
  <c r="B115" i="12" s="1"/>
  <c r="R114" i="12"/>
  <c r="R178" i="12" s="1"/>
  <c r="P114" i="12"/>
  <c r="P178" i="12" s="1"/>
  <c r="I108" i="12"/>
  <c r="H108" i="12"/>
  <c r="F177" i="12" s="1"/>
  <c r="F241" i="12" s="1"/>
  <c r="G108" i="12"/>
  <c r="E177" i="12" s="1"/>
  <c r="E241" i="12" s="1"/>
  <c r="R107" i="12"/>
  <c r="R176" i="12" s="1"/>
  <c r="R240" i="12" s="1"/>
  <c r="Q107" i="12"/>
  <c r="Q176" i="12" s="1"/>
  <c r="Q240" i="12" s="1"/>
  <c r="L107" i="12"/>
  <c r="J176" i="12" s="1"/>
  <c r="J240" i="12" s="1"/>
  <c r="P106" i="12"/>
  <c r="P175" i="12" s="1"/>
  <c r="P239" i="12" s="1"/>
  <c r="O106" i="12"/>
  <c r="O175" i="12" s="1"/>
  <c r="O239" i="12" s="1"/>
  <c r="G106" i="12"/>
  <c r="E175" i="12" s="1"/>
  <c r="E239" i="12" s="1"/>
  <c r="E106" i="12"/>
  <c r="C175" i="12" s="1"/>
  <c r="Q105" i="12"/>
  <c r="Q174" i="12" s="1"/>
  <c r="Q238" i="12" s="1"/>
  <c r="H105" i="12"/>
  <c r="F174" i="12" s="1"/>
  <c r="E105" i="12"/>
  <c r="C174" i="12" s="1"/>
  <c r="K104" i="12"/>
  <c r="I173" i="12" s="1"/>
  <c r="I237" i="12" s="1"/>
  <c r="H104" i="12"/>
  <c r="F173" i="12" s="1"/>
  <c r="F237" i="12" s="1"/>
  <c r="G104" i="12"/>
  <c r="E173" i="12" s="1"/>
  <c r="E237" i="12" s="1"/>
  <c r="F104" i="12"/>
  <c r="D173" i="12" s="1"/>
  <c r="D237" i="12" s="1"/>
  <c r="O103" i="12"/>
  <c r="O172" i="12" s="1"/>
  <c r="O236" i="12" s="1"/>
  <c r="S102" i="12"/>
  <c r="S171" i="12" s="1"/>
  <c r="S235" i="12" s="1"/>
  <c r="O102" i="12"/>
  <c r="O171" i="12" s="1"/>
  <c r="O235" i="12" s="1"/>
  <c r="N102" i="12"/>
  <c r="N171" i="12" s="1"/>
  <c r="E102" i="12"/>
  <c r="C171" i="12" s="1"/>
  <c r="C235" i="12" s="1"/>
  <c r="B235" i="12" s="1"/>
  <c r="U101" i="12"/>
  <c r="U170" i="12" s="1"/>
  <c r="U234" i="12" s="1"/>
  <c r="Q101" i="12"/>
  <c r="Q170" i="12" s="1"/>
  <c r="Q234" i="12" s="1"/>
  <c r="P101" i="12"/>
  <c r="G101" i="12"/>
  <c r="E170" i="12" s="1"/>
  <c r="E234" i="12" s="1"/>
  <c r="U100" i="12"/>
  <c r="U169" i="12" s="1"/>
  <c r="U233" i="12" s="1"/>
  <c r="R100" i="12"/>
  <c r="R169" i="12" s="1"/>
  <c r="R233" i="12" s="1"/>
  <c r="Q100" i="12"/>
  <c r="Q169" i="12" s="1"/>
  <c r="Q233" i="12" s="1"/>
  <c r="N100" i="12"/>
  <c r="K100" i="12"/>
  <c r="I169" i="12" s="1"/>
  <c r="I233" i="12" s="1"/>
  <c r="J100" i="12"/>
  <c r="H169" i="12" s="1"/>
  <c r="H233" i="12" s="1"/>
  <c r="G100" i="12"/>
  <c r="E169" i="12" s="1"/>
  <c r="E100" i="12"/>
  <c r="C169" i="12" s="1"/>
  <c r="O99" i="12"/>
  <c r="L99" i="12"/>
  <c r="J168" i="12" s="1"/>
  <c r="J232" i="12" s="1"/>
  <c r="I99" i="12"/>
  <c r="G168" i="12" s="1"/>
  <c r="G232" i="12" s="1"/>
  <c r="H99" i="12"/>
  <c r="F168" i="12" s="1"/>
  <c r="F232" i="12" s="1"/>
  <c r="G99" i="12"/>
  <c r="E168" i="12" s="1"/>
  <c r="E232" i="12" s="1"/>
  <c r="R98" i="12"/>
  <c r="R167" i="12" s="1"/>
  <c r="R231" i="12" s="1"/>
  <c r="Q98" i="12"/>
  <c r="Q167" i="12" s="1"/>
  <c r="Q231" i="12" s="1"/>
  <c r="P98" i="12"/>
  <c r="P167" i="12" s="1"/>
  <c r="P231" i="12" s="1"/>
  <c r="L98" i="12"/>
  <c r="J98" i="12"/>
  <c r="H98" i="12"/>
  <c r="F167" i="12" s="1"/>
  <c r="F231" i="12" s="1"/>
  <c r="E98" i="12"/>
  <c r="U97" i="12"/>
  <c r="U166" i="12" s="1"/>
  <c r="U230" i="12" s="1"/>
  <c r="T97" i="12"/>
  <c r="T166" i="12" s="1"/>
  <c r="T230" i="12" s="1"/>
  <c r="Q97" i="12"/>
  <c r="Q166" i="12" s="1"/>
  <c r="Q230" i="12" s="1"/>
  <c r="P97" i="12"/>
  <c r="P166" i="12" s="1"/>
  <c r="P230" i="12" s="1"/>
  <c r="O97" i="12"/>
  <c r="O166" i="12" s="1"/>
  <c r="O230" i="12" s="1"/>
  <c r="N97" i="12"/>
  <c r="N166" i="12" s="1"/>
  <c r="G97" i="12"/>
  <c r="E166" i="12" s="1"/>
  <c r="E230" i="12" s="1"/>
  <c r="S96" i="12"/>
  <c r="S165" i="12" s="1"/>
  <c r="S229" i="12" s="1"/>
  <c r="Q96" i="12"/>
  <c r="H96" i="12"/>
  <c r="F165" i="12" s="1"/>
  <c r="F229" i="12" s="1"/>
  <c r="E96" i="12"/>
  <c r="C165" i="12" s="1"/>
  <c r="C229" i="12" s="1"/>
  <c r="B229" i="12" s="1"/>
  <c r="U95" i="12"/>
  <c r="U164" i="12" s="1"/>
  <c r="U228" i="12" s="1"/>
  <c r="T95" i="12"/>
  <c r="T164" i="12" s="1"/>
  <c r="T228" i="12" s="1"/>
  <c r="L95" i="12"/>
  <c r="J164" i="12" s="1"/>
  <c r="J228" i="12" s="1"/>
  <c r="H95" i="12"/>
  <c r="F164" i="12" s="1"/>
  <c r="F228" i="12" s="1"/>
  <c r="G95" i="12"/>
  <c r="P94" i="12"/>
  <c r="P163" i="12" s="1"/>
  <c r="P227" i="12" s="1"/>
  <c r="O94" i="12"/>
  <c r="O163" i="12" s="1"/>
  <c r="O227" i="12" s="1"/>
  <c r="R93" i="12"/>
  <c r="R162" i="12" s="1"/>
  <c r="R226" i="12" s="1"/>
  <c r="Q93" i="12"/>
  <c r="Q162" i="12" s="1"/>
  <c r="N93" i="12"/>
  <c r="N162" i="12" s="1"/>
  <c r="P92" i="12"/>
  <c r="P161" i="12" s="1"/>
  <c r="P225" i="12" s="1"/>
  <c r="H92" i="12"/>
  <c r="F161" i="12" s="1"/>
  <c r="F225" i="12" s="1"/>
  <c r="T91" i="12"/>
  <c r="T160" i="12" s="1"/>
  <c r="T224" i="12" s="1"/>
  <c r="R91" i="12"/>
  <c r="R160" i="12" s="1"/>
  <c r="R224" i="12" s="1"/>
  <c r="O90" i="12"/>
  <c r="O159" i="12" s="1"/>
  <c r="O223" i="12" s="1"/>
  <c r="N90" i="12"/>
  <c r="N159" i="12" s="1"/>
  <c r="M159" i="12" s="1"/>
  <c r="H90" i="12"/>
  <c r="F159" i="12" s="1"/>
  <c r="F223" i="12" s="1"/>
  <c r="G90" i="12"/>
  <c r="E159" i="12" s="1"/>
  <c r="E223" i="12" s="1"/>
  <c r="Q89" i="12"/>
  <c r="Q158" i="12" s="1"/>
  <c r="Q222" i="12" s="1"/>
  <c r="L89" i="12"/>
  <c r="J158" i="12" s="1"/>
  <c r="J222" i="12" s="1"/>
  <c r="J89" i="12"/>
  <c r="P88" i="12"/>
  <c r="P157" i="12" s="1"/>
  <c r="P221" i="12" s="1"/>
  <c r="O88" i="12"/>
  <c r="O157" i="12" s="1"/>
  <c r="O221" i="12" s="1"/>
  <c r="N88" i="12"/>
  <c r="N157" i="12" s="1"/>
  <c r="M157" i="12" s="1"/>
  <c r="Q87" i="12"/>
  <c r="Q156" i="12" s="1"/>
  <c r="Q220" i="12" s="1"/>
  <c r="H87" i="12"/>
  <c r="F156" i="12" s="1"/>
  <c r="F220" i="12" s="1"/>
  <c r="L86" i="12"/>
  <c r="J155" i="12" s="1"/>
  <c r="J219" i="12" s="1"/>
  <c r="K86" i="12"/>
  <c r="I155" i="12" s="1"/>
  <c r="I219" i="12" s="1"/>
  <c r="H86" i="12"/>
  <c r="F155" i="12" s="1"/>
  <c r="F219" i="12" s="1"/>
  <c r="G86" i="12"/>
  <c r="E155" i="12" s="1"/>
  <c r="E219" i="12" s="1"/>
  <c r="F86" i="12"/>
  <c r="D155" i="12" s="1"/>
  <c r="D219" i="12" s="1"/>
  <c r="P85" i="12"/>
  <c r="P154" i="12" s="1"/>
  <c r="P218" i="12" s="1"/>
  <c r="R84" i="12"/>
  <c r="R153" i="12" s="1"/>
  <c r="P84" i="12"/>
  <c r="P153" i="12" s="1"/>
  <c r="P217" i="12" s="1"/>
  <c r="O84" i="12"/>
  <c r="O153" i="12" s="1"/>
  <c r="O217" i="12" s="1"/>
  <c r="N84" i="12"/>
  <c r="N153" i="12" s="1"/>
  <c r="H84" i="12"/>
  <c r="E84" i="12"/>
  <c r="C153" i="12" s="1"/>
  <c r="B153" i="12" s="1"/>
  <c r="U83" i="12"/>
  <c r="U152" i="12" s="1"/>
  <c r="U216" i="12" s="1"/>
  <c r="R83" i="12"/>
  <c r="R152" i="12" s="1"/>
  <c r="R216" i="12" s="1"/>
  <c r="Q83" i="12"/>
  <c r="Q152" i="12" s="1"/>
  <c r="Q216" i="12" s="1"/>
  <c r="P83" i="12"/>
  <c r="P152" i="12" s="1"/>
  <c r="P216" i="12" s="1"/>
  <c r="N83" i="12"/>
  <c r="H83" i="12"/>
  <c r="F152" i="12" s="1"/>
  <c r="F216" i="12" s="1"/>
  <c r="F83" i="12"/>
  <c r="U82" i="12"/>
  <c r="U151" i="12" s="1"/>
  <c r="U215" i="12" s="1"/>
  <c r="R82" i="12"/>
  <c r="O82" i="12"/>
  <c r="O151" i="12" s="1"/>
  <c r="O215" i="12" s="1"/>
  <c r="L82" i="12"/>
  <c r="H82" i="12"/>
  <c r="F151" i="12" s="1"/>
  <c r="F215" i="12" s="1"/>
  <c r="G82" i="12"/>
  <c r="U81" i="12"/>
  <c r="U150" i="12" s="1"/>
  <c r="U214" i="12" s="1"/>
  <c r="P81" i="12"/>
  <c r="O81" i="12"/>
  <c r="O150" i="12" s="1"/>
  <c r="O214" i="12" s="1"/>
  <c r="N81" i="12"/>
  <c r="N150" i="12" s="1"/>
  <c r="I81" i="12"/>
  <c r="G150" i="12" s="1"/>
  <c r="G214" i="12" s="1"/>
  <c r="H81" i="12"/>
  <c r="F150" i="12" s="1"/>
  <c r="F214" i="12" s="1"/>
  <c r="G81" i="12"/>
  <c r="E150" i="12" s="1"/>
  <c r="E214" i="12" s="1"/>
  <c r="E81" i="12"/>
  <c r="C150" i="12" s="1"/>
  <c r="C214" i="12" s="1"/>
  <c r="B214" i="12" s="1"/>
  <c r="R80" i="12"/>
  <c r="R149" i="12" s="1"/>
  <c r="R213" i="12" s="1"/>
  <c r="Q80" i="12"/>
  <c r="L80" i="12"/>
  <c r="J149" i="12" s="1"/>
  <c r="J213" i="12" s="1"/>
  <c r="H80" i="12"/>
  <c r="U79" i="12"/>
  <c r="U148" i="12" s="1"/>
  <c r="U212" i="12" s="1"/>
  <c r="T79" i="12"/>
  <c r="T148" i="12" s="1"/>
  <c r="P79" i="12"/>
  <c r="P148" i="12" s="1"/>
  <c r="P212" i="12" s="1"/>
  <c r="O79" i="12"/>
  <c r="O148" i="12" s="1"/>
  <c r="O212" i="12" s="1"/>
  <c r="N79" i="12"/>
  <c r="N148" i="12" s="1"/>
  <c r="G79" i="12"/>
  <c r="E79" i="12"/>
  <c r="C148" i="12" s="1"/>
  <c r="Q78" i="12"/>
  <c r="H78" i="12"/>
  <c r="F147" i="12" s="1"/>
  <c r="F211" i="12" s="1"/>
  <c r="G78" i="12"/>
  <c r="E147" i="12" s="1"/>
  <c r="E211" i="12" s="1"/>
  <c r="E78" i="12"/>
  <c r="C147" i="12" s="1"/>
  <c r="J77" i="12"/>
  <c r="F77" i="12"/>
  <c r="P76" i="12"/>
  <c r="P145" i="12" s="1"/>
  <c r="P209" i="12" s="1"/>
  <c r="S75" i="12"/>
  <c r="R75" i="12"/>
  <c r="R144" i="12" s="1"/>
  <c r="R208" i="12" s="1"/>
  <c r="Q75" i="12"/>
  <c r="Q144" i="12" s="1"/>
  <c r="Q208" i="12" s="1"/>
  <c r="O75" i="12"/>
  <c r="N75" i="12"/>
  <c r="E75" i="12"/>
  <c r="C144" i="12" s="1"/>
  <c r="U74" i="12"/>
  <c r="U143" i="12" s="1"/>
  <c r="U207" i="12" s="1"/>
  <c r="Q74" i="12"/>
  <c r="Q143" i="12" s="1"/>
  <c r="Q207" i="12" s="1"/>
  <c r="P74" i="12"/>
  <c r="P143" i="12" s="1"/>
  <c r="P207" i="12" s="1"/>
  <c r="G74" i="12"/>
  <c r="E143" i="12" s="1"/>
  <c r="E207" i="12" s="1"/>
  <c r="R73" i="12"/>
  <c r="R142" i="12" s="1"/>
  <c r="R206" i="12" s="1"/>
  <c r="G73" i="12"/>
  <c r="E142" i="12" s="1"/>
  <c r="E206" i="12" s="1"/>
  <c r="E73" i="12"/>
  <c r="C142" i="12" s="1"/>
  <c r="U72" i="12"/>
  <c r="U141" i="12" s="1"/>
  <c r="U205" i="12" s="1"/>
  <c r="O72" i="12"/>
  <c r="O141" i="12" s="1"/>
  <c r="O205" i="12" s="1"/>
  <c r="N72" i="12"/>
  <c r="N141" i="12" s="1"/>
  <c r="H72" i="12"/>
  <c r="F141" i="12" s="1"/>
  <c r="F205" i="12" s="1"/>
  <c r="G72" i="12"/>
  <c r="E141" i="12" s="1"/>
  <c r="E205" i="12" s="1"/>
  <c r="U70" i="12"/>
  <c r="U139" i="12" s="1"/>
  <c r="U203" i="12" s="1"/>
  <c r="Q70" i="12"/>
  <c r="P70" i="12"/>
  <c r="P139" i="12" s="1"/>
  <c r="P203" i="12" s="1"/>
  <c r="G70" i="12"/>
  <c r="E139" i="12" s="1"/>
  <c r="E203" i="12" s="1"/>
  <c r="S69" i="12"/>
  <c r="O69" i="12"/>
  <c r="O138" i="12" s="1"/>
  <c r="O202" i="12" s="1"/>
  <c r="I69" i="12"/>
  <c r="G138" i="12" s="1"/>
  <c r="H69" i="12"/>
  <c r="F138" i="12" s="1"/>
  <c r="F202" i="12" s="1"/>
  <c r="E69" i="12"/>
  <c r="C138" i="12" s="1"/>
  <c r="C202" i="12" s="1"/>
  <c r="B202" i="12" s="1"/>
  <c r="T68" i="12"/>
  <c r="T137" i="12" s="1"/>
  <c r="T201" i="12" s="1"/>
  <c r="Q68" i="12"/>
  <c r="Q137" i="12" s="1"/>
  <c r="Q201" i="12" s="1"/>
  <c r="K68" i="12"/>
  <c r="I137" i="12" s="1"/>
  <c r="I201" i="12" s="1"/>
  <c r="G68" i="12"/>
  <c r="E137" i="12" s="1"/>
  <c r="E201" i="12" s="1"/>
  <c r="P67" i="12"/>
  <c r="P136" i="12" s="1"/>
  <c r="P200" i="12" s="1"/>
  <c r="O67" i="12"/>
  <c r="O136" i="12" s="1"/>
  <c r="O200" i="12" s="1"/>
  <c r="K67" i="12"/>
  <c r="I136" i="12" s="1"/>
  <c r="I200" i="12" s="1"/>
  <c r="I67" i="12"/>
  <c r="G136" i="12" s="1"/>
  <c r="G200" i="12" s="1"/>
  <c r="H67" i="12"/>
  <c r="F136" i="12" s="1"/>
  <c r="F200" i="12" s="1"/>
  <c r="E67" i="12"/>
  <c r="C136" i="12" s="1"/>
  <c r="C200" i="12" s="1"/>
  <c r="B200" i="12" s="1"/>
  <c r="S66" i="12"/>
  <c r="S135" i="12" s="1"/>
  <c r="S199" i="12" s="1"/>
  <c r="Q66" i="12"/>
  <c r="Q135" i="12" s="1"/>
  <c r="Q199" i="12" s="1"/>
  <c r="P66" i="12"/>
  <c r="P135" i="12" s="1"/>
  <c r="P199" i="12" s="1"/>
  <c r="N66" i="12"/>
  <c r="N135" i="12" s="1"/>
  <c r="F66" i="12"/>
  <c r="E66" i="12"/>
  <c r="C135" i="12" s="1"/>
  <c r="B135" i="12" s="1"/>
  <c r="H65" i="12"/>
  <c r="F134" i="12" s="1"/>
  <c r="F198" i="12" s="1"/>
  <c r="G65" i="12"/>
  <c r="E134" i="12" s="1"/>
  <c r="E198" i="12" s="1"/>
  <c r="P64" i="12"/>
  <c r="K64" i="12"/>
  <c r="I133" i="12" s="1"/>
  <c r="I197" i="12" s="1"/>
  <c r="G64" i="12"/>
  <c r="E133" i="12" s="1"/>
  <c r="E197" i="12" s="1"/>
  <c r="O63" i="12"/>
  <c r="O132" i="12" s="1"/>
  <c r="O196" i="12" s="1"/>
  <c r="N63" i="12"/>
  <c r="N132" i="12" s="1"/>
  <c r="N196" i="12" s="1"/>
  <c r="H63" i="12"/>
  <c r="G63" i="12"/>
  <c r="P62" i="12"/>
  <c r="P131" i="12" s="1"/>
  <c r="P195" i="12" s="1"/>
  <c r="U61" i="12"/>
  <c r="U130" i="12" s="1"/>
  <c r="U194" i="12" s="1"/>
  <c r="O61" i="12"/>
  <c r="O130" i="12" s="1"/>
  <c r="O194" i="12" s="1"/>
  <c r="N61" i="12"/>
  <c r="N130" i="12" s="1"/>
  <c r="H61" i="12"/>
  <c r="G61" i="12"/>
  <c r="E130" i="12" s="1"/>
  <c r="E194" i="12" s="1"/>
  <c r="E61" i="12"/>
  <c r="C130" i="12" s="1"/>
  <c r="Q60" i="12"/>
  <c r="Q129" i="12" s="1"/>
  <c r="Q193" i="12" s="1"/>
  <c r="I60" i="12"/>
  <c r="H60" i="12"/>
  <c r="F129" i="12" s="1"/>
  <c r="F193" i="12" s="1"/>
  <c r="E60" i="12"/>
  <c r="C129" i="12" s="1"/>
  <c r="H59" i="12"/>
  <c r="F128" i="12" s="1"/>
  <c r="F192" i="12" s="1"/>
  <c r="G59" i="12"/>
  <c r="E128" i="12" s="1"/>
  <c r="E192" i="12" s="1"/>
  <c r="F59" i="12"/>
  <c r="D128" i="12" s="1"/>
  <c r="D192" i="12" s="1"/>
  <c r="O58" i="12"/>
  <c r="O127" i="12" s="1"/>
  <c r="O191" i="12" s="1"/>
  <c r="S57" i="12"/>
  <c r="S126" i="12" s="1"/>
  <c r="S190" i="12" s="1"/>
  <c r="Q57" i="12"/>
  <c r="Q126" i="12" s="1"/>
  <c r="Q190" i="12" s="1"/>
  <c r="E57" i="12"/>
  <c r="C126" i="12" s="1"/>
  <c r="Q56" i="12"/>
  <c r="Q125" i="12" s="1"/>
  <c r="Q189" i="12" s="1"/>
  <c r="H56" i="12"/>
  <c r="G56" i="12"/>
  <c r="F56" i="12"/>
  <c r="D125" i="12" s="1"/>
  <c r="D189" i="12" s="1"/>
  <c r="K55" i="12"/>
  <c r="I124" i="12" s="1"/>
  <c r="I188" i="12" s="1"/>
  <c r="H55" i="12"/>
  <c r="G55" i="12"/>
  <c r="E124" i="12" s="1"/>
  <c r="E188" i="12" s="1"/>
  <c r="E55" i="12"/>
  <c r="C124" i="12" s="1"/>
  <c r="O54" i="12"/>
  <c r="O123" i="12" s="1"/>
  <c r="O187" i="12" s="1"/>
  <c r="I54" i="12"/>
  <c r="G123" i="12" s="1"/>
  <c r="G187" i="12" s="1"/>
  <c r="F54" i="12"/>
  <c r="D123" i="12" s="1"/>
  <c r="D187" i="12" s="1"/>
  <c r="Q53" i="12"/>
  <c r="Q122" i="12" s="1"/>
  <c r="Q186" i="12" s="1"/>
  <c r="P53" i="12"/>
  <c r="K53" i="12"/>
  <c r="I122" i="12" s="1"/>
  <c r="I186" i="12" s="1"/>
  <c r="U52" i="12"/>
  <c r="U121" i="12" s="1"/>
  <c r="U185" i="12" s="1"/>
  <c r="Q52" i="12"/>
  <c r="Q121" i="12" s="1"/>
  <c r="Q185" i="12" s="1"/>
  <c r="O52" i="12"/>
  <c r="N52" i="12"/>
  <c r="N121" i="12" s="1"/>
  <c r="G52" i="12"/>
  <c r="E121" i="12" s="1"/>
  <c r="E185" i="12" s="1"/>
  <c r="E52" i="12"/>
  <c r="C121" i="12" s="1"/>
  <c r="S51" i="12"/>
  <c r="S120" i="12" s="1"/>
  <c r="S184" i="12" s="1"/>
  <c r="Q51" i="12"/>
  <c r="Q120" i="12" s="1"/>
  <c r="Q184" i="12" s="1"/>
  <c r="O51" i="12"/>
  <c r="I51" i="12"/>
  <c r="G120" i="12" s="1"/>
  <c r="G184" i="12" s="1"/>
  <c r="H51" i="12"/>
  <c r="F120" i="12" s="1"/>
  <c r="F184" i="12" s="1"/>
  <c r="G51" i="12"/>
  <c r="E51" i="12"/>
  <c r="C120" i="12" s="1"/>
  <c r="U50" i="12"/>
  <c r="U119" i="12" s="1"/>
  <c r="U183" i="12" s="1"/>
  <c r="T50" i="12"/>
  <c r="P50" i="12"/>
  <c r="P119" i="12" s="1"/>
  <c r="P183" i="12" s="1"/>
  <c r="J50" i="12"/>
  <c r="H50" i="12"/>
  <c r="F119" i="12" s="1"/>
  <c r="F183" i="12" s="1"/>
  <c r="F50" i="12"/>
  <c r="D119" i="12" s="1"/>
  <c r="D183" i="12" s="1"/>
  <c r="E50" i="12"/>
  <c r="Q49" i="12"/>
  <c r="Q118" i="12" s="1"/>
  <c r="Q182" i="12" s="1"/>
  <c r="P49" i="12"/>
  <c r="O49" i="12"/>
  <c r="N49" i="12"/>
  <c r="N118" i="12" s="1"/>
  <c r="K49" i="12"/>
  <c r="R48" i="12"/>
  <c r="R117" i="12" s="1"/>
  <c r="R181" i="12" s="1"/>
  <c r="Q48" i="12"/>
  <c r="O48" i="12"/>
  <c r="O117" i="12" s="1"/>
  <c r="O181" i="12" s="1"/>
  <c r="N48" i="12"/>
  <c r="N117" i="12" s="1"/>
  <c r="E48" i="12"/>
  <c r="C117" i="12" s="1"/>
  <c r="C181" i="12" s="1"/>
  <c r="Q47" i="12"/>
  <c r="Q116" i="12" s="1"/>
  <c r="Q180" i="12" s="1"/>
  <c r="P47" i="12"/>
  <c r="P116" i="12" s="1"/>
  <c r="P180" i="12" s="1"/>
  <c r="H47" i="12"/>
  <c r="F116" i="12" s="1"/>
  <c r="F180" i="12" s="1"/>
  <c r="G47" i="12"/>
  <c r="E116" i="12" s="1"/>
  <c r="E180" i="12" s="1"/>
  <c r="O46" i="12"/>
  <c r="O115" i="12" s="1"/>
  <c r="O179" i="12" s="1"/>
  <c r="E46" i="12"/>
  <c r="U45" i="12"/>
  <c r="U114" i="12" s="1"/>
  <c r="U178" i="12" s="1"/>
  <c r="P45" i="12"/>
  <c r="N45" i="12"/>
  <c r="N114" i="12" s="1"/>
  <c r="H45" i="12"/>
  <c r="F114" i="12" s="1"/>
  <c r="F178" i="12" s="1"/>
  <c r="G45" i="12"/>
  <c r="E114" i="12" s="1"/>
  <c r="E178" i="12" s="1"/>
  <c r="BJ38" i="12"/>
  <c r="BI38" i="12"/>
  <c r="U96" i="12" s="1"/>
  <c r="U165" i="12" s="1"/>
  <c r="U229" i="12" s="1"/>
  <c r="BD38" i="12"/>
  <c r="U76" i="12" s="1"/>
  <c r="BC38" i="12"/>
  <c r="BB38" i="12"/>
  <c r="U68" i="12" s="1"/>
  <c r="U137" i="12" s="1"/>
  <c r="U201" i="12" s="1"/>
  <c r="AX38" i="12"/>
  <c r="AQ38" i="12"/>
  <c r="AP38" i="12"/>
  <c r="AO38" i="12"/>
  <c r="AN38" i="12"/>
  <c r="AM38" i="12"/>
  <c r="AL38" i="12"/>
  <c r="AK38" i="12"/>
  <c r="AJ38" i="12"/>
  <c r="BE38" i="12" s="1"/>
  <c r="U80" i="12" s="1"/>
  <c r="AI38" i="12"/>
  <c r="Q76" i="12" s="1"/>
  <c r="Q145" i="12" s="1"/>
  <c r="Q209" i="12" s="1"/>
  <c r="AH38" i="12"/>
  <c r="Q72" i="12" s="1"/>
  <c r="Q141" i="12" s="1"/>
  <c r="AG38" i="12"/>
  <c r="AF38" i="12"/>
  <c r="Q64" i="12" s="1"/>
  <c r="AE38" i="12"/>
  <c r="AZ38" i="12" s="1"/>
  <c r="U60" i="12" s="1"/>
  <c r="U129" i="12" s="1"/>
  <c r="U193" i="12" s="1"/>
  <c r="AD38" i="12"/>
  <c r="AY38" i="12" s="1"/>
  <c r="U56" i="12" s="1"/>
  <c r="U125" i="12" s="1"/>
  <c r="U189" i="12" s="1"/>
  <c r="AC38" i="12"/>
  <c r="AB38" i="12"/>
  <c r="AW38" i="12" s="1"/>
  <c r="U48" i="12" s="1"/>
  <c r="U117" i="12" s="1"/>
  <c r="U181" i="12" s="1"/>
  <c r="BL37" i="12"/>
  <c r="U107" i="12" s="1"/>
  <c r="U176" i="12" s="1"/>
  <c r="U240" i="12" s="1"/>
  <c r="BK37" i="12"/>
  <c r="U103" i="12" s="1"/>
  <c r="BJ37" i="12"/>
  <c r="U99" i="12" s="1"/>
  <c r="U168" i="12" s="1"/>
  <c r="U232" i="12" s="1"/>
  <c r="BI37" i="12"/>
  <c r="BF37" i="12"/>
  <c r="BD37" i="12"/>
  <c r="U75" i="12" s="1"/>
  <c r="U144" i="12" s="1"/>
  <c r="U208" i="12" s="1"/>
  <c r="AY37" i="12"/>
  <c r="U55" i="12" s="1"/>
  <c r="U124" i="12" s="1"/>
  <c r="U188" i="12" s="1"/>
  <c r="AX37" i="12"/>
  <c r="U51" i="12" s="1"/>
  <c r="U120" i="12" s="1"/>
  <c r="U184" i="12" s="1"/>
  <c r="AW37" i="12"/>
  <c r="U47" i="12" s="1"/>
  <c r="AQ37" i="12"/>
  <c r="AP37" i="12"/>
  <c r="Q103" i="12" s="1"/>
  <c r="Q172" i="12" s="1"/>
  <c r="Q236" i="12" s="1"/>
  <c r="AO37" i="12"/>
  <c r="Q99" i="12" s="1"/>
  <c r="Q168" i="12" s="1"/>
  <c r="Q232" i="12" s="1"/>
  <c r="AN37" i="12"/>
  <c r="Q95" i="12" s="1"/>
  <c r="Q164" i="12" s="1"/>
  <c r="Q228" i="12" s="1"/>
  <c r="AM37" i="12"/>
  <c r="Q91" i="12" s="1"/>
  <c r="Q160" i="12" s="1"/>
  <c r="AL37" i="12"/>
  <c r="BG37" i="12" s="1"/>
  <c r="U87" i="12" s="1"/>
  <c r="AK37" i="12"/>
  <c r="AJ37" i="12"/>
  <c r="BE37" i="12" s="1"/>
  <c r="AI37" i="12"/>
  <c r="AH37" i="12"/>
  <c r="AG37" i="12"/>
  <c r="AF37" i="12"/>
  <c r="AE37" i="12"/>
  <c r="Q59" i="12" s="1"/>
  <c r="Q128" i="12" s="1"/>
  <c r="Q192" i="12" s="1"/>
  <c r="AD37" i="12"/>
  <c r="Q55" i="12" s="1"/>
  <c r="Q124" i="12" s="1"/>
  <c r="Q188" i="12" s="1"/>
  <c r="AC37" i="12"/>
  <c r="AB37" i="12"/>
  <c r="BK36" i="12"/>
  <c r="U102" i="12" s="1"/>
  <c r="U171" i="12" s="1"/>
  <c r="U235" i="12" s="1"/>
  <c r="BF36" i="12"/>
  <c r="BE36" i="12"/>
  <c r="U78" i="12" s="1"/>
  <c r="U147" i="12" s="1"/>
  <c r="U211" i="12" s="1"/>
  <c r="BD36" i="12"/>
  <c r="BC36" i="12"/>
  <c r="BB36" i="12"/>
  <c r="U66" i="12" s="1"/>
  <c r="U135" i="12" s="1"/>
  <c r="U199" i="12" s="1"/>
  <c r="AW36" i="12"/>
  <c r="U46" i="12" s="1"/>
  <c r="U115" i="12" s="1"/>
  <c r="U179" i="12" s="1"/>
  <c r="AQ36" i="12"/>
  <c r="AP36" i="12"/>
  <c r="Q102" i="12" s="1"/>
  <c r="Q171" i="12" s="1"/>
  <c r="Q235" i="12" s="1"/>
  <c r="AO36" i="12"/>
  <c r="BJ36" i="12" s="1"/>
  <c r="U98" i="12" s="1"/>
  <c r="U167" i="12" s="1"/>
  <c r="U231" i="12" s="1"/>
  <c r="AN36" i="12"/>
  <c r="Q94" i="12" s="1"/>
  <c r="AM36" i="12"/>
  <c r="AL36" i="12"/>
  <c r="AK36" i="12"/>
  <c r="Q82" i="12" s="1"/>
  <c r="Q151" i="12" s="1"/>
  <c r="AJ36" i="12"/>
  <c r="AI36" i="12"/>
  <c r="AH36" i="12"/>
  <c r="AG36" i="12"/>
  <c r="AF36" i="12"/>
  <c r="AE36" i="12"/>
  <c r="AD36" i="12"/>
  <c r="Q54" i="12" s="1"/>
  <c r="AC36" i="12"/>
  <c r="AX36" i="12" s="1"/>
  <c r="AB36" i="12"/>
  <c r="Q46" i="12" s="1"/>
  <c r="BL35" i="12"/>
  <c r="U105" i="12" s="1"/>
  <c r="U174" i="12" s="1"/>
  <c r="BK35" i="12"/>
  <c r="BJ35" i="12"/>
  <c r="BA35" i="12"/>
  <c r="AZ35" i="12"/>
  <c r="U57" i="12" s="1"/>
  <c r="U126" i="12" s="1"/>
  <c r="U190" i="12" s="1"/>
  <c r="AY35" i="12"/>
  <c r="U53" i="12" s="1"/>
  <c r="U122" i="12" s="1"/>
  <c r="U186" i="12" s="1"/>
  <c r="AX35" i="12"/>
  <c r="U49" i="12" s="1"/>
  <c r="U118" i="12" s="1"/>
  <c r="U182" i="12" s="1"/>
  <c r="AQ35" i="12"/>
  <c r="AP35" i="12"/>
  <c r="AO35" i="12"/>
  <c r="AN35" i="12"/>
  <c r="BI35" i="12" s="1"/>
  <c r="U93" i="12" s="1"/>
  <c r="U162" i="12" s="1"/>
  <c r="U226" i="12" s="1"/>
  <c r="AM35" i="12"/>
  <c r="BH35" i="12" s="1"/>
  <c r="U89" i="12" s="1"/>
  <c r="U158" i="12" s="1"/>
  <c r="U222" i="12" s="1"/>
  <c r="AL35" i="12"/>
  <c r="AK35" i="12"/>
  <c r="BF35" i="12" s="1"/>
  <c r="AJ35" i="12"/>
  <c r="Q77" i="12" s="1"/>
  <c r="Q146" i="12" s="1"/>
  <c r="Q210" i="12" s="1"/>
  <c r="AI35" i="12"/>
  <c r="AH35" i="12"/>
  <c r="Q69" i="12" s="1"/>
  <c r="Q138" i="12" s="1"/>
  <c r="Q202" i="12" s="1"/>
  <c r="AG35" i="12"/>
  <c r="AF35" i="12"/>
  <c r="Q61" i="12" s="1"/>
  <c r="Q130" i="12" s="1"/>
  <c r="Q194" i="12" s="1"/>
  <c r="AE35" i="12"/>
  <c r="AD35" i="12"/>
  <c r="AC35" i="12"/>
  <c r="AB35" i="12"/>
  <c r="AW35" i="12" s="1"/>
  <c r="BL34" i="12"/>
  <c r="L108" i="12" s="1"/>
  <c r="J177" i="12" s="1"/>
  <c r="J241" i="12" s="1"/>
  <c r="BH34" i="12"/>
  <c r="L92" i="12" s="1"/>
  <c r="J161" i="12" s="1"/>
  <c r="J225" i="12" s="1"/>
  <c r="BG34" i="12"/>
  <c r="L88" i="12" s="1"/>
  <c r="J157" i="12" s="1"/>
  <c r="J221" i="12" s="1"/>
  <c r="BF34" i="12"/>
  <c r="L84" i="12" s="1"/>
  <c r="J153" i="12" s="1"/>
  <c r="J217" i="12" s="1"/>
  <c r="BE34" i="12"/>
  <c r="AY34" i="12"/>
  <c r="L56" i="12" s="1"/>
  <c r="J125" i="12" s="1"/>
  <c r="J189" i="12" s="1"/>
  <c r="AX34" i="12"/>
  <c r="L52" i="12" s="1"/>
  <c r="J121" i="12" s="1"/>
  <c r="J185" i="12" s="1"/>
  <c r="AQ34" i="12"/>
  <c r="AP34" i="12"/>
  <c r="BK34" i="12" s="1"/>
  <c r="L104" i="12" s="1"/>
  <c r="J173" i="12" s="1"/>
  <c r="J237" i="12" s="1"/>
  <c r="AO34" i="12"/>
  <c r="AN34" i="12"/>
  <c r="BI34" i="12" s="1"/>
  <c r="L96" i="12" s="1"/>
  <c r="J165" i="12" s="1"/>
  <c r="J229" i="12" s="1"/>
  <c r="AM34" i="12"/>
  <c r="AL34" i="12"/>
  <c r="H88" i="12" s="1"/>
  <c r="AK34" i="12"/>
  <c r="AJ34" i="12"/>
  <c r="AI34" i="12"/>
  <c r="H76" i="12" s="1"/>
  <c r="F145" i="12" s="1"/>
  <c r="AH34" i="12"/>
  <c r="BC34" i="12" s="1"/>
  <c r="L72" i="12" s="1"/>
  <c r="J141" i="12" s="1"/>
  <c r="J205" i="12" s="1"/>
  <c r="AG34" i="12"/>
  <c r="AF34" i="12"/>
  <c r="BA34" i="12" s="1"/>
  <c r="L64" i="12" s="1"/>
  <c r="J133" i="12" s="1"/>
  <c r="J197" i="12" s="1"/>
  <c r="AE34" i="12"/>
  <c r="AZ34" i="12" s="1"/>
  <c r="L60" i="12" s="1"/>
  <c r="J129" i="12" s="1"/>
  <c r="J193" i="12" s="1"/>
  <c r="AD34" i="12"/>
  <c r="AC34" i="12"/>
  <c r="H52" i="12" s="1"/>
  <c r="F121" i="12" s="1"/>
  <c r="F185" i="12" s="1"/>
  <c r="AB34" i="12"/>
  <c r="BL33" i="12"/>
  <c r="BK33" i="12"/>
  <c r="L103" i="12" s="1"/>
  <c r="BF33" i="12"/>
  <c r="L83" i="12" s="1"/>
  <c r="J152" i="12" s="1"/>
  <c r="J216" i="12" s="1"/>
  <c r="BE33" i="12"/>
  <c r="L79" i="12" s="1"/>
  <c r="J148" i="12" s="1"/>
  <c r="J212" i="12" s="1"/>
  <c r="BB33" i="12"/>
  <c r="L67" i="12" s="1"/>
  <c r="J136" i="12" s="1"/>
  <c r="J200" i="12" s="1"/>
  <c r="BA33" i="12"/>
  <c r="L63" i="12" s="1"/>
  <c r="J132" i="12" s="1"/>
  <c r="J196" i="12" s="1"/>
  <c r="AZ33" i="12"/>
  <c r="L59" i="12" s="1"/>
  <c r="J128" i="12" s="1"/>
  <c r="J192" i="12" s="1"/>
  <c r="AY33" i="12"/>
  <c r="L55" i="12" s="1"/>
  <c r="J124" i="12" s="1"/>
  <c r="J188" i="12" s="1"/>
  <c r="AQ33" i="12"/>
  <c r="H107" i="12" s="1"/>
  <c r="F176" i="12" s="1"/>
  <c r="F240" i="12" s="1"/>
  <c r="AP33" i="12"/>
  <c r="H103" i="12" s="1"/>
  <c r="AO33" i="12"/>
  <c r="BJ33" i="12" s="1"/>
  <c r="AN33" i="12"/>
  <c r="BI33" i="12" s="1"/>
  <c r="AM33" i="12"/>
  <c r="AL33" i="12"/>
  <c r="BG33" i="12" s="1"/>
  <c r="L87" i="12" s="1"/>
  <c r="AK33" i="12"/>
  <c r="AJ33" i="12"/>
  <c r="H79" i="12" s="1"/>
  <c r="F148" i="12" s="1"/>
  <c r="F212" i="12" s="1"/>
  <c r="AI33" i="12"/>
  <c r="H75" i="12" s="1"/>
  <c r="F144" i="12" s="1"/>
  <c r="F208" i="12" s="1"/>
  <c r="AH33" i="12"/>
  <c r="AG33" i="12"/>
  <c r="AF33" i="12"/>
  <c r="AE33" i="12"/>
  <c r="AD33" i="12"/>
  <c r="AC33" i="12"/>
  <c r="AX33" i="12" s="1"/>
  <c r="L51" i="12" s="1"/>
  <c r="J120" i="12" s="1"/>
  <c r="J184" i="12" s="1"/>
  <c r="AB33" i="12"/>
  <c r="AW33" i="12" s="1"/>
  <c r="L47" i="12" s="1"/>
  <c r="BJ32" i="12"/>
  <c r="BI32" i="12"/>
  <c r="L94" i="12" s="1"/>
  <c r="BH32" i="12"/>
  <c r="L90" i="12" s="1"/>
  <c r="J159" i="12" s="1"/>
  <c r="J223" i="12" s="1"/>
  <c r="BG32" i="12"/>
  <c r="AZ32" i="12"/>
  <c r="L58" i="12" s="1"/>
  <c r="J127" i="12" s="1"/>
  <c r="J191" i="12" s="1"/>
  <c r="AY32" i="12"/>
  <c r="L54" i="12" s="1"/>
  <c r="J123" i="12" s="1"/>
  <c r="J187" i="12" s="1"/>
  <c r="AX32" i="12"/>
  <c r="L50" i="12" s="1"/>
  <c r="J119" i="12" s="1"/>
  <c r="J183" i="12" s="1"/>
  <c r="AQ32" i="12"/>
  <c r="H106" i="12" s="1"/>
  <c r="F175" i="12" s="1"/>
  <c r="F239" i="12" s="1"/>
  <c r="AP32" i="12"/>
  <c r="H102" i="12" s="1"/>
  <c r="F171" i="12" s="1"/>
  <c r="F235" i="12" s="1"/>
  <c r="AO32" i="12"/>
  <c r="AN32" i="12"/>
  <c r="H94" i="12" s="1"/>
  <c r="F163" i="12" s="1"/>
  <c r="F227" i="12" s="1"/>
  <c r="AM32" i="12"/>
  <c r="AL32" i="12"/>
  <c r="AK32" i="12"/>
  <c r="BF32" i="12" s="1"/>
  <c r="AJ32" i="12"/>
  <c r="BE32" i="12" s="1"/>
  <c r="L78" i="12" s="1"/>
  <c r="J147" i="12" s="1"/>
  <c r="J211" i="12" s="1"/>
  <c r="AI32" i="12"/>
  <c r="BD32" i="12" s="1"/>
  <c r="L74" i="12" s="1"/>
  <c r="J143" i="12" s="1"/>
  <c r="J207" i="12" s="1"/>
  <c r="AH32" i="12"/>
  <c r="AG32" i="12"/>
  <c r="AF32" i="12"/>
  <c r="H62" i="12" s="1"/>
  <c r="F131" i="12" s="1"/>
  <c r="F195" i="12" s="1"/>
  <c r="AE32" i="12"/>
  <c r="H58" i="12" s="1"/>
  <c r="F127" i="12" s="1"/>
  <c r="F191" i="12" s="1"/>
  <c r="AD32" i="12"/>
  <c r="H54" i="12" s="1"/>
  <c r="F123" i="12" s="1"/>
  <c r="F187" i="12" s="1"/>
  <c r="AC32" i="12"/>
  <c r="AB32" i="12"/>
  <c r="H46" i="12" s="1"/>
  <c r="F115" i="12" s="1"/>
  <c r="F179" i="12" s="1"/>
  <c r="BH31" i="12"/>
  <c r="BG31" i="12"/>
  <c r="L85" i="12" s="1"/>
  <c r="J154" i="12" s="1"/>
  <c r="J218" i="12" s="1"/>
  <c r="BF31" i="12"/>
  <c r="L81" i="12" s="1"/>
  <c r="J150" i="12" s="1"/>
  <c r="J214" i="12" s="1"/>
  <c r="BD31" i="12"/>
  <c r="L73" i="12" s="1"/>
  <c r="J142" i="12" s="1"/>
  <c r="J206" i="12" s="1"/>
  <c r="BC31" i="12"/>
  <c r="L69" i="12" s="1"/>
  <c r="J138" i="12" s="1"/>
  <c r="J202" i="12" s="1"/>
  <c r="BA31" i="12"/>
  <c r="L61" i="12" s="1"/>
  <c r="J130" i="12" s="1"/>
  <c r="J194" i="12" s="1"/>
  <c r="AQ31" i="12"/>
  <c r="BL31" i="12" s="1"/>
  <c r="L105" i="12" s="1"/>
  <c r="J174" i="12" s="1"/>
  <c r="J238" i="12" s="1"/>
  <c r="AP31" i="12"/>
  <c r="AO31" i="12"/>
  <c r="AN31" i="12"/>
  <c r="AM31" i="12"/>
  <c r="H89" i="12" s="1"/>
  <c r="F158" i="12" s="1"/>
  <c r="AL31" i="12"/>
  <c r="H85" i="12" s="1"/>
  <c r="F154" i="12" s="1"/>
  <c r="F218" i="12" s="1"/>
  <c r="AK31" i="12"/>
  <c r="AJ31" i="12"/>
  <c r="AI31" i="12"/>
  <c r="H73" i="12" s="1"/>
  <c r="F142" i="12" s="1"/>
  <c r="F206" i="12" s="1"/>
  <c r="AH31" i="12"/>
  <c r="AG31" i="12"/>
  <c r="BB31" i="12" s="1"/>
  <c r="L65" i="12" s="1"/>
  <c r="AF31" i="12"/>
  <c r="AE31" i="12"/>
  <c r="AZ31" i="12" s="1"/>
  <c r="L57" i="12" s="1"/>
  <c r="J126" i="12" s="1"/>
  <c r="J190" i="12" s="1"/>
  <c r="AD31" i="12"/>
  <c r="AC31" i="12"/>
  <c r="AB31" i="12"/>
  <c r="AW31" i="12" s="1"/>
  <c r="L45" i="12" s="1"/>
  <c r="J114" i="12" s="1"/>
  <c r="J178" i="12" s="1"/>
  <c r="BI30" i="12"/>
  <c r="BH30" i="12"/>
  <c r="S92" i="12" s="1"/>
  <c r="S161" i="12" s="1"/>
  <c r="S225" i="12" s="1"/>
  <c r="BG30" i="12"/>
  <c r="S88" i="12" s="1"/>
  <c r="S157" i="12" s="1"/>
  <c r="S221" i="12" s="1"/>
  <c r="BB30" i="12"/>
  <c r="S68" i="12" s="1"/>
  <c r="S137" i="12" s="1"/>
  <c r="S201" i="12" s="1"/>
  <c r="BA30" i="12"/>
  <c r="S64" i="12" s="1"/>
  <c r="S133" i="12" s="1"/>
  <c r="S197" i="12" s="1"/>
  <c r="AZ30" i="12"/>
  <c r="S60" i="12" s="1"/>
  <c r="S129" i="12" s="1"/>
  <c r="S193" i="12" s="1"/>
  <c r="AW30" i="12"/>
  <c r="S48" i="12" s="1"/>
  <c r="S117" i="12" s="1"/>
  <c r="S181" i="12" s="1"/>
  <c r="AQ30" i="12"/>
  <c r="BL30" i="12" s="1"/>
  <c r="S108" i="12" s="1"/>
  <c r="S177" i="12" s="1"/>
  <c r="S241" i="12" s="1"/>
  <c r="AP30" i="12"/>
  <c r="AO30" i="12"/>
  <c r="BJ30" i="12" s="1"/>
  <c r="S100" i="12" s="1"/>
  <c r="S169" i="12" s="1"/>
  <c r="S233" i="12" s="1"/>
  <c r="AN30" i="12"/>
  <c r="O96" i="12" s="1"/>
  <c r="AM30" i="12"/>
  <c r="O92" i="12" s="1"/>
  <c r="AL30" i="12"/>
  <c r="AK30" i="12"/>
  <c r="BF30" i="12" s="1"/>
  <c r="S84" i="12" s="1"/>
  <c r="S153" i="12" s="1"/>
  <c r="S217" i="12" s="1"/>
  <c r="AJ30" i="12"/>
  <c r="AI30" i="12"/>
  <c r="AH30" i="12"/>
  <c r="BC30" i="12" s="1"/>
  <c r="S72" i="12" s="1"/>
  <c r="S141" i="12" s="1"/>
  <c r="S205" i="12" s="1"/>
  <c r="AG30" i="12"/>
  <c r="O68" i="12" s="1"/>
  <c r="AF30" i="12"/>
  <c r="O64" i="12" s="1"/>
  <c r="O133" i="12" s="1"/>
  <c r="O197" i="12" s="1"/>
  <c r="AE30" i="12"/>
  <c r="O60" i="12" s="1"/>
  <c r="O129" i="12" s="1"/>
  <c r="O193" i="12" s="1"/>
  <c r="AD30" i="12"/>
  <c r="AC30" i="12"/>
  <c r="AX30" i="12" s="1"/>
  <c r="S52" i="12" s="1"/>
  <c r="S121" i="12" s="1"/>
  <c r="S185" i="12" s="1"/>
  <c r="AB30" i="12"/>
  <c r="BJ29" i="12"/>
  <c r="S99" i="12" s="1"/>
  <c r="BI29" i="12"/>
  <c r="S95" i="12" s="1"/>
  <c r="S164" i="12" s="1"/>
  <c r="BH29" i="12"/>
  <c r="S91" i="12" s="1"/>
  <c r="S160" i="12" s="1"/>
  <c r="S224" i="12" s="1"/>
  <c r="BG29" i="12"/>
  <c r="S87" i="12" s="1"/>
  <c r="S156" i="12" s="1"/>
  <c r="S220" i="12" s="1"/>
  <c r="BD29" i="12"/>
  <c r="BC29" i="12"/>
  <c r="S71" i="12" s="1"/>
  <c r="S140" i="12" s="1"/>
  <c r="S204" i="12" s="1"/>
  <c r="BB29" i="12"/>
  <c r="S67" i="12" s="1"/>
  <c r="S136" i="12" s="1"/>
  <c r="S200" i="12" s="1"/>
  <c r="BA29" i="12"/>
  <c r="S63" i="12" s="1"/>
  <c r="S132" i="12" s="1"/>
  <c r="S196" i="12" s="1"/>
  <c r="AX29" i="12"/>
  <c r="AQ29" i="12"/>
  <c r="AP29" i="12"/>
  <c r="BK29" i="12" s="1"/>
  <c r="S103" i="12" s="1"/>
  <c r="S172" i="12" s="1"/>
  <c r="S236" i="12" s="1"/>
  <c r="AO29" i="12"/>
  <c r="AN29" i="12"/>
  <c r="O95" i="12" s="1"/>
  <c r="O164" i="12" s="1"/>
  <c r="O228" i="12" s="1"/>
  <c r="AM29" i="12"/>
  <c r="O91" i="12" s="1"/>
  <c r="AL29" i="12"/>
  <c r="O87" i="12" s="1"/>
  <c r="O156" i="12" s="1"/>
  <c r="AK29" i="12"/>
  <c r="AJ29" i="12"/>
  <c r="BE29" i="12" s="1"/>
  <c r="S79" i="12" s="1"/>
  <c r="S148" i="12" s="1"/>
  <c r="S212" i="12" s="1"/>
  <c r="AI29" i="12"/>
  <c r="AH29" i="12"/>
  <c r="O71" i="12" s="1"/>
  <c r="O140" i="12" s="1"/>
  <c r="O204" i="12" s="1"/>
  <c r="AG29" i="12"/>
  <c r="AF29" i="12"/>
  <c r="AE29" i="12"/>
  <c r="AD29" i="12"/>
  <c r="AC29" i="12"/>
  <c r="AB29" i="12"/>
  <c r="O47" i="12" s="1"/>
  <c r="O116" i="12" s="1"/>
  <c r="O180" i="12" s="1"/>
  <c r="BL28" i="12"/>
  <c r="S106" i="12" s="1"/>
  <c r="BK28" i="12"/>
  <c r="BJ28" i="12"/>
  <c r="S98" i="12" s="1"/>
  <c r="S167" i="12" s="1"/>
  <c r="S231" i="12" s="1"/>
  <c r="BI28" i="12"/>
  <c r="S94" i="12" s="1"/>
  <c r="S163" i="12" s="1"/>
  <c r="S227" i="12" s="1"/>
  <c r="BF28" i="12"/>
  <c r="S82" i="12" s="1"/>
  <c r="BD28" i="12"/>
  <c r="S74" i="12" s="1"/>
  <c r="S143" i="12" s="1"/>
  <c r="S207" i="12" s="1"/>
  <c r="BA28" i="12"/>
  <c r="S62" i="12" s="1"/>
  <c r="S131" i="12" s="1"/>
  <c r="S195" i="12" s="1"/>
  <c r="AY28" i="12"/>
  <c r="S54" i="12" s="1"/>
  <c r="S123" i="12" s="1"/>
  <c r="S187" i="12" s="1"/>
  <c r="AX28" i="12"/>
  <c r="S50" i="12" s="1"/>
  <c r="S119" i="12" s="1"/>
  <c r="S183" i="12" s="1"/>
  <c r="AW28" i="12"/>
  <c r="S46" i="12" s="1"/>
  <c r="S115" i="12" s="1"/>
  <c r="S179" i="12" s="1"/>
  <c r="AQ28" i="12"/>
  <c r="AP28" i="12"/>
  <c r="AO28" i="12"/>
  <c r="O98" i="12" s="1"/>
  <c r="O167" i="12" s="1"/>
  <c r="AN28" i="12"/>
  <c r="AM28" i="12"/>
  <c r="BH28" i="12" s="1"/>
  <c r="S90" i="12" s="1"/>
  <c r="S159" i="12" s="1"/>
  <c r="S223" i="12" s="1"/>
  <c r="AL28" i="12"/>
  <c r="AK28" i="12"/>
  <c r="AJ28" i="12"/>
  <c r="AI28" i="12"/>
  <c r="O74" i="12" s="1"/>
  <c r="O143" i="12" s="1"/>
  <c r="O207" i="12" s="1"/>
  <c r="AH28" i="12"/>
  <c r="BC28" i="12" s="1"/>
  <c r="S70" i="12" s="1"/>
  <c r="S139" i="12" s="1"/>
  <c r="S203" i="12" s="1"/>
  <c r="AG28" i="12"/>
  <c r="BB28" i="12" s="1"/>
  <c r="AF28" i="12"/>
  <c r="O62" i="12" s="1"/>
  <c r="O131" i="12" s="1"/>
  <c r="O195" i="12" s="1"/>
  <c r="AE28" i="12"/>
  <c r="AZ28" i="12" s="1"/>
  <c r="S58" i="12" s="1"/>
  <c r="AD28" i="12"/>
  <c r="AC28" i="12"/>
  <c r="O50" i="12" s="1"/>
  <c r="O119" i="12" s="1"/>
  <c r="O183" i="12" s="1"/>
  <c r="AB28" i="12"/>
  <c r="BK27" i="12"/>
  <c r="S101" i="12" s="1"/>
  <c r="S170" i="12" s="1"/>
  <c r="S234" i="12" s="1"/>
  <c r="BF27" i="12"/>
  <c r="S81" i="12" s="1"/>
  <c r="S150" i="12" s="1"/>
  <c r="S214" i="12" s="1"/>
  <c r="BE27" i="12"/>
  <c r="S77" i="12" s="1"/>
  <c r="S146" i="12" s="1"/>
  <c r="BD27" i="12"/>
  <c r="S73" i="12" s="1"/>
  <c r="S142" i="12" s="1"/>
  <c r="S206" i="12" s="1"/>
  <c r="BC27" i="12"/>
  <c r="BB27" i="12"/>
  <c r="S65" i="12" s="1"/>
  <c r="S134" i="12" s="1"/>
  <c r="S198" i="12" s="1"/>
  <c r="AQ27" i="12"/>
  <c r="AP27" i="12"/>
  <c r="O101" i="12" s="1"/>
  <c r="O170" i="12" s="1"/>
  <c r="AO27" i="12"/>
  <c r="BJ27" i="12" s="1"/>
  <c r="S97" i="12" s="1"/>
  <c r="S166" i="12" s="1"/>
  <c r="S230" i="12" s="1"/>
  <c r="AN27" i="12"/>
  <c r="BI27" i="12" s="1"/>
  <c r="S93" i="12" s="1"/>
  <c r="S162" i="12" s="1"/>
  <c r="AM27" i="12"/>
  <c r="AL27" i="12"/>
  <c r="BG27" i="12" s="1"/>
  <c r="S85" i="12" s="1"/>
  <c r="AK27" i="12"/>
  <c r="AJ27" i="12"/>
  <c r="O77" i="12" s="1"/>
  <c r="O146" i="12" s="1"/>
  <c r="O210" i="12" s="1"/>
  <c r="AI27" i="12"/>
  <c r="O73" i="12" s="1"/>
  <c r="O142" i="12" s="1"/>
  <c r="O206" i="12" s="1"/>
  <c r="AH27" i="12"/>
  <c r="AG27" i="12"/>
  <c r="O65" i="12" s="1"/>
  <c r="AF27" i="12"/>
  <c r="BA27" i="12" s="1"/>
  <c r="S61" i="12" s="1"/>
  <c r="AE27" i="12"/>
  <c r="AZ27" i="12" s="1"/>
  <c r="AD27" i="12"/>
  <c r="AC27" i="12"/>
  <c r="AX27" i="12" s="1"/>
  <c r="S49" i="12" s="1"/>
  <c r="S118" i="12" s="1"/>
  <c r="S182" i="12" s="1"/>
  <c r="AB27" i="12"/>
  <c r="BL26" i="12"/>
  <c r="J108" i="12" s="1"/>
  <c r="H177" i="12" s="1"/>
  <c r="H241" i="12" s="1"/>
  <c r="BK26" i="12"/>
  <c r="J104" i="12" s="1"/>
  <c r="H173" i="12" s="1"/>
  <c r="H237" i="12" s="1"/>
  <c r="BJ26" i="12"/>
  <c r="BD26" i="12"/>
  <c r="J76" i="12" s="1"/>
  <c r="H145" i="12" s="1"/>
  <c r="H209" i="12" s="1"/>
  <c r="BC26" i="12"/>
  <c r="J72" i="12" s="1"/>
  <c r="H141" i="12" s="1"/>
  <c r="H205" i="12" s="1"/>
  <c r="BB26" i="12"/>
  <c r="J68" i="12" s="1"/>
  <c r="AZ26" i="12"/>
  <c r="J60" i="12" s="1"/>
  <c r="AY26" i="12"/>
  <c r="J56" i="12" s="1"/>
  <c r="H125" i="12" s="1"/>
  <c r="H189" i="12" s="1"/>
  <c r="AX26" i="12"/>
  <c r="J52" i="12" s="1"/>
  <c r="AW26" i="12"/>
  <c r="J48" i="12" s="1"/>
  <c r="H117" i="12" s="1"/>
  <c r="H181" i="12" s="1"/>
  <c r="AQ26" i="12"/>
  <c r="F108" i="12" s="1"/>
  <c r="D177" i="12" s="1"/>
  <c r="AP26" i="12"/>
  <c r="AO26" i="12"/>
  <c r="F100" i="12" s="1"/>
  <c r="D169" i="12" s="1"/>
  <c r="D233" i="12" s="1"/>
  <c r="AN26" i="12"/>
  <c r="BI26" i="12" s="1"/>
  <c r="J96" i="12" s="1"/>
  <c r="H165" i="12" s="1"/>
  <c r="H229" i="12" s="1"/>
  <c r="AM26" i="12"/>
  <c r="AL26" i="12"/>
  <c r="AK26" i="12"/>
  <c r="AJ26" i="12"/>
  <c r="F80" i="12" s="1"/>
  <c r="D149" i="12" s="1"/>
  <c r="D213" i="12" s="1"/>
  <c r="AI26" i="12"/>
  <c r="F76" i="12" s="1"/>
  <c r="D145" i="12" s="1"/>
  <c r="D209" i="12" s="1"/>
  <c r="AH26" i="12"/>
  <c r="F72" i="12" s="1"/>
  <c r="D141" i="12" s="1"/>
  <c r="D205" i="12" s="1"/>
  <c r="AG26" i="12"/>
  <c r="F68" i="12" s="1"/>
  <c r="D137" i="12" s="1"/>
  <c r="D201" i="12" s="1"/>
  <c r="AF26" i="12"/>
  <c r="F64" i="12" s="1"/>
  <c r="D133" i="12" s="1"/>
  <c r="D197" i="12" s="1"/>
  <c r="AE26" i="12"/>
  <c r="F60" i="12" s="1"/>
  <c r="D129" i="12" s="1"/>
  <c r="D193" i="12" s="1"/>
  <c r="AD26" i="12"/>
  <c r="AC26" i="12"/>
  <c r="F52" i="12" s="1"/>
  <c r="D121" i="12" s="1"/>
  <c r="D185" i="12" s="1"/>
  <c r="AB26" i="12"/>
  <c r="F48" i="12" s="1"/>
  <c r="D117" i="12" s="1"/>
  <c r="D181" i="12" s="1"/>
  <c r="BL25" i="12"/>
  <c r="J107" i="12" s="1"/>
  <c r="H176" i="12" s="1"/>
  <c r="H240" i="12" s="1"/>
  <c r="BH25" i="12"/>
  <c r="J91" i="12" s="1"/>
  <c r="H160" i="12" s="1"/>
  <c r="H224" i="12" s="1"/>
  <c r="BG25" i="12"/>
  <c r="J87" i="12" s="1"/>
  <c r="H156" i="12" s="1"/>
  <c r="H220" i="12" s="1"/>
  <c r="BF25" i="12"/>
  <c r="J83" i="12" s="1"/>
  <c r="H152" i="12" s="1"/>
  <c r="BE25" i="12"/>
  <c r="J79" i="12" s="1"/>
  <c r="H148" i="12" s="1"/>
  <c r="H212" i="12" s="1"/>
  <c r="AQ25" i="12"/>
  <c r="F107" i="12" s="1"/>
  <c r="D176" i="12" s="1"/>
  <c r="D240" i="12" s="1"/>
  <c r="AP25" i="12"/>
  <c r="AO25" i="12"/>
  <c r="F99" i="12" s="1"/>
  <c r="D168" i="12" s="1"/>
  <c r="D232" i="12" s="1"/>
  <c r="AN25" i="12"/>
  <c r="AM25" i="12"/>
  <c r="F91" i="12" s="1"/>
  <c r="AL25" i="12"/>
  <c r="F87" i="12" s="1"/>
  <c r="D156" i="12" s="1"/>
  <c r="AK25" i="12"/>
  <c r="AJ25" i="12"/>
  <c r="F79" i="12" s="1"/>
  <c r="D148" i="12" s="1"/>
  <c r="D212" i="12" s="1"/>
  <c r="AI25" i="12"/>
  <c r="BD25" i="12" s="1"/>
  <c r="J75" i="12" s="1"/>
  <c r="H144" i="12" s="1"/>
  <c r="H208" i="12" s="1"/>
  <c r="AH25" i="12"/>
  <c r="AG25" i="12"/>
  <c r="AF25" i="12"/>
  <c r="AE25" i="12"/>
  <c r="AZ25" i="12" s="1"/>
  <c r="J59" i="12" s="1"/>
  <c r="H128" i="12" s="1"/>
  <c r="H192" i="12" s="1"/>
  <c r="AD25" i="12"/>
  <c r="AC25" i="12"/>
  <c r="F51" i="12" s="1"/>
  <c r="D120" i="12" s="1"/>
  <c r="D184" i="12" s="1"/>
  <c r="AB25" i="12"/>
  <c r="F47" i="12" s="1"/>
  <c r="D116" i="12" s="1"/>
  <c r="D180" i="12" s="1"/>
  <c r="BL24" i="12"/>
  <c r="J106" i="12" s="1"/>
  <c r="H175" i="12" s="1"/>
  <c r="H239" i="12" s="1"/>
  <c r="BK24" i="12"/>
  <c r="J102" i="12" s="1"/>
  <c r="H171" i="12" s="1"/>
  <c r="H235" i="12" s="1"/>
  <c r="BF24" i="12"/>
  <c r="J82" i="12" s="1"/>
  <c r="H151" i="12" s="1"/>
  <c r="H215" i="12" s="1"/>
  <c r="BE24" i="12"/>
  <c r="J78" i="12" s="1"/>
  <c r="H147" i="12" s="1"/>
  <c r="H211" i="12" s="1"/>
  <c r="BB24" i="12"/>
  <c r="J66" i="12" s="1"/>
  <c r="H135" i="12" s="1"/>
  <c r="H199" i="12" s="1"/>
  <c r="BA24" i="12"/>
  <c r="J62" i="12" s="1"/>
  <c r="H131" i="12" s="1"/>
  <c r="H195" i="12" s="1"/>
  <c r="AZ24" i="12"/>
  <c r="J58" i="12" s="1"/>
  <c r="H127" i="12" s="1"/>
  <c r="H191" i="12" s="1"/>
  <c r="AY24" i="12"/>
  <c r="J54" i="12" s="1"/>
  <c r="H123" i="12" s="1"/>
  <c r="H187" i="12" s="1"/>
  <c r="AQ24" i="12"/>
  <c r="F106" i="12" s="1"/>
  <c r="AP24" i="12"/>
  <c r="F102" i="12" s="1"/>
  <c r="D171" i="12" s="1"/>
  <c r="D235" i="12" s="1"/>
  <c r="AO24" i="12"/>
  <c r="BJ24" i="12" s="1"/>
  <c r="AN24" i="12"/>
  <c r="AM24" i="12"/>
  <c r="AL24" i="12"/>
  <c r="BG24" i="12" s="1"/>
  <c r="J86" i="12" s="1"/>
  <c r="H155" i="12" s="1"/>
  <c r="H219" i="12" s="1"/>
  <c r="AK24" i="12"/>
  <c r="F82" i="12" s="1"/>
  <c r="AJ24" i="12"/>
  <c r="F78" i="12" s="1"/>
  <c r="D147" i="12" s="1"/>
  <c r="D211" i="12" s="1"/>
  <c r="AI24" i="12"/>
  <c r="F74" i="12" s="1"/>
  <c r="AH24" i="12"/>
  <c r="AG24" i="12"/>
  <c r="AF24" i="12"/>
  <c r="F62" i="12" s="1"/>
  <c r="D131" i="12" s="1"/>
  <c r="D195" i="12" s="1"/>
  <c r="AE24" i="12"/>
  <c r="F58" i="12" s="1"/>
  <c r="AD24" i="12"/>
  <c r="AC24" i="12"/>
  <c r="AX24" i="12" s="1"/>
  <c r="AB24" i="12"/>
  <c r="BJ23" i="12"/>
  <c r="J97" i="12" s="1"/>
  <c r="H166" i="12" s="1"/>
  <c r="H230" i="12" s="1"/>
  <c r="BI23" i="12"/>
  <c r="J93" i="12" s="1"/>
  <c r="BH23" i="12"/>
  <c r="BG23" i="12"/>
  <c r="J85" i="12" s="1"/>
  <c r="H154" i="12" s="1"/>
  <c r="H218" i="12" s="1"/>
  <c r="BE23" i="12"/>
  <c r="AX23" i="12"/>
  <c r="J49" i="12" s="1"/>
  <c r="H118" i="12" s="1"/>
  <c r="H182" i="12" s="1"/>
  <c r="AQ23" i="12"/>
  <c r="AP23" i="12"/>
  <c r="AO23" i="12"/>
  <c r="F97" i="12" s="1"/>
  <c r="D166" i="12" s="1"/>
  <c r="AN23" i="12"/>
  <c r="F93" i="12" s="1"/>
  <c r="AM23" i="12"/>
  <c r="F89" i="12" s="1"/>
  <c r="D158" i="12" s="1"/>
  <c r="D222" i="12" s="1"/>
  <c r="AL23" i="12"/>
  <c r="F85" i="12" s="1"/>
  <c r="AK23" i="12"/>
  <c r="BF23" i="12" s="1"/>
  <c r="J81" i="12" s="1"/>
  <c r="AJ23" i="12"/>
  <c r="AI23" i="12"/>
  <c r="AH23" i="12"/>
  <c r="AG23" i="12"/>
  <c r="AF23" i="12"/>
  <c r="F61" i="12" s="1"/>
  <c r="AE23" i="12"/>
  <c r="AD23" i="12"/>
  <c r="AC23" i="12"/>
  <c r="F49" i="12" s="1"/>
  <c r="D118" i="12" s="1"/>
  <c r="D182" i="12" s="1"/>
  <c r="AB23" i="12"/>
  <c r="F45" i="12" s="1"/>
  <c r="D114" i="12" s="1"/>
  <c r="D178" i="12" s="1"/>
  <c r="BH19" i="12"/>
  <c r="T92" i="12" s="1"/>
  <c r="T161" i="12" s="1"/>
  <c r="T225" i="12" s="1"/>
  <c r="BF19" i="12"/>
  <c r="T84" i="12" s="1"/>
  <c r="T153" i="12" s="1"/>
  <c r="T217" i="12" s="1"/>
  <c r="BD19" i="12"/>
  <c r="T76" i="12" s="1"/>
  <c r="T145" i="12" s="1"/>
  <c r="T209" i="12" s="1"/>
  <c r="BC19" i="12"/>
  <c r="T72" i="12" s="1"/>
  <c r="T141" i="12" s="1"/>
  <c r="T205" i="12" s="1"/>
  <c r="BA19" i="12"/>
  <c r="T64" i="12" s="1"/>
  <c r="T133" i="12" s="1"/>
  <c r="T197" i="12" s="1"/>
  <c r="AZ19" i="12"/>
  <c r="T60" i="12" s="1"/>
  <c r="T129" i="12" s="1"/>
  <c r="T193" i="12" s="1"/>
  <c r="AQ19" i="12"/>
  <c r="BL19" i="12" s="1"/>
  <c r="T108" i="12" s="1"/>
  <c r="T177" i="12" s="1"/>
  <c r="T241" i="12" s="1"/>
  <c r="AP19" i="12"/>
  <c r="AO19" i="12"/>
  <c r="AN19" i="12"/>
  <c r="AM19" i="12"/>
  <c r="AL19" i="12"/>
  <c r="BG19" i="12" s="1"/>
  <c r="T88" i="12" s="1"/>
  <c r="T157" i="12" s="1"/>
  <c r="T221" i="12" s="1"/>
  <c r="AK19" i="12"/>
  <c r="AJ19" i="12"/>
  <c r="AI19" i="12"/>
  <c r="AH19" i="12"/>
  <c r="P72" i="12" s="1"/>
  <c r="P141" i="12" s="1"/>
  <c r="P205" i="12" s="1"/>
  <c r="AG19" i="12"/>
  <c r="BB19" i="12" s="1"/>
  <c r="AF19" i="12"/>
  <c r="AE19" i="12"/>
  <c r="P60" i="12" s="1"/>
  <c r="P129" i="12" s="1"/>
  <c r="P193" i="12" s="1"/>
  <c r="AD19" i="12"/>
  <c r="AY19" i="12" s="1"/>
  <c r="T56" i="12" s="1"/>
  <c r="T125" i="12" s="1"/>
  <c r="T189" i="12" s="1"/>
  <c r="AC19" i="12"/>
  <c r="AB19" i="12"/>
  <c r="BI18" i="12"/>
  <c r="BH18" i="12"/>
  <c r="BG18" i="12"/>
  <c r="T87" i="12" s="1"/>
  <c r="BB18" i="12"/>
  <c r="T67" i="12" s="1"/>
  <c r="T136" i="12" s="1"/>
  <c r="T200" i="12" s="1"/>
  <c r="AZ18" i="12"/>
  <c r="T59" i="12" s="1"/>
  <c r="T128" i="12" s="1"/>
  <c r="T192" i="12" s="1"/>
  <c r="AW18" i="12"/>
  <c r="T47" i="12" s="1"/>
  <c r="T116" i="12" s="1"/>
  <c r="T180" i="12" s="1"/>
  <c r="AQ18" i="12"/>
  <c r="AP18" i="12"/>
  <c r="AO18" i="12"/>
  <c r="BJ18" i="12" s="1"/>
  <c r="T99" i="12" s="1"/>
  <c r="T168" i="12" s="1"/>
  <c r="T232" i="12" s="1"/>
  <c r="AN18" i="12"/>
  <c r="P95" i="12" s="1"/>
  <c r="P164" i="12" s="1"/>
  <c r="P228" i="12" s="1"/>
  <c r="AM18" i="12"/>
  <c r="P91" i="12" s="1"/>
  <c r="P160" i="12" s="1"/>
  <c r="P224" i="12" s="1"/>
  <c r="AL18" i="12"/>
  <c r="P87" i="12" s="1"/>
  <c r="P156" i="12" s="1"/>
  <c r="AK18" i="12"/>
  <c r="BF18" i="12" s="1"/>
  <c r="T83" i="12" s="1"/>
  <c r="AJ18" i="12"/>
  <c r="BE18" i="12" s="1"/>
  <c r="AI18" i="12"/>
  <c r="AH18" i="12"/>
  <c r="AG18" i="12"/>
  <c r="AF18" i="12"/>
  <c r="AE18" i="12"/>
  <c r="P59" i="12" s="1"/>
  <c r="P128" i="12" s="1"/>
  <c r="P192" i="12" s="1"/>
  <c r="AD18" i="12"/>
  <c r="AC18" i="12"/>
  <c r="AX18" i="12" s="1"/>
  <c r="T51" i="12" s="1"/>
  <c r="T120" i="12" s="1"/>
  <c r="AB18" i="12"/>
  <c r="BJ17" i="12"/>
  <c r="T98" i="12" s="1"/>
  <c r="T167" i="12" s="1"/>
  <c r="T231" i="12" s="1"/>
  <c r="BI17" i="12"/>
  <c r="T94" i="12" s="1"/>
  <c r="T163" i="12" s="1"/>
  <c r="T227" i="12" s="1"/>
  <c r="BG17" i="12"/>
  <c r="T86" i="12" s="1"/>
  <c r="T155" i="12" s="1"/>
  <c r="T219" i="12" s="1"/>
  <c r="BD17" i="12"/>
  <c r="T74" i="12" s="1"/>
  <c r="T143" i="12" s="1"/>
  <c r="T207" i="12" s="1"/>
  <c r="BC17" i="12"/>
  <c r="T70" i="12" s="1"/>
  <c r="T139" i="12" s="1"/>
  <c r="T203" i="12" s="1"/>
  <c r="BB17" i="12"/>
  <c r="T66" i="12" s="1"/>
  <c r="BA17" i="12"/>
  <c r="T62" i="12" s="1"/>
  <c r="T131" i="12" s="1"/>
  <c r="T195" i="12" s="1"/>
  <c r="AX17" i="12"/>
  <c r="AQ17" i="12"/>
  <c r="BL17" i="12" s="1"/>
  <c r="T106" i="12" s="1"/>
  <c r="T175" i="12" s="1"/>
  <c r="T239" i="12" s="1"/>
  <c r="AP17" i="12"/>
  <c r="AO17" i="12"/>
  <c r="AN17" i="12"/>
  <c r="AM17" i="12"/>
  <c r="P90" i="12" s="1"/>
  <c r="P159" i="12" s="1"/>
  <c r="P223" i="12" s="1"/>
  <c r="AL17" i="12"/>
  <c r="P86" i="12" s="1"/>
  <c r="P155" i="12" s="1"/>
  <c r="P219" i="12" s="1"/>
  <c r="AK17" i="12"/>
  <c r="AJ17" i="12"/>
  <c r="P78" i="12" s="1"/>
  <c r="P147" i="12" s="1"/>
  <c r="P211" i="12" s="1"/>
  <c r="AI17" i="12"/>
  <c r="AH17" i="12"/>
  <c r="AG17" i="12"/>
  <c r="AF17" i="12"/>
  <c r="AE17" i="12"/>
  <c r="AZ17" i="12" s="1"/>
  <c r="T58" i="12" s="1"/>
  <c r="T127" i="12" s="1"/>
  <c r="AD17" i="12"/>
  <c r="AC17" i="12"/>
  <c r="AB17" i="12"/>
  <c r="P46" i="12" s="1"/>
  <c r="P115" i="12" s="1"/>
  <c r="P179" i="12" s="1"/>
  <c r="BL16" i="12"/>
  <c r="T105" i="12" s="1"/>
  <c r="T174" i="12" s="1"/>
  <c r="T238" i="12" s="1"/>
  <c r="BK16" i="12"/>
  <c r="T101" i="12" s="1"/>
  <c r="T170" i="12" s="1"/>
  <c r="T234" i="12" s="1"/>
  <c r="BJ16" i="12"/>
  <c r="BI16" i="12"/>
  <c r="T93" i="12" s="1"/>
  <c r="T162" i="12" s="1"/>
  <c r="T226" i="12" s="1"/>
  <c r="BF16" i="12"/>
  <c r="T81" i="12" s="1"/>
  <c r="T150" i="12" s="1"/>
  <c r="T214" i="12" s="1"/>
  <c r="BD16" i="12"/>
  <c r="T73" i="12" s="1"/>
  <c r="T142" i="12" s="1"/>
  <c r="T206" i="12" s="1"/>
  <c r="BC16" i="12"/>
  <c r="T69" i="12" s="1"/>
  <c r="T138" i="12" s="1"/>
  <c r="T202" i="12" s="1"/>
  <c r="BA16" i="12"/>
  <c r="T61" i="12" s="1"/>
  <c r="T130" i="12" s="1"/>
  <c r="T194" i="12" s="1"/>
  <c r="AY16" i="12"/>
  <c r="T53" i="12" s="1"/>
  <c r="T122" i="12" s="1"/>
  <c r="T186" i="12" s="1"/>
  <c r="AX16" i="12"/>
  <c r="T49" i="12" s="1"/>
  <c r="T118" i="12" s="1"/>
  <c r="T182" i="12" s="1"/>
  <c r="AW16" i="12"/>
  <c r="T45" i="12" s="1"/>
  <c r="T114" i="12" s="1"/>
  <c r="T178" i="12" s="1"/>
  <c r="AQ16" i="12"/>
  <c r="P105" i="12" s="1"/>
  <c r="P174" i="12" s="1"/>
  <c r="P238" i="12" s="1"/>
  <c r="AP16" i="12"/>
  <c r="AO16" i="12"/>
  <c r="AN16" i="12"/>
  <c r="P93" i="12" s="1"/>
  <c r="P162" i="12" s="1"/>
  <c r="P226" i="12" s="1"/>
  <c r="AM16" i="12"/>
  <c r="BH16" i="12" s="1"/>
  <c r="T89" i="12" s="1"/>
  <c r="T158" i="12" s="1"/>
  <c r="T222" i="12" s="1"/>
  <c r="AL16" i="12"/>
  <c r="BG16" i="12" s="1"/>
  <c r="T85" i="12" s="1"/>
  <c r="T154" i="12" s="1"/>
  <c r="T218" i="12" s="1"/>
  <c r="AK16" i="12"/>
  <c r="AJ16" i="12"/>
  <c r="AI16" i="12"/>
  <c r="P73" i="12" s="1"/>
  <c r="P142" i="12" s="1"/>
  <c r="P206" i="12" s="1"/>
  <c r="AH16" i="12"/>
  <c r="P69" i="12" s="1"/>
  <c r="P138" i="12" s="1"/>
  <c r="P202" i="12" s="1"/>
  <c r="AG16" i="12"/>
  <c r="BB16" i="12" s="1"/>
  <c r="T65" i="12" s="1"/>
  <c r="T134" i="12" s="1"/>
  <c r="T198" i="12" s="1"/>
  <c r="AF16" i="12"/>
  <c r="P61" i="12" s="1"/>
  <c r="AE16" i="12"/>
  <c r="P57" i="12" s="1"/>
  <c r="P126" i="12" s="1"/>
  <c r="P190" i="12" s="1"/>
  <c r="AD16" i="12"/>
  <c r="AC16" i="12"/>
  <c r="AB16" i="12"/>
  <c r="BK15" i="12"/>
  <c r="BH15" i="12"/>
  <c r="K92" i="12" s="1"/>
  <c r="I161" i="12" s="1"/>
  <c r="BF15" i="12"/>
  <c r="K84" i="12" s="1"/>
  <c r="I153" i="12" s="1"/>
  <c r="I217" i="12" s="1"/>
  <c r="BE15" i="12"/>
  <c r="K80" i="12" s="1"/>
  <c r="I149" i="12" s="1"/>
  <c r="I213" i="12" s="1"/>
  <c r="BD15" i="12"/>
  <c r="K76" i="12" s="1"/>
  <c r="I145" i="12" s="1"/>
  <c r="I209" i="12" s="1"/>
  <c r="BC15" i="12"/>
  <c r="K72" i="12" s="1"/>
  <c r="I141" i="12" s="1"/>
  <c r="I205" i="12" s="1"/>
  <c r="BB15" i="12"/>
  <c r="AQ15" i="12"/>
  <c r="BL15" i="12" s="1"/>
  <c r="K108" i="12" s="1"/>
  <c r="I177" i="12" s="1"/>
  <c r="I241" i="12" s="1"/>
  <c r="AP15" i="12"/>
  <c r="AO15" i="12"/>
  <c r="BJ15" i="12" s="1"/>
  <c r="AN15" i="12"/>
  <c r="G96" i="12" s="1"/>
  <c r="E165" i="12" s="1"/>
  <c r="E229" i="12" s="1"/>
  <c r="AM15" i="12"/>
  <c r="G92" i="12" s="1"/>
  <c r="E161" i="12" s="1"/>
  <c r="E225" i="12" s="1"/>
  <c r="AL15" i="12"/>
  <c r="BG15" i="12" s="1"/>
  <c r="K88" i="12" s="1"/>
  <c r="I157" i="12" s="1"/>
  <c r="I221" i="12" s="1"/>
  <c r="AK15" i="12"/>
  <c r="G84" i="12" s="1"/>
  <c r="E153" i="12" s="1"/>
  <c r="E217" i="12" s="1"/>
  <c r="AJ15" i="12"/>
  <c r="G80" i="12" s="1"/>
  <c r="E149" i="12" s="1"/>
  <c r="E213" i="12" s="1"/>
  <c r="AI15" i="12"/>
  <c r="G76" i="12" s="1"/>
  <c r="E145" i="12" s="1"/>
  <c r="E209" i="12" s="1"/>
  <c r="AH15" i="12"/>
  <c r="AG15" i="12"/>
  <c r="AF15" i="12"/>
  <c r="BA15" i="12" s="1"/>
  <c r="AE15" i="12"/>
  <c r="AD15" i="12"/>
  <c r="AY15" i="12" s="1"/>
  <c r="K56" i="12" s="1"/>
  <c r="I125" i="12" s="1"/>
  <c r="I189" i="12" s="1"/>
  <c r="AC15" i="12"/>
  <c r="AX15" i="12" s="1"/>
  <c r="K52" i="12" s="1"/>
  <c r="I121" i="12" s="1"/>
  <c r="I185" i="12" s="1"/>
  <c r="AB15" i="12"/>
  <c r="BL14" i="12"/>
  <c r="K107" i="12" s="1"/>
  <c r="I176" i="12" s="1"/>
  <c r="I240" i="12" s="1"/>
  <c r="BK14" i="12"/>
  <c r="K103" i="12" s="1"/>
  <c r="I172" i="12" s="1"/>
  <c r="I236" i="12" s="1"/>
  <c r="BJ14" i="12"/>
  <c r="K99" i="12" s="1"/>
  <c r="I168" i="12" s="1"/>
  <c r="I232" i="12" s="1"/>
  <c r="BD14" i="12"/>
  <c r="K75" i="12" s="1"/>
  <c r="I144" i="12" s="1"/>
  <c r="I208" i="12" s="1"/>
  <c r="BC14" i="12"/>
  <c r="K71" i="12" s="1"/>
  <c r="I140" i="12" s="1"/>
  <c r="I204" i="12" s="1"/>
  <c r="BB14" i="12"/>
  <c r="AZ14" i="12"/>
  <c r="K59" i="12" s="1"/>
  <c r="I128" i="12" s="1"/>
  <c r="I192" i="12" s="1"/>
  <c r="AY14" i="12"/>
  <c r="AX14" i="12"/>
  <c r="K51" i="12" s="1"/>
  <c r="I120" i="12" s="1"/>
  <c r="I184" i="12" s="1"/>
  <c r="AW14" i="12"/>
  <c r="K47" i="12" s="1"/>
  <c r="I116" i="12" s="1"/>
  <c r="I180" i="12" s="1"/>
  <c r="AQ14" i="12"/>
  <c r="G107" i="12" s="1"/>
  <c r="AP14" i="12"/>
  <c r="G103" i="12" s="1"/>
  <c r="E172" i="12" s="1"/>
  <c r="E236" i="12" s="1"/>
  <c r="AO14" i="12"/>
  <c r="AN14" i="12"/>
  <c r="BI14" i="12" s="1"/>
  <c r="K95" i="12" s="1"/>
  <c r="I164" i="12" s="1"/>
  <c r="I228" i="12" s="1"/>
  <c r="AM14" i="12"/>
  <c r="AL14" i="12"/>
  <c r="AK14" i="12"/>
  <c r="AJ14" i="12"/>
  <c r="BE14" i="12" s="1"/>
  <c r="K79" i="12" s="1"/>
  <c r="I148" i="12" s="1"/>
  <c r="I212" i="12" s="1"/>
  <c r="AI14" i="12"/>
  <c r="G75" i="12" s="1"/>
  <c r="AH14" i="12"/>
  <c r="G71" i="12" s="1"/>
  <c r="E140" i="12" s="1"/>
  <c r="E204" i="12" s="1"/>
  <c r="AG14" i="12"/>
  <c r="G67" i="12" s="1"/>
  <c r="AF14" i="12"/>
  <c r="BA14" i="12" s="1"/>
  <c r="K63" i="12" s="1"/>
  <c r="I132" i="12" s="1"/>
  <c r="I196" i="12" s="1"/>
  <c r="AE14" i="12"/>
  <c r="AD14" i="12"/>
  <c r="AC14" i="12"/>
  <c r="AB14" i="12"/>
  <c r="BL13" i="12"/>
  <c r="K106" i="12" s="1"/>
  <c r="I175" i="12" s="1"/>
  <c r="BK13" i="12"/>
  <c r="K102" i="12" s="1"/>
  <c r="I171" i="12" s="1"/>
  <c r="I235" i="12" s="1"/>
  <c r="BJ13" i="12"/>
  <c r="K98" i="12" s="1"/>
  <c r="I167" i="12" s="1"/>
  <c r="I231" i="12" s="1"/>
  <c r="BH13" i="12"/>
  <c r="K90" i="12" s="1"/>
  <c r="I159" i="12" s="1"/>
  <c r="I223" i="12" s="1"/>
  <c r="BG13" i="12"/>
  <c r="BF13" i="12"/>
  <c r="K82" i="12" s="1"/>
  <c r="I151" i="12" s="1"/>
  <c r="I215" i="12" s="1"/>
  <c r="BE13" i="12"/>
  <c r="K78" i="12" s="1"/>
  <c r="I147" i="12" s="1"/>
  <c r="I211" i="12" s="1"/>
  <c r="AW13" i="12"/>
  <c r="K46" i="12" s="1"/>
  <c r="I115" i="12" s="1"/>
  <c r="I179" i="12" s="1"/>
  <c r="AQ13" i="12"/>
  <c r="AP13" i="12"/>
  <c r="G102" i="12" s="1"/>
  <c r="E171" i="12" s="1"/>
  <c r="E235" i="12" s="1"/>
  <c r="AO13" i="12"/>
  <c r="G98" i="12" s="1"/>
  <c r="AN13" i="12"/>
  <c r="AM13" i="12"/>
  <c r="AL13" i="12"/>
  <c r="AK13" i="12"/>
  <c r="AJ13" i="12"/>
  <c r="AI13" i="12"/>
  <c r="BD13" i="12" s="1"/>
  <c r="K74" i="12" s="1"/>
  <c r="I143" i="12" s="1"/>
  <c r="I207" i="12" s="1"/>
  <c r="AH13" i="12"/>
  <c r="BC13" i="12" s="1"/>
  <c r="K70" i="12" s="1"/>
  <c r="I139" i="12" s="1"/>
  <c r="I203" i="12" s="1"/>
  <c r="AG13" i="12"/>
  <c r="AF13" i="12"/>
  <c r="AE13" i="12"/>
  <c r="G58" i="12" s="1"/>
  <c r="E127" i="12" s="1"/>
  <c r="E191" i="12" s="1"/>
  <c r="AD13" i="12"/>
  <c r="AC13" i="12"/>
  <c r="AX13" i="12" s="1"/>
  <c r="K50" i="12" s="1"/>
  <c r="I119" i="12" s="1"/>
  <c r="I183" i="12" s="1"/>
  <c r="AB13" i="12"/>
  <c r="G46" i="12" s="1"/>
  <c r="E115" i="12" s="1"/>
  <c r="E179" i="12" s="1"/>
  <c r="BL12" i="12"/>
  <c r="K105" i="12" s="1"/>
  <c r="I174" i="12" s="1"/>
  <c r="I238" i="12" s="1"/>
  <c r="BK12" i="12"/>
  <c r="K101" i="12" s="1"/>
  <c r="I170" i="12" s="1"/>
  <c r="BF12" i="12"/>
  <c r="K81" i="12" s="1"/>
  <c r="BE12" i="12"/>
  <c r="K77" i="12" s="1"/>
  <c r="I146" i="12" s="1"/>
  <c r="I210" i="12" s="1"/>
  <c r="BD12" i="12"/>
  <c r="K73" i="12" s="1"/>
  <c r="BB12" i="12"/>
  <c r="K65" i="12" s="1"/>
  <c r="BA12" i="12"/>
  <c r="K61" i="12" s="1"/>
  <c r="I130" i="12" s="1"/>
  <c r="I194" i="12" s="1"/>
  <c r="AZ12" i="12"/>
  <c r="K57" i="12" s="1"/>
  <c r="I126" i="12" s="1"/>
  <c r="I190" i="12" s="1"/>
  <c r="AY12" i="12"/>
  <c r="AQ12" i="12"/>
  <c r="G105" i="12" s="1"/>
  <c r="E174" i="12" s="1"/>
  <c r="E238" i="12" s="1"/>
  <c r="AP12" i="12"/>
  <c r="AO12" i="12"/>
  <c r="BJ12" i="12" s="1"/>
  <c r="K97" i="12" s="1"/>
  <c r="I166" i="12" s="1"/>
  <c r="I230" i="12" s="1"/>
  <c r="AN12" i="12"/>
  <c r="AM12" i="12"/>
  <c r="AL12" i="12"/>
  <c r="AK12" i="12"/>
  <c r="AJ12" i="12"/>
  <c r="G77" i="12" s="1"/>
  <c r="E146" i="12" s="1"/>
  <c r="E210" i="12" s="1"/>
  <c r="AI12" i="12"/>
  <c r="AH12" i="12"/>
  <c r="AG12" i="12"/>
  <c r="AF12" i="12"/>
  <c r="AE12" i="12"/>
  <c r="G57" i="12" s="1"/>
  <c r="E126" i="12" s="1"/>
  <c r="E190" i="12" s="1"/>
  <c r="AD12" i="12"/>
  <c r="G53" i="12" s="1"/>
  <c r="E122" i="12" s="1"/>
  <c r="E186" i="12" s="1"/>
  <c r="AC12" i="12"/>
  <c r="AX12" i="12" s="1"/>
  <c r="AB12" i="12"/>
  <c r="AW12" i="12" s="1"/>
  <c r="K45" i="12" s="1"/>
  <c r="I114" i="12" s="1"/>
  <c r="I178" i="12" s="1"/>
  <c r="BL11" i="12"/>
  <c r="R108" i="12" s="1"/>
  <c r="R177" i="12" s="1"/>
  <c r="R241" i="12" s="1"/>
  <c r="BJ11" i="12"/>
  <c r="BI11" i="12"/>
  <c r="R96" i="12" s="1"/>
  <c r="R165" i="12" s="1"/>
  <c r="R229" i="12" s="1"/>
  <c r="BH11" i="12"/>
  <c r="R92" i="12" s="1"/>
  <c r="R161" i="12" s="1"/>
  <c r="R225" i="12" s="1"/>
  <c r="BG11" i="12"/>
  <c r="R88" i="12" s="1"/>
  <c r="R157" i="12" s="1"/>
  <c r="R221" i="12" s="1"/>
  <c r="BE11" i="12"/>
  <c r="AZ11" i="12"/>
  <c r="R60" i="12" s="1"/>
  <c r="R129" i="12" s="1"/>
  <c r="R193" i="12" s="1"/>
  <c r="AX11" i="12"/>
  <c r="R52" i="12" s="1"/>
  <c r="R121" i="12" s="1"/>
  <c r="R185" i="12" s="1"/>
  <c r="AQ11" i="12"/>
  <c r="N108" i="12" s="1"/>
  <c r="N177" i="12" s="1"/>
  <c r="AP11" i="12"/>
  <c r="AO11" i="12"/>
  <c r="AN11" i="12"/>
  <c r="N96" i="12" s="1"/>
  <c r="N165" i="12" s="1"/>
  <c r="M165" i="12" s="1"/>
  <c r="AM11" i="12"/>
  <c r="N92" i="12" s="1"/>
  <c r="AL11" i="12"/>
  <c r="AK11" i="12"/>
  <c r="BF11" i="12" s="1"/>
  <c r="AJ11" i="12"/>
  <c r="N80" i="12" s="1"/>
  <c r="N149" i="12" s="1"/>
  <c r="AI11" i="12"/>
  <c r="AH11" i="12"/>
  <c r="BC11" i="12" s="1"/>
  <c r="R72" i="12" s="1"/>
  <c r="R141" i="12" s="1"/>
  <c r="R205" i="12" s="1"/>
  <c r="AG11" i="12"/>
  <c r="AF11" i="12"/>
  <c r="N64" i="12" s="1"/>
  <c r="N133" i="12" s="1"/>
  <c r="AE11" i="12"/>
  <c r="N60" i="12" s="1"/>
  <c r="N129" i="12" s="1"/>
  <c r="AD11" i="12"/>
  <c r="N56" i="12" s="1"/>
  <c r="N125" i="12" s="1"/>
  <c r="AC11" i="12"/>
  <c r="AB11" i="12"/>
  <c r="AW11" i="12" s="1"/>
  <c r="BH10" i="12"/>
  <c r="BF10" i="12"/>
  <c r="BD10" i="12"/>
  <c r="BC10" i="12"/>
  <c r="R71" i="12" s="1"/>
  <c r="R140" i="12" s="1"/>
  <c r="R204" i="12" s="1"/>
  <c r="BA10" i="12"/>
  <c r="R63" i="12" s="1"/>
  <c r="R132" i="12" s="1"/>
  <c r="R196" i="12" s="1"/>
  <c r="AZ10" i="12"/>
  <c r="R59" i="12" s="1"/>
  <c r="R128" i="12" s="1"/>
  <c r="R192" i="12" s="1"/>
  <c r="AQ10" i="12"/>
  <c r="BL10" i="12" s="1"/>
  <c r="AP10" i="12"/>
  <c r="AO10" i="12"/>
  <c r="AN10" i="12"/>
  <c r="AM10" i="12"/>
  <c r="N91" i="12" s="1"/>
  <c r="AL10" i="12"/>
  <c r="N87" i="12" s="1"/>
  <c r="N156" i="12" s="1"/>
  <c r="AK10" i="12"/>
  <c r="AJ10" i="12"/>
  <c r="BE10" i="12" s="1"/>
  <c r="R79" i="12" s="1"/>
  <c r="R148" i="12" s="1"/>
  <c r="R212" i="12" s="1"/>
  <c r="AI10" i="12"/>
  <c r="AH10" i="12"/>
  <c r="N71" i="12" s="1"/>
  <c r="N140" i="12" s="1"/>
  <c r="N204" i="12" s="1"/>
  <c r="M204" i="12" s="1"/>
  <c r="AG10" i="12"/>
  <c r="BB10" i="12" s="1"/>
  <c r="R67" i="12" s="1"/>
  <c r="R136" i="12" s="1"/>
  <c r="R200" i="12" s="1"/>
  <c r="AF10" i="12"/>
  <c r="AE10" i="12"/>
  <c r="N59" i="12" s="1"/>
  <c r="N128" i="12" s="1"/>
  <c r="AD10" i="12"/>
  <c r="AC10" i="12"/>
  <c r="AB10" i="12"/>
  <c r="BI9" i="12"/>
  <c r="R94" i="12" s="1"/>
  <c r="BH9" i="12"/>
  <c r="R90" i="12" s="1"/>
  <c r="R159" i="12" s="1"/>
  <c r="R223" i="12" s="1"/>
  <c r="BG9" i="12"/>
  <c r="R86" i="12" s="1"/>
  <c r="R155" i="12" s="1"/>
  <c r="R219" i="12" s="1"/>
  <c r="BB9" i="12"/>
  <c r="R66" i="12" s="1"/>
  <c r="R135" i="12" s="1"/>
  <c r="R199" i="12" s="1"/>
  <c r="AW9" i="12"/>
  <c r="R46" i="12" s="1"/>
  <c r="R115" i="12" s="1"/>
  <c r="R179" i="12" s="1"/>
  <c r="AQ9" i="12"/>
  <c r="AP9" i="12"/>
  <c r="BK9" i="12" s="1"/>
  <c r="R102" i="12" s="1"/>
  <c r="R171" i="12" s="1"/>
  <c r="R235" i="12" s="1"/>
  <c r="AO9" i="12"/>
  <c r="BJ9" i="12" s="1"/>
  <c r="AN9" i="12"/>
  <c r="N94" i="12" s="1"/>
  <c r="N163" i="12" s="1"/>
  <c r="AM9" i="12"/>
  <c r="AL9" i="12"/>
  <c r="N86" i="12" s="1"/>
  <c r="N155" i="12" s="1"/>
  <c r="AK9" i="12"/>
  <c r="BF9" i="12" s="1"/>
  <c r="AJ9" i="12"/>
  <c r="AI9" i="12"/>
  <c r="AH9" i="12"/>
  <c r="BC9" i="12" s="1"/>
  <c r="R70" i="12" s="1"/>
  <c r="R139" i="12" s="1"/>
  <c r="AG9" i="12"/>
  <c r="AF9" i="12"/>
  <c r="AE9" i="12"/>
  <c r="AD9" i="12"/>
  <c r="AC9" i="12"/>
  <c r="AX9" i="12" s="1"/>
  <c r="R50" i="12" s="1"/>
  <c r="R119" i="12" s="1"/>
  <c r="R183" i="12" s="1"/>
  <c r="AB9" i="12"/>
  <c r="N46" i="12" s="1"/>
  <c r="N115" i="12" s="1"/>
  <c r="N179" i="12" s="1"/>
  <c r="M179" i="12" s="1"/>
  <c r="BJ8" i="12"/>
  <c r="R97" i="12" s="1"/>
  <c r="R166" i="12" s="1"/>
  <c r="R230" i="12" s="1"/>
  <c r="BI8" i="12"/>
  <c r="BD8" i="12"/>
  <c r="BC8" i="12"/>
  <c r="R69" i="12" s="1"/>
  <c r="R138" i="12" s="1"/>
  <c r="R202" i="12" s="1"/>
  <c r="BB8" i="12"/>
  <c r="R65" i="12" s="1"/>
  <c r="R134" i="12" s="1"/>
  <c r="R198" i="12" s="1"/>
  <c r="BA8" i="12"/>
  <c r="R61" i="12" s="1"/>
  <c r="AX8" i="12"/>
  <c r="R49" i="12" s="1"/>
  <c r="R118" i="12" s="1"/>
  <c r="R182" i="12" s="1"/>
  <c r="AQ8" i="12"/>
  <c r="AP8" i="12"/>
  <c r="AO8" i="12"/>
  <c r="AN8" i="12"/>
  <c r="AM8" i="12"/>
  <c r="N89" i="12" s="1"/>
  <c r="N158" i="12" s="1"/>
  <c r="AL8" i="12"/>
  <c r="N85" i="12" s="1"/>
  <c r="N154" i="12" s="1"/>
  <c r="M154" i="12" s="1"/>
  <c r="AK8" i="12"/>
  <c r="BF8" i="12" s="1"/>
  <c r="R81" i="12" s="1"/>
  <c r="R150" i="12" s="1"/>
  <c r="R214" i="12" s="1"/>
  <c r="AJ8" i="12"/>
  <c r="N77" i="12" s="1"/>
  <c r="N146" i="12" s="1"/>
  <c r="AI8" i="12"/>
  <c r="N73" i="12" s="1"/>
  <c r="N142" i="12" s="1"/>
  <c r="AH8" i="12"/>
  <c r="N69" i="12" s="1"/>
  <c r="N138" i="12" s="1"/>
  <c r="AG8" i="12"/>
  <c r="N65" i="12" s="1"/>
  <c r="N134" i="12" s="1"/>
  <c r="AF8" i="12"/>
  <c r="AE8" i="12"/>
  <c r="AD8" i="12"/>
  <c r="AC8" i="12"/>
  <c r="AB8" i="12"/>
  <c r="AW8" i="12" s="1"/>
  <c r="R45" i="12" s="1"/>
  <c r="BL7" i="12"/>
  <c r="BK7" i="12"/>
  <c r="I104" i="12" s="1"/>
  <c r="G173" i="12" s="1"/>
  <c r="BJ7" i="12"/>
  <c r="I100" i="12" s="1"/>
  <c r="BI7" i="12"/>
  <c r="I96" i="12" s="1"/>
  <c r="G165" i="12" s="1"/>
  <c r="G229" i="12" s="1"/>
  <c r="BF7" i="12"/>
  <c r="I84" i="12" s="1"/>
  <c r="G153" i="12" s="1"/>
  <c r="G217" i="12" s="1"/>
  <c r="BD7" i="12"/>
  <c r="I76" i="12" s="1"/>
  <c r="G145" i="12" s="1"/>
  <c r="G209" i="12" s="1"/>
  <c r="AY7" i="12"/>
  <c r="I56" i="12" s="1"/>
  <c r="G125" i="12" s="1"/>
  <c r="G189" i="12" s="1"/>
  <c r="AX7" i="12"/>
  <c r="I52" i="12" s="1"/>
  <c r="G121" i="12" s="1"/>
  <c r="G185" i="12" s="1"/>
  <c r="AW7" i="12"/>
  <c r="I48" i="12" s="1"/>
  <c r="G117" i="12" s="1"/>
  <c r="G181" i="12" s="1"/>
  <c r="AQ7" i="12"/>
  <c r="E108" i="12" s="1"/>
  <c r="C177" i="12" s="1"/>
  <c r="AP7" i="12"/>
  <c r="E104" i="12" s="1"/>
  <c r="C173" i="12" s="1"/>
  <c r="C237" i="12" s="1"/>
  <c r="B237" i="12" s="1"/>
  <c r="AO7" i="12"/>
  <c r="AN7" i="12"/>
  <c r="AM7" i="12"/>
  <c r="BH7" i="12" s="1"/>
  <c r="I92" i="12" s="1"/>
  <c r="G161" i="12" s="1"/>
  <c r="G225" i="12" s="1"/>
  <c r="AL7" i="12"/>
  <c r="AK7" i="12"/>
  <c r="AJ7" i="12"/>
  <c r="AI7" i="12"/>
  <c r="E76" i="12" s="1"/>
  <c r="C145" i="12" s="1"/>
  <c r="AH7" i="12"/>
  <c r="AG7" i="12"/>
  <c r="AF7" i="12"/>
  <c r="E64" i="12" s="1"/>
  <c r="C133" i="12" s="1"/>
  <c r="AE7" i="12"/>
  <c r="AZ7" i="12" s="1"/>
  <c r="AD7" i="12"/>
  <c r="E56" i="12" s="1"/>
  <c r="C125" i="12" s="1"/>
  <c r="C189" i="12" s="1"/>
  <c r="B189" i="12" s="1"/>
  <c r="AC7" i="12"/>
  <c r="AB7" i="12"/>
  <c r="BK6" i="12"/>
  <c r="I103" i="12" s="1"/>
  <c r="G172" i="12" s="1"/>
  <c r="G236" i="12" s="1"/>
  <c r="BI6" i="12"/>
  <c r="I95" i="12" s="1"/>
  <c r="G164" i="12" s="1"/>
  <c r="G228" i="12" s="1"/>
  <c r="BF6" i="12"/>
  <c r="I83" i="12" s="1"/>
  <c r="G152" i="12" s="1"/>
  <c r="G216" i="12" s="1"/>
  <c r="BE6" i="12"/>
  <c r="I79" i="12" s="1"/>
  <c r="G148" i="12" s="1"/>
  <c r="G212" i="12" s="1"/>
  <c r="BD6" i="12"/>
  <c r="I75" i="12" s="1"/>
  <c r="G144" i="12" s="1"/>
  <c r="G208" i="12" s="1"/>
  <c r="BC6" i="12"/>
  <c r="I71" i="12" s="1"/>
  <c r="G140" i="12" s="1"/>
  <c r="G204" i="12" s="1"/>
  <c r="BB6" i="12"/>
  <c r="AQ6" i="12"/>
  <c r="AP6" i="12"/>
  <c r="E103" i="12" s="1"/>
  <c r="C172" i="12" s="1"/>
  <c r="B172" i="12" s="1"/>
  <c r="AO6" i="12"/>
  <c r="BJ6" i="12" s="1"/>
  <c r="AN6" i="12"/>
  <c r="E95" i="12" s="1"/>
  <c r="C164" i="12" s="1"/>
  <c r="B164" i="12" s="1"/>
  <c r="AM6" i="12"/>
  <c r="AL6" i="12"/>
  <c r="AK6" i="12"/>
  <c r="E83" i="12" s="1"/>
  <c r="C152" i="12" s="1"/>
  <c r="AJ6" i="12"/>
  <c r="AI6" i="12"/>
  <c r="AH6" i="12"/>
  <c r="E71" i="12" s="1"/>
  <c r="C140" i="12" s="1"/>
  <c r="AG6" i="12"/>
  <c r="AF6" i="12"/>
  <c r="AE6" i="12"/>
  <c r="AD6" i="12"/>
  <c r="AY6" i="12" s="1"/>
  <c r="I55" i="12" s="1"/>
  <c r="AC6" i="12"/>
  <c r="AX6" i="12" s="1"/>
  <c r="AB6" i="12"/>
  <c r="E47" i="12" s="1"/>
  <c r="C116" i="12" s="1"/>
  <c r="BL5" i="12"/>
  <c r="I106" i="12" s="1"/>
  <c r="G175" i="12" s="1"/>
  <c r="G239" i="12" s="1"/>
  <c r="BK5" i="12"/>
  <c r="I102" i="12" s="1"/>
  <c r="G171" i="12" s="1"/>
  <c r="G235" i="12" s="1"/>
  <c r="BJ5" i="12"/>
  <c r="I98" i="12" s="1"/>
  <c r="G167" i="12" s="1"/>
  <c r="G231" i="12" s="1"/>
  <c r="BC5" i="12"/>
  <c r="I70" i="12" s="1"/>
  <c r="G139" i="12" s="1"/>
  <c r="G203" i="12" s="1"/>
  <c r="BB5" i="12"/>
  <c r="I66" i="12" s="1"/>
  <c r="G135" i="12" s="1"/>
  <c r="G199" i="12" s="1"/>
  <c r="AZ5" i="12"/>
  <c r="I58" i="12" s="1"/>
  <c r="G127" i="12" s="1"/>
  <c r="G191" i="12" s="1"/>
  <c r="AY5" i="12"/>
  <c r="AX5" i="12"/>
  <c r="I50" i="12" s="1"/>
  <c r="G119" i="12" s="1"/>
  <c r="G183" i="12" s="1"/>
  <c r="AW5" i="12"/>
  <c r="I46" i="12" s="1"/>
  <c r="G115" i="12" s="1"/>
  <c r="G179" i="12" s="1"/>
  <c r="AQ5" i="12"/>
  <c r="AP5" i="12"/>
  <c r="AO5" i="12"/>
  <c r="AN5" i="12"/>
  <c r="BI5" i="12" s="1"/>
  <c r="I94" i="12" s="1"/>
  <c r="G163" i="12" s="1"/>
  <c r="G227" i="12" s="1"/>
  <c r="AM5" i="12"/>
  <c r="AL5" i="12"/>
  <c r="AK5" i="12"/>
  <c r="AJ5" i="12"/>
  <c r="BE5" i="12" s="1"/>
  <c r="I78" i="12" s="1"/>
  <c r="G147" i="12" s="1"/>
  <c r="G211" i="12" s="1"/>
  <c r="AI5" i="12"/>
  <c r="AH5" i="12"/>
  <c r="E70" i="12" s="1"/>
  <c r="AG5" i="12"/>
  <c r="AF5" i="12"/>
  <c r="AE5" i="12"/>
  <c r="E58" i="12" s="1"/>
  <c r="AD5" i="12"/>
  <c r="E54" i="12" s="1"/>
  <c r="C123" i="12" s="1"/>
  <c r="AC5" i="12"/>
  <c r="AB5" i="12"/>
  <c r="BL4" i="12"/>
  <c r="I105" i="12" s="1"/>
  <c r="G174" i="12" s="1"/>
  <c r="G238" i="12" s="1"/>
  <c r="BK4" i="12"/>
  <c r="I101" i="12" s="1"/>
  <c r="G170" i="12" s="1"/>
  <c r="BH4" i="12"/>
  <c r="I89" i="12" s="1"/>
  <c r="G158" i="12" s="1"/>
  <c r="G222" i="12" s="1"/>
  <c r="BG4" i="12"/>
  <c r="I85" i="12" s="1"/>
  <c r="G154" i="12" s="1"/>
  <c r="G218" i="12" s="1"/>
  <c r="BF4" i="12"/>
  <c r="BE4" i="12"/>
  <c r="I77" i="12" s="1"/>
  <c r="AQ4" i="12"/>
  <c r="AP4" i="12"/>
  <c r="E101" i="12" s="1"/>
  <c r="C170" i="12" s="1"/>
  <c r="AO4" i="12"/>
  <c r="E97" i="12" s="1"/>
  <c r="C166" i="12" s="1"/>
  <c r="AN4" i="12"/>
  <c r="AM4" i="12"/>
  <c r="E89" i="12" s="1"/>
  <c r="C158" i="12" s="1"/>
  <c r="AL4" i="12"/>
  <c r="E85" i="12" s="1"/>
  <c r="C154" i="12" s="1"/>
  <c r="AK4" i="12"/>
  <c r="AJ4" i="12"/>
  <c r="E77" i="12" s="1"/>
  <c r="C146" i="12" s="1"/>
  <c r="C210" i="12" s="1"/>
  <c r="B210" i="12" s="1"/>
  <c r="AI4" i="12"/>
  <c r="BD4" i="12" s="1"/>
  <c r="I73" i="12" s="1"/>
  <c r="G142" i="12" s="1"/>
  <c r="G206" i="12" s="1"/>
  <c r="AH4" i="12"/>
  <c r="BC4" i="12" s="1"/>
  <c r="AG4" i="12"/>
  <c r="AF4" i="12"/>
  <c r="BA4" i="12" s="1"/>
  <c r="I61" i="12" s="1"/>
  <c r="AE4" i="12"/>
  <c r="AZ4" i="12" s="1"/>
  <c r="I57" i="12" s="1"/>
  <c r="G126" i="12" s="1"/>
  <c r="G190" i="12" s="1"/>
  <c r="AD4" i="12"/>
  <c r="AC4" i="12"/>
  <c r="AB4" i="12"/>
  <c r="B2" i="12"/>
  <c r="V225" i="11"/>
  <c r="W223" i="11"/>
  <c r="X222" i="11"/>
  <c r="R219" i="11"/>
  <c r="R213" i="11"/>
  <c r="P208" i="11"/>
  <c r="Y203" i="11"/>
  <c r="W203" i="11"/>
  <c r="V203" i="11"/>
  <c r="R203" i="11"/>
  <c r="Q203" i="11"/>
  <c r="O203" i="11"/>
  <c r="N203" i="11" s="1"/>
  <c r="Q202" i="11"/>
  <c r="P202" i="11"/>
  <c r="O202" i="11"/>
  <c r="N202" i="11" s="1"/>
  <c r="W201" i="11"/>
  <c r="V201" i="11"/>
  <c r="R201" i="11"/>
  <c r="O200" i="11"/>
  <c r="N200" i="11" s="1"/>
  <c r="R199" i="11"/>
  <c r="Y197" i="11"/>
  <c r="D197" i="11"/>
  <c r="C197" i="11" s="1"/>
  <c r="Q196" i="11"/>
  <c r="P196" i="11"/>
  <c r="R195" i="11"/>
  <c r="Q195" i="11"/>
  <c r="O192" i="11"/>
  <c r="N192" i="11" s="1"/>
  <c r="Y191" i="11"/>
  <c r="W191" i="11"/>
  <c r="W189" i="11"/>
  <c r="V189" i="11"/>
  <c r="P188" i="11"/>
  <c r="O188" i="11"/>
  <c r="N188" i="11" s="1"/>
  <c r="R187" i="11"/>
  <c r="Q187" i="11"/>
  <c r="W185" i="11"/>
  <c r="V185" i="11"/>
  <c r="Q184" i="11"/>
  <c r="O184" i="11"/>
  <c r="N184" i="11" s="1"/>
  <c r="Q183" i="11"/>
  <c r="D181" i="11"/>
  <c r="C181" i="11" s="1"/>
  <c r="O180" i="11"/>
  <c r="N180" i="11" s="1"/>
  <c r="Y179" i="11"/>
  <c r="W179" i="11"/>
  <c r="P178" i="11"/>
  <c r="R177" i="11"/>
  <c r="Q172" i="11"/>
  <c r="Q225" i="11" s="1"/>
  <c r="O172" i="11"/>
  <c r="W171" i="11"/>
  <c r="W224" i="11" s="1"/>
  <c r="Q171" i="11"/>
  <c r="Q224" i="11" s="1"/>
  <c r="X170" i="11"/>
  <c r="X223" i="11" s="1"/>
  <c r="Q170" i="11"/>
  <c r="Q223" i="11" s="1"/>
  <c r="P170" i="11"/>
  <c r="P223" i="11" s="1"/>
  <c r="O170" i="11"/>
  <c r="V169" i="11"/>
  <c r="V222" i="11" s="1"/>
  <c r="Y167" i="11"/>
  <c r="Y220" i="11" s="1"/>
  <c r="R165" i="11"/>
  <c r="R218" i="11" s="1"/>
  <c r="P164" i="11"/>
  <c r="P217" i="11" s="1"/>
  <c r="R163" i="11"/>
  <c r="R216" i="11" s="1"/>
  <c r="V161" i="11"/>
  <c r="V214" i="11" s="1"/>
  <c r="Q160" i="11"/>
  <c r="Q213" i="11" s="1"/>
  <c r="P160" i="11"/>
  <c r="P213" i="11" s="1"/>
  <c r="Q159" i="11"/>
  <c r="Q212" i="11" s="1"/>
  <c r="Q158" i="11"/>
  <c r="Q211" i="11" s="1"/>
  <c r="P158" i="11"/>
  <c r="P211" i="11" s="1"/>
  <c r="O158" i="11"/>
  <c r="O156" i="11"/>
  <c r="Y155" i="11"/>
  <c r="Y208" i="11" s="1"/>
  <c r="W155" i="11"/>
  <c r="W208" i="11" s="1"/>
  <c r="R155" i="11"/>
  <c r="R208" i="11" s="1"/>
  <c r="P152" i="11"/>
  <c r="P205" i="11" s="1"/>
  <c r="R151" i="11"/>
  <c r="R204" i="11" s="1"/>
  <c r="Y150" i="11"/>
  <c r="X150" i="11"/>
  <c r="X203" i="11" s="1"/>
  <c r="W150" i="11"/>
  <c r="V150" i="11"/>
  <c r="R150" i="11"/>
  <c r="Q150" i="11"/>
  <c r="P150" i="11"/>
  <c r="P203" i="11" s="1"/>
  <c r="O150" i="11"/>
  <c r="N150" i="11"/>
  <c r="C150" i="11"/>
  <c r="O149" i="11"/>
  <c r="N149" i="11" s="1"/>
  <c r="G148" i="11"/>
  <c r="G200" i="11" s="1"/>
  <c r="Y147" i="11"/>
  <c r="Y200" i="11" s="1"/>
  <c r="P146" i="11"/>
  <c r="P199" i="11" s="1"/>
  <c r="R145" i="11"/>
  <c r="R198" i="11" s="1"/>
  <c r="D145" i="11"/>
  <c r="C145" i="11"/>
  <c r="G144" i="11"/>
  <c r="G196" i="11" s="1"/>
  <c r="Y143" i="11"/>
  <c r="Y196" i="11" s="1"/>
  <c r="X143" i="11"/>
  <c r="X196" i="11" s="1"/>
  <c r="E143" i="11"/>
  <c r="E195" i="11" s="1"/>
  <c r="C142" i="11"/>
  <c r="Y141" i="11"/>
  <c r="Y194" i="11" s="1"/>
  <c r="G141" i="11"/>
  <c r="G193" i="11" s="1"/>
  <c r="F141" i="11"/>
  <c r="F193" i="11" s="1"/>
  <c r="G140" i="11"/>
  <c r="G192" i="11" s="1"/>
  <c r="Y139" i="11"/>
  <c r="Y192" i="11" s="1"/>
  <c r="F139" i="11"/>
  <c r="F191" i="11" s="1"/>
  <c r="E139" i="11"/>
  <c r="E191" i="11" s="1"/>
  <c r="D139" i="11"/>
  <c r="C139" i="11" s="1"/>
  <c r="X138" i="11"/>
  <c r="X191" i="11" s="1"/>
  <c r="G138" i="11"/>
  <c r="G190" i="11" s="1"/>
  <c r="R137" i="11"/>
  <c r="R190" i="11" s="1"/>
  <c r="F137" i="11"/>
  <c r="F189" i="11" s="1"/>
  <c r="E137" i="11"/>
  <c r="E189" i="11" s="1"/>
  <c r="Y135" i="11"/>
  <c r="Y188" i="11" s="1"/>
  <c r="X135" i="11"/>
  <c r="X188" i="11" s="1"/>
  <c r="H135" i="11"/>
  <c r="H187" i="11" s="1"/>
  <c r="F135" i="11"/>
  <c r="F187" i="11" s="1"/>
  <c r="E135" i="11"/>
  <c r="E187" i="11" s="1"/>
  <c r="Q134" i="11"/>
  <c r="X133" i="11"/>
  <c r="X186" i="11" s="1"/>
  <c r="R133" i="11"/>
  <c r="R186" i="11" s="1"/>
  <c r="E133" i="11"/>
  <c r="E185" i="11" s="1"/>
  <c r="D133" i="11"/>
  <c r="D185" i="11" s="1"/>
  <c r="C185" i="11" s="1"/>
  <c r="C133" i="11"/>
  <c r="X132" i="11"/>
  <c r="X185" i="11" s="1"/>
  <c r="G132" i="11"/>
  <c r="G184" i="11" s="1"/>
  <c r="O131" i="11"/>
  <c r="N131" i="11" s="1"/>
  <c r="E131" i="11"/>
  <c r="E183" i="11" s="1"/>
  <c r="G130" i="11"/>
  <c r="G182" i="11" s="1"/>
  <c r="C130" i="11"/>
  <c r="G129" i="11"/>
  <c r="G181" i="11" s="1"/>
  <c r="D129" i="11"/>
  <c r="C129" i="11"/>
  <c r="G128" i="11"/>
  <c r="G180" i="11" s="1"/>
  <c r="E127" i="11"/>
  <c r="E179" i="11" s="1"/>
  <c r="D125" i="11"/>
  <c r="D177" i="11" s="1"/>
  <c r="C177" i="11" s="1"/>
  <c r="C125" i="11"/>
  <c r="J124" i="11"/>
  <c r="J176" i="11" s="1"/>
  <c r="C124" i="11"/>
  <c r="Y123" i="11"/>
  <c r="Y176" i="11" s="1"/>
  <c r="X123" i="11"/>
  <c r="X176" i="11" s="1"/>
  <c r="H123" i="11"/>
  <c r="H175" i="11" s="1"/>
  <c r="P122" i="11"/>
  <c r="P175" i="11" s="1"/>
  <c r="J122" i="11"/>
  <c r="J174" i="11" s="1"/>
  <c r="F121" i="11"/>
  <c r="F173" i="11" s="1"/>
  <c r="F225" i="11" s="1"/>
  <c r="I120" i="11"/>
  <c r="I172" i="11" s="1"/>
  <c r="I224" i="11" s="1"/>
  <c r="C120" i="11"/>
  <c r="H119" i="11"/>
  <c r="H171" i="11" s="1"/>
  <c r="H223" i="11" s="1"/>
  <c r="G119" i="11"/>
  <c r="G171" i="11" s="1"/>
  <c r="G223" i="11" s="1"/>
  <c r="F119" i="11"/>
  <c r="F171" i="11" s="1"/>
  <c r="F223" i="11" s="1"/>
  <c r="D119" i="11"/>
  <c r="C119" i="11" s="1"/>
  <c r="X117" i="11"/>
  <c r="H117" i="11"/>
  <c r="H169" i="11" s="1"/>
  <c r="H221" i="11" s="1"/>
  <c r="E117" i="11"/>
  <c r="E169" i="11" s="1"/>
  <c r="E221" i="11" s="1"/>
  <c r="C116" i="11"/>
  <c r="F113" i="11"/>
  <c r="F165" i="11" s="1"/>
  <c r="F217" i="11" s="1"/>
  <c r="G112" i="11"/>
  <c r="G164" i="11" s="1"/>
  <c r="G216" i="11" s="1"/>
  <c r="J110" i="11"/>
  <c r="J162" i="11" s="1"/>
  <c r="J214" i="11" s="1"/>
  <c r="I110" i="11"/>
  <c r="I162" i="11" s="1"/>
  <c r="I214" i="11" s="1"/>
  <c r="G110" i="11"/>
  <c r="G162" i="11" s="1"/>
  <c r="G214" i="11" s="1"/>
  <c r="R109" i="11"/>
  <c r="R162" i="11" s="1"/>
  <c r="R215" i="11" s="1"/>
  <c r="X108" i="11"/>
  <c r="X161" i="11" s="1"/>
  <c r="X214" i="11" s="1"/>
  <c r="P108" i="11"/>
  <c r="P161" i="11" s="1"/>
  <c r="P214" i="11" s="1"/>
  <c r="G108" i="11"/>
  <c r="G160" i="11" s="1"/>
  <c r="G212" i="11" s="1"/>
  <c r="C108" i="11"/>
  <c r="R107" i="11"/>
  <c r="R160" i="11" s="1"/>
  <c r="F107" i="11"/>
  <c r="F159" i="11" s="1"/>
  <c r="F211" i="11" s="1"/>
  <c r="E107" i="11"/>
  <c r="E159" i="11" s="1"/>
  <c r="E211" i="11" s="1"/>
  <c r="G105" i="11"/>
  <c r="G157" i="11" s="1"/>
  <c r="G209" i="11" s="1"/>
  <c r="J104" i="11"/>
  <c r="J156" i="11" s="1"/>
  <c r="J208" i="11" s="1"/>
  <c r="G104" i="11"/>
  <c r="G156" i="11" s="1"/>
  <c r="G208" i="11" s="1"/>
  <c r="C104" i="11"/>
  <c r="W103" i="11"/>
  <c r="W156" i="11" s="1"/>
  <c r="W209" i="11" s="1"/>
  <c r="R103" i="11"/>
  <c r="R156" i="11" s="1"/>
  <c r="R209" i="11" s="1"/>
  <c r="P102" i="11"/>
  <c r="P155" i="11" s="1"/>
  <c r="G102" i="11"/>
  <c r="G154" i="11" s="1"/>
  <c r="G206" i="11" s="1"/>
  <c r="C102" i="11"/>
  <c r="E101" i="11"/>
  <c r="E153" i="11" s="1"/>
  <c r="E205" i="11" s="1"/>
  <c r="G100" i="11"/>
  <c r="G152" i="11" s="1"/>
  <c r="G204" i="11" s="1"/>
  <c r="C100" i="11"/>
  <c r="W99" i="11"/>
  <c r="W152" i="11" s="1"/>
  <c r="W205" i="11" s="1"/>
  <c r="F99" i="11"/>
  <c r="F151" i="11" s="1"/>
  <c r="F203" i="11" s="1"/>
  <c r="E99" i="11"/>
  <c r="E151" i="11" s="1"/>
  <c r="E203" i="11" s="1"/>
  <c r="P98" i="11"/>
  <c r="P151" i="11" s="1"/>
  <c r="P204" i="11" s="1"/>
  <c r="R96" i="11"/>
  <c r="R149" i="11" s="1"/>
  <c r="R202" i="11" s="1"/>
  <c r="P96" i="11"/>
  <c r="P149" i="11" s="1"/>
  <c r="O96" i="11"/>
  <c r="J96" i="11"/>
  <c r="H149" i="11" s="1"/>
  <c r="H201" i="11" s="1"/>
  <c r="H96" i="11"/>
  <c r="F149" i="11" s="1"/>
  <c r="F201" i="11" s="1"/>
  <c r="R95" i="11"/>
  <c r="R148" i="11" s="1"/>
  <c r="M95" i="11"/>
  <c r="K148" i="11" s="1"/>
  <c r="K200" i="11" s="1"/>
  <c r="I95" i="11"/>
  <c r="X93" i="11"/>
  <c r="X146" i="11" s="1"/>
  <c r="X199" i="11" s="1"/>
  <c r="W93" i="11"/>
  <c r="W146" i="11" s="1"/>
  <c r="W199" i="11" s="1"/>
  <c r="V93" i="11"/>
  <c r="V146" i="11" s="1"/>
  <c r="V199" i="11" s="1"/>
  <c r="R93" i="11"/>
  <c r="R146" i="11" s="1"/>
  <c r="O93" i="11"/>
  <c r="O146" i="11" s="1"/>
  <c r="I93" i="11"/>
  <c r="G146" i="11" s="1"/>
  <c r="G198" i="11" s="1"/>
  <c r="G93" i="11"/>
  <c r="E146" i="11" s="1"/>
  <c r="E198" i="11" s="1"/>
  <c r="Y92" i="11"/>
  <c r="Y145" i="11" s="1"/>
  <c r="Y198" i="11" s="1"/>
  <c r="R92" i="11"/>
  <c r="O92" i="11"/>
  <c r="O145" i="11" s="1"/>
  <c r="N145" i="11" s="1"/>
  <c r="R91" i="11"/>
  <c r="R144" i="11" s="1"/>
  <c r="R197" i="11" s="1"/>
  <c r="Q91" i="11"/>
  <c r="Q144" i="11" s="1"/>
  <c r="Q197" i="11" s="1"/>
  <c r="P91" i="11"/>
  <c r="P144" i="11" s="1"/>
  <c r="P197" i="11" s="1"/>
  <c r="O91" i="11"/>
  <c r="O144" i="11" s="1"/>
  <c r="F91" i="11"/>
  <c r="D144" i="11" s="1"/>
  <c r="D196" i="11" s="1"/>
  <c r="C196" i="11" s="1"/>
  <c r="X90" i="11"/>
  <c r="R90" i="11"/>
  <c r="R143" i="11" s="1"/>
  <c r="R196" i="11" s="1"/>
  <c r="Q90" i="11"/>
  <c r="Q143" i="11" s="1"/>
  <c r="O90" i="11"/>
  <c r="O143" i="11" s="1"/>
  <c r="N143" i="11" s="1"/>
  <c r="I90" i="11"/>
  <c r="G143" i="11" s="1"/>
  <c r="G195" i="11" s="1"/>
  <c r="H90" i="11"/>
  <c r="F143" i="11" s="1"/>
  <c r="F195" i="11" s="1"/>
  <c r="X89" i="11"/>
  <c r="X142" i="11" s="1"/>
  <c r="X195" i="11" s="1"/>
  <c r="R89" i="11"/>
  <c r="R142" i="11" s="1"/>
  <c r="O89" i="11"/>
  <c r="O142" i="11" s="1"/>
  <c r="I89" i="11"/>
  <c r="G142" i="11" s="1"/>
  <c r="G194" i="11" s="1"/>
  <c r="G89" i="11"/>
  <c r="E142" i="11" s="1"/>
  <c r="E194" i="11" s="1"/>
  <c r="F89" i="11"/>
  <c r="D142" i="11" s="1"/>
  <c r="D194" i="11" s="1"/>
  <c r="C194" i="11" s="1"/>
  <c r="Q88" i="11"/>
  <c r="Q141" i="11" s="1"/>
  <c r="Q194" i="11" s="1"/>
  <c r="P88" i="11"/>
  <c r="P141" i="11" s="1"/>
  <c r="P194" i="11" s="1"/>
  <c r="O88" i="11"/>
  <c r="O141" i="11" s="1"/>
  <c r="N141" i="11" s="1"/>
  <c r="L88" i="11"/>
  <c r="J141" i="11" s="1"/>
  <c r="J193" i="11" s="1"/>
  <c r="X87" i="11"/>
  <c r="X140" i="11" s="1"/>
  <c r="X193" i="11" s="1"/>
  <c r="Q87" i="11"/>
  <c r="Q140" i="11" s="1"/>
  <c r="Q193" i="11" s="1"/>
  <c r="O87" i="11"/>
  <c r="O140" i="11" s="1"/>
  <c r="I87" i="11"/>
  <c r="H87" i="11"/>
  <c r="F140" i="11" s="1"/>
  <c r="F192" i="11" s="1"/>
  <c r="G87" i="11"/>
  <c r="E140" i="11" s="1"/>
  <c r="E192" i="11" s="1"/>
  <c r="F87" i="11"/>
  <c r="D140" i="11" s="1"/>
  <c r="D192" i="11" s="1"/>
  <c r="C192" i="11" s="1"/>
  <c r="P86" i="11"/>
  <c r="P139" i="11" s="1"/>
  <c r="P192" i="11" s="1"/>
  <c r="O86" i="11"/>
  <c r="O139" i="11" s="1"/>
  <c r="N139" i="11" s="1"/>
  <c r="L86" i="11"/>
  <c r="J139" i="11" s="1"/>
  <c r="J191" i="11" s="1"/>
  <c r="J86" i="11"/>
  <c r="H139" i="11" s="1"/>
  <c r="H191" i="11" s="1"/>
  <c r="H86" i="11"/>
  <c r="F86" i="11"/>
  <c r="R85" i="11"/>
  <c r="R138" i="11" s="1"/>
  <c r="R191" i="11" s="1"/>
  <c r="P85" i="11"/>
  <c r="P138" i="11" s="1"/>
  <c r="P191" i="11" s="1"/>
  <c r="I85" i="11"/>
  <c r="F85" i="11"/>
  <c r="D138" i="11" s="1"/>
  <c r="D190" i="11" s="1"/>
  <c r="C190" i="11" s="1"/>
  <c r="X84" i="11"/>
  <c r="X137" i="11" s="1"/>
  <c r="X190" i="11" s="1"/>
  <c r="R84" i="11"/>
  <c r="Q84" i="11"/>
  <c r="Q137" i="11" s="1"/>
  <c r="Q190" i="11" s="1"/>
  <c r="O84" i="11"/>
  <c r="O137" i="11" s="1"/>
  <c r="N137" i="11" s="1"/>
  <c r="J84" i="11"/>
  <c r="H137" i="11" s="1"/>
  <c r="H189" i="11" s="1"/>
  <c r="H84" i="11"/>
  <c r="G84" i="11"/>
  <c r="O83" i="11"/>
  <c r="O136" i="11" s="1"/>
  <c r="I83" i="11"/>
  <c r="G136" i="11" s="1"/>
  <c r="G188" i="11" s="1"/>
  <c r="H83" i="11"/>
  <c r="F136" i="11" s="1"/>
  <c r="F188" i="11" s="1"/>
  <c r="F83" i="11"/>
  <c r="D136" i="11" s="1"/>
  <c r="D188" i="11" s="1"/>
  <c r="C188" i="11" s="1"/>
  <c r="R82" i="11"/>
  <c r="R135" i="11" s="1"/>
  <c r="R188" i="11" s="1"/>
  <c r="P82" i="11"/>
  <c r="P135" i="11" s="1"/>
  <c r="O82" i="11"/>
  <c r="O135" i="11" s="1"/>
  <c r="N135" i="11" s="1"/>
  <c r="L82" i="11"/>
  <c r="J135" i="11" s="1"/>
  <c r="J187" i="11" s="1"/>
  <c r="G82" i="11"/>
  <c r="X81" i="11"/>
  <c r="X134" i="11" s="1"/>
  <c r="X187" i="11" s="1"/>
  <c r="W81" i="11"/>
  <c r="W134" i="11" s="1"/>
  <c r="W187" i="11" s="1"/>
  <c r="R81" i="11"/>
  <c r="R134" i="11" s="1"/>
  <c r="Q81" i="11"/>
  <c r="O81" i="11"/>
  <c r="O134" i="11" s="1"/>
  <c r="G81" i="11"/>
  <c r="E134" i="11" s="1"/>
  <c r="E186" i="11" s="1"/>
  <c r="F81" i="11"/>
  <c r="D134" i="11" s="1"/>
  <c r="D186" i="11" s="1"/>
  <c r="C186" i="11" s="1"/>
  <c r="Y80" i="11"/>
  <c r="Y133" i="11" s="1"/>
  <c r="Y186" i="11" s="1"/>
  <c r="X80" i="11"/>
  <c r="R80" i="11"/>
  <c r="O80" i="11"/>
  <c r="O133" i="11" s="1"/>
  <c r="N133" i="11" s="1"/>
  <c r="I80" i="11"/>
  <c r="G133" i="11" s="1"/>
  <c r="G185" i="11" s="1"/>
  <c r="G80" i="11"/>
  <c r="F80" i="11"/>
  <c r="V79" i="11"/>
  <c r="V132" i="11" s="1"/>
  <c r="R79" i="11"/>
  <c r="R132" i="11" s="1"/>
  <c r="R185" i="11" s="1"/>
  <c r="Q79" i="11"/>
  <c r="Q132" i="11" s="1"/>
  <c r="Q185" i="11" s="1"/>
  <c r="P79" i="11"/>
  <c r="P132" i="11" s="1"/>
  <c r="P185" i="11" s="1"/>
  <c r="J79" i="11"/>
  <c r="H132" i="11" s="1"/>
  <c r="H184" i="11" s="1"/>
  <c r="I79" i="11"/>
  <c r="R78" i="11"/>
  <c r="R131" i="11" s="1"/>
  <c r="R184" i="11" s="1"/>
  <c r="Q78" i="11"/>
  <c r="Q131" i="11" s="1"/>
  <c r="O78" i="11"/>
  <c r="H78" i="11"/>
  <c r="F131" i="11" s="1"/>
  <c r="F183" i="11" s="1"/>
  <c r="F78" i="11"/>
  <c r="D131" i="11" s="1"/>
  <c r="J77" i="11"/>
  <c r="H130" i="11" s="1"/>
  <c r="H182" i="11" s="1"/>
  <c r="I77" i="11"/>
  <c r="H77" i="11"/>
  <c r="F130" i="11" s="1"/>
  <c r="F182" i="11" s="1"/>
  <c r="F77" i="11"/>
  <c r="D130" i="11" s="1"/>
  <c r="D182" i="11" s="1"/>
  <c r="C182" i="11" s="1"/>
  <c r="V76" i="11"/>
  <c r="V129" i="11" s="1"/>
  <c r="V182" i="11" s="1"/>
  <c r="R76" i="11"/>
  <c r="R129" i="11" s="1"/>
  <c r="R182" i="11" s="1"/>
  <c r="Q76" i="11"/>
  <c r="Q129" i="11" s="1"/>
  <c r="Q182" i="11" s="1"/>
  <c r="I76" i="11"/>
  <c r="F76" i="11"/>
  <c r="Y75" i="11"/>
  <c r="Y128" i="11" s="1"/>
  <c r="Y181" i="11" s="1"/>
  <c r="R75" i="11"/>
  <c r="R128" i="11" s="1"/>
  <c r="R181" i="11" s="1"/>
  <c r="Q75" i="11"/>
  <c r="Q128" i="11" s="1"/>
  <c r="Q181" i="11" s="1"/>
  <c r="O75" i="11"/>
  <c r="O128" i="11" s="1"/>
  <c r="I75" i="11"/>
  <c r="G75" i="11"/>
  <c r="E128" i="11" s="1"/>
  <c r="E180" i="11" s="1"/>
  <c r="O74" i="11"/>
  <c r="O127" i="11" s="1"/>
  <c r="N127" i="11" s="1"/>
  <c r="J74" i="11"/>
  <c r="H127" i="11" s="1"/>
  <c r="H179" i="11" s="1"/>
  <c r="I74" i="11"/>
  <c r="G127" i="11" s="1"/>
  <c r="G179" i="11" s="1"/>
  <c r="F74" i="11"/>
  <c r="D127" i="11" s="1"/>
  <c r="P73" i="11"/>
  <c r="P126" i="11" s="1"/>
  <c r="P179" i="11" s="1"/>
  <c r="L73" i="11"/>
  <c r="J126" i="11" s="1"/>
  <c r="J178" i="11" s="1"/>
  <c r="O72" i="11"/>
  <c r="O125" i="11" s="1"/>
  <c r="N125" i="11" s="1"/>
  <c r="J72" i="11"/>
  <c r="H125" i="11" s="1"/>
  <c r="H177" i="11" s="1"/>
  <c r="I72" i="11"/>
  <c r="G125" i="11" s="1"/>
  <c r="G177" i="11" s="1"/>
  <c r="H72" i="11"/>
  <c r="F125" i="11" s="1"/>
  <c r="F177" i="11" s="1"/>
  <c r="G72" i="11"/>
  <c r="E125" i="11" s="1"/>
  <c r="E177" i="11" s="1"/>
  <c r="F72" i="11"/>
  <c r="O71" i="11"/>
  <c r="O124" i="11" s="1"/>
  <c r="J71" i="11"/>
  <c r="H124" i="11" s="1"/>
  <c r="H176" i="11" s="1"/>
  <c r="I71" i="11"/>
  <c r="G124" i="11" s="1"/>
  <c r="G176" i="11" s="1"/>
  <c r="H71" i="11"/>
  <c r="F124" i="11" s="1"/>
  <c r="F176" i="11" s="1"/>
  <c r="F71" i="11"/>
  <c r="D124" i="11" s="1"/>
  <c r="D176" i="11" s="1"/>
  <c r="C176" i="11" s="1"/>
  <c r="Q70" i="11"/>
  <c r="Q123" i="11" s="1"/>
  <c r="Q176" i="11" s="1"/>
  <c r="M70" i="11"/>
  <c r="K123" i="11" s="1"/>
  <c r="K175" i="11" s="1"/>
  <c r="J70" i="11"/>
  <c r="F70" i="11"/>
  <c r="D123" i="11" s="1"/>
  <c r="V69" i="11"/>
  <c r="V122" i="11" s="1"/>
  <c r="V175" i="11" s="1"/>
  <c r="P69" i="11"/>
  <c r="O69" i="11"/>
  <c r="O122" i="11" s="1"/>
  <c r="J69" i="11"/>
  <c r="H122" i="11" s="1"/>
  <c r="H174" i="11" s="1"/>
  <c r="H69" i="11"/>
  <c r="F122" i="11" s="1"/>
  <c r="F174" i="11" s="1"/>
  <c r="G69" i="11"/>
  <c r="E122" i="11" s="1"/>
  <c r="E174" i="11" s="1"/>
  <c r="F69" i="11"/>
  <c r="D122" i="11" s="1"/>
  <c r="D174" i="11" s="1"/>
  <c r="C174" i="11" s="1"/>
  <c r="L68" i="11"/>
  <c r="J121" i="11" s="1"/>
  <c r="J173" i="11" s="1"/>
  <c r="J225" i="11" s="1"/>
  <c r="H68" i="11"/>
  <c r="R67" i="11"/>
  <c r="R120" i="11" s="1"/>
  <c r="R173" i="11" s="1"/>
  <c r="O67" i="11"/>
  <c r="O120" i="11" s="1"/>
  <c r="F67" i="11"/>
  <c r="D120" i="11" s="1"/>
  <c r="D172" i="11" s="1"/>
  <c r="X66" i="11"/>
  <c r="X119" i="11" s="1"/>
  <c r="X172" i="11" s="1"/>
  <c r="X225" i="11" s="1"/>
  <c r="V66" i="11"/>
  <c r="V119" i="11" s="1"/>
  <c r="V172" i="11" s="1"/>
  <c r="Q66" i="11"/>
  <c r="Q119" i="11" s="1"/>
  <c r="O66" i="11"/>
  <c r="O119" i="11" s="1"/>
  <c r="N119" i="11" s="1"/>
  <c r="J66" i="11"/>
  <c r="I66" i="11"/>
  <c r="H66" i="11"/>
  <c r="F66" i="11"/>
  <c r="V65" i="11"/>
  <c r="V118" i="11" s="1"/>
  <c r="V171" i="11" s="1"/>
  <c r="V224" i="11" s="1"/>
  <c r="R65" i="11"/>
  <c r="R118" i="11" s="1"/>
  <c r="R171" i="11" s="1"/>
  <c r="R224" i="11" s="1"/>
  <c r="O65" i="11"/>
  <c r="O118" i="11" s="1"/>
  <c r="K65" i="11"/>
  <c r="I118" i="11" s="1"/>
  <c r="I170" i="11" s="1"/>
  <c r="I222" i="11" s="1"/>
  <c r="V64" i="11"/>
  <c r="V117" i="11" s="1"/>
  <c r="V170" i="11" s="1"/>
  <c r="V223" i="11" s="1"/>
  <c r="Q64" i="11"/>
  <c r="Q117" i="11" s="1"/>
  <c r="P64" i="11"/>
  <c r="P117" i="11" s="1"/>
  <c r="O64" i="11"/>
  <c r="O117" i="11" s="1"/>
  <c r="N117" i="11" s="1"/>
  <c r="L64" i="11"/>
  <c r="J117" i="11" s="1"/>
  <c r="J169" i="11" s="1"/>
  <c r="J221" i="11" s="1"/>
  <c r="J64" i="11"/>
  <c r="V63" i="11"/>
  <c r="V116" i="11" s="1"/>
  <c r="R63" i="11"/>
  <c r="R116" i="11" s="1"/>
  <c r="R169" i="11" s="1"/>
  <c r="R222" i="11" s="1"/>
  <c r="Q63" i="11"/>
  <c r="Q116" i="11" s="1"/>
  <c r="Q169" i="11" s="1"/>
  <c r="Q222" i="11" s="1"/>
  <c r="O63" i="11"/>
  <c r="O116" i="11" s="1"/>
  <c r="G63" i="11"/>
  <c r="E116" i="11" s="1"/>
  <c r="E168" i="11" s="1"/>
  <c r="E220" i="11" s="1"/>
  <c r="F63" i="11"/>
  <c r="D116" i="11" s="1"/>
  <c r="D168" i="11" s="1"/>
  <c r="D220" i="11" s="1"/>
  <c r="C220" i="11" s="1"/>
  <c r="P62" i="11"/>
  <c r="P115" i="11" s="1"/>
  <c r="P168" i="11" s="1"/>
  <c r="P221" i="11" s="1"/>
  <c r="I62" i="11"/>
  <c r="G115" i="11" s="1"/>
  <c r="G167" i="11" s="1"/>
  <c r="G219" i="11" s="1"/>
  <c r="V61" i="11"/>
  <c r="V114" i="11" s="1"/>
  <c r="V167" i="11" s="1"/>
  <c r="V220" i="11" s="1"/>
  <c r="Q61" i="11"/>
  <c r="Q114" i="11" s="1"/>
  <c r="Q167" i="11" s="1"/>
  <c r="Q220" i="11" s="1"/>
  <c r="O61" i="11"/>
  <c r="O114" i="11" s="1"/>
  <c r="Y60" i="11"/>
  <c r="Y113" i="11" s="1"/>
  <c r="Y166" i="11" s="1"/>
  <c r="Y219" i="11" s="1"/>
  <c r="Q60" i="11"/>
  <c r="Q113" i="11" s="1"/>
  <c r="Q166" i="11" s="1"/>
  <c r="Q219" i="11" s="1"/>
  <c r="P60" i="11"/>
  <c r="P113" i="11" s="1"/>
  <c r="P166" i="11" s="1"/>
  <c r="P219" i="11" s="1"/>
  <c r="O60" i="11"/>
  <c r="O113" i="11" s="1"/>
  <c r="N113" i="11" s="1"/>
  <c r="H60" i="11"/>
  <c r="R59" i="11"/>
  <c r="R112" i="11" s="1"/>
  <c r="M59" i="11"/>
  <c r="K112" i="11" s="1"/>
  <c r="K164" i="11" s="1"/>
  <c r="K216" i="11" s="1"/>
  <c r="I59" i="11"/>
  <c r="O58" i="11"/>
  <c r="O111" i="11" s="1"/>
  <c r="N111" i="11" s="1"/>
  <c r="Y57" i="11"/>
  <c r="Y110" i="11" s="1"/>
  <c r="Y163" i="11" s="1"/>
  <c r="Y216" i="11" s="1"/>
  <c r="V57" i="11"/>
  <c r="V110" i="11" s="1"/>
  <c r="V163" i="11" s="1"/>
  <c r="V216" i="11" s="1"/>
  <c r="R57" i="11"/>
  <c r="R110" i="11" s="1"/>
  <c r="O57" i="11"/>
  <c r="O110" i="11" s="1"/>
  <c r="I57" i="11"/>
  <c r="H57" i="11"/>
  <c r="F110" i="11" s="1"/>
  <c r="F162" i="11" s="1"/>
  <c r="F214" i="11" s="1"/>
  <c r="G57" i="11"/>
  <c r="E110" i="11" s="1"/>
  <c r="E162" i="11" s="1"/>
  <c r="E214" i="11" s="1"/>
  <c r="Y56" i="11"/>
  <c r="Y109" i="11" s="1"/>
  <c r="Y162" i="11" s="1"/>
  <c r="Y215" i="11" s="1"/>
  <c r="R56" i="11"/>
  <c r="K56" i="11"/>
  <c r="I109" i="11" s="1"/>
  <c r="I161" i="11" s="1"/>
  <c r="I213" i="11" s="1"/>
  <c r="J56" i="11"/>
  <c r="H109" i="11" s="1"/>
  <c r="H161" i="11" s="1"/>
  <c r="H213" i="11" s="1"/>
  <c r="F56" i="11"/>
  <c r="D109" i="11" s="1"/>
  <c r="V55" i="11"/>
  <c r="V108" i="11" s="1"/>
  <c r="R55" i="11"/>
  <c r="R108" i="11" s="1"/>
  <c r="R161" i="11" s="1"/>
  <c r="R214" i="11" s="1"/>
  <c r="Q55" i="11"/>
  <c r="Q108" i="11" s="1"/>
  <c r="Q161" i="11" s="1"/>
  <c r="Q214" i="11" s="1"/>
  <c r="P55" i="11"/>
  <c r="M55" i="11"/>
  <c r="K108" i="11" s="1"/>
  <c r="K160" i="11" s="1"/>
  <c r="K212" i="11" s="1"/>
  <c r="F55" i="11"/>
  <c r="D108" i="11" s="1"/>
  <c r="D160" i="11" s="1"/>
  <c r="Y54" i="11"/>
  <c r="Y107" i="11" s="1"/>
  <c r="Y160" i="11" s="1"/>
  <c r="Y213" i="11" s="1"/>
  <c r="X54" i="11"/>
  <c r="X107" i="11" s="1"/>
  <c r="X160" i="11" s="1"/>
  <c r="X213" i="11" s="1"/>
  <c r="R54" i="11"/>
  <c r="Q54" i="11"/>
  <c r="Q107" i="11" s="1"/>
  <c r="O54" i="11"/>
  <c r="O107" i="11" s="1"/>
  <c r="N107" i="11" s="1"/>
  <c r="I54" i="11"/>
  <c r="G107" i="11" s="1"/>
  <c r="G159" i="11" s="1"/>
  <c r="G211" i="11" s="1"/>
  <c r="H54" i="11"/>
  <c r="G54" i="11"/>
  <c r="V53" i="11"/>
  <c r="V106" i="11" s="1"/>
  <c r="V159" i="11" s="1"/>
  <c r="V212" i="11" s="1"/>
  <c r="R53" i="11"/>
  <c r="R106" i="11" s="1"/>
  <c r="R159" i="11" s="1"/>
  <c r="R212" i="11" s="1"/>
  <c r="O53" i="11"/>
  <c r="O106" i="11" s="1"/>
  <c r="L53" i="11"/>
  <c r="J106" i="11" s="1"/>
  <c r="J158" i="11" s="1"/>
  <c r="J210" i="11" s="1"/>
  <c r="J53" i="11"/>
  <c r="H106" i="11" s="1"/>
  <c r="H158" i="11" s="1"/>
  <c r="H210" i="11" s="1"/>
  <c r="H53" i="11"/>
  <c r="F106" i="11" s="1"/>
  <c r="F158" i="11" s="1"/>
  <c r="F210" i="11" s="1"/>
  <c r="G53" i="11"/>
  <c r="E106" i="11" s="1"/>
  <c r="E158" i="11" s="1"/>
  <c r="E210" i="11" s="1"/>
  <c r="F53" i="11"/>
  <c r="D106" i="11" s="1"/>
  <c r="D158" i="11" s="1"/>
  <c r="Q52" i="11"/>
  <c r="Q105" i="11" s="1"/>
  <c r="P52" i="11"/>
  <c r="P105" i="11" s="1"/>
  <c r="O52" i="11"/>
  <c r="O105" i="11" s="1"/>
  <c r="N105" i="11" s="1"/>
  <c r="Y51" i="11"/>
  <c r="Y104" i="11" s="1"/>
  <c r="Y157" i="11" s="1"/>
  <c r="Y210" i="11" s="1"/>
  <c r="Q51" i="11"/>
  <c r="Q104" i="11" s="1"/>
  <c r="Q157" i="11" s="1"/>
  <c r="Q210" i="11" s="1"/>
  <c r="J51" i="11"/>
  <c r="H104" i="11" s="1"/>
  <c r="H156" i="11" s="1"/>
  <c r="H208" i="11" s="1"/>
  <c r="I51" i="11"/>
  <c r="G51" i="11"/>
  <c r="E104" i="11" s="1"/>
  <c r="E156" i="11" s="1"/>
  <c r="E208" i="11" s="1"/>
  <c r="F51" i="11"/>
  <c r="D104" i="11" s="1"/>
  <c r="D156" i="11" s="1"/>
  <c r="D208" i="11" s="1"/>
  <c r="C208" i="11" s="1"/>
  <c r="V50" i="11"/>
  <c r="V103" i="11" s="1"/>
  <c r="V156" i="11" s="1"/>
  <c r="V209" i="11" s="1"/>
  <c r="P50" i="11"/>
  <c r="P103" i="11" s="1"/>
  <c r="P156" i="11" s="1"/>
  <c r="P209" i="11" s="1"/>
  <c r="O50" i="11"/>
  <c r="O103" i="11" s="1"/>
  <c r="N103" i="11" s="1"/>
  <c r="L50" i="11"/>
  <c r="J103" i="11" s="1"/>
  <c r="J155" i="11" s="1"/>
  <c r="J207" i="11" s="1"/>
  <c r="H50" i="11"/>
  <c r="F103" i="11" s="1"/>
  <c r="F155" i="11" s="1"/>
  <c r="F207" i="11" s="1"/>
  <c r="R49" i="11"/>
  <c r="R102" i="11" s="1"/>
  <c r="P49" i="11"/>
  <c r="O49" i="11"/>
  <c r="O102" i="11" s="1"/>
  <c r="M49" i="11"/>
  <c r="K102" i="11" s="1"/>
  <c r="K154" i="11" s="1"/>
  <c r="K206" i="11" s="1"/>
  <c r="I49" i="11"/>
  <c r="V48" i="11"/>
  <c r="V101" i="11" s="1"/>
  <c r="V154" i="11" s="1"/>
  <c r="V207" i="11" s="1"/>
  <c r="R48" i="11"/>
  <c r="R101" i="11" s="1"/>
  <c r="R154" i="11" s="1"/>
  <c r="R207" i="11" s="1"/>
  <c r="O48" i="11"/>
  <c r="O101" i="11" s="1"/>
  <c r="N101" i="11" s="1"/>
  <c r="I48" i="11"/>
  <c r="G101" i="11" s="1"/>
  <c r="G153" i="11" s="1"/>
  <c r="G205" i="11" s="1"/>
  <c r="H48" i="11"/>
  <c r="F101" i="11" s="1"/>
  <c r="F153" i="11" s="1"/>
  <c r="F205" i="11" s="1"/>
  <c r="G48" i="11"/>
  <c r="I47" i="11"/>
  <c r="H47" i="11"/>
  <c r="F100" i="11" s="1"/>
  <c r="F152" i="11" s="1"/>
  <c r="F204" i="11" s="1"/>
  <c r="F47" i="11"/>
  <c r="D100" i="11" s="1"/>
  <c r="D152" i="11" s="1"/>
  <c r="R46" i="11"/>
  <c r="R99" i="11" s="1"/>
  <c r="R152" i="11" s="1"/>
  <c r="R205" i="11" s="1"/>
  <c r="P46" i="11"/>
  <c r="P99" i="11" s="1"/>
  <c r="O46" i="11"/>
  <c r="O99" i="11" s="1"/>
  <c r="G46" i="11"/>
  <c r="F46" i="11"/>
  <c r="D99" i="11" s="1"/>
  <c r="V45" i="11"/>
  <c r="V98" i="11" s="1"/>
  <c r="V151" i="11" s="1"/>
  <c r="V204" i="11" s="1"/>
  <c r="Q45" i="11"/>
  <c r="Q98" i="11" s="1"/>
  <c r="Q151" i="11" s="1"/>
  <c r="Q204" i="11" s="1"/>
  <c r="O45" i="11"/>
  <c r="O98" i="11" s="1"/>
  <c r="O151" i="11" s="1"/>
  <c r="N151" i="11" s="1"/>
  <c r="I45" i="11"/>
  <c r="G98" i="11" s="1"/>
  <c r="G150" i="11" s="1"/>
  <c r="G202" i="11" s="1"/>
  <c r="F45" i="11"/>
  <c r="D98" i="11" s="1"/>
  <c r="D150" i="11" s="1"/>
  <c r="D202" i="11" s="1"/>
  <c r="C202" i="11" s="1"/>
  <c r="BJ38" i="11"/>
  <c r="Y96" i="11" s="1"/>
  <c r="Y149" i="11" s="1"/>
  <c r="Y202" i="11" s="1"/>
  <c r="BI38" i="11"/>
  <c r="BA38" i="11"/>
  <c r="AZ38" i="11"/>
  <c r="AY38" i="11"/>
  <c r="Y52" i="11" s="1"/>
  <c r="Y105" i="11" s="1"/>
  <c r="Y158" i="11" s="1"/>
  <c r="Y211" i="11" s="1"/>
  <c r="AX38" i="11"/>
  <c r="Y48" i="11" s="1"/>
  <c r="Y101" i="11" s="1"/>
  <c r="Y154" i="11" s="1"/>
  <c r="Y207" i="11" s="1"/>
  <c r="AR38" i="11"/>
  <c r="AQ38" i="11"/>
  <c r="AP38" i="11"/>
  <c r="R88" i="11" s="1"/>
  <c r="R141" i="11" s="1"/>
  <c r="R194" i="11" s="1"/>
  <c r="AO38" i="11"/>
  <c r="AN38" i="11"/>
  <c r="AM38" i="11"/>
  <c r="BH38" i="11" s="1"/>
  <c r="Y88" i="11" s="1"/>
  <c r="AL38" i="11"/>
  <c r="BG38" i="11" s="1"/>
  <c r="Y84" i="11" s="1"/>
  <c r="Y137" i="11" s="1"/>
  <c r="Y190" i="11" s="1"/>
  <c r="AK38" i="11"/>
  <c r="BF38" i="11" s="1"/>
  <c r="AJ38" i="11"/>
  <c r="BE38" i="11" s="1"/>
  <c r="Y76" i="11" s="1"/>
  <c r="Y129" i="11" s="1"/>
  <c r="Y182" i="11" s="1"/>
  <c r="AI38" i="11"/>
  <c r="BD38" i="11" s="1"/>
  <c r="Y72" i="11" s="1"/>
  <c r="Y125" i="11" s="1"/>
  <c r="Y178" i="11" s="1"/>
  <c r="AH38" i="11"/>
  <c r="R68" i="11" s="1"/>
  <c r="R121" i="11" s="1"/>
  <c r="R174" i="11" s="1"/>
  <c r="AG38" i="11"/>
  <c r="BB38" i="11" s="1"/>
  <c r="Y64" i="11" s="1"/>
  <c r="Y117" i="11" s="1"/>
  <c r="Y170" i="11" s="1"/>
  <c r="Y223" i="11" s="1"/>
  <c r="AF38" i="11"/>
  <c r="R60" i="11" s="1"/>
  <c r="R113" i="11" s="1"/>
  <c r="R166" i="11" s="1"/>
  <c r="AE38" i="11"/>
  <c r="AD38" i="11"/>
  <c r="R52" i="11" s="1"/>
  <c r="R105" i="11" s="1"/>
  <c r="R158" i="11" s="1"/>
  <c r="R211" i="11" s="1"/>
  <c r="AC38" i="11"/>
  <c r="BH37" i="11"/>
  <c r="Y87" i="11" s="1"/>
  <c r="Y140" i="11" s="1"/>
  <c r="Y193" i="11" s="1"/>
  <c r="BF37" i="11"/>
  <c r="Y79" i="11" s="1"/>
  <c r="Y132" i="11" s="1"/>
  <c r="Y185" i="11" s="1"/>
  <c r="BE37" i="11"/>
  <c r="BC37" i="11"/>
  <c r="Y67" i="11" s="1"/>
  <c r="Y120" i="11" s="1"/>
  <c r="Y173" i="11" s="1"/>
  <c r="BB37" i="11"/>
  <c r="Y63" i="11" s="1"/>
  <c r="Y116" i="11" s="1"/>
  <c r="Y169" i="11" s="1"/>
  <c r="Y222" i="11" s="1"/>
  <c r="AZ37" i="11"/>
  <c r="Y55" i="11" s="1"/>
  <c r="Y108" i="11" s="1"/>
  <c r="Y161" i="11" s="1"/>
  <c r="Y214" i="11" s="1"/>
  <c r="AR37" i="11"/>
  <c r="AQ37" i="11"/>
  <c r="AP37" i="11"/>
  <c r="R87" i="11" s="1"/>
  <c r="R140" i="11" s="1"/>
  <c r="R193" i="11" s="1"/>
  <c r="AO37" i="11"/>
  <c r="AN37" i="11"/>
  <c r="BI37" i="11" s="1"/>
  <c r="Y91" i="11" s="1"/>
  <c r="Y144" i="11" s="1"/>
  <c r="AM37" i="11"/>
  <c r="AL37" i="11"/>
  <c r="BG37" i="11" s="1"/>
  <c r="Y83" i="11" s="1"/>
  <c r="Y136" i="11" s="1"/>
  <c r="Y189" i="11" s="1"/>
  <c r="AK37" i="11"/>
  <c r="AJ37" i="11"/>
  <c r="AI37" i="11"/>
  <c r="R71" i="11" s="1"/>
  <c r="R124" i="11" s="1"/>
  <c r="AH37" i="11"/>
  <c r="AG37" i="11"/>
  <c r="AF37" i="11"/>
  <c r="BA37" i="11" s="1"/>
  <c r="Y59" i="11" s="1"/>
  <c r="Y112" i="11" s="1"/>
  <c r="Y165" i="11" s="1"/>
  <c r="Y218" i="11" s="1"/>
  <c r="AE37" i="11"/>
  <c r="AD37" i="11"/>
  <c r="AY37" i="11" s="1"/>
  <c r="AC37" i="11"/>
  <c r="BJ36" i="11"/>
  <c r="Y94" i="11" s="1"/>
  <c r="BH36" i="11"/>
  <c r="Y86" i="11" s="1"/>
  <c r="BG36" i="11"/>
  <c r="Y82" i="11" s="1"/>
  <c r="BE36" i="11"/>
  <c r="Y74" i="11" s="1"/>
  <c r="Y127" i="11" s="1"/>
  <c r="Y180" i="11" s="1"/>
  <c r="AZ36" i="11"/>
  <c r="AY36" i="11"/>
  <c r="Y50" i="11" s="1"/>
  <c r="Y103" i="11" s="1"/>
  <c r="Y156" i="11" s="1"/>
  <c r="Y209" i="11" s="1"/>
  <c r="AX36" i="11"/>
  <c r="Y46" i="11" s="1"/>
  <c r="Y99" i="11" s="1"/>
  <c r="Y152" i="11" s="1"/>
  <c r="Y205" i="11" s="1"/>
  <c r="AR36" i="11"/>
  <c r="R94" i="11" s="1"/>
  <c r="R147" i="11" s="1"/>
  <c r="R200" i="11" s="1"/>
  <c r="AQ36" i="11"/>
  <c r="AP36" i="11"/>
  <c r="R86" i="11" s="1"/>
  <c r="R139" i="11" s="1"/>
  <c r="R192" i="11" s="1"/>
  <c r="AO36" i="11"/>
  <c r="AN36" i="11"/>
  <c r="BI36" i="11" s="1"/>
  <c r="Y90" i="11" s="1"/>
  <c r="AM36" i="11"/>
  <c r="AL36" i="11"/>
  <c r="AK36" i="11"/>
  <c r="BF36" i="11" s="1"/>
  <c r="Y78" i="11" s="1"/>
  <c r="Y131" i="11" s="1"/>
  <c r="Y184" i="11" s="1"/>
  <c r="AJ36" i="11"/>
  <c r="R74" i="11" s="1"/>
  <c r="R127" i="11" s="1"/>
  <c r="R180" i="11" s="1"/>
  <c r="AI36" i="11"/>
  <c r="BD36" i="11" s="1"/>
  <c r="Y70" i="11" s="1"/>
  <c r="AH36" i="11"/>
  <c r="BC36" i="11" s="1"/>
  <c r="Y66" i="11" s="1"/>
  <c r="Y119" i="11" s="1"/>
  <c r="Y172" i="11" s="1"/>
  <c r="Y225" i="11" s="1"/>
  <c r="AG36" i="11"/>
  <c r="AF36" i="11"/>
  <c r="R58" i="11" s="1"/>
  <c r="R111" i="11" s="1"/>
  <c r="R164" i="11" s="1"/>
  <c r="R217" i="11" s="1"/>
  <c r="AE36" i="11"/>
  <c r="AD36" i="11"/>
  <c r="R50" i="11" s="1"/>
  <c r="AC36" i="11"/>
  <c r="BD35" i="11"/>
  <c r="Y69" i="11" s="1"/>
  <c r="Y122" i="11" s="1"/>
  <c r="Y175" i="11" s="1"/>
  <c r="BC35" i="11"/>
  <c r="Y65" i="11" s="1"/>
  <c r="Y118" i="11" s="1"/>
  <c r="Y171" i="11" s="1"/>
  <c r="Y224" i="11" s="1"/>
  <c r="BB35" i="11"/>
  <c r="Y61" i="11" s="1"/>
  <c r="Y114" i="11" s="1"/>
  <c r="BA35" i="11"/>
  <c r="AZ35" i="11"/>
  <c r="Y53" i="11" s="1"/>
  <c r="Y106" i="11" s="1"/>
  <c r="Y159" i="11" s="1"/>
  <c r="Y212" i="11" s="1"/>
  <c r="AX35" i="11"/>
  <c r="Y45" i="11" s="1"/>
  <c r="Y98" i="11" s="1"/>
  <c r="Y151" i="11" s="1"/>
  <c r="Y204" i="11" s="1"/>
  <c r="AR35" i="11"/>
  <c r="AQ35" i="11"/>
  <c r="AP35" i="11"/>
  <c r="AO35" i="11"/>
  <c r="BJ35" i="11" s="1"/>
  <c r="Y93" i="11" s="1"/>
  <c r="Y146" i="11" s="1"/>
  <c r="Y199" i="11" s="1"/>
  <c r="AN35" i="11"/>
  <c r="AM35" i="11"/>
  <c r="BH35" i="11" s="1"/>
  <c r="Y85" i="11" s="1"/>
  <c r="Y138" i="11" s="1"/>
  <c r="AL35" i="11"/>
  <c r="BG35" i="11" s="1"/>
  <c r="Y81" i="11" s="1"/>
  <c r="Y134" i="11" s="1"/>
  <c r="Y187" i="11" s="1"/>
  <c r="AK35" i="11"/>
  <c r="BF35" i="11" s="1"/>
  <c r="Y77" i="11" s="1"/>
  <c r="Y130" i="11" s="1"/>
  <c r="Y183" i="11" s="1"/>
  <c r="AJ35" i="11"/>
  <c r="BE35" i="11" s="1"/>
  <c r="Y73" i="11" s="1"/>
  <c r="Y126" i="11" s="1"/>
  <c r="AI35" i="11"/>
  <c r="R69" i="11" s="1"/>
  <c r="R122" i="11" s="1"/>
  <c r="R175" i="11" s="1"/>
  <c r="AH35" i="11"/>
  <c r="AG35" i="11"/>
  <c r="R61" i="11" s="1"/>
  <c r="R114" i="11" s="1"/>
  <c r="R167" i="11" s="1"/>
  <c r="R220" i="11" s="1"/>
  <c r="AF35" i="11"/>
  <c r="AE35" i="11"/>
  <c r="AD35" i="11"/>
  <c r="AY35" i="11" s="1"/>
  <c r="Y49" i="11" s="1"/>
  <c r="Y102" i="11" s="1"/>
  <c r="AC35" i="11"/>
  <c r="R45" i="11" s="1"/>
  <c r="R98" i="11" s="1"/>
  <c r="BH34" i="11"/>
  <c r="M88" i="11" s="1"/>
  <c r="K141" i="11" s="1"/>
  <c r="K193" i="11" s="1"/>
  <c r="BF34" i="11"/>
  <c r="M80" i="11" s="1"/>
  <c r="K133" i="11" s="1"/>
  <c r="K185" i="11" s="1"/>
  <c r="BE34" i="11"/>
  <c r="M76" i="11" s="1"/>
  <c r="K129" i="11" s="1"/>
  <c r="K181" i="11" s="1"/>
  <c r="AY34" i="11"/>
  <c r="M52" i="11" s="1"/>
  <c r="K105" i="11" s="1"/>
  <c r="K157" i="11" s="1"/>
  <c r="K209" i="11" s="1"/>
  <c r="AX34" i="11"/>
  <c r="M48" i="11" s="1"/>
  <c r="K101" i="11" s="1"/>
  <c r="K153" i="11" s="1"/>
  <c r="K205" i="11" s="1"/>
  <c r="AR34" i="11"/>
  <c r="I96" i="11" s="1"/>
  <c r="G149" i="11" s="1"/>
  <c r="G201" i="11" s="1"/>
  <c r="AQ34" i="11"/>
  <c r="I92" i="11" s="1"/>
  <c r="G145" i="11" s="1"/>
  <c r="G197" i="11" s="1"/>
  <c r="AP34" i="11"/>
  <c r="I88" i="11" s="1"/>
  <c r="AO34" i="11"/>
  <c r="I84" i="11" s="1"/>
  <c r="G137" i="11" s="1"/>
  <c r="G189" i="11" s="1"/>
  <c r="AN34" i="11"/>
  <c r="BI34" i="11" s="1"/>
  <c r="M92" i="11" s="1"/>
  <c r="K145" i="11" s="1"/>
  <c r="K197" i="11" s="1"/>
  <c r="AM34" i="11"/>
  <c r="AL34" i="11"/>
  <c r="BG34" i="11" s="1"/>
  <c r="M84" i="11" s="1"/>
  <c r="K137" i="11" s="1"/>
  <c r="K189" i="11" s="1"/>
  <c r="AK34" i="11"/>
  <c r="AJ34" i="11"/>
  <c r="AI34" i="11"/>
  <c r="BD34" i="11" s="1"/>
  <c r="M72" i="11" s="1"/>
  <c r="K125" i="11" s="1"/>
  <c r="K177" i="11" s="1"/>
  <c r="AH34" i="11"/>
  <c r="I68" i="11" s="1"/>
  <c r="G121" i="11" s="1"/>
  <c r="G173" i="11" s="1"/>
  <c r="G225" i="11" s="1"/>
  <c r="AG34" i="11"/>
  <c r="AF34" i="11"/>
  <c r="BA34" i="11" s="1"/>
  <c r="M60" i="11" s="1"/>
  <c r="K113" i="11" s="1"/>
  <c r="K165" i="11" s="1"/>
  <c r="K217" i="11" s="1"/>
  <c r="AE34" i="11"/>
  <c r="AZ34" i="11" s="1"/>
  <c r="M56" i="11" s="1"/>
  <c r="K109" i="11" s="1"/>
  <c r="K161" i="11" s="1"/>
  <c r="K213" i="11" s="1"/>
  <c r="AD34" i="11"/>
  <c r="I52" i="11" s="1"/>
  <c r="AC34" i="11"/>
  <c r="BJ33" i="11"/>
  <c r="BD33" i="11"/>
  <c r="M71" i="11" s="1"/>
  <c r="K124" i="11" s="1"/>
  <c r="K176" i="11" s="1"/>
  <c r="BA33" i="11"/>
  <c r="AZ33" i="11"/>
  <c r="AY33" i="11"/>
  <c r="M51" i="11" s="1"/>
  <c r="K104" i="11" s="1"/>
  <c r="K156" i="11" s="1"/>
  <c r="K208" i="11" s="1"/>
  <c r="AX33" i="11"/>
  <c r="M47" i="11" s="1"/>
  <c r="K100" i="11" s="1"/>
  <c r="K152" i="11" s="1"/>
  <c r="K204" i="11" s="1"/>
  <c r="AR33" i="11"/>
  <c r="AQ33" i="11"/>
  <c r="I91" i="11" s="1"/>
  <c r="AP33" i="11"/>
  <c r="AO33" i="11"/>
  <c r="AN33" i="11"/>
  <c r="BI33" i="11" s="1"/>
  <c r="M91" i="11" s="1"/>
  <c r="K144" i="11" s="1"/>
  <c r="K196" i="11" s="1"/>
  <c r="AM33" i="11"/>
  <c r="BH33" i="11" s="1"/>
  <c r="M87" i="11" s="1"/>
  <c r="K140" i="11" s="1"/>
  <c r="K192" i="11" s="1"/>
  <c r="AL33" i="11"/>
  <c r="BG33" i="11" s="1"/>
  <c r="M83" i="11" s="1"/>
  <c r="K136" i="11" s="1"/>
  <c r="K188" i="11" s="1"/>
  <c r="AK33" i="11"/>
  <c r="BF33" i="11" s="1"/>
  <c r="M79" i="11" s="1"/>
  <c r="K132" i="11" s="1"/>
  <c r="K184" i="11" s="1"/>
  <c r="AJ33" i="11"/>
  <c r="BE33" i="11" s="1"/>
  <c r="M75" i="11" s="1"/>
  <c r="K128" i="11" s="1"/>
  <c r="K180" i="11" s="1"/>
  <c r="AI33" i="11"/>
  <c r="AH33" i="11"/>
  <c r="I67" i="11" s="1"/>
  <c r="G120" i="11" s="1"/>
  <c r="G172" i="11" s="1"/>
  <c r="G224" i="11" s="1"/>
  <c r="AG33" i="11"/>
  <c r="BB33" i="11" s="1"/>
  <c r="M63" i="11" s="1"/>
  <c r="K116" i="11" s="1"/>
  <c r="K168" i="11" s="1"/>
  <c r="K220" i="11" s="1"/>
  <c r="AF33" i="11"/>
  <c r="AE33" i="11"/>
  <c r="I55" i="11" s="1"/>
  <c r="AD33" i="11"/>
  <c r="AC33" i="11"/>
  <c r="BF32" i="11"/>
  <c r="M78" i="11" s="1"/>
  <c r="K131" i="11" s="1"/>
  <c r="K183" i="11" s="1"/>
  <c r="BD32" i="11"/>
  <c r="BC32" i="11"/>
  <c r="M66" i="11" s="1"/>
  <c r="K119" i="11" s="1"/>
  <c r="K171" i="11" s="1"/>
  <c r="K223" i="11" s="1"/>
  <c r="AR32" i="11"/>
  <c r="I94" i="11" s="1"/>
  <c r="G147" i="11" s="1"/>
  <c r="G199" i="11" s="1"/>
  <c r="AQ32" i="11"/>
  <c r="AP32" i="11"/>
  <c r="I86" i="11" s="1"/>
  <c r="G139" i="11" s="1"/>
  <c r="G191" i="11" s="1"/>
  <c r="AO32" i="11"/>
  <c r="AN32" i="11"/>
  <c r="I78" i="11" s="1"/>
  <c r="G131" i="11" s="1"/>
  <c r="G183" i="11" s="1"/>
  <c r="AM32" i="11"/>
  <c r="BH32" i="11" s="1"/>
  <c r="M86" i="11" s="1"/>
  <c r="K139" i="11" s="1"/>
  <c r="K191" i="11" s="1"/>
  <c r="AL32" i="11"/>
  <c r="BG32" i="11" s="1"/>
  <c r="M82" i="11" s="1"/>
  <c r="K135" i="11" s="1"/>
  <c r="K187" i="11" s="1"/>
  <c r="AK32" i="11"/>
  <c r="AJ32" i="11"/>
  <c r="BE32" i="11" s="1"/>
  <c r="M74" i="11" s="1"/>
  <c r="K127" i="11" s="1"/>
  <c r="K179" i="11" s="1"/>
  <c r="AI32" i="11"/>
  <c r="I70" i="11" s="1"/>
  <c r="G123" i="11" s="1"/>
  <c r="G175" i="11" s="1"/>
  <c r="AH32" i="11"/>
  <c r="AG32" i="11"/>
  <c r="BB32" i="11" s="1"/>
  <c r="M62" i="11" s="1"/>
  <c r="K115" i="11" s="1"/>
  <c r="K167" i="11" s="1"/>
  <c r="K219" i="11" s="1"/>
  <c r="AF32" i="11"/>
  <c r="I58" i="11" s="1"/>
  <c r="G111" i="11" s="1"/>
  <c r="G163" i="11" s="1"/>
  <c r="G215" i="11" s="1"/>
  <c r="AE32" i="11"/>
  <c r="AZ32" i="11" s="1"/>
  <c r="M54" i="11" s="1"/>
  <c r="K107" i="11" s="1"/>
  <c r="K159" i="11" s="1"/>
  <c r="K211" i="11" s="1"/>
  <c r="AD32" i="11"/>
  <c r="AC32" i="11"/>
  <c r="BI31" i="11"/>
  <c r="M89" i="11" s="1"/>
  <c r="K142" i="11" s="1"/>
  <c r="K194" i="11" s="1"/>
  <c r="BH31" i="11"/>
  <c r="M85" i="11" s="1"/>
  <c r="K138" i="11" s="1"/>
  <c r="K190" i="11" s="1"/>
  <c r="BF31" i="11"/>
  <c r="M77" i="11" s="1"/>
  <c r="K130" i="11" s="1"/>
  <c r="K182" i="11" s="1"/>
  <c r="BA31" i="11"/>
  <c r="M57" i="11" s="1"/>
  <c r="K110" i="11" s="1"/>
  <c r="K162" i="11" s="1"/>
  <c r="K214" i="11" s="1"/>
  <c r="AZ31" i="11"/>
  <c r="M53" i="11" s="1"/>
  <c r="K106" i="11" s="1"/>
  <c r="K158" i="11" s="1"/>
  <c r="K210" i="11" s="1"/>
  <c r="AY31" i="11"/>
  <c r="AX31" i="11"/>
  <c r="M45" i="11" s="1"/>
  <c r="K98" i="11" s="1"/>
  <c r="K150" i="11" s="1"/>
  <c r="K202" i="11" s="1"/>
  <c r="AR31" i="11"/>
  <c r="AQ31" i="11"/>
  <c r="AP31" i="11"/>
  <c r="AO31" i="11"/>
  <c r="I81" i="11" s="1"/>
  <c r="G134" i="11" s="1"/>
  <c r="G186" i="11" s="1"/>
  <c r="AN31" i="11"/>
  <c r="AM31" i="11"/>
  <c r="AL31" i="11"/>
  <c r="BG31" i="11" s="1"/>
  <c r="M81" i="11" s="1"/>
  <c r="K134" i="11" s="1"/>
  <c r="K186" i="11" s="1"/>
  <c r="AK31" i="11"/>
  <c r="AJ31" i="11"/>
  <c r="AI31" i="11"/>
  <c r="AH31" i="11"/>
  <c r="BC31" i="11" s="1"/>
  <c r="M65" i="11" s="1"/>
  <c r="K118" i="11" s="1"/>
  <c r="K170" i="11" s="1"/>
  <c r="K222" i="11" s="1"/>
  <c r="AG31" i="11"/>
  <c r="I61" i="11" s="1"/>
  <c r="G114" i="11" s="1"/>
  <c r="G166" i="11" s="1"/>
  <c r="G218" i="11" s="1"/>
  <c r="AF31" i="11"/>
  <c r="AE31" i="11"/>
  <c r="I53" i="11" s="1"/>
  <c r="G106" i="11" s="1"/>
  <c r="G158" i="11" s="1"/>
  <c r="G210" i="11" s="1"/>
  <c r="AD31" i="11"/>
  <c r="AC31" i="11"/>
  <c r="BF30" i="11"/>
  <c r="W80" i="11" s="1"/>
  <c r="W133" i="11" s="1"/>
  <c r="W186" i="11" s="1"/>
  <c r="BE30" i="11"/>
  <c r="W76" i="11" s="1"/>
  <c r="W129" i="11" s="1"/>
  <c r="W182" i="11" s="1"/>
  <c r="BD30" i="11"/>
  <c r="W72" i="11" s="1"/>
  <c r="W125" i="11" s="1"/>
  <c r="W178" i="11" s="1"/>
  <c r="BB30" i="11"/>
  <c r="W64" i="11" s="1"/>
  <c r="W117" i="11" s="1"/>
  <c r="W170" i="11" s="1"/>
  <c r="BA30" i="11"/>
  <c r="W60" i="11" s="1"/>
  <c r="W113" i="11" s="1"/>
  <c r="W166" i="11" s="1"/>
  <c r="W219" i="11" s="1"/>
  <c r="AY30" i="11"/>
  <c r="W52" i="11" s="1"/>
  <c r="W105" i="11" s="1"/>
  <c r="W158" i="11" s="1"/>
  <c r="W211" i="11" s="1"/>
  <c r="AR30" i="11"/>
  <c r="AQ30" i="11"/>
  <c r="P92" i="11" s="1"/>
  <c r="P145" i="11" s="1"/>
  <c r="P198" i="11" s="1"/>
  <c r="AP30" i="11"/>
  <c r="AO30" i="11"/>
  <c r="AN30" i="11"/>
  <c r="AM30" i="11"/>
  <c r="BH30" i="11" s="1"/>
  <c r="W88" i="11" s="1"/>
  <c r="W141" i="11" s="1"/>
  <c r="W194" i="11" s="1"/>
  <c r="AL30" i="11"/>
  <c r="BG30" i="11" s="1"/>
  <c r="W84" i="11" s="1"/>
  <c r="W137" i="11" s="1"/>
  <c r="W190" i="11" s="1"/>
  <c r="AK30" i="11"/>
  <c r="AJ30" i="11"/>
  <c r="P76" i="11" s="1"/>
  <c r="P129" i="11" s="1"/>
  <c r="P182" i="11" s="1"/>
  <c r="AI30" i="11"/>
  <c r="P72" i="11" s="1"/>
  <c r="P125" i="11" s="1"/>
  <c r="AH30" i="11"/>
  <c r="P68" i="11" s="1"/>
  <c r="P121" i="11" s="1"/>
  <c r="P174" i="11" s="1"/>
  <c r="AG30" i="11"/>
  <c r="AF30" i="11"/>
  <c r="AE30" i="11"/>
  <c r="AZ30" i="11" s="1"/>
  <c r="W56" i="11" s="1"/>
  <c r="W109" i="11" s="1"/>
  <c r="W162" i="11" s="1"/>
  <c r="W215" i="11" s="1"/>
  <c r="AD30" i="11"/>
  <c r="AC30" i="11"/>
  <c r="BJ29" i="11"/>
  <c r="W95" i="11" s="1"/>
  <c r="W148" i="11" s="1"/>
  <c r="BI29" i="11"/>
  <c r="W91" i="11" s="1"/>
  <c r="W144" i="11" s="1"/>
  <c r="W197" i="11" s="1"/>
  <c r="BH29" i="11"/>
  <c r="W87" i="11" s="1"/>
  <c r="W140" i="11" s="1"/>
  <c r="W193" i="11" s="1"/>
  <c r="BG29" i="11"/>
  <c r="W83" i="11" s="1"/>
  <c r="W136" i="11" s="1"/>
  <c r="BF29" i="11"/>
  <c r="W79" i="11" s="1"/>
  <c r="W132" i="11" s="1"/>
  <c r="AZ29" i="11"/>
  <c r="W55" i="11" s="1"/>
  <c r="W108" i="11" s="1"/>
  <c r="W161" i="11" s="1"/>
  <c r="W214" i="11" s="1"/>
  <c r="AY29" i="11"/>
  <c r="W51" i="11" s="1"/>
  <c r="W104" i="11" s="1"/>
  <c r="W157" i="11" s="1"/>
  <c r="W210" i="11" s="1"/>
  <c r="AR29" i="11"/>
  <c r="P95" i="11" s="1"/>
  <c r="P148" i="11" s="1"/>
  <c r="P201" i="11" s="1"/>
  <c r="AQ29" i="11"/>
  <c r="AP29" i="11"/>
  <c r="P87" i="11" s="1"/>
  <c r="P140" i="11" s="1"/>
  <c r="P193" i="11" s="1"/>
  <c r="AO29" i="11"/>
  <c r="P83" i="11" s="1"/>
  <c r="P136" i="11" s="1"/>
  <c r="P189" i="11" s="1"/>
  <c r="AN29" i="11"/>
  <c r="AM29" i="11"/>
  <c r="AL29" i="11"/>
  <c r="AK29" i="11"/>
  <c r="AJ29" i="11"/>
  <c r="P75" i="11" s="1"/>
  <c r="P128" i="11" s="1"/>
  <c r="P181" i="11" s="1"/>
  <c r="AI29" i="11"/>
  <c r="P71" i="11" s="1"/>
  <c r="P124" i="11" s="1"/>
  <c r="P177" i="11" s="1"/>
  <c r="AH29" i="11"/>
  <c r="BC29" i="11" s="1"/>
  <c r="W67" i="11" s="1"/>
  <c r="W120" i="11" s="1"/>
  <c r="W173" i="11" s="1"/>
  <c r="AG29" i="11"/>
  <c r="AF29" i="11"/>
  <c r="AE29" i="11"/>
  <c r="AD29" i="11"/>
  <c r="P51" i="11" s="1"/>
  <c r="P104" i="11" s="1"/>
  <c r="P157" i="11" s="1"/>
  <c r="P210" i="11" s="1"/>
  <c r="AC29" i="11"/>
  <c r="BE28" i="11"/>
  <c r="W74" i="11" s="1"/>
  <c r="W127" i="11" s="1"/>
  <c r="W180" i="11" s="1"/>
  <c r="BD28" i="11"/>
  <c r="W70" i="11" s="1"/>
  <c r="W123" i="11" s="1"/>
  <c r="W176" i="11" s="1"/>
  <c r="BB28" i="11"/>
  <c r="W62" i="11" s="1"/>
  <c r="W115" i="11" s="1"/>
  <c r="W168" i="11" s="1"/>
  <c r="W221" i="11" s="1"/>
  <c r="BA28" i="11"/>
  <c r="W58" i="11" s="1"/>
  <c r="W111" i="11" s="1"/>
  <c r="W164" i="11" s="1"/>
  <c r="W217" i="11" s="1"/>
  <c r="AZ28" i="11"/>
  <c r="W54" i="11" s="1"/>
  <c r="W107" i="11" s="1"/>
  <c r="W160" i="11" s="1"/>
  <c r="W213" i="11" s="1"/>
  <c r="AY28" i="11"/>
  <c r="W50" i="11" s="1"/>
  <c r="AR28" i="11"/>
  <c r="P94" i="11" s="1"/>
  <c r="P147" i="11" s="1"/>
  <c r="P200" i="11" s="1"/>
  <c r="AQ28" i="11"/>
  <c r="P90" i="11" s="1"/>
  <c r="P143" i="11" s="1"/>
  <c r="AP28" i="11"/>
  <c r="AO28" i="11"/>
  <c r="BJ28" i="11" s="1"/>
  <c r="W94" i="11" s="1"/>
  <c r="W147" i="11" s="1"/>
  <c r="W200" i="11" s="1"/>
  <c r="AN28" i="11"/>
  <c r="P78" i="11" s="1"/>
  <c r="P131" i="11" s="1"/>
  <c r="P184" i="11" s="1"/>
  <c r="AM28" i="11"/>
  <c r="BH28" i="11" s="1"/>
  <c r="W86" i="11" s="1"/>
  <c r="W139" i="11" s="1"/>
  <c r="W192" i="11" s="1"/>
  <c r="AL28" i="11"/>
  <c r="BG28" i="11" s="1"/>
  <c r="W82" i="11" s="1"/>
  <c r="W135" i="11" s="1"/>
  <c r="W188" i="11" s="1"/>
  <c r="AK28" i="11"/>
  <c r="BF28" i="11" s="1"/>
  <c r="W78" i="11" s="1"/>
  <c r="W131" i="11" s="1"/>
  <c r="W184" i="11" s="1"/>
  <c r="AJ28" i="11"/>
  <c r="P74" i="11" s="1"/>
  <c r="P127" i="11" s="1"/>
  <c r="P180" i="11" s="1"/>
  <c r="AI28" i="11"/>
  <c r="P70" i="11" s="1"/>
  <c r="P123" i="11" s="1"/>
  <c r="P176" i="11" s="1"/>
  <c r="AH28" i="11"/>
  <c r="P66" i="11" s="1"/>
  <c r="P119" i="11" s="1"/>
  <c r="P172" i="11" s="1"/>
  <c r="P225" i="11" s="1"/>
  <c r="AG28" i="11"/>
  <c r="AF28" i="11"/>
  <c r="P58" i="11" s="1"/>
  <c r="P111" i="11" s="1"/>
  <c r="AE28" i="11"/>
  <c r="P54" i="11" s="1"/>
  <c r="P107" i="11" s="1"/>
  <c r="AD28" i="11"/>
  <c r="AC28" i="11"/>
  <c r="AX28" i="11" s="1"/>
  <c r="W46" i="11" s="1"/>
  <c r="BJ27" i="11"/>
  <c r="BI27" i="11"/>
  <c r="W89" i="11" s="1"/>
  <c r="W142" i="11" s="1"/>
  <c r="W195" i="11" s="1"/>
  <c r="BH27" i="11"/>
  <c r="W85" i="11" s="1"/>
  <c r="W138" i="11" s="1"/>
  <c r="BG27" i="11"/>
  <c r="BF27" i="11"/>
  <c r="W77" i="11" s="1"/>
  <c r="W130" i="11" s="1"/>
  <c r="W183" i="11" s="1"/>
  <c r="BE27" i="11"/>
  <c r="W73" i="11" s="1"/>
  <c r="W126" i="11" s="1"/>
  <c r="BD27" i="11"/>
  <c r="W69" i="11" s="1"/>
  <c r="W122" i="11" s="1"/>
  <c r="W175" i="11" s="1"/>
  <c r="AX27" i="11"/>
  <c r="W45" i="11" s="1"/>
  <c r="W98" i="11" s="1"/>
  <c r="W151" i="11" s="1"/>
  <c r="W204" i="11" s="1"/>
  <c r="AR27" i="11"/>
  <c r="P93" i="11" s="1"/>
  <c r="AQ27" i="11"/>
  <c r="P89" i="11" s="1"/>
  <c r="P142" i="11" s="1"/>
  <c r="P195" i="11" s="1"/>
  <c r="AP27" i="11"/>
  <c r="AO27" i="11"/>
  <c r="P81" i="11" s="1"/>
  <c r="P134" i="11" s="1"/>
  <c r="P187" i="11" s="1"/>
  <c r="AN27" i="11"/>
  <c r="P77" i="11" s="1"/>
  <c r="P130" i="11" s="1"/>
  <c r="P183" i="11" s="1"/>
  <c r="AM27" i="11"/>
  <c r="AL27" i="11"/>
  <c r="AK27" i="11"/>
  <c r="AJ27" i="11"/>
  <c r="AI27" i="11"/>
  <c r="AH27" i="11"/>
  <c r="BC27" i="11" s="1"/>
  <c r="W65" i="11" s="1"/>
  <c r="W118" i="11" s="1"/>
  <c r="AG27" i="11"/>
  <c r="BB27" i="11" s="1"/>
  <c r="W61" i="11" s="1"/>
  <c r="W114" i="11" s="1"/>
  <c r="W167" i="11" s="1"/>
  <c r="W220" i="11" s="1"/>
  <c r="AF27" i="11"/>
  <c r="AE27" i="11"/>
  <c r="AD27" i="11"/>
  <c r="AY27" i="11" s="1"/>
  <c r="W49" i="11" s="1"/>
  <c r="W102" i="11" s="1"/>
  <c r="AC27" i="11"/>
  <c r="P45" i="11" s="1"/>
  <c r="BJ26" i="11"/>
  <c r="K96" i="11" s="1"/>
  <c r="I149" i="11" s="1"/>
  <c r="I201" i="11" s="1"/>
  <c r="BI26" i="11"/>
  <c r="K92" i="11" s="1"/>
  <c r="I145" i="11" s="1"/>
  <c r="I197" i="11" s="1"/>
  <c r="BG26" i="11"/>
  <c r="K84" i="11" s="1"/>
  <c r="I137" i="11" s="1"/>
  <c r="I189" i="11" s="1"/>
  <c r="BB26" i="11"/>
  <c r="K64" i="11" s="1"/>
  <c r="I117" i="11" s="1"/>
  <c r="I169" i="11" s="1"/>
  <c r="I221" i="11" s="1"/>
  <c r="BA26" i="11"/>
  <c r="K60" i="11" s="1"/>
  <c r="I113" i="11" s="1"/>
  <c r="I165" i="11" s="1"/>
  <c r="I217" i="11" s="1"/>
  <c r="AZ26" i="11"/>
  <c r="AY26" i="11"/>
  <c r="K52" i="11" s="1"/>
  <c r="I105" i="11" s="1"/>
  <c r="I157" i="11" s="1"/>
  <c r="I209" i="11" s="1"/>
  <c r="AX26" i="11"/>
  <c r="K48" i="11" s="1"/>
  <c r="I101" i="11" s="1"/>
  <c r="I153" i="11" s="1"/>
  <c r="I205" i="11" s="1"/>
  <c r="AR26" i="11"/>
  <c r="G96" i="11" s="1"/>
  <c r="E149" i="11" s="1"/>
  <c r="E201" i="11" s="1"/>
  <c r="AQ26" i="11"/>
  <c r="G92" i="11" s="1"/>
  <c r="E145" i="11" s="1"/>
  <c r="E197" i="11" s="1"/>
  <c r="AP26" i="11"/>
  <c r="G88" i="11" s="1"/>
  <c r="E141" i="11" s="1"/>
  <c r="E193" i="11" s="1"/>
  <c r="AO26" i="11"/>
  <c r="AN26" i="11"/>
  <c r="AM26" i="11"/>
  <c r="BH26" i="11" s="1"/>
  <c r="K88" i="11" s="1"/>
  <c r="I141" i="11" s="1"/>
  <c r="I193" i="11" s="1"/>
  <c r="AL26" i="11"/>
  <c r="AK26" i="11"/>
  <c r="BF26" i="11" s="1"/>
  <c r="K80" i="11" s="1"/>
  <c r="I133" i="11" s="1"/>
  <c r="I185" i="11" s="1"/>
  <c r="AJ26" i="11"/>
  <c r="AI26" i="11"/>
  <c r="BD26" i="11" s="1"/>
  <c r="K72" i="11" s="1"/>
  <c r="I125" i="11" s="1"/>
  <c r="I177" i="11" s="1"/>
  <c r="AH26" i="11"/>
  <c r="G68" i="11" s="1"/>
  <c r="E121" i="11" s="1"/>
  <c r="E173" i="11" s="1"/>
  <c r="E225" i="11" s="1"/>
  <c r="AG26" i="11"/>
  <c r="G64" i="11" s="1"/>
  <c r="AF26" i="11"/>
  <c r="G60" i="11" s="1"/>
  <c r="E113" i="11" s="1"/>
  <c r="E165" i="11" s="1"/>
  <c r="E217" i="11" s="1"/>
  <c r="AE26" i="11"/>
  <c r="G56" i="11" s="1"/>
  <c r="E109" i="11" s="1"/>
  <c r="E161" i="11" s="1"/>
  <c r="E213" i="11" s="1"/>
  <c r="AD26" i="11"/>
  <c r="G52" i="11" s="1"/>
  <c r="E105" i="11" s="1"/>
  <c r="E157" i="11" s="1"/>
  <c r="E209" i="11" s="1"/>
  <c r="AC26" i="11"/>
  <c r="BE25" i="11"/>
  <c r="K75" i="11" s="1"/>
  <c r="I128" i="11" s="1"/>
  <c r="I180" i="11" s="1"/>
  <c r="BD25" i="11"/>
  <c r="K71" i="11" s="1"/>
  <c r="I124" i="11" s="1"/>
  <c r="I176" i="11" s="1"/>
  <c r="BC25" i="11"/>
  <c r="K67" i="11" s="1"/>
  <c r="BB25" i="11"/>
  <c r="K63" i="11" s="1"/>
  <c r="I116" i="11" s="1"/>
  <c r="I168" i="11" s="1"/>
  <c r="I220" i="11" s="1"/>
  <c r="AR25" i="11"/>
  <c r="G95" i="11" s="1"/>
  <c r="E148" i="11" s="1"/>
  <c r="E200" i="11" s="1"/>
  <c r="AQ25" i="11"/>
  <c r="G91" i="11" s="1"/>
  <c r="E144" i="11" s="1"/>
  <c r="E196" i="11" s="1"/>
  <c r="AP25" i="11"/>
  <c r="AO25" i="11"/>
  <c r="AN25" i="11"/>
  <c r="AM25" i="11"/>
  <c r="BH25" i="11" s="1"/>
  <c r="K87" i="11" s="1"/>
  <c r="I140" i="11" s="1"/>
  <c r="I192" i="11" s="1"/>
  <c r="AL25" i="11"/>
  <c r="BG25" i="11" s="1"/>
  <c r="K83" i="11" s="1"/>
  <c r="I136" i="11" s="1"/>
  <c r="I188" i="11" s="1"/>
  <c r="AK25" i="11"/>
  <c r="BF25" i="11" s="1"/>
  <c r="K79" i="11" s="1"/>
  <c r="I132" i="11" s="1"/>
  <c r="I184" i="11" s="1"/>
  <c r="AJ25" i="11"/>
  <c r="AI25" i="11"/>
  <c r="G71" i="11" s="1"/>
  <c r="E124" i="11" s="1"/>
  <c r="E176" i="11" s="1"/>
  <c r="AH25" i="11"/>
  <c r="G67" i="11" s="1"/>
  <c r="E120" i="11" s="1"/>
  <c r="E172" i="11" s="1"/>
  <c r="E224" i="11" s="1"/>
  <c r="AG25" i="11"/>
  <c r="AF25" i="11"/>
  <c r="G59" i="11" s="1"/>
  <c r="E112" i="11" s="1"/>
  <c r="E164" i="11" s="1"/>
  <c r="E216" i="11" s="1"/>
  <c r="AE25" i="11"/>
  <c r="AD25" i="11"/>
  <c r="AY25" i="11" s="1"/>
  <c r="K51" i="11" s="1"/>
  <c r="I104" i="11" s="1"/>
  <c r="I156" i="11" s="1"/>
  <c r="I208" i="11" s="1"/>
  <c r="AC25" i="11"/>
  <c r="BJ24" i="11"/>
  <c r="K94" i="11" s="1"/>
  <c r="I147" i="11" s="1"/>
  <c r="I199" i="11" s="1"/>
  <c r="BI24" i="11"/>
  <c r="K90" i="11" s="1"/>
  <c r="I143" i="11" s="1"/>
  <c r="I195" i="11" s="1"/>
  <c r="BH24" i="11"/>
  <c r="K86" i="11" s="1"/>
  <c r="I139" i="11" s="1"/>
  <c r="I191" i="11" s="1"/>
  <c r="BG24" i="11"/>
  <c r="K82" i="11" s="1"/>
  <c r="I135" i="11" s="1"/>
  <c r="I187" i="11" s="1"/>
  <c r="BE24" i="11"/>
  <c r="K74" i="11" s="1"/>
  <c r="I127" i="11" s="1"/>
  <c r="I179" i="11" s="1"/>
  <c r="AZ24" i="11"/>
  <c r="K54" i="11" s="1"/>
  <c r="I107" i="11" s="1"/>
  <c r="I159" i="11" s="1"/>
  <c r="I211" i="11" s="1"/>
  <c r="AX24" i="11"/>
  <c r="K46" i="11" s="1"/>
  <c r="I99" i="11" s="1"/>
  <c r="I151" i="11" s="1"/>
  <c r="I203" i="11" s="1"/>
  <c r="AR24" i="11"/>
  <c r="G94" i="11" s="1"/>
  <c r="E147" i="11" s="1"/>
  <c r="E199" i="11" s="1"/>
  <c r="AQ24" i="11"/>
  <c r="G90" i="11" s="1"/>
  <c r="AP24" i="11"/>
  <c r="G86" i="11" s="1"/>
  <c r="AO24" i="11"/>
  <c r="AN24" i="11"/>
  <c r="G78" i="11" s="1"/>
  <c r="AM24" i="11"/>
  <c r="AL24" i="11"/>
  <c r="AK24" i="11"/>
  <c r="BF24" i="11" s="1"/>
  <c r="K78" i="11" s="1"/>
  <c r="I131" i="11" s="1"/>
  <c r="I183" i="11" s="1"/>
  <c r="AJ24" i="11"/>
  <c r="G74" i="11" s="1"/>
  <c r="AI24" i="11"/>
  <c r="AH24" i="11"/>
  <c r="BC24" i="11" s="1"/>
  <c r="K66" i="11" s="1"/>
  <c r="I119" i="11" s="1"/>
  <c r="I171" i="11" s="1"/>
  <c r="I223" i="11" s="1"/>
  <c r="AG24" i="11"/>
  <c r="AF24" i="11"/>
  <c r="AE24" i="11"/>
  <c r="AD24" i="11"/>
  <c r="AC24" i="11"/>
  <c r="BF23" i="11"/>
  <c r="K77" i="11" s="1"/>
  <c r="I130" i="11" s="1"/>
  <c r="I182" i="11" s="1"/>
  <c r="BE23" i="11"/>
  <c r="K73" i="11" s="1"/>
  <c r="I126" i="11" s="1"/>
  <c r="I178" i="11" s="1"/>
  <c r="BD23" i="11"/>
  <c r="K69" i="11" s="1"/>
  <c r="I122" i="11" s="1"/>
  <c r="I174" i="11" s="1"/>
  <c r="BC23" i="11"/>
  <c r="BA23" i="11"/>
  <c r="K57" i="11" s="1"/>
  <c r="AZ23" i="11"/>
  <c r="K53" i="11" s="1"/>
  <c r="I106" i="11" s="1"/>
  <c r="I158" i="11" s="1"/>
  <c r="I210" i="11" s="1"/>
  <c r="AX23" i="11"/>
  <c r="K45" i="11" s="1"/>
  <c r="I98" i="11" s="1"/>
  <c r="I150" i="11" s="1"/>
  <c r="I202" i="11" s="1"/>
  <c r="AR23" i="11"/>
  <c r="AQ23" i="11"/>
  <c r="AP23" i="11"/>
  <c r="G85" i="11" s="1"/>
  <c r="E138" i="11" s="1"/>
  <c r="E190" i="11" s="1"/>
  <c r="AO23" i="11"/>
  <c r="BJ23" i="11" s="1"/>
  <c r="K93" i="11" s="1"/>
  <c r="I146" i="11" s="1"/>
  <c r="I198" i="11" s="1"/>
  <c r="AN23" i="11"/>
  <c r="AM23" i="11"/>
  <c r="BH23" i="11" s="1"/>
  <c r="K85" i="11" s="1"/>
  <c r="I138" i="11" s="1"/>
  <c r="I190" i="11" s="1"/>
  <c r="AL23" i="11"/>
  <c r="BG23" i="11" s="1"/>
  <c r="K81" i="11" s="1"/>
  <c r="I134" i="11" s="1"/>
  <c r="I186" i="11" s="1"/>
  <c r="AK23" i="11"/>
  <c r="AJ23" i="11"/>
  <c r="G73" i="11" s="1"/>
  <c r="E126" i="11" s="1"/>
  <c r="E178" i="11" s="1"/>
  <c r="AI23" i="11"/>
  <c r="AH23" i="11"/>
  <c r="G65" i="11" s="1"/>
  <c r="E118" i="11" s="1"/>
  <c r="E170" i="11" s="1"/>
  <c r="E222" i="11" s="1"/>
  <c r="AG23" i="11"/>
  <c r="G61" i="11" s="1"/>
  <c r="E114" i="11" s="1"/>
  <c r="E166" i="11" s="1"/>
  <c r="E218" i="11" s="1"/>
  <c r="AF23" i="11"/>
  <c r="AE23" i="11"/>
  <c r="AD23" i="11"/>
  <c r="AY23" i="11" s="1"/>
  <c r="K49" i="11" s="1"/>
  <c r="I102" i="11" s="1"/>
  <c r="I154" i="11" s="1"/>
  <c r="I206" i="11" s="1"/>
  <c r="AC23" i="11"/>
  <c r="G45" i="11" s="1"/>
  <c r="E98" i="11" s="1"/>
  <c r="E150" i="11" s="1"/>
  <c r="E202" i="11" s="1"/>
  <c r="C21" i="11"/>
  <c r="BJ19" i="11"/>
  <c r="X96" i="11" s="1"/>
  <c r="X149" i="11" s="1"/>
  <c r="X202" i="11" s="1"/>
  <c r="BI19" i="11"/>
  <c r="X92" i="11" s="1"/>
  <c r="X145" i="11" s="1"/>
  <c r="X198" i="11" s="1"/>
  <c r="BG19" i="11"/>
  <c r="BF19" i="11"/>
  <c r="AZ19" i="11"/>
  <c r="X56" i="11" s="1"/>
  <c r="X109" i="11" s="1"/>
  <c r="X162" i="11" s="1"/>
  <c r="X215" i="11" s="1"/>
  <c r="AY19" i="11"/>
  <c r="X52" i="11" s="1"/>
  <c r="X105" i="11" s="1"/>
  <c r="X158" i="11" s="1"/>
  <c r="X211" i="11" s="1"/>
  <c r="AR19" i="11"/>
  <c r="Q96" i="11" s="1"/>
  <c r="Q149" i="11" s="1"/>
  <c r="AQ19" i="11"/>
  <c r="Q92" i="11" s="1"/>
  <c r="Q145" i="11" s="1"/>
  <c r="Q198" i="11" s="1"/>
  <c r="AP19" i="11"/>
  <c r="AO19" i="11"/>
  <c r="AN19" i="11"/>
  <c r="Q80" i="11" s="1"/>
  <c r="Q133" i="11" s="1"/>
  <c r="Q186" i="11" s="1"/>
  <c r="AM19" i="11"/>
  <c r="BH19" i="11" s="1"/>
  <c r="X88" i="11" s="1"/>
  <c r="X141" i="11" s="1"/>
  <c r="X194" i="11" s="1"/>
  <c r="AL19" i="11"/>
  <c r="AK19" i="11"/>
  <c r="AJ19" i="11"/>
  <c r="BE19" i="11" s="1"/>
  <c r="X76" i="11" s="1"/>
  <c r="X129" i="11" s="1"/>
  <c r="X182" i="11" s="1"/>
  <c r="AI19" i="11"/>
  <c r="Q72" i="11" s="1"/>
  <c r="Q125" i="11" s="1"/>
  <c r="Q178" i="11" s="1"/>
  <c r="AH19" i="11"/>
  <c r="AG19" i="11"/>
  <c r="BB19" i="11" s="1"/>
  <c r="X64" i="11" s="1"/>
  <c r="AF19" i="11"/>
  <c r="BA19" i="11" s="1"/>
  <c r="X60" i="11" s="1"/>
  <c r="X113" i="11" s="1"/>
  <c r="X166" i="11" s="1"/>
  <c r="X219" i="11" s="1"/>
  <c r="AE19" i="11"/>
  <c r="Q56" i="11" s="1"/>
  <c r="Q109" i="11" s="1"/>
  <c r="Q162" i="11" s="1"/>
  <c r="Q215" i="11" s="1"/>
  <c r="AD19" i="11"/>
  <c r="AC19" i="11"/>
  <c r="AX19" i="11" s="1"/>
  <c r="X48" i="11" s="1"/>
  <c r="X101" i="11" s="1"/>
  <c r="X154" i="11" s="1"/>
  <c r="X207" i="11" s="1"/>
  <c r="BI18" i="11"/>
  <c r="X91" i="11" s="1"/>
  <c r="X144" i="11" s="1"/>
  <c r="X197" i="11" s="1"/>
  <c r="BD18" i="11"/>
  <c r="X71" i="11" s="1"/>
  <c r="X124" i="11" s="1"/>
  <c r="X177" i="11" s="1"/>
  <c r="BB18" i="11"/>
  <c r="X63" i="11" s="1"/>
  <c r="X116" i="11" s="1"/>
  <c r="X169" i="11" s="1"/>
  <c r="AZ18" i="11"/>
  <c r="X55" i="11" s="1"/>
  <c r="AY18" i="11"/>
  <c r="X51" i="11" s="1"/>
  <c r="X104" i="11" s="1"/>
  <c r="X157" i="11" s="1"/>
  <c r="X210" i="11" s="1"/>
  <c r="AR18" i="11"/>
  <c r="Q95" i="11" s="1"/>
  <c r="Q148" i="11" s="1"/>
  <c r="Q201" i="11" s="1"/>
  <c r="AQ18" i="11"/>
  <c r="AP18" i="11"/>
  <c r="AO18" i="11"/>
  <c r="BJ18" i="11" s="1"/>
  <c r="X95" i="11" s="1"/>
  <c r="X148" i="11" s="1"/>
  <c r="X201" i="11" s="1"/>
  <c r="AN18" i="11"/>
  <c r="AM18" i="11"/>
  <c r="BH18" i="11" s="1"/>
  <c r="AL18" i="11"/>
  <c r="BG18" i="11" s="1"/>
  <c r="X83" i="11" s="1"/>
  <c r="X136" i="11" s="1"/>
  <c r="X189" i="11" s="1"/>
  <c r="AK18" i="11"/>
  <c r="BF18" i="11" s="1"/>
  <c r="X79" i="11" s="1"/>
  <c r="AJ18" i="11"/>
  <c r="BE18" i="11" s="1"/>
  <c r="X75" i="11" s="1"/>
  <c r="X128" i="11" s="1"/>
  <c r="X181" i="11" s="1"/>
  <c r="AI18" i="11"/>
  <c r="Q71" i="11" s="1"/>
  <c r="Q124" i="11" s="1"/>
  <c r="Q177" i="11" s="1"/>
  <c r="AH18" i="11"/>
  <c r="BC18" i="11" s="1"/>
  <c r="X67" i="11" s="1"/>
  <c r="X120" i="11" s="1"/>
  <c r="X173" i="11" s="1"/>
  <c r="AG18" i="11"/>
  <c r="AF18" i="11"/>
  <c r="Q59" i="11" s="1"/>
  <c r="Q112" i="11" s="1"/>
  <c r="Q165" i="11" s="1"/>
  <c r="Q218" i="11" s="1"/>
  <c r="AE18" i="11"/>
  <c r="AD18" i="11"/>
  <c r="AC18" i="11"/>
  <c r="AX18" i="11" s="1"/>
  <c r="X47" i="11" s="1"/>
  <c r="X100" i="11" s="1"/>
  <c r="X153" i="11" s="1"/>
  <c r="X206" i="11" s="1"/>
  <c r="BG17" i="11"/>
  <c r="X82" i="11" s="1"/>
  <c r="BE17" i="11"/>
  <c r="X74" i="11" s="1"/>
  <c r="X127" i="11" s="1"/>
  <c r="X180" i="11" s="1"/>
  <c r="BD17" i="11"/>
  <c r="X70" i="11" s="1"/>
  <c r="AX17" i="11"/>
  <c r="X46" i="11" s="1"/>
  <c r="X99" i="11" s="1"/>
  <c r="X152" i="11" s="1"/>
  <c r="X205" i="11" s="1"/>
  <c r="AR17" i="11"/>
  <c r="Q94" i="11" s="1"/>
  <c r="Q147" i="11" s="1"/>
  <c r="Q200" i="11" s="1"/>
  <c r="AQ17" i="11"/>
  <c r="AP17" i="11"/>
  <c r="Q86" i="11" s="1"/>
  <c r="Q139" i="11" s="1"/>
  <c r="Q192" i="11" s="1"/>
  <c r="AO17" i="11"/>
  <c r="Q82" i="11" s="1"/>
  <c r="Q135" i="11" s="1"/>
  <c r="Q188" i="11" s="1"/>
  <c r="AN17" i="11"/>
  <c r="BI17" i="11" s="1"/>
  <c r="AM17" i="11"/>
  <c r="BH17" i="11" s="1"/>
  <c r="X86" i="11" s="1"/>
  <c r="X139" i="11" s="1"/>
  <c r="X192" i="11" s="1"/>
  <c r="AL17" i="11"/>
  <c r="AK17" i="11"/>
  <c r="BF17" i="11" s="1"/>
  <c r="X78" i="11" s="1"/>
  <c r="X131" i="11" s="1"/>
  <c r="X184" i="11" s="1"/>
  <c r="AJ17" i="11"/>
  <c r="Q74" i="11" s="1"/>
  <c r="Q127" i="11" s="1"/>
  <c r="Q180" i="11" s="1"/>
  <c r="AI17" i="11"/>
  <c r="AH17" i="11"/>
  <c r="BC17" i="11" s="1"/>
  <c r="AG17" i="11"/>
  <c r="Q62" i="11" s="1"/>
  <c r="Q115" i="11" s="1"/>
  <c r="Q168" i="11" s="1"/>
  <c r="Q221" i="11" s="1"/>
  <c r="AF17" i="11"/>
  <c r="BA17" i="11" s="1"/>
  <c r="X58" i="11" s="1"/>
  <c r="X111" i="11" s="1"/>
  <c r="X164" i="11" s="1"/>
  <c r="X217" i="11" s="1"/>
  <c r="AE17" i="11"/>
  <c r="AZ17" i="11" s="1"/>
  <c r="AD17" i="11"/>
  <c r="AC17" i="11"/>
  <c r="Q46" i="11" s="1"/>
  <c r="Q99" i="11" s="1"/>
  <c r="Q152" i="11" s="1"/>
  <c r="Q205" i="11" s="1"/>
  <c r="BJ16" i="11"/>
  <c r="BI16" i="11"/>
  <c r="AZ16" i="11"/>
  <c r="X53" i="11" s="1"/>
  <c r="X106" i="11" s="1"/>
  <c r="X159" i="11" s="1"/>
  <c r="X212" i="11" s="1"/>
  <c r="AY16" i="11"/>
  <c r="X49" i="11" s="1"/>
  <c r="X102" i="11" s="1"/>
  <c r="X155" i="11" s="1"/>
  <c r="X208" i="11" s="1"/>
  <c r="AX16" i="11"/>
  <c r="X45" i="11" s="1"/>
  <c r="X98" i="11" s="1"/>
  <c r="X151" i="11" s="1"/>
  <c r="X204" i="11" s="1"/>
  <c r="AR16" i="11"/>
  <c r="Q93" i="11" s="1"/>
  <c r="Q146" i="11" s="1"/>
  <c r="Q199" i="11" s="1"/>
  <c r="AQ16" i="11"/>
  <c r="Q89" i="11" s="1"/>
  <c r="Q142" i="11" s="1"/>
  <c r="AP16" i="11"/>
  <c r="Q85" i="11" s="1"/>
  <c r="Q138" i="11" s="1"/>
  <c r="Q191" i="11" s="1"/>
  <c r="AO16" i="11"/>
  <c r="AN16" i="11"/>
  <c r="Q77" i="11" s="1"/>
  <c r="Q130" i="11" s="1"/>
  <c r="AM16" i="11"/>
  <c r="BH16" i="11" s="1"/>
  <c r="X85" i="11" s="1"/>
  <c r="AL16" i="11"/>
  <c r="BG16" i="11" s="1"/>
  <c r="AK16" i="11"/>
  <c r="BF16" i="11" s="1"/>
  <c r="X77" i="11" s="1"/>
  <c r="X130" i="11" s="1"/>
  <c r="X183" i="11" s="1"/>
  <c r="AJ16" i="11"/>
  <c r="AI16" i="11"/>
  <c r="AH16" i="11"/>
  <c r="Q65" i="11" s="1"/>
  <c r="Q118" i="11" s="1"/>
  <c r="AG16" i="11"/>
  <c r="BB16" i="11" s="1"/>
  <c r="X61" i="11" s="1"/>
  <c r="X114" i="11" s="1"/>
  <c r="X167" i="11" s="1"/>
  <c r="X220" i="11" s="1"/>
  <c r="AF16" i="11"/>
  <c r="Q57" i="11" s="1"/>
  <c r="Q110" i="11" s="1"/>
  <c r="Q163" i="11" s="1"/>
  <c r="Q216" i="11" s="1"/>
  <c r="AE16" i="11"/>
  <c r="Q53" i="11" s="1"/>
  <c r="Q106" i="11" s="1"/>
  <c r="AD16" i="11"/>
  <c r="Q49" i="11" s="1"/>
  <c r="Q102" i="11" s="1"/>
  <c r="Q155" i="11" s="1"/>
  <c r="Q208" i="11" s="1"/>
  <c r="AC16" i="11"/>
  <c r="BH15" i="11"/>
  <c r="BE15" i="11"/>
  <c r="L76" i="11" s="1"/>
  <c r="J129" i="11" s="1"/>
  <c r="J181" i="11" s="1"/>
  <c r="BD15" i="11"/>
  <c r="L72" i="11" s="1"/>
  <c r="J125" i="11" s="1"/>
  <c r="J177" i="11" s="1"/>
  <c r="BC15" i="11"/>
  <c r="BB15" i="11"/>
  <c r="AR15" i="11"/>
  <c r="AQ15" i="11"/>
  <c r="H92" i="11" s="1"/>
  <c r="F145" i="11" s="1"/>
  <c r="F197" i="11" s="1"/>
  <c r="AP15" i="11"/>
  <c r="H88" i="11" s="1"/>
  <c r="AO15" i="11"/>
  <c r="BJ15" i="11" s="1"/>
  <c r="L96" i="11" s="1"/>
  <c r="J149" i="11" s="1"/>
  <c r="J201" i="11" s="1"/>
  <c r="AN15" i="11"/>
  <c r="BI15" i="11" s="1"/>
  <c r="L92" i="11" s="1"/>
  <c r="J145" i="11" s="1"/>
  <c r="J197" i="11" s="1"/>
  <c r="AM15" i="11"/>
  <c r="AL15" i="11"/>
  <c r="BG15" i="11" s="1"/>
  <c r="L84" i="11" s="1"/>
  <c r="J137" i="11" s="1"/>
  <c r="J189" i="11" s="1"/>
  <c r="AK15" i="11"/>
  <c r="BF15" i="11" s="1"/>
  <c r="L80" i="11" s="1"/>
  <c r="J133" i="11" s="1"/>
  <c r="J185" i="11" s="1"/>
  <c r="AJ15" i="11"/>
  <c r="H76" i="11" s="1"/>
  <c r="F129" i="11" s="1"/>
  <c r="F181" i="11" s="1"/>
  <c r="AI15" i="11"/>
  <c r="AH15" i="11"/>
  <c r="AG15" i="11"/>
  <c r="H64" i="11" s="1"/>
  <c r="F117" i="11" s="1"/>
  <c r="F169" i="11" s="1"/>
  <c r="F221" i="11" s="1"/>
  <c r="AF15" i="11"/>
  <c r="BA15" i="11" s="1"/>
  <c r="L60" i="11" s="1"/>
  <c r="J113" i="11" s="1"/>
  <c r="J165" i="11" s="1"/>
  <c r="J217" i="11" s="1"/>
  <c r="AE15" i="11"/>
  <c r="H56" i="11" s="1"/>
  <c r="F109" i="11" s="1"/>
  <c r="F161" i="11" s="1"/>
  <c r="F213" i="11" s="1"/>
  <c r="AD15" i="11"/>
  <c r="AC15" i="11"/>
  <c r="AX15" i="11" s="1"/>
  <c r="L48" i="11" s="1"/>
  <c r="J101" i="11" s="1"/>
  <c r="J153" i="11" s="1"/>
  <c r="J205" i="11" s="1"/>
  <c r="BJ14" i="11"/>
  <c r="L95" i="11" s="1"/>
  <c r="J148" i="11" s="1"/>
  <c r="J200" i="11" s="1"/>
  <c r="BH14" i="11"/>
  <c r="L87" i="11" s="1"/>
  <c r="J140" i="11" s="1"/>
  <c r="J192" i="11" s="1"/>
  <c r="BG14" i="11"/>
  <c r="L83" i="11" s="1"/>
  <c r="J136" i="11" s="1"/>
  <c r="J188" i="11" s="1"/>
  <c r="AY14" i="11"/>
  <c r="L51" i="11" s="1"/>
  <c r="AX14" i="11"/>
  <c r="L47" i="11" s="1"/>
  <c r="J100" i="11" s="1"/>
  <c r="J152" i="11" s="1"/>
  <c r="J204" i="11" s="1"/>
  <c r="AR14" i="11"/>
  <c r="H95" i="11" s="1"/>
  <c r="F148" i="11" s="1"/>
  <c r="F200" i="11" s="1"/>
  <c r="AQ14" i="11"/>
  <c r="H91" i="11" s="1"/>
  <c r="F144" i="11" s="1"/>
  <c r="F196" i="11" s="1"/>
  <c r="AP14" i="11"/>
  <c r="AO14" i="11"/>
  <c r="AN14" i="11"/>
  <c r="H79" i="11" s="1"/>
  <c r="F132" i="11" s="1"/>
  <c r="F184" i="11" s="1"/>
  <c r="AM14" i="11"/>
  <c r="AL14" i="11"/>
  <c r="AK14" i="11"/>
  <c r="BF14" i="11" s="1"/>
  <c r="L79" i="11" s="1"/>
  <c r="J132" i="11" s="1"/>
  <c r="J184" i="11" s="1"/>
  <c r="AJ14" i="11"/>
  <c r="H75" i="11" s="1"/>
  <c r="F128" i="11" s="1"/>
  <c r="F180" i="11" s="1"/>
  <c r="AI14" i="11"/>
  <c r="BD14" i="11" s="1"/>
  <c r="L71" i="11" s="1"/>
  <c r="AH14" i="11"/>
  <c r="AG14" i="11"/>
  <c r="BB14" i="11" s="1"/>
  <c r="L63" i="11" s="1"/>
  <c r="J116" i="11" s="1"/>
  <c r="J168" i="11" s="1"/>
  <c r="J220" i="11" s="1"/>
  <c r="AF14" i="11"/>
  <c r="BA14" i="11" s="1"/>
  <c r="L59" i="11" s="1"/>
  <c r="J112" i="11" s="1"/>
  <c r="J164" i="11" s="1"/>
  <c r="J216" i="11" s="1"/>
  <c r="AE14" i="11"/>
  <c r="H55" i="11" s="1"/>
  <c r="F108" i="11" s="1"/>
  <c r="F160" i="11" s="1"/>
  <c r="F212" i="11" s="1"/>
  <c r="AD14" i="11"/>
  <c r="H51" i="11" s="1"/>
  <c r="F104" i="11" s="1"/>
  <c r="F156" i="11" s="1"/>
  <c r="F208" i="11" s="1"/>
  <c r="AC14" i="11"/>
  <c r="BD13" i="11"/>
  <c r="L70" i="11" s="1"/>
  <c r="J123" i="11" s="1"/>
  <c r="J175" i="11" s="1"/>
  <c r="BC13" i="11"/>
  <c r="L66" i="11" s="1"/>
  <c r="J119" i="11" s="1"/>
  <c r="J171" i="11" s="1"/>
  <c r="J223" i="11" s="1"/>
  <c r="BB13" i="11"/>
  <c r="L62" i="11" s="1"/>
  <c r="J115" i="11" s="1"/>
  <c r="J167" i="11" s="1"/>
  <c r="J219" i="11" s="1"/>
  <c r="BA13" i="11"/>
  <c r="L58" i="11" s="1"/>
  <c r="J111" i="11" s="1"/>
  <c r="J163" i="11" s="1"/>
  <c r="J215" i="11" s="1"/>
  <c r="AZ13" i="11"/>
  <c r="L54" i="11" s="1"/>
  <c r="J107" i="11" s="1"/>
  <c r="J159" i="11" s="1"/>
  <c r="J211" i="11" s="1"/>
  <c r="AX13" i="11"/>
  <c r="L46" i="11" s="1"/>
  <c r="J99" i="11" s="1"/>
  <c r="J151" i="11" s="1"/>
  <c r="J203" i="11" s="1"/>
  <c r="AR13" i="11"/>
  <c r="H94" i="11" s="1"/>
  <c r="F147" i="11" s="1"/>
  <c r="F199" i="11" s="1"/>
  <c r="AQ13" i="11"/>
  <c r="AP13" i="11"/>
  <c r="AO13" i="11"/>
  <c r="H82" i="11" s="1"/>
  <c r="AN13" i="11"/>
  <c r="BI13" i="11" s="1"/>
  <c r="L90" i="11" s="1"/>
  <c r="J143" i="11" s="1"/>
  <c r="J195" i="11" s="1"/>
  <c r="AM13" i="11"/>
  <c r="BH13" i="11" s="1"/>
  <c r="AL13" i="11"/>
  <c r="BG13" i="11" s="1"/>
  <c r="AK13" i="11"/>
  <c r="BF13" i="11" s="1"/>
  <c r="L78" i="11" s="1"/>
  <c r="J131" i="11" s="1"/>
  <c r="J183" i="11" s="1"/>
  <c r="AJ13" i="11"/>
  <c r="H74" i="11" s="1"/>
  <c r="F127" i="11" s="1"/>
  <c r="F179" i="11" s="1"/>
  <c r="AI13" i="11"/>
  <c r="H70" i="11" s="1"/>
  <c r="F123" i="11" s="1"/>
  <c r="F175" i="11" s="1"/>
  <c r="AH13" i="11"/>
  <c r="AG13" i="11"/>
  <c r="H62" i="11" s="1"/>
  <c r="F115" i="11" s="1"/>
  <c r="F167" i="11" s="1"/>
  <c r="F219" i="11" s="1"/>
  <c r="AF13" i="11"/>
  <c r="H58" i="11" s="1"/>
  <c r="F111" i="11" s="1"/>
  <c r="F163" i="11" s="1"/>
  <c r="F215" i="11" s="1"/>
  <c r="AE13" i="11"/>
  <c r="AD13" i="11"/>
  <c r="AY13" i="11" s="1"/>
  <c r="AC13" i="11"/>
  <c r="H46" i="11" s="1"/>
  <c r="BH12" i="11"/>
  <c r="L85" i="11" s="1"/>
  <c r="J138" i="11" s="1"/>
  <c r="J190" i="11" s="1"/>
  <c r="BF12" i="11"/>
  <c r="L77" i="11" s="1"/>
  <c r="J130" i="11" s="1"/>
  <c r="J182" i="11" s="1"/>
  <c r="BE12" i="11"/>
  <c r="AY12" i="11"/>
  <c r="L49" i="11" s="1"/>
  <c r="J102" i="11" s="1"/>
  <c r="J154" i="11" s="1"/>
  <c r="J206" i="11" s="1"/>
  <c r="AX12" i="11"/>
  <c r="L45" i="11" s="1"/>
  <c r="J98" i="11" s="1"/>
  <c r="J150" i="11" s="1"/>
  <c r="J202" i="11" s="1"/>
  <c r="AR12" i="11"/>
  <c r="H93" i="11" s="1"/>
  <c r="F146" i="11" s="1"/>
  <c r="F198" i="11" s="1"/>
  <c r="AQ12" i="11"/>
  <c r="H89" i="11" s="1"/>
  <c r="F142" i="11" s="1"/>
  <c r="F194" i="11" s="1"/>
  <c r="AP12" i="11"/>
  <c r="H85" i="11" s="1"/>
  <c r="F138" i="11" s="1"/>
  <c r="F190" i="11" s="1"/>
  <c r="AO12" i="11"/>
  <c r="H81" i="11" s="1"/>
  <c r="F134" i="11" s="1"/>
  <c r="F186" i="11" s="1"/>
  <c r="AN12" i="11"/>
  <c r="BI12" i="11" s="1"/>
  <c r="L89" i="11" s="1"/>
  <c r="J142" i="11" s="1"/>
  <c r="J194" i="11" s="1"/>
  <c r="AM12" i="11"/>
  <c r="AL12" i="11"/>
  <c r="BG12" i="11" s="1"/>
  <c r="L81" i="11" s="1"/>
  <c r="J134" i="11" s="1"/>
  <c r="J186" i="11" s="1"/>
  <c r="AK12" i="11"/>
  <c r="AJ12" i="11"/>
  <c r="H73" i="11" s="1"/>
  <c r="F126" i="11" s="1"/>
  <c r="F178" i="11" s="1"/>
  <c r="AI12" i="11"/>
  <c r="BD12" i="11" s="1"/>
  <c r="L69" i="11" s="1"/>
  <c r="AH12" i="11"/>
  <c r="H65" i="11" s="1"/>
  <c r="F118" i="11" s="1"/>
  <c r="F170" i="11" s="1"/>
  <c r="F222" i="11" s="1"/>
  <c r="AG12" i="11"/>
  <c r="AF12" i="11"/>
  <c r="BA12" i="11" s="1"/>
  <c r="L57" i="11" s="1"/>
  <c r="AE12" i="11"/>
  <c r="AZ12" i="11" s="1"/>
  <c r="AD12" i="11"/>
  <c r="H49" i="11" s="1"/>
  <c r="F102" i="11" s="1"/>
  <c r="F154" i="11" s="1"/>
  <c r="F206" i="11" s="1"/>
  <c r="AC12" i="11"/>
  <c r="H45" i="11" s="1"/>
  <c r="F98" i="11" s="1"/>
  <c r="F150" i="11" s="1"/>
  <c r="F202" i="11" s="1"/>
  <c r="BJ11" i="11"/>
  <c r="V96" i="11" s="1"/>
  <c r="V149" i="11" s="1"/>
  <c r="V202" i="11" s="1"/>
  <c r="BB11" i="11"/>
  <c r="BA11" i="11"/>
  <c r="V60" i="11" s="1"/>
  <c r="V113" i="11" s="1"/>
  <c r="V166" i="11" s="1"/>
  <c r="V219" i="11" s="1"/>
  <c r="AZ11" i="11"/>
  <c r="V56" i="11" s="1"/>
  <c r="V109" i="11" s="1"/>
  <c r="V162" i="11" s="1"/>
  <c r="V215" i="11" s="1"/>
  <c r="AY11" i="11"/>
  <c r="V52" i="11" s="1"/>
  <c r="V105" i="11" s="1"/>
  <c r="V158" i="11" s="1"/>
  <c r="V211" i="11" s="1"/>
  <c r="AX11" i="11"/>
  <c r="AR11" i="11"/>
  <c r="AQ11" i="11"/>
  <c r="AP11" i="11"/>
  <c r="AO11" i="11"/>
  <c r="AN11" i="11"/>
  <c r="BI11" i="11" s="1"/>
  <c r="V92" i="11" s="1"/>
  <c r="V145" i="11" s="1"/>
  <c r="V198" i="11" s="1"/>
  <c r="AM11" i="11"/>
  <c r="BH11" i="11" s="1"/>
  <c r="V88" i="11" s="1"/>
  <c r="V141" i="11" s="1"/>
  <c r="V194" i="11" s="1"/>
  <c r="AL11" i="11"/>
  <c r="BG11" i="11" s="1"/>
  <c r="V84" i="11" s="1"/>
  <c r="V137" i="11" s="1"/>
  <c r="V190" i="11" s="1"/>
  <c r="AK11" i="11"/>
  <c r="BF11" i="11" s="1"/>
  <c r="V80" i="11" s="1"/>
  <c r="V133" i="11" s="1"/>
  <c r="V186" i="11" s="1"/>
  <c r="AJ11" i="11"/>
  <c r="BE11" i="11" s="1"/>
  <c r="AI11" i="11"/>
  <c r="BD11" i="11" s="1"/>
  <c r="V72" i="11" s="1"/>
  <c r="V125" i="11" s="1"/>
  <c r="V178" i="11" s="1"/>
  <c r="AH11" i="11"/>
  <c r="BC11" i="11" s="1"/>
  <c r="V68" i="11" s="1"/>
  <c r="V121" i="11" s="1"/>
  <c r="V174" i="11" s="1"/>
  <c r="AG11" i="11"/>
  <c r="AF11" i="11"/>
  <c r="AE11" i="11"/>
  <c r="O56" i="11" s="1"/>
  <c r="O109" i="11" s="1"/>
  <c r="N109" i="11" s="1"/>
  <c r="AD11" i="11"/>
  <c r="AC11" i="11"/>
  <c r="BI10" i="11"/>
  <c r="V91" i="11" s="1"/>
  <c r="V144" i="11" s="1"/>
  <c r="V197" i="11" s="1"/>
  <c r="BH10" i="11"/>
  <c r="V87" i="11" s="1"/>
  <c r="V140" i="11" s="1"/>
  <c r="V193" i="11" s="1"/>
  <c r="BG10" i="11"/>
  <c r="V83" i="11" s="1"/>
  <c r="V136" i="11" s="1"/>
  <c r="BF10" i="11"/>
  <c r="BE10" i="11"/>
  <c r="V75" i="11" s="1"/>
  <c r="V128" i="11" s="1"/>
  <c r="V181" i="11" s="1"/>
  <c r="BD10" i="11"/>
  <c r="V71" i="11" s="1"/>
  <c r="V124" i="11" s="1"/>
  <c r="V177" i="11" s="1"/>
  <c r="BC10" i="11"/>
  <c r="V67" i="11" s="1"/>
  <c r="V120" i="11" s="1"/>
  <c r="V173" i="11" s="1"/>
  <c r="AR10" i="11"/>
  <c r="O95" i="11" s="1"/>
  <c r="O148" i="11" s="1"/>
  <c r="AQ10" i="11"/>
  <c r="AP10" i="11"/>
  <c r="AO10" i="11"/>
  <c r="BJ10" i="11" s="1"/>
  <c r="V95" i="11" s="1"/>
  <c r="V148" i="11" s="1"/>
  <c r="AN10" i="11"/>
  <c r="O79" i="11" s="1"/>
  <c r="O132" i="11" s="1"/>
  <c r="AM10" i="11"/>
  <c r="AL10" i="11"/>
  <c r="AK10" i="11"/>
  <c r="AJ10" i="11"/>
  <c r="AI10" i="11"/>
  <c r="AH10" i="11"/>
  <c r="AG10" i="11"/>
  <c r="BB10" i="11" s="1"/>
  <c r="AF10" i="11"/>
  <c r="BA10" i="11" s="1"/>
  <c r="V59" i="11" s="1"/>
  <c r="V112" i="11" s="1"/>
  <c r="V165" i="11" s="1"/>
  <c r="V218" i="11" s="1"/>
  <c r="AE10" i="11"/>
  <c r="AZ10" i="11" s="1"/>
  <c r="AD10" i="11"/>
  <c r="AY10" i="11" s="1"/>
  <c r="V51" i="11" s="1"/>
  <c r="V104" i="11" s="1"/>
  <c r="V157" i="11" s="1"/>
  <c r="V210" i="11" s="1"/>
  <c r="AC10" i="11"/>
  <c r="AX10" i="11" s="1"/>
  <c r="V47" i="11" s="1"/>
  <c r="V100" i="11" s="1"/>
  <c r="V153" i="11" s="1"/>
  <c r="V206" i="11" s="1"/>
  <c r="BI9" i="11"/>
  <c r="V90" i="11" s="1"/>
  <c r="V143" i="11" s="1"/>
  <c r="V196" i="11" s="1"/>
  <c r="BH9" i="11"/>
  <c r="V86" i="11" s="1"/>
  <c r="V139" i="11" s="1"/>
  <c r="V192" i="11" s="1"/>
  <c r="BF9" i="11"/>
  <c r="V78" i="11" s="1"/>
  <c r="V131" i="11" s="1"/>
  <c r="V184" i="11" s="1"/>
  <c r="BA9" i="11"/>
  <c r="V58" i="11" s="1"/>
  <c r="V111" i="11" s="1"/>
  <c r="V164" i="11" s="1"/>
  <c r="V217" i="11" s="1"/>
  <c r="AZ9" i="11"/>
  <c r="V54" i="11" s="1"/>
  <c r="V107" i="11" s="1"/>
  <c r="V160" i="11" s="1"/>
  <c r="V213" i="11" s="1"/>
  <c r="AY9" i="11"/>
  <c r="AX9" i="11"/>
  <c r="V46" i="11" s="1"/>
  <c r="V99" i="11" s="1"/>
  <c r="V152" i="11" s="1"/>
  <c r="V205" i="11" s="1"/>
  <c r="AR9" i="11"/>
  <c r="O94" i="11" s="1"/>
  <c r="O147" i="11" s="1"/>
  <c r="N147" i="11" s="1"/>
  <c r="AQ9" i="11"/>
  <c r="AP9" i="11"/>
  <c r="AO9" i="11"/>
  <c r="BJ9" i="11" s="1"/>
  <c r="V94" i="11" s="1"/>
  <c r="V147" i="11" s="1"/>
  <c r="V200" i="11" s="1"/>
  <c r="AN9" i="11"/>
  <c r="AM9" i="11"/>
  <c r="AL9" i="11"/>
  <c r="BG9" i="11" s="1"/>
  <c r="V82" i="11" s="1"/>
  <c r="V135" i="11" s="1"/>
  <c r="V188" i="11" s="1"/>
  <c r="AK9" i="11"/>
  <c r="AJ9" i="11"/>
  <c r="BE9" i="11" s="1"/>
  <c r="V74" i="11" s="1"/>
  <c r="V127" i="11" s="1"/>
  <c r="V180" i="11" s="1"/>
  <c r="AI9" i="11"/>
  <c r="AH9" i="11"/>
  <c r="BC9" i="11" s="1"/>
  <c r="AG9" i="11"/>
  <c r="O62" i="11" s="1"/>
  <c r="O115" i="11" s="1"/>
  <c r="AF9" i="11"/>
  <c r="AE9" i="11"/>
  <c r="AD9" i="11"/>
  <c r="AC9" i="11"/>
  <c r="BF8" i="11"/>
  <c r="V77" i="11" s="1"/>
  <c r="V130" i="11" s="1"/>
  <c r="V183" i="11" s="1"/>
  <c r="BE8" i="11"/>
  <c r="V73" i="11" s="1"/>
  <c r="V126" i="11" s="1"/>
  <c r="V179" i="11" s="1"/>
  <c r="BD8" i="11"/>
  <c r="BC8" i="11"/>
  <c r="BB8" i="11"/>
  <c r="BA8" i="11"/>
  <c r="AY8" i="11"/>
  <c r="V49" i="11" s="1"/>
  <c r="V102" i="11" s="1"/>
  <c r="V155" i="11" s="1"/>
  <c r="V208" i="11" s="1"/>
  <c r="AR8" i="11"/>
  <c r="AQ8" i="11"/>
  <c r="AP8" i="11"/>
  <c r="O85" i="11" s="1"/>
  <c r="O138" i="11" s="1"/>
  <c r="AO8" i="11"/>
  <c r="BJ8" i="11" s="1"/>
  <c r="AN8" i="11"/>
  <c r="BI8" i="11" s="1"/>
  <c r="V89" i="11" s="1"/>
  <c r="V142" i="11" s="1"/>
  <c r="V195" i="11" s="1"/>
  <c r="AM8" i="11"/>
  <c r="BH8" i="11" s="1"/>
  <c r="V85" i="11" s="1"/>
  <c r="V138" i="11" s="1"/>
  <c r="V191" i="11" s="1"/>
  <c r="AL8" i="11"/>
  <c r="BG8" i="11" s="1"/>
  <c r="V81" i="11" s="1"/>
  <c r="V134" i="11" s="1"/>
  <c r="V187" i="11" s="1"/>
  <c r="AK8" i="11"/>
  <c r="AJ8" i="11"/>
  <c r="O73" i="11" s="1"/>
  <c r="O126" i="11" s="1"/>
  <c r="AI8" i="11"/>
  <c r="AH8" i="11"/>
  <c r="AG8" i="11"/>
  <c r="AF8" i="11"/>
  <c r="AE8" i="11"/>
  <c r="AZ8" i="11" s="1"/>
  <c r="AD8" i="11"/>
  <c r="AC8" i="11"/>
  <c r="AX8" i="11" s="1"/>
  <c r="BJ7" i="11"/>
  <c r="BI7" i="11"/>
  <c r="J92" i="11" s="1"/>
  <c r="H145" i="11" s="1"/>
  <c r="H197" i="11" s="1"/>
  <c r="BH7" i="11"/>
  <c r="J88" i="11" s="1"/>
  <c r="H141" i="11" s="1"/>
  <c r="H193" i="11" s="1"/>
  <c r="BG7" i="11"/>
  <c r="BF7" i="11"/>
  <c r="J80" i="11" s="1"/>
  <c r="H133" i="11" s="1"/>
  <c r="H185" i="11" s="1"/>
  <c r="BD7" i="11"/>
  <c r="AY7" i="11"/>
  <c r="J52" i="11" s="1"/>
  <c r="H105" i="11" s="1"/>
  <c r="H157" i="11" s="1"/>
  <c r="H209" i="11" s="1"/>
  <c r="AR7" i="11"/>
  <c r="F96" i="11" s="1"/>
  <c r="D149" i="11" s="1"/>
  <c r="AQ7" i="11"/>
  <c r="F92" i="11" s="1"/>
  <c r="AP7" i="11"/>
  <c r="F88" i="11" s="1"/>
  <c r="D141" i="11" s="1"/>
  <c r="AO7" i="11"/>
  <c r="F84" i="11" s="1"/>
  <c r="D137" i="11" s="1"/>
  <c r="AN7" i="11"/>
  <c r="AM7" i="11"/>
  <c r="AL7" i="11"/>
  <c r="AK7" i="11"/>
  <c r="AJ7" i="11"/>
  <c r="BE7" i="11" s="1"/>
  <c r="J76" i="11" s="1"/>
  <c r="H129" i="11" s="1"/>
  <c r="H181" i="11" s="1"/>
  <c r="AI7" i="11"/>
  <c r="AH7" i="11"/>
  <c r="BC7" i="11" s="1"/>
  <c r="J68" i="11" s="1"/>
  <c r="H121" i="11" s="1"/>
  <c r="H173" i="11" s="1"/>
  <c r="H225" i="11" s="1"/>
  <c r="AG7" i="11"/>
  <c r="BB7" i="11" s="1"/>
  <c r="AF7" i="11"/>
  <c r="BA7" i="11" s="1"/>
  <c r="J60" i="11" s="1"/>
  <c r="H113" i="11" s="1"/>
  <c r="H165" i="11" s="1"/>
  <c r="H217" i="11" s="1"/>
  <c r="AE7" i="11"/>
  <c r="AZ7" i="11" s="1"/>
  <c r="AD7" i="11"/>
  <c r="F52" i="11" s="1"/>
  <c r="D105" i="11" s="1"/>
  <c r="AC7" i="11"/>
  <c r="BD6" i="11"/>
  <c r="BC6" i="11"/>
  <c r="J67" i="11" s="1"/>
  <c r="H120" i="11" s="1"/>
  <c r="H172" i="11" s="1"/>
  <c r="H224" i="11" s="1"/>
  <c r="BB6" i="11"/>
  <c r="J63" i="11" s="1"/>
  <c r="H116" i="11" s="1"/>
  <c r="H168" i="11" s="1"/>
  <c r="H220" i="11" s="1"/>
  <c r="AZ6" i="11"/>
  <c r="J55" i="11" s="1"/>
  <c r="H108" i="11" s="1"/>
  <c r="H160" i="11" s="1"/>
  <c r="H212" i="11" s="1"/>
  <c r="AY6" i="11"/>
  <c r="AR6" i="11"/>
  <c r="F95" i="11" s="1"/>
  <c r="D148" i="11" s="1"/>
  <c r="AQ6" i="11"/>
  <c r="AP6" i="11"/>
  <c r="AO6" i="11"/>
  <c r="BJ6" i="11" s="1"/>
  <c r="J95" i="11" s="1"/>
  <c r="H148" i="11" s="1"/>
  <c r="H200" i="11" s="1"/>
  <c r="AN6" i="11"/>
  <c r="F79" i="11" s="1"/>
  <c r="D132" i="11" s="1"/>
  <c r="AM6" i="11"/>
  <c r="BH6" i="11" s="1"/>
  <c r="J87" i="11" s="1"/>
  <c r="H140" i="11" s="1"/>
  <c r="H192" i="11" s="1"/>
  <c r="AL6" i="11"/>
  <c r="BG6" i="11" s="1"/>
  <c r="J83" i="11" s="1"/>
  <c r="H136" i="11" s="1"/>
  <c r="H188" i="11" s="1"/>
  <c r="AK6" i="11"/>
  <c r="BF6" i="11" s="1"/>
  <c r="AJ6" i="11"/>
  <c r="F75" i="11" s="1"/>
  <c r="D128" i="11" s="1"/>
  <c r="D180" i="11" s="1"/>
  <c r="C180" i="11" s="1"/>
  <c r="AI6" i="11"/>
  <c r="AH6" i="11"/>
  <c r="AG6" i="11"/>
  <c r="AF6" i="11"/>
  <c r="BA6" i="11" s="1"/>
  <c r="J59" i="11" s="1"/>
  <c r="H112" i="11" s="1"/>
  <c r="H164" i="11" s="1"/>
  <c r="H216" i="11" s="1"/>
  <c r="AE6" i="11"/>
  <c r="AD6" i="11"/>
  <c r="AC6" i="11"/>
  <c r="AX6" i="11" s="1"/>
  <c r="J47" i="11" s="1"/>
  <c r="H100" i="11" s="1"/>
  <c r="H152" i="11" s="1"/>
  <c r="H204" i="11" s="1"/>
  <c r="BH5" i="11"/>
  <c r="BG5" i="11"/>
  <c r="J82" i="11" s="1"/>
  <c r="BF5" i="11"/>
  <c r="J78" i="11" s="1"/>
  <c r="H131" i="11" s="1"/>
  <c r="H183" i="11" s="1"/>
  <c r="BE5" i="11"/>
  <c r="BD5" i="11"/>
  <c r="AX5" i="11"/>
  <c r="J46" i="11" s="1"/>
  <c r="H99" i="11" s="1"/>
  <c r="H151" i="11" s="1"/>
  <c r="H203" i="11" s="1"/>
  <c r="AR5" i="11"/>
  <c r="F94" i="11" s="1"/>
  <c r="D147" i="11" s="1"/>
  <c r="AQ5" i="11"/>
  <c r="F90" i="11" s="1"/>
  <c r="D143" i="11" s="1"/>
  <c r="AP5" i="11"/>
  <c r="AO5" i="11"/>
  <c r="BJ5" i="11" s="1"/>
  <c r="J94" i="11" s="1"/>
  <c r="H147" i="11" s="1"/>
  <c r="H199" i="11" s="1"/>
  <c r="AN5" i="11"/>
  <c r="BI5" i="11" s="1"/>
  <c r="J90" i="11" s="1"/>
  <c r="H143" i="11" s="1"/>
  <c r="H195" i="11" s="1"/>
  <c r="AM5" i="11"/>
  <c r="AL5" i="11"/>
  <c r="AK5" i="11"/>
  <c r="AJ5" i="11"/>
  <c r="AI5" i="11"/>
  <c r="AH5" i="11"/>
  <c r="BC5" i="11" s="1"/>
  <c r="AG5" i="11"/>
  <c r="AF5" i="11"/>
  <c r="BA5" i="11" s="1"/>
  <c r="J58" i="11" s="1"/>
  <c r="H111" i="11" s="1"/>
  <c r="H163" i="11" s="1"/>
  <c r="H215" i="11" s="1"/>
  <c r="AE5" i="11"/>
  <c r="AZ5" i="11" s="1"/>
  <c r="J54" i="11" s="1"/>
  <c r="H107" i="11" s="1"/>
  <c r="H159" i="11" s="1"/>
  <c r="H211" i="11" s="1"/>
  <c r="AD5" i="11"/>
  <c r="AC5" i="11"/>
  <c r="BJ4" i="11"/>
  <c r="J93" i="11" s="1"/>
  <c r="H146" i="11" s="1"/>
  <c r="H198" i="11" s="1"/>
  <c r="BI4" i="11"/>
  <c r="J89" i="11" s="1"/>
  <c r="H142" i="11" s="1"/>
  <c r="H194" i="11" s="1"/>
  <c r="BC4" i="11"/>
  <c r="J65" i="11" s="1"/>
  <c r="H118" i="11" s="1"/>
  <c r="H170" i="11" s="1"/>
  <c r="H222" i="11" s="1"/>
  <c r="AZ4" i="11"/>
  <c r="AY4" i="11"/>
  <c r="J49" i="11" s="1"/>
  <c r="H102" i="11" s="1"/>
  <c r="H154" i="11" s="1"/>
  <c r="H206" i="11" s="1"/>
  <c r="AX4" i="11"/>
  <c r="J45" i="11" s="1"/>
  <c r="H98" i="11" s="1"/>
  <c r="H150" i="11" s="1"/>
  <c r="H202" i="11" s="1"/>
  <c r="AR4" i="11"/>
  <c r="F93" i="11" s="1"/>
  <c r="D146" i="11" s="1"/>
  <c r="D198" i="11" s="1"/>
  <c r="C198" i="11" s="1"/>
  <c r="AQ4" i="11"/>
  <c r="AP4" i="11"/>
  <c r="AO4" i="11"/>
  <c r="AN4" i="11"/>
  <c r="AM4" i="11"/>
  <c r="BH4" i="11" s="1"/>
  <c r="J85" i="11" s="1"/>
  <c r="H138" i="11" s="1"/>
  <c r="H190" i="11" s="1"/>
  <c r="AL4" i="11"/>
  <c r="BG4" i="11" s="1"/>
  <c r="J81" i="11" s="1"/>
  <c r="H134" i="11" s="1"/>
  <c r="H186" i="11" s="1"/>
  <c r="AK4" i="11"/>
  <c r="BF4" i="11" s="1"/>
  <c r="AJ4" i="11"/>
  <c r="BE4" i="11" s="1"/>
  <c r="J73" i="11" s="1"/>
  <c r="H126" i="11" s="1"/>
  <c r="H178" i="11" s="1"/>
  <c r="AI4" i="11"/>
  <c r="BD4" i="11" s="1"/>
  <c r="AH4" i="11"/>
  <c r="F65" i="11" s="1"/>
  <c r="D118" i="11" s="1"/>
  <c r="AG4" i="11"/>
  <c r="BB4" i="11" s="1"/>
  <c r="J61" i="11" s="1"/>
  <c r="H114" i="11" s="1"/>
  <c r="H166" i="11" s="1"/>
  <c r="H218" i="11" s="1"/>
  <c r="AF4" i="11"/>
  <c r="F57" i="11" s="1"/>
  <c r="D110" i="11" s="1"/>
  <c r="AE4" i="11"/>
  <c r="AD4" i="11"/>
  <c r="F49" i="11" s="1"/>
  <c r="D102" i="11" s="1"/>
  <c r="D154" i="11" s="1"/>
  <c r="AC4" i="11"/>
  <c r="C2" i="11"/>
  <c r="C11" i="10"/>
  <c r="C10" i="10"/>
  <c r="B6" i="10"/>
  <c r="C4" i="10"/>
  <c r="C3" i="10"/>
  <c r="C2" i="10"/>
  <c r="F17" i="9"/>
  <c r="G10" i="9"/>
  <c r="B6" i="9"/>
  <c r="C4" i="9"/>
  <c r="C3" i="9"/>
  <c r="C2" i="9"/>
  <c r="D17" i="8"/>
  <c r="E10" i="8"/>
  <c r="B6" i="8"/>
  <c r="C4" i="8"/>
  <c r="C3" i="8"/>
  <c r="C2" i="8"/>
  <c r="AL173" i="7"/>
  <c r="AD173" i="7"/>
  <c r="V173" i="7"/>
  <c r="N173" i="7"/>
  <c r="P95" i="7"/>
  <c r="O95" i="7"/>
  <c r="P94" i="7"/>
  <c r="O94" i="7"/>
  <c r="P93" i="7"/>
  <c r="O93" i="7"/>
  <c r="P92" i="7"/>
  <c r="O92" i="7"/>
  <c r="N84" i="7"/>
  <c r="T83" i="7"/>
  <c r="S83" i="7"/>
  <c r="N83" i="7"/>
  <c r="T82" i="7"/>
  <c r="S82" i="7"/>
  <c r="N82" i="7"/>
  <c r="T81" i="7"/>
  <c r="S81" i="7"/>
  <c r="N81" i="7" s="1"/>
  <c r="T80" i="7"/>
  <c r="S80" i="7"/>
  <c r="N80" i="7"/>
  <c r="T79" i="7"/>
  <c r="S79" i="7"/>
  <c r="N79" i="7"/>
  <c r="T78" i="7"/>
  <c r="S78" i="7"/>
  <c r="N78" i="7" s="1"/>
  <c r="T77" i="7"/>
  <c r="S77" i="7"/>
  <c r="N77" i="7" s="1"/>
  <c r="T76" i="7"/>
  <c r="S76" i="7"/>
  <c r="N76" i="7" s="1"/>
  <c r="T75" i="7"/>
  <c r="S75" i="7"/>
  <c r="N75" i="7" s="1"/>
  <c r="T74" i="7"/>
  <c r="S74" i="7"/>
  <c r="N74" i="7"/>
  <c r="T73" i="7"/>
  <c r="S73" i="7"/>
  <c r="N73" i="7" s="1"/>
  <c r="T72" i="7"/>
  <c r="S72" i="7"/>
  <c r="N72" i="7" s="1"/>
  <c r="T11" i="7"/>
  <c r="R11" i="7"/>
  <c r="S11" i="7" s="1"/>
  <c r="N11" i="7" s="1"/>
  <c r="O11" i="7"/>
  <c r="R10" i="7"/>
  <c r="T10" i="7" s="1"/>
  <c r="O10" i="7"/>
  <c r="T9" i="7"/>
  <c r="S9" i="7"/>
  <c r="N9" i="7" s="1"/>
  <c r="R9" i="7"/>
  <c r="O9" i="7"/>
  <c r="T8" i="7"/>
  <c r="R8" i="7"/>
  <c r="S8" i="7" s="1"/>
  <c r="N8" i="7" s="1"/>
  <c r="O8" i="7"/>
  <c r="B13" i="5"/>
  <c r="B12" i="5"/>
  <c r="C12" i="5" s="1"/>
  <c r="C11" i="5"/>
  <c r="B11" i="5"/>
  <c r="C10" i="5"/>
  <c r="B10" i="5"/>
  <c r="B9" i="5"/>
  <c r="C9" i="5" s="1"/>
  <c r="B8" i="5"/>
  <c r="C8" i="5" s="1"/>
  <c r="K7" i="5"/>
  <c r="J7" i="5"/>
  <c r="I7" i="5"/>
  <c r="H7" i="5"/>
  <c r="G7" i="5"/>
  <c r="F7" i="5"/>
  <c r="E7" i="5"/>
  <c r="D7" i="5"/>
  <c r="C7" i="5"/>
  <c r="B7" i="5"/>
  <c r="L6" i="5"/>
  <c r="K6" i="5"/>
  <c r="J6" i="5"/>
  <c r="I6" i="5"/>
  <c r="H6" i="5"/>
  <c r="G6" i="5"/>
  <c r="F6" i="5"/>
  <c r="E6" i="5"/>
  <c r="D6" i="5"/>
  <c r="C6" i="5"/>
  <c r="B6" i="5"/>
  <c r="B3" i="5"/>
  <c r="B2" i="5"/>
  <c r="B38" i="4"/>
  <c r="E34" i="4"/>
  <c r="B33" i="4"/>
  <c r="H33" i="4" s="1"/>
  <c r="E28" i="4"/>
  <c r="B27" i="4"/>
  <c r="H27" i="4" s="1"/>
  <c r="B26" i="4"/>
  <c r="H26" i="4" s="1"/>
  <c r="E23" i="4"/>
  <c r="B20" i="4"/>
  <c r="H20" i="4" s="1"/>
  <c r="E17" i="4"/>
  <c r="B16" i="4"/>
  <c r="H16" i="4" s="1"/>
  <c r="B44" i="4" s="1"/>
  <c r="B10" i="4"/>
  <c r="B4" i="4"/>
  <c r="B2" i="4"/>
  <c r="B35" i="4" s="1"/>
  <c r="H35" i="4" s="1"/>
  <c r="J52" i="3"/>
  <c r="I52" i="3"/>
  <c r="G51" i="3"/>
  <c r="G45" i="3"/>
  <c r="G44" i="3"/>
  <c r="G43" i="3"/>
  <c r="P41" i="3"/>
  <c r="O41" i="3"/>
  <c r="N41" i="3"/>
  <c r="M41" i="3"/>
  <c r="L41" i="3"/>
  <c r="K41" i="3"/>
  <c r="J41" i="3"/>
  <c r="I41" i="3"/>
  <c r="H41" i="3"/>
  <c r="G41" i="3"/>
  <c r="P40" i="3"/>
  <c r="O40" i="3"/>
  <c r="N40" i="3"/>
  <c r="M40" i="3"/>
  <c r="L40" i="3"/>
  <c r="K40" i="3"/>
  <c r="J40" i="3"/>
  <c r="I40" i="3"/>
  <c r="H40" i="3"/>
  <c r="G40" i="3"/>
  <c r="P39" i="3"/>
  <c r="O39" i="3"/>
  <c r="N39" i="3"/>
  <c r="M39" i="3"/>
  <c r="L39" i="3"/>
  <c r="K39" i="3"/>
  <c r="J39" i="3"/>
  <c r="I39" i="3"/>
  <c r="H39" i="3"/>
  <c r="G39" i="3"/>
  <c r="P38" i="3"/>
  <c r="O38" i="3"/>
  <c r="N38" i="3"/>
  <c r="M38" i="3"/>
  <c r="L38" i="3"/>
  <c r="K38" i="3"/>
  <c r="J38" i="3"/>
  <c r="I38" i="3"/>
  <c r="H38" i="3"/>
  <c r="G38" i="3"/>
  <c r="G37" i="3"/>
  <c r="G32" i="3"/>
  <c r="G30" i="3"/>
  <c r="G28" i="3"/>
  <c r="G27" i="3"/>
  <c r="G24" i="3"/>
  <c r="G23" i="3"/>
  <c r="G19" i="3"/>
  <c r="G18" i="3"/>
  <c r="G15" i="3"/>
  <c r="G14" i="3"/>
  <c r="G12" i="3"/>
  <c r="B129" i="2"/>
  <c r="G31" i="3" s="1"/>
  <c r="B116" i="2"/>
  <c r="B115" i="2"/>
  <c r="B113" i="2"/>
  <c r="G52" i="3" s="1"/>
  <c r="B111" i="2"/>
  <c r="B110" i="2"/>
  <c r="B107" i="2"/>
  <c r="B92" i="2"/>
  <c r="B105" i="2" s="1"/>
  <c r="B83" i="2"/>
  <c r="B82" i="2"/>
  <c r="D80" i="2"/>
  <c r="D73" i="2"/>
  <c r="D72" i="2"/>
  <c r="B81" i="2" s="1"/>
  <c r="G17" i="3" s="1"/>
  <c r="D71" i="2"/>
  <c r="D70" i="2"/>
  <c r="D69" i="2"/>
  <c r="B114" i="2" s="1"/>
  <c r="H52" i="3" s="1"/>
  <c r="B49" i="2"/>
  <c r="B48" i="2"/>
  <c r="B46" i="2"/>
  <c r="B45" i="2"/>
  <c r="B43" i="2"/>
  <c r="B42" i="2"/>
  <c r="B39" i="2"/>
  <c r="E14" i="8" s="1"/>
  <c r="E20" i="8" s="1"/>
  <c r="E29" i="8" s="1"/>
  <c r="B35" i="2"/>
  <c r="B32" i="2"/>
  <c r="X30" i="2"/>
  <c r="B28" i="2"/>
  <c r="D16" i="9" s="1"/>
  <c r="B27" i="2"/>
  <c r="B26" i="2"/>
  <c r="B13" i="2"/>
  <c r="B12" i="2"/>
  <c r="B11" i="2"/>
  <c r="B10" i="2"/>
  <c r="B6" i="2"/>
  <c r="B67" i="2" s="1"/>
  <c r="D175" i="11" l="1"/>
  <c r="C175" i="11" s="1"/>
  <c r="C123" i="11"/>
  <c r="D183" i="11"/>
  <c r="C183" i="11" s="1"/>
  <c r="C131" i="11"/>
  <c r="D200" i="11"/>
  <c r="C200" i="11" s="1"/>
  <c r="C148" i="11"/>
  <c r="O179" i="11"/>
  <c r="N179" i="11" s="1"/>
  <c r="N126" i="11"/>
  <c r="C143" i="11"/>
  <c r="D195" i="11"/>
  <c r="C195" i="11" s="1"/>
  <c r="D199" i="11"/>
  <c r="C199" i="11" s="1"/>
  <c r="C147" i="11"/>
  <c r="D162" i="11"/>
  <c r="C110" i="11"/>
  <c r="N99" i="11"/>
  <c r="O152" i="11"/>
  <c r="D179" i="11"/>
  <c r="C179" i="11" s="1"/>
  <c r="C127" i="11"/>
  <c r="D201" i="11"/>
  <c r="C201" i="11" s="1"/>
  <c r="C149" i="11"/>
  <c r="C109" i="11"/>
  <c r="D161" i="11"/>
  <c r="D151" i="11"/>
  <c r="C99" i="11"/>
  <c r="D24" i="9"/>
  <c r="D33" i="9" s="1"/>
  <c r="D170" i="11"/>
  <c r="C118" i="11"/>
  <c r="C137" i="11"/>
  <c r="D189" i="11"/>
  <c r="C189" i="11" s="1"/>
  <c r="D157" i="11"/>
  <c r="C105" i="11"/>
  <c r="C141" i="11"/>
  <c r="D193" i="11"/>
  <c r="C193" i="11" s="1"/>
  <c r="BW5" i="16"/>
  <c r="Q50" i="15"/>
  <c r="Q50" i="14"/>
  <c r="AB381" i="12"/>
  <c r="D184" i="11"/>
  <c r="C184" i="11" s="1"/>
  <c r="C132" i="11"/>
  <c r="N115" i="11"/>
  <c r="O168" i="11"/>
  <c r="G11" i="3"/>
  <c r="B84" i="2"/>
  <c r="G16" i="9"/>
  <c r="BA32" i="11"/>
  <c r="M58" i="11" s="1"/>
  <c r="K111" i="11" s="1"/>
  <c r="K163" i="11" s="1"/>
  <c r="K215" i="11" s="1"/>
  <c r="S10" i="7"/>
  <c r="N10" i="7" s="1"/>
  <c r="F62" i="11"/>
  <c r="D115" i="11" s="1"/>
  <c r="BB5" i="11"/>
  <c r="J62" i="11" s="1"/>
  <c r="H115" i="11" s="1"/>
  <c r="H167" i="11" s="1"/>
  <c r="H219" i="11" s="1"/>
  <c r="BD9" i="11"/>
  <c r="V70" i="11" s="1"/>
  <c r="V123" i="11" s="1"/>
  <c r="V176" i="11" s="1"/>
  <c r="O70" i="11"/>
  <c r="O123" i="11" s="1"/>
  <c r="BD19" i="11"/>
  <c r="X72" i="11" s="1"/>
  <c r="X125" i="11" s="1"/>
  <c r="X178" i="11" s="1"/>
  <c r="BD31" i="11"/>
  <c r="M69" i="11" s="1"/>
  <c r="K122" i="11" s="1"/>
  <c r="K174" i="11" s="1"/>
  <c r="I69" i="11"/>
  <c r="G122" i="11" s="1"/>
  <c r="G174" i="11" s="1"/>
  <c r="I64" i="11"/>
  <c r="G117" i="11" s="1"/>
  <c r="G169" i="11" s="1"/>
  <c r="G221" i="11" s="1"/>
  <c r="BB34" i="11"/>
  <c r="M64" i="11" s="1"/>
  <c r="K117" i="11" s="1"/>
  <c r="K169" i="11" s="1"/>
  <c r="K221" i="11" s="1"/>
  <c r="D224" i="11"/>
  <c r="C224" i="11" s="1"/>
  <c r="C172" i="11"/>
  <c r="R72" i="11"/>
  <c r="R125" i="11" s="1"/>
  <c r="R178" i="11" s="1"/>
  <c r="C146" i="11"/>
  <c r="O209" i="11"/>
  <c r="N209" i="11" s="1"/>
  <c r="N156" i="11"/>
  <c r="G154" i="14"/>
  <c r="G219" i="14" s="1"/>
  <c r="G283" i="14" s="1"/>
  <c r="BK26" i="14"/>
  <c r="K154" i="14" s="1"/>
  <c r="K219" i="14" s="1"/>
  <c r="K283" i="14" s="1"/>
  <c r="Q102" i="14"/>
  <c r="Q167" i="14" s="1"/>
  <c r="Q231" i="14" s="1"/>
  <c r="AX30" i="14"/>
  <c r="V102" i="14" s="1"/>
  <c r="V167" i="14" s="1"/>
  <c r="V231" i="14" s="1"/>
  <c r="BJ30" i="14"/>
  <c r="V150" i="14" s="1"/>
  <c r="V215" i="14" s="1"/>
  <c r="V279" i="14" s="1"/>
  <c r="Q150" i="14"/>
  <c r="Q215" i="14" s="1"/>
  <c r="Q279" i="14" s="1"/>
  <c r="BA32" i="14"/>
  <c r="AD112" i="14" s="1"/>
  <c r="AD177" i="14" s="1"/>
  <c r="AD241" i="14" s="1"/>
  <c r="Z112" i="14"/>
  <c r="Z177" i="14" s="1"/>
  <c r="Z241" i="14" s="1"/>
  <c r="BM146" i="20"/>
  <c r="AD156" i="20"/>
  <c r="AD141" i="20"/>
  <c r="AD91" i="20"/>
  <c r="AD81" i="20"/>
  <c r="BM56" i="20"/>
  <c r="AD116" i="20"/>
  <c r="BM91" i="20"/>
  <c r="BM81" i="20"/>
  <c r="BM156" i="20"/>
  <c r="BM116" i="20"/>
  <c r="AD106" i="20"/>
  <c r="AD146" i="20"/>
  <c r="BM141" i="20"/>
  <c r="AD136" i="20"/>
  <c r="AD151" i="20"/>
  <c r="AD121" i="20"/>
  <c r="BM136" i="20"/>
  <c r="BM126" i="20"/>
  <c r="BM101" i="20"/>
  <c r="AD51" i="20"/>
  <c r="AD41" i="20"/>
  <c r="BM36" i="20"/>
  <c r="BM121" i="20"/>
  <c r="AD86" i="20"/>
  <c r="BM41" i="20"/>
  <c r="BM131" i="20"/>
  <c r="BM76" i="20"/>
  <c r="AD66" i="20"/>
  <c r="AD61" i="20"/>
  <c r="BM51" i="20"/>
  <c r="AD21" i="20"/>
  <c r="AD11" i="20"/>
  <c r="AD111" i="20"/>
  <c r="AD96" i="20"/>
  <c r="BM66" i="20"/>
  <c r="AD31" i="20"/>
  <c r="BM46" i="20"/>
  <c r="BM151" i="20"/>
  <c r="BM96" i="20"/>
  <c r="AD16" i="20"/>
  <c r="AD131" i="20"/>
  <c r="BM86" i="20"/>
  <c r="BM26" i="20"/>
  <c r="BM16" i="20"/>
  <c r="AD126" i="20"/>
  <c r="BM61" i="20"/>
  <c r="AD71" i="20"/>
  <c r="BM11" i="20"/>
  <c r="BM106" i="20"/>
  <c r="AD76" i="20"/>
  <c r="BM6" i="20"/>
  <c r="AD101" i="20"/>
  <c r="BM111" i="20"/>
  <c r="AD36" i="20"/>
  <c r="AD26" i="20"/>
  <c r="BM21" i="20"/>
  <c r="AD56" i="20"/>
  <c r="AD6" i="20"/>
  <c r="BM71" i="20"/>
  <c r="BM31" i="20"/>
  <c r="AD46" i="20"/>
  <c r="G17" i="9"/>
  <c r="E17" i="9"/>
  <c r="G17" i="8"/>
  <c r="D17" i="9"/>
  <c r="F17" i="8"/>
  <c r="C17" i="9"/>
  <c r="E17" i="8"/>
  <c r="B18" i="4"/>
  <c r="H18" i="4" s="1"/>
  <c r="B46" i="4" s="1"/>
  <c r="E26" i="4"/>
  <c r="BC12" i="11"/>
  <c r="L65" i="11" s="1"/>
  <c r="J118" i="11" s="1"/>
  <c r="J170" i="11" s="1"/>
  <c r="J222" i="11" s="1"/>
  <c r="H67" i="11"/>
  <c r="F120" i="11" s="1"/>
  <c r="F172" i="11" s="1"/>
  <c r="F224" i="11" s="1"/>
  <c r="BC14" i="11"/>
  <c r="L67" i="11" s="1"/>
  <c r="J120" i="11" s="1"/>
  <c r="J172" i="11" s="1"/>
  <c r="J224" i="11" s="1"/>
  <c r="BD16" i="11"/>
  <c r="X69" i="11" s="1"/>
  <c r="X122" i="11" s="1"/>
  <c r="X175" i="11" s="1"/>
  <c r="Q69" i="11"/>
  <c r="Q122" i="11" s="1"/>
  <c r="Q175" i="11" s="1"/>
  <c r="BA18" i="11"/>
  <c r="X59" i="11" s="1"/>
  <c r="X112" i="11" s="1"/>
  <c r="X165" i="11" s="1"/>
  <c r="X218" i="11" s="1"/>
  <c r="BB23" i="11"/>
  <c r="K61" i="11" s="1"/>
  <c r="I114" i="11" s="1"/>
  <c r="I166" i="11" s="1"/>
  <c r="I218" i="11" s="1"/>
  <c r="BD24" i="11"/>
  <c r="K70" i="11" s="1"/>
  <c r="I123" i="11" s="1"/>
  <c r="I175" i="11" s="1"/>
  <c r="G70" i="11"/>
  <c r="E123" i="11" s="1"/>
  <c r="E175" i="11" s="1"/>
  <c r="BC30" i="11"/>
  <c r="W68" i="11" s="1"/>
  <c r="W121" i="11" s="1"/>
  <c r="W174" i="11" s="1"/>
  <c r="I73" i="11"/>
  <c r="G126" i="11" s="1"/>
  <c r="G178" i="11" s="1"/>
  <c r="BE31" i="11"/>
  <c r="M73" i="11" s="1"/>
  <c r="K126" i="11" s="1"/>
  <c r="K178" i="11" s="1"/>
  <c r="O59" i="11"/>
  <c r="O112" i="11" s="1"/>
  <c r="I63" i="11"/>
  <c r="G116" i="11" s="1"/>
  <c r="G168" i="11" s="1"/>
  <c r="G220" i="11" s="1"/>
  <c r="O199" i="11"/>
  <c r="N199" i="11" s="1"/>
  <c r="N146" i="11"/>
  <c r="C144" i="11"/>
  <c r="O204" i="11"/>
  <c r="N204" i="11" s="1"/>
  <c r="O201" i="11"/>
  <c r="N201" i="11" s="1"/>
  <c r="N148" i="11"/>
  <c r="O171" i="11"/>
  <c r="N118" i="11"/>
  <c r="AZ15" i="11"/>
  <c r="L56" i="11" s="1"/>
  <c r="J109" i="11" s="1"/>
  <c r="J161" i="11" s="1"/>
  <c r="J213" i="11" s="1"/>
  <c r="BB17" i="11"/>
  <c r="X62" i="11" s="1"/>
  <c r="X115" i="11" s="1"/>
  <c r="X168" i="11" s="1"/>
  <c r="X221" i="11" s="1"/>
  <c r="BE26" i="11"/>
  <c r="K76" i="11" s="1"/>
  <c r="I129" i="11" s="1"/>
  <c r="I181" i="11" s="1"/>
  <c r="G76" i="11"/>
  <c r="E129" i="11" s="1"/>
  <c r="E181" i="11" s="1"/>
  <c r="BD29" i="11"/>
  <c r="W71" i="11" s="1"/>
  <c r="W124" i="11" s="1"/>
  <c r="W177" i="11" s="1"/>
  <c r="H63" i="11"/>
  <c r="F116" i="11" s="1"/>
  <c r="F168" i="11" s="1"/>
  <c r="F220" i="11" s="1"/>
  <c r="G106" i="14"/>
  <c r="G171" i="14" s="1"/>
  <c r="G235" i="14" s="1"/>
  <c r="AY26" i="14"/>
  <c r="K106" i="14" s="1"/>
  <c r="K171" i="14" s="1"/>
  <c r="K235" i="14" s="1"/>
  <c r="B34" i="4"/>
  <c r="H34" i="4" s="1"/>
  <c r="B28" i="4"/>
  <c r="H28" i="4" s="1"/>
  <c r="B22" i="4"/>
  <c r="H22" i="4" s="1"/>
  <c r="B17" i="4"/>
  <c r="H17" i="4" s="1"/>
  <c r="B45" i="4" s="1"/>
  <c r="B50" i="4" s="1"/>
  <c r="E33" i="4"/>
  <c r="E27" i="4"/>
  <c r="E21" i="4"/>
  <c r="E16" i="4"/>
  <c r="B8" i="2"/>
  <c r="I102" i="20"/>
  <c r="I100" i="20"/>
  <c r="I97" i="20"/>
  <c r="I96" i="20"/>
  <c r="I90" i="20"/>
  <c r="I87" i="20"/>
  <c r="I86" i="20"/>
  <c r="I80" i="20"/>
  <c r="I77" i="20"/>
  <c r="I76" i="20"/>
  <c r="I71" i="20"/>
  <c r="I65" i="20"/>
  <c r="I64" i="20"/>
  <c r="I62" i="20"/>
  <c r="I58" i="20"/>
  <c r="I104" i="20"/>
  <c r="I98" i="20"/>
  <c r="I94" i="20"/>
  <c r="I88" i="20"/>
  <c r="I84" i="20"/>
  <c r="I78" i="20"/>
  <c r="I74" i="20"/>
  <c r="I66" i="20"/>
  <c r="I60" i="20"/>
  <c r="I59" i="20"/>
  <c r="I57" i="20"/>
  <c r="I83" i="20"/>
  <c r="I72" i="20"/>
  <c r="I68" i="20"/>
  <c r="I46" i="20"/>
  <c r="I82" i="20"/>
  <c r="I63" i="20"/>
  <c r="I49" i="20"/>
  <c r="I79" i="20"/>
  <c r="I56" i="20"/>
  <c r="I43" i="20"/>
  <c r="I42" i="20"/>
  <c r="I33" i="20"/>
  <c r="I105" i="20"/>
  <c r="I89" i="20"/>
  <c r="I61" i="20"/>
  <c r="I51" i="20"/>
  <c r="I67" i="20"/>
  <c r="I54" i="20"/>
  <c r="I22" i="20"/>
  <c r="I19" i="20"/>
  <c r="I18" i="20"/>
  <c r="I92" i="20"/>
  <c r="I91" i="20"/>
  <c r="I48" i="20"/>
  <c r="I17" i="20"/>
  <c r="I69" i="20"/>
  <c r="I41" i="20"/>
  <c r="I40" i="20"/>
  <c r="I27" i="20"/>
  <c r="I75" i="20"/>
  <c r="I37" i="20"/>
  <c r="I6" i="20"/>
  <c r="I93" i="20"/>
  <c r="I70" i="20"/>
  <c r="I36" i="20"/>
  <c r="I35" i="20"/>
  <c r="I28" i="20"/>
  <c r="I101" i="20"/>
  <c r="I85" i="20"/>
  <c r="I32" i="20"/>
  <c r="I26" i="20"/>
  <c r="I12" i="20"/>
  <c r="I11" i="20"/>
  <c r="I55" i="20"/>
  <c r="I50" i="20"/>
  <c r="I38" i="20"/>
  <c r="I8" i="20"/>
  <c r="I99" i="20"/>
  <c r="I16" i="20"/>
  <c r="I15" i="20"/>
  <c r="I39" i="20"/>
  <c r="I81" i="20"/>
  <c r="I20" i="20"/>
  <c r="I29" i="20"/>
  <c r="I25" i="20"/>
  <c r="I13" i="20"/>
  <c r="I9" i="20"/>
  <c r="I45" i="20"/>
  <c r="I53" i="20"/>
  <c r="I14" i="20"/>
  <c r="I10" i="20"/>
  <c r="I103" i="20"/>
  <c r="I24" i="20"/>
  <c r="I7" i="20"/>
  <c r="I44" i="20"/>
  <c r="I95" i="20"/>
  <c r="I73" i="20"/>
  <c r="I21" i="20"/>
  <c r="I34" i="20"/>
  <c r="I31" i="20"/>
  <c r="I52" i="20"/>
  <c r="I23" i="20"/>
  <c r="I30" i="20"/>
  <c r="I47" i="20"/>
  <c r="G20" i="3"/>
  <c r="B3" i="4"/>
  <c r="E18" i="4"/>
  <c r="E35" i="4"/>
  <c r="BB9" i="11"/>
  <c r="V62" i="11" s="1"/>
  <c r="V115" i="11" s="1"/>
  <c r="V168" i="11" s="1"/>
  <c r="V221" i="11" s="1"/>
  <c r="AZ14" i="11"/>
  <c r="L55" i="11" s="1"/>
  <c r="J108" i="11" s="1"/>
  <c r="J160" i="11" s="1"/>
  <c r="J212" i="11" s="1"/>
  <c r="BE16" i="11"/>
  <c r="X73" i="11" s="1"/>
  <c r="X126" i="11" s="1"/>
  <c r="X179" i="11" s="1"/>
  <c r="Q73" i="11"/>
  <c r="Q126" i="11" s="1"/>
  <c r="Q179" i="11" s="1"/>
  <c r="BA16" i="11"/>
  <c r="X57" i="11" s="1"/>
  <c r="X110" i="11" s="1"/>
  <c r="X163" i="11" s="1"/>
  <c r="X216" i="11" s="1"/>
  <c r="BC26" i="11"/>
  <c r="K68" i="11" s="1"/>
  <c r="I121" i="11" s="1"/>
  <c r="I173" i="11" s="1"/>
  <c r="I225" i="11" s="1"/>
  <c r="BC28" i="11"/>
  <c r="W66" i="11" s="1"/>
  <c r="W119" i="11" s="1"/>
  <c r="W172" i="11" s="1"/>
  <c r="W225" i="11" s="1"/>
  <c r="BB31" i="11"/>
  <c r="M61" i="11" s="1"/>
  <c r="K114" i="11" s="1"/>
  <c r="K166" i="11" s="1"/>
  <c r="K218" i="11" s="1"/>
  <c r="BC34" i="11"/>
  <c r="M68" i="11" s="1"/>
  <c r="K121" i="11" s="1"/>
  <c r="K173" i="11" s="1"/>
  <c r="K225" i="11" s="1"/>
  <c r="BA36" i="11"/>
  <c r="Y58" i="11" s="1"/>
  <c r="Y111" i="11" s="1"/>
  <c r="Y164" i="11" s="1"/>
  <c r="Y217" i="11" s="1"/>
  <c r="BD37" i="11"/>
  <c r="Y71" i="11" s="1"/>
  <c r="Y124" i="11" s="1"/>
  <c r="Y177" i="11" s="1"/>
  <c r="BC38" i="11"/>
  <c r="Y68" i="11" s="1"/>
  <c r="Y121" i="11" s="1"/>
  <c r="Y174" i="11" s="1"/>
  <c r="Q48" i="11"/>
  <c r="Q101" i="11" s="1"/>
  <c r="Q154" i="11" s="1"/>
  <c r="Q207" i="11" s="1"/>
  <c r="O159" i="11"/>
  <c r="N106" i="11"/>
  <c r="O173" i="11"/>
  <c r="N173" i="11" s="1"/>
  <c r="N120" i="11"/>
  <c r="F82" i="11"/>
  <c r="D135" i="11" s="1"/>
  <c r="C122" i="11"/>
  <c r="O154" i="11"/>
  <c r="O166" i="11"/>
  <c r="D171" i="11"/>
  <c r="O178" i="11"/>
  <c r="N178" i="11" s="1"/>
  <c r="O190" i="11"/>
  <c r="N190" i="11" s="1"/>
  <c r="G14" i="9"/>
  <c r="G20" i="9" s="1"/>
  <c r="G29" i="9" s="1"/>
  <c r="C15" i="8"/>
  <c r="BA4" i="11"/>
  <c r="J57" i="11" s="1"/>
  <c r="H110" i="11" s="1"/>
  <c r="H162" i="11" s="1"/>
  <c r="H214" i="11" s="1"/>
  <c r="Q58" i="11"/>
  <c r="Q111" i="11" s="1"/>
  <c r="Q164" i="11" s="1"/>
  <c r="Q217" i="11" s="1"/>
  <c r="O164" i="11"/>
  <c r="B3" i="21"/>
  <c r="D70" i="20"/>
  <c r="D69" i="20"/>
  <c r="D54" i="20"/>
  <c r="D45" i="20"/>
  <c r="D71" i="20"/>
  <c r="D55" i="20"/>
  <c r="D48" i="20"/>
  <c r="D47" i="20"/>
  <c r="D65" i="20"/>
  <c r="D59" i="20"/>
  <c r="D72" i="20"/>
  <c r="D68" i="20"/>
  <c r="D63" i="20"/>
  <c r="D60" i="20"/>
  <c r="D56" i="20"/>
  <c r="D43" i="20"/>
  <c r="D42" i="20"/>
  <c r="D46" i="20"/>
  <c r="D67" i="20"/>
  <c r="D58" i="20"/>
  <c r="D52" i="20"/>
  <c r="D49" i="20"/>
  <c r="D66" i="20"/>
  <c r="D61" i="20"/>
  <c r="D53" i="20"/>
  <c r="D44" i="20"/>
  <c r="D62" i="20"/>
  <c r="D64" i="20"/>
  <c r="D50" i="20"/>
  <c r="D57" i="20"/>
  <c r="D51" i="20"/>
  <c r="G35" i="3"/>
  <c r="B93" i="2"/>
  <c r="B29" i="4"/>
  <c r="H29" i="4" s="1"/>
  <c r="D16" i="8"/>
  <c r="D24" i="8" s="1"/>
  <c r="D33" i="8" s="1"/>
  <c r="BE6" i="11"/>
  <c r="J75" i="11" s="1"/>
  <c r="H128" i="11" s="1"/>
  <c r="H180" i="11" s="1"/>
  <c r="G77" i="11"/>
  <c r="E130" i="11" s="1"/>
  <c r="E182" i="11" s="1"/>
  <c r="BI23" i="11"/>
  <c r="K89" i="11" s="1"/>
  <c r="I142" i="11" s="1"/>
  <c r="I194" i="11" s="1"/>
  <c r="G79" i="11"/>
  <c r="E132" i="11" s="1"/>
  <c r="E184" i="11" s="1"/>
  <c r="BI25" i="11"/>
  <c r="K91" i="11" s="1"/>
  <c r="I144" i="11" s="1"/>
  <c r="I196" i="11" s="1"/>
  <c r="BI28" i="11"/>
  <c r="W90" i="11" s="1"/>
  <c r="W143" i="11" s="1"/>
  <c r="W196" i="11" s="1"/>
  <c r="BI30" i="11"/>
  <c r="W92" i="11" s="1"/>
  <c r="W145" i="11" s="1"/>
  <c r="W198" i="11" s="1"/>
  <c r="P80" i="11"/>
  <c r="P133" i="11" s="1"/>
  <c r="P186" i="11" s="1"/>
  <c r="F60" i="11"/>
  <c r="D113" i="11" s="1"/>
  <c r="C106" i="11"/>
  <c r="C138" i="11"/>
  <c r="R62" i="11"/>
  <c r="R115" i="11" s="1"/>
  <c r="R168" i="11" s="1"/>
  <c r="R221" i="11" s="1"/>
  <c r="BB36" i="11"/>
  <c r="Y62" i="11" s="1"/>
  <c r="Y115" i="11" s="1"/>
  <c r="Y168" i="11" s="1"/>
  <c r="Y221" i="11" s="1"/>
  <c r="O155" i="11"/>
  <c r="N102" i="11"/>
  <c r="I56" i="11"/>
  <c r="G109" i="11" s="1"/>
  <c r="G161" i="11" s="1"/>
  <c r="G213" i="11" s="1"/>
  <c r="R64" i="11"/>
  <c r="R117" i="11" s="1"/>
  <c r="R170" i="11" s="1"/>
  <c r="R223" i="11" s="1"/>
  <c r="F73" i="11"/>
  <c r="D126" i="11" s="1"/>
  <c r="O189" i="11"/>
  <c r="N189" i="11" s="1"/>
  <c r="N136" i="11"/>
  <c r="O193" i="11"/>
  <c r="N193" i="11" s="1"/>
  <c r="N140" i="11"/>
  <c r="E74" i="12"/>
  <c r="C143" i="12" s="1"/>
  <c r="BD5" i="12"/>
  <c r="I74" i="12" s="1"/>
  <c r="G143" i="12" s="1"/>
  <c r="G207" i="12" s="1"/>
  <c r="C204" i="12"/>
  <c r="B204" i="12" s="1"/>
  <c r="B140" i="12"/>
  <c r="H53" i="12"/>
  <c r="F122" i="12" s="1"/>
  <c r="F186" i="12" s="1"/>
  <c r="AY31" i="12"/>
  <c r="L53" i="12" s="1"/>
  <c r="J122" i="12" s="1"/>
  <c r="J186" i="12" s="1"/>
  <c r="E14" i="9"/>
  <c r="E20" i="9" s="1"/>
  <c r="E29" i="9" s="1"/>
  <c r="BC16" i="11"/>
  <c r="X65" i="11" s="1"/>
  <c r="X118" i="11" s="1"/>
  <c r="X171" i="11" s="1"/>
  <c r="X224" i="11" s="1"/>
  <c r="O163" i="11"/>
  <c r="N110" i="11"/>
  <c r="Q67" i="11"/>
  <c r="Q120" i="11" s="1"/>
  <c r="Q173" i="11" s="1"/>
  <c r="F55" i="12"/>
  <c r="D124" i="12" s="1"/>
  <c r="D188" i="12" s="1"/>
  <c r="AY25" i="12"/>
  <c r="J55" i="12" s="1"/>
  <c r="H124" i="12" s="1"/>
  <c r="H188" i="12" s="1"/>
  <c r="E20" i="4"/>
  <c r="B39" i="4"/>
  <c r="B9" i="4"/>
  <c r="G36" i="3"/>
  <c r="B94" i="2"/>
  <c r="BT3" i="22" s="1"/>
  <c r="BT4" i="22" s="1"/>
  <c r="G10" i="3"/>
  <c r="E29" i="4"/>
  <c r="B40" i="4"/>
  <c r="E16" i="8"/>
  <c r="E24" i="8" s="1"/>
  <c r="E33" i="8" s="1"/>
  <c r="BI6" i="11"/>
  <c r="J91" i="11" s="1"/>
  <c r="H144" i="11" s="1"/>
  <c r="H196" i="11" s="1"/>
  <c r="O185" i="11"/>
  <c r="N185" i="11" s="1"/>
  <c r="N132" i="11"/>
  <c r="BE13" i="11"/>
  <c r="L74" i="11" s="1"/>
  <c r="J127" i="11" s="1"/>
  <c r="J179" i="11" s="1"/>
  <c r="BJ17" i="11"/>
  <c r="X94" i="11" s="1"/>
  <c r="X147" i="11" s="1"/>
  <c r="X200" i="11" s="1"/>
  <c r="G47" i="11"/>
  <c r="E100" i="11" s="1"/>
  <c r="E152" i="11" s="1"/>
  <c r="E204" i="11" s="1"/>
  <c r="AX25" i="11"/>
  <c r="K47" i="11" s="1"/>
  <c r="I100" i="11" s="1"/>
  <c r="I152" i="11" s="1"/>
  <c r="I204" i="11" s="1"/>
  <c r="G83" i="11"/>
  <c r="E136" i="11" s="1"/>
  <c r="E188" i="11" s="1"/>
  <c r="BJ25" i="11"/>
  <c r="K95" i="11" s="1"/>
  <c r="I148" i="11" s="1"/>
  <c r="I200" i="11" s="1"/>
  <c r="P47" i="11"/>
  <c r="P100" i="11" s="1"/>
  <c r="P153" i="11" s="1"/>
  <c r="P206" i="11" s="1"/>
  <c r="AX29" i="11"/>
  <c r="W47" i="11" s="1"/>
  <c r="W100" i="11" s="1"/>
  <c r="W153" i="11" s="1"/>
  <c r="W206" i="11" s="1"/>
  <c r="P48" i="11"/>
  <c r="P101" i="11" s="1"/>
  <c r="P154" i="11" s="1"/>
  <c r="P207" i="11" s="1"/>
  <c r="AX30" i="11"/>
  <c r="W48" i="11" s="1"/>
  <c r="W101" i="11" s="1"/>
  <c r="W154" i="11" s="1"/>
  <c r="W207" i="11" s="1"/>
  <c r="P84" i="11"/>
  <c r="P137" i="11" s="1"/>
  <c r="P190" i="11" s="1"/>
  <c r="BJ30" i="11"/>
  <c r="W96" i="11" s="1"/>
  <c r="W149" i="11" s="1"/>
  <c r="W202" i="11" s="1"/>
  <c r="BJ31" i="11"/>
  <c r="M93" i="11" s="1"/>
  <c r="K146" i="11" s="1"/>
  <c r="K198" i="11" s="1"/>
  <c r="BI32" i="11"/>
  <c r="M90" i="11" s="1"/>
  <c r="K143" i="11" s="1"/>
  <c r="K195" i="11" s="1"/>
  <c r="O47" i="11"/>
  <c r="O100" i="11" s="1"/>
  <c r="O51" i="11"/>
  <c r="O104" i="11" s="1"/>
  <c r="D212" i="11"/>
  <c r="C212" i="11" s="1"/>
  <c r="C160" i="11"/>
  <c r="F59" i="11"/>
  <c r="D112" i="11" s="1"/>
  <c r="I65" i="11"/>
  <c r="G118" i="11" s="1"/>
  <c r="G170" i="11" s="1"/>
  <c r="G222" i="11" s="1"/>
  <c r="C98" i="11"/>
  <c r="C136" i="11"/>
  <c r="O162" i="11"/>
  <c r="O186" i="11"/>
  <c r="N186" i="11" s="1"/>
  <c r="D191" i="11"/>
  <c r="C191" i="11" s="1"/>
  <c r="O198" i="11"/>
  <c r="N198" i="11" s="1"/>
  <c r="BG7" i="12"/>
  <c r="I88" i="12" s="1"/>
  <c r="G157" i="12" s="1"/>
  <c r="G221" i="12" s="1"/>
  <c r="E88" i="12"/>
  <c r="C157" i="12" s="1"/>
  <c r="M129" i="12"/>
  <c r="N193" i="12"/>
  <c r="M193" i="12" s="1"/>
  <c r="M177" i="12"/>
  <c r="N241" i="12"/>
  <c r="M241" i="12" s="1"/>
  <c r="F53" i="12"/>
  <c r="D122" i="12" s="1"/>
  <c r="D186" i="12" s="1"/>
  <c r="AY23" i="12"/>
  <c r="J53" i="12" s="1"/>
  <c r="H122" i="12" s="1"/>
  <c r="H186" i="12" s="1"/>
  <c r="F101" i="12"/>
  <c r="D170" i="12" s="1"/>
  <c r="D234" i="12" s="1"/>
  <c r="BK23" i="12"/>
  <c r="J101" i="12" s="1"/>
  <c r="H170" i="12" s="1"/>
  <c r="H234" i="12" s="1"/>
  <c r="M115" i="12"/>
  <c r="BG151" i="20"/>
  <c r="X131" i="20"/>
  <c r="BG126" i="20"/>
  <c r="BG111" i="20"/>
  <c r="BG101" i="20"/>
  <c r="BG61" i="20"/>
  <c r="X156" i="20"/>
  <c r="BG131" i="20"/>
  <c r="X91" i="20"/>
  <c r="X81" i="20"/>
  <c r="BG56" i="20"/>
  <c r="BG156" i="20"/>
  <c r="BG116" i="20"/>
  <c r="X106" i="20"/>
  <c r="X141" i="20"/>
  <c r="BG146" i="20"/>
  <c r="BG141" i="20"/>
  <c r="X136" i="20"/>
  <c r="X151" i="20"/>
  <c r="BG91" i="20"/>
  <c r="X76" i="20"/>
  <c r="X56" i="20"/>
  <c r="X36" i="20"/>
  <c r="BG136" i="20"/>
  <c r="X51" i="20"/>
  <c r="X41" i="20"/>
  <c r="BG36" i="20"/>
  <c r="X116" i="20"/>
  <c r="BG76" i="20"/>
  <c r="X66" i="20"/>
  <c r="X61" i="20"/>
  <c r="BG51" i="20"/>
  <c r="BG86" i="20"/>
  <c r="X71" i="20"/>
  <c r="X111" i="20"/>
  <c r="BG96" i="20"/>
  <c r="X121" i="20"/>
  <c r="X31" i="20"/>
  <c r="X101" i="20"/>
  <c r="X96" i="20"/>
  <c r="BG31" i="20"/>
  <c r="X26" i="20"/>
  <c r="BG46" i="20"/>
  <c r="BG16" i="20"/>
  <c r="X126" i="20"/>
  <c r="BG121" i="20"/>
  <c r="BG11" i="20"/>
  <c r="BG6" i="20"/>
  <c r="BG106" i="20"/>
  <c r="X146" i="20"/>
  <c r="BG26" i="20"/>
  <c r="X11" i="20"/>
  <c r="X86" i="20"/>
  <c r="X21" i="20"/>
  <c r="X6" i="20"/>
  <c r="BG81" i="20"/>
  <c r="X16" i="20"/>
  <c r="BG21" i="20"/>
  <c r="X46" i="20"/>
  <c r="BG41" i="20"/>
  <c r="BG71" i="20"/>
  <c r="BG66" i="20"/>
  <c r="F16" i="9"/>
  <c r="F24" i="9" s="1"/>
  <c r="F33" i="9" s="1"/>
  <c r="G58" i="11"/>
  <c r="E111" i="11" s="1"/>
  <c r="E163" i="11" s="1"/>
  <c r="E215" i="11" s="1"/>
  <c r="BA24" i="11"/>
  <c r="K58" i="11" s="1"/>
  <c r="I111" i="11" s="1"/>
  <c r="I163" i="11" s="1"/>
  <c r="I215" i="11" s="1"/>
  <c r="O197" i="11"/>
  <c r="N197" i="11" s="1"/>
  <c r="N144" i="11"/>
  <c r="B1" i="21"/>
  <c r="D36" i="20"/>
  <c r="D30" i="20"/>
  <c r="D25" i="20"/>
  <c r="D22" i="20"/>
  <c r="D21" i="20"/>
  <c r="D15" i="20"/>
  <c r="D12" i="20"/>
  <c r="D11" i="20"/>
  <c r="D31" i="20"/>
  <c r="D29" i="20"/>
  <c r="D23" i="20"/>
  <c r="D19" i="20"/>
  <c r="D13" i="20"/>
  <c r="D9" i="20"/>
  <c r="D33" i="20"/>
  <c r="D18" i="20"/>
  <c r="D14" i="20"/>
  <c r="D34" i="20"/>
  <c r="D16" i="20"/>
  <c r="D35" i="20"/>
  <c r="D28" i="20"/>
  <c r="D6" i="20"/>
  <c r="D27" i="20"/>
  <c r="D24" i="20"/>
  <c r="D17" i="20"/>
  <c r="D7" i="20"/>
  <c r="D10" i="20"/>
  <c r="D8" i="20"/>
  <c r="D32" i="20"/>
  <c r="D26" i="20"/>
  <c r="D20" i="20"/>
  <c r="G34" i="3"/>
  <c r="F16" i="8"/>
  <c r="F24" i="8" s="1"/>
  <c r="F33" i="8" s="1"/>
  <c r="C16" i="9"/>
  <c r="C24" i="9" s="1"/>
  <c r="C33" i="9" s="1"/>
  <c r="F48" i="11"/>
  <c r="D101" i="11" s="1"/>
  <c r="AX7" i="11"/>
  <c r="J48" i="11" s="1"/>
  <c r="H101" i="11" s="1"/>
  <c r="H153" i="11" s="1"/>
  <c r="H205" i="11" s="1"/>
  <c r="O191" i="11"/>
  <c r="N191" i="11" s="1"/>
  <c r="N138" i="11"/>
  <c r="BJ12" i="11"/>
  <c r="L93" i="11" s="1"/>
  <c r="J146" i="11" s="1"/>
  <c r="J198" i="11" s="1"/>
  <c r="BJ34" i="11"/>
  <c r="M96" i="11" s="1"/>
  <c r="K149" i="11" s="1"/>
  <c r="K201" i="11" s="1"/>
  <c r="R77" i="11"/>
  <c r="R130" i="11" s="1"/>
  <c r="R183" i="11" s="1"/>
  <c r="BI35" i="11"/>
  <c r="Y89" i="11" s="1"/>
  <c r="Y142" i="11" s="1"/>
  <c r="Y195" i="11" s="1"/>
  <c r="R47" i="11"/>
  <c r="R100" i="11" s="1"/>
  <c r="R153" i="11" s="1"/>
  <c r="R206" i="11" s="1"/>
  <c r="AX37" i="11"/>
  <c r="Y47" i="11" s="1"/>
  <c r="Y100" i="11" s="1"/>
  <c r="Y153" i="11" s="1"/>
  <c r="Y206" i="11" s="1"/>
  <c r="R83" i="11"/>
  <c r="R136" i="11" s="1"/>
  <c r="R189" i="11" s="1"/>
  <c r="BJ37" i="11"/>
  <c r="Y95" i="11" s="1"/>
  <c r="Y148" i="11" s="1"/>
  <c r="Y201" i="11" s="1"/>
  <c r="F54" i="11"/>
  <c r="D107" i="11" s="1"/>
  <c r="H59" i="11"/>
  <c r="F112" i="11" s="1"/>
  <c r="F164" i="11" s="1"/>
  <c r="F216" i="11" s="1"/>
  <c r="F68" i="11"/>
  <c r="D121" i="11" s="1"/>
  <c r="O175" i="11"/>
  <c r="N175" i="11" s="1"/>
  <c r="N122" i="11"/>
  <c r="R70" i="11"/>
  <c r="R123" i="11" s="1"/>
  <c r="R176" i="11" s="1"/>
  <c r="O77" i="11"/>
  <c r="O130" i="11" s="1"/>
  <c r="H80" i="11"/>
  <c r="F133" i="11" s="1"/>
  <c r="F185" i="11" s="1"/>
  <c r="O187" i="11"/>
  <c r="N187" i="11" s="1"/>
  <c r="N134" i="11"/>
  <c r="C134" i="11"/>
  <c r="BC19" i="11"/>
  <c r="X68" i="11" s="1"/>
  <c r="X121" i="11" s="1"/>
  <c r="X174" i="11" s="1"/>
  <c r="Q68" i="11"/>
  <c r="Q121" i="11" s="1"/>
  <c r="Q174" i="11" s="1"/>
  <c r="G14" i="8"/>
  <c r="G20" i="8" s="1"/>
  <c r="G29" i="8" s="1"/>
  <c r="C16" i="8"/>
  <c r="C24" i="8" s="1"/>
  <c r="C33" i="8" s="1"/>
  <c r="BE14" i="11"/>
  <c r="L75" i="11" s="1"/>
  <c r="J128" i="11" s="1"/>
  <c r="J180" i="11" s="1"/>
  <c r="F61" i="11"/>
  <c r="D114" i="11" s="1"/>
  <c r="C140" i="11"/>
  <c r="G46" i="3"/>
  <c r="B6" i="4"/>
  <c r="G8" i="3"/>
  <c r="G13" i="3"/>
  <c r="G16" i="8"/>
  <c r="G24" i="8" s="1"/>
  <c r="G33" i="8" s="1"/>
  <c r="Q50" i="11"/>
  <c r="Q103" i="11" s="1"/>
  <c r="Q156" i="11" s="1"/>
  <c r="Q209" i="11" s="1"/>
  <c r="AY17" i="11"/>
  <c r="X50" i="11" s="1"/>
  <c r="X103" i="11" s="1"/>
  <c r="X156" i="11" s="1"/>
  <c r="X209" i="11" s="1"/>
  <c r="G50" i="11"/>
  <c r="E103" i="11" s="1"/>
  <c r="E155" i="11" s="1"/>
  <c r="E207" i="11" s="1"/>
  <c r="AY24" i="11"/>
  <c r="K50" i="11" s="1"/>
  <c r="I103" i="11" s="1"/>
  <c r="I155" i="11" s="1"/>
  <c r="I207" i="11" s="1"/>
  <c r="G55" i="11"/>
  <c r="E108" i="11" s="1"/>
  <c r="E160" i="11" s="1"/>
  <c r="E212" i="11" s="1"/>
  <c r="AZ25" i="11"/>
  <c r="K55" i="11" s="1"/>
  <c r="I108" i="11" s="1"/>
  <c r="I160" i="11" s="1"/>
  <c r="I212" i="11" s="1"/>
  <c r="AZ27" i="11"/>
  <c r="W53" i="11" s="1"/>
  <c r="W106" i="11" s="1"/>
  <c r="W159" i="11" s="1"/>
  <c r="W212" i="11" s="1"/>
  <c r="P53" i="11"/>
  <c r="P106" i="11" s="1"/>
  <c r="P159" i="11" s="1"/>
  <c r="P212" i="11" s="1"/>
  <c r="AY32" i="11"/>
  <c r="M50" i="11" s="1"/>
  <c r="K103" i="11" s="1"/>
  <c r="K155" i="11" s="1"/>
  <c r="K207" i="11" s="1"/>
  <c r="I50" i="11"/>
  <c r="G103" i="11" s="1"/>
  <c r="G155" i="11" s="1"/>
  <c r="G207" i="11" s="1"/>
  <c r="R51" i="11"/>
  <c r="R104" i="11" s="1"/>
  <c r="R157" i="11" s="1"/>
  <c r="R210" i="11" s="1"/>
  <c r="D210" i="11"/>
  <c r="C210" i="11" s="1"/>
  <c r="C158" i="11"/>
  <c r="I60" i="11"/>
  <c r="G113" i="11" s="1"/>
  <c r="G165" i="11" s="1"/>
  <c r="G217" i="11" s="1"/>
  <c r="O167" i="11"/>
  <c r="N114" i="11"/>
  <c r="R66" i="11"/>
  <c r="R119" i="11" s="1"/>
  <c r="R172" i="11" s="1"/>
  <c r="R225" i="11" s="1"/>
  <c r="O76" i="11"/>
  <c r="O129" i="11" s="1"/>
  <c r="O195" i="11"/>
  <c r="N195" i="11" s="1"/>
  <c r="N142" i="11"/>
  <c r="O160" i="11"/>
  <c r="O225" i="11"/>
  <c r="N225" i="11" s="1"/>
  <c r="N172" i="11"/>
  <c r="O196" i="11"/>
  <c r="N196" i="11" s="1"/>
  <c r="E91" i="12"/>
  <c r="C160" i="12" s="1"/>
  <c r="BH6" i="12"/>
  <c r="I91" i="12" s="1"/>
  <c r="G160" i="12" s="1"/>
  <c r="G224" i="12" s="1"/>
  <c r="N227" i="12"/>
  <c r="M227" i="12" s="1"/>
  <c r="M163" i="12"/>
  <c r="G62" i="12"/>
  <c r="E131" i="12" s="1"/>
  <c r="E195" i="12" s="1"/>
  <c r="BA13" i="12"/>
  <c r="K62" i="12" s="1"/>
  <c r="I131" i="12" s="1"/>
  <c r="I195" i="12" s="1"/>
  <c r="AU157" i="20"/>
  <c r="CD142" i="20"/>
  <c r="CD152" i="20"/>
  <c r="CD117" i="20"/>
  <c r="AU102" i="20"/>
  <c r="AU97" i="20"/>
  <c r="AU87" i="20"/>
  <c r="AU77" i="20"/>
  <c r="AU127" i="20"/>
  <c r="CD102" i="20"/>
  <c r="CD97" i="20"/>
  <c r="CD87" i="20"/>
  <c r="CD77" i="20"/>
  <c r="CD157" i="20"/>
  <c r="AU137" i="20"/>
  <c r="AU152" i="20"/>
  <c r="AU132" i="20"/>
  <c r="AU112" i="20"/>
  <c r="CD72" i="20"/>
  <c r="AU47" i="20"/>
  <c r="CD22" i="20"/>
  <c r="CD12" i="20"/>
  <c r="CD137" i="20"/>
  <c r="CD132" i="20"/>
  <c r="CD107" i="20"/>
  <c r="AU67" i="20"/>
  <c r="AU62" i="20"/>
  <c r="CD37" i="20"/>
  <c r="CD82" i="20"/>
  <c r="AU27" i="20"/>
  <c r="AU147" i="20"/>
  <c r="AU142" i="20"/>
  <c r="AU52" i="20"/>
  <c r="AU122" i="20"/>
  <c r="CD32" i="20"/>
  <c r="CD147" i="20"/>
  <c r="AU82" i="20"/>
  <c r="AU72" i="20"/>
  <c r="CD67" i="20"/>
  <c r="CD52" i="20"/>
  <c r="AU42" i="20"/>
  <c r="CD27" i="20"/>
  <c r="AU7" i="20"/>
  <c r="CD127" i="20"/>
  <c r="CD62" i="20"/>
  <c r="AU22" i="20"/>
  <c r="AU57" i="20"/>
  <c r="AU17" i="20"/>
  <c r="CD92" i="20"/>
  <c r="CD112" i="20"/>
  <c r="CD47" i="20"/>
  <c r="CD122" i="20"/>
  <c r="AU117" i="20"/>
  <c r="CD57" i="20"/>
  <c r="CD17" i="20"/>
  <c r="AU37" i="20"/>
  <c r="AU107" i="20"/>
  <c r="AU32" i="20"/>
  <c r="CD42" i="20"/>
  <c r="AU92" i="20"/>
  <c r="AU12" i="20"/>
  <c r="CD7" i="20"/>
  <c r="O181" i="11"/>
  <c r="N181" i="11" s="1"/>
  <c r="N128" i="11"/>
  <c r="O211" i="11"/>
  <c r="N211" i="11" s="1"/>
  <c r="N158" i="11"/>
  <c r="O223" i="11"/>
  <c r="N223" i="11" s="1"/>
  <c r="N170" i="11"/>
  <c r="O194" i="11"/>
  <c r="N194" i="11" s="1"/>
  <c r="N212" i="12"/>
  <c r="M212" i="12" s="1"/>
  <c r="M148" i="12"/>
  <c r="BB12" i="11"/>
  <c r="L61" i="11" s="1"/>
  <c r="J114" i="11" s="1"/>
  <c r="J166" i="11" s="1"/>
  <c r="J218" i="11" s="1"/>
  <c r="H61" i="11"/>
  <c r="F114" i="11" s="1"/>
  <c r="F166" i="11" s="1"/>
  <c r="F218" i="11" s="1"/>
  <c r="G62" i="11"/>
  <c r="E115" i="11" s="1"/>
  <c r="E167" i="11" s="1"/>
  <c r="E219" i="11" s="1"/>
  <c r="BB24" i="11"/>
  <c r="K62" i="11" s="1"/>
  <c r="I115" i="11" s="1"/>
  <c r="I167" i="11" s="1"/>
  <c r="I219" i="11" s="1"/>
  <c r="D204" i="11"/>
  <c r="C204" i="11" s="1"/>
  <c r="C152" i="11"/>
  <c r="F58" i="11"/>
  <c r="D111" i="11" s="1"/>
  <c r="O68" i="11"/>
  <c r="O121" i="11" s="1"/>
  <c r="O169" i="11"/>
  <c r="N116" i="11"/>
  <c r="P67" i="11"/>
  <c r="P120" i="11" s="1"/>
  <c r="P173" i="11" s="1"/>
  <c r="O177" i="11"/>
  <c r="N177" i="11" s="1"/>
  <c r="N124" i="11"/>
  <c r="BK31" i="12"/>
  <c r="L101" i="12" s="1"/>
  <c r="J170" i="12" s="1"/>
  <c r="J234" i="12" s="1"/>
  <c r="H101" i="12"/>
  <c r="F170" i="12" s="1"/>
  <c r="F234" i="12" s="1"/>
  <c r="B40" i="2"/>
  <c r="G48" i="3" s="1"/>
  <c r="BC33" i="11"/>
  <c r="M67" i="11" s="1"/>
  <c r="K120" i="11" s="1"/>
  <c r="K172" i="11" s="1"/>
  <c r="K224" i="11" s="1"/>
  <c r="N206" i="12"/>
  <c r="M206" i="12" s="1"/>
  <c r="M142" i="12"/>
  <c r="F103" i="12"/>
  <c r="D172" i="12" s="1"/>
  <c r="D236" i="12" s="1"/>
  <c r="BK25" i="12"/>
  <c r="J103" i="12" s="1"/>
  <c r="H172" i="12" s="1"/>
  <c r="H236" i="12" s="1"/>
  <c r="R159" i="20"/>
  <c r="U159" i="20" s="1"/>
  <c r="BA149" i="20"/>
  <c r="BD149" i="20" s="1"/>
  <c r="BA139" i="20"/>
  <c r="BD139" i="20" s="1"/>
  <c r="R109" i="20"/>
  <c r="U109" i="20" s="1"/>
  <c r="R59" i="20"/>
  <c r="U59" i="20" s="1"/>
  <c r="R39" i="20"/>
  <c r="U39" i="20" s="1"/>
  <c r="R129" i="20"/>
  <c r="U129" i="20" s="1"/>
  <c r="BA114" i="20"/>
  <c r="BD114" i="20" s="1"/>
  <c r="R104" i="20"/>
  <c r="U104" i="20" s="1"/>
  <c r="R94" i="20"/>
  <c r="U94" i="20" s="1"/>
  <c r="R84" i="20"/>
  <c r="U84" i="20" s="1"/>
  <c r="R74" i="20"/>
  <c r="U74" i="20" s="1"/>
  <c r="BA144" i="20"/>
  <c r="BD144" i="20" s="1"/>
  <c r="BA119" i="20"/>
  <c r="BD119" i="20" s="1"/>
  <c r="R54" i="20"/>
  <c r="U54" i="20" s="1"/>
  <c r="R114" i="20"/>
  <c r="U114" i="20" s="1"/>
  <c r="BA99" i="20"/>
  <c r="BD99" i="20" s="1"/>
  <c r="BA89" i="20"/>
  <c r="BD89" i="20" s="1"/>
  <c r="BA79" i="20"/>
  <c r="BD79" i="20" s="1"/>
  <c r="R149" i="20"/>
  <c r="U149" i="20" s="1"/>
  <c r="BA154" i="20"/>
  <c r="BD154" i="20" s="1"/>
  <c r="R134" i="20"/>
  <c r="U134" i="20" s="1"/>
  <c r="R49" i="20"/>
  <c r="U49" i="20" s="1"/>
  <c r="BA34" i="20"/>
  <c r="BD34" i="20" s="1"/>
  <c r="BA24" i="20"/>
  <c r="BD24" i="20" s="1"/>
  <c r="BA14" i="20"/>
  <c r="BD14" i="20" s="1"/>
  <c r="R154" i="20"/>
  <c r="U154" i="20" s="1"/>
  <c r="BA94" i="20"/>
  <c r="BD94" i="20" s="1"/>
  <c r="R124" i="20"/>
  <c r="U124" i="20" s="1"/>
  <c r="BA104" i="20"/>
  <c r="BD104" i="20" s="1"/>
  <c r="BA134" i="20"/>
  <c r="BD134" i="20" s="1"/>
  <c r="R119" i="20"/>
  <c r="U119" i="20" s="1"/>
  <c r="R139" i="20"/>
  <c r="U139" i="20" s="1"/>
  <c r="BA74" i="20"/>
  <c r="BD74" i="20" s="1"/>
  <c r="BA84" i="20"/>
  <c r="BD84" i="20" s="1"/>
  <c r="R29" i="20"/>
  <c r="U29" i="20" s="1"/>
  <c r="R99" i="20"/>
  <c r="U99" i="20" s="1"/>
  <c r="BA44" i="20"/>
  <c r="BD44" i="20" s="1"/>
  <c r="R9" i="20"/>
  <c r="U9" i="20" s="1"/>
  <c r="BA64" i="20"/>
  <c r="BD64" i="20" s="1"/>
  <c r="R79" i="20"/>
  <c r="U79" i="20" s="1"/>
  <c r="R64" i="20"/>
  <c r="U64" i="20" s="1"/>
  <c r="BA39" i="20"/>
  <c r="BD39" i="20" s="1"/>
  <c r="R144" i="20"/>
  <c r="U144" i="20" s="1"/>
  <c r="BA109" i="20"/>
  <c r="BD109" i="20" s="1"/>
  <c r="R69" i="20"/>
  <c r="U69" i="20" s="1"/>
  <c r="BA29" i="20"/>
  <c r="BD29" i="20" s="1"/>
  <c r="BA159" i="20"/>
  <c r="BD159" i="20" s="1"/>
  <c r="R89" i="20"/>
  <c r="U89" i="20" s="1"/>
  <c r="BA54" i="20"/>
  <c r="BD54" i="20" s="1"/>
  <c r="BA49" i="20"/>
  <c r="BD49" i="20" s="1"/>
  <c r="R14" i="20"/>
  <c r="U14" i="20" s="1"/>
  <c r="BA129" i="20"/>
  <c r="BD129" i="20" s="1"/>
  <c r="R24" i="20"/>
  <c r="U24" i="20" s="1"/>
  <c r="BA19" i="20"/>
  <c r="BD19" i="20" s="1"/>
  <c r="BA69" i="20"/>
  <c r="BD69" i="20" s="1"/>
  <c r="R19" i="20"/>
  <c r="U19" i="20" s="1"/>
  <c r="R44" i="20"/>
  <c r="U44" i="20" s="1"/>
  <c r="BA59" i="20"/>
  <c r="BD59" i="20" s="1"/>
  <c r="R34" i="20"/>
  <c r="U34" i="20" s="1"/>
  <c r="BA124" i="20"/>
  <c r="BD124" i="20" s="1"/>
  <c r="BA9" i="20"/>
  <c r="BD9" i="20" s="1"/>
  <c r="B108" i="2"/>
  <c r="B44" i="2"/>
  <c r="B50" i="2" s="1"/>
  <c r="G7" i="3"/>
  <c r="B5" i="4"/>
  <c r="B12" i="4" s="1"/>
  <c r="B21" i="4"/>
  <c r="H21" i="4" s="1"/>
  <c r="B41" i="4"/>
  <c r="B47" i="2"/>
  <c r="B15" i="4"/>
  <c r="H15" i="4" s="1"/>
  <c r="B43" i="4" s="1"/>
  <c r="E22" i="4"/>
  <c r="B32" i="4"/>
  <c r="H32" i="4" s="1"/>
  <c r="BT156" i="20"/>
  <c r="AK151" i="20"/>
  <c r="BT116" i="20"/>
  <c r="AK106" i="20"/>
  <c r="BT51" i="20"/>
  <c r="AK36" i="20"/>
  <c r="BT106" i="20"/>
  <c r="AK146" i="20"/>
  <c r="AK141" i="20"/>
  <c r="AK96" i="20"/>
  <c r="AK86" i="20"/>
  <c r="AK76" i="20"/>
  <c r="BT71" i="20"/>
  <c r="BT136" i="20"/>
  <c r="AK126" i="20"/>
  <c r="BT151" i="20"/>
  <c r="AK131" i="20"/>
  <c r="BT126" i="20"/>
  <c r="BT111" i="20"/>
  <c r="BT141" i="20"/>
  <c r="BT131" i="20"/>
  <c r="BT121" i="20"/>
  <c r="BT76" i="20"/>
  <c r="AK66" i="20"/>
  <c r="AK61" i="20"/>
  <c r="AK21" i="20"/>
  <c r="AK11" i="20"/>
  <c r="AK156" i="20"/>
  <c r="BT146" i="20"/>
  <c r="BT21" i="20"/>
  <c r="BT11" i="20"/>
  <c r="AK116" i="20"/>
  <c r="BT66" i="20"/>
  <c r="AK31" i="20"/>
  <c r="AK71" i="20"/>
  <c r="AK46" i="20"/>
  <c r="BT31" i="20"/>
  <c r="BT81" i="20"/>
  <c r="BT26" i="20"/>
  <c r="BT16" i="20"/>
  <c r="AK136" i="20"/>
  <c r="AK121" i="20"/>
  <c r="BT101" i="20"/>
  <c r="BT86" i="20"/>
  <c r="AK56" i="20"/>
  <c r="AK51" i="20"/>
  <c r="BT41" i="20"/>
  <c r="BT61" i="20"/>
  <c r="AK41" i="20"/>
  <c r="BT91" i="20"/>
  <c r="AK81" i="20"/>
  <c r="AK6" i="20"/>
  <c r="AK111" i="20"/>
  <c r="BT46" i="20"/>
  <c r="AK101" i="20"/>
  <c r="BT96" i="20"/>
  <c r="BT56" i="20"/>
  <c r="AK26" i="20"/>
  <c r="AK91" i="20"/>
  <c r="AK16" i="20"/>
  <c r="BT36" i="20"/>
  <c r="BT6" i="20"/>
  <c r="G9" i="3"/>
  <c r="E15" i="4"/>
  <c r="B23" i="4"/>
  <c r="H23" i="4" s="1"/>
  <c r="E32" i="4"/>
  <c r="C17" i="8"/>
  <c r="E16" i="9"/>
  <c r="E24" i="9" s="1"/>
  <c r="E33" i="9" s="1"/>
  <c r="D206" i="11"/>
  <c r="C206" i="11" s="1"/>
  <c r="C154" i="11"/>
  <c r="AY5" i="11"/>
  <c r="J50" i="11" s="1"/>
  <c r="H103" i="11" s="1"/>
  <c r="H155" i="11" s="1"/>
  <c r="H207" i="11" s="1"/>
  <c r="F50" i="11"/>
  <c r="D103" i="11" s="1"/>
  <c r="AY15" i="11"/>
  <c r="L52" i="11" s="1"/>
  <c r="J105" i="11" s="1"/>
  <c r="J157" i="11" s="1"/>
  <c r="J209" i="11" s="1"/>
  <c r="H52" i="11"/>
  <c r="F105" i="11" s="1"/>
  <c r="F157" i="11" s="1"/>
  <c r="F209" i="11" s="1"/>
  <c r="P59" i="11"/>
  <c r="P112" i="11" s="1"/>
  <c r="P165" i="11" s="1"/>
  <c r="P218" i="11" s="1"/>
  <c r="BA29" i="11"/>
  <c r="W59" i="11" s="1"/>
  <c r="W112" i="11" s="1"/>
  <c r="W165" i="11" s="1"/>
  <c r="W218" i="11" s="1"/>
  <c r="P61" i="11"/>
  <c r="P114" i="11" s="1"/>
  <c r="P167" i="11" s="1"/>
  <c r="P220" i="11" s="1"/>
  <c r="R73" i="11"/>
  <c r="R126" i="11" s="1"/>
  <c r="R179" i="11" s="1"/>
  <c r="N98" i="11"/>
  <c r="C128" i="11"/>
  <c r="N205" i="12"/>
  <c r="M205" i="12" s="1"/>
  <c r="M141" i="12"/>
  <c r="N226" i="12"/>
  <c r="M226" i="12" s="1"/>
  <c r="M162" i="12"/>
  <c r="AV14" i="14"/>
  <c r="AB94" i="14" s="1"/>
  <c r="AB159" i="14" s="1"/>
  <c r="AB223" i="14" s="1"/>
  <c r="X94" i="14"/>
  <c r="X159" i="14" s="1"/>
  <c r="X223" i="14" s="1"/>
  <c r="BH14" i="14"/>
  <c r="AB142" i="14" s="1"/>
  <c r="AB207" i="14" s="1"/>
  <c r="AB271" i="14" s="1"/>
  <c r="X142" i="14"/>
  <c r="X207" i="14" s="1"/>
  <c r="X271" i="14" s="1"/>
  <c r="AQ111" i="14"/>
  <c r="AQ176" i="14" s="1"/>
  <c r="AQ240" i="14" s="1"/>
  <c r="AZ23" i="14"/>
  <c r="AU111" i="14" s="1"/>
  <c r="AU176" i="14" s="1"/>
  <c r="AU240" i="14" s="1"/>
  <c r="AY25" i="14"/>
  <c r="K105" i="14" s="1"/>
  <c r="K170" i="14" s="1"/>
  <c r="K234" i="14" s="1"/>
  <c r="G105" i="14"/>
  <c r="G170" i="14" s="1"/>
  <c r="G234" i="14" s="1"/>
  <c r="BK25" i="14"/>
  <c r="K153" i="14" s="1"/>
  <c r="K218" i="14" s="1"/>
  <c r="K282" i="14" s="1"/>
  <c r="G153" i="14"/>
  <c r="G218" i="14" s="1"/>
  <c r="G282" i="14" s="1"/>
  <c r="Q106" i="14"/>
  <c r="Q171" i="14" s="1"/>
  <c r="Q235" i="14" s="1"/>
  <c r="AY30" i="14"/>
  <c r="V106" i="14" s="1"/>
  <c r="V171" i="14" s="1"/>
  <c r="V235" i="14" s="1"/>
  <c r="Q154" i="14"/>
  <c r="Q219" i="14" s="1"/>
  <c r="Q283" i="14" s="1"/>
  <c r="BK30" i="14"/>
  <c r="V154" i="14" s="1"/>
  <c r="V219" i="14" s="1"/>
  <c r="V283" i="14" s="1"/>
  <c r="BG6" i="12"/>
  <c r="I87" i="12" s="1"/>
  <c r="G156" i="12" s="1"/>
  <c r="G220" i="12" s="1"/>
  <c r="E87" i="12"/>
  <c r="C156" i="12" s="1"/>
  <c r="AX19" i="12"/>
  <c r="T52" i="12" s="1"/>
  <c r="T121" i="12" s="1"/>
  <c r="T185" i="12" s="1"/>
  <c r="P52" i="12"/>
  <c r="P121" i="12" s="1"/>
  <c r="P185" i="12" s="1"/>
  <c r="P100" i="12"/>
  <c r="P169" i="12" s="1"/>
  <c r="P233" i="12" s="1"/>
  <c r="BJ19" i="12"/>
  <c r="T100" i="12" s="1"/>
  <c r="T169" i="12" s="1"/>
  <c r="T233" i="12" s="1"/>
  <c r="F57" i="12"/>
  <c r="D126" i="12" s="1"/>
  <c r="D190" i="12" s="1"/>
  <c r="AZ23" i="12"/>
  <c r="J57" i="12" s="1"/>
  <c r="H126" i="12" s="1"/>
  <c r="H190" i="12" s="1"/>
  <c r="F105" i="12"/>
  <c r="D174" i="12" s="1"/>
  <c r="D238" i="12" s="1"/>
  <c r="BL23" i="12"/>
  <c r="J105" i="12" s="1"/>
  <c r="H174" i="12" s="1"/>
  <c r="H238" i="12" s="1"/>
  <c r="BH38" i="12"/>
  <c r="U92" i="12" s="1"/>
  <c r="U161" i="12" s="1"/>
  <c r="U225" i="12" s="1"/>
  <c r="Q92" i="12"/>
  <c r="Q161" i="12" s="1"/>
  <c r="Q225" i="12" s="1"/>
  <c r="M121" i="12"/>
  <c r="N185" i="12"/>
  <c r="M185" i="12" s="1"/>
  <c r="O93" i="12"/>
  <c r="O162" i="12" s="1"/>
  <c r="O226" i="12" s="1"/>
  <c r="N235" i="12"/>
  <c r="M235" i="12" s="1"/>
  <c r="M171" i="12"/>
  <c r="C11" i="9"/>
  <c r="C15" i="9" s="1"/>
  <c r="C11" i="8"/>
  <c r="O138" i="14"/>
  <c r="O203" i="14" s="1"/>
  <c r="O267" i="14" s="1"/>
  <c r="BG10" i="14"/>
  <c r="S138" i="14" s="1"/>
  <c r="S203" i="14" s="1"/>
  <c r="S267" i="14" s="1"/>
  <c r="BJ13" i="11"/>
  <c r="L94" i="11" s="1"/>
  <c r="J147" i="11" s="1"/>
  <c r="J199" i="11" s="1"/>
  <c r="BI14" i="11"/>
  <c r="L91" i="11" s="1"/>
  <c r="J144" i="11" s="1"/>
  <c r="J196" i="11" s="1"/>
  <c r="P57" i="11"/>
  <c r="P110" i="11" s="1"/>
  <c r="P163" i="11" s="1"/>
  <c r="P216" i="11" s="1"/>
  <c r="BA27" i="11"/>
  <c r="W57" i="11" s="1"/>
  <c r="W110" i="11" s="1"/>
  <c r="W163" i="11" s="1"/>
  <c r="W216" i="11" s="1"/>
  <c r="I46" i="11"/>
  <c r="G99" i="11" s="1"/>
  <c r="G151" i="11" s="1"/>
  <c r="G203" i="11" s="1"/>
  <c r="AX32" i="11"/>
  <c r="M46" i="11" s="1"/>
  <c r="K99" i="11" s="1"/>
  <c r="K151" i="11" s="1"/>
  <c r="K203" i="11" s="1"/>
  <c r="I82" i="11"/>
  <c r="G135" i="11" s="1"/>
  <c r="G187" i="11" s="1"/>
  <c r="BJ32" i="11"/>
  <c r="M94" i="11" s="1"/>
  <c r="K147" i="11" s="1"/>
  <c r="K199" i="11" s="1"/>
  <c r="G66" i="11"/>
  <c r="E119" i="11" s="1"/>
  <c r="E171" i="11" s="1"/>
  <c r="E223" i="11" s="1"/>
  <c r="C156" i="11"/>
  <c r="C168" i="11"/>
  <c r="B158" i="12"/>
  <c r="C222" i="12"/>
  <c r="B222" i="12" s="1"/>
  <c r="BD30" i="12"/>
  <c r="S76" i="12" s="1"/>
  <c r="S145" i="12" s="1"/>
  <c r="S209" i="12" s="1"/>
  <c r="O76" i="12"/>
  <c r="O145" i="12" s="1"/>
  <c r="O209" i="12" s="1"/>
  <c r="BE31" i="12"/>
  <c r="L77" i="12" s="1"/>
  <c r="J146" i="12" s="1"/>
  <c r="J210" i="12" s="1"/>
  <c r="H77" i="12"/>
  <c r="F146" i="12" s="1"/>
  <c r="F210" i="12" s="1"/>
  <c r="AF104" i="16"/>
  <c r="AF182" i="16" s="1"/>
  <c r="AF246" i="16" s="1"/>
  <c r="AY16" i="16"/>
  <c r="AF152" i="16"/>
  <c r="AF230" i="16" s="1"/>
  <c r="AF294" i="16" s="1"/>
  <c r="BK16" i="16"/>
  <c r="E45" i="12"/>
  <c r="C114" i="12" s="1"/>
  <c r="AW4" i="12"/>
  <c r="I45" i="12" s="1"/>
  <c r="G114" i="12" s="1"/>
  <c r="G178" i="12" s="1"/>
  <c r="BI4" i="12"/>
  <c r="I93" i="12" s="1"/>
  <c r="G162" i="12" s="1"/>
  <c r="G226" i="12" s="1"/>
  <c r="E93" i="12"/>
  <c r="C162" i="12" s="1"/>
  <c r="BD11" i="12"/>
  <c r="R76" i="12" s="1"/>
  <c r="R145" i="12" s="1"/>
  <c r="R209" i="12" s="1"/>
  <c r="N76" i="12"/>
  <c r="N145" i="12" s="1"/>
  <c r="O83" i="12"/>
  <c r="O152" i="12" s="1"/>
  <c r="O216" i="12" s="1"/>
  <c r="BF29" i="12"/>
  <c r="S83" i="12" s="1"/>
  <c r="S152" i="12" s="1"/>
  <c r="S216" i="12" s="1"/>
  <c r="O80" i="12"/>
  <c r="O149" i="12" s="1"/>
  <c r="O213" i="12" s="1"/>
  <c r="BE30" i="12"/>
  <c r="S80" i="12" s="1"/>
  <c r="S149" i="12" s="1"/>
  <c r="S213" i="12" s="1"/>
  <c r="P63" i="11"/>
  <c r="P116" i="11" s="1"/>
  <c r="P169" i="11" s="1"/>
  <c r="P222" i="11" s="1"/>
  <c r="BB29" i="11"/>
  <c r="W63" i="11" s="1"/>
  <c r="W116" i="11" s="1"/>
  <c r="W169" i="11" s="1"/>
  <c r="W222" i="11" s="1"/>
  <c r="O55" i="11"/>
  <c r="O108" i="11" s="1"/>
  <c r="F64" i="11"/>
  <c r="D117" i="11" s="1"/>
  <c r="AY8" i="12"/>
  <c r="R53" i="12" s="1"/>
  <c r="R122" i="12" s="1"/>
  <c r="R186" i="12" s="1"/>
  <c r="N53" i="12"/>
  <c r="N122" i="12" s="1"/>
  <c r="N101" i="12"/>
  <c r="N170" i="12" s="1"/>
  <c r="BK8" i="12"/>
  <c r="R101" i="12" s="1"/>
  <c r="R170" i="12" s="1"/>
  <c r="R234" i="12" s="1"/>
  <c r="N58" i="12"/>
  <c r="N127" i="12" s="1"/>
  <c r="AZ9" i="12"/>
  <c r="R58" i="12" s="1"/>
  <c r="R127" i="12" s="1"/>
  <c r="R191" i="12" s="1"/>
  <c r="BL9" i="12"/>
  <c r="R106" i="12" s="1"/>
  <c r="R175" i="12" s="1"/>
  <c r="R239" i="12" s="1"/>
  <c r="N106" i="12"/>
  <c r="N175" i="12" s="1"/>
  <c r="F73" i="12"/>
  <c r="D142" i="12" s="1"/>
  <c r="D206" i="12" s="1"/>
  <c r="BD23" i="12"/>
  <c r="J73" i="12" s="1"/>
  <c r="H142" i="12" s="1"/>
  <c r="H206" i="12" s="1"/>
  <c r="BL38" i="12"/>
  <c r="U108" i="12" s="1"/>
  <c r="U177" i="12" s="1"/>
  <c r="U241" i="12" s="1"/>
  <c r="Q108" i="12"/>
  <c r="Q177" i="12" s="1"/>
  <c r="Q241" i="12" s="1"/>
  <c r="B147" i="12"/>
  <c r="C211" i="12"/>
  <c r="B211" i="12" s="1"/>
  <c r="N225" i="12"/>
  <c r="M225" i="12" s="1"/>
  <c r="M161" i="12"/>
  <c r="BF36" i="14"/>
  <c r="AL132" i="14" s="1"/>
  <c r="AL197" i="14" s="1"/>
  <c r="AL261" i="14" s="1"/>
  <c r="AH132" i="14"/>
  <c r="AH197" i="14" s="1"/>
  <c r="AH261" i="14" s="1"/>
  <c r="AS132" i="14"/>
  <c r="AS197" i="14" s="1"/>
  <c r="AS261" i="14" s="1"/>
  <c r="BF40" i="14"/>
  <c r="AW132" i="14" s="1"/>
  <c r="AW197" i="14" s="1"/>
  <c r="AW261" i="14" s="1"/>
  <c r="AS111" i="14"/>
  <c r="AS176" i="14" s="1"/>
  <c r="AS240" i="14" s="1"/>
  <c r="AZ43" i="14"/>
  <c r="AW111" i="14" s="1"/>
  <c r="AW176" i="14" s="1"/>
  <c r="AW240" i="14" s="1"/>
  <c r="C197" i="12"/>
  <c r="B197" i="12" s="1"/>
  <c r="B133" i="12"/>
  <c r="AZ8" i="12"/>
  <c r="R57" i="12" s="1"/>
  <c r="R126" i="12" s="1"/>
  <c r="R190" i="12" s="1"/>
  <c r="N57" i="12"/>
  <c r="N126" i="12" s="1"/>
  <c r="N105" i="12"/>
  <c r="N174" i="12" s="1"/>
  <c r="BL8" i="12"/>
  <c r="R105" i="12" s="1"/>
  <c r="R174" i="12" s="1"/>
  <c r="R238" i="12" s="1"/>
  <c r="N62" i="12"/>
  <c r="N131" i="12" s="1"/>
  <c r="BA9" i="12"/>
  <c r="R62" i="12" s="1"/>
  <c r="R131" i="12" s="1"/>
  <c r="R195" i="12" s="1"/>
  <c r="P63" i="12"/>
  <c r="P132" i="12" s="1"/>
  <c r="P196" i="12" s="1"/>
  <c r="BA18" i="12"/>
  <c r="T63" i="12" s="1"/>
  <c r="T132" i="12" s="1"/>
  <c r="T196" i="12" s="1"/>
  <c r="O89" i="12"/>
  <c r="O158" i="12" s="1"/>
  <c r="O222" i="12" s="1"/>
  <c r="BH27" i="12"/>
  <c r="S89" i="12" s="1"/>
  <c r="S158" i="12" s="1"/>
  <c r="S222" i="12" s="1"/>
  <c r="BA36" i="12"/>
  <c r="U62" i="12" s="1"/>
  <c r="U131" i="12" s="1"/>
  <c r="U195" i="12" s="1"/>
  <c r="Q62" i="12"/>
  <c r="Q131" i="12" s="1"/>
  <c r="Q195" i="12" s="1"/>
  <c r="BB37" i="12"/>
  <c r="U67" i="12" s="1"/>
  <c r="U136" i="12" s="1"/>
  <c r="U200" i="12" s="1"/>
  <c r="Q67" i="12"/>
  <c r="Q136" i="12" s="1"/>
  <c r="Q200" i="12" s="1"/>
  <c r="Z92" i="14"/>
  <c r="Z157" i="14" s="1"/>
  <c r="Z221" i="14" s="1"/>
  <c r="AV32" i="14"/>
  <c r="AD92" i="14" s="1"/>
  <c r="AD157" i="14" s="1"/>
  <c r="AD221" i="14" s="1"/>
  <c r="BH32" i="14"/>
  <c r="AD140" i="14" s="1"/>
  <c r="AD205" i="14" s="1"/>
  <c r="AD269" i="14" s="1"/>
  <c r="Z140" i="14"/>
  <c r="Z205" i="14" s="1"/>
  <c r="Z269" i="14" s="1"/>
  <c r="AH95" i="14"/>
  <c r="AH160" i="14" s="1"/>
  <c r="AH224" i="14" s="1"/>
  <c r="AV39" i="14"/>
  <c r="AL95" i="14" s="1"/>
  <c r="AL160" i="14" s="1"/>
  <c r="AL224" i="14" s="1"/>
  <c r="BH39" i="14"/>
  <c r="AL143" i="14" s="1"/>
  <c r="AL208" i="14" s="1"/>
  <c r="AL272" i="14" s="1"/>
  <c r="AH143" i="14"/>
  <c r="AH208" i="14" s="1"/>
  <c r="AH272" i="14" s="1"/>
  <c r="BB7" i="12"/>
  <c r="I68" i="12" s="1"/>
  <c r="G137" i="12" s="1"/>
  <c r="G201" i="12" s="1"/>
  <c r="E68" i="12"/>
  <c r="C137" i="12" s="1"/>
  <c r="BF14" i="12"/>
  <c r="K83" i="12" s="1"/>
  <c r="I152" i="12" s="1"/>
  <c r="I216" i="12" s="1"/>
  <c r="G83" i="12"/>
  <c r="E152" i="12" s="1"/>
  <c r="E216" i="12" s="1"/>
  <c r="P77" i="12"/>
  <c r="P146" i="12" s="1"/>
  <c r="P210" i="12" s="1"/>
  <c r="BE16" i="12"/>
  <c r="T77" i="12" s="1"/>
  <c r="T146" i="12" s="1"/>
  <c r="T210" i="12" s="1"/>
  <c r="AW27" i="12"/>
  <c r="S45" i="12" s="1"/>
  <c r="S114" i="12" s="1"/>
  <c r="S178" i="12" s="1"/>
  <c r="O45" i="12"/>
  <c r="O114" i="12" s="1"/>
  <c r="O178" i="12" s="1"/>
  <c r="Q71" i="12"/>
  <c r="Q140" i="12" s="1"/>
  <c r="Q204" i="12" s="1"/>
  <c r="BC37" i="12"/>
  <c r="U71" i="12" s="1"/>
  <c r="U140" i="12" s="1"/>
  <c r="U204" i="12" s="1"/>
  <c r="B127" i="12"/>
  <c r="C191" i="12"/>
  <c r="B191" i="12" s="1"/>
  <c r="E97" i="14"/>
  <c r="E162" i="14" s="1"/>
  <c r="AW5" i="14"/>
  <c r="I97" i="14" s="1"/>
  <c r="I162" i="14" s="1"/>
  <c r="I226" i="14" s="1"/>
  <c r="E145" i="14"/>
  <c r="E210" i="14" s="1"/>
  <c r="BI5" i="14"/>
  <c r="I145" i="14" s="1"/>
  <c r="I210" i="14" s="1"/>
  <c r="I274" i="14" s="1"/>
  <c r="AX7" i="14"/>
  <c r="I103" i="14" s="1"/>
  <c r="I168" i="14" s="1"/>
  <c r="I232" i="14" s="1"/>
  <c r="E103" i="14"/>
  <c r="E168" i="14" s="1"/>
  <c r="BJ7" i="14"/>
  <c r="I151" i="14" s="1"/>
  <c r="I216" i="14" s="1"/>
  <c r="I280" i="14" s="1"/>
  <c r="E151" i="14"/>
  <c r="E216" i="14" s="1"/>
  <c r="O108" i="14"/>
  <c r="O173" i="14" s="1"/>
  <c r="O237" i="14" s="1"/>
  <c r="AZ8" i="14"/>
  <c r="S108" i="14" s="1"/>
  <c r="S173" i="14" s="1"/>
  <c r="S237" i="14" s="1"/>
  <c r="AV31" i="14"/>
  <c r="V95" i="14" s="1"/>
  <c r="V160" i="14" s="1"/>
  <c r="V224" i="14" s="1"/>
  <c r="Q95" i="14"/>
  <c r="Q160" i="14" s="1"/>
  <c r="Q224" i="14" s="1"/>
  <c r="BH31" i="14"/>
  <c r="V143" i="14" s="1"/>
  <c r="V208" i="14" s="1"/>
  <c r="V272" i="14" s="1"/>
  <c r="Q143" i="14"/>
  <c r="Q208" i="14" s="1"/>
  <c r="Q272" i="14" s="1"/>
  <c r="E72" i="12"/>
  <c r="C141" i="12" s="1"/>
  <c r="BC7" i="12"/>
  <c r="I72" i="12" s="1"/>
  <c r="G141" i="12" s="1"/>
  <c r="G205" i="12" s="1"/>
  <c r="G89" i="12"/>
  <c r="E158" i="12" s="1"/>
  <c r="E222" i="12" s="1"/>
  <c r="BH12" i="12"/>
  <c r="K89" i="12" s="1"/>
  <c r="I158" i="12" s="1"/>
  <c r="I222" i="12" s="1"/>
  <c r="BG14" i="12"/>
  <c r="K87" i="12" s="1"/>
  <c r="I156" i="12" s="1"/>
  <c r="I220" i="12" s="1"/>
  <c r="G87" i="12"/>
  <c r="E156" i="12" s="1"/>
  <c r="E220" i="12" s="1"/>
  <c r="BB35" i="12"/>
  <c r="U65" i="12" s="1"/>
  <c r="U134" i="12" s="1"/>
  <c r="U198" i="12" s="1"/>
  <c r="Q65" i="12"/>
  <c r="Q134" i="12" s="1"/>
  <c r="Q198" i="12" s="1"/>
  <c r="N217" i="12"/>
  <c r="M217" i="12" s="1"/>
  <c r="M153" i="12"/>
  <c r="C199" i="12"/>
  <c r="B199" i="12" s="1"/>
  <c r="E233" i="14"/>
  <c r="D233" i="14" s="1"/>
  <c r="D169" i="14"/>
  <c r="D219" i="14"/>
  <c r="E283" i="14"/>
  <c r="D283" i="14" s="1"/>
  <c r="AY7" i="14"/>
  <c r="I107" i="14" s="1"/>
  <c r="I172" i="14" s="1"/>
  <c r="I236" i="14" s="1"/>
  <c r="E107" i="14"/>
  <c r="E172" i="14" s="1"/>
  <c r="E155" i="14"/>
  <c r="E220" i="14" s="1"/>
  <c r="BK7" i="14"/>
  <c r="I155" i="14" s="1"/>
  <c r="I220" i="14" s="1"/>
  <c r="I284" i="14" s="1"/>
  <c r="BJ4" i="12"/>
  <c r="I97" i="12" s="1"/>
  <c r="G166" i="12" s="1"/>
  <c r="G230" i="12" s="1"/>
  <c r="BF5" i="12"/>
  <c r="I82" i="12" s="1"/>
  <c r="G151" i="12" s="1"/>
  <c r="G215" i="12" s="1"/>
  <c r="E82" i="12"/>
  <c r="C151" i="12" s="1"/>
  <c r="C209" i="12"/>
  <c r="B209" i="12" s="1"/>
  <c r="B145" i="12"/>
  <c r="BA7" i="12"/>
  <c r="I64" i="12" s="1"/>
  <c r="G133" i="12" s="1"/>
  <c r="G197" i="12" s="1"/>
  <c r="BK19" i="12"/>
  <c r="T104" i="12" s="1"/>
  <c r="T173" i="12" s="1"/>
  <c r="T237" i="12" s="1"/>
  <c r="P104" i="12"/>
  <c r="P173" i="12" s="1"/>
  <c r="P237" i="12" s="1"/>
  <c r="F63" i="12"/>
  <c r="D132" i="12" s="1"/>
  <c r="D196" i="12" s="1"/>
  <c r="BA25" i="12"/>
  <c r="J63" i="12" s="1"/>
  <c r="H132" i="12" s="1"/>
  <c r="H196" i="12" s="1"/>
  <c r="AW25" i="12"/>
  <c r="J47" i="12" s="1"/>
  <c r="H116" i="12" s="1"/>
  <c r="H180" i="12" s="1"/>
  <c r="N214" i="12"/>
  <c r="M214" i="12" s="1"/>
  <c r="M150" i="12"/>
  <c r="E110" i="14"/>
  <c r="E175" i="14" s="1"/>
  <c r="AZ6" i="14"/>
  <c r="I110" i="14" s="1"/>
  <c r="I175" i="14" s="1"/>
  <c r="I239" i="14" s="1"/>
  <c r="AV34" i="14"/>
  <c r="AD94" i="14" s="1"/>
  <c r="AD159" i="14" s="1"/>
  <c r="AD223" i="14" s="1"/>
  <c r="Z94" i="14"/>
  <c r="Z159" i="14" s="1"/>
  <c r="Z223" i="14" s="1"/>
  <c r="Z142" i="14"/>
  <c r="Z207" i="14" s="1"/>
  <c r="Z271" i="14" s="1"/>
  <c r="BH34" i="14"/>
  <c r="AD142" i="14" s="1"/>
  <c r="AD207" i="14" s="1"/>
  <c r="AD271" i="14" s="1"/>
  <c r="AW39" i="14"/>
  <c r="AL99" i="14" s="1"/>
  <c r="AL164" i="14" s="1"/>
  <c r="AL228" i="14" s="1"/>
  <c r="AH99" i="14"/>
  <c r="AH164" i="14" s="1"/>
  <c r="AH228" i="14" s="1"/>
  <c r="BI39" i="14"/>
  <c r="AL147" i="14" s="1"/>
  <c r="AL212" i="14" s="1"/>
  <c r="AL276" i="14" s="1"/>
  <c r="AH147" i="14"/>
  <c r="AH212" i="14" s="1"/>
  <c r="AH276" i="14" s="1"/>
  <c r="AV40" i="14"/>
  <c r="AW92" i="14" s="1"/>
  <c r="AW157" i="14" s="1"/>
  <c r="AW221" i="14" s="1"/>
  <c r="AS92" i="14"/>
  <c r="AS157" i="14" s="1"/>
  <c r="AS221" i="14" s="1"/>
  <c r="AS140" i="14"/>
  <c r="AS205" i="14" s="1"/>
  <c r="AS269" i="14" s="1"/>
  <c r="BH40" i="14"/>
  <c r="AW140" i="14" s="1"/>
  <c r="AW205" i="14" s="1"/>
  <c r="AW269" i="14" s="1"/>
  <c r="AY41" i="14"/>
  <c r="AW105" i="14" s="1"/>
  <c r="AW170" i="14" s="1"/>
  <c r="AW234" i="14" s="1"/>
  <c r="AS105" i="14"/>
  <c r="AS170" i="14" s="1"/>
  <c r="AS234" i="14" s="1"/>
  <c r="AS153" i="14"/>
  <c r="AS218" i="14" s="1"/>
  <c r="AS282" i="14" s="1"/>
  <c r="BK41" i="14"/>
  <c r="AW153" i="14" s="1"/>
  <c r="AW218" i="14" s="1"/>
  <c r="AW282" i="14" s="1"/>
  <c r="E249" i="14"/>
  <c r="D249" i="14" s="1"/>
  <c r="D185" i="14"/>
  <c r="E251" i="14"/>
  <c r="D251" i="14" s="1"/>
  <c r="D187" i="14"/>
  <c r="E86" i="12"/>
  <c r="C155" i="12" s="1"/>
  <c r="BG5" i="12"/>
  <c r="I86" i="12" s="1"/>
  <c r="G155" i="12" s="1"/>
  <c r="G219" i="12" s="1"/>
  <c r="E80" i="12"/>
  <c r="C149" i="12" s="1"/>
  <c r="BE7" i="12"/>
  <c r="I80" i="12" s="1"/>
  <c r="G149" i="12" s="1"/>
  <c r="G213" i="12" s="1"/>
  <c r="N198" i="12"/>
  <c r="M198" i="12" s="1"/>
  <c r="M134" i="12"/>
  <c r="AY17" i="12"/>
  <c r="T54" i="12" s="1"/>
  <c r="T123" i="12" s="1"/>
  <c r="T187" i="12" s="1"/>
  <c r="P54" i="12"/>
  <c r="P123" i="12" s="1"/>
  <c r="P187" i="12" s="1"/>
  <c r="BK17" i="12"/>
  <c r="T102" i="12" s="1"/>
  <c r="T171" i="12" s="1"/>
  <c r="T235" i="12" s="1"/>
  <c r="P102" i="12"/>
  <c r="P171" i="12" s="1"/>
  <c r="P235" i="12" s="1"/>
  <c r="P55" i="12"/>
  <c r="P124" i="12" s="1"/>
  <c r="P188" i="12" s="1"/>
  <c r="AY18" i="12"/>
  <c r="T55" i="12" s="1"/>
  <c r="T124" i="12" s="1"/>
  <c r="T188" i="12" s="1"/>
  <c r="P103" i="12"/>
  <c r="P172" i="12" s="1"/>
  <c r="P236" i="12" s="1"/>
  <c r="BK18" i="12"/>
  <c r="T103" i="12" s="1"/>
  <c r="T172" i="12" s="1"/>
  <c r="T236" i="12" s="1"/>
  <c r="BB23" i="12"/>
  <c r="J65" i="12" s="1"/>
  <c r="H134" i="12" s="1"/>
  <c r="H198" i="12" s="1"/>
  <c r="F65" i="12"/>
  <c r="D134" i="12" s="1"/>
  <c r="D198" i="12" s="1"/>
  <c r="F67" i="12"/>
  <c r="D136" i="12" s="1"/>
  <c r="D200" i="12" s="1"/>
  <c r="BB25" i="12"/>
  <c r="J67" i="12" s="1"/>
  <c r="H136" i="12" s="1"/>
  <c r="H200" i="12" s="1"/>
  <c r="AX25" i="12"/>
  <c r="J51" i="12" s="1"/>
  <c r="H120" i="12" s="1"/>
  <c r="H184" i="12" s="1"/>
  <c r="N178" i="12"/>
  <c r="M178" i="12" s="1"/>
  <c r="M114" i="12"/>
  <c r="C188" i="12"/>
  <c r="B188" i="12" s="1"/>
  <c r="B124" i="12"/>
  <c r="C190" i="12"/>
  <c r="B190" i="12" s="1"/>
  <c r="B126" i="12"/>
  <c r="C193" i="12"/>
  <c r="B193" i="12" s="1"/>
  <c r="B129" i="12"/>
  <c r="N70" i="12"/>
  <c r="N139" i="12" s="1"/>
  <c r="C206" i="12"/>
  <c r="B206" i="12" s="1"/>
  <c r="B142" i="12"/>
  <c r="M160" i="12"/>
  <c r="AW27" i="14"/>
  <c r="K99" i="14" s="1"/>
  <c r="K164" i="14" s="1"/>
  <c r="K228" i="14" s="1"/>
  <c r="G99" i="14"/>
  <c r="G164" i="14" s="1"/>
  <c r="G228" i="14" s="1"/>
  <c r="BI27" i="14"/>
  <c r="K147" i="14" s="1"/>
  <c r="K212" i="14" s="1"/>
  <c r="K276" i="14" s="1"/>
  <c r="G147" i="14"/>
  <c r="G212" i="14" s="1"/>
  <c r="G276" i="14" s="1"/>
  <c r="AW34" i="14"/>
  <c r="AD98" i="14" s="1"/>
  <c r="AD163" i="14" s="1"/>
  <c r="AD227" i="14" s="1"/>
  <c r="Z98" i="14"/>
  <c r="Z163" i="14" s="1"/>
  <c r="Z227" i="14" s="1"/>
  <c r="Z146" i="14"/>
  <c r="Z211" i="14" s="1"/>
  <c r="Z275" i="14" s="1"/>
  <c r="BI34" i="14"/>
  <c r="AD146" i="14" s="1"/>
  <c r="AD211" i="14" s="1"/>
  <c r="AD275" i="14" s="1"/>
  <c r="AZ41" i="14"/>
  <c r="AW109" i="14" s="1"/>
  <c r="AW174" i="14" s="1"/>
  <c r="AW238" i="14" s="1"/>
  <c r="AS109" i="14"/>
  <c r="AS174" i="14" s="1"/>
  <c r="AS238" i="14" s="1"/>
  <c r="G120" i="14"/>
  <c r="G185" i="14" s="1"/>
  <c r="G249" i="14" s="1"/>
  <c r="AQ124" i="14"/>
  <c r="AQ189" i="14" s="1"/>
  <c r="AQ253" i="14" s="1"/>
  <c r="C218" i="12"/>
  <c r="B218" i="12" s="1"/>
  <c r="B154" i="12"/>
  <c r="E90" i="12"/>
  <c r="C159" i="12" s="1"/>
  <c r="BH5" i="12"/>
  <c r="I90" i="12" s="1"/>
  <c r="G159" i="12" s="1"/>
  <c r="G223" i="12" s="1"/>
  <c r="C216" i="12"/>
  <c r="B216" i="12" s="1"/>
  <c r="B152" i="12"/>
  <c r="N202" i="12"/>
  <c r="M202" i="12" s="1"/>
  <c r="M138" i="12"/>
  <c r="P107" i="12"/>
  <c r="P176" i="12" s="1"/>
  <c r="P240" i="12" s="1"/>
  <c r="BL18" i="12"/>
  <c r="T107" i="12" s="1"/>
  <c r="T176" i="12" s="1"/>
  <c r="T240" i="12" s="1"/>
  <c r="BC23" i="12"/>
  <c r="J69" i="12" s="1"/>
  <c r="H138" i="12" s="1"/>
  <c r="H202" i="12" s="1"/>
  <c r="F69" i="12"/>
  <c r="D138" i="12" s="1"/>
  <c r="D202" i="12" s="1"/>
  <c r="F70" i="12"/>
  <c r="D139" i="12" s="1"/>
  <c r="D203" i="12" s="1"/>
  <c r="BC24" i="12"/>
  <c r="J70" i="12" s="1"/>
  <c r="H139" i="12" s="1"/>
  <c r="H203" i="12" s="1"/>
  <c r="AZ36" i="12"/>
  <c r="U58" i="12" s="1"/>
  <c r="U127" i="12" s="1"/>
  <c r="U191" i="12" s="1"/>
  <c r="Q58" i="12"/>
  <c r="Q127" i="12" s="1"/>
  <c r="Q191" i="12" s="1"/>
  <c r="BL36" i="12"/>
  <c r="U106" i="12" s="1"/>
  <c r="U175" i="12" s="1"/>
  <c r="U239" i="12" s="1"/>
  <c r="Q106" i="12"/>
  <c r="Q175" i="12" s="1"/>
  <c r="Q239" i="12" s="1"/>
  <c r="Q63" i="12"/>
  <c r="Q132" i="12" s="1"/>
  <c r="Q196" i="12" s="1"/>
  <c r="BA37" i="12"/>
  <c r="U63" i="12" s="1"/>
  <c r="U132" i="12" s="1"/>
  <c r="U196" i="12" s="1"/>
  <c r="Q104" i="12"/>
  <c r="Q173" i="12" s="1"/>
  <c r="Q237" i="12" s="1"/>
  <c r="BK38" i="12"/>
  <c r="U104" i="12" s="1"/>
  <c r="U173" i="12" s="1"/>
  <c r="U237" i="12" s="1"/>
  <c r="O70" i="12"/>
  <c r="O139" i="12" s="1"/>
  <c r="O203" i="12" s="1"/>
  <c r="O85" i="12"/>
  <c r="O154" i="12" s="1"/>
  <c r="O218" i="12" s="1"/>
  <c r="G88" i="12"/>
  <c r="E157" i="12" s="1"/>
  <c r="E221" i="12" s="1"/>
  <c r="C183" i="12"/>
  <c r="B183" i="12" s="1"/>
  <c r="N223" i="12"/>
  <c r="M223" i="12" s="1"/>
  <c r="CE13" i="14"/>
  <c r="AQ103" i="14"/>
  <c r="AQ168" i="14" s="1"/>
  <c r="AQ232" i="14" s="1"/>
  <c r="AX23" i="14"/>
  <c r="AU103" i="14" s="1"/>
  <c r="AU168" i="14" s="1"/>
  <c r="AU232" i="14" s="1"/>
  <c r="BJ23" i="14"/>
  <c r="AU151" i="14" s="1"/>
  <c r="AU216" i="14" s="1"/>
  <c r="AU280" i="14" s="1"/>
  <c r="AQ151" i="14"/>
  <c r="AQ216" i="14" s="1"/>
  <c r="AQ280" i="14" s="1"/>
  <c r="AZ32" i="14"/>
  <c r="AD108" i="14" s="1"/>
  <c r="AD173" i="14" s="1"/>
  <c r="AD237" i="14" s="1"/>
  <c r="Z108" i="14"/>
  <c r="Z173" i="14" s="1"/>
  <c r="Z237" i="14" s="1"/>
  <c r="AH109" i="14"/>
  <c r="AH174" i="14" s="1"/>
  <c r="AH238" i="14" s="1"/>
  <c r="AZ37" i="14"/>
  <c r="AL109" i="14" s="1"/>
  <c r="AL174" i="14" s="1"/>
  <c r="AL238" i="14" s="1"/>
  <c r="E49" i="12"/>
  <c r="C118" i="12" s="1"/>
  <c r="AX4" i="12"/>
  <c r="I49" i="12" s="1"/>
  <c r="G118" i="12" s="1"/>
  <c r="G182" i="12" s="1"/>
  <c r="C230" i="12"/>
  <c r="B230" i="12" s="1"/>
  <c r="B166" i="12"/>
  <c r="B123" i="12"/>
  <c r="C187" i="12"/>
  <c r="B187" i="12" s="1"/>
  <c r="N219" i="12"/>
  <c r="M219" i="12" s="1"/>
  <c r="M155" i="12"/>
  <c r="BI12" i="12"/>
  <c r="K93" i="12" s="1"/>
  <c r="I162" i="12" s="1"/>
  <c r="I226" i="12" s="1"/>
  <c r="G93" i="12"/>
  <c r="E162" i="12" s="1"/>
  <c r="E226" i="12" s="1"/>
  <c r="BH14" i="12"/>
  <c r="K91" i="12" s="1"/>
  <c r="I160" i="12" s="1"/>
  <c r="I224" i="12" s="1"/>
  <c r="G91" i="12"/>
  <c r="E160" i="12" s="1"/>
  <c r="E224" i="12" s="1"/>
  <c r="BC18" i="12"/>
  <c r="T71" i="12" s="1"/>
  <c r="T140" i="12" s="1"/>
  <c r="T204" i="12" s="1"/>
  <c r="P71" i="12"/>
  <c r="P140" i="12" s="1"/>
  <c r="P204" i="12" s="1"/>
  <c r="O59" i="12"/>
  <c r="O128" i="12" s="1"/>
  <c r="O192" i="12" s="1"/>
  <c r="AZ29" i="12"/>
  <c r="S59" i="12" s="1"/>
  <c r="S128" i="12" s="1"/>
  <c r="S192" i="12" s="1"/>
  <c r="O107" i="12"/>
  <c r="O176" i="12" s="1"/>
  <c r="O240" i="12" s="1"/>
  <c r="BL29" i="12"/>
  <c r="S107" i="12" s="1"/>
  <c r="S176" i="12" s="1"/>
  <c r="S240" i="12" s="1"/>
  <c r="O56" i="12"/>
  <c r="O125" i="12" s="1"/>
  <c r="O189" i="12" s="1"/>
  <c r="AY30" i="12"/>
  <c r="S56" i="12" s="1"/>
  <c r="S125" i="12" s="1"/>
  <c r="S189" i="12" s="1"/>
  <c r="O104" i="12"/>
  <c r="O173" i="12" s="1"/>
  <c r="O237" i="12" s="1"/>
  <c r="BK30" i="12"/>
  <c r="S104" i="12" s="1"/>
  <c r="S173" i="12" s="1"/>
  <c r="S237" i="12" s="1"/>
  <c r="H66" i="12"/>
  <c r="F135" i="12" s="1"/>
  <c r="F199" i="12" s="1"/>
  <c r="BB32" i="12"/>
  <c r="L66" i="12" s="1"/>
  <c r="J135" i="12" s="1"/>
  <c r="J199" i="12" s="1"/>
  <c r="H71" i="12"/>
  <c r="F140" i="12" s="1"/>
  <c r="F204" i="12" s="1"/>
  <c r="BC33" i="12"/>
  <c r="L71" i="12" s="1"/>
  <c r="J140" i="12" s="1"/>
  <c r="J204" i="12" s="1"/>
  <c r="BB34" i="12"/>
  <c r="L68" i="12" s="1"/>
  <c r="J137" i="12" s="1"/>
  <c r="J201" i="12" s="1"/>
  <c r="H68" i="12"/>
  <c r="F137" i="12" s="1"/>
  <c r="F201" i="12" s="1"/>
  <c r="G50" i="12"/>
  <c r="E119" i="12" s="1"/>
  <c r="E183" i="12" s="1"/>
  <c r="B165" i="12"/>
  <c r="AW13" i="14"/>
  <c r="AB97" i="14" s="1"/>
  <c r="AB162" i="14" s="1"/>
  <c r="AB226" i="14" s="1"/>
  <c r="X97" i="14"/>
  <c r="X162" i="14" s="1"/>
  <c r="X226" i="14" s="1"/>
  <c r="BI13" i="14"/>
  <c r="AB145" i="14" s="1"/>
  <c r="AB210" i="14" s="1"/>
  <c r="AB274" i="14" s="1"/>
  <c r="X145" i="14"/>
  <c r="X210" i="14" s="1"/>
  <c r="X274" i="14" s="1"/>
  <c r="BA22" i="14"/>
  <c r="AU114" i="14" s="1"/>
  <c r="AU179" i="14" s="1"/>
  <c r="AU243" i="14" s="1"/>
  <c r="AQ114" i="14"/>
  <c r="AQ179" i="14" s="1"/>
  <c r="AQ243" i="14" s="1"/>
  <c r="AZ25" i="14"/>
  <c r="K109" i="14" s="1"/>
  <c r="K174" i="14" s="1"/>
  <c r="K238" i="14" s="1"/>
  <c r="G109" i="14"/>
  <c r="G174" i="14" s="1"/>
  <c r="G238" i="14" s="1"/>
  <c r="Q120" i="14"/>
  <c r="Q185" i="14" s="1"/>
  <c r="Q249" i="14" s="1"/>
  <c r="BC28" i="14"/>
  <c r="V120" i="14" s="1"/>
  <c r="V185" i="14" s="1"/>
  <c r="V249" i="14" s="1"/>
  <c r="E221" i="14"/>
  <c r="D221" i="14" s="1"/>
  <c r="D157" i="14"/>
  <c r="Q93" i="15"/>
  <c r="Q158" i="15" s="1"/>
  <c r="Q222" i="15" s="1"/>
  <c r="AV29" i="15"/>
  <c r="V93" i="15" s="1"/>
  <c r="V158" i="15" s="1"/>
  <c r="V222" i="15" s="1"/>
  <c r="Q141" i="15"/>
  <c r="Q206" i="15" s="1"/>
  <c r="Q270" i="15" s="1"/>
  <c r="BH29" i="15"/>
  <c r="V141" i="15" s="1"/>
  <c r="V206" i="15" s="1"/>
  <c r="V270" i="15" s="1"/>
  <c r="BB39" i="15"/>
  <c r="AL119" i="15" s="1"/>
  <c r="AL184" i="15" s="1"/>
  <c r="AL248" i="15" s="1"/>
  <c r="AH119" i="15"/>
  <c r="AH184" i="15" s="1"/>
  <c r="AH248" i="15" s="1"/>
  <c r="AZ40" i="15"/>
  <c r="AW108" i="15" s="1"/>
  <c r="AW173" i="15" s="1"/>
  <c r="AW237" i="15" s="1"/>
  <c r="AS108" i="15"/>
  <c r="AS173" i="15" s="1"/>
  <c r="AS237" i="15" s="1"/>
  <c r="E53" i="12"/>
  <c r="C122" i="12" s="1"/>
  <c r="AY4" i="12"/>
  <c r="I53" i="12" s="1"/>
  <c r="G122" i="12" s="1"/>
  <c r="G186" i="12" s="1"/>
  <c r="C234" i="12"/>
  <c r="B234" i="12" s="1"/>
  <c r="B170" i="12"/>
  <c r="N47" i="12"/>
  <c r="N116" i="12" s="1"/>
  <c r="AW10" i="12"/>
  <c r="R47" i="12" s="1"/>
  <c r="R116" i="12" s="1"/>
  <c r="R180" i="12" s="1"/>
  <c r="N95" i="12"/>
  <c r="N164" i="12" s="1"/>
  <c r="BI10" i="12"/>
  <c r="R95" i="12" s="1"/>
  <c r="R164" i="12" s="1"/>
  <c r="R228" i="12" s="1"/>
  <c r="N189" i="12"/>
  <c r="M189" i="12" s="1"/>
  <c r="M125" i="12"/>
  <c r="N104" i="12"/>
  <c r="N173" i="12" s="1"/>
  <c r="BK11" i="12"/>
  <c r="R104" i="12" s="1"/>
  <c r="R173" i="12" s="1"/>
  <c r="R237" i="12" s="1"/>
  <c r="G94" i="12"/>
  <c r="E163" i="12" s="1"/>
  <c r="E227" i="12" s="1"/>
  <c r="BI13" i="12"/>
  <c r="K94" i="12" s="1"/>
  <c r="I163" i="12" s="1"/>
  <c r="I227" i="12" s="1"/>
  <c r="BI15" i="12"/>
  <c r="K96" i="12" s="1"/>
  <c r="I165" i="12" s="1"/>
  <c r="I229" i="12" s="1"/>
  <c r="BD18" i="12"/>
  <c r="T75" i="12" s="1"/>
  <c r="T144" i="12" s="1"/>
  <c r="T208" i="12" s="1"/>
  <c r="P75" i="12"/>
  <c r="P144" i="12" s="1"/>
  <c r="P208" i="12" s="1"/>
  <c r="BJ25" i="12"/>
  <c r="J99" i="12" s="1"/>
  <c r="H168" i="12" s="1"/>
  <c r="H232" i="12" s="1"/>
  <c r="BF26" i="12"/>
  <c r="J84" i="12" s="1"/>
  <c r="H153" i="12" s="1"/>
  <c r="H217" i="12" s="1"/>
  <c r="F84" i="12"/>
  <c r="D153" i="12" s="1"/>
  <c r="D217" i="12" s="1"/>
  <c r="BC32" i="12"/>
  <c r="L70" i="12" s="1"/>
  <c r="J139" i="12" s="1"/>
  <c r="J203" i="12" s="1"/>
  <c r="H70" i="12"/>
  <c r="F139" i="12" s="1"/>
  <c r="F203" i="12" s="1"/>
  <c r="Q73" i="12"/>
  <c r="Q142" i="12" s="1"/>
  <c r="Q206" i="12" s="1"/>
  <c r="BD35" i="12"/>
  <c r="U73" i="12" s="1"/>
  <c r="U142" i="12" s="1"/>
  <c r="U206" i="12" s="1"/>
  <c r="H74" i="12"/>
  <c r="F143" i="12" s="1"/>
  <c r="F207" i="12" s="1"/>
  <c r="N230" i="12"/>
  <c r="M230" i="12" s="1"/>
  <c r="M166" i="12"/>
  <c r="C217" i="12"/>
  <c r="B217" i="12" s="1"/>
  <c r="X101" i="14"/>
  <c r="X166" i="14" s="1"/>
  <c r="X230" i="14" s="1"/>
  <c r="AX13" i="14"/>
  <c r="AB101" i="14" s="1"/>
  <c r="AB166" i="14" s="1"/>
  <c r="AB230" i="14" s="1"/>
  <c r="BJ13" i="14"/>
  <c r="AB149" i="14" s="1"/>
  <c r="AB214" i="14" s="1"/>
  <c r="AB278" i="14" s="1"/>
  <c r="X149" i="14"/>
  <c r="X214" i="14" s="1"/>
  <c r="X278" i="14" s="1"/>
  <c r="X115" i="14"/>
  <c r="X180" i="14" s="1"/>
  <c r="X244" i="14" s="1"/>
  <c r="BA15" i="14"/>
  <c r="AB115" i="14" s="1"/>
  <c r="AB180" i="14" s="1"/>
  <c r="AB244" i="14" s="1"/>
  <c r="G116" i="14"/>
  <c r="G181" i="14" s="1"/>
  <c r="G245" i="14" s="1"/>
  <c r="BB24" i="14"/>
  <c r="K116" i="14" s="1"/>
  <c r="K181" i="14" s="1"/>
  <c r="K245" i="14" s="1"/>
  <c r="N51" i="12"/>
  <c r="N120" i="12" s="1"/>
  <c r="AX10" i="12"/>
  <c r="R51" i="12" s="1"/>
  <c r="R120" i="12" s="1"/>
  <c r="R184" i="12" s="1"/>
  <c r="BJ10" i="12"/>
  <c r="R99" i="12" s="1"/>
  <c r="R168" i="12" s="1"/>
  <c r="R232" i="12" s="1"/>
  <c r="N99" i="12"/>
  <c r="N168" i="12" s="1"/>
  <c r="F88" i="12"/>
  <c r="D157" i="12" s="1"/>
  <c r="D221" i="12" s="1"/>
  <c r="BG26" i="12"/>
  <c r="J88" i="12" s="1"/>
  <c r="H157" i="12" s="1"/>
  <c r="H221" i="12" s="1"/>
  <c r="O78" i="12"/>
  <c r="O147" i="12" s="1"/>
  <c r="O211" i="12" s="1"/>
  <c r="BE28" i="12"/>
  <c r="S78" i="12" s="1"/>
  <c r="S147" i="12" s="1"/>
  <c r="S211" i="12" s="1"/>
  <c r="BD33" i="12"/>
  <c r="L75" i="12" s="1"/>
  <c r="J144" i="12" s="1"/>
  <c r="J208" i="12" s="1"/>
  <c r="BC35" i="12"/>
  <c r="U69" i="12" s="1"/>
  <c r="U138" i="12" s="1"/>
  <c r="U202" i="12" s="1"/>
  <c r="C194" i="12"/>
  <c r="B194" i="12" s="1"/>
  <c r="B130" i="12"/>
  <c r="P65" i="12"/>
  <c r="P134" i="12" s="1"/>
  <c r="P198" i="12" s="1"/>
  <c r="B175" i="12"/>
  <c r="C239" i="12"/>
  <c r="B239" i="12" s="1"/>
  <c r="B171" i="12"/>
  <c r="E139" i="14"/>
  <c r="E204" i="14" s="1"/>
  <c r="BG7" i="14"/>
  <c r="I139" i="14" s="1"/>
  <c r="I204" i="14" s="1"/>
  <c r="I268" i="14" s="1"/>
  <c r="X100" i="14"/>
  <c r="X165" i="14" s="1"/>
  <c r="X229" i="14" s="1"/>
  <c r="AX12" i="14"/>
  <c r="AB100" i="14" s="1"/>
  <c r="AB165" i="14" s="1"/>
  <c r="AB229" i="14" s="1"/>
  <c r="BJ12" i="14"/>
  <c r="AB148" i="14" s="1"/>
  <c r="AB213" i="14" s="1"/>
  <c r="AB277" i="14" s="1"/>
  <c r="X148" i="14"/>
  <c r="X213" i="14" s="1"/>
  <c r="X277" i="14" s="1"/>
  <c r="X105" i="14"/>
  <c r="X170" i="14" s="1"/>
  <c r="X234" i="14" s="1"/>
  <c r="AY13" i="14"/>
  <c r="AB105" i="14" s="1"/>
  <c r="AB170" i="14" s="1"/>
  <c r="AB234" i="14" s="1"/>
  <c r="X153" i="14"/>
  <c r="X218" i="14" s="1"/>
  <c r="X282" i="14" s="1"/>
  <c r="BK13" i="14"/>
  <c r="AB153" i="14" s="1"/>
  <c r="AB218" i="14" s="1"/>
  <c r="AB282" i="14" s="1"/>
  <c r="BF20" i="14"/>
  <c r="AU132" i="14" s="1"/>
  <c r="AU197" i="14" s="1"/>
  <c r="AU261" i="14" s="1"/>
  <c r="AQ132" i="14"/>
  <c r="AQ197" i="14" s="1"/>
  <c r="AQ261" i="14" s="1"/>
  <c r="Z109" i="14"/>
  <c r="Z174" i="14" s="1"/>
  <c r="Z238" i="14" s="1"/>
  <c r="G99" i="15"/>
  <c r="G164" i="15" s="1"/>
  <c r="G228" i="15" s="1"/>
  <c r="AW27" i="15"/>
  <c r="K99" i="15" s="1"/>
  <c r="K164" i="15" s="1"/>
  <c r="K228" i="15" s="1"/>
  <c r="G147" i="15"/>
  <c r="G212" i="15" s="1"/>
  <c r="G276" i="15" s="1"/>
  <c r="BI27" i="15"/>
  <c r="K147" i="15" s="1"/>
  <c r="K212" i="15" s="1"/>
  <c r="K276" i="15" s="1"/>
  <c r="AY10" i="12"/>
  <c r="R55" i="12" s="1"/>
  <c r="R124" i="12" s="1"/>
  <c r="R188" i="12" s="1"/>
  <c r="N55" i="12"/>
  <c r="N124" i="12" s="1"/>
  <c r="BK10" i="12"/>
  <c r="R103" i="12" s="1"/>
  <c r="R172" i="12" s="1"/>
  <c r="R236" i="12" s="1"/>
  <c r="N103" i="12"/>
  <c r="N172" i="12" s="1"/>
  <c r="N197" i="12"/>
  <c r="M197" i="12" s="1"/>
  <c r="M133" i="12"/>
  <c r="G54" i="12"/>
  <c r="E123" i="12" s="1"/>
  <c r="E187" i="12" s="1"/>
  <c r="AY13" i="12"/>
  <c r="K54" i="12" s="1"/>
  <c r="I123" i="12" s="1"/>
  <c r="I187" i="12" s="1"/>
  <c r="G48" i="12"/>
  <c r="E117" i="12" s="1"/>
  <c r="E181" i="12" s="1"/>
  <c r="AW15" i="12"/>
  <c r="K48" i="12" s="1"/>
  <c r="I117" i="12" s="1"/>
  <c r="I181" i="12" s="1"/>
  <c r="F46" i="12"/>
  <c r="D115" i="12" s="1"/>
  <c r="D179" i="12" s="1"/>
  <c r="AW24" i="12"/>
  <c r="J46" i="12" s="1"/>
  <c r="H115" i="12" s="1"/>
  <c r="H179" i="12" s="1"/>
  <c r="F94" i="12"/>
  <c r="D163" i="12" s="1"/>
  <c r="D227" i="12" s="1"/>
  <c r="BI24" i="12"/>
  <c r="J94" i="12" s="1"/>
  <c r="H163" i="12" s="1"/>
  <c r="H227" i="12" s="1"/>
  <c r="BI25" i="12"/>
  <c r="J95" i="12" s="1"/>
  <c r="H164" i="12" s="1"/>
  <c r="H228" i="12" s="1"/>
  <c r="F95" i="12"/>
  <c r="D164" i="12" s="1"/>
  <c r="D228" i="12" s="1"/>
  <c r="BH26" i="12"/>
  <c r="J92" i="12" s="1"/>
  <c r="H161" i="12" s="1"/>
  <c r="H225" i="12" s="1"/>
  <c r="F92" i="12"/>
  <c r="D161" i="12" s="1"/>
  <c r="D225" i="12" s="1"/>
  <c r="O108" i="12"/>
  <c r="O177" i="12" s="1"/>
  <c r="O241" i="12" s="1"/>
  <c r="M144" i="12"/>
  <c r="D202" i="14"/>
  <c r="E266" i="14"/>
  <c r="D266" i="14" s="1"/>
  <c r="E223" i="14"/>
  <c r="D223" i="14" s="1"/>
  <c r="D159" i="14"/>
  <c r="E271" i="14"/>
  <c r="D271" i="14" s="1"/>
  <c r="D207" i="14"/>
  <c r="BB11" i="14"/>
  <c r="S119" i="14" s="1"/>
  <c r="S184" i="14" s="1"/>
  <c r="S248" i="14" s="1"/>
  <c r="O119" i="14"/>
  <c r="O184" i="14" s="1"/>
  <c r="O248" i="14" s="1"/>
  <c r="AY9" i="12"/>
  <c r="R54" i="12" s="1"/>
  <c r="R123" i="12" s="1"/>
  <c r="R187" i="12" s="1"/>
  <c r="N54" i="12"/>
  <c r="N123" i="12" s="1"/>
  <c r="M128" i="12"/>
  <c r="N192" i="12"/>
  <c r="M192" i="12" s="1"/>
  <c r="BB11" i="12"/>
  <c r="R68" i="12" s="1"/>
  <c r="R137" i="12" s="1"/>
  <c r="R201" i="12" s="1"/>
  <c r="N68" i="12"/>
  <c r="N137" i="12" s="1"/>
  <c r="AY11" i="12"/>
  <c r="R56" i="12" s="1"/>
  <c r="R125" i="12" s="1"/>
  <c r="R189" i="12" s="1"/>
  <c r="O86" i="12"/>
  <c r="O155" i="12" s="1"/>
  <c r="O219" i="12" s="1"/>
  <c r="BG28" i="12"/>
  <c r="S86" i="12" s="1"/>
  <c r="S155" i="12" s="1"/>
  <c r="S219" i="12" s="1"/>
  <c r="C185" i="12"/>
  <c r="B185" i="12" s="1"/>
  <c r="B121" i="12"/>
  <c r="P56" i="12"/>
  <c r="P125" i="12" s="1"/>
  <c r="P189" i="12" s="1"/>
  <c r="P58" i="12"/>
  <c r="P127" i="12" s="1"/>
  <c r="P191" i="12" s="1"/>
  <c r="CE4" i="14"/>
  <c r="AY8" i="14"/>
  <c r="S104" i="14" s="1"/>
  <c r="S169" i="14" s="1"/>
  <c r="S233" i="14" s="1"/>
  <c r="O104" i="14"/>
  <c r="O169" i="14" s="1"/>
  <c r="O233" i="14" s="1"/>
  <c r="O152" i="14"/>
  <c r="O217" i="14" s="1"/>
  <c r="O281" i="14" s="1"/>
  <c r="BK8" i="14"/>
  <c r="S152" i="14" s="1"/>
  <c r="S217" i="14" s="1"/>
  <c r="S281" i="14" s="1"/>
  <c r="O123" i="14"/>
  <c r="O188" i="14" s="1"/>
  <c r="O252" i="14" s="1"/>
  <c r="BC11" i="14"/>
  <c r="S123" i="14" s="1"/>
  <c r="S188" i="14" s="1"/>
  <c r="S252" i="14" s="1"/>
  <c r="AS107" i="14"/>
  <c r="AS172" i="14" s="1"/>
  <c r="AS236" i="14" s="1"/>
  <c r="AY43" i="14"/>
  <c r="AW107" i="14" s="1"/>
  <c r="AW172" i="14" s="1"/>
  <c r="AW236" i="14" s="1"/>
  <c r="AS155" i="14"/>
  <c r="AS220" i="14" s="1"/>
  <c r="AS284" i="14" s="1"/>
  <c r="BK43" i="14"/>
  <c r="AW155" i="14" s="1"/>
  <c r="AW220" i="14" s="1"/>
  <c r="AW284" i="14" s="1"/>
  <c r="E273" i="14"/>
  <c r="D273" i="14" s="1"/>
  <c r="D209" i="14"/>
  <c r="X117" i="14"/>
  <c r="X182" i="14" s="1"/>
  <c r="X246" i="14" s="1"/>
  <c r="BB13" i="14"/>
  <c r="AB117" i="14" s="1"/>
  <c r="AB182" i="14" s="1"/>
  <c r="AB246" i="14" s="1"/>
  <c r="Z119" i="14"/>
  <c r="Z184" i="14" s="1"/>
  <c r="Z248" i="14" s="1"/>
  <c r="BB35" i="14"/>
  <c r="AD119" i="14" s="1"/>
  <c r="AD184" i="14" s="1"/>
  <c r="AD248" i="14" s="1"/>
  <c r="BA37" i="14"/>
  <c r="AL113" i="14" s="1"/>
  <c r="AL178" i="14" s="1"/>
  <c r="AL242" i="14" s="1"/>
  <c r="AH113" i="14"/>
  <c r="AH178" i="14" s="1"/>
  <c r="AH242" i="14" s="1"/>
  <c r="G49" i="11"/>
  <c r="E102" i="11" s="1"/>
  <c r="E154" i="11" s="1"/>
  <c r="E206" i="11" s="1"/>
  <c r="P56" i="11"/>
  <c r="P109" i="11" s="1"/>
  <c r="P162" i="11" s="1"/>
  <c r="P215" i="11" s="1"/>
  <c r="P65" i="11"/>
  <c r="P118" i="11" s="1"/>
  <c r="P171" i="11" s="1"/>
  <c r="P224" i="11" s="1"/>
  <c r="C180" i="12"/>
  <c r="B180" i="12" s="1"/>
  <c r="B116" i="12"/>
  <c r="N210" i="12"/>
  <c r="M210" i="12" s="1"/>
  <c r="M146" i="12"/>
  <c r="N74" i="12"/>
  <c r="N143" i="12" s="1"/>
  <c r="BD9" i="12"/>
  <c r="R74" i="12" s="1"/>
  <c r="R143" i="12" s="1"/>
  <c r="R207" i="12" s="1"/>
  <c r="N213" i="12"/>
  <c r="M213" i="12" s="1"/>
  <c r="M149" i="12"/>
  <c r="G69" i="12"/>
  <c r="E138" i="12" s="1"/>
  <c r="E202" i="12" s="1"/>
  <c r="BC12" i="12"/>
  <c r="K69" i="12" s="1"/>
  <c r="I138" i="12" s="1"/>
  <c r="I202" i="12" s="1"/>
  <c r="BB13" i="12"/>
  <c r="K66" i="12" s="1"/>
  <c r="I135" i="12" s="1"/>
  <c r="I199" i="12" s="1"/>
  <c r="G66" i="12"/>
  <c r="E135" i="12" s="1"/>
  <c r="E199" i="12" s="1"/>
  <c r="BF17" i="12"/>
  <c r="T82" i="12" s="1"/>
  <c r="T151" i="12" s="1"/>
  <c r="T215" i="12" s="1"/>
  <c r="P82" i="12"/>
  <c r="P151" i="12" s="1"/>
  <c r="P215" i="12" s="1"/>
  <c r="P80" i="12"/>
  <c r="P149" i="12" s="1"/>
  <c r="P213" i="12" s="1"/>
  <c r="BE19" i="12"/>
  <c r="T80" i="12" s="1"/>
  <c r="T149" i="12" s="1"/>
  <c r="T213" i="12" s="1"/>
  <c r="BC25" i="12"/>
  <c r="J71" i="12" s="1"/>
  <c r="H140" i="12" s="1"/>
  <c r="H204" i="12" s="1"/>
  <c r="F71" i="12"/>
  <c r="D140" i="12" s="1"/>
  <c r="D204" i="12" s="1"/>
  <c r="O53" i="12"/>
  <c r="O122" i="12" s="1"/>
  <c r="O186" i="12" s="1"/>
  <c r="AY27" i="12"/>
  <c r="S53" i="12" s="1"/>
  <c r="S122" i="12" s="1"/>
  <c r="S186" i="12" s="1"/>
  <c r="BK32" i="12"/>
  <c r="L102" i="12" s="1"/>
  <c r="J171" i="12" s="1"/>
  <c r="J235" i="12" s="1"/>
  <c r="N182" i="12"/>
  <c r="M182" i="12" s="1"/>
  <c r="M118" i="12"/>
  <c r="N199" i="12"/>
  <c r="M199" i="12" s="1"/>
  <c r="M135" i="12"/>
  <c r="C208" i="12"/>
  <c r="B208" i="12" s="1"/>
  <c r="B144" i="12"/>
  <c r="B174" i="12"/>
  <c r="C238" i="12"/>
  <c r="B238" i="12" s="1"/>
  <c r="B173" i="12"/>
  <c r="D183" i="14"/>
  <c r="E247" i="14"/>
  <c r="D247" i="14" s="1"/>
  <c r="BE9" i="14"/>
  <c r="S129" i="14" s="1"/>
  <c r="S194" i="14" s="1"/>
  <c r="S258" i="14" s="1"/>
  <c r="BC13" i="14"/>
  <c r="AB121" i="14" s="1"/>
  <c r="AB186" i="14" s="1"/>
  <c r="AB250" i="14" s="1"/>
  <c r="X121" i="14"/>
  <c r="X186" i="14" s="1"/>
  <c r="X250" i="14" s="1"/>
  <c r="AF138" i="14"/>
  <c r="AF203" i="14" s="1"/>
  <c r="AF267" i="14" s="1"/>
  <c r="BG18" i="14"/>
  <c r="AJ138" i="14" s="1"/>
  <c r="AJ203" i="14" s="1"/>
  <c r="AJ267" i="14" s="1"/>
  <c r="BG21" i="14"/>
  <c r="AU137" i="14" s="1"/>
  <c r="AU202" i="14" s="1"/>
  <c r="AU266" i="14" s="1"/>
  <c r="BD27" i="14"/>
  <c r="K127" i="14" s="1"/>
  <c r="K192" i="14" s="1"/>
  <c r="K256" i="14" s="1"/>
  <c r="Q119" i="14"/>
  <c r="Q184" i="14" s="1"/>
  <c r="Q248" i="14" s="1"/>
  <c r="BB31" i="14"/>
  <c r="V119" i="14" s="1"/>
  <c r="V184" i="14" s="1"/>
  <c r="V248" i="14" s="1"/>
  <c r="E275" i="14"/>
  <c r="D275" i="14" s="1"/>
  <c r="D211" i="14"/>
  <c r="D218" i="14"/>
  <c r="E282" i="14"/>
  <c r="D282" i="14" s="1"/>
  <c r="E241" i="14"/>
  <c r="D241" i="14" s="1"/>
  <c r="D177" i="14"/>
  <c r="E278" i="15"/>
  <c r="D278" i="15" s="1"/>
  <c r="D214" i="15"/>
  <c r="E94" i="15"/>
  <c r="E159" i="15" s="1"/>
  <c r="AV6" i="15"/>
  <c r="I94" i="15" s="1"/>
  <c r="I159" i="15" s="1"/>
  <c r="I223" i="15" s="1"/>
  <c r="E142" i="15"/>
  <c r="E207" i="15" s="1"/>
  <c r="BH6" i="15"/>
  <c r="I142" i="15" s="1"/>
  <c r="I207" i="15" s="1"/>
  <c r="I271" i="15" s="1"/>
  <c r="AX17" i="15"/>
  <c r="AJ101" i="15" s="1"/>
  <c r="AJ166" i="15" s="1"/>
  <c r="AJ230" i="15" s="1"/>
  <c r="AF101" i="15"/>
  <c r="AF166" i="15" s="1"/>
  <c r="AF230" i="15" s="1"/>
  <c r="AF149" i="15"/>
  <c r="AF214" i="15" s="1"/>
  <c r="AF278" i="15" s="1"/>
  <c r="BJ17" i="15"/>
  <c r="AJ149" i="15" s="1"/>
  <c r="AJ214" i="15" s="1"/>
  <c r="AJ278" i="15" s="1"/>
  <c r="AQ108" i="15"/>
  <c r="AQ173" i="15" s="1"/>
  <c r="AQ237" i="15" s="1"/>
  <c r="AZ20" i="15"/>
  <c r="AU108" i="15" s="1"/>
  <c r="AU173" i="15" s="1"/>
  <c r="AU237" i="15" s="1"/>
  <c r="AQ105" i="15"/>
  <c r="AQ170" i="15" s="1"/>
  <c r="AQ234" i="15" s="1"/>
  <c r="AY21" i="15"/>
  <c r="AU105" i="15" s="1"/>
  <c r="AU170" i="15" s="1"/>
  <c r="AU234" i="15" s="1"/>
  <c r="BK21" i="15"/>
  <c r="AU153" i="15" s="1"/>
  <c r="AU218" i="15" s="1"/>
  <c r="AU282" i="15" s="1"/>
  <c r="AQ153" i="15"/>
  <c r="AQ218" i="15" s="1"/>
  <c r="AQ282" i="15" s="1"/>
  <c r="AV43" i="16"/>
  <c r="AS95" i="16"/>
  <c r="AS173" i="16" s="1"/>
  <c r="AS237" i="16" s="1"/>
  <c r="AS143" i="16"/>
  <c r="AS221" i="16" s="1"/>
  <c r="AS285" i="16" s="1"/>
  <c r="BH43" i="16"/>
  <c r="L49" i="22"/>
  <c r="J126" i="16"/>
  <c r="J204" i="16" s="1"/>
  <c r="J268" i="16" s="1"/>
  <c r="Q47" i="11"/>
  <c r="Q100" i="11" s="1"/>
  <c r="Q153" i="11" s="1"/>
  <c r="Q206" i="11" s="1"/>
  <c r="Q83" i="11"/>
  <c r="Q136" i="11" s="1"/>
  <c r="Q189" i="11" s="1"/>
  <c r="BB4" i="12"/>
  <c r="I65" i="12" s="1"/>
  <c r="G134" i="12" s="1"/>
  <c r="G198" i="12" s="1"/>
  <c r="E65" i="12"/>
  <c r="C134" i="12" s="1"/>
  <c r="BG8" i="12"/>
  <c r="R85" i="12" s="1"/>
  <c r="R154" i="12" s="1"/>
  <c r="R218" i="12" s="1"/>
  <c r="N78" i="12"/>
  <c r="N147" i="12" s="1"/>
  <c r="BE9" i="12"/>
  <c r="R78" i="12" s="1"/>
  <c r="R147" i="12" s="1"/>
  <c r="R211" i="12" s="1"/>
  <c r="BH17" i="12"/>
  <c r="T90" i="12" s="1"/>
  <c r="T159" i="12" s="1"/>
  <c r="T223" i="12" s="1"/>
  <c r="BD24" i="12"/>
  <c r="J74" i="12" s="1"/>
  <c r="H143" i="12" s="1"/>
  <c r="H207" i="12" s="1"/>
  <c r="O105" i="12"/>
  <c r="O174" i="12" s="1"/>
  <c r="O238" i="12" s="1"/>
  <c r="BL27" i="12"/>
  <c r="S105" i="12" s="1"/>
  <c r="S174" i="12" s="1"/>
  <c r="S238" i="12" s="1"/>
  <c r="BL32" i="12"/>
  <c r="L106" i="12" s="1"/>
  <c r="J175" i="12" s="1"/>
  <c r="J239" i="12" s="1"/>
  <c r="BH33" i="12"/>
  <c r="L91" i="12" s="1"/>
  <c r="J160" i="12" s="1"/>
  <c r="J224" i="12" s="1"/>
  <c r="H91" i="12"/>
  <c r="F160" i="12" s="1"/>
  <c r="F224" i="12" s="1"/>
  <c r="BG35" i="12"/>
  <c r="U85" i="12" s="1"/>
  <c r="U154" i="12" s="1"/>
  <c r="U218" i="12" s="1"/>
  <c r="Q85" i="12"/>
  <c r="Q154" i="12" s="1"/>
  <c r="Q218" i="12" s="1"/>
  <c r="O57" i="12"/>
  <c r="O126" i="12" s="1"/>
  <c r="O190" i="12" s="1"/>
  <c r="O66" i="12"/>
  <c r="O135" i="12" s="1"/>
  <c r="O199" i="12" s="1"/>
  <c r="N233" i="12"/>
  <c r="M233" i="12" s="1"/>
  <c r="BF16" i="14"/>
  <c r="AJ132" i="14" s="1"/>
  <c r="AJ197" i="14" s="1"/>
  <c r="AJ261" i="14" s="1"/>
  <c r="AF132" i="14"/>
  <c r="AF197" i="14" s="1"/>
  <c r="AF261" i="14" s="1"/>
  <c r="CE11" i="14"/>
  <c r="AV21" i="14"/>
  <c r="AU93" i="14" s="1"/>
  <c r="AU158" i="14" s="1"/>
  <c r="AU222" i="14" s="1"/>
  <c r="AQ93" i="14"/>
  <c r="AQ158" i="14" s="1"/>
  <c r="AQ222" i="14" s="1"/>
  <c r="BH25" i="14"/>
  <c r="K141" i="14" s="1"/>
  <c r="K206" i="14" s="1"/>
  <c r="K270" i="14" s="1"/>
  <c r="BE26" i="14"/>
  <c r="K130" i="14" s="1"/>
  <c r="K195" i="14" s="1"/>
  <c r="K259" i="14" s="1"/>
  <c r="G130" i="14"/>
  <c r="G195" i="14" s="1"/>
  <c r="G259" i="14" s="1"/>
  <c r="Z127" i="14"/>
  <c r="Z192" i="14" s="1"/>
  <c r="Z256" i="14" s="1"/>
  <c r="BD35" i="14"/>
  <c r="AD127" i="14" s="1"/>
  <c r="AD192" i="14" s="1"/>
  <c r="AD256" i="14" s="1"/>
  <c r="D163" i="14"/>
  <c r="E227" i="14"/>
  <c r="D227" i="14" s="1"/>
  <c r="D197" i="14"/>
  <c r="E261" i="14"/>
  <c r="D261" i="14" s="1"/>
  <c r="AQ141" i="14"/>
  <c r="AQ206" i="14" s="1"/>
  <c r="AQ270" i="14" s="1"/>
  <c r="O98" i="15"/>
  <c r="O163" i="15" s="1"/>
  <c r="O227" i="15" s="1"/>
  <c r="AW10" i="15"/>
  <c r="S98" i="15" s="1"/>
  <c r="S163" i="15" s="1"/>
  <c r="S227" i="15" s="1"/>
  <c r="O146" i="15"/>
  <c r="O211" i="15" s="1"/>
  <c r="O275" i="15" s="1"/>
  <c r="BI10" i="15"/>
  <c r="S146" i="15" s="1"/>
  <c r="S211" i="15" s="1"/>
  <c r="S275" i="15" s="1"/>
  <c r="AY12" i="15"/>
  <c r="AB104" i="15" s="1"/>
  <c r="AB169" i="15" s="1"/>
  <c r="AB233" i="15" s="1"/>
  <c r="X104" i="15"/>
  <c r="X169" i="15" s="1"/>
  <c r="X233" i="15" s="1"/>
  <c r="BK12" i="15"/>
  <c r="AB152" i="15" s="1"/>
  <c r="AB217" i="15" s="1"/>
  <c r="AB281" i="15" s="1"/>
  <c r="X152" i="15"/>
  <c r="X217" i="15" s="1"/>
  <c r="X281" i="15" s="1"/>
  <c r="AF152" i="15"/>
  <c r="AF217" i="15" s="1"/>
  <c r="AF281" i="15" s="1"/>
  <c r="BK16" i="15"/>
  <c r="AJ152" i="15" s="1"/>
  <c r="AJ217" i="15" s="1"/>
  <c r="AJ281" i="15" s="1"/>
  <c r="G120" i="15"/>
  <c r="G185" i="15" s="1"/>
  <c r="G249" i="15" s="1"/>
  <c r="BC24" i="15"/>
  <c r="K120" i="15" s="1"/>
  <c r="K185" i="15" s="1"/>
  <c r="K249" i="15" s="1"/>
  <c r="E62" i="12"/>
  <c r="C131" i="12" s="1"/>
  <c r="BA5" i="12"/>
  <c r="I62" i="12" s="1"/>
  <c r="G131" i="12" s="1"/>
  <c r="G195" i="12" s="1"/>
  <c r="BH8" i="12"/>
  <c r="R89" i="12" s="1"/>
  <c r="R158" i="12" s="1"/>
  <c r="R222" i="12" s="1"/>
  <c r="BG10" i="12"/>
  <c r="R87" i="12" s="1"/>
  <c r="R156" i="12" s="1"/>
  <c r="R220" i="12" s="1"/>
  <c r="AZ15" i="12"/>
  <c r="K60" i="12" s="1"/>
  <c r="I129" i="12" s="1"/>
  <c r="I193" i="12" s="1"/>
  <c r="G60" i="12"/>
  <c r="E129" i="12" s="1"/>
  <c r="E193" i="12" s="1"/>
  <c r="Q86" i="12"/>
  <c r="Q155" i="12" s="1"/>
  <c r="Q219" i="12" s="1"/>
  <c r="BG36" i="12"/>
  <c r="U86" i="12" s="1"/>
  <c r="U155" i="12" s="1"/>
  <c r="U219" i="12" s="1"/>
  <c r="BI36" i="12"/>
  <c r="U94" i="12" s="1"/>
  <c r="U163" i="12" s="1"/>
  <c r="U227" i="12" s="1"/>
  <c r="C184" i="12"/>
  <c r="B184" i="12" s="1"/>
  <c r="B120" i="12"/>
  <c r="N194" i="12"/>
  <c r="M194" i="12" s="1"/>
  <c r="M130" i="12"/>
  <c r="M152" i="12"/>
  <c r="BD4" i="14"/>
  <c r="I124" i="14" s="1"/>
  <c r="I189" i="14" s="1"/>
  <c r="I253" i="14" s="1"/>
  <c r="E124" i="14"/>
  <c r="E189" i="14" s="1"/>
  <c r="O137" i="14"/>
  <c r="O202" i="14" s="1"/>
  <c r="O266" i="14" s="1"/>
  <c r="BG9" i="14"/>
  <c r="S137" i="14" s="1"/>
  <c r="S202" i="14" s="1"/>
  <c r="S266" i="14" s="1"/>
  <c r="AX19" i="14"/>
  <c r="AJ103" i="14" s="1"/>
  <c r="AJ168" i="14" s="1"/>
  <c r="AJ232" i="14" s="1"/>
  <c r="AF103" i="14"/>
  <c r="AF168" i="14" s="1"/>
  <c r="AF232" i="14" s="1"/>
  <c r="AF151" i="14"/>
  <c r="AF216" i="14" s="1"/>
  <c r="AF280" i="14" s="1"/>
  <c r="BJ19" i="14"/>
  <c r="AJ151" i="14" s="1"/>
  <c r="AJ216" i="14" s="1"/>
  <c r="AJ280" i="14" s="1"/>
  <c r="G133" i="14"/>
  <c r="G198" i="14" s="1"/>
  <c r="G262" i="14" s="1"/>
  <c r="BF25" i="14"/>
  <c r="K133" i="14" s="1"/>
  <c r="K198" i="14" s="1"/>
  <c r="K262" i="14" s="1"/>
  <c r="BE29" i="14"/>
  <c r="V129" i="14" s="1"/>
  <c r="V194" i="14" s="1"/>
  <c r="V258" i="14" s="1"/>
  <c r="Q129" i="14"/>
  <c r="Q194" i="14" s="1"/>
  <c r="Q258" i="14" s="1"/>
  <c r="BC38" i="14"/>
  <c r="AL122" i="14" s="1"/>
  <c r="AL187" i="14" s="1"/>
  <c r="AL251" i="14" s="1"/>
  <c r="AH122" i="14"/>
  <c r="AH187" i="14" s="1"/>
  <c r="AH251" i="14" s="1"/>
  <c r="AS134" i="14"/>
  <c r="AS199" i="14" s="1"/>
  <c r="AS263" i="14" s="1"/>
  <c r="BF42" i="14"/>
  <c r="AW134" i="14" s="1"/>
  <c r="AW199" i="14" s="1"/>
  <c r="AW263" i="14" s="1"/>
  <c r="O80" i="14"/>
  <c r="O78" i="14"/>
  <c r="O76" i="14"/>
  <c r="O74" i="14"/>
  <c r="O72" i="14"/>
  <c r="O70" i="14"/>
  <c r="O68" i="14"/>
  <c r="O66" i="14"/>
  <c r="O64" i="14"/>
  <c r="O62" i="14"/>
  <c r="O60" i="14"/>
  <c r="O58" i="14"/>
  <c r="O56" i="14"/>
  <c r="O54" i="14"/>
  <c r="O52" i="14"/>
  <c r="I80" i="14"/>
  <c r="O75" i="14"/>
  <c r="N73" i="14"/>
  <c r="K71" i="14"/>
  <c r="J69" i="14"/>
  <c r="I67" i="14"/>
  <c r="N62" i="14"/>
  <c r="K60" i="14"/>
  <c r="J58" i="14"/>
  <c r="I56" i="14"/>
  <c r="O51" i="14"/>
  <c r="N80" i="14"/>
  <c r="J78" i="14"/>
  <c r="K73" i="14"/>
  <c r="I71" i="14"/>
  <c r="N68" i="14"/>
  <c r="J66" i="14"/>
  <c r="N61" i="14"/>
  <c r="J59" i="14"/>
  <c r="K54" i="14"/>
  <c r="I52" i="14"/>
  <c r="K80" i="14"/>
  <c r="I78" i="14"/>
  <c r="N75" i="14"/>
  <c r="J73" i="14"/>
  <c r="K68" i="14"/>
  <c r="I66" i="14"/>
  <c r="O63" i="14"/>
  <c r="K61" i="14"/>
  <c r="I59" i="14"/>
  <c r="N56" i="14"/>
  <c r="J54" i="14"/>
  <c r="J80" i="14"/>
  <c r="O77" i="14"/>
  <c r="K75" i="14"/>
  <c r="I73" i="14"/>
  <c r="N70" i="14"/>
  <c r="J68" i="14"/>
  <c r="N63" i="14"/>
  <c r="J61" i="14"/>
  <c r="K56" i="14"/>
  <c r="I54" i="14"/>
  <c r="N51" i="14"/>
  <c r="N77" i="14"/>
  <c r="J75" i="14"/>
  <c r="K70" i="14"/>
  <c r="I68" i="14"/>
  <c r="O65" i="14"/>
  <c r="K63" i="14"/>
  <c r="I61" i="14"/>
  <c r="N58" i="14"/>
  <c r="J56" i="14"/>
  <c r="O53" i="14"/>
  <c r="K51" i="14"/>
  <c r="O79" i="14"/>
  <c r="K77" i="14"/>
  <c r="I75" i="14"/>
  <c r="N72" i="14"/>
  <c r="J70" i="14"/>
  <c r="N65" i="14"/>
  <c r="J63" i="14"/>
  <c r="K58" i="14"/>
  <c r="N53" i="14"/>
  <c r="J51" i="14"/>
  <c r="J79" i="14"/>
  <c r="K74" i="14"/>
  <c r="I72" i="14"/>
  <c r="O69" i="14"/>
  <c r="K67" i="14"/>
  <c r="I65" i="14"/>
  <c r="K62" i="14"/>
  <c r="I60" i="14"/>
  <c r="O57" i="14"/>
  <c r="K55" i="14"/>
  <c r="I53" i="14"/>
  <c r="N76" i="14"/>
  <c r="J67" i="14"/>
  <c r="J62" i="14"/>
  <c r="N57" i="14"/>
  <c r="K76" i="14"/>
  <c r="O71" i="14"/>
  <c r="I62" i="14"/>
  <c r="K57" i="14"/>
  <c r="N52" i="14"/>
  <c r="J76" i="14"/>
  <c r="N71" i="14"/>
  <c r="N66" i="14"/>
  <c r="J57" i="14"/>
  <c r="K52" i="14"/>
  <c r="I76" i="14"/>
  <c r="J71" i="14"/>
  <c r="K66" i="14"/>
  <c r="O61" i="14"/>
  <c r="I57" i="14"/>
  <c r="J52" i="14"/>
  <c r="N79" i="14"/>
  <c r="I70" i="14"/>
  <c r="K65" i="14"/>
  <c r="N60" i="14"/>
  <c r="O55" i="14"/>
  <c r="I51" i="14"/>
  <c r="I74" i="14"/>
  <c r="K69" i="14"/>
  <c r="K64" i="14"/>
  <c r="O59" i="14"/>
  <c r="I55" i="14"/>
  <c r="N78" i="14"/>
  <c r="I69" i="14"/>
  <c r="J64" i="14"/>
  <c r="N59" i="14"/>
  <c r="I63" i="14"/>
  <c r="J74" i="14"/>
  <c r="E59" i="12"/>
  <c r="C128" i="12" s="1"/>
  <c r="AZ6" i="12"/>
  <c r="I59" i="12" s="1"/>
  <c r="G128" i="12" s="1"/>
  <c r="G192" i="12" s="1"/>
  <c r="E107" i="12"/>
  <c r="C176" i="12" s="1"/>
  <c r="BL6" i="12"/>
  <c r="I107" i="12" s="1"/>
  <c r="G176" i="12" s="1"/>
  <c r="G240" i="12" s="1"/>
  <c r="N222" i="12"/>
  <c r="M222" i="12" s="1"/>
  <c r="M158" i="12"/>
  <c r="H93" i="12"/>
  <c r="F162" i="12" s="1"/>
  <c r="F226" i="12" s="1"/>
  <c r="BI31" i="12"/>
  <c r="L93" i="12" s="1"/>
  <c r="J162" i="12" s="1"/>
  <c r="J226" i="12" s="1"/>
  <c r="H48" i="12"/>
  <c r="F117" i="12" s="1"/>
  <c r="F181" i="12" s="1"/>
  <c r="AW34" i="12"/>
  <c r="L48" i="12" s="1"/>
  <c r="J117" i="12" s="1"/>
  <c r="J181" i="12" s="1"/>
  <c r="Q90" i="12"/>
  <c r="Q159" i="12" s="1"/>
  <c r="Q223" i="12" s="1"/>
  <c r="BH36" i="12"/>
  <c r="U90" i="12" s="1"/>
  <c r="U159" i="12" s="1"/>
  <c r="U223" i="12" s="1"/>
  <c r="BF38" i="12"/>
  <c r="U84" i="12" s="1"/>
  <c r="U153" i="12" s="1"/>
  <c r="U217" i="12" s="1"/>
  <c r="Q84" i="12"/>
  <c r="Q153" i="12" s="1"/>
  <c r="Q217" i="12" s="1"/>
  <c r="C212" i="12"/>
  <c r="B212" i="12" s="1"/>
  <c r="B148" i="12"/>
  <c r="C233" i="12"/>
  <c r="B233" i="12" s="1"/>
  <c r="B169" i="12"/>
  <c r="E128" i="14"/>
  <c r="E193" i="14" s="1"/>
  <c r="BE4" i="14"/>
  <c r="I128" i="14" s="1"/>
  <c r="I193" i="14" s="1"/>
  <c r="I257" i="14" s="1"/>
  <c r="X95" i="14"/>
  <c r="X160" i="14" s="1"/>
  <c r="X224" i="14" s="1"/>
  <c r="AV15" i="14"/>
  <c r="AB95" i="14" s="1"/>
  <c r="AB160" i="14" s="1"/>
  <c r="AB224" i="14" s="1"/>
  <c r="X143" i="14"/>
  <c r="X208" i="14" s="1"/>
  <c r="X272" i="14" s="1"/>
  <c r="BH15" i="14"/>
  <c r="AB143" i="14" s="1"/>
  <c r="AB208" i="14" s="1"/>
  <c r="AB272" i="14" s="1"/>
  <c r="G137" i="14"/>
  <c r="G202" i="14" s="1"/>
  <c r="G266" i="14" s="1"/>
  <c r="BG25" i="14"/>
  <c r="K137" i="14" s="1"/>
  <c r="K202" i="14" s="1"/>
  <c r="K266" i="14" s="1"/>
  <c r="BF29" i="14"/>
  <c r="V133" i="14" s="1"/>
  <c r="V198" i="14" s="1"/>
  <c r="V262" i="14" s="1"/>
  <c r="D203" i="14"/>
  <c r="E267" i="14"/>
  <c r="D267" i="14" s="1"/>
  <c r="E224" i="15"/>
  <c r="D224" i="15" s="1"/>
  <c r="D160" i="15"/>
  <c r="BA25" i="11"/>
  <c r="K59" i="11" s="1"/>
  <c r="I112" i="11" s="1"/>
  <c r="I164" i="11" s="1"/>
  <c r="I216" i="11" s="1"/>
  <c r="BE29" i="11"/>
  <c r="W75" i="11" s="1"/>
  <c r="W128" i="11" s="1"/>
  <c r="W181" i="11" s="1"/>
  <c r="E63" i="12"/>
  <c r="C132" i="12" s="1"/>
  <c r="BA6" i="12"/>
  <c r="I63" i="12" s="1"/>
  <c r="G132" i="12" s="1"/>
  <c r="G196" i="12" s="1"/>
  <c r="AW6" i="12"/>
  <c r="I47" i="12" s="1"/>
  <c r="G116" i="12" s="1"/>
  <c r="G180" i="12" s="1"/>
  <c r="B177" i="12"/>
  <c r="C241" i="12"/>
  <c r="B241" i="12" s="1"/>
  <c r="G85" i="12"/>
  <c r="E154" i="12" s="1"/>
  <c r="E218" i="12" s="1"/>
  <c r="BG12" i="12"/>
  <c r="K85" i="12" s="1"/>
  <c r="I154" i="12" s="1"/>
  <c r="I218" i="12" s="1"/>
  <c r="AW19" i="12"/>
  <c r="T48" i="12" s="1"/>
  <c r="T117" i="12" s="1"/>
  <c r="T181" i="12" s="1"/>
  <c r="P48" i="12"/>
  <c r="P117" i="12" s="1"/>
  <c r="P181" i="12" s="1"/>
  <c r="P96" i="12"/>
  <c r="P165" i="12" s="1"/>
  <c r="P229" i="12" s="1"/>
  <c r="BI19" i="12"/>
  <c r="T96" i="12" s="1"/>
  <c r="T165" i="12" s="1"/>
  <c r="T229" i="12" s="1"/>
  <c r="F90" i="12"/>
  <c r="D159" i="12" s="1"/>
  <c r="D223" i="12" s="1"/>
  <c r="BH24" i="12"/>
  <c r="J90" i="12" s="1"/>
  <c r="H159" i="12" s="1"/>
  <c r="H223" i="12" s="1"/>
  <c r="O55" i="12"/>
  <c r="O124" i="12" s="1"/>
  <c r="O188" i="12" s="1"/>
  <c r="AY29" i="12"/>
  <c r="S55" i="12" s="1"/>
  <c r="S124" i="12" s="1"/>
  <c r="S188" i="12" s="1"/>
  <c r="H49" i="12"/>
  <c r="F118" i="12" s="1"/>
  <c r="F182" i="12" s="1"/>
  <c r="AX31" i="12"/>
  <c r="L49" i="12" s="1"/>
  <c r="J118" i="12" s="1"/>
  <c r="J182" i="12" s="1"/>
  <c r="BJ31" i="12"/>
  <c r="L97" i="12" s="1"/>
  <c r="J166" i="12" s="1"/>
  <c r="J230" i="12" s="1"/>
  <c r="H97" i="12"/>
  <c r="F166" i="12" s="1"/>
  <c r="F230" i="12" s="1"/>
  <c r="BJ34" i="12"/>
  <c r="L100" i="12" s="1"/>
  <c r="J169" i="12" s="1"/>
  <c r="J233" i="12" s="1"/>
  <c r="H100" i="12"/>
  <c r="F169" i="12" s="1"/>
  <c r="F233" i="12" s="1"/>
  <c r="BG38" i="12"/>
  <c r="U88" i="12" s="1"/>
  <c r="U157" i="12" s="1"/>
  <c r="U221" i="12" s="1"/>
  <c r="Q88" i="12"/>
  <c r="Q157" i="12" s="1"/>
  <c r="Q221" i="12" s="1"/>
  <c r="N181" i="12"/>
  <c r="M181" i="12" s="1"/>
  <c r="M117" i="12"/>
  <c r="B125" i="12"/>
  <c r="E135" i="14"/>
  <c r="E200" i="14" s="1"/>
  <c r="BF7" i="14"/>
  <c r="I135" i="14" s="1"/>
  <c r="I200" i="14" s="1"/>
  <c r="I264" i="14" s="1"/>
  <c r="O134" i="14"/>
  <c r="O199" i="14" s="1"/>
  <c r="O263" i="14" s="1"/>
  <c r="BF10" i="14"/>
  <c r="S134" i="14" s="1"/>
  <c r="S199" i="14" s="1"/>
  <c r="S263" i="14" s="1"/>
  <c r="BG14" i="14"/>
  <c r="AB138" i="14" s="1"/>
  <c r="AB203" i="14" s="1"/>
  <c r="AB267" i="14" s="1"/>
  <c r="X138" i="14"/>
  <c r="X203" i="14" s="1"/>
  <c r="X267" i="14" s="1"/>
  <c r="AY17" i="14"/>
  <c r="AJ105" i="14" s="1"/>
  <c r="AJ170" i="14" s="1"/>
  <c r="AJ234" i="14" s="1"/>
  <c r="AF105" i="14"/>
  <c r="AF170" i="14" s="1"/>
  <c r="AF234" i="14" s="1"/>
  <c r="Z136" i="14"/>
  <c r="Z201" i="14" s="1"/>
  <c r="Z265" i="14" s="1"/>
  <c r="BG32" i="14"/>
  <c r="AD136" i="14" s="1"/>
  <c r="AD201" i="14" s="1"/>
  <c r="AD265" i="14" s="1"/>
  <c r="AH128" i="14"/>
  <c r="AH193" i="14" s="1"/>
  <c r="AH257" i="14" s="1"/>
  <c r="BE36" i="14"/>
  <c r="AL128" i="14" s="1"/>
  <c r="AL193" i="14" s="1"/>
  <c r="AL257" i="14" s="1"/>
  <c r="AV42" i="14"/>
  <c r="AW94" i="14" s="1"/>
  <c r="AW159" i="14" s="1"/>
  <c r="AW223" i="14" s="1"/>
  <c r="AS94" i="14"/>
  <c r="AS159" i="14" s="1"/>
  <c r="AS223" i="14" s="1"/>
  <c r="AS142" i="14"/>
  <c r="AS207" i="14" s="1"/>
  <c r="AS271" i="14" s="1"/>
  <c r="BH42" i="14"/>
  <c r="AW142" i="14" s="1"/>
  <c r="AW207" i="14" s="1"/>
  <c r="AW271" i="14" s="1"/>
  <c r="K53" i="14"/>
  <c r="N64" i="14"/>
  <c r="I77" i="14"/>
  <c r="D188" i="14"/>
  <c r="AU150" i="16"/>
  <c r="AU228" i="16" s="1"/>
  <c r="AU292" i="16" s="1"/>
  <c r="AU119" i="16"/>
  <c r="AU197" i="16" s="1"/>
  <c r="AU261" i="16" s="1"/>
  <c r="BE8" i="12"/>
  <c r="R77" i="12" s="1"/>
  <c r="R146" i="12" s="1"/>
  <c r="R210" i="12" s="1"/>
  <c r="AZ16" i="12"/>
  <c r="T57" i="12" s="1"/>
  <c r="T126" i="12" s="1"/>
  <c r="T190" i="12" s="1"/>
  <c r="BE17" i="12"/>
  <c r="T78" i="12" s="1"/>
  <c r="T147" i="12" s="1"/>
  <c r="T211" i="12" s="1"/>
  <c r="AW23" i="12"/>
  <c r="J45" i="12" s="1"/>
  <c r="H114" i="12" s="1"/>
  <c r="H178" i="12" s="1"/>
  <c r="BA26" i="12"/>
  <c r="J64" i="12" s="1"/>
  <c r="H133" i="12" s="1"/>
  <c r="H197" i="12" s="1"/>
  <c r="AW32" i="12"/>
  <c r="L46" i="12" s="1"/>
  <c r="J115" i="12" s="1"/>
  <c r="J179" i="12" s="1"/>
  <c r="AZ37" i="12"/>
  <c r="U59" i="12" s="1"/>
  <c r="U128" i="12" s="1"/>
  <c r="U192" i="12" s="1"/>
  <c r="H64" i="12"/>
  <c r="F133" i="12" s="1"/>
  <c r="F197" i="12" s="1"/>
  <c r="Q79" i="12"/>
  <c r="Q148" i="12" s="1"/>
  <c r="Q212" i="12" s="1"/>
  <c r="E92" i="12"/>
  <c r="C161" i="12" s="1"/>
  <c r="F96" i="12"/>
  <c r="D165" i="12" s="1"/>
  <c r="D229" i="12" s="1"/>
  <c r="N98" i="12"/>
  <c r="N167" i="12" s="1"/>
  <c r="N107" i="12"/>
  <c r="N176" i="12" s="1"/>
  <c r="E245" i="14"/>
  <c r="D245" i="14" s="1"/>
  <c r="D181" i="14"/>
  <c r="E109" i="14"/>
  <c r="E174" i="14" s="1"/>
  <c r="AZ5" i="14"/>
  <c r="I109" i="14" s="1"/>
  <c r="I174" i="14" s="1"/>
  <c r="I238" i="14" s="1"/>
  <c r="E279" i="14"/>
  <c r="D279" i="14" s="1"/>
  <c r="D215" i="14"/>
  <c r="CE5" i="14"/>
  <c r="E95" i="14"/>
  <c r="E160" i="14" s="1"/>
  <c r="AV7" i="14"/>
  <c r="I95" i="14" s="1"/>
  <c r="I160" i="14" s="1"/>
  <c r="I224" i="14" s="1"/>
  <c r="E272" i="14"/>
  <c r="D272" i="14" s="1"/>
  <c r="D208" i="14"/>
  <c r="AV9" i="14"/>
  <c r="S93" i="14" s="1"/>
  <c r="S158" i="14" s="1"/>
  <c r="S222" i="14" s="1"/>
  <c r="O93" i="14"/>
  <c r="O158" i="14" s="1"/>
  <c r="O222" i="14" s="1"/>
  <c r="BE11" i="14"/>
  <c r="S131" i="14" s="1"/>
  <c r="S196" i="14" s="1"/>
  <c r="S260" i="14" s="1"/>
  <c r="O131" i="14"/>
  <c r="O196" i="14" s="1"/>
  <c r="O260" i="14" s="1"/>
  <c r="CE10" i="14"/>
  <c r="AF145" i="14"/>
  <c r="AF210" i="14" s="1"/>
  <c r="AF274" i="14" s="1"/>
  <c r="BI17" i="14"/>
  <c r="AJ145" i="14" s="1"/>
  <c r="AJ210" i="14" s="1"/>
  <c r="AJ274" i="14" s="1"/>
  <c r="AF143" i="14"/>
  <c r="AF208" i="14" s="1"/>
  <c r="AF272" i="14" s="1"/>
  <c r="BH19" i="14"/>
  <c r="AJ143" i="14" s="1"/>
  <c r="AJ208" i="14" s="1"/>
  <c r="AJ272" i="14" s="1"/>
  <c r="AQ118" i="14"/>
  <c r="AQ183" i="14" s="1"/>
  <c r="AQ247" i="14" s="1"/>
  <c r="BB22" i="14"/>
  <c r="AU118" i="14" s="1"/>
  <c r="AU183" i="14" s="1"/>
  <c r="AU247" i="14" s="1"/>
  <c r="BA23" i="14"/>
  <c r="AU115" i="14" s="1"/>
  <c r="AU180" i="14" s="1"/>
  <c r="AU244" i="14" s="1"/>
  <c r="AQ115" i="14"/>
  <c r="AQ180" i="14" s="1"/>
  <c r="AQ244" i="14" s="1"/>
  <c r="BG27" i="14"/>
  <c r="K139" i="14" s="1"/>
  <c r="K204" i="14" s="1"/>
  <c r="K268" i="14" s="1"/>
  <c r="Z100" i="14"/>
  <c r="Z165" i="14" s="1"/>
  <c r="Z229" i="14" s="1"/>
  <c r="AX32" i="14"/>
  <c r="AD100" i="14" s="1"/>
  <c r="AD165" i="14" s="1"/>
  <c r="AD229" i="14" s="1"/>
  <c r="BE35" i="14"/>
  <c r="AD131" i="14" s="1"/>
  <c r="AD196" i="14" s="1"/>
  <c r="AD260" i="14" s="1"/>
  <c r="Z131" i="14"/>
  <c r="Z196" i="14" s="1"/>
  <c r="Z260" i="14" s="1"/>
  <c r="AH121" i="14"/>
  <c r="AH186" i="14" s="1"/>
  <c r="AH250" i="14" s="1"/>
  <c r="BC37" i="14"/>
  <c r="AL121" i="14" s="1"/>
  <c r="AL186" i="14" s="1"/>
  <c r="AL250" i="14" s="1"/>
  <c r="AS96" i="14"/>
  <c r="AS161" i="14" s="1"/>
  <c r="AS225" i="14" s="1"/>
  <c r="AW40" i="14"/>
  <c r="AW96" i="14" s="1"/>
  <c r="AW161" i="14" s="1"/>
  <c r="AW225" i="14" s="1"/>
  <c r="AW42" i="14"/>
  <c r="AW98" i="14" s="1"/>
  <c r="AW163" i="14" s="1"/>
  <c r="AW227" i="14" s="1"/>
  <c r="AS98" i="14"/>
  <c r="AS163" i="14" s="1"/>
  <c r="AS227" i="14" s="1"/>
  <c r="BJ43" i="14"/>
  <c r="AW151" i="14" s="1"/>
  <c r="AW216" i="14" s="1"/>
  <c r="AW280" i="14" s="1"/>
  <c r="AQ97" i="14"/>
  <c r="AQ162" i="14" s="1"/>
  <c r="AQ226" i="14" s="1"/>
  <c r="Q112" i="14"/>
  <c r="Q177" i="14" s="1"/>
  <c r="Q241" i="14" s="1"/>
  <c r="E248" i="14"/>
  <c r="D248" i="14" s="1"/>
  <c r="D184" i="14"/>
  <c r="AQ134" i="14"/>
  <c r="AQ199" i="14" s="1"/>
  <c r="AQ263" i="14" s="1"/>
  <c r="D171" i="14"/>
  <c r="D214" i="14"/>
  <c r="AV17" i="15"/>
  <c r="AJ93" i="15" s="1"/>
  <c r="AJ158" i="15" s="1"/>
  <c r="AJ222" i="15" s="1"/>
  <c r="AF93" i="15"/>
  <c r="AF158" i="15" s="1"/>
  <c r="AF222" i="15" s="1"/>
  <c r="BH17" i="15"/>
  <c r="AJ141" i="15" s="1"/>
  <c r="AJ206" i="15" s="1"/>
  <c r="AJ270" i="15" s="1"/>
  <c r="AF141" i="15"/>
  <c r="AF206" i="15" s="1"/>
  <c r="AF270" i="15" s="1"/>
  <c r="AF95" i="15"/>
  <c r="AF160" i="15" s="1"/>
  <c r="AF224" i="15" s="1"/>
  <c r="AV19" i="15"/>
  <c r="AJ95" i="15" s="1"/>
  <c r="AJ160" i="15" s="1"/>
  <c r="AJ224" i="15" s="1"/>
  <c r="AF143" i="15"/>
  <c r="AF208" i="15" s="1"/>
  <c r="AF272" i="15" s="1"/>
  <c r="BH19" i="15"/>
  <c r="AJ143" i="15" s="1"/>
  <c r="AJ208" i="15" s="1"/>
  <c r="AJ272" i="15" s="1"/>
  <c r="AX23" i="15"/>
  <c r="AU103" i="15" s="1"/>
  <c r="AU168" i="15" s="1"/>
  <c r="AU232" i="15" s="1"/>
  <c r="AQ103" i="15"/>
  <c r="AQ168" i="15" s="1"/>
  <c r="AQ232" i="15" s="1"/>
  <c r="AQ151" i="15"/>
  <c r="AQ216" i="15" s="1"/>
  <c r="AQ280" i="15" s="1"/>
  <c r="BJ23" i="15"/>
  <c r="AU151" i="15" s="1"/>
  <c r="AU216" i="15" s="1"/>
  <c r="AU280" i="15" s="1"/>
  <c r="AY29" i="15"/>
  <c r="V105" i="15" s="1"/>
  <c r="V170" i="15" s="1"/>
  <c r="V234" i="15" s="1"/>
  <c r="Q105" i="15"/>
  <c r="Q170" i="15" s="1"/>
  <c r="Q234" i="15" s="1"/>
  <c r="E279" i="15"/>
  <c r="D279" i="15" s="1"/>
  <c r="D215" i="15"/>
  <c r="N67" i="12"/>
  <c r="N136" i="12" s="1"/>
  <c r="P89" i="12"/>
  <c r="P158" i="12" s="1"/>
  <c r="P222" i="12" s="1"/>
  <c r="BA5" i="14"/>
  <c r="I113" i="14" s="1"/>
  <c r="I178" i="14" s="1"/>
  <c r="I242" i="14" s="1"/>
  <c r="E113" i="14"/>
  <c r="E178" i="14" s="1"/>
  <c r="E228" i="14"/>
  <c r="D228" i="14" s="1"/>
  <c r="D164" i="14"/>
  <c r="E276" i="14"/>
  <c r="D276" i="14" s="1"/>
  <c r="D212" i="14"/>
  <c r="O148" i="14"/>
  <c r="O213" i="14" s="1"/>
  <c r="O277" i="14" s="1"/>
  <c r="BJ8" i="14"/>
  <c r="S148" i="14" s="1"/>
  <c r="S213" i="14" s="1"/>
  <c r="S277" i="14" s="1"/>
  <c r="X107" i="14"/>
  <c r="X172" i="14" s="1"/>
  <c r="X236" i="14" s="1"/>
  <c r="AY15" i="14"/>
  <c r="AB107" i="14" s="1"/>
  <c r="AB172" i="14" s="1"/>
  <c r="AB236" i="14" s="1"/>
  <c r="Z138" i="14"/>
  <c r="Z203" i="14" s="1"/>
  <c r="Z267" i="14" s="1"/>
  <c r="BG34" i="14"/>
  <c r="AD138" i="14" s="1"/>
  <c r="AD203" i="14" s="1"/>
  <c r="AD267" i="14" s="1"/>
  <c r="BD36" i="14"/>
  <c r="AL124" i="14" s="1"/>
  <c r="AL189" i="14" s="1"/>
  <c r="AL253" i="14" s="1"/>
  <c r="BD37" i="14"/>
  <c r="AL125" i="14" s="1"/>
  <c r="AL190" i="14" s="1"/>
  <c r="AL254" i="14" s="1"/>
  <c r="AH125" i="14"/>
  <c r="AH190" i="14" s="1"/>
  <c r="AH254" i="14" s="1"/>
  <c r="AH155" i="14"/>
  <c r="AH220" i="14" s="1"/>
  <c r="AH284" i="14" s="1"/>
  <c r="BK39" i="14"/>
  <c r="AL155" i="14" s="1"/>
  <c r="AL220" i="14" s="1"/>
  <c r="AL284" i="14" s="1"/>
  <c r="AS103" i="14"/>
  <c r="AS168" i="14" s="1"/>
  <c r="AS232" i="14" s="1"/>
  <c r="AX43" i="14"/>
  <c r="AW103" i="14" s="1"/>
  <c r="AW168" i="14" s="1"/>
  <c r="AW232" i="14" s="1"/>
  <c r="AF101" i="14"/>
  <c r="AF166" i="14" s="1"/>
  <c r="AF230" i="14" s="1"/>
  <c r="O111" i="14"/>
  <c r="O176" i="14" s="1"/>
  <c r="O240" i="14" s="1"/>
  <c r="Q148" i="14"/>
  <c r="Q213" i="14" s="1"/>
  <c r="Q277" i="14" s="1"/>
  <c r="D186" i="14"/>
  <c r="E250" i="14"/>
  <c r="D250" i="14" s="1"/>
  <c r="AV11" i="15"/>
  <c r="S95" i="15" s="1"/>
  <c r="S160" i="15" s="1"/>
  <c r="S224" i="15" s="1"/>
  <c r="O95" i="15"/>
  <c r="O160" i="15" s="1"/>
  <c r="O224" i="15" s="1"/>
  <c r="O143" i="15"/>
  <c r="O208" i="15" s="1"/>
  <c r="O272" i="15" s="1"/>
  <c r="BH11" i="15"/>
  <c r="S143" i="15" s="1"/>
  <c r="S208" i="15" s="1"/>
  <c r="S272" i="15" s="1"/>
  <c r="AW13" i="15"/>
  <c r="AB97" i="15" s="1"/>
  <c r="AB162" i="15" s="1"/>
  <c r="AB226" i="15" s="1"/>
  <c r="X97" i="15"/>
  <c r="X162" i="15" s="1"/>
  <c r="X226" i="15" s="1"/>
  <c r="X145" i="15"/>
  <c r="X210" i="15" s="1"/>
  <c r="X274" i="15" s="1"/>
  <c r="BI13" i="15"/>
  <c r="AB145" i="15" s="1"/>
  <c r="AB210" i="15" s="1"/>
  <c r="AB274" i="15" s="1"/>
  <c r="AW19" i="15"/>
  <c r="AJ99" i="15" s="1"/>
  <c r="AJ164" i="15" s="1"/>
  <c r="AJ228" i="15" s="1"/>
  <c r="AF99" i="15"/>
  <c r="AF164" i="15" s="1"/>
  <c r="AF228" i="15" s="1"/>
  <c r="AF147" i="15"/>
  <c r="AF212" i="15" s="1"/>
  <c r="AF276" i="15" s="1"/>
  <c r="BI19" i="15"/>
  <c r="AJ147" i="15" s="1"/>
  <c r="AJ212" i="15" s="1"/>
  <c r="AJ276" i="15" s="1"/>
  <c r="AY23" i="15"/>
  <c r="AU107" i="15" s="1"/>
  <c r="AU172" i="15" s="1"/>
  <c r="AU236" i="15" s="1"/>
  <c r="AQ107" i="15"/>
  <c r="AQ172" i="15" s="1"/>
  <c r="AQ236" i="15" s="1"/>
  <c r="BB26" i="15"/>
  <c r="K118" i="15" s="1"/>
  <c r="K183" i="15" s="1"/>
  <c r="K247" i="15" s="1"/>
  <c r="G118" i="15"/>
  <c r="G183" i="15" s="1"/>
  <c r="G247" i="15" s="1"/>
  <c r="BA11" i="12"/>
  <c r="R64" i="12" s="1"/>
  <c r="R133" i="12" s="1"/>
  <c r="R197" i="12" s="1"/>
  <c r="AZ13" i="12"/>
  <c r="K58" i="12" s="1"/>
  <c r="I127" i="12" s="1"/>
  <c r="I191" i="12" s="1"/>
  <c r="AW17" i="12"/>
  <c r="T46" i="12" s="1"/>
  <c r="T115" i="12" s="1"/>
  <c r="T179" i="12" s="1"/>
  <c r="BA23" i="12"/>
  <c r="J61" i="12" s="1"/>
  <c r="H130" i="12" s="1"/>
  <c r="H194" i="12" s="1"/>
  <c r="BE26" i="12"/>
  <c r="J80" i="12" s="1"/>
  <c r="H149" i="12" s="1"/>
  <c r="H213" i="12" s="1"/>
  <c r="AW29" i="12"/>
  <c r="S47" i="12" s="1"/>
  <c r="S116" i="12" s="1"/>
  <c r="S180" i="12" s="1"/>
  <c r="BA32" i="12"/>
  <c r="L62" i="12" s="1"/>
  <c r="J131" i="12" s="1"/>
  <c r="J195" i="12" s="1"/>
  <c r="BE35" i="12"/>
  <c r="U77" i="12" s="1"/>
  <c r="U146" i="12" s="1"/>
  <c r="U210" i="12" s="1"/>
  <c r="AY36" i="12"/>
  <c r="U54" i="12" s="1"/>
  <c r="U123" i="12" s="1"/>
  <c r="U187" i="12" s="1"/>
  <c r="N50" i="12"/>
  <c r="N119" i="12" s="1"/>
  <c r="F75" i="12"/>
  <c r="D144" i="12" s="1"/>
  <c r="D208" i="12" s="1"/>
  <c r="P99" i="12"/>
  <c r="P168" i="12" s="1"/>
  <c r="P232" i="12" s="1"/>
  <c r="P108" i="12"/>
  <c r="P177" i="12" s="1"/>
  <c r="P241" i="12" s="1"/>
  <c r="B150" i="12"/>
  <c r="AY6" i="14"/>
  <c r="I106" i="14" s="1"/>
  <c r="I171" i="14" s="1"/>
  <c r="I235" i="14" s="1"/>
  <c r="AX8" i="14"/>
  <c r="S100" i="14" s="1"/>
  <c r="S165" i="14" s="1"/>
  <c r="S229" i="14" s="1"/>
  <c r="X124" i="14"/>
  <c r="X189" i="14" s="1"/>
  <c r="X253" i="14" s="1"/>
  <c r="BD12" i="14"/>
  <c r="AB124" i="14" s="1"/>
  <c r="AB189" i="14" s="1"/>
  <c r="AB253" i="14" s="1"/>
  <c r="BB15" i="14"/>
  <c r="AB119" i="14" s="1"/>
  <c r="AB184" i="14" s="1"/>
  <c r="AB248" i="14" s="1"/>
  <c r="X119" i="14"/>
  <c r="X184" i="14" s="1"/>
  <c r="X248" i="14" s="1"/>
  <c r="AZ19" i="14"/>
  <c r="AJ111" i="14" s="1"/>
  <c r="AJ176" i="14" s="1"/>
  <c r="AJ240" i="14" s="1"/>
  <c r="AF111" i="14"/>
  <c r="AF176" i="14" s="1"/>
  <c r="AF240" i="14" s="1"/>
  <c r="CE12" i="14"/>
  <c r="AQ145" i="14"/>
  <c r="AQ210" i="14" s="1"/>
  <c r="AQ274" i="14" s="1"/>
  <c r="BI21" i="14"/>
  <c r="AU145" i="14" s="1"/>
  <c r="AU210" i="14" s="1"/>
  <c r="AU274" i="14" s="1"/>
  <c r="AX27" i="14"/>
  <c r="K103" i="14" s="1"/>
  <c r="K168" i="14" s="1"/>
  <c r="K232" i="14" s="1"/>
  <c r="G103" i="14"/>
  <c r="G168" i="14" s="1"/>
  <c r="G232" i="14" s="1"/>
  <c r="Q100" i="14"/>
  <c r="Q165" i="14" s="1"/>
  <c r="Q229" i="14" s="1"/>
  <c r="AX28" i="14"/>
  <c r="V100" i="14" s="1"/>
  <c r="V165" i="14" s="1"/>
  <c r="V229" i="14" s="1"/>
  <c r="Q123" i="14"/>
  <c r="Q188" i="14" s="1"/>
  <c r="Q252" i="14" s="1"/>
  <c r="BC31" i="14"/>
  <c r="V123" i="14" s="1"/>
  <c r="V188" i="14" s="1"/>
  <c r="V252" i="14" s="1"/>
  <c r="AH119" i="14"/>
  <c r="AH184" i="14" s="1"/>
  <c r="AH248" i="14" s="1"/>
  <c r="BB39" i="14"/>
  <c r="AL119" i="14" s="1"/>
  <c r="AL184" i="14" s="1"/>
  <c r="AL248" i="14" s="1"/>
  <c r="BA43" i="14"/>
  <c r="AW115" i="14" s="1"/>
  <c r="AW180" i="14" s="1"/>
  <c r="AW244" i="14" s="1"/>
  <c r="AS115" i="14"/>
  <c r="AS180" i="14" s="1"/>
  <c r="AS244" i="14" s="1"/>
  <c r="AH100" i="14"/>
  <c r="AH165" i="14" s="1"/>
  <c r="AH229" i="14" s="1"/>
  <c r="O106" i="14"/>
  <c r="O171" i="14" s="1"/>
  <c r="O235" i="14" s="1"/>
  <c r="AS124" i="14"/>
  <c r="AS189" i="14" s="1"/>
  <c r="AS253" i="14" s="1"/>
  <c r="G151" i="14"/>
  <c r="G216" i="14" s="1"/>
  <c r="G280" i="14" s="1"/>
  <c r="D158" i="14"/>
  <c r="D179" i="14"/>
  <c r="D180" i="14"/>
  <c r="AZ4" i="15"/>
  <c r="I108" i="15" s="1"/>
  <c r="I173" i="15" s="1"/>
  <c r="I237" i="15" s="1"/>
  <c r="E108" i="15"/>
  <c r="E173" i="15" s="1"/>
  <c r="E238" i="15"/>
  <c r="D238" i="15" s="1"/>
  <c r="D174" i="15"/>
  <c r="AX10" i="15"/>
  <c r="S102" i="15" s="1"/>
  <c r="S167" i="15" s="1"/>
  <c r="S231" i="15" s="1"/>
  <c r="O102" i="15"/>
  <c r="O167" i="15" s="1"/>
  <c r="O231" i="15" s="1"/>
  <c r="BJ10" i="15"/>
  <c r="S150" i="15" s="1"/>
  <c r="S215" i="15" s="1"/>
  <c r="S279" i="15" s="1"/>
  <c r="O150" i="15"/>
  <c r="O215" i="15" s="1"/>
  <c r="O279" i="15" s="1"/>
  <c r="J80" i="15"/>
  <c r="J78" i="15"/>
  <c r="J76" i="15"/>
  <c r="J74" i="15"/>
  <c r="J72" i="15"/>
  <c r="J70" i="15"/>
  <c r="J68" i="15"/>
  <c r="J66" i="15"/>
  <c r="J64" i="15"/>
  <c r="J62" i="15"/>
  <c r="J60" i="15"/>
  <c r="J58" i="15"/>
  <c r="J56" i="15"/>
  <c r="J54" i="15"/>
  <c r="J52" i="15"/>
  <c r="I79" i="15"/>
  <c r="O74" i="15"/>
  <c r="N72" i="15"/>
  <c r="K70" i="15"/>
  <c r="I68" i="15"/>
  <c r="O63" i="15"/>
  <c r="N61" i="15"/>
  <c r="K59" i="15"/>
  <c r="J57" i="15"/>
  <c r="I55" i="15"/>
  <c r="N76" i="15"/>
  <c r="I74" i="15"/>
  <c r="O71" i="15"/>
  <c r="K69" i="15"/>
  <c r="I67" i="15"/>
  <c r="O64" i="15"/>
  <c r="K62" i="15"/>
  <c r="N57" i="15"/>
  <c r="J55" i="15"/>
  <c r="O52" i="15"/>
  <c r="O78" i="15"/>
  <c r="K76" i="15"/>
  <c r="N71" i="15"/>
  <c r="J69" i="15"/>
  <c r="N64" i="15"/>
  <c r="I62" i="15"/>
  <c r="O59" i="15"/>
  <c r="K57" i="15"/>
  <c r="N52" i="15"/>
  <c r="N78" i="15"/>
  <c r="I76" i="15"/>
  <c r="O73" i="15"/>
  <c r="K71" i="15"/>
  <c r="I69" i="15"/>
  <c r="O66" i="15"/>
  <c r="K64" i="15"/>
  <c r="N59" i="15"/>
  <c r="I57" i="15"/>
  <c r="O54" i="15"/>
  <c r="K52" i="15"/>
  <c r="O80" i="15"/>
  <c r="K78" i="15"/>
  <c r="N73" i="15"/>
  <c r="J71" i="15"/>
  <c r="N66" i="15"/>
  <c r="I64" i="15"/>
  <c r="O61" i="15"/>
  <c r="J59" i="15"/>
  <c r="N54" i="15"/>
  <c r="I52" i="15"/>
  <c r="N80" i="15"/>
  <c r="I78" i="15"/>
  <c r="O75" i="15"/>
  <c r="K73" i="15"/>
  <c r="I71" i="15"/>
  <c r="O68" i="15"/>
  <c r="K66" i="15"/>
  <c r="K61" i="15"/>
  <c r="I59" i="15"/>
  <c r="O56" i="15"/>
  <c r="K54" i="15"/>
  <c r="I80" i="15"/>
  <c r="O76" i="15"/>
  <c r="K72" i="15"/>
  <c r="N63" i="15"/>
  <c r="K60" i="15"/>
  <c r="N51" i="15"/>
  <c r="N75" i="15"/>
  <c r="I72" i="15"/>
  <c r="O67" i="15"/>
  <c r="K63" i="15"/>
  <c r="I60" i="15"/>
  <c r="O55" i="15"/>
  <c r="K51" i="15"/>
  <c r="O79" i="15"/>
  <c r="K75" i="15"/>
  <c r="N67" i="15"/>
  <c r="J63" i="15"/>
  <c r="N55" i="15"/>
  <c r="J51" i="15"/>
  <c r="N79" i="15"/>
  <c r="J75" i="15"/>
  <c r="K67" i="15"/>
  <c r="I63" i="15"/>
  <c r="O58" i="15"/>
  <c r="K55" i="15"/>
  <c r="I51" i="15"/>
  <c r="O77" i="15"/>
  <c r="K74" i="15"/>
  <c r="N65" i="15"/>
  <c r="J61" i="15"/>
  <c r="N53" i="15"/>
  <c r="N77" i="15"/>
  <c r="N70" i="15"/>
  <c r="N56" i="15"/>
  <c r="K77" i="15"/>
  <c r="I70" i="15"/>
  <c r="K56" i="15"/>
  <c r="J77" i="15"/>
  <c r="O69" i="15"/>
  <c r="O62" i="15"/>
  <c r="I56" i="15"/>
  <c r="I77" i="15"/>
  <c r="N69" i="15"/>
  <c r="N62" i="15"/>
  <c r="I54" i="15"/>
  <c r="I75" i="15"/>
  <c r="N68" i="15"/>
  <c r="I61" i="15"/>
  <c r="J73" i="15"/>
  <c r="I66" i="15"/>
  <c r="N60" i="15"/>
  <c r="J53" i="15"/>
  <c r="K80" i="15"/>
  <c r="I73" i="15"/>
  <c r="O65" i="15"/>
  <c r="N58" i="15"/>
  <c r="I53" i="15"/>
  <c r="K65" i="15"/>
  <c r="J65" i="15"/>
  <c r="K79" i="15"/>
  <c r="I65" i="15"/>
  <c r="J79" i="15"/>
  <c r="O60" i="15"/>
  <c r="O57" i="15"/>
  <c r="Q45" i="12"/>
  <c r="Q114" i="12" s="1"/>
  <c r="Q178" i="12" s="1"/>
  <c r="P68" i="12"/>
  <c r="P137" i="12" s="1"/>
  <c r="P201" i="12" s="1"/>
  <c r="Q81" i="12"/>
  <c r="Q150" i="12" s="1"/>
  <c r="Q214" i="12" s="1"/>
  <c r="N82" i="12"/>
  <c r="N151" i="12" s="1"/>
  <c r="F98" i="12"/>
  <c r="D167" i="12" s="1"/>
  <c r="D231" i="12" s="1"/>
  <c r="Z395" i="12"/>
  <c r="E258" i="14"/>
  <c r="D258" i="14" s="1"/>
  <c r="D194" i="14"/>
  <c r="O98" i="14"/>
  <c r="O163" i="14" s="1"/>
  <c r="O227" i="14" s="1"/>
  <c r="AW10" i="14"/>
  <c r="S98" i="14" s="1"/>
  <c r="S163" i="14" s="1"/>
  <c r="S227" i="14" s="1"/>
  <c r="X122" i="14"/>
  <c r="X187" i="14" s="1"/>
  <c r="X251" i="14" s="1"/>
  <c r="BC14" i="14"/>
  <c r="AB122" i="14" s="1"/>
  <c r="AB187" i="14" s="1"/>
  <c r="AB251" i="14" s="1"/>
  <c r="BB14" i="14"/>
  <c r="AB118" i="14" s="1"/>
  <c r="AB183" i="14" s="1"/>
  <c r="AB247" i="14" s="1"/>
  <c r="AF116" i="14"/>
  <c r="AF181" i="14" s="1"/>
  <c r="AF245" i="14" s="1"/>
  <c r="BB16" i="14"/>
  <c r="AJ116" i="14" s="1"/>
  <c r="AJ181" i="14" s="1"/>
  <c r="AJ245" i="14" s="1"/>
  <c r="AF114" i="14"/>
  <c r="AF179" i="14" s="1"/>
  <c r="AF243" i="14" s="1"/>
  <c r="BA18" i="14"/>
  <c r="AJ114" i="14" s="1"/>
  <c r="AJ179" i="14" s="1"/>
  <c r="AJ243" i="14" s="1"/>
  <c r="AW19" i="14"/>
  <c r="AJ99" i="14" s="1"/>
  <c r="AJ164" i="14" s="1"/>
  <c r="AJ228" i="14" s="1"/>
  <c r="G128" i="14"/>
  <c r="G193" i="14" s="1"/>
  <c r="G257" i="14" s="1"/>
  <c r="BE24" i="14"/>
  <c r="K128" i="14" s="1"/>
  <c r="K193" i="14" s="1"/>
  <c r="K257" i="14" s="1"/>
  <c r="Q93" i="14"/>
  <c r="Q158" i="14" s="1"/>
  <c r="Q222" i="14" s="1"/>
  <c r="AV29" i="14"/>
  <c r="V93" i="14" s="1"/>
  <c r="V158" i="14" s="1"/>
  <c r="V222" i="14" s="1"/>
  <c r="BD31" i="14"/>
  <c r="V127" i="14" s="1"/>
  <c r="V192" i="14" s="1"/>
  <c r="V256" i="14" s="1"/>
  <c r="AY34" i="14"/>
  <c r="AD106" i="14" s="1"/>
  <c r="AD171" i="14" s="1"/>
  <c r="AD235" i="14" s="1"/>
  <c r="Z106" i="14"/>
  <c r="Z171" i="14" s="1"/>
  <c r="Z235" i="14" s="1"/>
  <c r="BD38" i="14"/>
  <c r="AL126" i="14" s="1"/>
  <c r="AL191" i="14" s="1"/>
  <c r="AL255" i="14" s="1"/>
  <c r="BC40" i="14"/>
  <c r="AW120" i="14" s="1"/>
  <c r="AW185" i="14" s="1"/>
  <c r="AW249" i="14" s="1"/>
  <c r="G97" i="14"/>
  <c r="G162" i="14" s="1"/>
  <c r="G226" i="14" s="1"/>
  <c r="E231" i="14"/>
  <c r="D231" i="14" s="1"/>
  <c r="D167" i="14"/>
  <c r="AQ120" i="14"/>
  <c r="AQ185" i="14" s="1"/>
  <c r="AQ249" i="14" s="1"/>
  <c r="E254" i="14"/>
  <c r="D254" i="14" s="1"/>
  <c r="D190" i="14"/>
  <c r="X130" i="14"/>
  <c r="X195" i="14" s="1"/>
  <c r="X259" i="14" s="1"/>
  <c r="AS144" i="14"/>
  <c r="AS209" i="14" s="1"/>
  <c r="AS273" i="14" s="1"/>
  <c r="D173" i="14"/>
  <c r="E241" i="15"/>
  <c r="D241" i="15" s="1"/>
  <c r="D177" i="15"/>
  <c r="AY8" i="15"/>
  <c r="S104" i="15" s="1"/>
  <c r="S169" i="15" s="1"/>
  <c r="S233" i="15" s="1"/>
  <c r="O104" i="15"/>
  <c r="O169" i="15" s="1"/>
  <c r="O233" i="15" s="1"/>
  <c r="O152" i="15"/>
  <c r="O217" i="15" s="1"/>
  <c r="O281" i="15" s="1"/>
  <c r="BK8" i="15"/>
  <c r="S152" i="15" s="1"/>
  <c r="S217" i="15" s="1"/>
  <c r="S281" i="15" s="1"/>
  <c r="O106" i="15"/>
  <c r="O171" i="15" s="1"/>
  <c r="O235" i="15" s="1"/>
  <c r="AY10" i="15"/>
  <c r="S106" i="15" s="1"/>
  <c r="S171" i="15" s="1"/>
  <c r="S235" i="15" s="1"/>
  <c r="BK10" i="15"/>
  <c r="S154" i="15" s="1"/>
  <c r="S219" i="15" s="1"/>
  <c r="S283" i="15" s="1"/>
  <c r="O154" i="15"/>
  <c r="O219" i="15" s="1"/>
  <c r="O283" i="15" s="1"/>
  <c r="AF112" i="15"/>
  <c r="AF177" i="15" s="1"/>
  <c r="AF241" i="15" s="1"/>
  <c r="BA16" i="15"/>
  <c r="AJ112" i="15" s="1"/>
  <c r="AJ177" i="15" s="1"/>
  <c r="AJ241" i="15" s="1"/>
  <c r="O51" i="15"/>
  <c r="E245" i="15"/>
  <c r="D245" i="15" s="1"/>
  <c r="D181" i="15"/>
  <c r="E269" i="15"/>
  <c r="D269" i="15" s="1"/>
  <c r="D205" i="15"/>
  <c r="Q50" i="12"/>
  <c r="Q119" i="12" s="1"/>
  <c r="Q183" i="12" s="1"/>
  <c r="H57" i="12"/>
  <c r="F126" i="12" s="1"/>
  <c r="F190" i="12" s="1"/>
  <c r="E94" i="12"/>
  <c r="C163" i="12" s="1"/>
  <c r="O100" i="12"/>
  <c r="O169" i="12" s="1"/>
  <c r="O233" i="12" s="1"/>
  <c r="S402" i="12"/>
  <c r="X401" i="12"/>
  <c r="Z400" i="12"/>
  <c r="W394" i="12"/>
  <c r="Y393" i="12"/>
  <c r="S388" i="12"/>
  <c r="X387" i="12"/>
  <c r="Z386" i="12"/>
  <c r="Y384" i="12"/>
  <c r="S395" i="12"/>
  <c r="S394" i="12"/>
  <c r="W393" i="12"/>
  <c r="X392" i="12"/>
  <c r="X391" i="12"/>
  <c r="Y390" i="12"/>
  <c r="Z389" i="12"/>
  <c r="Z384" i="12"/>
  <c r="Z383" i="12"/>
  <c r="S393" i="12"/>
  <c r="W392" i="12"/>
  <c r="W391" i="12"/>
  <c r="X390" i="12"/>
  <c r="Y389" i="12"/>
  <c r="Z388" i="12"/>
  <c r="X384" i="12"/>
  <c r="Y383" i="12"/>
  <c r="Z382" i="12"/>
  <c r="Z405" i="12"/>
  <c r="S392" i="12"/>
  <c r="S391" i="12"/>
  <c r="W390" i="12"/>
  <c r="X389" i="12"/>
  <c r="Y388" i="12"/>
  <c r="Z387" i="12"/>
  <c r="W384" i="12"/>
  <c r="X383" i="12"/>
  <c r="Y382" i="12"/>
  <c r="Y405" i="12"/>
  <c r="Z404" i="12"/>
  <c r="Z403" i="12"/>
  <c r="S390" i="12"/>
  <c r="W389" i="12"/>
  <c r="X388" i="12"/>
  <c r="Y387" i="12"/>
  <c r="Y386" i="12"/>
  <c r="S384" i="12"/>
  <c r="W383" i="12"/>
  <c r="X382" i="12"/>
  <c r="X405" i="12"/>
  <c r="Y404" i="12"/>
  <c r="Y403" i="12"/>
  <c r="Z402" i="12"/>
  <c r="S389" i="12"/>
  <c r="W388" i="12"/>
  <c r="W387" i="12"/>
  <c r="X386" i="12"/>
  <c r="S383" i="12"/>
  <c r="W382" i="12"/>
  <c r="S404" i="12"/>
  <c r="S403" i="12"/>
  <c r="W402" i="12"/>
  <c r="W401" i="12"/>
  <c r="X400" i="12"/>
  <c r="Z396" i="12"/>
  <c r="S386" i="12"/>
  <c r="Y400" i="12"/>
  <c r="X402" i="12"/>
  <c r="W404" i="12"/>
  <c r="BG5" i="14"/>
  <c r="I137" i="14" s="1"/>
  <c r="I202" i="14" s="1"/>
  <c r="I266" i="14" s="1"/>
  <c r="E126" i="14"/>
  <c r="E191" i="14" s="1"/>
  <c r="BD6" i="14"/>
  <c r="I126" i="14" s="1"/>
  <c r="I191" i="14" s="1"/>
  <c r="I255" i="14" s="1"/>
  <c r="BB6" i="14"/>
  <c r="I118" i="14" s="1"/>
  <c r="I183" i="14" s="1"/>
  <c r="I247" i="14" s="1"/>
  <c r="BC8" i="14"/>
  <c r="S120" i="14" s="1"/>
  <c r="S185" i="14" s="1"/>
  <c r="S249" i="14" s="1"/>
  <c r="O120" i="14"/>
  <c r="O185" i="14" s="1"/>
  <c r="O249" i="14" s="1"/>
  <c r="AQ112" i="14"/>
  <c r="AQ177" i="14" s="1"/>
  <c r="AQ241" i="14" s="1"/>
  <c r="BA20" i="14"/>
  <c r="AU112" i="14" s="1"/>
  <c r="AU177" i="14" s="1"/>
  <c r="AU241" i="14" s="1"/>
  <c r="BF24" i="14"/>
  <c r="K132" i="14" s="1"/>
  <c r="K197" i="14" s="1"/>
  <c r="K261" i="14" s="1"/>
  <c r="G132" i="14"/>
  <c r="G197" i="14" s="1"/>
  <c r="G261" i="14" s="1"/>
  <c r="G118" i="14"/>
  <c r="G183" i="14" s="1"/>
  <c r="G247" i="14" s="1"/>
  <c r="BB26" i="14"/>
  <c r="K118" i="14" s="1"/>
  <c r="K183" i="14" s="1"/>
  <c r="K247" i="14" s="1"/>
  <c r="Z107" i="14"/>
  <c r="Z172" i="14" s="1"/>
  <c r="Z236" i="14" s="1"/>
  <c r="AY35" i="14"/>
  <c r="AD107" i="14" s="1"/>
  <c r="AD172" i="14" s="1"/>
  <c r="AD236" i="14" s="1"/>
  <c r="AW36" i="14"/>
  <c r="AL96" i="14" s="1"/>
  <c r="AL161" i="14" s="1"/>
  <c r="AL225" i="14" s="1"/>
  <c r="AH96" i="14"/>
  <c r="AH161" i="14" s="1"/>
  <c r="AH225" i="14" s="1"/>
  <c r="BI36" i="14"/>
  <c r="AL144" i="14" s="1"/>
  <c r="AL209" i="14" s="1"/>
  <c r="AL273" i="14" s="1"/>
  <c r="AH144" i="14"/>
  <c r="AH209" i="14" s="1"/>
  <c r="AH273" i="14" s="1"/>
  <c r="AS123" i="14"/>
  <c r="AS188" i="14" s="1"/>
  <c r="AS252" i="14" s="1"/>
  <c r="BC43" i="14"/>
  <c r="AW123" i="14" s="1"/>
  <c r="AW188" i="14" s="1"/>
  <c r="AW252" i="14" s="1"/>
  <c r="O96" i="14"/>
  <c r="O161" i="14" s="1"/>
  <c r="O225" i="14" s="1"/>
  <c r="Z110" i="14"/>
  <c r="Z175" i="14" s="1"/>
  <c r="Z239" i="14" s="1"/>
  <c r="Q118" i="14"/>
  <c r="Q183" i="14" s="1"/>
  <c r="Q247" i="14" s="1"/>
  <c r="AQ143" i="14"/>
  <c r="AQ208" i="14" s="1"/>
  <c r="AQ272" i="14" s="1"/>
  <c r="BC14" i="15"/>
  <c r="AB122" i="15" s="1"/>
  <c r="AB187" i="15" s="1"/>
  <c r="AB251" i="15" s="1"/>
  <c r="X122" i="15"/>
  <c r="X187" i="15" s="1"/>
  <c r="X251" i="15" s="1"/>
  <c r="Z98" i="15"/>
  <c r="Z163" i="15" s="1"/>
  <c r="Z227" i="15" s="1"/>
  <c r="AW34" i="15"/>
  <c r="AD98" i="15" s="1"/>
  <c r="AD163" i="15" s="1"/>
  <c r="AD227" i="15" s="1"/>
  <c r="BI34" i="15"/>
  <c r="AD146" i="15" s="1"/>
  <c r="AD211" i="15" s="1"/>
  <c r="AD275" i="15" s="1"/>
  <c r="Z146" i="15"/>
  <c r="Z211" i="15" s="1"/>
  <c r="Z275" i="15" s="1"/>
  <c r="AY35" i="15"/>
  <c r="AD107" i="15" s="1"/>
  <c r="AD172" i="15" s="1"/>
  <c r="AD236" i="15" s="1"/>
  <c r="Z107" i="15"/>
  <c r="Z172" i="15" s="1"/>
  <c r="Z236" i="15" s="1"/>
  <c r="Z155" i="15"/>
  <c r="Z220" i="15" s="1"/>
  <c r="Z284" i="15" s="1"/>
  <c r="BK35" i="15"/>
  <c r="AD155" i="15" s="1"/>
  <c r="AD220" i="15" s="1"/>
  <c r="AD284" i="15" s="1"/>
  <c r="K53" i="15"/>
  <c r="E230" i="15"/>
  <c r="D230" i="15" s="1"/>
  <c r="D166" i="15"/>
  <c r="AQ155" i="15"/>
  <c r="AQ220" i="15" s="1"/>
  <c r="AQ284" i="15" s="1"/>
  <c r="BD34" i="12"/>
  <c r="L76" i="12" s="1"/>
  <c r="J145" i="12" s="1"/>
  <c r="J209" i="12" s="1"/>
  <c r="BH37" i="12"/>
  <c r="U91" i="12" s="1"/>
  <c r="U160" i="12" s="1"/>
  <c r="U224" i="12" s="1"/>
  <c r="G49" i="12"/>
  <c r="E118" i="12" s="1"/>
  <c r="E182" i="12" s="1"/>
  <c r="E99" i="12"/>
  <c r="C168" i="12" s="1"/>
  <c r="E96" i="14"/>
  <c r="E161" i="14" s="1"/>
  <c r="AW4" i="14"/>
  <c r="I96" i="14" s="1"/>
  <c r="I161" i="14" s="1"/>
  <c r="I225" i="14" s="1"/>
  <c r="BE6" i="14"/>
  <c r="I130" i="14" s="1"/>
  <c r="I195" i="14" s="1"/>
  <c r="I259" i="14" s="1"/>
  <c r="E130" i="14"/>
  <c r="E195" i="14" s="1"/>
  <c r="O154" i="14"/>
  <c r="O219" i="14" s="1"/>
  <c r="O283" i="14" s="1"/>
  <c r="BK10" i="14"/>
  <c r="S154" i="14" s="1"/>
  <c r="S219" i="14" s="1"/>
  <c r="S283" i="14" s="1"/>
  <c r="AZ26" i="14"/>
  <c r="K110" i="14" s="1"/>
  <c r="K175" i="14" s="1"/>
  <c r="K239" i="14" s="1"/>
  <c r="Q94" i="14"/>
  <c r="Q159" i="14" s="1"/>
  <c r="Q223" i="14" s="1"/>
  <c r="AV30" i="14"/>
  <c r="V94" i="14" s="1"/>
  <c r="V159" i="14" s="1"/>
  <c r="V223" i="14" s="1"/>
  <c r="BH30" i="14"/>
  <c r="V142" i="14" s="1"/>
  <c r="V207" i="14" s="1"/>
  <c r="V271" i="14" s="1"/>
  <c r="AH148" i="14"/>
  <c r="AH213" i="14" s="1"/>
  <c r="AH277" i="14" s="1"/>
  <c r="BJ36" i="14"/>
  <c r="AL148" i="14" s="1"/>
  <c r="AL213" i="14" s="1"/>
  <c r="AL277" i="14" s="1"/>
  <c r="AH101" i="14"/>
  <c r="AH166" i="14" s="1"/>
  <c r="AH230" i="14" s="1"/>
  <c r="AX37" i="14"/>
  <c r="AL101" i="14" s="1"/>
  <c r="AL166" i="14" s="1"/>
  <c r="AL230" i="14" s="1"/>
  <c r="BJ37" i="14"/>
  <c r="AL149" i="14" s="1"/>
  <c r="AL214" i="14" s="1"/>
  <c r="AL278" i="14" s="1"/>
  <c r="BD42" i="14"/>
  <c r="AW126" i="14" s="1"/>
  <c r="AW191" i="14" s="1"/>
  <c r="AW255" i="14" s="1"/>
  <c r="E246" i="14"/>
  <c r="D246" i="14" s="1"/>
  <c r="D182" i="14"/>
  <c r="AS127" i="14"/>
  <c r="AS192" i="14" s="1"/>
  <c r="AS256" i="14" s="1"/>
  <c r="E141" i="14"/>
  <c r="E206" i="14" s="1"/>
  <c r="BA8" i="15"/>
  <c r="S112" i="15" s="1"/>
  <c r="S177" i="15" s="1"/>
  <c r="S241" i="15" s="1"/>
  <c r="O112" i="15"/>
  <c r="O177" i="15" s="1"/>
  <c r="O241" i="15" s="1"/>
  <c r="Q138" i="15"/>
  <c r="Q203" i="15" s="1"/>
  <c r="Q267" i="15" s="1"/>
  <c r="BG30" i="15"/>
  <c r="V138" i="15" s="1"/>
  <c r="V203" i="15" s="1"/>
  <c r="V267" i="15" s="1"/>
  <c r="AX34" i="15"/>
  <c r="AD102" i="15" s="1"/>
  <c r="AD167" i="15" s="1"/>
  <c r="AD231" i="15" s="1"/>
  <c r="Z102" i="15"/>
  <c r="Z167" i="15" s="1"/>
  <c r="Z231" i="15" s="1"/>
  <c r="BJ34" i="15"/>
  <c r="AD150" i="15" s="1"/>
  <c r="AD215" i="15" s="1"/>
  <c r="AD279" i="15" s="1"/>
  <c r="Z150" i="15"/>
  <c r="Z215" i="15" s="1"/>
  <c r="Z279" i="15" s="1"/>
  <c r="AX40" i="15"/>
  <c r="AW100" i="15" s="1"/>
  <c r="AW165" i="15" s="1"/>
  <c r="AW229" i="15" s="1"/>
  <c r="AS100" i="15"/>
  <c r="AS165" i="15" s="1"/>
  <c r="AS229" i="15" s="1"/>
  <c r="BJ40" i="15"/>
  <c r="AW148" i="15" s="1"/>
  <c r="AW213" i="15" s="1"/>
  <c r="AW277" i="15" s="1"/>
  <c r="AS148" i="15"/>
  <c r="AS213" i="15" s="1"/>
  <c r="AS277" i="15" s="1"/>
  <c r="AS94" i="15"/>
  <c r="AS159" i="15" s="1"/>
  <c r="AS223" i="15" s="1"/>
  <c r="AV42" i="15"/>
  <c r="AW94" i="15" s="1"/>
  <c r="AW159" i="15" s="1"/>
  <c r="AW223" i="15" s="1"/>
  <c r="AS142" i="15"/>
  <c r="AS207" i="15" s="1"/>
  <c r="AS271" i="15" s="1"/>
  <c r="BH42" i="15"/>
  <c r="AW142" i="15" s="1"/>
  <c r="AW207" i="15" s="1"/>
  <c r="AW271" i="15" s="1"/>
  <c r="O53" i="15"/>
  <c r="E264" i="15"/>
  <c r="D264" i="15" s="1"/>
  <c r="D200" i="15"/>
  <c r="BA38" i="12"/>
  <c r="U64" i="12" s="1"/>
  <c r="U133" i="12" s="1"/>
  <c r="U197" i="12" s="1"/>
  <c r="P51" i="12"/>
  <c r="P120" i="12" s="1"/>
  <c r="P184" i="12" s="1"/>
  <c r="F81" i="12"/>
  <c r="D150" i="12" s="1"/>
  <c r="D214" i="12" s="1"/>
  <c r="Z390" i="12"/>
  <c r="Y392" i="12"/>
  <c r="X394" i="12"/>
  <c r="S396" i="12"/>
  <c r="AX4" i="14"/>
  <c r="I100" i="14" s="1"/>
  <c r="I165" i="14" s="1"/>
  <c r="I229" i="14" s="1"/>
  <c r="E100" i="14"/>
  <c r="E165" i="14" s="1"/>
  <c r="E148" i="14"/>
  <c r="E213" i="14" s="1"/>
  <c r="BJ4" i="14"/>
  <c r="I148" i="14" s="1"/>
  <c r="I213" i="14" s="1"/>
  <c r="I277" i="14" s="1"/>
  <c r="D192" i="14"/>
  <c r="E256" i="14"/>
  <c r="D256" i="14" s="1"/>
  <c r="AZ10" i="14"/>
  <c r="S110" i="14" s="1"/>
  <c r="S175" i="14" s="1"/>
  <c r="S239" i="14" s="1"/>
  <c r="O110" i="14"/>
  <c r="O175" i="14" s="1"/>
  <c r="O239" i="14" s="1"/>
  <c r="CE7" i="14"/>
  <c r="BD16" i="14"/>
  <c r="AJ124" i="14" s="1"/>
  <c r="AJ189" i="14" s="1"/>
  <c r="AJ253" i="14" s="1"/>
  <c r="AF126" i="14"/>
  <c r="AF191" i="14" s="1"/>
  <c r="AF255" i="14" s="1"/>
  <c r="BD18" i="14"/>
  <c r="AJ126" i="14" s="1"/>
  <c r="AJ191" i="14" s="1"/>
  <c r="AJ255" i="14" s="1"/>
  <c r="AQ113" i="14"/>
  <c r="AQ178" i="14" s="1"/>
  <c r="AQ242" i="14" s="1"/>
  <c r="BA21" i="14"/>
  <c r="AU113" i="14" s="1"/>
  <c r="AU178" i="14" s="1"/>
  <c r="AU242" i="14" s="1"/>
  <c r="G126" i="14"/>
  <c r="G191" i="14" s="1"/>
  <c r="G255" i="14" s="1"/>
  <c r="BD26" i="14"/>
  <c r="K126" i="14" s="1"/>
  <c r="K191" i="14" s="1"/>
  <c r="K255" i="14" s="1"/>
  <c r="AW30" i="14"/>
  <c r="V98" i="14" s="1"/>
  <c r="V163" i="14" s="1"/>
  <c r="V227" i="14" s="1"/>
  <c r="Q98" i="14"/>
  <c r="Q163" i="14" s="1"/>
  <c r="Q227" i="14" s="1"/>
  <c r="BI30" i="14"/>
  <c r="V146" i="14" s="1"/>
  <c r="V211" i="14" s="1"/>
  <c r="V275" i="14" s="1"/>
  <c r="Q146" i="14"/>
  <c r="Q211" i="14" s="1"/>
  <c r="Q275" i="14" s="1"/>
  <c r="Q139" i="14"/>
  <c r="Q204" i="14" s="1"/>
  <c r="Q268" i="14" s="1"/>
  <c r="BG31" i="14"/>
  <c r="V139" i="14" s="1"/>
  <c r="V204" i="14" s="1"/>
  <c r="V268" i="14" s="1"/>
  <c r="Z129" i="14"/>
  <c r="Z194" i="14" s="1"/>
  <c r="Z258" i="14" s="1"/>
  <c r="BE33" i="14"/>
  <c r="AD129" i="14" s="1"/>
  <c r="AD194" i="14" s="1"/>
  <c r="AD258" i="14" s="1"/>
  <c r="AH94" i="14"/>
  <c r="AH159" i="14" s="1"/>
  <c r="AH223" i="14" s="1"/>
  <c r="AV38" i="14"/>
  <c r="AL94" i="14" s="1"/>
  <c r="AL159" i="14" s="1"/>
  <c r="AL223" i="14" s="1"/>
  <c r="AS130" i="14"/>
  <c r="AS195" i="14" s="1"/>
  <c r="AS259" i="14" s="1"/>
  <c r="BE42" i="14"/>
  <c r="AW130" i="14" s="1"/>
  <c r="AW195" i="14" s="1"/>
  <c r="AW259" i="14" s="1"/>
  <c r="O121" i="14"/>
  <c r="O186" i="14" s="1"/>
  <c r="O250" i="14" s="1"/>
  <c r="Q94" i="15"/>
  <c r="Q159" i="15" s="1"/>
  <c r="Q223" i="15" s="1"/>
  <c r="AV30" i="15"/>
  <c r="V94" i="15" s="1"/>
  <c r="V159" i="15" s="1"/>
  <c r="V223" i="15" s="1"/>
  <c r="BH30" i="15"/>
  <c r="V142" i="15" s="1"/>
  <c r="V207" i="15" s="1"/>
  <c r="V271" i="15" s="1"/>
  <c r="Q142" i="15"/>
  <c r="Q207" i="15" s="1"/>
  <c r="Q271" i="15" s="1"/>
  <c r="I58" i="15"/>
  <c r="AX10" i="14"/>
  <c r="S102" i="14" s="1"/>
  <c r="S167" i="14" s="1"/>
  <c r="S231" i="14" s="1"/>
  <c r="O102" i="14"/>
  <c r="O167" i="14" s="1"/>
  <c r="O231" i="14" s="1"/>
  <c r="G95" i="14"/>
  <c r="G160" i="14" s="1"/>
  <c r="G224" i="14" s="1"/>
  <c r="E105" i="14"/>
  <c r="E170" i="14" s="1"/>
  <c r="AQ117" i="14"/>
  <c r="AQ182" i="14" s="1"/>
  <c r="AQ246" i="14" s="1"/>
  <c r="O124" i="14"/>
  <c r="O189" i="14" s="1"/>
  <c r="O253" i="14" s="1"/>
  <c r="Z128" i="14"/>
  <c r="Z193" i="14" s="1"/>
  <c r="Z257" i="14" s="1"/>
  <c r="E134" i="14"/>
  <c r="E199" i="14" s="1"/>
  <c r="Z145" i="14"/>
  <c r="Z210" i="14" s="1"/>
  <c r="Z274" i="14" s="1"/>
  <c r="X152" i="14"/>
  <c r="X217" i="14" s="1"/>
  <c r="X281" i="14" s="1"/>
  <c r="AZ8" i="15"/>
  <c r="S108" i="15" s="1"/>
  <c r="S173" i="15" s="1"/>
  <c r="S237" i="15" s="1"/>
  <c r="O108" i="15"/>
  <c r="O173" i="15" s="1"/>
  <c r="O237" i="15" s="1"/>
  <c r="AZ16" i="15"/>
  <c r="AJ108" i="15" s="1"/>
  <c r="AJ173" i="15" s="1"/>
  <c r="AJ237" i="15" s="1"/>
  <c r="AF108" i="15"/>
  <c r="AF173" i="15" s="1"/>
  <c r="AF237" i="15" s="1"/>
  <c r="BA18" i="15"/>
  <c r="AJ114" i="15" s="1"/>
  <c r="AJ179" i="15" s="1"/>
  <c r="AJ243" i="15" s="1"/>
  <c r="AF114" i="15"/>
  <c r="AF179" i="15" s="1"/>
  <c r="AF243" i="15" s="1"/>
  <c r="D163" i="15"/>
  <c r="E227" i="15"/>
  <c r="D227" i="15" s="1"/>
  <c r="Z104" i="14"/>
  <c r="Z169" i="14" s="1"/>
  <c r="Z233" i="14" s="1"/>
  <c r="Q122" i="14"/>
  <c r="Q187" i="14" s="1"/>
  <c r="Q251" i="14" s="1"/>
  <c r="AH123" i="14"/>
  <c r="AH188" i="14" s="1"/>
  <c r="AH252" i="14" s="1"/>
  <c r="AS125" i="14"/>
  <c r="AS190" i="14" s="1"/>
  <c r="AS254" i="14" s="1"/>
  <c r="AF140" i="14"/>
  <c r="AF205" i="14" s="1"/>
  <c r="AF269" i="14" s="1"/>
  <c r="AH152" i="14"/>
  <c r="AH217" i="14" s="1"/>
  <c r="AH281" i="14" s="1"/>
  <c r="BD14" i="15"/>
  <c r="AB126" i="15" s="1"/>
  <c r="AB191" i="15" s="1"/>
  <c r="AB255" i="15" s="1"/>
  <c r="X126" i="15"/>
  <c r="X191" i="15" s="1"/>
  <c r="X255" i="15" s="1"/>
  <c r="BA27" i="15"/>
  <c r="K115" i="15" s="1"/>
  <c r="K180" i="15" s="1"/>
  <c r="K244" i="15" s="1"/>
  <c r="G115" i="15"/>
  <c r="G180" i="15" s="1"/>
  <c r="G244" i="15" s="1"/>
  <c r="BA28" i="15"/>
  <c r="V112" i="15" s="1"/>
  <c r="V177" i="15" s="1"/>
  <c r="V241" i="15" s="1"/>
  <c r="Q112" i="15"/>
  <c r="Q177" i="15" s="1"/>
  <c r="Q241" i="15" s="1"/>
  <c r="D198" i="15"/>
  <c r="E262" i="15"/>
  <c r="D262" i="15" s="1"/>
  <c r="E233" i="15"/>
  <c r="D233" i="15" s="1"/>
  <c r="D169" i="15"/>
  <c r="D213" i="16"/>
  <c r="E277" i="16"/>
  <c r="D277" i="16" s="1"/>
  <c r="Q120" i="16"/>
  <c r="Q198" i="16" s="1"/>
  <c r="Q262" i="16" s="1"/>
  <c r="Q123" i="16"/>
  <c r="Q201" i="16" s="1"/>
  <c r="Q265" i="16" s="1"/>
  <c r="X104" i="16"/>
  <c r="X182" i="16" s="1"/>
  <c r="X246" i="16" s="1"/>
  <c r="AY12" i="16"/>
  <c r="X152" i="16"/>
  <c r="X230" i="16" s="1"/>
  <c r="X294" i="16" s="1"/>
  <c r="BK12" i="16"/>
  <c r="BF13" i="16"/>
  <c r="X133" i="16"/>
  <c r="X211" i="16" s="1"/>
  <c r="X275" i="16" s="1"/>
  <c r="AB121" i="16"/>
  <c r="AB199" i="16" s="1"/>
  <c r="AB263" i="16" s="1"/>
  <c r="AB135" i="16"/>
  <c r="AB213" i="16" s="1"/>
  <c r="AB277" i="16" s="1"/>
  <c r="AW7" i="14"/>
  <c r="I99" i="14" s="1"/>
  <c r="I164" i="14" s="1"/>
  <c r="I228" i="14" s="1"/>
  <c r="AV12" i="14"/>
  <c r="AB92" i="14" s="1"/>
  <c r="AB157" i="14" s="1"/>
  <c r="AB221" i="14" s="1"/>
  <c r="AZ17" i="14"/>
  <c r="AJ109" i="14" s="1"/>
  <c r="AJ174" i="14" s="1"/>
  <c r="AJ238" i="14" s="1"/>
  <c r="AX25" i="14"/>
  <c r="K101" i="14" s="1"/>
  <c r="K166" i="14" s="1"/>
  <c r="K230" i="14" s="1"/>
  <c r="AX34" i="14"/>
  <c r="AD102" i="14" s="1"/>
  <c r="AD167" i="14" s="1"/>
  <c r="AD231" i="14" s="1"/>
  <c r="BA41" i="14"/>
  <c r="AW113" i="14" s="1"/>
  <c r="AW178" i="14" s="1"/>
  <c r="AW242" i="14" s="1"/>
  <c r="G113" i="14"/>
  <c r="G178" i="14" s="1"/>
  <c r="G242" i="14" s="1"/>
  <c r="Z114" i="14"/>
  <c r="Z179" i="14" s="1"/>
  <c r="Z243" i="14" s="1"/>
  <c r="AF121" i="14"/>
  <c r="AF186" i="14" s="1"/>
  <c r="AF250" i="14" s="1"/>
  <c r="X131" i="14"/>
  <c r="X196" i="14" s="1"/>
  <c r="X260" i="14" s="1"/>
  <c r="O139" i="14"/>
  <c r="O204" i="14" s="1"/>
  <c r="O268" i="14" s="1"/>
  <c r="AQ142" i="14"/>
  <c r="AQ207" i="14" s="1"/>
  <c r="AQ271" i="14" s="1"/>
  <c r="E152" i="14"/>
  <c r="E217" i="14" s="1"/>
  <c r="D205" i="14"/>
  <c r="E265" i="15"/>
  <c r="D265" i="15" s="1"/>
  <c r="D201" i="15"/>
  <c r="BI4" i="15"/>
  <c r="I144" i="15" s="1"/>
  <c r="I209" i="15" s="1"/>
  <c r="I273" i="15" s="1"/>
  <c r="D196" i="15"/>
  <c r="E260" i="15"/>
  <c r="D260" i="15" s="1"/>
  <c r="O121" i="15"/>
  <c r="O186" i="15" s="1"/>
  <c r="O250" i="15" s="1"/>
  <c r="BC9" i="15"/>
  <c r="S121" i="15" s="1"/>
  <c r="S186" i="15" s="1"/>
  <c r="S250" i="15" s="1"/>
  <c r="BD13" i="15"/>
  <c r="AB125" i="15" s="1"/>
  <c r="AB190" i="15" s="1"/>
  <c r="AB254" i="15" s="1"/>
  <c r="X127" i="15"/>
  <c r="X192" i="15" s="1"/>
  <c r="X256" i="15" s="1"/>
  <c r="BD15" i="15"/>
  <c r="AB127" i="15" s="1"/>
  <c r="AB192" i="15" s="1"/>
  <c r="AB256" i="15" s="1"/>
  <c r="BG23" i="15"/>
  <c r="AU139" i="15" s="1"/>
  <c r="AU204" i="15" s="1"/>
  <c r="AU268" i="15" s="1"/>
  <c r="BH25" i="15"/>
  <c r="K141" i="15" s="1"/>
  <c r="K206" i="15" s="1"/>
  <c r="K270" i="15" s="1"/>
  <c r="BE26" i="15"/>
  <c r="K130" i="15" s="1"/>
  <c r="K195" i="15" s="1"/>
  <c r="K259" i="15" s="1"/>
  <c r="G130" i="15"/>
  <c r="G195" i="15" s="1"/>
  <c r="G259" i="15" s="1"/>
  <c r="Z126" i="15"/>
  <c r="Z191" i="15" s="1"/>
  <c r="Z255" i="15" s="1"/>
  <c r="BD34" i="15"/>
  <c r="AD126" i="15" s="1"/>
  <c r="AD191" i="15" s="1"/>
  <c r="AD255" i="15" s="1"/>
  <c r="AS121" i="15"/>
  <c r="AS186" i="15" s="1"/>
  <c r="AS250" i="15" s="1"/>
  <c r="BC41" i="15"/>
  <c r="AW121" i="15" s="1"/>
  <c r="AW186" i="15" s="1"/>
  <c r="AW250" i="15" s="1"/>
  <c r="AH115" i="15"/>
  <c r="AH180" i="15" s="1"/>
  <c r="AH244" i="15" s="1"/>
  <c r="E226" i="15"/>
  <c r="D226" i="15" s="1"/>
  <c r="D162" i="15"/>
  <c r="E281" i="16"/>
  <c r="D281" i="16" s="1"/>
  <c r="D217" i="16"/>
  <c r="Q132" i="16"/>
  <c r="Q210" i="16" s="1"/>
  <c r="Q274" i="16" s="1"/>
  <c r="M94" i="16"/>
  <c r="M172" i="16" s="1"/>
  <c r="M236" i="16" s="1"/>
  <c r="AV10" i="16"/>
  <c r="M142" i="16"/>
  <c r="M220" i="16" s="1"/>
  <c r="M284" i="16" s="1"/>
  <c r="BH10" i="16"/>
  <c r="BE11" i="16"/>
  <c r="M131" i="16"/>
  <c r="M209" i="16" s="1"/>
  <c r="M273" i="16" s="1"/>
  <c r="BD11" i="16"/>
  <c r="BI24" i="14"/>
  <c r="K144" i="14" s="1"/>
  <c r="K209" i="14" s="1"/>
  <c r="K273" i="14" s="1"/>
  <c r="G144" i="14"/>
  <c r="G209" i="14" s="1"/>
  <c r="G273" i="14" s="1"/>
  <c r="AF94" i="14"/>
  <c r="AF159" i="14" s="1"/>
  <c r="AF223" i="14" s="1"/>
  <c r="Z97" i="14"/>
  <c r="Z162" i="14" s="1"/>
  <c r="Z226" i="14" s="1"/>
  <c r="E111" i="14"/>
  <c r="E176" i="14" s="1"/>
  <c r="AS137" i="14"/>
  <c r="AS202" i="14" s="1"/>
  <c r="AS266" i="14" s="1"/>
  <c r="AF155" i="14"/>
  <c r="AF220" i="14" s="1"/>
  <c r="AF284" i="14" s="1"/>
  <c r="D157" i="15"/>
  <c r="E221" i="15"/>
  <c r="D221" i="15" s="1"/>
  <c r="BG5" i="15"/>
  <c r="I137" i="15" s="1"/>
  <c r="I202" i="15" s="1"/>
  <c r="I266" i="15" s="1"/>
  <c r="E137" i="15"/>
  <c r="E202" i="15" s="1"/>
  <c r="X133" i="15"/>
  <c r="X198" i="15" s="1"/>
  <c r="X262" i="15" s="1"/>
  <c r="BF13" i="15"/>
  <c r="AB133" i="15" s="1"/>
  <c r="AB198" i="15" s="1"/>
  <c r="AB262" i="15" s="1"/>
  <c r="BE22" i="15"/>
  <c r="AU130" i="15" s="1"/>
  <c r="AU195" i="15" s="1"/>
  <c r="AU259" i="15" s="1"/>
  <c r="AQ130" i="15"/>
  <c r="AQ195" i="15" s="1"/>
  <c r="AQ259" i="15" s="1"/>
  <c r="BD32" i="15"/>
  <c r="AD124" i="15" s="1"/>
  <c r="AD189" i="15" s="1"/>
  <c r="AD253" i="15" s="1"/>
  <c r="Z125" i="15"/>
  <c r="Z190" i="15" s="1"/>
  <c r="Z254" i="15" s="1"/>
  <c r="BD33" i="15"/>
  <c r="AD125" i="15" s="1"/>
  <c r="AD190" i="15" s="1"/>
  <c r="AD254" i="15" s="1"/>
  <c r="AH130" i="15"/>
  <c r="AH195" i="15" s="1"/>
  <c r="AH259" i="15" s="1"/>
  <c r="BE38" i="15"/>
  <c r="AL130" i="15" s="1"/>
  <c r="AL195" i="15" s="1"/>
  <c r="AL259" i="15" s="1"/>
  <c r="E114" i="16"/>
  <c r="E192" i="16" s="1"/>
  <c r="BA6" i="16"/>
  <c r="I102" i="16"/>
  <c r="I180" i="16" s="1"/>
  <c r="I244" i="16" s="1"/>
  <c r="BI14" i="14"/>
  <c r="AB146" i="14" s="1"/>
  <c r="AB211" i="14" s="1"/>
  <c r="AB275" i="14" s="1"/>
  <c r="BB19" i="14"/>
  <c r="AJ119" i="14" s="1"/>
  <c r="AJ184" i="14" s="1"/>
  <c r="AJ248" i="14" s="1"/>
  <c r="BH20" i="14"/>
  <c r="AU140" i="14" s="1"/>
  <c r="AU205" i="14" s="1"/>
  <c r="AU269" i="14" s="1"/>
  <c r="BJ29" i="14"/>
  <c r="V149" i="14" s="1"/>
  <c r="V214" i="14" s="1"/>
  <c r="V278" i="14" s="1"/>
  <c r="AY36" i="14"/>
  <c r="AL104" i="14" s="1"/>
  <c r="AL169" i="14" s="1"/>
  <c r="AL233" i="14" s="1"/>
  <c r="BJ38" i="14"/>
  <c r="AL150" i="14" s="1"/>
  <c r="AL215" i="14" s="1"/>
  <c r="AL279" i="14" s="1"/>
  <c r="AX42" i="14"/>
  <c r="AW102" i="14" s="1"/>
  <c r="AW167" i="14" s="1"/>
  <c r="AW231" i="14" s="1"/>
  <c r="G96" i="14"/>
  <c r="G161" i="14" s="1"/>
  <c r="G225" i="14" s="1"/>
  <c r="E133" i="14"/>
  <c r="E198" i="14" s="1"/>
  <c r="E96" i="15"/>
  <c r="E161" i="15" s="1"/>
  <c r="AW4" i="15"/>
  <c r="I96" i="15" s="1"/>
  <c r="I161" i="15" s="1"/>
  <c r="I225" i="15" s="1"/>
  <c r="D209" i="15"/>
  <c r="E273" i="15"/>
  <c r="D273" i="15" s="1"/>
  <c r="G137" i="15"/>
  <c r="G202" i="15" s="1"/>
  <c r="G266" i="15" s="1"/>
  <c r="BG25" i="15"/>
  <c r="K137" i="15" s="1"/>
  <c r="K202" i="15" s="1"/>
  <c r="K266" i="15" s="1"/>
  <c r="E240" i="15"/>
  <c r="D240" i="15" s="1"/>
  <c r="D176" i="15"/>
  <c r="I112" i="16"/>
  <c r="I190" i="16" s="1"/>
  <c r="I254" i="16" s="1"/>
  <c r="E117" i="16"/>
  <c r="E195" i="16" s="1"/>
  <c r="BB5" i="16"/>
  <c r="I109" i="16"/>
  <c r="I187" i="16" s="1"/>
  <c r="I251" i="16" s="1"/>
  <c r="AY4" i="14"/>
  <c r="I104" i="14" s="1"/>
  <c r="I169" i="14" s="1"/>
  <c r="I233" i="14" s="1"/>
  <c r="AV16" i="14"/>
  <c r="AJ92" i="14" s="1"/>
  <c r="AJ157" i="14" s="1"/>
  <c r="AJ221" i="14" s="1"/>
  <c r="BA31" i="14"/>
  <c r="V115" i="14" s="1"/>
  <c r="V180" i="14" s="1"/>
  <c r="V244" i="14" s="1"/>
  <c r="Q115" i="14"/>
  <c r="Q180" i="14" s="1"/>
  <c r="Q244" i="14" s="1"/>
  <c r="AX40" i="14"/>
  <c r="AW100" i="14" s="1"/>
  <c r="AW165" i="14" s="1"/>
  <c r="AW229" i="14" s="1"/>
  <c r="AF107" i="14"/>
  <c r="AF172" i="14" s="1"/>
  <c r="AF236" i="14" s="1"/>
  <c r="X110" i="14"/>
  <c r="X175" i="14" s="1"/>
  <c r="X239" i="14" s="1"/>
  <c r="BG6" i="15"/>
  <c r="I138" i="15" s="1"/>
  <c r="I203" i="15" s="1"/>
  <c r="I267" i="15" s="1"/>
  <c r="E138" i="15"/>
  <c r="E203" i="15" s="1"/>
  <c r="O139" i="15"/>
  <c r="O204" i="15" s="1"/>
  <c r="O268" i="15" s="1"/>
  <c r="BG11" i="15"/>
  <c r="S139" i="15" s="1"/>
  <c r="S204" i="15" s="1"/>
  <c r="S268" i="15" s="1"/>
  <c r="AH92" i="15"/>
  <c r="AH157" i="15" s="1"/>
  <c r="AH221" i="15" s="1"/>
  <c r="AV36" i="15"/>
  <c r="AL92" i="15" s="1"/>
  <c r="AL157" i="15" s="1"/>
  <c r="AL221" i="15" s="1"/>
  <c r="BH36" i="15"/>
  <c r="AL140" i="15" s="1"/>
  <c r="AL205" i="15" s="1"/>
  <c r="AL269" i="15" s="1"/>
  <c r="AH140" i="15"/>
  <c r="AH205" i="15" s="1"/>
  <c r="AH269" i="15" s="1"/>
  <c r="E274" i="15"/>
  <c r="D274" i="15" s="1"/>
  <c r="D210" i="15"/>
  <c r="E247" i="15"/>
  <c r="D247" i="15" s="1"/>
  <c r="AX4" i="15"/>
  <c r="I100" i="15" s="1"/>
  <c r="I165" i="15" s="1"/>
  <c r="I229" i="15" s="1"/>
  <c r="E100" i="15"/>
  <c r="E165" i="15" s="1"/>
  <c r="BB8" i="15"/>
  <c r="S116" i="15" s="1"/>
  <c r="S181" i="15" s="1"/>
  <c r="S245" i="15" s="1"/>
  <c r="O116" i="15"/>
  <c r="O181" i="15" s="1"/>
  <c r="O245" i="15" s="1"/>
  <c r="BG13" i="15"/>
  <c r="AB137" i="15" s="1"/>
  <c r="AB202" i="15" s="1"/>
  <c r="AB266" i="15" s="1"/>
  <c r="X137" i="15"/>
  <c r="X202" i="15" s="1"/>
  <c r="X266" i="15" s="1"/>
  <c r="AF105" i="15"/>
  <c r="AF170" i="15" s="1"/>
  <c r="AF234" i="15" s="1"/>
  <c r="AY17" i="15"/>
  <c r="AJ105" i="15" s="1"/>
  <c r="AJ170" i="15" s="1"/>
  <c r="AJ234" i="15" s="1"/>
  <c r="AF153" i="15"/>
  <c r="AF218" i="15" s="1"/>
  <c r="AF282" i="15" s="1"/>
  <c r="BK17" i="15"/>
  <c r="AJ153" i="15" s="1"/>
  <c r="AJ218" i="15" s="1"/>
  <c r="AJ282" i="15" s="1"/>
  <c r="AY18" i="15"/>
  <c r="AJ106" i="15" s="1"/>
  <c r="AJ171" i="15" s="1"/>
  <c r="AJ235" i="15" s="1"/>
  <c r="AF106" i="15"/>
  <c r="AF171" i="15" s="1"/>
  <c r="AF235" i="15" s="1"/>
  <c r="BK18" i="15"/>
  <c r="AJ154" i="15" s="1"/>
  <c r="AJ219" i="15" s="1"/>
  <c r="AJ283" i="15" s="1"/>
  <c r="AF154" i="15"/>
  <c r="AF219" i="15" s="1"/>
  <c r="AF283" i="15" s="1"/>
  <c r="AY27" i="15"/>
  <c r="K107" i="15" s="1"/>
  <c r="K172" i="15" s="1"/>
  <c r="K236" i="15" s="1"/>
  <c r="G107" i="15"/>
  <c r="G172" i="15" s="1"/>
  <c r="G236" i="15" s="1"/>
  <c r="BK27" i="15"/>
  <c r="K155" i="15" s="1"/>
  <c r="K220" i="15" s="1"/>
  <c r="K284" i="15" s="1"/>
  <c r="G155" i="15"/>
  <c r="G220" i="15" s="1"/>
  <c r="G284" i="15" s="1"/>
  <c r="AW29" i="15"/>
  <c r="V97" i="15" s="1"/>
  <c r="V162" i="15" s="1"/>
  <c r="V226" i="15" s="1"/>
  <c r="Q97" i="15"/>
  <c r="Q162" i="15" s="1"/>
  <c r="Q226" i="15" s="1"/>
  <c r="BA41" i="15"/>
  <c r="AW113" i="15" s="1"/>
  <c r="AW178" i="15" s="1"/>
  <c r="AW242" i="15" s="1"/>
  <c r="AS113" i="15"/>
  <c r="AS178" i="15" s="1"/>
  <c r="AS242" i="15" s="1"/>
  <c r="AS106" i="15"/>
  <c r="AS171" i="15" s="1"/>
  <c r="AS235" i="15" s="1"/>
  <c r="AY42" i="15"/>
  <c r="AW106" i="15" s="1"/>
  <c r="AW171" i="15" s="1"/>
  <c r="AW235" i="15" s="1"/>
  <c r="AQ110" i="15"/>
  <c r="AQ175" i="15" s="1"/>
  <c r="AQ239" i="15" s="1"/>
  <c r="O140" i="15"/>
  <c r="O205" i="15" s="1"/>
  <c r="O269" i="15" s="1"/>
  <c r="S144" i="16"/>
  <c r="S222" i="16" s="1"/>
  <c r="S286" i="16" s="1"/>
  <c r="S117" i="16"/>
  <c r="S195" i="16" s="1"/>
  <c r="S259" i="16" s="1"/>
  <c r="E66" i="22"/>
  <c r="AV99" i="16"/>
  <c r="AV177" i="16" s="1"/>
  <c r="AV241" i="16" s="1"/>
  <c r="BC77" i="16"/>
  <c r="AA122" i="16"/>
  <c r="AA200" i="16" s="1"/>
  <c r="AA264" i="16" s="1"/>
  <c r="AE106" i="16"/>
  <c r="AE184" i="16" s="1"/>
  <c r="AE248" i="16" s="1"/>
  <c r="AE111" i="16"/>
  <c r="AE189" i="16" s="1"/>
  <c r="AE253" i="16" s="1"/>
  <c r="AI116" i="16"/>
  <c r="AI194" i="16" s="1"/>
  <c r="AI258" i="16" s="1"/>
  <c r="BB79" i="16"/>
  <c r="AM100" i="16"/>
  <c r="AM178" i="16" s="1"/>
  <c r="AM242" i="16" s="1"/>
  <c r="AI106" i="16"/>
  <c r="AI184" i="16" s="1"/>
  <c r="AI248" i="16" s="1"/>
  <c r="AY81" i="16"/>
  <c r="AI154" i="16"/>
  <c r="AI232" i="16" s="1"/>
  <c r="AI296" i="16" s="1"/>
  <c r="BK81" i="16"/>
  <c r="D192" i="15"/>
  <c r="E256" i="15"/>
  <c r="D256" i="15" s="1"/>
  <c r="O113" i="15"/>
  <c r="O178" i="15" s="1"/>
  <c r="O242" i="15" s="1"/>
  <c r="BA9" i="15"/>
  <c r="S113" i="15" s="1"/>
  <c r="S178" i="15" s="1"/>
  <c r="S242" i="15" s="1"/>
  <c r="BA10" i="15"/>
  <c r="S114" i="15" s="1"/>
  <c r="S179" i="15" s="1"/>
  <c r="S243" i="15" s="1"/>
  <c r="O114" i="15"/>
  <c r="O179" i="15" s="1"/>
  <c r="O243" i="15" s="1"/>
  <c r="X93" i="15"/>
  <c r="X158" i="15" s="1"/>
  <c r="X222" i="15" s="1"/>
  <c r="AV13" i="15"/>
  <c r="AB93" i="15" s="1"/>
  <c r="AB158" i="15" s="1"/>
  <c r="AB222" i="15" s="1"/>
  <c r="BH13" i="15"/>
  <c r="AB141" i="15" s="1"/>
  <c r="AB206" i="15" s="1"/>
  <c r="AB270" i="15" s="1"/>
  <c r="X141" i="15"/>
  <c r="X206" i="15" s="1"/>
  <c r="X270" i="15" s="1"/>
  <c r="AQ152" i="15"/>
  <c r="AQ217" i="15" s="1"/>
  <c r="AQ281" i="15" s="1"/>
  <c r="BK20" i="15"/>
  <c r="AU152" i="15" s="1"/>
  <c r="AU217" i="15" s="1"/>
  <c r="AU281" i="15" s="1"/>
  <c r="AQ97" i="15"/>
  <c r="AQ162" i="15" s="1"/>
  <c r="AQ226" i="15" s="1"/>
  <c r="AW21" i="15"/>
  <c r="AU97" i="15" s="1"/>
  <c r="AU162" i="15" s="1"/>
  <c r="AU226" i="15" s="1"/>
  <c r="BG24" i="15"/>
  <c r="K136" i="15" s="1"/>
  <c r="K201" i="15" s="1"/>
  <c r="K265" i="15" s="1"/>
  <c r="G136" i="15"/>
  <c r="G201" i="15" s="1"/>
  <c r="G265" i="15" s="1"/>
  <c r="G111" i="15"/>
  <c r="G176" i="15" s="1"/>
  <c r="G240" i="15" s="1"/>
  <c r="AZ27" i="15"/>
  <c r="K111" i="15" s="1"/>
  <c r="K176" i="15" s="1"/>
  <c r="K240" i="15" s="1"/>
  <c r="Q101" i="15"/>
  <c r="Q166" i="15" s="1"/>
  <c r="Q230" i="15" s="1"/>
  <c r="AX29" i="15"/>
  <c r="V101" i="15" s="1"/>
  <c r="V166" i="15" s="1"/>
  <c r="V230" i="15" s="1"/>
  <c r="BF36" i="15"/>
  <c r="AL132" i="15" s="1"/>
  <c r="AL197" i="15" s="1"/>
  <c r="AL261" i="15" s="1"/>
  <c r="AH132" i="15"/>
  <c r="AH197" i="15" s="1"/>
  <c r="AH261" i="15" s="1"/>
  <c r="AH127" i="15"/>
  <c r="AH192" i="15" s="1"/>
  <c r="AH256" i="15" s="1"/>
  <c r="BD39" i="15"/>
  <c r="AL127" i="15" s="1"/>
  <c r="AL192" i="15" s="1"/>
  <c r="AL256" i="15" s="1"/>
  <c r="BB41" i="15"/>
  <c r="AW117" i="15" s="1"/>
  <c r="AW182" i="15" s="1"/>
  <c r="AW246" i="15" s="1"/>
  <c r="AS117" i="15"/>
  <c r="AS182" i="15" s="1"/>
  <c r="AS246" i="15" s="1"/>
  <c r="Z96" i="15"/>
  <c r="Z161" i="15" s="1"/>
  <c r="Z225" i="15" s="1"/>
  <c r="E228" i="15"/>
  <c r="D228" i="15" s="1"/>
  <c r="D164" i="15"/>
  <c r="X102" i="15"/>
  <c r="X167" i="15" s="1"/>
  <c r="X231" i="15" s="1"/>
  <c r="AS110" i="15"/>
  <c r="AS175" i="15" s="1"/>
  <c r="AS239" i="15" s="1"/>
  <c r="X112" i="15"/>
  <c r="X177" i="15" s="1"/>
  <c r="X241" i="15" s="1"/>
  <c r="AQ115" i="15"/>
  <c r="AQ180" i="15" s="1"/>
  <c r="AQ244" i="15" s="1"/>
  <c r="AH125" i="15"/>
  <c r="AH190" i="15" s="1"/>
  <c r="AH254" i="15" s="1"/>
  <c r="G132" i="15"/>
  <c r="G197" i="15" s="1"/>
  <c r="G261" i="15" s="1"/>
  <c r="AQ147" i="15"/>
  <c r="AQ212" i="15" s="1"/>
  <c r="AQ276" i="15" s="1"/>
  <c r="Q149" i="15"/>
  <c r="Q214" i="15" s="1"/>
  <c r="Q278" i="15" s="1"/>
  <c r="D218" i="15"/>
  <c r="E282" i="15"/>
  <c r="D282" i="15" s="1"/>
  <c r="E249" i="15"/>
  <c r="D249" i="15" s="1"/>
  <c r="AF100" i="16"/>
  <c r="AF178" i="16" s="1"/>
  <c r="AF242" i="16" s="1"/>
  <c r="AX16" i="16"/>
  <c r="AF148" i="16"/>
  <c r="AF226" i="16" s="1"/>
  <c r="AF290" i="16" s="1"/>
  <c r="BJ16" i="16"/>
  <c r="AF137" i="16"/>
  <c r="AF215" i="16" s="1"/>
  <c r="AF279" i="16" s="1"/>
  <c r="BG17" i="16"/>
  <c r="AU146" i="16"/>
  <c r="AU224" i="16" s="1"/>
  <c r="AU288" i="16" s="1"/>
  <c r="AU115" i="16"/>
  <c r="AU193" i="16" s="1"/>
  <c r="AU257" i="16" s="1"/>
  <c r="AG128" i="16"/>
  <c r="AG206" i="16" s="1"/>
  <c r="AG270" i="16" s="1"/>
  <c r="BE59" i="16"/>
  <c r="AK116" i="16"/>
  <c r="AK194" i="16" s="1"/>
  <c r="AK258" i="16" s="1"/>
  <c r="E139" i="15"/>
  <c r="E204" i="15" s="1"/>
  <c r="BG7" i="15"/>
  <c r="I139" i="15" s="1"/>
  <c r="I204" i="15" s="1"/>
  <c r="I268" i="15" s="1"/>
  <c r="BB11" i="15"/>
  <c r="S119" i="15" s="1"/>
  <c r="S184" i="15" s="1"/>
  <c r="S248" i="15" s="1"/>
  <c r="O119" i="15"/>
  <c r="O184" i="15" s="1"/>
  <c r="O248" i="15" s="1"/>
  <c r="BJ14" i="15"/>
  <c r="AB150" i="15" s="1"/>
  <c r="AB215" i="15" s="1"/>
  <c r="AB279" i="15" s="1"/>
  <c r="BF15" i="15"/>
  <c r="AB135" i="15" s="1"/>
  <c r="AB200" i="15" s="1"/>
  <c r="AB264" i="15" s="1"/>
  <c r="X135" i="15"/>
  <c r="X200" i="15" s="1"/>
  <c r="X264" i="15" s="1"/>
  <c r="BB20" i="15"/>
  <c r="AU116" i="15" s="1"/>
  <c r="AU181" i="15" s="1"/>
  <c r="AU245" i="15" s="1"/>
  <c r="AQ116" i="15"/>
  <c r="AQ181" i="15" s="1"/>
  <c r="AQ245" i="15" s="1"/>
  <c r="AZ21" i="15"/>
  <c r="AU109" i="15" s="1"/>
  <c r="AU174" i="15" s="1"/>
  <c r="AU238" i="15" s="1"/>
  <c r="AQ109" i="15"/>
  <c r="AQ174" i="15" s="1"/>
  <c r="AQ238" i="15" s="1"/>
  <c r="AZ23" i="15"/>
  <c r="AU111" i="15" s="1"/>
  <c r="AU176" i="15" s="1"/>
  <c r="AU240" i="15" s="1"/>
  <c r="AQ111" i="15"/>
  <c r="AQ176" i="15" s="1"/>
  <c r="AQ240" i="15" s="1"/>
  <c r="BK33" i="15"/>
  <c r="AD153" i="15" s="1"/>
  <c r="AD218" i="15" s="1"/>
  <c r="AD282" i="15" s="1"/>
  <c r="Z153" i="15"/>
  <c r="Z218" i="15" s="1"/>
  <c r="Z282" i="15" s="1"/>
  <c r="AH96" i="15"/>
  <c r="AH161" i="15" s="1"/>
  <c r="AH225" i="15" s="1"/>
  <c r="AW36" i="15"/>
  <c r="AL96" i="15" s="1"/>
  <c r="AL161" i="15" s="1"/>
  <c r="AL225" i="15" s="1"/>
  <c r="AH144" i="15"/>
  <c r="AH209" i="15" s="1"/>
  <c r="AH273" i="15" s="1"/>
  <c r="BI36" i="15"/>
  <c r="AL144" i="15" s="1"/>
  <c r="AL209" i="15" s="1"/>
  <c r="AL273" i="15" s="1"/>
  <c r="E120" i="16"/>
  <c r="E198" i="16" s="1"/>
  <c r="BC4" i="16"/>
  <c r="E260" i="16"/>
  <c r="D260" i="16" s="1"/>
  <c r="D196" i="16"/>
  <c r="BB6" i="16"/>
  <c r="Q135" i="16"/>
  <c r="Q213" i="16" s="1"/>
  <c r="Q277" i="16" s="1"/>
  <c r="AB108" i="16"/>
  <c r="AB186" i="16" s="1"/>
  <c r="AB250" i="16" s="1"/>
  <c r="X137" i="16"/>
  <c r="X215" i="16" s="1"/>
  <c r="X279" i="16" s="1"/>
  <c r="BG13" i="16"/>
  <c r="AB129" i="16"/>
  <c r="AB207" i="16" s="1"/>
  <c r="AB271" i="16" s="1"/>
  <c r="AB139" i="16"/>
  <c r="AB217" i="16" s="1"/>
  <c r="AB281" i="16" s="1"/>
  <c r="E113" i="15"/>
  <c r="E178" i="15" s="1"/>
  <c r="BA5" i="15"/>
  <c r="I113" i="15" s="1"/>
  <c r="I178" i="15" s="1"/>
  <c r="I242" i="15" s="1"/>
  <c r="BE9" i="15"/>
  <c r="S129" i="15" s="1"/>
  <c r="S194" i="15" s="1"/>
  <c r="S258" i="15" s="1"/>
  <c r="O129" i="15"/>
  <c r="O194" i="15" s="1"/>
  <c r="O258" i="15" s="1"/>
  <c r="BB12" i="15"/>
  <c r="AB116" i="15" s="1"/>
  <c r="AB181" i="15" s="1"/>
  <c r="AB245" i="15" s="1"/>
  <c r="X116" i="15"/>
  <c r="X181" i="15" s="1"/>
  <c r="X245" i="15" s="1"/>
  <c r="AW23" i="15"/>
  <c r="AU99" i="15" s="1"/>
  <c r="AU164" i="15" s="1"/>
  <c r="AU228" i="15" s="1"/>
  <c r="BJ25" i="15"/>
  <c r="K149" i="15" s="1"/>
  <c r="K214" i="15" s="1"/>
  <c r="K278" i="15" s="1"/>
  <c r="G149" i="15"/>
  <c r="G214" i="15" s="1"/>
  <c r="G278" i="15" s="1"/>
  <c r="AV26" i="15"/>
  <c r="K94" i="15" s="1"/>
  <c r="K159" i="15" s="1"/>
  <c r="K223" i="15" s="1"/>
  <c r="G94" i="15"/>
  <c r="G159" i="15" s="1"/>
  <c r="G223" i="15" s="1"/>
  <c r="BH26" i="15"/>
  <c r="K142" i="15" s="1"/>
  <c r="K207" i="15" s="1"/>
  <c r="K271" i="15" s="1"/>
  <c r="G142" i="15"/>
  <c r="G207" i="15" s="1"/>
  <c r="G271" i="15" s="1"/>
  <c r="BC28" i="15"/>
  <c r="V120" i="15" s="1"/>
  <c r="V185" i="15" s="1"/>
  <c r="V249" i="15" s="1"/>
  <c r="Q120" i="15"/>
  <c r="Q185" i="15" s="1"/>
  <c r="Q249" i="15" s="1"/>
  <c r="AX32" i="15"/>
  <c r="AD100" i="15" s="1"/>
  <c r="AD165" i="15" s="1"/>
  <c r="AD229" i="15" s="1"/>
  <c r="Z100" i="15"/>
  <c r="Z165" i="15" s="1"/>
  <c r="Z229" i="15" s="1"/>
  <c r="BJ32" i="15"/>
  <c r="AD148" i="15" s="1"/>
  <c r="AD213" i="15" s="1"/>
  <c r="AD277" i="15" s="1"/>
  <c r="Z148" i="15"/>
  <c r="Z213" i="15" s="1"/>
  <c r="Z277" i="15" s="1"/>
  <c r="Z115" i="15"/>
  <c r="Z180" i="15" s="1"/>
  <c r="Z244" i="15" s="1"/>
  <c r="BA35" i="15"/>
  <c r="AD115" i="15" s="1"/>
  <c r="AD180" i="15" s="1"/>
  <c r="AD244" i="15" s="1"/>
  <c r="AH94" i="15"/>
  <c r="AH159" i="15" s="1"/>
  <c r="AH223" i="15" s="1"/>
  <c r="AV38" i="15"/>
  <c r="AL94" i="15" s="1"/>
  <c r="AL159" i="15" s="1"/>
  <c r="AL223" i="15" s="1"/>
  <c r="BD43" i="15"/>
  <c r="AW127" i="15" s="1"/>
  <c r="AW192" i="15" s="1"/>
  <c r="AW256" i="15" s="1"/>
  <c r="E110" i="15"/>
  <c r="E175" i="15" s="1"/>
  <c r="D194" i="15"/>
  <c r="E258" i="15"/>
  <c r="D258" i="15" s="1"/>
  <c r="E276" i="15"/>
  <c r="D276" i="15" s="1"/>
  <c r="D212" i="15"/>
  <c r="E148" i="15"/>
  <c r="E213" i="15" s="1"/>
  <c r="E281" i="15"/>
  <c r="D281" i="15" s="1"/>
  <c r="D217" i="15"/>
  <c r="D187" i="15"/>
  <c r="E284" i="15"/>
  <c r="D284" i="15" s="1"/>
  <c r="D220" i="15"/>
  <c r="E124" i="16"/>
  <c r="E202" i="16" s="1"/>
  <c r="BD4" i="16"/>
  <c r="E267" i="16"/>
  <c r="D267" i="16" s="1"/>
  <c r="D203" i="16"/>
  <c r="I121" i="16"/>
  <c r="I199" i="16" s="1"/>
  <c r="I263" i="16" s="1"/>
  <c r="M121" i="16"/>
  <c r="M199" i="16" s="1"/>
  <c r="M263" i="16" s="1"/>
  <c r="BC9" i="16"/>
  <c r="Q117" i="16"/>
  <c r="Q195" i="16" s="1"/>
  <c r="Q259" i="16" s="1"/>
  <c r="M102" i="16"/>
  <c r="M180" i="16" s="1"/>
  <c r="M244" i="16" s="1"/>
  <c r="AX10" i="16"/>
  <c r="M150" i="16"/>
  <c r="M228" i="16" s="1"/>
  <c r="M292" i="16" s="1"/>
  <c r="BJ10" i="16"/>
  <c r="M139" i="16"/>
  <c r="M217" i="16" s="1"/>
  <c r="M281" i="16" s="1"/>
  <c r="BG11" i="16"/>
  <c r="AB112" i="16"/>
  <c r="AB190" i="16" s="1"/>
  <c r="AB254" i="16" s="1"/>
  <c r="E253" i="15"/>
  <c r="D253" i="15" s="1"/>
  <c r="D189" i="15"/>
  <c r="BB5" i="15"/>
  <c r="I117" i="15" s="1"/>
  <c r="I182" i="15" s="1"/>
  <c r="I246" i="15" s="1"/>
  <c r="E117" i="15"/>
  <c r="E182" i="15" s="1"/>
  <c r="AY6" i="15"/>
  <c r="I106" i="15" s="1"/>
  <c r="I171" i="15" s="1"/>
  <c r="I235" i="15" s="1"/>
  <c r="E106" i="15"/>
  <c r="E171" i="15" s="1"/>
  <c r="E283" i="15"/>
  <c r="D283" i="15" s="1"/>
  <c r="D219" i="15"/>
  <c r="BF9" i="15"/>
  <c r="S133" i="15" s="1"/>
  <c r="S198" i="15" s="1"/>
  <c r="S262" i="15" s="1"/>
  <c r="O133" i="15"/>
  <c r="O198" i="15" s="1"/>
  <c r="O262" i="15" s="1"/>
  <c r="X120" i="15"/>
  <c r="X185" i="15" s="1"/>
  <c r="X249" i="15" s="1"/>
  <c r="BC12" i="15"/>
  <c r="AB120" i="15" s="1"/>
  <c r="AB185" i="15" s="1"/>
  <c r="AB249" i="15" s="1"/>
  <c r="AF129" i="15"/>
  <c r="AF194" i="15" s="1"/>
  <c r="AF258" i="15" s="1"/>
  <c r="BE17" i="15"/>
  <c r="AJ129" i="15" s="1"/>
  <c r="AJ194" i="15" s="1"/>
  <c r="AJ258" i="15" s="1"/>
  <c r="BD19" i="15"/>
  <c r="AJ127" i="15" s="1"/>
  <c r="AJ192" i="15" s="1"/>
  <c r="AJ256" i="15" s="1"/>
  <c r="AF127" i="15"/>
  <c r="AF192" i="15" s="1"/>
  <c r="AF256" i="15" s="1"/>
  <c r="BE19" i="15"/>
  <c r="AJ131" i="15" s="1"/>
  <c r="AJ196" i="15" s="1"/>
  <c r="AJ260" i="15" s="1"/>
  <c r="AQ124" i="15"/>
  <c r="AQ189" i="15" s="1"/>
  <c r="AQ253" i="15" s="1"/>
  <c r="BD20" i="15"/>
  <c r="AU124" i="15" s="1"/>
  <c r="AU189" i="15" s="1"/>
  <c r="AU253" i="15" s="1"/>
  <c r="AY25" i="15"/>
  <c r="K105" i="15" s="1"/>
  <c r="K170" i="15" s="1"/>
  <c r="K234" i="15" s="1"/>
  <c r="G105" i="15"/>
  <c r="G170" i="15" s="1"/>
  <c r="G234" i="15" s="1"/>
  <c r="BA31" i="15"/>
  <c r="V115" i="15" s="1"/>
  <c r="V180" i="15" s="1"/>
  <c r="V244" i="15" s="1"/>
  <c r="Q115" i="15"/>
  <c r="Q180" i="15" s="1"/>
  <c r="Q244" i="15" s="1"/>
  <c r="Z113" i="15"/>
  <c r="Z178" i="15" s="1"/>
  <c r="Z242" i="15" s="1"/>
  <c r="BA33" i="15"/>
  <c r="AD113" i="15" s="1"/>
  <c r="AD178" i="15" s="1"/>
  <c r="AD242" i="15" s="1"/>
  <c r="BJ37" i="15"/>
  <c r="AL149" i="15" s="1"/>
  <c r="AL214" i="15" s="1"/>
  <c r="AL278" i="15" s="1"/>
  <c r="AH149" i="15"/>
  <c r="AH214" i="15" s="1"/>
  <c r="AH278" i="15" s="1"/>
  <c r="BE43" i="15"/>
  <c r="AW131" i="15" s="1"/>
  <c r="AW196" i="15" s="1"/>
  <c r="AW260" i="15" s="1"/>
  <c r="E129" i="16"/>
  <c r="E207" i="16" s="1"/>
  <c r="BE5" i="16"/>
  <c r="BD5" i="16"/>
  <c r="E250" i="15"/>
  <c r="D250" i="15" s="1"/>
  <c r="D186" i="15"/>
  <c r="O137" i="15"/>
  <c r="O202" i="15" s="1"/>
  <c r="O266" i="15" s="1"/>
  <c r="BG9" i="15"/>
  <c r="S137" i="15" s="1"/>
  <c r="S202" i="15" s="1"/>
  <c r="S266" i="15" s="1"/>
  <c r="BD11" i="15"/>
  <c r="S127" i="15" s="1"/>
  <c r="S192" i="15" s="1"/>
  <c r="S256" i="15" s="1"/>
  <c r="AW15" i="15"/>
  <c r="AB99" i="15" s="1"/>
  <c r="AB164" i="15" s="1"/>
  <c r="AB228" i="15" s="1"/>
  <c r="X99" i="15"/>
  <c r="X164" i="15" s="1"/>
  <c r="X228" i="15" s="1"/>
  <c r="X147" i="15"/>
  <c r="X212" i="15" s="1"/>
  <c r="X276" i="15" s="1"/>
  <c r="BI15" i="15"/>
  <c r="AB147" i="15" s="1"/>
  <c r="AB212" i="15" s="1"/>
  <c r="AB276" i="15" s="1"/>
  <c r="AQ122" i="15"/>
  <c r="AQ187" i="15" s="1"/>
  <c r="AQ251" i="15" s="1"/>
  <c r="BC22" i="15"/>
  <c r="AU122" i="15" s="1"/>
  <c r="AU187" i="15" s="1"/>
  <c r="AU251" i="15" s="1"/>
  <c r="AW25" i="15"/>
  <c r="K97" i="15" s="1"/>
  <c r="K162" i="15" s="1"/>
  <c r="K226" i="15" s="1"/>
  <c r="Z117" i="15"/>
  <c r="Z182" i="15" s="1"/>
  <c r="Z246" i="15" s="1"/>
  <c r="BB33" i="15"/>
  <c r="AD117" i="15" s="1"/>
  <c r="AD182" i="15" s="1"/>
  <c r="AD246" i="15" s="1"/>
  <c r="Z123" i="15"/>
  <c r="Z188" i="15" s="1"/>
  <c r="Z252" i="15" s="1"/>
  <c r="BC35" i="15"/>
  <c r="AD123" i="15" s="1"/>
  <c r="AD188" i="15" s="1"/>
  <c r="AD252" i="15" s="1"/>
  <c r="BF43" i="15"/>
  <c r="AW135" i="15" s="1"/>
  <c r="AW200" i="15" s="1"/>
  <c r="AW264" i="15" s="1"/>
  <c r="AS135" i="15"/>
  <c r="AS200" i="15" s="1"/>
  <c r="AS264" i="15" s="1"/>
  <c r="D167" i="15"/>
  <c r="E231" i="15"/>
  <c r="D231" i="15" s="1"/>
  <c r="AH105" i="15"/>
  <c r="AH170" i="15" s="1"/>
  <c r="AH234" i="15" s="1"/>
  <c r="Z111" i="15"/>
  <c r="Z176" i="15" s="1"/>
  <c r="Z240" i="15" s="1"/>
  <c r="E252" i="15"/>
  <c r="D252" i="15" s="1"/>
  <c r="I142" i="16"/>
  <c r="I220" i="16" s="1"/>
  <c r="I284" i="16" s="1"/>
  <c r="AV8" i="16"/>
  <c r="M92" i="16"/>
  <c r="M170" i="16" s="1"/>
  <c r="M234" i="16" s="1"/>
  <c r="BH8" i="16"/>
  <c r="M140" i="16"/>
  <c r="M218" i="16" s="1"/>
  <c r="M282" i="16" s="1"/>
  <c r="Q133" i="16"/>
  <c r="Q211" i="16" s="1"/>
  <c r="Q275" i="16" s="1"/>
  <c r="Q110" i="16"/>
  <c r="Q188" i="16" s="1"/>
  <c r="Q252" i="16" s="1"/>
  <c r="AW11" i="16"/>
  <c r="M99" i="16"/>
  <c r="M177" i="16" s="1"/>
  <c r="M241" i="16" s="1"/>
  <c r="BI11" i="16"/>
  <c r="M147" i="16"/>
  <c r="M225" i="16" s="1"/>
  <c r="M289" i="16" s="1"/>
  <c r="D197" i="15"/>
  <c r="E261" i="15"/>
  <c r="D261" i="15" s="1"/>
  <c r="BF4" i="15"/>
  <c r="I132" i="15" s="1"/>
  <c r="I197" i="15" s="1"/>
  <c r="I261" i="15" s="1"/>
  <c r="E254" i="15"/>
  <c r="D254" i="15" s="1"/>
  <c r="D190" i="15"/>
  <c r="BC5" i="15"/>
  <c r="I121" i="15" s="1"/>
  <c r="I186" i="15" s="1"/>
  <c r="I250" i="15" s="1"/>
  <c r="BA6" i="15"/>
  <c r="I114" i="15" s="1"/>
  <c r="I179" i="15" s="1"/>
  <c r="I243" i="15" s="1"/>
  <c r="E114" i="15"/>
  <c r="E179" i="15" s="1"/>
  <c r="BE11" i="15"/>
  <c r="S131" i="15" s="1"/>
  <c r="S196" i="15" s="1"/>
  <c r="S260" i="15" s="1"/>
  <c r="BB14" i="15"/>
  <c r="AB118" i="15" s="1"/>
  <c r="AB183" i="15" s="1"/>
  <c r="AB247" i="15" s="1"/>
  <c r="X118" i="15"/>
  <c r="X183" i="15" s="1"/>
  <c r="X247" i="15" s="1"/>
  <c r="AX16" i="15"/>
  <c r="AJ100" i="15" s="1"/>
  <c r="AJ165" i="15" s="1"/>
  <c r="AJ229" i="15" s="1"/>
  <c r="AF100" i="15"/>
  <c r="AF165" i="15" s="1"/>
  <c r="AF229" i="15" s="1"/>
  <c r="BJ16" i="15"/>
  <c r="AJ148" i="15" s="1"/>
  <c r="AJ213" i="15" s="1"/>
  <c r="AJ277" i="15" s="1"/>
  <c r="AF148" i="15"/>
  <c r="AF213" i="15" s="1"/>
  <c r="AF277" i="15" s="1"/>
  <c r="AQ126" i="15"/>
  <c r="AQ191" i="15" s="1"/>
  <c r="AQ255" i="15" s="1"/>
  <c r="BD22" i="15"/>
  <c r="AU126" i="15" s="1"/>
  <c r="AU191" i="15" s="1"/>
  <c r="AU255" i="15" s="1"/>
  <c r="BA25" i="15"/>
  <c r="K113" i="15" s="1"/>
  <c r="K178" i="15" s="1"/>
  <c r="K242" i="15" s="1"/>
  <c r="G113" i="15"/>
  <c r="G178" i="15" s="1"/>
  <c r="G242" i="15" s="1"/>
  <c r="BD30" i="15"/>
  <c r="V126" i="15" s="1"/>
  <c r="V191" i="15" s="1"/>
  <c r="V255" i="15" s="1"/>
  <c r="Q123" i="15"/>
  <c r="Q188" i="15" s="1"/>
  <c r="Q252" i="15" s="1"/>
  <c r="BC31" i="15"/>
  <c r="V123" i="15" s="1"/>
  <c r="V188" i="15" s="1"/>
  <c r="V252" i="15" s="1"/>
  <c r="BC33" i="15"/>
  <c r="AD121" i="15" s="1"/>
  <c r="AD186" i="15" s="1"/>
  <c r="AD250" i="15" s="1"/>
  <c r="Z121" i="15"/>
  <c r="Z186" i="15" s="1"/>
  <c r="Z250" i="15" s="1"/>
  <c r="AY33" i="15"/>
  <c r="AD105" i="15" s="1"/>
  <c r="AD170" i="15" s="1"/>
  <c r="AD234" i="15" s="1"/>
  <c r="BD35" i="15"/>
  <c r="AD127" i="15" s="1"/>
  <c r="AD192" i="15" s="1"/>
  <c r="AD256" i="15" s="1"/>
  <c r="Z127" i="15"/>
  <c r="Z192" i="15" s="1"/>
  <c r="Z256" i="15" s="1"/>
  <c r="BG42" i="15"/>
  <c r="AW138" i="15" s="1"/>
  <c r="AW203" i="15" s="1"/>
  <c r="AW267" i="15" s="1"/>
  <c r="AS138" i="15"/>
  <c r="AS203" i="15" s="1"/>
  <c r="AS267" i="15" s="1"/>
  <c r="G101" i="15"/>
  <c r="G166" i="15" s="1"/>
  <c r="G230" i="15" s="1"/>
  <c r="O110" i="15"/>
  <c r="O175" i="15" s="1"/>
  <c r="O239" i="15" s="1"/>
  <c r="D214" i="16"/>
  <c r="E278" i="16"/>
  <c r="D278" i="16" s="1"/>
  <c r="I140" i="16"/>
  <c r="I218" i="16" s="1"/>
  <c r="I282" i="16" s="1"/>
  <c r="AS139" i="15"/>
  <c r="AS204" i="15" s="1"/>
  <c r="AS268" i="15" s="1"/>
  <c r="BG43" i="15"/>
  <c r="AW139" i="15" s="1"/>
  <c r="AW204" i="15" s="1"/>
  <c r="AW268" i="15" s="1"/>
  <c r="AF103" i="15"/>
  <c r="AF168" i="15" s="1"/>
  <c r="AF232" i="15" s="1"/>
  <c r="AS115" i="15"/>
  <c r="AS180" i="15" s="1"/>
  <c r="AS244" i="15" s="1"/>
  <c r="I136" i="16"/>
  <c r="I214" i="16" s="1"/>
  <c r="I278" i="16" s="1"/>
  <c r="E151" i="16"/>
  <c r="E229" i="16" s="1"/>
  <c r="BJ7" i="16"/>
  <c r="Q125" i="16"/>
  <c r="Q203" i="16" s="1"/>
  <c r="Q267" i="16" s="1"/>
  <c r="Q143" i="16"/>
  <c r="Q221" i="16" s="1"/>
  <c r="Q285" i="16" s="1"/>
  <c r="BC12" i="16"/>
  <c r="X120" i="16"/>
  <c r="X198" i="16" s="1"/>
  <c r="X262" i="16" s="1"/>
  <c r="AB116" i="16"/>
  <c r="AB194" i="16" s="1"/>
  <c r="AB258" i="16" s="1"/>
  <c r="AU125" i="16"/>
  <c r="AU203" i="16" s="1"/>
  <c r="AU267" i="16" s="1"/>
  <c r="AQ94" i="16"/>
  <c r="AQ172" i="16" s="1"/>
  <c r="AQ236" i="16" s="1"/>
  <c r="AV22" i="16"/>
  <c r="AQ142" i="16"/>
  <c r="AQ220" i="16" s="1"/>
  <c r="AQ284" i="16" s="1"/>
  <c r="BH22" i="16"/>
  <c r="AX67" i="16"/>
  <c r="H100" i="16"/>
  <c r="H178" i="16" s="1"/>
  <c r="H242" i="16" s="1"/>
  <c r="BJ67" i="16"/>
  <c r="H148" i="16"/>
  <c r="H226" i="16" s="1"/>
  <c r="H290" i="16" s="1"/>
  <c r="AZ68" i="16"/>
  <c r="H109" i="16"/>
  <c r="H187" i="16" s="1"/>
  <c r="H251" i="16" s="1"/>
  <c r="L93" i="16"/>
  <c r="L171" i="16" s="1"/>
  <c r="L235" i="16" s="1"/>
  <c r="AI112" i="16"/>
  <c r="AI190" i="16" s="1"/>
  <c r="AI254" i="16" s="1"/>
  <c r="BA79" i="16"/>
  <c r="E103" i="16"/>
  <c r="E181" i="16" s="1"/>
  <c r="E92" i="16"/>
  <c r="E170" i="16" s="1"/>
  <c r="AV4" i="16"/>
  <c r="E282" i="16"/>
  <c r="D282" i="16" s="1"/>
  <c r="D218" i="16"/>
  <c r="I115" i="16"/>
  <c r="I193" i="16" s="1"/>
  <c r="I257" i="16" s="1"/>
  <c r="AW119" i="16"/>
  <c r="AW197" i="16" s="1"/>
  <c r="AW261" i="16" s="1"/>
  <c r="BD53" i="16"/>
  <c r="N126" i="16"/>
  <c r="N204" i="16" s="1"/>
  <c r="N268" i="16" s="1"/>
  <c r="R110" i="16"/>
  <c r="R188" i="16" s="1"/>
  <c r="R252" i="16" s="1"/>
  <c r="AW54" i="16"/>
  <c r="N99" i="16"/>
  <c r="N177" i="16" s="1"/>
  <c r="N241" i="16" s="1"/>
  <c r="N147" i="16"/>
  <c r="N225" i="16" s="1"/>
  <c r="N289" i="16" s="1"/>
  <c r="BI54" i="16"/>
  <c r="L56" i="22"/>
  <c r="AC125" i="16"/>
  <c r="AC203" i="16" s="1"/>
  <c r="AC267" i="16" s="1"/>
  <c r="AK124" i="16"/>
  <c r="AK202" i="16" s="1"/>
  <c r="AK266" i="16" s="1"/>
  <c r="BC61" i="16"/>
  <c r="AG122" i="16"/>
  <c r="AG200" i="16" s="1"/>
  <c r="AG264" i="16" s="1"/>
  <c r="AK110" i="16"/>
  <c r="AK188" i="16" s="1"/>
  <c r="AK252" i="16" s="1"/>
  <c r="P65" i="22"/>
  <c r="AV142" i="16"/>
  <c r="AV220" i="16" s="1"/>
  <c r="AV284" i="16" s="1"/>
  <c r="AL137" i="16"/>
  <c r="AL215" i="16" s="1"/>
  <c r="AL279" i="16" s="1"/>
  <c r="AL110" i="16"/>
  <c r="AL188" i="16" s="1"/>
  <c r="AL252" i="16" s="1"/>
  <c r="AW41" i="16"/>
  <c r="AS97" i="16"/>
  <c r="AS175" i="16" s="1"/>
  <c r="AS239" i="16" s="1"/>
  <c r="AS145" i="16"/>
  <c r="AS223" i="16" s="1"/>
  <c r="AS287" i="16" s="1"/>
  <c r="BI41" i="16"/>
  <c r="BE53" i="16"/>
  <c r="N130" i="16"/>
  <c r="N208" i="16" s="1"/>
  <c r="N272" i="16" s="1"/>
  <c r="R114" i="16"/>
  <c r="R192" i="16" s="1"/>
  <c r="R256" i="16" s="1"/>
  <c r="N103" i="16"/>
  <c r="N181" i="16" s="1"/>
  <c r="N245" i="16" s="1"/>
  <c r="AX54" i="16"/>
  <c r="BJ54" i="16"/>
  <c r="N151" i="16"/>
  <c r="N229" i="16" s="1"/>
  <c r="N293" i="16" s="1"/>
  <c r="Y136" i="16"/>
  <c r="Y214" i="16" s="1"/>
  <c r="Y278" i="16" s="1"/>
  <c r="BG55" i="16"/>
  <c r="M56" i="22"/>
  <c r="AC129" i="16"/>
  <c r="AC207" i="16" s="1"/>
  <c r="AC271" i="16" s="1"/>
  <c r="BG59" i="16"/>
  <c r="AG136" i="16"/>
  <c r="AG214" i="16" s="1"/>
  <c r="AG278" i="16" s="1"/>
  <c r="AG126" i="16"/>
  <c r="AG204" i="16" s="1"/>
  <c r="AG268" i="16" s="1"/>
  <c r="BD61" i="16"/>
  <c r="AK114" i="16"/>
  <c r="AK192" i="16" s="1"/>
  <c r="AK256" i="16" s="1"/>
  <c r="BC70" i="16"/>
  <c r="H123" i="16"/>
  <c r="H201" i="16" s="1"/>
  <c r="H265" i="16" s="1"/>
  <c r="L107" i="16"/>
  <c r="L185" i="16" s="1"/>
  <c r="L249" i="16" s="1"/>
  <c r="AW72" i="16"/>
  <c r="P97" i="16"/>
  <c r="P175" i="16" s="1"/>
  <c r="P239" i="16" s="1"/>
  <c r="P145" i="16"/>
  <c r="P223" i="16" s="1"/>
  <c r="P287" i="16" s="1"/>
  <c r="BI72" i="16"/>
  <c r="X108" i="15"/>
  <c r="X173" i="15" s="1"/>
  <c r="X237" i="15" s="1"/>
  <c r="AZ12" i="15"/>
  <c r="AB108" i="15" s="1"/>
  <c r="AB173" i="15" s="1"/>
  <c r="AB237" i="15" s="1"/>
  <c r="AF124" i="15"/>
  <c r="AF189" i="15" s="1"/>
  <c r="AF253" i="15" s="1"/>
  <c r="BD16" i="15"/>
  <c r="AJ124" i="15" s="1"/>
  <c r="AJ189" i="15" s="1"/>
  <c r="AJ253" i="15" s="1"/>
  <c r="BJ19" i="15"/>
  <c r="AJ151" i="15" s="1"/>
  <c r="AJ216" i="15" s="1"/>
  <c r="AJ280" i="15" s="1"/>
  <c r="AF151" i="15"/>
  <c r="AF216" i="15" s="1"/>
  <c r="AF280" i="15" s="1"/>
  <c r="AQ134" i="15"/>
  <c r="AQ199" i="15" s="1"/>
  <c r="AQ263" i="15" s="1"/>
  <c r="BF22" i="15"/>
  <c r="AU134" i="15" s="1"/>
  <c r="AU199" i="15" s="1"/>
  <c r="AU263" i="15" s="1"/>
  <c r="G109" i="15"/>
  <c r="G174" i="15" s="1"/>
  <c r="G238" i="15" s="1"/>
  <c r="AZ25" i="15"/>
  <c r="K109" i="15" s="1"/>
  <c r="K174" i="15" s="1"/>
  <c r="K238" i="15" s="1"/>
  <c r="AW30" i="15"/>
  <c r="V98" i="15" s="1"/>
  <c r="V163" i="15" s="1"/>
  <c r="V227" i="15" s="1"/>
  <c r="Q98" i="15"/>
  <c r="Q163" i="15" s="1"/>
  <c r="Q227" i="15" s="1"/>
  <c r="BG32" i="15"/>
  <c r="AD136" i="15" s="1"/>
  <c r="AD201" i="15" s="1"/>
  <c r="AD265" i="15" s="1"/>
  <c r="AS114" i="15"/>
  <c r="AS179" i="15" s="1"/>
  <c r="AS243" i="15" s="1"/>
  <c r="BA42" i="15"/>
  <c r="AW114" i="15" s="1"/>
  <c r="AW179" i="15" s="1"/>
  <c r="AW243" i="15" s="1"/>
  <c r="Z131" i="15"/>
  <c r="Z196" i="15" s="1"/>
  <c r="Z260" i="15" s="1"/>
  <c r="Q146" i="15"/>
  <c r="Q211" i="15" s="1"/>
  <c r="Q275" i="15" s="1"/>
  <c r="AH150" i="15"/>
  <c r="AH215" i="15" s="1"/>
  <c r="AH279" i="15" s="1"/>
  <c r="BC38" i="16"/>
  <c r="AH122" i="16"/>
  <c r="AH200" i="16" s="1"/>
  <c r="AH264" i="16" s="1"/>
  <c r="AL114" i="16"/>
  <c r="AL192" i="16" s="1"/>
  <c r="AL256" i="16" s="1"/>
  <c r="AW112" i="16"/>
  <c r="AW190" i="16" s="1"/>
  <c r="AW254" i="16" s="1"/>
  <c r="AW101" i="16"/>
  <c r="AW179" i="16" s="1"/>
  <c r="AW243" i="16" s="1"/>
  <c r="R144" i="16"/>
  <c r="R222" i="16" s="1"/>
  <c r="R286" i="16" s="1"/>
  <c r="AZ52" i="16"/>
  <c r="N109" i="16"/>
  <c r="N187" i="16" s="1"/>
  <c r="N251" i="16" s="1"/>
  <c r="R134" i="16"/>
  <c r="R212" i="16" s="1"/>
  <c r="R276" i="16" s="1"/>
  <c r="N107" i="16"/>
  <c r="N185" i="16" s="1"/>
  <c r="N249" i="16" s="1"/>
  <c r="AY54" i="16"/>
  <c r="BK54" i="16"/>
  <c r="N155" i="16"/>
  <c r="N233" i="16" s="1"/>
  <c r="N297" i="16" s="1"/>
  <c r="Y92" i="16"/>
  <c r="Y170" i="16" s="1"/>
  <c r="Y234" i="16" s="1"/>
  <c r="AV55" i="16"/>
  <c r="Y140" i="16"/>
  <c r="Y218" i="16" s="1"/>
  <c r="Y282" i="16" s="1"/>
  <c r="BH55" i="16"/>
  <c r="L115" i="16"/>
  <c r="L193" i="16" s="1"/>
  <c r="L257" i="16" s="1"/>
  <c r="P101" i="16"/>
  <c r="P179" i="16" s="1"/>
  <c r="P243" i="16" s="1"/>
  <c r="AX72" i="16"/>
  <c r="P149" i="16"/>
  <c r="P227" i="16" s="1"/>
  <c r="P291" i="16" s="1"/>
  <c r="BJ72" i="16"/>
  <c r="P114" i="16"/>
  <c r="P192" i="16" s="1"/>
  <c r="P256" i="16" s="1"/>
  <c r="BA73" i="16"/>
  <c r="T102" i="16"/>
  <c r="T180" i="16" s="1"/>
  <c r="T244" i="16" s="1"/>
  <c r="I103" i="16"/>
  <c r="I181" i="16" s="1"/>
  <c r="I245" i="16" s="1"/>
  <c r="AH102" i="15"/>
  <c r="AH167" i="15" s="1"/>
  <c r="AH231" i="15" s="1"/>
  <c r="AX38" i="15"/>
  <c r="AL102" i="15" s="1"/>
  <c r="AL167" i="15" s="1"/>
  <c r="AL231" i="15" s="1"/>
  <c r="BG40" i="15"/>
  <c r="AW136" i="15" s="1"/>
  <c r="AW201" i="15" s="1"/>
  <c r="AW265" i="15" s="1"/>
  <c r="Q117" i="15"/>
  <c r="Q182" i="15" s="1"/>
  <c r="Q246" i="15" s="1"/>
  <c r="AH133" i="16"/>
  <c r="AH211" i="16" s="1"/>
  <c r="AH275" i="16" s="1"/>
  <c r="BF37" i="16"/>
  <c r="AH126" i="16"/>
  <c r="AH204" i="16" s="1"/>
  <c r="AH268" i="16" s="1"/>
  <c r="BD38" i="16"/>
  <c r="BB38" i="16"/>
  <c r="BG51" i="16"/>
  <c r="N136" i="16"/>
  <c r="N214" i="16" s="1"/>
  <c r="N278" i="16" s="1"/>
  <c r="R148" i="16"/>
  <c r="R226" i="16" s="1"/>
  <c r="R290" i="16" s="1"/>
  <c r="N113" i="16"/>
  <c r="N191" i="16" s="1"/>
  <c r="N255" i="16" s="1"/>
  <c r="BA52" i="16"/>
  <c r="R97" i="16"/>
  <c r="R175" i="16" s="1"/>
  <c r="R239" i="16" s="1"/>
  <c r="BF57" i="16"/>
  <c r="Y134" i="16"/>
  <c r="Y212" i="16" s="1"/>
  <c r="Y276" i="16" s="1"/>
  <c r="L57" i="22"/>
  <c r="AC126" i="16"/>
  <c r="AC204" i="16" s="1"/>
  <c r="AC268" i="16" s="1"/>
  <c r="L145" i="16"/>
  <c r="L223" i="16" s="1"/>
  <c r="L287" i="16" s="1"/>
  <c r="L126" i="16"/>
  <c r="L204" i="16" s="1"/>
  <c r="L268" i="16" s="1"/>
  <c r="AE133" i="16"/>
  <c r="AE211" i="16" s="1"/>
  <c r="AE275" i="16" s="1"/>
  <c r="AM96" i="16"/>
  <c r="AM174" i="16" s="1"/>
  <c r="AM238" i="16" s="1"/>
  <c r="G124" i="15"/>
  <c r="G189" i="15" s="1"/>
  <c r="G253" i="15" s="1"/>
  <c r="BD24" i="15"/>
  <c r="K124" i="15" s="1"/>
  <c r="K189" i="15" s="1"/>
  <c r="K253" i="15" s="1"/>
  <c r="BG27" i="15"/>
  <c r="K139" i="15" s="1"/>
  <c r="K204" i="15" s="1"/>
  <c r="K268" i="15" s="1"/>
  <c r="AH154" i="15"/>
  <c r="AH219" i="15" s="1"/>
  <c r="AH283" i="15" s="1"/>
  <c r="BK38" i="15"/>
  <c r="AL154" i="15" s="1"/>
  <c r="AL219" i="15" s="1"/>
  <c r="AL283" i="15" s="1"/>
  <c r="K145" i="16"/>
  <c r="K223" i="16" s="1"/>
  <c r="K287" i="16" s="1"/>
  <c r="G110" i="16"/>
  <c r="G188" i="16" s="1"/>
  <c r="G252" i="16" s="1"/>
  <c r="AZ26" i="16"/>
  <c r="K94" i="16"/>
  <c r="K172" i="16" s="1"/>
  <c r="K236" i="16" s="1"/>
  <c r="S136" i="16"/>
  <c r="S214" i="16" s="1"/>
  <c r="S278" i="16" s="1"/>
  <c r="O105" i="16"/>
  <c r="O183" i="16" s="1"/>
  <c r="O247" i="16" s="1"/>
  <c r="AY29" i="16"/>
  <c r="BK29" i="16"/>
  <c r="O153" i="16"/>
  <c r="O231" i="16" s="1"/>
  <c r="O295" i="16" s="1"/>
  <c r="AY36" i="16"/>
  <c r="AH104" i="16"/>
  <c r="AH182" i="16" s="1"/>
  <c r="AH246" i="16" s="1"/>
  <c r="BK36" i="16"/>
  <c r="AH152" i="16"/>
  <c r="AH230" i="16" s="1"/>
  <c r="AH294" i="16" s="1"/>
  <c r="R57" i="22"/>
  <c r="AC150" i="16"/>
  <c r="AC228" i="16" s="1"/>
  <c r="AC292" i="16" s="1"/>
  <c r="Y115" i="16"/>
  <c r="Y193" i="16" s="1"/>
  <c r="Y257" i="16" s="1"/>
  <c r="BA58" i="16"/>
  <c r="G58" i="22"/>
  <c r="AC107" i="16"/>
  <c r="AC185" i="16" s="1"/>
  <c r="AC249" i="16" s="1"/>
  <c r="K66" i="22"/>
  <c r="AV123" i="16"/>
  <c r="AV201" i="16" s="1"/>
  <c r="AV265" i="16" s="1"/>
  <c r="L124" i="16"/>
  <c r="L202" i="16" s="1"/>
  <c r="L266" i="16" s="1"/>
  <c r="L149" i="16"/>
  <c r="L227" i="16" s="1"/>
  <c r="L291" i="16" s="1"/>
  <c r="BF69" i="16"/>
  <c r="H134" i="16"/>
  <c r="H212" i="16" s="1"/>
  <c r="H276" i="16" s="1"/>
  <c r="L130" i="16"/>
  <c r="L208" i="16" s="1"/>
  <c r="L272" i="16" s="1"/>
  <c r="R93" i="16"/>
  <c r="R171" i="16" s="1"/>
  <c r="R235" i="16" s="1"/>
  <c r="D184" i="16"/>
  <c r="AF122" i="15"/>
  <c r="AF187" i="15" s="1"/>
  <c r="AF251" i="15" s="1"/>
  <c r="BC18" i="15"/>
  <c r="AJ122" i="15" s="1"/>
  <c r="AJ187" i="15" s="1"/>
  <c r="AJ251" i="15" s="1"/>
  <c r="G128" i="15"/>
  <c r="G193" i="15" s="1"/>
  <c r="G257" i="15" s="1"/>
  <c r="BE24" i="15"/>
  <c r="K128" i="15" s="1"/>
  <c r="K193" i="15" s="1"/>
  <c r="K257" i="15" s="1"/>
  <c r="BH27" i="15"/>
  <c r="K143" i="15" s="1"/>
  <c r="K208" i="15" s="1"/>
  <c r="K272" i="15" s="1"/>
  <c r="AX31" i="15"/>
  <c r="V103" i="15" s="1"/>
  <c r="V168" i="15" s="1"/>
  <c r="V232" i="15" s="1"/>
  <c r="Q103" i="15"/>
  <c r="Q168" i="15" s="1"/>
  <c r="Q232" i="15" s="1"/>
  <c r="BJ31" i="15"/>
  <c r="V151" i="15" s="1"/>
  <c r="V216" i="15" s="1"/>
  <c r="V280" i="15" s="1"/>
  <c r="Q151" i="15"/>
  <c r="Q216" i="15" s="1"/>
  <c r="Q280" i="15" s="1"/>
  <c r="AZ37" i="15"/>
  <c r="AL109" i="15" s="1"/>
  <c r="AL174" i="15" s="1"/>
  <c r="AL238" i="15" s="1"/>
  <c r="AS96" i="15"/>
  <c r="AS161" i="15" s="1"/>
  <c r="AS225" i="15" s="1"/>
  <c r="AW40" i="15"/>
  <c r="AW96" i="15" s="1"/>
  <c r="AW161" i="15" s="1"/>
  <c r="AW225" i="15" s="1"/>
  <c r="AS137" i="15"/>
  <c r="AS202" i="15" s="1"/>
  <c r="AS266" i="15" s="1"/>
  <c r="BG41" i="15"/>
  <c r="AW137" i="15" s="1"/>
  <c r="AW202" i="15" s="1"/>
  <c r="AW266" i="15" s="1"/>
  <c r="E222" i="15"/>
  <c r="D222" i="15" s="1"/>
  <c r="D158" i="15"/>
  <c r="Q119" i="16"/>
  <c r="Q197" i="16" s="1"/>
  <c r="Q261" i="16" s="1"/>
  <c r="BG14" i="16"/>
  <c r="X138" i="16"/>
  <c r="X216" i="16" s="1"/>
  <c r="X280" i="16" s="1"/>
  <c r="AB146" i="16"/>
  <c r="AB224" i="16" s="1"/>
  <c r="AB288" i="16" s="1"/>
  <c r="X115" i="16"/>
  <c r="X193" i="16" s="1"/>
  <c r="X257" i="16" s="1"/>
  <c r="BA15" i="16"/>
  <c r="AB99" i="16"/>
  <c r="AB177" i="16" s="1"/>
  <c r="AB241" i="16" s="1"/>
  <c r="AF96" i="16"/>
  <c r="AF174" i="16" s="1"/>
  <c r="AF238" i="16" s="1"/>
  <c r="AW16" i="16"/>
  <c r="AF144" i="16"/>
  <c r="AF222" i="16" s="1"/>
  <c r="AF286" i="16" s="1"/>
  <c r="BI16" i="16"/>
  <c r="AF133" i="16"/>
  <c r="AF211" i="16" s="1"/>
  <c r="AF275" i="16" s="1"/>
  <c r="BF17" i="16"/>
  <c r="AW24" i="16"/>
  <c r="G96" i="16"/>
  <c r="G174" i="16" s="1"/>
  <c r="G238" i="16" s="1"/>
  <c r="G144" i="16"/>
  <c r="G222" i="16" s="1"/>
  <c r="G286" i="16" s="1"/>
  <c r="BI24" i="16"/>
  <c r="K149" i="16"/>
  <c r="K227" i="16" s="1"/>
  <c r="K291" i="16" s="1"/>
  <c r="G114" i="16"/>
  <c r="G192" i="16" s="1"/>
  <c r="G256" i="16" s="1"/>
  <c r="BA26" i="16"/>
  <c r="K98" i="16"/>
  <c r="K176" i="16" s="1"/>
  <c r="K240" i="16" s="1"/>
  <c r="S140" i="16"/>
  <c r="S218" i="16" s="1"/>
  <c r="S282" i="16" s="1"/>
  <c r="S109" i="16"/>
  <c r="S187" i="16" s="1"/>
  <c r="S251" i="16" s="1"/>
  <c r="S93" i="16"/>
  <c r="S171" i="16" s="1"/>
  <c r="S235" i="16" s="1"/>
  <c r="AD139" i="16"/>
  <c r="AD217" i="16" s="1"/>
  <c r="AD281" i="16" s="1"/>
  <c r="N121" i="16"/>
  <c r="N199" i="16" s="1"/>
  <c r="N263" i="16" s="1"/>
  <c r="BC52" i="16"/>
  <c r="R105" i="16"/>
  <c r="R183" i="16" s="1"/>
  <c r="R247" i="16" s="1"/>
  <c r="AH104" i="15"/>
  <c r="AH169" i="15" s="1"/>
  <c r="AH233" i="15" s="1"/>
  <c r="AF109" i="15"/>
  <c r="AF174" i="15" s="1"/>
  <c r="AF238" i="15" s="1"/>
  <c r="AS118" i="15"/>
  <c r="AS183" i="15" s="1"/>
  <c r="AS247" i="15" s="1"/>
  <c r="Q140" i="15"/>
  <c r="Q205" i="15" s="1"/>
  <c r="Q269" i="15" s="1"/>
  <c r="E141" i="15"/>
  <c r="E206" i="15" s="1"/>
  <c r="AS143" i="15"/>
  <c r="AS208" i="15" s="1"/>
  <c r="AS272" i="15" s="1"/>
  <c r="Z152" i="15"/>
  <c r="Z217" i="15" s="1"/>
  <c r="Z281" i="15" s="1"/>
  <c r="I154" i="16"/>
  <c r="I232" i="16" s="1"/>
  <c r="I296" i="16" s="1"/>
  <c r="I123" i="16"/>
  <c r="I201" i="16" s="1"/>
  <c r="I265" i="16" s="1"/>
  <c r="M100" i="16"/>
  <c r="M178" i="16" s="1"/>
  <c r="M242" i="16" s="1"/>
  <c r="AX8" i="16"/>
  <c r="M148" i="16"/>
  <c r="M226" i="16" s="1"/>
  <c r="M290" i="16" s="1"/>
  <c r="BJ8" i="16"/>
  <c r="Q137" i="16"/>
  <c r="Q215" i="16" s="1"/>
  <c r="Q279" i="16" s="1"/>
  <c r="Q114" i="16"/>
  <c r="Q192" i="16" s="1"/>
  <c r="Q256" i="16" s="1"/>
  <c r="AU140" i="16"/>
  <c r="AU218" i="16" s="1"/>
  <c r="AU282" i="16" s="1"/>
  <c r="AU129" i="16"/>
  <c r="AU207" i="16" s="1"/>
  <c r="AU271" i="16" s="1"/>
  <c r="K138" i="16"/>
  <c r="K216" i="16" s="1"/>
  <c r="K280" i="16" s="1"/>
  <c r="AY27" i="16"/>
  <c r="G107" i="16"/>
  <c r="G185" i="16" s="1"/>
  <c r="G249" i="16" s="1"/>
  <c r="G155" i="16"/>
  <c r="G233" i="16" s="1"/>
  <c r="G297" i="16" s="1"/>
  <c r="BK27" i="16"/>
  <c r="AZ42" i="16"/>
  <c r="AS110" i="16"/>
  <c r="AS188" i="16" s="1"/>
  <c r="AS252" i="16" s="1"/>
  <c r="AW94" i="16"/>
  <c r="AW172" i="16" s="1"/>
  <c r="AW236" i="16" s="1"/>
  <c r="J50" i="22"/>
  <c r="J119" i="16"/>
  <c r="J197" i="16" s="1"/>
  <c r="J261" i="16" s="1"/>
  <c r="R146" i="16"/>
  <c r="R224" i="16" s="1"/>
  <c r="R288" i="16" s="1"/>
  <c r="R131" i="16"/>
  <c r="R209" i="16" s="1"/>
  <c r="R273" i="16" s="1"/>
  <c r="Y94" i="16"/>
  <c r="Y172" i="16" s="1"/>
  <c r="Y236" i="16" s="1"/>
  <c r="AV57" i="16"/>
  <c r="BH57" i="16"/>
  <c r="Y142" i="16"/>
  <c r="Y220" i="16" s="1"/>
  <c r="Y284" i="16" s="1"/>
  <c r="S57" i="22"/>
  <c r="AC154" i="16"/>
  <c r="AC232" i="16" s="1"/>
  <c r="AC296" i="16" s="1"/>
  <c r="Y119" i="16"/>
  <c r="Y197" i="16" s="1"/>
  <c r="Y261" i="16" s="1"/>
  <c r="BB58" i="16"/>
  <c r="H58" i="22"/>
  <c r="AC111" i="16"/>
  <c r="AC189" i="16" s="1"/>
  <c r="AC253" i="16" s="1"/>
  <c r="AE146" i="16"/>
  <c r="AE224" i="16" s="1"/>
  <c r="AE288" i="16" s="1"/>
  <c r="AM130" i="16"/>
  <c r="AM208" i="16" s="1"/>
  <c r="AM272" i="16" s="1"/>
  <c r="AM131" i="16"/>
  <c r="AM209" i="16" s="1"/>
  <c r="AM273" i="16" s="1"/>
  <c r="AX132" i="16"/>
  <c r="AX210" i="16" s="1"/>
  <c r="AX274" i="16" s="1"/>
  <c r="BF18" i="15"/>
  <c r="AJ134" i="15" s="1"/>
  <c r="AJ199" i="15" s="1"/>
  <c r="AJ263" i="15" s="1"/>
  <c r="AF134" i="15"/>
  <c r="AF199" i="15" s="1"/>
  <c r="AF263" i="15" s="1"/>
  <c r="Z110" i="15"/>
  <c r="Z175" i="15" s="1"/>
  <c r="Z239" i="15" s="1"/>
  <c r="AS111" i="15"/>
  <c r="AS176" i="15" s="1"/>
  <c r="AS240" i="15" s="1"/>
  <c r="AH129" i="15"/>
  <c r="AH194" i="15" s="1"/>
  <c r="AH258" i="15" s="1"/>
  <c r="O153" i="15"/>
  <c r="O218" i="15" s="1"/>
  <c r="O282" i="15" s="1"/>
  <c r="D195" i="15"/>
  <c r="E284" i="16"/>
  <c r="D284" i="16" s="1"/>
  <c r="D220" i="16"/>
  <c r="I127" i="16"/>
  <c r="I205" i="16" s="1"/>
  <c r="I269" i="16" s="1"/>
  <c r="Q118" i="16"/>
  <c r="Q196" i="16" s="1"/>
  <c r="Q260" i="16" s="1"/>
  <c r="BD19" i="16"/>
  <c r="AF127" i="16"/>
  <c r="AF205" i="16" s="1"/>
  <c r="AF269" i="16" s="1"/>
  <c r="AJ111" i="16"/>
  <c r="AJ189" i="16" s="1"/>
  <c r="AJ253" i="16" s="1"/>
  <c r="AU144" i="16"/>
  <c r="AU222" i="16" s="1"/>
  <c r="AU286" i="16" s="1"/>
  <c r="AU133" i="16"/>
  <c r="AU211" i="16" s="1"/>
  <c r="AU275" i="16" s="1"/>
  <c r="AQ102" i="16"/>
  <c r="AQ180" i="16" s="1"/>
  <c r="AQ244" i="16" s="1"/>
  <c r="AX22" i="16"/>
  <c r="K142" i="16"/>
  <c r="K220" i="16" s="1"/>
  <c r="K284" i="16" s="1"/>
  <c r="O92" i="16"/>
  <c r="O170" i="16" s="1"/>
  <c r="O234" i="16" s="1"/>
  <c r="AV28" i="16"/>
  <c r="AL123" i="16"/>
  <c r="AL201" i="16" s="1"/>
  <c r="AL265" i="16" s="1"/>
  <c r="AS100" i="16"/>
  <c r="AS178" i="16" s="1"/>
  <c r="AS242" i="16" s="1"/>
  <c r="AX40" i="16"/>
  <c r="AS148" i="16"/>
  <c r="AS226" i="16" s="1"/>
  <c r="AS290" i="16" s="1"/>
  <c r="BJ40" i="16"/>
  <c r="AW149" i="16"/>
  <c r="AW227" i="16" s="1"/>
  <c r="AW291" i="16" s="1"/>
  <c r="BA42" i="16"/>
  <c r="AS114" i="16"/>
  <c r="AS192" i="16" s="1"/>
  <c r="AS256" i="16" s="1"/>
  <c r="AW98" i="16"/>
  <c r="AW176" i="16" s="1"/>
  <c r="AW240" i="16" s="1"/>
  <c r="O47" i="22"/>
  <c r="J136" i="16"/>
  <c r="J214" i="16" s="1"/>
  <c r="J278" i="16" s="1"/>
  <c r="G48" i="22"/>
  <c r="J105" i="16"/>
  <c r="J183" i="16" s="1"/>
  <c r="J247" i="16" s="1"/>
  <c r="F153" i="16"/>
  <c r="F231" i="16" s="1"/>
  <c r="F295" i="16" s="1"/>
  <c r="BK48" i="16"/>
  <c r="N49" i="22"/>
  <c r="F127" i="16"/>
  <c r="F205" i="16" s="1"/>
  <c r="F269" i="16" s="1"/>
  <c r="BD50" i="16"/>
  <c r="BC50" i="16"/>
  <c r="BE52" i="16"/>
  <c r="N129" i="16"/>
  <c r="N207" i="16" s="1"/>
  <c r="N271" i="16" s="1"/>
  <c r="R117" i="16"/>
  <c r="R195" i="16" s="1"/>
  <c r="R259" i="16" s="1"/>
  <c r="R135" i="16"/>
  <c r="R213" i="16" s="1"/>
  <c r="R277" i="16" s="1"/>
  <c r="J55" i="22"/>
  <c r="AC116" i="16"/>
  <c r="AC194" i="16" s="1"/>
  <c r="AC258" i="16" s="1"/>
  <c r="AW76" i="16"/>
  <c r="AA97" i="16"/>
  <c r="AA175" i="16" s="1"/>
  <c r="AA239" i="16" s="1"/>
  <c r="AA145" i="16"/>
  <c r="AA223" i="16" s="1"/>
  <c r="AA287" i="16" s="1"/>
  <c r="BI76" i="16"/>
  <c r="AX136" i="16"/>
  <c r="AX214" i="16" s="1"/>
  <c r="AX278" i="16" s="1"/>
  <c r="BD84" i="16"/>
  <c r="AT125" i="16"/>
  <c r="AT203" i="16" s="1"/>
  <c r="AT267" i="16" s="1"/>
  <c r="AX113" i="16"/>
  <c r="AX191" i="16" s="1"/>
  <c r="AX255" i="16" s="1"/>
  <c r="BK15" i="15"/>
  <c r="AB155" i="15" s="1"/>
  <c r="AB220" i="15" s="1"/>
  <c r="AB284" i="15" s="1"/>
  <c r="BB17" i="15"/>
  <c r="AJ117" i="15" s="1"/>
  <c r="AJ182" i="15" s="1"/>
  <c r="AJ246" i="15" s="1"/>
  <c r="AF117" i="15"/>
  <c r="AF182" i="15" s="1"/>
  <c r="AF246" i="15" s="1"/>
  <c r="BC29" i="15"/>
  <c r="V121" i="15" s="1"/>
  <c r="V186" i="15" s="1"/>
  <c r="V250" i="15" s="1"/>
  <c r="BG39" i="15"/>
  <c r="AL139" i="15" s="1"/>
  <c r="AL204" i="15" s="1"/>
  <c r="AL268" i="15" s="1"/>
  <c r="BH41" i="15"/>
  <c r="AW141" i="15" s="1"/>
  <c r="AW206" i="15" s="1"/>
  <c r="AW270" i="15" s="1"/>
  <c r="AX43" i="15"/>
  <c r="AW103" i="15" s="1"/>
  <c r="AW168" i="15" s="1"/>
  <c r="AW232" i="15" s="1"/>
  <c r="AS103" i="15"/>
  <c r="AS168" i="15" s="1"/>
  <c r="AS232" i="15" s="1"/>
  <c r="AF107" i="15"/>
  <c r="AF172" i="15" s="1"/>
  <c r="AF236" i="15" s="1"/>
  <c r="E134" i="15"/>
  <c r="E199" i="15" s="1"/>
  <c r="Q143" i="15"/>
  <c r="Q208" i="15" s="1"/>
  <c r="Q272" i="15" s="1"/>
  <c r="Q148" i="15"/>
  <c r="Q213" i="15" s="1"/>
  <c r="Q277" i="15" s="1"/>
  <c r="AS151" i="15"/>
  <c r="AS216" i="15" s="1"/>
  <c r="AS280" i="15" s="1"/>
  <c r="E246" i="16"/>
  <c r="D246" i="16" s="1"/>
  <c r="D182" i="16"/>
  <c r="Q104" i="16"/>
  <c r="Q182" i="16" s="1"/>
  <c r="Q246" i="16" s="1"/>
  <c r="M93" i="16"/>
  <c r="M171" i="16" s="1"/>
  <c r="M235" i="16" s="1"/>
  <c r="AV9" i="16"/>
  <c r="BH9" i="16"/>
  <c r="M141" i="16"/>
  <c r="M219" i="16" s="1"/>
  <c r="M283" i="16" s="1"/>
  <c r="BE23" i="16"/>
  <c r="K111" i="16"/>
  <c r="K189" i="16" s="1"/>
  <c r="K253" i="16" s="1"/>
  <c r="S96" i="16"/>
  <c r="S174" i="16" s="1"/>
  <c r="S238" i="16" s="1"/>
  <c r="AL128" i="16"/>
  <c r="AL206" i="16" s="1"/>
  <c r="AL270" i="16" s="1"/>
  <c r="AL143" i="16"/>
  <c r="AL221" i="16" s="1"/>
  <c r="AL285" i="16" s="1"/>
  <c r="AS104" i="16"/>
  <c r="AS182" i="16" s="1"/>
  <c r="AS246" i="16" s="1"/>
  <c r="AY40" i="16"/>
  <c r="AW152" i="16"/>
  <c r="AW230" i="16" s="1"/>
  <c r="AW294" i="16" s="1"/>
  <c r="P47" i="22"/>
  <c r="J140" i="16"/>
  <c r="J218" i="16" s="1"/>
  <c r="J282" i="16" s="1"/>
  <c r="AZ48" i="16"/>
  <c r="F109" i="16"/>
  <c r="F187" i="16" s="1"/>
  <c r="F251" i="16" s="1"/>
  <c r="D48" i="22"/>
  <c r="J93" i="16"/>
  <c r="J171" i="16" s="1"/>
  <c r="J235" i="16" s="1"/>
  <c r="O49" i="22"/>
  <c r="J138" i="16"/>
  <c r="J216" i="16" s="1"/>
  <c r="J280" i="16" s="1"/>
  <c r="M50" i="22"/>
  <c r="J131" i="16"/>
  <c r="J209" i="16" s="1"/>
  <c r="J273" i="16" s="1"/>
  <c r="AX76" i="16"/>
  <c r="AA101" i="16"/>
  <c r="AA179" i="16" s="1"/>
  <c r="AA243" i="16" s="1"/>
  <c r="AA149" i="16"/>
  <c r="AA227" i="16" s="1"/>
  <c r="AA291" i="16" s="1"/>
  <c r="BJ76" i="16"/>
  <c r="BA4" i="15"/>
  <c r="I112" i="15" s="1"/>
  <c r="I177" i="15" s="1"/>
  <c r="I241" i="15" s="1"/>
  <c r="BC8" i="15"/>
  <c r="S120" i="15" s="1"/>
  <c r="S185" i="15" s="1"/>
  <c r="S249" i="15" s="1"/>
  <c r="BH9" i="15"/>
  <c r="S141" i="15" s="1"/>
  <c r="S206" i="15" s="1"/>
  <c r="S270" i="15" s="1"/>
  <c r="AY34" i="15"/>
  <c r="AD106" i="15" s="1"/>
  <c r="AD171" i="15" s="1"/>
  <c r="AD235" i="15" s="1"/>
  <c r="O126" i="15"/>
  <c r="O191" i="15" s="1"/>
  <c r="O255" i="15" s="1"/>
  <c r="E251" i="16"/>
  <c r="D251" i="16" s="1"/>
  <c r="D187" i="16"/>
  <c r="I101" i="16"/>
  <c r="I179" i="16" s="1"/>
  <c r="I243" i="16" s="1"/>
  <c r="E244" i="16"/>
  <c r="D244" i="16" s="1"/>
  <c r="D180" i="16"/>
  <c r="E150" i="16"/>
  <c r="E228" i="16" s="1"/>
  <c r="BJ6" i="16"/>
  <c r="E269" i="16"/>
  <c r="D269" i="16" s="1"/>
  <c r="D205" i="16"/>
  <c r="I143" i="16"/>
  <c r="I221" i="16" s="1"/>
  <c r="I285" i="16" s="1"/>
  <c r="Q112" i="16"/>
  <c r="Q190" i="16" s="1"/>
  <c r="Q254" i="16" s="1"/>
  <c r="AB105" i="16"/>
  <c r="AB183" i="16" s="1"/>
  <c r="AB247" i="16" s="1"/>
  <c r="X130" i="16"/>
  <c r="X208" i="16" s="1"/>
  <c r="X272" i="16" s="1"/>
  <c r="BE14" i="16"/>
  <c r="AB134" i="16"/>
  <c r="AB212" i="16" s="1"/>
  <c r="AB276" i="16" s="1"/>
  <c r="X107" i="16"/>
  <c r="X185" i="16" s="1"/>
  <c r="X249" i="16" s="1"/>
  <c r="AY15" i="16"/>
  <c r="X155" i="16"/>
  <c r="X233" i="16" s="1"/>
  <c r="X297" i="16" s="1"/>
  <c r="BK15" i="16"/>
  <c r="AJ125" i="16"/>
  <c r="AJ203" i="16" s="1"/>
  <c r="AJ267" i="16" s="1"/>
  <c r="AJ129" i="16"/>
  <c r="AJ207" i="16" s="1"/>
  <c r="AJ271" i="16" s="1"/>
  <c r="AJ102" i="16"/>
  <c r="AJ180" i="16" s="1"/>
  <c r="AJ244" i="16" s="1"/>
  <c r="AF135" i="16"/>
  <c r="AF213" i="16" s="1"/>
  <c r="AF277" i="16" s="1"/>
  <c r="BF19" i="16"/>
  <c r="AJ119" i="16"/>
  <c r="AJ197" i="16" s="1"/>
  <c r="AJ261" i="16" s="1"/>
  <c r="AU145" i="16"/>
  <c r="AU223" i="16" s="1"/>
  <c r="AU287" i="16" s="1"/>
  <c r="AQ110" i="16"/>
  <c r="AQ188" i="16" s="1"/>
  <c r="AQ252" i="16" s="1"/>
  <c r="AZ22" i="16"/>
  <c r="AD150" i="16"/>
  <c r="AD228" i="16" s="1"/>
  <c r="AD292" i="16" s="1"/>
  <c r="Z111" i="16"/>
  <c r="Z189" i="16" s="1"/>
  <c r="Z253" i="16" s="1"/>
  <c r="AZ35" i="16"/>
  <c r="AD95" i="16"/>
  <c r="AD173" i="16" s="1"/>
  <c r="AD237" i="16" s="1"/>
  <c r="Q47" i="22"/>
  <c r="J144" i="16"/>
  <c r="J222" i="16" s="1"/>
  <c r="J286" i="16" s="1"/>
  <c r="BA48" i="16"/>
  <c r="F113" i="16"/>
  <c r="F191" i="16" s="1"/>
  <c r="F255" i="16" s="1"/>
  <c r="E48" i="22"/>
  <c r="J97" i="16"/>
  <c r="J175" i="16" s="1"/>
  <c r="J239" i="16" s="1"/>
  <c r="AV24" i="15"/>
  <c r="K92" i="15" s="1"/>
  <c r="K157" i="15" s="1"/>
  <c r="K221" i="15" s="1"/>
  <c r="Q118" i="15"/>
  <c r="Q183" i="15" s="1"/>
  <c r="Q247" i="15" s="1"/>
  <c r="BB30" i="15"/>
  <c r="V118" i="15" s="1"/>
  <c r="V183" i="15" s="1"/>
  <c r="V247" i="15" s="1"/>
  <c r="O99" i="15"/>
  <c r="O164" i="15" s="1"/>
  <c r="O228" i="15" s="1"/>
  <c r="AQ119" i="15"/>
  <c r="AQ184" i="15" s="1"/>
  <c r="AQ248" i="15" s="1"/>
  <c r="AH152" i="15"/>
  <c r="AH217" i="15" s="1"/>
  <c r="AH281" i="15" s="1"/>
  <c r="I108" i="16"/>
  <c r="I186" i="16" s="1"/>
  <c r="I250" i="16" s="1"/>
  <c r="I105" i="16"/>
  <c r="I183" i="16" s="1"/>
  <c r="I247" i="16" s="1"/>
  <c r="I106" i="16"/>
  <c r="I184" i="16" s="1"/>
  <c r="I248" i="16" s="1"/>
  <c r="E296" i="16"/>
  <c r="D296" i="16" s="1"/>
  <c r="D232" i="16"/>
  <c r="E273" i="16"/>
  <c r="D273" i="16" s="1"/>
  <c r="D209" i="16"/>
  <c r="I147" i="16"/>
  <c r="I225" i="16" s="1"/>
  <c r="I289" i="16" s="1"/>
  <c r="Q116" i="16"/>
  <c r="Q194" i="16" s="1"/>
  <c r="Q258" i="16" s="1"/>
  <c r="X96" i="16"/>
  <c r="X174" i="16" s="1"/>
  <c r="X238" i="16" s="1"/>
  <c r="AW12" i="16"/>
  <c r="BI12" i="16"/>
  <c r="X144" i="16"/>
  <c r="X222" i="16" s="1"/>
  <c r="X286" i="16" s="1"/>
  <c r="AB109" i="16"/>
  <c r="AB187" i="16" s="1"/>
  <c r="AB251" i="16" s="1"/>
  <c r="AB142" i="16"/>
  <c r="AB220" i="16" s="1"/>
  <c r="AB284" i="16" s="1"/>
  <c r="X111" i="16"/>
  <c r="X189" i="16" s="1"/>
  <c r="X253" i="16" s="1"/>
  <c r="AZ15" i="16"/>
  <c r="AB95" i="16"/>
  <c r="AB173" i="16" s="1"/>
  <c r="AB237" i="16" s="1"/>
  <c r="AJ106" i="16"/>
  <c r="AJ184" i="16" s="1"/>
  <c r="AJ248" i="16" s="1"/>
  <c r="AU149" i="16"/>
  <c r="AU227" i="16" s="1"/>
  <c r="AU291" i="16" s="1"/>
  <c r="BA22" i="16"/>
  <c r="AQ114" i="16"/>
  <c r="AQ192" i="16" s="1"/>
  <c r="AQ256" i="16" s="1"/>
  <c r="AW22" i="16"/>
  <c r="AD152" i="16"/>
  <c r="AD230" i="16" s="1"/>
  <c r="AD294" i="16" s="1"/>
  <c r="BB33" i="16"/>
  <c r="Z117" i="16"/>
  <c r="Z195" i="16" s="1"/>
  <c r="Z259" i="16" s="1"/>
  <c r="AD101" i="16"/>
  <c r="AD179" i="16" s="1"/>
  <c r="AD243" i="16" s="1"/>
  <c r="AD154" i="16"/>
  <c r="AD232" i="16" s="1"/>
  <c r="AD296" i="16" s="1"/>
  <c r="BA35" i="16"/>
  <c r="Z115" i="16"/>
  <c r="Z193" i="16" s="1"/>
  <c r="Z257" i="16" s="1"/>
  <c r="AD99" i="16"/>
  <c r="AD177" i="16" s="1"/>
  <c r="AD241" i="16" s="1"/>
  <c r="AV41" i="16"/>
  <c r="AS93" i="16"/>
  <c r="AS171" i="16" s="1"/>
  <c r="AS235" i="16" s="1"/>
  <c r="AS141" i="16"/>
  <c r="AS219" i="16" s="1"/>
  <c r="AS283" i="16" s="1"/>
  <c r="BH41" i="16"/>
  <c r="E295" i="16"/>
  <c r="D295" i="16" s="1"/>
  <c r="D231" i="16"/>
  <c r="AX109" i="16"/>
  <c r="AX187" i="16" s="1"/>
  <c r="AX251" i="16" s="1"/>
  <c r="AX118" i="16"/>
  <c r="AX196" i="16" s="1"/>
  <c r="AX260" i="16" s="1"/>
  <c r="E237" i="16"/>
  <c r="D237" i="16" s="1"/>
  <c r="D173" i="16"/>
  <c r="I66" i="22"/>
  <c r="P103" i="16"/>
  <c r="P181" i="16" s="1"/>
  <c r="P245" i="16" s="1"/>
  <c r="AX74" i="16"/>
  <c r="AY75" i="16"/>
  <c r="AA104" i="16"/>
  <c r="AA182" i="16" s="1"/>
  <c r="AA246" i="16" s="1"/>
  <c r="AW80" i="16"/>
  <c r="AI97" i="16"/>
  <c r="AI175" i="16" s="1"/>
  <c r="AI239" i="16" s="1"/>
  <c r="BI80" i="16"/>
  <c r="AI145" i="16"/>
  <c r="AI223" i="16" s="1"/>
  <c r="AI287" i="16" s="1"/>
  <c r="BC84" i="16"/>
  <c r="I128" i="16"/>
  <c r="I206" i="16" s="1"/>
  <c r="I270" i="16" s="1"/>
  <c r="I98" i="16"/>
  <c r="I176" i="16" s="1"/>
  <c r="I240" i="16" s="1"/>
  <c r="I135" i="16"/>
  <c r="I213" i="16" s="1"/>
  <c r="I277" i="16" s="1"/>
  <c r="BE9" i="16"/>
  <c r="M106" i="16"/>
  <c r="M184" i="16" s="1"/>
  <c r="M248" i="16" s="1"/>
  <c r="AY10" i="16"/>
  <c r="M154" i="16"/>
  <c r="M232" i="16" s="1"/>
  <c r="M296" i="16" s="1"/>
  <c r="BK10" i="16"/>
  <c r="AB117" i="16"/>
  <c r="AB195" i="16" s="1"/>
  <c r="AB259" i="16" s="1"/>
  <c r="BE19" i="16"/>
  <c r="AF131" i="16"/>
  <c r="AF209" i="16" s="1"/>
  <c r="AF273" i="16" s="1"/>
  <c r="AJ115" i="16"/>
  <c r="AJ193" i="16" s="1"/>
  <c r="AJ257" i="16" s="1"/>
  <c r="AU137" i="16"/>
  <c r="AU215" i="16" s="1"/>
  <c r="AU279" i="16" s="1"/>
  <c r="AU127" i="16"/>
  <c r="AU205" i="16" s="1"/>
  <c r="AU269" i="16" s="1"/>
  <c r="S152" i="16"/>
  <c r="S230" i="16" s="1"/>
  <c r="S294" i="16" s="1"/>
  <c r="S121" i="16"/>
  <c r="S199" i="16" s="1"/>
  <c r="S263" i="16" s="1"/>
  <c r="AL106" i="16"/>
  <c r="AL184" i="16" s="1"/>
  <c r="AL248" i="16" s="1"/>
  <c r="BG39" i="16"/>
  <c r="AH139" i="16"/>
  <c r="AH217" i="16" s="1"/>
  <c r="AH281" i="16" s="1"/>
  <c r="I50" i="22"/>
  <c r="R92" i="16"/>
  <c r="R170" i="16" s="1"/>
  <c r="R234" i="16" s="1"/>
  <c r="BH51" i="16"/>
  <c r="N140" i="16"/>
  <c r="N218" i="16" s="1"/>
  <c r="N282" i="16" s="1"/>
  <c r="R152" i="16"/>
  <c r="R230" i="16" s="1"/>
  <c r="R294" i="16" s="1"/>
  <c r="R101" i="16"/>
  <c r="R179" i="16" s="1"/>
  <c r="R243" i="16" s="1"/>
  <c r="R138" i="16"/>
  <c r="R216" i="16" s="1"/>
  <c r="R280" i="16" s="1"/>
  <c r="AZ54" i="16"/>
  <c r="N111" i="16"/>
  <c r="N189" i="16" s="1"/>
  <c r="N253" i="16" s="1"/>
  <c r="R95" i="16"/>
  <c r="R173" i="16" s="1"/>
  <c r="R237" i="16" s="1"/>
  <c r="Y130" i="16"/>
  <c r="Y208" i="16" s="1"/>
  <c r="Y272" i="16" s="1"/>
  <c r="BE57" i="16"/>
  <c r="K57" i="22"/>
  <c r="AC122" i="16"/>
  <c r="AC200" i="16" s="1"/>
  <c r="AC264" i="16" s="1"/>
  <c r="AK92" i="16"/>
  <c r="AK170" i="16" s="1"/>
  <c r="AK234" i="16" s="1"/>
  <c r="BH59" i="16"/>
  <c r="AG140" i="16"/>
  <c r="AG218" i="16" s="1"/>
  <c r="AG282" i="16" s="1"/>
  <c r="T137" i="16"/>
  <c r="T215" i="16" s="1"/>
  <c r="T279" i="16" s="1"/>
  <c r="BK74" i="16"/>
  <c r="P155" i="16"/>
  <c r="P233" i="16" s="1"/>
  <c r="P297" i="16" s="1"/>
  <c r="AV82" i="16"/>
  <c r="AI95" i="16"/>
  <c r="AI173" i="16" s="1"/>
  <c r="AI237" i="16" s="1"/>
  <c r="AM143" i="16"/>
  <c r="AM221" i="16" s="1"/>
  <c r="AM285" i="16" s="1"/>
  <c r="AM155" i="16"/>
  <c r="AM233" i="16" s="1"/>
  <c r="AM297" i="16" s="1"/>
  <c r="AX144" i="16"/>
  <c r="AX222" i="16" s="1"/>
  <c r="AX286" i="16" s="1"/>
  <c r="BF84" i="16"/>
  <c r="AT133" i="16"/>
  <c r="AT211" i="16" s="1"/>
  <c r="AT275" i="16" s="1"/>
  <c r="BE85" i="16"/>
  <c r="AG92" i="16"/>
  <c r="AG170" i="16" s="1"/>
  <c r="AG234" i="16" s="1"/>
  <c r="T107" i="16"/>
  <c r="T185" i="16" s="1"/>
  <c r="T249" i="16" s="1"/>
  <c r="AI143" i="16"/>
  <c r="AI221" i="16" s="1"/>
  <c r="AI285" i="16" s="1"/>
  <c r="AB150" i="16"/>
  <c r="AB228" i="16" s="1"/>
  <c r="AB292" i="16" s="1"/>
  <c r="AX148" i="16"/>
  <c r="AX226" i="16" s="1"/>
  <c r="AX290" i="16" s="1"/>
  <c r="AX134" i="16"/>
  <c r="AX212" i="16" s="1"/>
  <c r="AX276" i="16" s="1"/>
  <c r="E94" i="16"/>
  <c r="E172" i="16" s="1"/>
  <c r="AS146" i="16"/>
  <c r="AS224" i="16" s="1"/>
  <c r="AS288" i="16" s="1"/>
  <c r="E96" i="16"/>
  <c r="E174" i="16" s="1"/>
  <c r="AW4" i="16"/>
  <c r="E286" i="16"/>
  <c r="D286" i="16" s="1"/>
  <c r="D222" i="16"/>
  <c r="BI4" i="16"/>
  <c r="I126" i="16"/>
  <c r="I204" i="16" s="1"/>
  <c r="I268" i="16" s="1"/>
  <c r="M97" i="16"/>
  <c r="M175" i="16" s="1"/>
  <c r="M239" i="16" s="1"/>
  <c r="AW9" i="16"/>
  <c r="M145" i="16"/>
  <c r="M223" i="16" s="1"/>
  <c r="M287" i="16" s="1"/>
  <c r="BI9" i="16"/>
  <c r="Q126" i="16"/>
  <c r="Q204" i="16" s="1"/>
  <c r="Q268" i="16" s="1"/>
  <c r="M103" i="16"/>
  <c r="M181" i="16" s="1"/>
  <c r="M245" i="16" s="1"/>
  <c r="AX11" i="16"/>
  <c r="M151" i="16"/>
  <c r="M229" i="16" s="1"/>
  <c r="M293" i="16" s="1"/>
  <c r="BJ11" i="16"/>
  <c r="BD12" i="16"/>
  <c r="BH15" i="16"/>
  <c r="AF108" i="16"/>
  <c r="AF186" i="16" s="1"/>
  <c r="AF250" i="16" s="1"/>
  <c r="AZ16" i="16"/>
  <c r="AJ92" i="16"/>
  <c r="AJ170" i="16" s="1"/>
  <c r="AJ234" i="16" s="1"/>
  <c r="AQ112" i="16"/>
  <c r="AQ190" i="16" s="1"/>
  <c r="AQ254" i="16" s="1"/>
  <c r="BA20" i="16"/>
  <c r="AU96" i="16"/>
  <c r="AU174" i="16" s="1"/>
  <c r="AU238" i="16" s="1"/>
  <c r="K131" i="16"/>
  <c r="K209" i="16" s="1"/>
  <c r="K273" i="16" s="1"/>
  <c r="O100" i="16"/>
  <c r="O178" i="16" s="1"/>
  <c r="O242" i="16" s="1"/>
  <c r="AX28" i="16"/>
  <c r="O148" i="16"/>
  <c r="O226" i="16" s="1"/>
  <c r="O290" i="16" s="1"/>
  <c r="BJ28" i="16"/>
  <c r="BD32" i="16"/>
  <c r="Z124" i="16"/>
  <c r="Z202" i="16" s="1"/>
  <c r="Z266" i="16" s="1"/>
  <c r="AD108" i="16"/>
  <c r="AD186" i="16" s="1"/>
  <c r="AD250" i="16" s="1"/>
  <c r="AD141" i="16"/>
  <c r="AD219" i="16" s="1"/>
  <c r="AD283" i="16" s="1"/>
  <c r="AD130" i="16"/>
  <c r="AD208" i="16" s="1"/>
  <c r="AD272" i="16" s="1"/>
  <c r="AD143" i="16"/>
  <c r="AD221" i="16" s="1"/>
  <c r="AD285" i="16" s="1"/>
  <c r="AZ36" i="16"/>
  <c r="AH108" i="16"/>
  <c r="AH186" i="16" s="1"/>
  <c r="AH250" i="16" s="1"/>
  <c r="AL92" i="16"/>
  <c r="AL170" i="16" s="1"/>
  <c r="AL234" i="16" s="1"/>
  <c r="AV37" i="16"/>
  <c r="AH93" i="16"/>
  <c r="AH171" i="16" s="1"/>
  <c r="AH235" i="16" s="1"/>
  <c r="AH141" i="16"/>
  <c r="AH219" i="16" s="1"/>
  <c r="AH283" i="16" s="1"/>
  <c r="BH37" i="16"/>
  <c r="AS124" i="16"/>
  <c r="AS202" i="16" s="1"/>
  <c r="AS266" i="16" s="1"/>
  <c r="BD40" i="16"/>
  <c r="AW132" i="16"/>
  <c r="AW210" i="16" s="1"/>
  <c r="AW274" i="16" s="1"/>
  <c r="AW138" i="16"/>
  <c r="AW216" i="16" s="1"/>
  <c r="AW280" i="16" s="1"/>
  <c r="AW123" i="16"/>
  <c r="AW201" i="16" s="1"/>
  <c r="AW265" i="16" s="1"/>
  <c r="R47" i="22"/>
  <c r="J148" i="16"/>
  <c r="J226" i="16" s="1"/>
  <c r="J290" i="16" s="1"/>
  <c r="F98" i="16"/>
  <c r="F176" i="16" s="1"/>
  <c r="F240" i="16" s="1"/>
  <c r="AW49" i="16"/>
  <c r="BI49" i="16"/>
  <c r="F146" i="16"/>
  <c r="F224" i="16" s="1"/>
  <c r="F288" i="16" s="1"/>
  <c r="BF50" i="16"/>
  <c r="R96" i="16"/>
  <c r="R174" i="16" s="1"/>
  <c r="R238" i="16" s="1"/>
  <c r="BF52" i="16"/>
  <c r="N133" i="16"/>
  <c r="N211" i="16" s="1"/>
  <c r="N275" i="16" s="1"/>
  <c r="AW57" i="16"/>
  <c r="Y98" i="16"/>
  <c r="Y176" i="16" s="1"/>
  <c r="Y240" i="16" s="1"/>
  <c r="BI57" i="16"/>
  <c r="Y146" i="16"/>
  <c r="Y224" i="16" s="1"/>
  <c r="Y288" i="16" s="1"/>
  <c r="S65" i="22"/>
  <c r="N66" i="22"/>
  <c r="AV135" i="16"/>
  <c r="AV213" i="16" s="1"/>
  <c r="AV277" i="16" s="1"/>
  <c r="L128" i="16"/>
  <c r="L206" i="16" s="1"/>
  <c r="L270" i="16" s="1"/>
  <c r="L144" i="16"/>
  <c r="L222" i="16" s="1"/>
  <c r="L286" i="16" s="1"/>
  <c r="L153" i="16"/>
  <c r="L231" i="16" s="1"/>
  <c r="L295" i="16" s="1"/>
  <c r="T100" i="16"/>
  <c r="T178" i="16" s="1"/>
  <c r="T242" i="16" s="1"/>
  <c r="AY72" i="16"/>
  <c r="P105" i="16"/>
  <c r="P183" i="16" s="1"/>
  <c r="P247" i="16" s="1"/>
  <c r="P153" i="16"/>
  <c r="P231" i="16" s="1"/>
  <c r="P295" i="16" s="1"/>
  <c r="BK72" i="16"/>
  <c r="P118" i="16"/>
  <c r="P196" i="16" s="1"/>
  <c r="P260" i="16" s="1"/>
  <c r="BB73" i="16"/>
  <c r="T106" i="16"/>
  <c r="T184" i="16" s="1"/>
  <c r="T248" i="16" s="1"/>
  <c r="AE129" i="16"/>
  <c r="AE207" i="16" s="1"/>
  <c r="AE271" i="16" s="1"/>
  <c r="BD77" i="16"/>
  <c r="AA126" i="16"/>
  <c r="AA204" i="16" s="1"/>
  <c r="AA268" i="16" s="1"/>
  <c r="AE110" i="16"/>
  <c r="AE188" i="16" s="1"/>
  <c r="AE252" i="16" s="1"/>
  <c r="BC79" i="16"/>
  <c r="AI120" i="16"/>
  <c r="AI198" i="16" s="1"/>
  <c r="AI262" i="16" s="1"/>
  <c r="AX155" i="16"/>
  <c r="AX233" i="16" s="1"/>
  <c r="AX297" i="16" s="1"/>
  <c r="AF112" i="16"/>
  <c r="AF190" i="16" s="1"/>
  <c r="AF254" i="16" s="1"/>
  <c r="AV115" i="16"/>
  <c r="AV193" i="16" s="1"/>
  <c r="AV257" i="16" s="1"/>
  <c r="AX126" i="16"/>
  <c r="AX204" i="16" s="1"/>
  <c r="AX268" i="16" s="1"/>
  <c r="G140" i="16"/>
  <c r="G218" i="16" s="1"/>
  <c r="G282" i="16" s="1"/>
  <c r="E288" i="16"/>
  <c r="D288" i="16" s="1"/>
  <c r="D224" i="16"/>
  <c r="E100" i="16"/>
  <c r="E178" i="16" s="1"/>
  <c r="AX4" i="16"/>
  <c r="BJ4" i="16"/>
  <c r="E148" i="16"/>
  <c r="E226" i="16" s="1"/>
  <c r="E93" i="16"/>
  <c r="E171" i="16" s="1"/>
  <c r="AV5" i="16"/>
  <c r="E141" i="16"/>
  <c r="E219" i="16" s="1"/>
  <c r="BH5" i="16"/>
  <c r="I137" i="16"/>
  <c r="I215" i="16" s="1"/>
  <c r="I279" i="16" s="1"/>
  <c r="BG6" i="16"/>
  <c r="E99" i="16"/>
  <c r="E177" i="16" s="1"/>
  <c r="AW7" i="16"/>
  <c r="D225" i="16"/>
  <c r="E289" i="16"/>
  <c r="D289" i="16" s="1"/>
  <c r="Q124" i="16"/>
  <c r="Q202" i="16" s="1"/>
  <c r="Q266" i="16" s="1"/>
  <c r="BE10" i="16"/>
  <c r="BI15" i="16"/>
  <c r="AJ112" i="16"/>
  <c r="AJ190" i="16" s="1"/>
  <c r="AJ254" i="16" s="1"/>
  <c r="AJ155" i="16"/>
  <c r="AJ233" i="16" s="1"/>
  <c r="AJ297" i="16" s="1"/>
  <c r="BB20" i="16"/>
  <c r="AQ116" i="16"/>
  <c r="AQ194" i="16" s="1"/>
  <c r="AQ258" i="16" s="1"/>
  <c r="K128" i="16"/>
  <c r="K206" i="16" s="1"/>
  <c r="K270" i="16" s="1"/>
  <c r="K97" i="16"/>
  <c r="K175" i="16" s="1"/>
  <c r="K239" i="16" s="1"/>
  <c r="O104" i="16"/>
  <c r="O182" i="16" s="1"/>
  <c r="O246" i="16" s="1"/>
  <c r="AY28" i="16"/>
  <c r="BD30" i="16"/>
  <c r="Z128" i="16"/>
  <c r="Z206" i="16" s="1"/>
  <c r="Z270" i="16" s="1"/>
  <c r="BE32" i="16"/>
  <c r="AD112" i="16"/>
  <c r="AD190" i="16" s="1"/>
  <c r="AD254" i="16" s="1"/>
  <c r="AD145" i="16"/>
  <c r="AD223" i="16" s="1"/>
  <c r="AD287" i="16" s="1"/>
  <c r="AD134" i="16"/>
  <c r="AD212" i="16" s="1"/>
  <c r="AD276" i="16" s="1"/>
  <c r="BI35" i="16"/>
  <c r="BA36" i="16"/>
  <c r="AH112" i="16"/>
  <c r="AH190" i="16" s="1"/>
  <c r="AH254" i="16" s="1"/>
  <c r="AL96" i="16"/>
  <c r="AL174" i="16" s="1"/>
  <c r="AL238" i="16" s="1"/>
  <c r="AW37" i="16"/>
  <c r="AH97" i="16"/>
  <c r="AH175" i="16" s="1"/>
  <c r="AH239" i="16" s="1"/>
  <c r="BI37" i="16"/>
  <c r="AH145" i="16"/>
  <c r="AH223" i="16" s="1"/>
  <c r="AH287" i="16" s="1"/>
  <c r="BD43" i="16"/>
  <c r="AX49" i="16"/>
  <c r="F102" i="16"/>
  <c r="F180" i="16" s="1"/>
  <c r="F244" i="16" s="1"/>
  <c r="BJ49" i="16"/>
  <c r="F150" i="16"/>
  <c r="F228" i="16" s="1"/>
  <c r="F292" i="16" s="1"/>
  <c r="F139" i="16"/>
  <c r="F217" i="16" s="1"/>
  <c r="F281" i="16" s="1"/>
  <c r="BG50" i="16"/>
  <c r="G56" i="22"/>
  <c r="AC105" i="16"/>
  <c r="AC183" i="16" s="1"/>
  <c r="AC247" i="16" s="1"/>
  <c r="BK56" i="16"/>
  <c r="Y153" i="16"/>
  <c r="Y231" i="16" s="1"/>
  <c r="Y295" i="16" s="1"/>
  <c r="BG63" i="16"/>
  <c r="AR136" i="16"/>
  <c r="AR214" i="16" s="1"/>
  <c r="AR278" i="16" s="1"/>
  <c r="L63" i="22"/>
  <c r="AV124" i="16"/>
  <c r="AV202" i="16" s="1"/>
  <c r="AV266" i="16" s="1"/>
  <c r="Q64" i="22"/>
  <c r="D65" i="22"/>
  <c r="AV94" i="16"/>
  <c r="AV172" i="16" s="1"/>
  <c r="AV236" i="16" s="1"/>
  <c r="L132" i="16"/>
  <c r="L210" i="16" s="1"/>
  <c r="L274" i="16" s="1"/>
  <c r="AV69" i="16"/>
  <c r="H94" i="16"/>
  <c r="H172" i="16" s="1"/>
  <c r="H236" i="16" s="1"/>
  <c r="BH69" i="16"/>
  <c r="H142" i="16"/>
  <c r="H220" i="16" s="1"/>
  <c r="H284" i="16" s="1"/>
  <c r="BG69" i="16"/>
  <c r="BB71" i="16"/>
  <c r="P116" i="16"/>
  <c r="P194" i="16" s="1"/>
  <c r="P258" i="16" s="1"/>
  <c r="AE144" i="16"/>
  <c r="AE222" i="16" s="1"/>
  <c r="AE286" i="16" s="1"/>
  <c r="AE119" i="16"/>
  <c r="AE197" i="16" s="1"/>
  <c r="AE261" i="16" s="1"/>
  <c r="BC80" i="16"/>
  <c r="AI121" i="16"/>
  <c r="AI199" i="16" s="1"/>
  <c r="AI263" i="16" s="1"/>
  <c r="AM109" i="16"/>
  <c r="AM187" i="16" s="1"/>
  <c r="AM251" i="16" s="1"/>
  <c r="AT111" i="16"/>
  <c r="AT189" i="16" s="1"/>
  <c r="AT253" i="16" s="1"/>
  <c r="AZ86" i="16"/>
  <c r="AX95" i="16"/>
  <c r="AX173" i="16" s="1"/>
  <c r="AX237" i="16" s="1"/>
  <c r="N92" i="16"/>
  <c r="N170" i="16" s="1"/>
  <c r="N234" i="16" s="1"/>
  <c r="Z103" i="16"/>
  <c r="Z181" i="16" s="1"/>
  <c r="Z245" i="16" s="1"/>
  <c r="AE130" i="16"/>
  <c r="AE208" i="16" s="1"/>
  <c r="AE272" i="16" s="1"/>
  <c r="Q134" i="16"/>
  <c r="Q212" i="16" s="1"/>
  <c r="Q276" i="16" s="1"/>
  <c r="BF12" i="16"/>
  <c r="X132" i="16"/>
  <c r="X210" i="16" s="1"/>
  <c r="X274" i="16" s="1"/>
  <c r="AB136" i="16"/>
  <c r="AB214" i="16" s="1"/>
  <c r="AB278" i="16" s="1"/>
  <c r="AB110" i="16"/>
  <c r="AB188" i="16" s="1"/>
  <c r="AB252" i="16" s="1"/>
  <c r="AB151" i="16"/>
  <c r="AB229" i="16" s="1"/>
  <c r="AB293" i="16" s="1"/>
  <c r="AJ126" i="16"/>
  <c r="AJ204" i="16" s="1"/>
  <c r="AJ268" i="16" s="1"/>
  <c r="AU120" i="16"/>
  <c r="AU198" i="16" s="1"/>
  <c r="AU262" i="16" s="1"/>
  <c r="AU104" i="16"/>
  <c r="AU182" i="16" s="1"/>
  <c r="AU246" i="16" s="1"/>
  <c r="BF24" i="16"/>
  <c r="G113" i="16"/>
  <c r="G191" i="16" s="1"/>
  <c r="G255" i="16" s="1"/>
  <c r="BA25" i="16"/>
  <c r="BD27" i="16"/>
  <c r="G127" i="16"/>
  <c r="G205" i="16" s="1"/>
  <c r="G269" i="16" s="1"/>
  <c r="BE30" i="16"/>
  <c r="S103" i="16"/>
  <c r="S181" i="16" s="1"/>
  <c r="S245" i="16" s="1"/>
  <c r="BF32" i="16"/>
  <c r="Z132" i="16"/>
  <c r="Z210" i="16" s="1"/>
  <c r="Z274" i="16" s="1"/>
  <c r="AD116" i="16"/>
  <c r="AD194" i="16" s="1"/>
  <c r="AD258" i="16" s="1"/>
  <c r="AD151" i="16"/>
  <c r="AD229" i="16" s="1"/>
  <c r="AD293" i="16" s="1"/>
  <c r="AL116" i="16"/>
  <c r="AL194" i="16" s="1"/>
  <c r="AL258" i="16" s="1"/>
  <c r="AL154" i="16"/>
  <c r="AL232" i="16" s="1"/>
  <c r="AL296" i="16" s="1"/>
  <c r="AH115" i="16"/>
  <c r="AH193" i="16" s="1"/>
  <c r="AH257" i="16" s="1"/>
  <c r="BA39" i="16"/>
  <c r="AW146" i="16"/>
  <c r="AW224" i="16" s="1"/>
  <c r="AW288" i="16" s="1"/>
  <c r="BE43" i="16"/>
  <c r="F96" i="16"/>
  <c r="F174" i="16" s="1"/>
  <c r="F238" i="16" s="1"/>
  <c r="AW47" i="16"/>
  <c r="AK104" i="16"/>
  <c r="AK182" i="16" s="1"/>
  <c r="AK246" i="16" s="1"/>
  <c r="AG133" i="16"/>
  <c r="AG211" i="16" s="1"/>
  <c r="AG275" i="16" s="1"/>
  <c r="BF60" i="16"/>
  <c r="AK125" i="16"/>
  <c r="AK203" i="16" s="1"/>
  <c r="AK267" i="16" s="1"/>
  <c r="N62" i="22"/>
  <c r="AK135" i="16"/>
  <c r="AK213" i="16" s="1"/>
  <c r="AK277" i="16" s="1"/>
  <c r="L62" i="22"/>
  <c r="R64" i="22"/>
  <c r="AV149" i="16"/>
  <c r="AV227" i="16" s="1"/>
  <c r="AV291" i="16" s="1"/>
  <c r="BA65" i="16"/>
  <c r="AR114" i="16"/>
  <c r="AR192" i="16" s="1"/>
  <c r="AR256" i="16" s="1"/>
  <c r="E65" i="22"/>
  <c r="AV98" i="16"/>
  <c r="AV176" i="16" s="1"/>
  <c r="AV240" i="16" s="1"/>
  <c r="AE148" i="16"/>
  <c r="AE226" i="16" s="1"/>
  <c r="AE290" i="16" s="1"/>
  <c r="AE137" i="16"/>
  <c r="AE215" i="16" s="1"/>
  <c r="AE279" i="16" s="1"/>
  <c r="AA127" i="16"/>
  <c r="AA205" i="16" s="1"/>
  <c r="AA269" i="16" s="1"/>
  <c r="BD78" i="16"/>
  <c r="AE123" i="16"/>
  <c r="AE201" i="16" s="1"/>
  <c r="AE265" i="16" s="1"/>
  <c r="AT106" i="16"/>
  <c r="AT184" i="16" s="1"/>
  <c r="AT248" i="16" s="1"/>
  <c r="AY85" i="16"/>
  <c r="AT154" i="16"/>
  <c r="AT232" i="16" s="1"/>
  <c r="AT296" i="16" s="1"/>
  <c r="BK85" i="16"/>
  <c r="AX115" i="16"/>
  <c r="AX193" i="16" s="1"/>
  <c r="AX257" i="16" s="1"/>
  <c r="AX99" i="16"/>
  <c r="AX177" i="16" s="1"/>
  <c r="AX241" i="16" s="1"/>
  <c r="J115" i="16"/>
  <c r="J193" i="16" s="1"/>
  <c r="J257" i="16" s="1"/>
  <c r="E279" i="16"/>
  <c r="D279" i="16" s="1"/>
  <c r="D215" i="16"/>
  <c r="E294" i="16"/>
  <c r="D294" i="16" s="1"/>
  <c r="D230" i="16"/>
  <c r="E250" i="16"/>
  <c r="D250" i="16" s="1"/>
  <c r="D186" i="16"/>
  <c r="E243" i="16"/>
  <c r="D243" i="16" s="1"/>
  <c r="D179" i="16"/>
  <c r="E149" i="16"/>
  <c r="E227" i="16" s="1"/>
  <c r="BJ5" i="16"/>
  <c r="D216" i="16"/>
  <c r="E280" i="16"/>
  <c r="D280" i="16" s="1"/>
  <c r="I146" i="16"/>
  <c r="I224" i="16" s="1"/>
  <c r="I288" i="16" s="1"/>
  <c r="AY7" i="16"/>
  <c r="E107" i="16"/>
  <c r="E185" i="16" s="1"/>
  <c r="E155" i="16"/>
  <c r="E233" i="16" s="1"/>
  <c r="BK7" i="16"/>
  <c r="Q105" i="16"/>
  <c r="Q183" i="16" s="1"/>
  <c r="Q247" i="16" s="1"/>
  <c r="Q111" i="16"/>
  <c r="Q189" i="16" s="1"/>
  <c r="Q253" i="16" s="1"/>
  <c r="AB140" i="16"/>
  <c r="AB218" i="16" s="1"/>
  <c r="AB282" i="16" s="1"/>
  <c r="AJ120" i="16"/>
  <c r="AJ198" i="16" s="1"/>
  <c r="AJ262" i="16" s="1"/>
  <c r="AU138" i="16"/>
  <c r="AU216" i="16" s="1"/>
  <c r="AU280" i="16" s="1"/>
  <c r="AY23" i="16"/>
  <c r="AQ107" i="16"/>
  <c r="AQ185" i="16" s="1"/>
  <c r="AQ249" i="16" s="1"/>
  <c r="BK23" i="16"/>
  <c r="AQ155" i="16"/>
  <c r="AQ233" i="16" s="1"/>
  <c r="AQ297" i="16" s="1"/>
  <c r="BG24" i="16"/>
  <c r="G136" i="16"/>
  <c r="G214" i="16" s="1"/>
  <c r="G278" i="16" s="1"/>
  <c r="K152" i="16"/>
  <c r="K230" i="16" s="1"/>
  <c r="K294" i="16" s="1"/>
  <c r="G117" i="16"/>
  <c r="G195" i="16" s="1"/>
  <c r="G259" i="16" s="1"/>
  <c r="BB25" i="16"/>
  <c r="K105" i="16"/>
  <c r="K183" i="16" s="1"/>
  <c r="K247" i="16" s="1"/>
  <c r="K143" i="16"/>
  <c r="K221" i="16" s="1"/>
  <c r="K285" i="16" s="1"/>
  <c r="S97" i="16"/>
  <c r="S175" i="16" s="1"/>
  <c r="S239" i="16" s="1"/>
  <c r="O145" i="16"/>
  <c r="O223" i="16" s="1"/>
  <c r="O287" i="16" s="1"/>
  <c r="BI29" i="16"/>
  <c r="BF30" i="16"/>
  <c r="AD142" i="16"/>
  <c r="AD220" i="16" s="1"/>
  <c r="AD284" i="16" s="1"/>
  <c r="AD103" i="16"/>
  <c r="AD181" i="16" s="1"/>
  <c r="AD245" i="16" s="1"/>
  <c r="AW102" i="16"/>
  <c r="AW180" i="16" s="1"/>
  <c r="AW244" i="16" s="1"/>
  <c r="BJ42" i="16"/>
  <c r="AS150" i="16"/>
  <c r="AS228" i="16" s="1"/>
  <c r="AS292" i="16" s="1"/>
  <c r="AW139" i="16"/>
  <c r="AW217" i="16" s="1"/>
  <c r="AW281" i="16" s="1"/>
  <c r="F100" i="16"/>
  <c r="F178" i="16" s="1"/>
  <c r="F242" i="16" s="1"/>
  <c r="AX47" i="16"/>
  <c r="N48" i="22"/>
  <c r="I56" i="22"/>
  <c r="AC113" i="16"/>
  <c r="AC191" i="16" s="1"/>
  <c r="AC255" i="16" s="1"/>
  <c r="AG120" i="16"/>
  <c r="AG198" i="16" s="1"/>
  <c r="AG262" i="16" s="1"/>
  <c r="BC59" i="16"/>
  <c r="H59" i="22"/>
  <c r="AK108" i="16"/>
  <c r="AK186" i="16" s="1"/>
  <c r="AK250" i="16" s="1"/>
  <c r="BG60" i="16"/>
  <c r="AG137" i="16"/>
  <c r="AG215" i="16" s="1"/>
  <c r="AG279" i="16" s="1"/>
  <c r="AK129" i="16"/>
  <c r="AK207" i="16" s="1"/>
  <c r="AK271" i="16" s="1"/>
  <c r="AK98" i="16"/>
  <c r="AK176" i="16" s="1"/>
  <c r="AK240" i="16" s="1"/>
  <c r="AK131" i="16"/>
  <c r="AK209" i="16" s="1"/>
  <c r="AK273" i="16" s="1"/>
  <c r="S64" i="22"/>
  <c r="AV153" i="16"/>
  <c r="AV231" i="16" s="1"/>
  <c r="AV295" i="16" s="1"/>
  <c r="G65" i="22"/>
  <c r="AX69" i="16"/>
  <c r="H102" i="16"/>
  <c r="H180" i="16" s="1"/>
  <c r="H244" i="16" s="1"/>
  <c r="H150" i="16"/>
  <c r="H228" i="16" s="1"/>
  <c r="H292" i="16" s="1"/>
  <c r="BJ69" i="16"/>
  <c r="T125" i="16"/>
  <c r="T203" i="16" s="1"/>
  <c r="T267" i="16" s="1"/>
  <c r="T135" i="16"/>
  <c r="T213" i="16" s="1"/>
  <c r="T277" i="16" s="1"/>
  <c r="BJ74" i="16"/>
  <c r="BK75" i="16"/>
  <c r="AE141" i="16"/>
  <c r="AE219" i="16" s="1"/>
  <c r="AE283" i="16" s="1"/>
  <c r="AZ85" i="16"/>
  <c r="AT110" i="16"/>
  <c r="AT188" i="16" s="1"/>
  <c r="AT252" i="16" s="1"/>
  <c r="AX94" i="16"/>
  <c r="AX172" i="16" s="1"/>
  <c r="AX236" i="16" s="1"/>
  <c r="BB86" i="16"/>
  <c r="AT119" i="16"/>
  <c r="AT197" i="16" s="1"/>
  <c r="AT261" i="16" s="1"/>
  <c r="AX103" i="16"/>
  <c r="AX181" i="16" s="1"/>
  <c r="AX245" i="16" s="1"/>
  <c r="O97" i="16"/>
  <c r="O175" i="16" s="1"/>
  <c r="O239" i="16" s="1"/>
  <c r="AU100" i="16"/>
  <c r="AU178" i="16" s="1"/>
  <c r="AU242" i="16" s="1"/>
  <c r="I104" i="16"/>
  <c r="I182" i="16" s="1"/>
  <c r="I246" i="16" s="1"/>
  <c r="I94" i="16"/>
  <c r="I172" i="16" s="1"/>
  <c r="I236" i="16" s="1"/>
  <c r="E111" i="16"/>
  <c r="E189" i="16" s="1"/>
  <c r="AZ7" i="16"/>
  <c r="AV7" i="16"/>
  <c r="Q109" i="16"/>
  <c r="Q187" i="16" s="1"/>
  <c r="Q251" i="16" s="1"/>
  <c r="X92" i="16"/>
  <c r="X170" i="16" s="1"/>
  <c r="X234" i="16" s="1"/>
  <c r="AV12" i="16"/>
  <c r="BD14" i="16"/>
  <c r="X126" i="16"/>
  <c r="X204" i="16" s="1"/>
  <c r="X268" i="16" s="1"/>
  <c r="AB122" i="16"/>
  <c r="AB200" i="16" s="1"/>
  <c r="AB264" i="16" s="1"/>
  <c r="AJ124" i="16"/>
  <c r="AJ202" i="16" s="1"/>
  <c r="AJ266" i="16" s="1"/>
  <c r="AQ111" i="16"/>
  <c r="AQ189" i="16" s="1"/>
  <c r="AQ253" i="16" s="1"/>
  <c r="AZ23" i="16"/>
  <c r="K92" i="16"/>
  <c r="K170" i="16" s="1"/>
  <c r="K234" i="16" s="1"/>
  <c r="K140" i="16"/>
  <c r="K218" i="16" s="1"/>
  <c r="K282" i="16" s="1"/>
  <c r="G121" i="16"/>
  <c r="G199" i="16" s="1"/>
  <c r="G263" i="16" s="1"/>
  <c r="BC25" i="16"/>
  <c r="K109" i="16"/>
  <c r="K187" i="16" s="1"/>
  <c r="K251" i="16" s="1"/>
  <c r="O101" i="16"/>
  <c r="O179" i="16" s="1"/>
  <c r="O243" i="16" s="1"/>
  <c r="AX29" i="16"/>
  <c r="BJ29" i="16"/>
  <c r="O149" i="16"/>
  <c r="O227" i="16" s="1"/>
  <c r="O291" i="16" s="1"/>
  <c r="BG30" i="16"/>
  <c r="AW137" i="16"/>
  <c r="AW215" i="16" s="1"/>
  <c r="AW279" i="16" s="1"/>
  <c r="Q55" i="22"/>
  <c r="AC144" i="16"/>
  <c r="AC222" i="16" s="1"/>
  <c r="AC286" i="16" s="1"/>
  <c r="J56" i="22"/>
  <c r="AC117" i="16"/>
  <c r="AC195" i="16" s="1"/>
  <c r="AC259" i="16" s="1"/>
  <c r="AK112" i="16"/>
  <c r="AK190" i="16" s="1"/>
  <c r="AK254" i="16" s="1"/>
  <c r="AV60" i="16"/>
  <c r="AG93" i="16"/>
  <c r="AG171" i="16" s="1"/>
  <c r="AG235" i="16" s="1"/>
  <c r="BH60" i="16"/>
  <c r="AG141" i="16"/>
  <c r="AG219" i="16" s="1"/>
  <c r="AG283" i="16" s="1"/>
  <c r="F61" i="22"/>
  <c r="AK102" i="16"/>
  <c r="AK180" i="16" s="1"/>
  <c r="AK244" i="16" s="1"/>
  <c r="AV62" i="16"/>
  <c r="AG95" i="16"/>
  <c r="AG173" i="16" s="1"/>
  <c r="AG237" i="16" s="1"/>
  <c r="P62" i="22"/>
  <c r="AK143" i="16"/>
  <c r="AK221" i="16" s="1"/>
  <c r="AK285" i="16" s="1"/>
  <c r="Q63" i="22"/>
  <c r="AV144" i="16"/>
  <c r="AV222" i="16" s="1"/>
  <c r="AV286" i="16" s="1"/>
  <c r="AZ64" i="16"/>
  <c r="AR109" i="16"/>
  <c r="AR187" i="16" s="1"/>
  <c r="AR251" i="16" s="1"/>
  <c r="D64" i="22"/>
  <c r="BC65" i="16"/>
  <c r="AR122" i="16"/>
  <c r="AR200" i="16" s="1"/>
  <c r="AR264" i="16" s="1"/>
  <c r="H65" i="22"/>
  <c r="AV110" i="16"/>
  <c r="AV188" i="16" s="1"/>
  <c r="AV252" i="16" s="1"/>
  <c r="H96" i="16"/>
  <c r="H174" i="16" s="1"/>
  <c r="H238" i="16" s="1"/>
  <c r="AW67" i="16"/>
  <c r="H105" i="16"/>
  <c r="H183" i="16" s="1"/>
  <c r="H247" i="16" s="1"/>
  <c r="AY68" i="16"/>
  <c r="AE142" i="16"/>
  <c r="AE220" i="16" s="1"/>
  <c r="AE284" i="16" s="1"/>
  <c r="AM136" i="16"/>
  <c r="AM214" i="16" s="1"/>
  <c r="AM278" i="16" s="1"/>
  <c r="AM133" i="16"/>
  <c r="AM211" i="16" s="1"/>
  <c r="AM275" i="16" s="1"/>
  <c r="AM126" i="16"/>
  <c r="AM204" i="16" s="1"/>
  <c r="AM268" i="16" s="1"/>
  <c r="AX117" i="16"/>
  <c r="AX195" i="16" s="1"/>
  <c r="AX259" i="16" s="1"/>
  <c r="AX105" i="16"/>
  <c r="AX183" i="16" s="1"/>
  <c r="AX247" i="16" s="1"/>
  <c r="AT123" i="16"/>
  <c r="AT201" i="16" s="1"/>
  <c r="AT265" i="16" s="1"/>
  <c r="BC86" i="16"/>
  <c r="AX107" i="16"/>
  <c r="AX185" i="16" s="1"/>
  <c r="AX249" i="16" s="1"/>
  <c r="E254" i="16"/>
  <c r="D254" i="16" s="1"/>
  <c r="D190" i="16"/>
  <c r="AK119" i="16"/>
  <c r="AK197" i="16" s="1"/>
  <c r="AK261" i="16" s="1"/>
  <c r="E255" i="16"/>
  <c r="D255" i="16" s="1"/>
  <c r="D191" i="16"/>
  <c r="E285" i="16"/>
  <c r="D285" i="16" s="1"/>
  <c r="E263" i="16"/>
  <c r="D263" i="16" s="1"/>
  <c r="D199" i="16"/>
  <c r="I113" i="16"/>
  <c r="I191" i="16" s="1"/>
  <c r="I255" i="16" s="1"/>
  <c r="E110" i="16"/>
  <c r="E188" i="16" s="1"/>
  <c r="AZ6" i="16"/>
  <c r="E257" i="16"/>
  <c r="D257" i="16" s="1"/>
  <c r="D193" i="16"/>
  <c r="BE8" i="16"/>
  <c r="Q101" i="16"/>
  <c r="Q179" i="16" s="1"/>
  <c r="Q243" i="16" s="1"/>
  <c r="BJ9" i="16"/>
  <c r="M149" i="16"/>
  <c r="M227" i="16" s="1"/>
  <c r="M291" i="16" s="1"/>
  <c r="BC10" i="16"/>
  <c r="M95" i="16"/>
  <c r="M173" i="16" s="1"/>
  <c r="M237" i="16" s="1"/>
  <c r="AV11" i="16"/>
  <c r="X125" i="16"/>
  <c r="X203" i="16" s="1"/>
  <c r="X267" i="16" s="1"/>
  <c r="BD13" i="16"/>
  <c r="AJ116" i="16"/>
  <c r="AJ194" i="16" s="1"/>
  <c r="AJ258" i="16" s="1"/>
  <c r="AF93" i="16"/>
  <c r="AF171" i="16" s="1"/>
  <c r="AF235" i="16" s="1"/>
  <c r="AV17" i="16"/>
  <c r="AF141" i="16"/>
  <c r="AF219" i="16" s="1"/>
  <c r="AF283" i="16" s="1"/>
  <c r="BH17" i="16"/>
  <c r="AF118" i="16"/>
  <c r="AF196" i="16" s="1"/>
  <c r="AF260" i="16" s="1"/>
  <c r="BB18" i="16"/>
  <c r="AJ110" i="16"/>
  <c r="AJ188" i="16" s="1"/>
  <c r="AJ252" i="16" s="1"/>
  <c r="BH21" i="16"/>
  <c r="AQ106" i="16"/>
  <c r="AQ184" i="16" s="1"/>
  <c r="AQ248" i="16" s="1"/>
  <c r="AY22" i="16"/>
  <c r="AQ154" i="16"/>
  <c r="AQ232" i="16" s="1"/>
  <c r="AQ296" i="16" s="1"/>
  <c r="BK22" i="16"/>
  <c r="AU123" i="16"/>
  <c r="AU201" i="16" s="1"/>
  <c r="AU265" i="16" s="1"/>
  <c r="K148" i="16"/>
  <c r="K226" i="16" s="1"/>
  <c r="K290" i="16" s="1"/>
  <c r="G125" i="16"/>
  <c r="G203" i="16" s="1"/>
  <c r="G267" i="16" s="1"/>
  <c r="BD25" i="16"/>
  <c r="K154" i="16"/>
  <c r="K232" i="16" s="1"/>
  <c r="K296" i="16" s="1"/>
  <c r="BA29" i="16"/>
  <c r="O113" i="16"/>
  <c r="O191" i="16" s="1"/>
  <c r="O255" i="16" s="1"/>
  <c r="O142" i="16"/>
  <c r="O220" i="16" s="1"/>
  <c r="O284" i="16" s="1"/>
  <c r="BH30" i="16"/>
  <c r="O119" i="16"/>
  <c r="O197" i="16" s="1"/>
  <c r="O261" i="16" s="1"/>
  <c r="BB31" i="16"/>
  <c r="S111" i="16"/>
  <c r="S189" i="16" s="1"/>
  <c r="S253" i="16" s="1"/>
  <c r="AD146" i="16"/>
  <c r="AD224" i="16" s="1"/>
  <c r="AD288" i="16" s="1"/>
  <c r="AY35" i="16"/>
  <c r="Z107" i="16"/>
  <c r="Z185" i="16" s="1"/>
  <c r="Z249" i="16" s="1"/>
  <c r="Z155" i="16"/>
  <c r="Z233" i="16" s="1"/>
  <c r="Z297" i="16" s="1"/>
  <c r="BK35" i="16"/>
  <c r="AH101" i="16"/>
  <c r="AH179" i="16" s="1"/>
  <c r="AH243" i="16" s="1"/>
  <c r="AX37" i="16"/>
  <c r="BJ37" i="16"/>
  <c r="AH149" i="16"/>
  <c r="AH227" i="16" s="1"/>
  <c r="AH291" i="16" s="1"/>
  <c r="AW108" i="16"/>
  <c r="AW186" i="16" s="1"/>
  <c r="AW250" i="16" s="1"/>
  <c r="AS106" i="16"/>
  <c r="AS184" i="16" s="1"/>
  <c r="AS248" i="16" s="1"/>
  <c r="AY42" i="16"/>
  <c r="AS154" i="16"/>
  <c r="AS232" i="16" s="1"/>
  <c r="AS296" i="16" s="1"/>
  <c r="BK42" i="16"/>
  <c r="BF43" i="16"/>
  <c r="D47" i="22"/>
  <c r="J92" i="16"/>
  <c r="J170" i="16" s="1"/>
  <c r="J234" i="16" s="1"/>
  <c r="P49" i="22"/>
  <c r="J142" i="16"/>
  <c r="J220" i="16" s="1"/>
  <c r="J284" i="16" s="1"/>
  <c r="R125" i="16"/>
  <c r="R203" i="16" s="1"/>
  <c r="R267" i="16" s="1"/>
  <c r="N55" i="22"/>
  <c r="AC132" i="16"/>
  <c r="AC210" i="16" s="1"/>
  <c r="AC274" i="16" s="1"/>
  <c r="H56" i="22"/>
  <c r="AC109" i="16"/>
  <c r="AC187" i="16" s="1"/>
  <c r="AC251" i="16" s="1"/>
  <c r="O57" i="22"/>
  <c r="E58" i="22"/>
  <c r="AK97" i="16"/>
  <c r="AK175" i="16" s="1"/>
  <c r="AK239" i="16" s="1"/>
  <c r="BI60" i="16"/>
  <c r="AG145" i="16"/>
  <c r="AG223" i="16" s="1"/>
  <c r="AG287" i="16" s="1"/>
  <c r="S60" i="22"/>
  <c r="AG118" i="16"/>
  <c r="AG196" i="16" s="1"/>
  <c r="AG260" i="16" s="1"/>
  <c r="BB61" i="16"/>
  <c r="G61" i="22"/>
  <c r="L140" i="16"/>
  <c r="L218" i="16" s="1"/>
  <c r="L282" i="16" s="1"/>
  <c r="AW69" i="16"/>
  <c r="H98" i="16"/>
  <c r="H176" i="16" s="1"/>
  <c r="H240" i="16" s="1"/>
  <c r="BI69" i="16"/>
  <c r="H146" i="16"/>
  <c r="H224" i="16" s="1"/>
  <c r="H288" i="16" s="1"/>
  <c r="P120" i="16"/>
  <c r="P198" i="16" s="1"/>
  <c r="P262" i="16" s="1"/>
  <c r="BC71" i="16"/>
  <c r="T98" i="16"/>
  <c r="T176" i="16" s="1"/>
  <c r="T240" i="16" s="1"/>
  <c r="BI74" i="16"/>
  <c r="P147" i="16"/>
  <c r="P225" i="16" s="1"/>
  <c r="P289" i="16" s="1"/>
  <c r="AA93" i="16"/>
  <c r="AA171" i="16" s="1"/>
  <c r="AA235" i="16" s="1"/>
  <c r="AV76" i="16"/>
  <c r="AE138" i="16"/>
  <c r="AE216" i="16" s="1"/>
  <c r="AE280" i="16" s="1"/>
  <c r="AA131" i="16"/>
  <c r="AA209" i="16" s="1"/>
  <c r="AA273" i="16" s="1"/>
  <c r="BE78" i="16"/>
  <c r="AM146" i="16"/>
  <c r="AM224" i="16" s="1"/>
  <c r="AM288" i="16" s="1"/>
  <c r="AM139" i="16"/>
  <c r="AM217" i="16" s="1"/>
  <c r="AM281" i="16" s="1"/>
  <c r="AM151" i="16"/>
  <c r="AM229" i="16" s="1"/>
  <c r="AM293" i="16" s="1"/>
  <c r="AX140" i="16"/>
  <c r="AX218" i="16" s="1"/>
  <c r="AX282" i="16" s="1"/>
  <c r="AX129" i="16"/>
  <c r="AX207" i="16" s="1"/>
  <c r="AX271" i="16" s="1"/>
  <c r="AX122" i="16"/>
  <c r="AX200" i="16" s="1"/>
  <c r="AX264" i="16" s="1"/>
  <c r="BD86" i="16"/>
  <c r="AT127" i="16"/>
  <c r="AT205" i="16" s="1"/>
  <c r="AT269" i="16" s="1"/>
  <c r="AF98" i="16"/>
  <c r="AF176" i="16" s="1"/>
  <c r="AF240" i="16" s="1"/>
  <c r="Z102" i="16"/>
  <c r="Z180" i="16" s="1"/>
  <c r="Z244" i="16" s="1"/>
  <c r="AK132" i="16"/>
  <c r="AK210" i="16" s="1"/>
  <c r="AK274" i="16" s="1"/>
  <c r="AU153" i="16"/>
  <c r="AU231" i="16" s="1"/>
  <c r="AU295" i="16" s="1"/>
  <c r="AQ118" i="16"/>
  <c r="AQ196" i="16" s="1"/>
  <c r="AQ260" i="16" s="1"/>
  <c r="BB22" i="16"/>
  <c r="BF23" i="16"/>
  <c r="S125" i="16"/>
  <c r="S203" i="16" s="1"/>
  <c r="S267" i="16" s="1"/>
  <c r="BC33" i="16"/>
  <c r="Z121" i="16"/>
  <c r="Z199" i="16" s="1"/>
  <c r="Z263" i="16" s="1"/>
  <c r="AD105" i="16"/>
  <c r="AD183" i="16" s="1"/>
  <c r="AD247" i="16" s="1"/>
  <c r="BB35" i="16"/>
  <c r="Z119" i="16"/>
  <c r="Z197" i="16" s="1"/>
  <c r="Z261" i="16" s="1"/>
  <c r="BF36" i="16"/>
  <c r="AW128" i="16"/>
  <c r="AW206" i="16" s="1"/>
  <c r="AW270" i="16" s="1"/>
  <c r="AW153" i="16"/>
  <c r="AW231" i="16" s="1"/>
  <c r="AW295" i="16" s="1"/>
  <c r="AW118" i="16"/>
  <c r="AW196" i="16" s="1"/>
  <c r="AW260" i="16" s="1"/>
  <c r="S47" i="22"/>
  <c r="J152" i="16"/>
  <c r="J230" i="16" s="1"/>
  <c r="J294" i="16" s="1"/>
  <c r="O48" i="22"/>
  <c r="J137" i="16"/>
  <c r="J215" i="16" s="1"/>
  <c r="J279" i="16" s="1"/>
  <c r="G49" i="22"/>
  <c r="J106" i="16"/>
  <c r="J184" i="16" s="1"/>
  <c r="J248" i="16" s="1"/>
  <c r="S49" i="22"/>
  <c r="J154" i="16"/>
  <c r="J232" i="16" s="1"/>
  <c r="J296" i="16" s="1"/>
  <c r="AV50" i="16"/>
  <c r="F95" i="16"/>
  <c r="F173" i="16" s="1"/>
  <c r="F237" i="16" s="1"/>
  <c r="F143" i="16"/>
  <c r="F221" i="16" s="1"/>
  <c r="F285" i="16" s="1"/>
  <c r="BH50" i="16"/>
  <c r="S50" i="22"/>
  <c r="J155" i="16"/>
  <c r="J233" i="16" s="1"/>
  <c r="J297" i="16" s="1"/>
  <c r="BA51" i="16"/>
  <c r="N112" i="16"/>
  <c r="N190" i="16" s="1"/>
  <c r="N254" i="16" s="1"/>
  <c r="R100" i="16"/>
  <c r="R178" i="16" s="1"/>
  <c r="R242" i="16" s="1"/>
  <c r="R139" i="16"/>
  <c r="R217" i="16" s="1"/>
  <c r="R281" i="16" s="1"/>
  <c r="K56" i="22"/>
  <c r="Q65" i="22"/>
  <c r="AV146" i="16"/>
  <c r="AV224" i="16" s="1"/>
  <c r="AV288" i="16" s="1"/>
  <c r="F66" i="22"/>
  <c r="AV103" i="16"/>
  <c r="AV181" i="16" s="1"/>
  <c r="AV245" i="16" s="1"/>
  <c r="AY67" i="16"/>
  <c r="H104" i="16"/>
  <c r="H182" i="16" s="1"/>
  <c r="H246" i="16" s="1"/>
  <c r="BK67" i="16"/>
  <c r="H152" i="16"/>
  <c r="H230" i="16" s="1"/>
  <c r="H294" i="16" s="1"/>
  <c r="H113" i="16"/>
  <c r="H191" i="16" s="1"/>
  <c r="H255" i="16" s="1"/>
  <c r="BA68" i="16"/>
  <c r="T132" i="16"/>
  <c r="T210" i="16" s="1"/>
  <c r="T274" i="16" s="1"/>
  <c r="T133" i="16"/>
  <c r="T211" i="16" s="1"/>
  <c r="T275" i="16" s="1"/>
  <c r="AZ74" i="16"/>
  <c r="P111" i="16"/>
  <c r="P189" i="16" s="1"/>
  <c r="P253" i="16" s="1"/>
  <c r="T95" i="16"/>
  <c r="T173" i="16" s="1"/>
  <c r="T237" i="16" s="1"/>
  <c r="AE96" i="16"/>
  <c r="AE174" i="16" s="1"/>
  <c r="AE238" i="16" s="1"/>
  <c r="AE105" i="16"/>
  <c r="AE183" i="16" s="1"/>
  <c r="AE247" i="16" s="1"/>
  <c r="AE150" i="16"/>
  <c r="AE228" i="16" s="1"/>
  <c r="AE292" i="16" s="1"/>
  <c r="AM140" i="16"/>
  <c r="AM218" i="16" s="1"/>
  <c r="AM282" i="16" s="1"/>
  <c r="BD80" i="16"/>
  <c r="AI125" i="16"/>
  <c r="AI203" i="16" s="1"/>
  <c r="AI267" i="16" s="1"/>
  <c r="AM113" i="16"/>
  <c r="AM191" i="16" s="1"/>
  <c r="AM255" i="16" s="1"/>
  <c r="AX96" i="16"/>
  <c r="AX174" i="16" s="1"/>
  <c r="AX238" i="16" s="1"/>
  <c r="O94" i="16"/>
  <c r="O172" i="16" s="1"/>
  <c r="O236" i="16" s="1"/>
  <c r="O96" i="16"/>
  <c r="O174" i="16" s="1"/>
  <c r="O238" i="16" s="1"/>
  <c r="AT96" i="16"/>
  <c r="AT174" i="16" s="1"/>
  <c r="AT238" i="16" s="1"/>
  <c r="M98" i="16"/>
  <c r="M176" i="16" s="1"/>
  <c r="M240" i="16" s="1"/>
  <c r="AM98" i="16"/>
  <c r="AM176" i="16" s="1"/>
  <c r="AM240" i="16" s="1"/>
  <c r="G100" i="16"/>
  <c r="G178" i="16" s="1"/>
  <c r="G242" i="16" s="1"/>
  <c r="M101" i="16"/>
  <c r="M179" i="16" s="1"/>
  <c r="M243" i="16" s="1"/>
  <c r="E258" i="16"/>
  <c r="D258" i="16" s="1"/>
  <c r="D194" i="16"/>
  <c r="D206" i="16"/>
  <c r="E270" i="16"/>
  <c r="D270" i="16" s="1"/>
  <c r="I132" i="16"/>
  <c r="I210" i="16" s="1"/>
  <c r="I274" i="16" s="1"/>
  <c r="AI133" i="16"/>
  <c r="AI211" i="16" s="1"/>
  <c r="AI275" i="16" s="1"/>
  <c r="L135" i="16"/>
  <c r="L213" i="16" s="1"/>
  <c r="L277" i="16" s="1"/>
  <c r="P137" i="16"/>
  <c r="P215" i="16" s="1"/>
  <c r="P279" i="16" s="1"/>
  <c r="BK4" i="16"/>
  <c r="I122" i="16"/>
  <c r="I200" i="16" s="1"/>
  <c r="I264" i="16" s="1"/>
  <c r="BE7" i="16"/>
  <c r="Q96" i="16"/>
  <c r="Q174" i="16" s="1"/>
  <c r="Q238" i="16" s="1"/>
  <c r="M144" i="16"/>
  <c r="M222" i="16" s="1"/>
  <c r="M286" i="16" s="1"/>
  <c r="BI8" i="16"/>
  <c r="BG10" i="16"/>
  <c r="BK14" i="16"/>
  <c r="X119" i="16"/>
  <c r="X197" i="16" s="1"/>
  <c r="X261" i="16" s="1"/>
  <c r="BB15" i="16"/>
  <c r="AX15" i="16"/>
  <c r="BH16" i="16"/>
  <c r="AJ134" i="16"/>
  <c r="AJ212" i="16" s="1"/>
  <c r="AJ276" i="16" s="1"/>
  <c r="AJ130" i="16"/>
  <c r="AJ208" i="16" s="1"/>
  <c r="AJ272" i="16" s="1"/>
  <c r="AJ95" i="16"/>
  <c r="AJ173" i="16" s="1"/>
  <c r="AJ237" i="16" s="1"/>
  <c r="AQ124" i="16"/>
  <c r="AQ202" i="16" s="1"/>
  <c r="AQ266" i="16" s="1"/>
  <c r="BD20" i="16"/>
  <c r="AU108" i="16"/>
  <c r="AU186" i="16" s="1"/>
  <c r="AU250" i="16" s="1"/>
  <c r="AQ97" i="16"/>
  <c r="AQ175" i="16" s="1"/>
  <c r="AQ239" i="16" s="1"/>
  <c r="AW21" i="16"/>
  <c r="AU122" i="16"/>
  <c r="AU200" i="16" s="1"/>
  <c r="AU264" i="16" s="1"/>
  <c r="K93" i="16"/>
  <c r="K171" i="16" s="1"/>
  <c r="K235" i="16" s="1"/>
  <c r="G141" i="16"/>
  <c r="G219" i="16" s="1"/>
  <c r="G283" i="16" s="1"/>
  <c r="BH25" i="16"/>
  <c r="K106" i="16"/>
  <c r="K184" i="16" s="1"/>
  <c r="K248" i="16" s="1"/>
  <c r="BJ27" i="16"/>
  <c r="BA28" i="16"/>
  <c r="O112" i="16"/>
  <c r="O190" i="16" s="1"/>
  <c r="O254" i="16" s="1"/>
  <c r="Z125" i="16"/>
  <c r="Z203" i="16" s="1"/>
  <c r="Z267" i="16" s="1"/>
  <c r="BD33" i="16"/>
  <c r="AD109" i="16"/>
  <c r="AD187" i="16" s="1"/>
  <c r="AD251" i="16" s="1"/>
  <c r="Z98" i="16"/>
  <c r="Z176" i="16" s="1"/>
  <c r="Z240" i="16" s="1"/>
  <c r="AW34" i="16"/>
  <c r="AW38" i="16"/>
  <c r="AH98" i="16"/>
  <c r="AH176" i="16" s="1"/>
  <c r="AH240" i="16" s="1"/>
  <c r="AL146" i="16"/>
  <c r="AL224" i="16" s="1"/>
  <c r="AL288" i="16" s="1"/>
  <c r="AW140" i="16"/>
  <c r="AW218" i="16" s="1"/>
  <c r="AW282" i="16" s="1"/>
  <c r="AS105" i="16"/>
  <c r="AS183" i="16" s="1"/>
  <c r="AS247" i="16" s="1"/>
  <c r="AY41" i="16"/>
  <c r="AW122" i="16"/>
  <c r="AW200" i="16" s="1"/>
  <c r="AW264" i="16" s="1"/>
  <c r="G47" i="22"/>
  <c r="J104" i="16"/>
  <c r="J182" i="16" s="1"/>
  <c r="J246" i="16" s="1"/>
  <c r="BH48" i="16"/>
  <c r="H49" i="22"/>
  <c r="J110" i="16"/>
  <c r="J188" i="16" s="1"/>
  <c r="J252" i="16" s="1"/>
  <c r="D49" i="22"/>
  <c r="J94" i="16"/>
  <c r="J172" i="16" s="1"/>
  <c r="J236" i="16" s="1"/>
  <c r="F99" i="16"/>
  <c r="F177" i="16" s="1"/>
  <c r="F241" i="16" s="1"/>
  <c r="AW50" i="16"/>
  <c r="F147" i="16"/>
  <c r="F225" i="16" s="1"/>
  <c r="F289" i="16" s="1"/>
  <c r="BI50" i="16"/>
  <c r="R116" i="16"/>
  <c r="R194" i="16" s="1"/>
  <c r="R258" i="16" s="1"/>
  <c r="BH54" i="16"/>
  <c r="AX55" i="16"/>
  <c r="Y100" i="16"/>
  <c r="Y178" i="16" s="1"/>
  <c r="Y242" i="16" s="1"/>
  <c r="BJ55" i="16"/>
  <c r="Y148" i="16"/>
  <c r="Y226" i="16" s="1"/>
  <c r="Y290" i="16" s="1"/>
  <c r="Y127" i="16"/>
  <c r="Y205" i="16" s="1"/>
  <c r="Y269" i="16" s="1"/>
  <c r="BD58" i="16"/>
  <c r="AK103" i="16"/>
  <c r="AK181" i="16" s="1"/>
  <c r="AK245" i="16" s="1"/>
  <c r="G63" i="22"/>
  <c r="AV104" i="16"/>
  <c r="AV182" i="16" s="1"/>
  <c r="AV246" i="16" s="1"/>
  <c r="M64" i="22"/>
  <c r="J64" i="22"/>
  <c r="G66" i="22"/>
  <c r="AZ67" i="16"/>
  <c r="H108" i="16"/>
  <c r="H186" i="16" s="1"/>
  <c r="H250" i="16" s="1"/>
  <c r="L92" i="16"/>
  <c r="L170" i="16" s="1"/>
  <c r="L234" i="16" s="1"/>
  <c r="BB68" i="16"/>
  <c r="H117" i="16"/>
  <c r="H195" i="16" s="1"/>
  <c r="H259" i="16" s="1"/>
  <c r="T115" i="16"/>
  <c r="T193" i="16" s="1"/>
  <c r="T257" i="16" s="1"/>
  <c r="AW74" i="16"/>
  <c r="AE154" i="16"/>
  <c r="AE232" i="16" s="1"/>
  <c r="AE296" i="16" s="1"/>
  <c r="BI79" i="16"/>
  <c r="BA81" i="16"/>
  <c r="AI114" i="16"/>
  <c r="AI192" i="16" s="1"/>
  <c r="AI256" i="16" s="1"/>
  <c r="AM102" i="16"/>
  <c r="AM180" i="16" s="1"/>
  <c r="AM244" i="16" s="1"/>
  <c r="AX83" i="16"/>
  <c r="AT100" i="16"/>
  <c r="AT178" i="16" s="1"/>
  <c r="AT242" i="16" s="1"/>
  <c r="AX138" i="16"/>
  <c r="AX216" i="16" s="1"/>
  <c r="AX280" i="16" s="1"/>
  <c r="AX147" i="16"/>
  <c r="AX225" i="16" s="1"/>
  <c r="AX289" i="16" s="1"/>
  <c r="P96" i="16"/>
  <c r="P174" i="16" s="1"/>
  <c r="P238" i="16" s="1"/>
  <c r="AG97" i="16"/>
  <c r="AG175" i="16" s="1"/>
  <c r="AG239" i="16" s="1"/>
  <c r="AC99" i="16"/>
  <c r="AC177" i="16" s="1"/>
  <c r="AC241" i="16" s="1"/>
  <c r="X106" i="16"/>
  <c r="X184" i="16" s="1"/>
  <c r="X248" i="16" s="1"/>
  <c r="AI108" i="16"/>
  <c r="AI186" i="16" s="1"/>
  <c r="AI250" i="16" s="1"/>
  <c r="AA112" i="16"/>
  <c r="AA190" i="16" s="1"/>
  <c r="AA254" i="16" s="1"/>
  <c r="Y129" i="16"/>
  <c r="Y207" i="16" s="1"/>
  <c r="Y271" i="16" s="1"/>
  <c r="AK150" i="16"/>
  <c r="AK228" i="16" s="1"/>
  <c r="AK292" i="16" s="1"/>
  <c r="AK153" i="16"/>
  <c r="AK231" i="16" s="1"/>
  <c r="AK295" i="16" s="1"/>
  <c r="E276" i="16"/>
  <c r="D276" i="16" s="1"/>
  <c r="X97" i="16"/>
  <c r="X175" i="16" s="1"/>
  <c r="X239" i="16" s="1"/>
  <c r="AW13" i="16"/>
  <c r="BI13" i="16"/>
  <c r="AB106" i="16"/>
  <c r="AB184" i="16" s="1"/>
  <c r="AB248" i="16" s="1"/>
  <c r="AJ113" i="16"/>
  <c r="AJ191" i="16" s="1"/>
  <c r="AJ255" i="16" s="1"/>
  <c r="AF138" i="16"/>
  <c r="AF216" i="16" s="1"/>
  <c r="AF280" i="16" s="1"/>
  <c r="BG18" i="16"/>
  <c r="AJ99" i="16"/>
  <c r="AJ177" i="16" s="1"/>
  <c r="AJ241" i="16" s="1"/>
  <c r="AU128" i="16"/>
  <c r="AU206" i="16" s="1"/>
  <c r="AU270" i="16" s="1"/>
  <c r="AQ101" i="16"/>
  <c r="AQ179" i="16" s="1"/>
  <c r="AQ243" i="16" s="1"/>
  <c r="AX21" i="16"/>
  <c r="K116" i="16"/>
  <c r="K194" i="16" s="1"/>
  <c r="K258" i="16" s="1"/>
  <c r="G126" i="16"/>
  <c r="G204" i="16" s="1"/>
  <c r="G268" i="16" s="1"/>
  <c r="BD26" i="16"/>
  <c r="S116" i="16"/>
  <c r="S194" i="16" s="1"/>
  <c r="S258" i="16" s="1"/>
  <c r="S114" i="16"/>
  <c r="S192" i="16" s="1"/>
  <c r="S256" i="16" s="1"/>
  <c r="O139" i="16"/>
  <c r="O217" i="16" s="1"/>
  <c r="O281" i="16" s="1"/>
  <c r="BG31" i="16"/>
  <c r="S151" i="16"/>
  <c r="S229" i="16" s="1"/>
  <c r="S293" i="16" s="1"/>
  <c r="AD96" i="16"/>
  <c r="AD174" i="16" s="1"/>
  <c r="AD238" i="16" s="1"/>
  <c r="AD102" i="16"/>
  <c r="AD180" i="16" s="1"/>
  <c r="AD244" i="16" s="1"/>
  <c r="BD39" i="16"/>
  <c r="AH127" i="16"/>
  <c r="AH205" i="16" s="1"/>
  <c r="AH269" i="16" s="1"/>
  <c r="AL111" i="16"/>
  <c r="AL189" i="16" s="1"/>
  <c r="AL253" i="16" s="1"/>
  <c r="AW144" i="16"/>
  <c r="AW222" i="16" s="1"/>
  <c r="AW286" i="16" s="1"/>
  <c r="AS109" i="16"/>
  <c r="AS187" i="16" s="1"/>
  <c r="AS251" i="16" s="1"/>
  <c r="AZ41" i="16"/>
  <c r="AW126" i="16"/>
  <c r="AW204" i="16" s="1"/>
  <c r="AW268" i="16" s="1"/>
  <c r="L47" i="22"/>
  <c r="Q48" i="22"/>
  <c r="I49" i="22"/>
  <c r="G55" i="22"/>
  <c r="AC104" i="16"/>
  <c r="AC182" i="16" s="1"/>
  <c r="AC246" i="16" s="1"/>
  <c r="S55" i="22"/>
  <c r="F57" i="22"/>
  <c r="Y131" i="16"/>
  <c r="Y209" i="16" s="1"/>
  <c r="Y273" i="16" s="1"/>
  <c r="BE58" i="16"/>
  <c r="BC58" i="16"/>
  <c r="S61" i="22"/>
  <c r="H63" i="22"/>
  <c r="BF64" i="16"/>
  <c r="AR133" i="16"/>
  <c r="AR211" i="16" s="1"/>
  <c r="AR275" i="16" s="1"/>
  <c r="K64" i="22"/>
  <c r="AV121" i="16"/>
  <c r="AV199" i="16" s="1"/>
  <c r="AV263" i="16" s="1"/>
  <c r="H66" i="22"/>
  <c r="BC73" i="16"/>
  <c r="AE116" i="16"/>
  <c r="AE194" i="16" s="1"/>
  <c r="AE258" i="16" s="1"/>
  <c r="AE103" i="16"/>
  <c r="AE181" i="16" s="1"/>
  <c r="AE245" i="16" s="1"/>
  <c r="BJ78" i="16"/>
  <c r="AA151" i="16"/>
  <c r="AA229" i="16" s="1"/>
  <c r="AA293" i="16" s="1"/>
  <c r="BJ79" i="16"/>
  <c r="AI118" i="16"/>
  <c r="AI196" i="16" s="1"/>
  <c r="AI260" i="16" s="1"/>
  <c r="BB81" i="16"/>
  <c r="AT104" i="16"/>
  <c r="AT182" i="16" s="1"/>
  <c r="AT246" i="16" s="1"/>
  <c r="AY83" i="16"/>
  <c r="AX152" i="16"/>
  <c r="AX230" i="16" s="1"/>
  <c r="AX294" i="16" s="1"/>
  <c r="AQ105" i="16"/>
  <c r="AQ183" i="16" s="1"/>
  <c r="AQ247" i="16" s="1"/>
  <c r="AV111" i="16"/>
  <c r="AV189" i="16" s="1"/>
  <c r="AV253" i="16" s="1"/>
  <c r="N125" i="16"/>
  <c r="N203" i="16" s="1"/>
  <c r="N267" i="16" s="1"/>
  <c r="Z129" i="16"/>
  <c r="Z207" i="16" s="1"/>
  <c r="Z271" i="16" s="1"/>
  <c r="AI139" i="16"/>
  <c r="AI217" i="16" s="1"/>
  <c r="AI281" i="16" s="1"/>
  <c r="F154" i="16"/>
  <c r="F232" i="16" s="1"/>
  <c r="F296" i="16" s="1"/>
  <c r="AK154" i="16"/>
  <c r="AK232" i="16" s="1"/>
  <c r="AK296" i="16" s="1"/>
  <c r="E97" i="16"/>
  <c r="E175" i="16" s="1"/>
  <c r="AW5" i="16"/>
  <c r="E145" i="16"/>
  <c r="E223" i="16" s="1"/>
  <c r="BI5" i="16"/>
  <c r="BF6" i="16"/>
  <c r="BG7" i="16"/>
  <c r="M152" i="16"/>
  <c r="M230" i="16" s="1"/>
  <c r="M294" i="16" s="1"/>
  <c r="BK8" i="16"/>
  <c r="Q98" i="16"/>
  <c r="Q176" i="16" s="1"/>
  <c r="Q240" i="16" s="1"/>
  <c r="M146" i="16"/>
  <c r="M224" i="16" s="1"/>
  <c r="M288" i="16" s="1"/>
  <c r="BI10" i="16"/>
  <c r="AB94" i="16"/>
  <c r="AB172" i="16" s="1"/>
  <c r="AB236" i="16" s="1"/>
  <c r="AJ117" i="16"/>
  <c r="AJ195" i="16" s="1"/>
  <c r="AJ259" i="16" s="1"/>
  <c r="AV18" i="16"/>
  <c r="AF94" i="16"/>
  <c r="AF172" i="16" s="1"/>
  <c r="AF236" i="16" s="1"/>
  <c r="BH18" i="16"/>
  <c r="AF142" i="16"/>
  <c r="AF220" i="16" s="1"/>
  <c r="AF284" i="16" s="1"/>
  <c r="AJ103" i="16"/>
  <c r="AJ181" i="16" s="1"/>
  <c r="AJ245" i="16" s="1"/>
  <c r="AU132" i="16"/>
  <c r="AU210" i="16" s="1"/>
  <c r="AU274" i="16" s="1"/>
  <c r="AU105" i="16"/>
  <c r="AU183" i="16" s="1"/>
  <c r="AU247" i="16" s="1"/>
  <c r="BC24" i="16"/>
  <c r="G130" i="16"/>
  <c r="G208" i="16" s="1"/>
  <c r="G272" i="16" s="1"/>
  <c r="BE26" i="16"/>
  <c r="G99" i="16"/>
  <c r="G177" i="16" s="1"/>
  <c r="G241" i="16" s="1"/>
  <c r="AW27" i="16"/>
  <c r="S118" i="16"/>
  <c r="S196" i="16" s="1"/>
  <c r="S260" i="16" s="1"/>
  <c r="S95" i="16"/>
  <c r="S173" i="16" s="1"/>
  <c r="S237" i="16" s="1"/>
  <c r="BH31" i="16"/>
  <c r="O143" i="16"/>
  <c r="O221" i="16" s="1"/>
  <c r="O285" i="16" s="1"/>
  <c r="S155" i="16"/>
  <c r="S233" i="16" s="1"/>
  <c r="S297" i="16" s="1"/>
  <c r="AD133" i="16"/>
  <c r="AD211" i="16" s="1"/>
  <c r="AD275" i="16" s="1"/>
  <c r="AD106" i="16"/>
  <c r="AD184" i="16" s="1"/>
  <c r="AD248" i="16" s="1"/>
  <c r="BD37" i="16"/>
  <c r="AL131" i="16"/>
  <c r="AL209" i="16" s="1"/>
  <c r="AL273" i="16" s="1"/>
  <c r="M47" i="22"/>
  <c r="J128" i="16"/>
  <c r="J206" i="16" s="1"/>
  <c r="J270" i="16" s="1"/>
  <c r="BJ48" i="16"/>
  <c r="J49" i="22"/>
  <c r="J118" i="16"/>
  <c r="J196" i="16" s="1"/>
  <c r="J260" i="16" s="1"/>
  <c r="R153" i="16"/>
  <c r="R231" i="16" s="1"/>
  <c r="R295" i="16" s="1"/>
  <c r="R118" i="16"/>
  <c r="R196" i="16" s="1"/>
  <c r="R260" i="16" s="1"/>
  <c r="R102" i="16"/>
  <c r="R180" i="16" s="1"/>
  <c r="R244" i="16" s="1"/>
  <c r="AZ55" i="16"/>
  <c r="Y108" i="16"/>
  <c r="Y186" i="16" s="1"/>
  <c r="Y250" i="16" s="1"/>
  <c r="BF56" i="16"/>
  <c r="K62" i="22"/>
  <c r="H62" i="22"/>
  <c r="AK111" i="16"/>
  <c r="AK189" i="16" s="1"/>
  <c r="AK253" i="16" s="1"/>
  <c r="J63" i="22"/>
  <c r="O64" i="22"/>
  <c r="AV137" i="16"/>
  <c r="AV215" i="16" s="1"/>
  <c r="AV279" i="16" s="1"/>
  <c r="L64" i="22"/>
  <c r="AV125" i="16"/>
  <c r="AV203" i="16" s="1"/>
  <c r="AV267" i="16" s="1"/>
  <c r="AR127" i="16"/>
  <c r="AR205" i="16" s="1"/>
  <c r="AR269" i="16" s="1"/>
  <c r="BD66" i="16"/>
  <c r="L116" i="16"/>
  <c r="L194" i="16" s="1"/>
  <c r="L258" i="16" s="1"/>
  <c r="L137" i="16"/>
  <c r="L215" i="16" s="1"/>
  <c r="L279" i="16" s="1"/>
  <c r="T96" i="16"/>
  <c r="T174" i="16" s="1"/>
  <c r="T238" i="16" s="1"/>
  <c r="T144" i="16"/>
  <c r="T222" i="16" s="1"/>
  <c r="T286" i="16" s="1"/>
  <c r="P134" i="16"/>
  <c r="P212" i="16" s="1"/>
  <c r="P276" i="16" s="1"/>
  <c r="BF73" i="16"/>
  <c r="T126" i="16"/>
  <c r="T204" i="16" s="1"/>
  <c r="T268" i="16" s="1"/>
  <c r="T123" i="16"/>
  <c r="T201" i="16" s="1"/>
  <c r="T265" i="16" s="1"/>
  <c r="BK79" i="16"/>
  <c r="BG80" i="16"/>
  <c r="AI137" i="16"/>
  <c r="AI215" i="16" s="1"/>
  <c r="AI279" i="16" s="1"/>
  <c r="AI115" i="16"/>
  <c r="AI193" i="16" s="1"/>
  <c r="AI257" i="16" s="1"/>
  <c r="BA82" i="16"/>
  <c r="AX146" i="16"/>
  <c r="AX224" i="16" s="1"/>
  <c r="AX288" i="16" s="1"/>
  <c r="Z106" i="16"/>
  <c r="Z184" i="16" s="1"/>
  <c r="Z248" i="16" s="1"/>
  <c r="O108" i="16"/>
  <c r="O186" i="16" s="1"/>
  <c r="O250" i="16" s="1"/>
  <c r="O116" i="16"/>
  <c r="O194" i="16" s="1"/>
  <c r="O258" i="16" s="1"/>
  <c r="L118" i="16"/>
  <c r="L196" i="16" s="1"/>
  <c r="L260" i="16" s="1"/>
  <c r="AL120" i="16"/>
  <c r="AL198" i="16" s="1"/>
  <c r="AL262" i="16" s="1"/>
  <c r="E264" i="16"/>
  <c r="D264" i="16" s="1"/>
  <c r="D200" i="16"/>
  <c r="AQ128" i="16"/>
  <c r="AQ206" i="16" s="1"/>
  <c r="AQ270" i="16" s="1"/>
  <c r="K147" i="16"/>
  <c r="K225" i="16" s="1"/>
  <c r="K289" i="16" s="1"/>
  <c r="K153" i="16"/>
  <c r="K231" i="16" s="1"/>
  <c r="K295" i="16" s="1"/>
  <c r="AJ98" i="16"/>
  <c r="AJ176" i="16" s="1"/>
  <c r="AJ240" i="16" s="1"/>
  <c r="BI18" i="16"/>
  <c r="AF146" i="16"/>
  <c r="AF224" i="16" s="1"/>
  <c r="AF288" i="16" s="1"/>
  <c r="AF123" i="16"/>
  <c r="AF201" i="16" s="1"/>
  <c r="AF265" i="16" s="1"/>
  <c r="BC19" i="16"/>
  <c r="AJ107" i="16"/>
  <c r="AJ185" i="16" s="1"/>
  <c r="AJ249" i="16" s="1"/>
  <c r="AU136" i="16"/>
  <c r="AU214" i="16" s="1"/>
  <c r="AU278" i="16" s="1"/>
  <c r="AQ109" i="16"/>
  <c r="AQ187" i="16" s="1"/>
  <c r="AQ251" i="16" s="1"/>
  <c r="AZ21" i="16"/>
  <c r="AV21" i="16"/>
  <c r="AQ103" i="16"/>
  <c r="AQ181" i="16" s="1"/>
  <c r="AQ245" i="16" s="1"/>
  <c r="AX23" i="16"/>
  <c r="AQ151" i="16"/>
  <c r="AQ229" i="16" s="1"/>
  <c r="AQ293" i="16" s="1"/>
  <c r="BJ23" i="16"/>
  <c r="K134" i="16"/>
  <c r="K212" i="16" s="1"/>
  <c r="K276" i="16" s="1"/>
  <c r="BB26" i="16"/>
  <c r="K103" i="16"/>
  <c r="K181" i="16" s="1"/>
  <c r="K245" i="16" s="1"/>
  <c r="S141" i="16"/>
  <c r="S219" i="16" s="1"/>
  <c r="S283" i="16" s="1"/>
  <c r="S122" i="16"/>
  <c r="S200" i="16" s="1"/>
  <c r="S264" i="16" s="1"/>
  <c r="S99" i="16"/>
  <c r="S177" i="16" s="1"/>
  <c r="S241" i="16" s="1"/>
  <c r="BI31" i="16"/>
  <c r="O147" i="16"/>
  <c r="O225" i="16" s="1"/>
  <c r="O289" i="16" s="1"/>
  <c r="Z120" i="16"/>
  <c r="Z198" i="16" s="1"/>
  <c r="Z262" i="16" s="1"/>
  <c r="BC32" i="16"/>
  <c r="AD104" i="16"/>
  <c r="AD182" i="16" s="1"/>
  <c r="AD246" i="16" s="1"/>
  <c r="AD137" i="16"/>
  <c r="AD215" i="16" s="1"/>
  <c r="AD279" i="16" s="1"/>
  <c r="Z110" i="16"/>
  <c r="Z188" i="16" s="1"/>
  <c r="Z252" i="16" s="1"/>
  <c r="AZ34" i="16"/>
  <c r="BE37" i="16"/>
  <c r="AL102" i="16"/>
  <c r="AL180" i="16" s="1"/>
  <c r="AL244" i="16" s="1"/>
  <c r="AH135" i="16"/>
  <c r="AH213" i="16" s="1"/>
  <c r="AH277" i="16" s="1"/>
  <c r="BF39" i="16"/>
  <c r="BB39" i="16"/>
  <c r="AW117" i="16"/>
  <c r="AW195" i="16" s="1"/>
  <c r="AW259" i="16" s="1"/>
  <c r="AW134" i="16"/>
  <c r="AW212" i="16" s="1"/>
  <c r="AW276" i="16" s="1"/>
  <c r="BC47" i="16"/>
  <c r="F120" i="16"/>
  <c r="F198" i="16" s="1"/>
  <c r="F262" i="16" s="1"/>
  <c r="N47" i="22"/>
  <c r="J132" i="16"/>
  <c r="J210" i="16" s="1"/>
  <c r="J274" i="16" s="1"/>
  <c r="F48" i="22"/>
  <c r="K49" i="22"/>
  <c r="N122" i="16"/>
  <c r="N200" i="16" s="1"/>
  <c r="N264" i="16" s="1"/>
  <c r="BC53" i="16"/>
  <c r="BA55" i="16"/>
  <c r="Y112" i="16"/>
  <c r="Y190" i="16" s="1"/>
  <c r="Y254" i="16" s="1"/>
  <c r="AW55" i="16"/>
  <c r="O56" i="22"/>
  <c r="AC137" i="16"/>
  <c r="AC215" i="16" s="1"/>
  <c r="AC279" i="16" s="1"/>
  <c r="AK115" i="16"/>
  <c r="AK193" i="16" s="1"/>
  <c r="AK257" i="16" s="1"/>
  <c r="BF63" i="16"/>
  <c r="AR132" i="16"/>
  <c r="AR210" i="16" s="1"/>
  <c r="AR274" i="16" s="1"/>
  <c r="K63" i="22"/>
  <c r="AV120" i="16"/>
  <c r="AV198" i="16" s="1"/>
  <c r="AV262" i="16" s="1"/>
  <c r="AR131" i="16"/>
  <c r="AR209" i="16" s="1"/>
  <c r="AR273" i="16" s="1"/>
  <c r="BE66" i="16"/>
  <c r="J66" i="22"/>
  <c r="AV119" i="16"/>
  <c r="AV197" i="16" s="1"/>
  <c r="AV261" i="16" s="1"/>
  <c r="BB70" i="16"/>
  <c r="H119" i="16"/>
  <c r="H197" i="16" s="1"/>
  <c r="H261" i="16" s="1"/>
  <c r="L103" i="16"/>
  <c r="L181" i="16" s="1"/>
  <c r="L245" i="16" s="1"/>
  <c r="T141" i="16"/>
  <c r="T219" i="16" s="1"/>
  <c r="T283" i="16" s="1"/>
  <c r="P138" i="16"/>
  <c r="P216" i="16" s="1"/>
  <c r="P280" i="16" s="1"/>
  <c r="BG73" i="16"/>
  <c r="BE73" i="16"/>
  <c r="T131" i="16"/>
  <c r="T209" i="16" s="1"/>
  <c r="T273" i="16" s="1"/>
  <c r="BB77" i="16"/>
  <c r="AA118" i="16"/>
  <c r="AA196" i="16" s="1"/>
  <c r="AA260" i="16" s="1"/>
  <c r="AE102" i="16"/>
  <c r="AE180" i="16" s="1"/>
  <c r="AE244" i="16" s="1"/>
  <c r="AM108" i="16"/>
  <c r="AM186" i="16" s="1"/>
  <c r="AM250" i="16" s="1"/>
  <c r="AM92" i="16"/>
  <c r="AM170" i="16" s="1"/>
  <c r="AM234" i="16" s="1"/>
  <c r="S94" i="16"/>
  <c r="S172" i="16" s="1"/>
  <c r="S236" i="16" s="1"/>
  <c r="K100" i="16"/>
  <c r="K178" i="16" s="1"/>
  <c r="K242" i="16" s="1"/>
  <c r="N118" i="16"/>
  <c r="N196" i="16" s="1"/>
  <c r="N260" i="16" s="1"/>
  <c r="L120" i="16"/>
  <c r="L198" i="16" s="1"/>
  <c r="L262" i="16" s="1"/>
  <c r="AJ136" i="16"/>
  <c r="AJ214" i="16" s="1"/>
  <c r="AJ278" i="16" s="1"/>
  <c r="P144" i="16"/>
  <c r="P222" i="16" s="1"/>
  <c r="P286" i="16" s="1"/>
  <c r="I116" i="16"/>
  <c r="I194" i="16" s="1"/>
  <c r="I258" i="16" s="1"/>
  <c r="M108" i="16"/>
  <c r="M186" i="16" s="1"/>
  <c r="M250" i="16" s="1"/>
  <c r="AZ8" i="16"/>
  <c r="AB148" i="16"/>
  <c r="AB226" i="16" s="1"/>
  <c r="AB290" i="16" s="1"/>
  <c r="AB123" i="16"/>
  <c r="AB201" i="16" s="1"/>
  <c r="AB265" i="16" s="1"/>
  <c r="AJ128" i="16"/>
  <c r="AJ206" i="16" s="1"/>
  <c r="AJ270" i="16" s="1"/>
  <c r="AJ97" i="16"/>
  <c r="AJ175" i="16" s="1"/>
  <c r="AJ239" i="16" s="1"/>
  <c r="AJ114" i="16"/>
  <c r="AJ192" i="16" s="1"/>
  <c r="AJ256" i="16" s="1"/>
  <c r="BJ20" i="16"/>
  <c r="AU126" i="16"/>
  <c r="AU204" i="16" s="1"/>
  <c r="AU268" i="16" s="1"/>
  <c r="BG23" i="16"/>
  <c r="G129" i="16"/>
  <c r="G207" i="16" s="1"/>
  <c r="G271" i="16" s="1"/>
  <c r="BE25" i="16"/>
  <c r="K146" i="16"/>
  <c r="K224" i="16" s="1"/>
  <c r="K288" i="16" s="1"/>
  <c r="BC28" i="16"/>
  <c r="O120" i="16"/>
  <c r="O198" i="16" s="1"/>
  <c r="O262" i="16" s="1"/>
  <c r="S129" i="16"/>
  <c r="S207" i="16" s="1"/>
  <c r="S271" i="16" s="1"/>
  <c r="S98" i="16"/>
  <c r="S176" i="16" s="1"/>
  <c r="S240" i="16" s="1"/>
  <c r="O146" i="16"/>
  <c r="O224" i="16" s="1"/>
  <c r="O288" i="16" s="1"/>
  <c r="BI30" i="16"/>
  <c r="S115" i="16"/>
  <c r="S193" i="16" s="1"/>
  <c r="S257" i="16" s="1"/>
  <c r="BG32" i="16"/>
  <c r="Z136" i="16"/>
  <c r="Z214" i="16" s="1"/>
  <c r="Z278" i="16" s="1"/>
  <c r="BJ33" i="16"/>
  <c r="AD123" i="16"/>
  <c r="AD201" i="16" s="1"/>
  <c r="AD265" i="16" s="1"/>
  <c r="AH153" i="16"/>
  <c r="AH231" i="16" s="1"/>
  <c r="AH295" i="16" s="1"/>
  <c r="BK37" i="16"/>
  <c r="AL147" i="16"/>
  <c r="AL225" i="16" s="1"/>
  <c r="AL289" i="16" s="1"/>
  <c r="AW121" i="16"/>
  <c r="AW199" i="16" s="1"/>
  <c r="AW263" i="16" s="1"/>
  <c r="AW99" i="16"/>
  <c r="AW177" i="16" s="1"/>
  <c r="AW241" i="16" s="1"/>
  <c r="AW147" i="16"/>
  <c r="AW225" i="16" s="1"/>
  <c r="AW289" i="16" s="1"/>
  <c r="BB48" i="16"/>
  <c r="F117" i="16"/>
  <c r="F195" i="16" s="1"/>
  <c r="F259" i="16" s="1"/>
  <c r="BE49" i="16"/>
  <c r="F50" i="22"/>
  <c r="BJ50" i="16"/>
  <c r="F151" i="16"/>
  <c r="F229" i="16" s="1"/>
  <c r="F293" i="16" s="1"/>
  <c r="BG52" i="16"/>
  <c r="N137" i="16"/>
  <c r="N215" i="16" s="1"/>
  <c r="N279" i="16" s="1"/>
  <c r="BJ53" i="16"/>
  <c r="R115" i="16"/>
  <c r="R193" i="16" s="1"/>
  <c r="R257" i="16" s="1"/>
  <c r="K55" i="22"/>
  <c r="G57" i="22"/>
  <c r="AC106" i="16"/>
  <c r="AC184" i="16" s="1"/>
  <c r="AC248" i="16" s="1"/>
  <c r="Y135" i="16"/>
  <c r="Y213" i="16" s="1"/>
  <c r="Y277" i="16" s="1"/>
  <c r="BF58" i="16"/>
  <c r="G60" i="22"/>
  <c r="AK130" i="16"/>
  <c r="AK208" i="16" s="1"/>
  <c r="AK272" i="16" s="1"/>
  <c r="R63" i="22"/>
  <c r="E64" i="22"/>
  <c r="L65" i="22"/>
  <c r="Q66" i="22"/>
  <c r="L143" i="16"/>
  <c r="L221" i="16" s="1"/>
  <c r="L285" i="16" s="1"/>
  <c r="BD71" i="16"/>
  <c r="P124" i="16"/>
  <c r="P202" i="16" s="1"/>
  <c r="P266" i="16" s="1"/>
  <c r="T112" i="16"/>
  <c r="T190" i="16" s="1"/>
  <c r="T254" i="16" s="1"/>
  <c r="T94" i="16"/>
  <c r="T172" i="16" s="1"/>
  <c r="T236" i="16" s="1"/>
  <c r="P142" i="16"/>
  <c r="P220" i="16" s="1"/>
  <c r="P284" i="16" s="1"/>
  <c r="BH73" i="16"/>
  <c r="AZ76" i="16"/>
  <c r="AA109" i="16"/>
  <c r="AA187" i="16" s="1"/>
  <c r="AA251" i="16" s="1"/>
  <c r="AM153" i="16"/>
  <c r="AM231" i="16" s="1"/>
  <c r="AM295" i="16" s="1"/>
  <c r="BK84" i="16"/>
  <c r="AV97" i="16"/>
  <c r="AV175" i="16" s="1"/>
  <c r="AV239" i="16" s="1"/>
  <c r="AQ99" i="16"/>
  <c r="AQ177" i="16" s="1"/>
  <c r="AQ241" i="16" s="1"/>
  <c r="J103" i="16"/>
  <c r="J181" i="16" s="1"/>
  <c r="J245" i="16" s="1"/>
  <c r="AS120" i="16"/>
  <c r="AS198" i="16" s="1"/>
  <c r="AS262" i="16" s="1"/>
  <c r="F142" i="16"/>
  <c r="F220" i="16" s="1"/>
  <c r="F284" i="16" s="1"/>
  <c r="AI142" i="16"/>
  <c r="AI220" i="16" s="1"/>
  <c r="AI284" i="16" s="1"/>
  <c r="AI146" i="16"/>
  <c r="AI224" i="16" s="1"/>
  <c r="AI288" i="16" s="1"/>
  <c r="AS147" i="16"/>
  <c r="AS225" i="16" s="1"/>
  <c r="AS289" i="16" s="1"/>
  <c r="AF149" i="16"/>
  <c r="AF227" i="16" s="1"/>
  <c r="AF291" i="16" s="1"/>
  <c r="O150" i="16"/>
  <c r="O228" i="16" s="1"/>
  <c r="O292" i="16" s="1"/>
  <c r="D183" i="16"/>
  <c r="E240" i="16"/>
  <c r="D240" i="16" s="1"/>
  <c r="E274" i="16"/>
  <c r="D274" i="16" s="1"/>
  <c r="D210" i="16"/>
  <c r="E119" i="16"/>
  <c r="E197" i="16" s="1"/>
  <c r="BB7" i="16"/>
  <c r="AB118" i="16"/>
  <c r="AB196" i="16" s="1"/>
  <c r="AB260" i="16" s="1"/>
  <c r="AB127" i="16"/>
  <c r="AB205" i="16" s="1"/>
  <c r="AB269" i="16" s="1"/>
  <c r="BF16" i="16"/>
  <c r="AX17" i="16"/>
  <c r="AF101" i="16"/>
  <c r="AF179" i="16" s="1"/>
  <c r="AF243" i="16" s="1"/>
  <c r="AJ149" i="16"/>
  <c r="AJ227" i="16" s="1"/>
  <c r="AJ291" i="16" s="1"/>
  <c r="AJ143" i="16"/>
  <c r="AJ221" i="16" s="1"/>
  <c r="AJ285" i="16" s="1"/>
  <c r="BK20" i="16"/>
  <c r="AU117" i="16"/>
  <c r="AU195" i="16" s="1"/>
  <c r="AU259" i="16" s="1"/>
  <c r="BH23" i="16"/>
  <c r="K108" i="16"/>
  <c r="K186" i="16" s="1"/>
  <c r="K250" i="16" s="1"/>
  <c r="K150" i="16"/>
  <c r="K228" i="16" s="1"/>
  <c r="K292" i="16" s="1"/>
  <c r="G115" i="16"/>
  <c r="G193" i="16" s="1"/>
  <c r="G257" i="16" s="1"/>
  <c r="BA27" i="16"/>
  <c r="BF29" i="16"/>
  <c r="AX30" i="16"/>
  <c r="O102" i="16"/>
  <c r="O180" i="16" s="1"/>
  <c r="O244" i="16" s="1"/>
  <c r="S150" i="16"/>
  <c r="S228" i="16" s="1"/>
  <c r="S292" i="16" s="1"/>
  <c r="BK33" i="16"/>
  <c r="AD127" i="16"/>
  <c r="AD205" i="16" s="1"/>
  <c r="AD269" i="16" s="1"/>
  <c r="BH36" i="16"/>
  <c r="AL109" i="16"/>
  <c r="AL187" i="16" s="1"/>
  <c r="AL251" i="16" s="1"/>
  <c r="AH134" i="16"/>
  <c r="AH212" i="16" s="1"/>
  <c r="AH276" i="16" s="1"/>
  <c r="BF38" i="16"/>
  <c r="AL151" i="16"/>
  <c r="AL229" i="16" s="1"/>
  <c r="AL293" i="16" s="1"/>
  <c r="AW103" i="16"/>
  <c r="AW181" i="16" s="1"/>
  <c r="AW245" i="16" s="1"/>
  <c r="AS151" i="16"/>
  <c r="AS229" i="16" s="1"/>
  <c r="AS293" i="16" s="1"/>
  <c r="BJ43" i="16"/>
  <c r="H47" i="22"/>
  <c r="J108" i="16"/>
  <c r="J186" i="16" s="1"/>
  <c r="J250" i="16" s="1"/>
  <c r="K48" i="22"/>
  <c r="BK53" i="16"/>
  <c r="R119" i="16"/>
  <c r="R197" i="16" s="1"/>
  <c r="R261" i="16" s="1"/>
  <c r="L55" i="22"/>
  <c r="Y93" i="16"/>
  <c r="Y171" i="16" s="1"/>
  <c r="Y235" i="16" s="1"/>
  <c r="AV56" i="16"/>
  <c r="Y141" i="16"/>
  <c r="Y219" i="16" s="1"/>
  <c r="Y283" i="16" s="1"/>
  <c r="BH56" i="16"/>
  <c r="H57" i="22"/>
  <c r="Y139" i="16"/>
  <c r="Y217" i="16" s="1"/>
  <c r="Y281" i="16" s="1"/>
  <c r="BG58" i="16"/>
  <c r="AG134" i="16"/>
  <c r="AG212" i="16" s="1"/>
  <c r="AG276" i="16" s="1"/>
  <c r="BF61" i="16"/>
  <c r="AK151" i="16"/>
  <c r="AK229" i="16" s="1"/>
  <c r="AK293" i="16" s="1"/>
  <c r="D63" i="22"/>
  <c r="S63" i="22"/>
  <c r="AV152" i="16"/>
  <c r="AV230" i="16" s="1"/>
  <c r="AV294" i="16" s="1"/>
  <c r="F64" i="22"/>
  <c r="AV101" i="16"/>
  <c r="AV179" i="16" s="1"/>
  <c r="AV243" i="16" s="1"/>
  <c r="M65" i="22"/>
  <c r="J65" i="22"/>
  <c r="AV118" i="16"/>
  <c r="AV196" i="16" s="1"/>
  <c r="AV260" i="16" s="1"/>
  <c r="R66" i="22"/>
  <c r="T113" i="16"/>
  <c r="T191" i="16" s="1"/>
  <c r="T255" i="16" s="1"/>
  <c r="T150" i="16"/>
  <c r="T228" i="16" s="1"/>
  <c r="T292" i="16" s="1"/>
  <c r="AE124" i="16"/>
  <c r="AE202" i="16" s="1"/>
  <c r="AE266" i="16" s="1"/>
  <c r="AM94" i="16"/>
  <c r="AM172" i="16" s="1"/>
  <c r="AM236" i="16" s="1"/>
  <c r="BH85" i="16"/>
  <c r="AT98" i="16"/>
  <c r="AT176" i="16" s="1"/>
  <c r="AT240" i="16" s="1"/>
  <c r="F108" i="16"/>
  <c r="F186" i="16" s="1"/>
  <c r="F250" i="16" s="1"/>
  <c r="G119" i="16"/>
  <c r="G197" i="16" s="1"/>
  <c r="G261" i="16" s="1"/>
  <c r="AW125" i="16"/>
  <c r="AW203" i="16" s="1"/>
  <c r="AW267" i="16" s="1"/>
  <c r="AR130" i="16"/>
  <c r="AR208" i="16" s="1"/>
  <c r="AR272" i="16" s="1"/>
  <c r="AF136" i="16"/>
  <c r="AF214" i="16" s="1"/>
  <c r="AF278" i="16" s="1"/>
  <c r="G137" i="16"/>
  <c r="G215" i="16" s="1"/>
  <c r="G279" i="16" s="1"/>
  <c r="AM138" i="16"/>
  <c r="AM216" i="16" s="1"/>
  <c r="AM280" i="16" s="1"/>
  <c r="AF145" i="16"/>
  <c r="AF223" i="16" s="1"/>
  <c r="AF287" i="16" s="1"/>
  <c r="BW46" i="16"/>
  <c r="W16" i="22" s="1"/>
  <c r="I61" i="22" s="1"/>
  <c r="E130" i="16"/>
  <c r="E208" i="16" s="1"/>
  <c r="BE6" i="16"/>
  <c r="E265" i="16"/>
  <c r="D265" i="16" s="1"/>
  <c r="D201" i="16"/>
  <c r="Q153" i="16"/>
  <c r="Q231" i="16" s="1"/>
  <c r="Q295" i="16" s="1"/>
  <c r="AB100" i="16"/>
  <c r="AB178" i="16" s="1"/>
  <c r="AB242" i="16" s="1"/>
  <c r="AB131" i="16"/>
  <c r="AB209" i="16" s="1"/>
  <c r="AB273" i="16" s="1"/>
  <c r="AF105" i="16"/>
  <c r="AF183" i="16" s="1"/>
  <c r="AF247" i="16" s="1"/>
  <c r="AY17" i="16"/>
  <c r="AF153" i="16"/>
  <c r="AF231" i="16" s="1"/>
  <c r="AF295" i="16" s="1"/>
  <c r="BK17" i="16"/>
  <c r="AJ122" i="16"/>
  <c r="AJ200" i="16" s="1"/>
  <c r="AJ264" i="16" s="1"/>
  <c r="AQ121" i="16"/>
  <c r="AQ199" i="16" s="1"/>
  <c r="AQ263" i="16" s="1"/>
  <c r="BC21" i="16"/>
  <c r="AU99" i="16"/>
  <c r="AU177" i="16" s="1"/>
  <c r="AU241" i="16" s="1"/>
  <c r="AQ147" i="16"/>
  <c r="AQ225" i="16" s="1"/>
  <c r="AQ289" i="16" s="1"/>
  <c r="BI23" i="16"/>
  <c r="K137" i="16"/>
  <c r="K215" i="16" s="1"/>
  <c r="K279" i="16" s="1"/>
  <c r="BG29" i="16"/>
  <c r="O106" i="16"/>
  <c r="O184" i="16" s="1"/>
  <c r="O248" i="16" s="1"/>
  <c r="AY30" i="16"/>
  <c r="O154" i="16"/>
  <c r="O232" i="16" s="1"/>
  <c r="O296" i="16" s="1"/>
  <c r="BK30" i="16"/>
  <c r="AD144" i="16"/>
  <c r="AD222" i="16" s="1"/>
  <c r="AD286" i="16" s="1"/>
  <c r="AD122" i="16"/>
  <c r="AD200" i="16" s="1"/>
  <c r="AD264" i="16" s="1"/>
  <c r="BI36" i="16"/>
  <c r="AL113" i="16"/>
  <c r="AL191" i="16" s="1"/>
  <c r="AL255" i="16" s="1"/>
  <c r="AH138" i="16"/>
  <c r="AH216" i="16" s="1"/>
  <c r="AH280" i="16" s="1"/>
  <c r="BG38" i="16"/>
  <c r="AL130" i="16"/>
  <c r="AL208" i="16" s="1"/>
  <c r="AL272" i="16" s="1"/>
  <c r="AL155" i="16"/>
  <c r="AL233" i="16" s="1"/>
  <c r="AL297" i="16" s="1"/>
  <c r="AW116" i="16"/>
  <c r="AW194" i="16" s="1"/>
  <c r="AW258" i="16" s="1"/>
  <c r="AW129" i="16"/>
  <c r="AW207" i="16" s="1"/>
  <c r="AW271" i="16" s="1"/>
  <c r="AY43" i="16"/>
  <c r="AS107" i="16"/>
  <c r="AS185" i="16" s="1"/>
  <c r="AS249" i="16" s="1"/>
  <c r="AS155" i="16"/>
  <c r="AS233" i="16" s="1"/>
  <c r="AS297" i="16" s="1"/>
  <c r="BK43" i="16"/>
  <c r="I47" i="22"/>
  <c r="J112" i="16"/>
  <c r="J190" i="16" s="1"/>
  <c r="J254" i="16" s="1"/>
  <c r="L48" i="22"/>
  <c r="G50" i="22"/>
  <c r="N128" i="16"/>
  <c r="N206" i="16" s="1"/>
  <c r="N270" i="16" s="1"/>
  <c r="BE51" i="16"/>
  <c r="BC54" i="16"/>
  <c r="N123" i="16"/>
  <c r="N201" i="16" s="1"/>
  <c r="N265" i="16" s="1"/>
  <c r="M55" i="22"/>
  <c r="AC128" i="16"/>
  <c r="AC206" i="16" s="1"/>
  <c r="AC270" i="16" s="1"/>
  <c r="E56" i="22"/>
  <c r="Y145" i="16"/>
  <c r="Y223" i="16" s="1"/>
  <c r="Y287" i="16" s="1"/>
  <c r="BI56" i="16"/>
  <c r="I57" i="22"/>
  <c r="AV58" i="16"/>
  <c r="Y95" i="16"/>
  <c r="Y173" i="16" s="1"/>
  <c r="Y237" i="16" s="1"/>
  <c r="Y143" i="16"/>
  <c r="Y221" i="16" s="1"/>
  <c r="Y285" i="16" s="1"/>
  <c r="BH58" i="16"/>
  <c r="I60" i="22"/>
  <c r="AK113" i="16"/>
  <c r="AK191" i="16" s="1"/>
  <c r="AK255" i="16" s="1"/>
  <c r="AG138" i="16"/>
  <c r="AG216" i="16" s="1"/>
  <c r="AG280" i="16" s="1"/>
  <c r="BG61" i="16"/>
  <c r="S62" i="22"/>
  <c r="AK155" i="16"/>
  <c r="AK233" i="16" s="1"/>
  <c r="AK297" i="16" s="1"/>
  <c r="I63" i="22"/>
  <c r="E63" i="22"/>
  <c r="G64" i="22"/>
  <c r="AV105" i="16"/>
  <c r="AV183" i="16" s="1"/>
  <c r="AV247" i="16" s="1"/>
  <c r="N65" i="22"/>
  <c r="BK66" i="16"/>
  <c r="BG67" i="16"/>
  <c r="L110" i="16"/>
  <c r="L188" i="16" s="1"/>
  <c r="L252" i="16" s="1"/>
  <c r="BB72" i="16"/>
  <c r="P117" i="16"/>
  <c r="P195" i="16" s="1"/>
  <c r="P259" i="16" s="1"/>
  <c r="T143" i="16"/>
  <c r="T221" i="16" s="1"/>
  <c r="T285" i="16" s="1"/>
  <c r="AE128" i="16"/>
  <c r="AE206" i="16" s="1"/>
  <c r="AE270" i="16" s="1"/>
  <c r="AA143" i="16"/>
  <c r="AA221" i="16" s="1"/>
  <c r="AA285" i="16" s="1"/>
  <c r="BH78" i="16"/>
  <c r="BG78" i="16"/>
  <c r="AX116" i="16"/>
  <c r="AX194" i="16" s="1"/>
  <c r="AX258" i="16" s="1"/>
  <c r="AX97" i="16"/>
  <c r="AX175" i="16" s="1"/>
  <c r="AX239" i="16" s="1"/>
  <c r="AX98" i="16"/>
  <c r="AX176" i="16" s="1"/>
  <c r="AX240" i="16" s="1"/>
  <c r="AG94" i="16"/>
  <c r="AG172" i="16" s="1"/>
  <c r="AG236" i="16" s="1"/>
  <c r="AR112" i="16"/>
  <c r="AR190" i="16" s="1"/>
  <c r="AR254" i="16" s="1"/>
  <c r="AD118" i="16"/>
  <c r="AD196" i="16" s="1"/>
  <c r="AD260" i="16" s="1"/>
  <c r="X123" i="16"/>
  <c r="X201" i="16" s="1"/>
  <c r="X265" i="16" s="1"/>
  <c r="L129" i="16"/>
  <c r="L207" i="16" s="1"/>
  <c r="L271" i="16" s="1"/>
  <c r="AX139" i="16"/>
  <c r="AX217" i="16" s="1"/>
  <c r="AX281" i="16" s="1"/>
  <c r="AK152" i="16"/>
  <c r="AK230" i="16" s="1"/>
  <c r="AK294" i="16" s="1"/>
  <c r="S132" i="16"/>
  <c r="S210" i="16" s="1"/>
  <c r="S274" i="16" s="1"/>
  <c r="S135" i="16"/>
  <c r="S213" i="16" s="1"/>
  <c r="S277" i="16" s="1"/>
  <c r="AD148" i="16"/>
  <c r="AD226" i="16" s="1"/>
  <c r="AD290" i="16" s="1"/>
  <c r="Z126" i="16"/>
  <c r="Z204" i="16" s="1"/>
  <c r="Z268" i="16" s="1"/>
  <c r="BD34" i="16"/>
  <c r="AH100" i="16"/>
  <c r="AH178" i="16" s="1"/>
  <c r="AH242" i="16" s="1"/>
  <c r="AX36" i="16"/>
  <c r="AH148" i="16"/>
  <c r="AH226" i="16" s="1"/>
  <c r="AH290" i="16" s="1"/>
  <c r="BJ36" i="16"/>
  <c r="AL94" i="16"/>
  <c r="AL172" i="16" s="1"/>
  <c r="AL236" i="16" s="1"/>
  <c r="AH142" i="16"/>
  <c r="AH220" i="16" s="1"/>
  <c r="AH284" i="16" s="1"/>
  <c r="BH38" i="16"/>
  <c r="AL95" i="16"/>
  <c r="AL173" i="16" s="1"/>
  <c r="AL237" i="16" s="1"/>
  <c r="AW120" i="16"/>
  <c r="AW198" i="16" s="1"/>
  <c r="AW262" i="16" s="1"/>
  <c r="AW133" i="16"/>
  <c r="AW211" i="16" s="1"/>
  <c r="AW275" i="16" s="1"/>
  <c r="BH42" i="16"/>
  <c r="F116" i="16"/>
  <c r="F194" i="16" s="1"/>
  <c r="F258" i="16" s="1"/>
  <c r="BB47" i="16"/>
  <c r="M48" i="22"/>
  <c r="H50" i="22"/>
  <c r="J111" i="16"/>
  <c r="J189" i="16" s="1"/>
  <c r="J253" i="16" s="1"/>
  <c r="R120" i="16"/>
  <c r="R198" i="16" s="1"/>
  <c r="R262" i="16" s="1"/>
  <c r="R149" i="16"/>
  <c r="R227" i="16" s="1"/>
  <c r="R291" i="16" s="1"/>
  <c r="R98" i="16"/>
  <c r="R176" i="16" s="1"/>
  <c r="R240" i="16" s="1"/>
  <c r="F56" i="22"/>
  <c r="Y149" i="16"/>
  <c r="Y227" i="16" s="1"/>
  <c r="Y291" i="16" s="1"/>
  <c r="BJ56" i="16"/>
  <c r="J57" i="22"/>
  <c r="S58" i="22"/>
  <c r="F59" i="22"/>
  <c r="J60" i="22"/>
  <c r="D61" i="22"/>
  <c r="AK94" i="16"/>
  <c r="AK172" i="16" s="1"/>
  <c r="AK236" i="16" s="1"/>
  <c r="AG142" i="16"/>
  <c r="AG220" i="16" s="1"/>
  <c r="AG284" i="16" s="1"/>
  <c r="BH61" i="16"/>
  <c r="E62" i="22"/>
  <c r="F63" i="22"/>
  <c r="AV100" i="16"/>
  <c r="AV178" i="16" s="1"/>
  <c r="AV242" i="16" s="1"/>
  <c r="I64" i="22"/>
  <c r="AZ70" i="16"/>
  <c r="H111" i="16"/>
  <c r="H189" i="16" s="1"/>
  <c r="H253" i="16" s="1"/>
  <c r="L155" i="16"/>
  <c r="L233" i="16" s="1"/>
  <c r="L297" i="16" s="1"/>
  <c r="BF75" i="16"/>
  <c r="AA132" i="16"/>
  <c r="AA210" i="16" s="1"/>
  <c r="AA274" i="16" s="1"/>
  <c r="AE120" i="16"/>
  <c r="AE198" i="16" s="1"/>
  <c r="AE262" i="16" s="1"/>
  <c r="AE121" i="16"/>
  <c r="AE199" i="16" s="1"/>
  <c r="AE263" i="16" s="1"/>
  <c r="BJ81" i="16"/>
  <c r="AM135" i="16"/>
  <c r="AM213" i="16" s="1"/>
  <c r="AM277" i="16" s="1"/>
  <c r="AM127" i="16"/>
  <c r="AM205" i="16" s="1"/>
  <c r="AM269" i="16" s="1"/>
  <c r="AX120" i="16"/>
  <c r="AX198" i="16" s="1"/>
  <c r="AX262" i="16" s="1"/>
  <c r="AX101" i="16"/>
  <c r="AX179" i="16" s="1"/>
  <c r="AX243" i="16" s="1"/>
  <c r="AX85" i="16"/>
  <c r="AT102" i="16"/>
  <c r="AT180" i="16" s="1"/>
  <c r="AT244" i="16" s="1"/>
  <c r="AX150" i="16"/>
  <c r="AX228" i="16" s="1"/>
  <c r="AX292" i="16" s="1"/>
  <c r="AH94" i="16"/>
  <c r="AH172" i="16" s="1"/>
  <c r="AH236" i="16" s="1"/>
  <c r="AA99" i="16"/>
  <c r="AA177" i="16" s="1"/>
  <c r="AA241" i="16" s="1"/>
  <c r="Y101" i="16"/>
  <c r="Y179" i="16" s="1"/>
  <c r="Y243" i="16" s="1"/>
  <c r="AU130" i="16"/>
  <c r="AU208" i="16" s="1"/>
  <c r="AU272" i="16" s="1"/>
  <c r="AT150" i="16"/>
  <c r="AT228" i="16" s="1"/>
  <c r="AT292" i="16" s="1"/>
  <c r="M63" i="22"/>
  <c r="F58" i="22"/>
  <c r="R58" i="22"/>
  <c r="D66" i="22"/>
  <c r="P66" i="22"/>
  <c r="AA140" i="16"/>
  <c r="AA218" i="16" s="1"/>
  <c r="AA282" i="16" s="1"/>
  <c r="BH75" i="16"/>
  <c r="AX141" i="16"/>
  <c r="AX219" i="16" s="1"/>
  <c r="AX283" i="16" s="1"/>
  <c r="AM141" i="16"/>
  <c r="AM219" i="16" s="1"/>
  <c r="AM283" i="16" s="1"/>
  <c r="AA92" i="16"/>
  <c r="AA170" i="16" s="1"/>
  <c r="AA234" i="16" s="1"/>
  <c r="AM93" i="16"/>
  <c r="AM171" i="16" s="1"/>
  <c r="AM235" i="16" s="1"/>
  <c r="AX124" i="16"/>
  <c r="AX202" i="16" s="1"/>
  <c r="AX266" i="16" s="1"/>
  <c r="AR143" i="16"/>
  <c r="AR221" i="16" s="1"/>
  <c r="AR285" i="16" s="1"/>
  <c r="L154" i="16"/>
  <c r="L232" i="16" s="1"/>
  <c r="L296" i="16" s="1"/>
  <c r="Q58" i="22"/>
  <c r="E59" i="22"/>
  <c r="R59" i="22"/>
  <c r="R60" i="22"/>
  <c r="Q61" i="22"/>
  <c r="Q62" i="22"/>
  <c r="P63" i="22"/>
  <c r="P64" i="22"/>
  <c r="F65" i="22"/>
  <c r="R65" i="22"/>
  <c r="O65" i="22"/>
  <c r="O66" i="22"/>
  <c r="AM149" i="16"/>
  <c r="AM227" i="16" s="1"/>
  <c r="AM291" i="16" s="1"/>
  <c r="AV139" i="16"/>
  <c r="AV217" i="16" s="1"/>
  <c r="AV281" i="16" s="1"/>
  <c r="Y151" i="16"/>
  <c r="Y229" i="16" s="1"/>
  <c r="Y293" i="16" s="1"/>
  <c r="D125" i="20"/>
  <c r="D126" i="20" s="1"/>
  <c r="D127" i="20" s="1"/>
  <c r="BT7" i="22"/>
  <c r="BT8" i="22" s="1"/>
  <c r="N118" i="23"/>
  <c r="N6" i="23"/>
  <c r="C118" i="23"/>
  <c r="N63" i="23"/>
  <c r="N104" i="24"/>
  <c r="C56" i="24"/>
  <c r="N6" i="24"/>
  <c r="C104" i="24"/>
  <c r="N56" i="24"/>
  <c r="C62" i="23"/>
  <c r="N5" i="23"/>
  <c r="N62" i="23"/>
  <c r="D18" i="27"/>
  <c r="D17" i="27"/>
  <c r="D20" i="27"/>
  <c r="D19" i="27"/>
  <c r="N102" i="24"/>
  <c r="C102" i="24"/>
  <c r="N4" i="24"/>
  <c r="C54" i="24"/>
  <c r="C90" i="27"/>
  <c r="C114" i="23"/>
  <c r="C59" i="23"/>
  <c r="C103" i="24"/>
  <c r="C55" i="24"/>
  <c r="N103" i="24"/>
  <c r="C104" i="25"/>
  <c r="N6" i="25"/>
  <c r="C56" i="25"/>
  <c r="N5" i="24"/>
  <c r="N101" i="25"/>
  <c r="N53" i="25"/>
  <c r="C53" i="25"/>
  <c r="N3" i="25"/>
  <c r="C101" i="25"/>
  <c r="C102" i="25"/>
  <c r="N55" i="25"/>
  <c r="C103" i="25"/>
  <c r="N5" i="25"/>
  <c r="K132" i="16" l="1"/>
  <c r="K210" i="16" s="1"/>
  <c r="K274" i="16" s="1"/>
  <c r="AU112" i="16"/>
  <c r="AU190" i="16" s="1"/>
  <c r="AU254" i="16" s="1"/>
  <c r="M5" i="22"/>
  <c r="I129" i="16"/>
  <c r="I207" i="16" s="1"/>
  <c r="I271" i="16" s="1"/>
  <c r="AL144" i="16"/>
  <c r="AL222" i="16" s="1"/>
  <c r="AL286" i="16" s="1"/>
  <c r="S137" i="16"/>
  <c r="S215" i="16" s="1"/>
  <c r="S279" i="16" s="1"/>
  <c r="AE109" i="16"/>
  <c r="AE187" i="16" s="1"/>
  <c r="AE251" i="16" s="1"/>
  <c r="L138" i="16"/>
  <c r="L216" i="16" s="1"/>
  <c r="L280" i="16" s="1"/>
  <c r="AO47" i="22"/>
  <c r="M85" i="22"/>
  <c r="AX130" i="16"/>
  <c r="AX208" i="16" s="1"/>
  <c r="AX272" i="16" s="1"/>
  <c r="T155" i="16"/>
  <c r="T233" i="16" s="1"/>
  <c r="T297" i="16" s="1"/>
  <c r="F10" i="9"/>
  <c r="F14" i="9" s="1"/>
  <c r="F10" i="8"/>
  <c r="F14" i="8" s="1"/>
  <c r="F20" i="8" s="1"/>
  <c r="F29" i="8" s="1"/>
  <c r="C89" i="27"/>
  <c r="C96" i="27"/>
  <c r="C114" i="27" a="1"/>
  <c r="C114" i="27" s="1"/>
  <c r="BG55" i="22"/>
  <c r="AM55" i="22"/>
  <c r="N75" i="22"/>
  <c r="AE132" i="16"/>
  <c r="AE210" i="16" s="1"/>
  <c r="AE274" i="16" s="1"/>
  <c r="AE139" i="16"/>
  <c r="AE217" i="16" s="1"/>
  <c r="AE281" i="16" s="1"/>
  <c r="J72" i="22"/>
  <c r="T117" i="16"/>
  <c r="T195" i="16" s="1"/>
  <c r="T259" i="16" s="1"/>
  <c r="AJ153" i="16"/>
  <c r="AJ231" i="16" s="1"/>
  <c r="AJ295" i="16" s="1"/>
  <c r="BD56" i="22"/>
  <c r="O58" i="22"/>
  <c r="BF52" i="22" s="1"/>
  <c r="AC139" i="16"/>
  <c r="AC217" i="16" s="1"/>
  <c r="AC281" i="16" s="1"/>
  <c r="S102" i="16"/>
  <c r="S180" i="16" s="1"/>
  <c r="S244" i="16" s="1"/>
  <c r="M61" i="22"/>
  <c r="S120" i="16"/>
  <c r="S198" i="16" s="1"/>
  <c r="S262" i="16" s="1"/>
  <c r="AU148" i="16"/>
  <c r="AU226" i="16" s="1"/>
  <c r="AU290" i="16" s="1"/>
  <c r="T130" i="16"/>
  <c r="T208" i="16" s="1"/>
  <c r="T272" i="16" s="1"/>
  <c r="AL129" i="16"/>
  <c r="AL207" i="16" s="1"/>
  <c r="AL271" i="16" s="1"/>
  <c r="AU151" i="16"/>
  <c r="AU229" i="16" s="1"/>
  <c r="AU293" i="16" s="1"/>
  <c r="K130" i="16"/>
  <c r="K208" i="16" s="1"/>
  <c r="K272" i="16" s="1"/>
  <c r="AM148" i="16"/>
  <c r="AM226" i="16" s="1"/>
  <c r="AM290" i="16" s="1"/>
  <c r="AF48" i="22"/>
  <c r="AZ48" i="22"/>
  <c r="AL127" i="16"/>
  <c r="AL205" i="16" s="1"/>
  <c r="AL269" i="16" s="1"/>
  <c r="L108" i="16"/>
  <c r="L186" i="16" s="1"/>
  <c r="L250" i="16" s="1"/>
  <c r="R55" i="22"/>
  <c r="AC148" i="16"/>
  <c r="AC226" i="16" s="1"/>
  <c r="AC290" i="16" s="1"/>
  <c r="AU48" i="22"/>
  <c r="AA48" i="22"/>
  <c r="F60" i="22"/>
  <c r="AD121" i="16"/>
  <c r="AD199" i="16" s="1"/>
  <c r="AD263" i="16" s="1"/>
  <c r="T147" i="16"/>
  <c r="T225" i="16" s="1"/>
  <c r="T289" i="16" s="1"/>
  <c r="AW154" i="16"/>
  <c r="AW232" i="16" s="1"/>
  <c r="AW296" i="16" s="1"/>
  <c r="AU154" i="16"/>
  <c r="AU232" i="16" s="1"/>
  <c r="AU296" i="16" s="1"/>
  <c r="L105" i="16"/>
  <c r="L183" i="16" s="1"/>
  <c r="L247" i="16" s="1"/>
  <c r="AN55" i="22"/>
  <c r="BH55" i="22"/>
  <c r="I59" i="22"/>
  <c r="E253" i="16"/>
  <c r="D253" i="16" s="1"/>
  <c r="D189" i="16"/>
  <c r="M60" i="22"/>
  <c r="S145" i="16"/>
  <c r="S223" i="16" s="1"/>
  <c r="S287" i="16" s="1"/>
  <c r="G85" i="22"/>
  <c r="AX106" i="16"/>
  <c r="AX184" i="16" s="1"/>
  <c r="AX248" i="16" s="1"/>
  <c r="G59" i="22"/>
  <c r="AL97" i="16"/>
  <c r="AL175" i="16" s="1"/>
  <c r="AL239" i="16" s="1"/>
  <c r="M32" i="22"/>
  <c r="AD128" i="16"/>
  <c r="AD206" i="16" s="1"/>
  <c r="AD270" i="16" s="1"/>
  <c r="I138" i="16"/>
  <c r="I216" i="16" s="1"/>
  <c r="I280" i="16" s="1"/>
  <c r="N50" i="22"/>
  <c r="J135" i="16"/>
  <c r="J213" i="16" s="1"/>
  <c r="J277" i="16" s="1"/>
  <c r="AB143" i="16"/>
  <c r="AB221" i="16" s="1"/>
  <c r="AB285" i="16" s="1"/>
  <c r="AJ131" i="16"/>
  <c r="AJ209" i="16" s="1"/>
  <c r="AJ273" i="16" s="1"/>
  <c r="D228" i="16"/>
  <c r="E292" i="16"/>
  <c r="D292" i="16" s="1"/>
  <c r="BF48" i="22"/>
  <c r="L50" i="22"/>
  <c r="J127" i="16"/>
  <c r="J205" i="16" s="1"/>
  <c r="J269" i="16" s="1"/>
  <c r="AW114" i="16"/>
  <c r="AW192" i="16" s="1"/>
  <c r="AW256" i="16" s="1"/>
  <c r="AJ133" i="16"/>
  <c r="AJ211" i="16" s="1"/>
  <c r="AJ275" i="16" s="1"/>
  <c r="L61" i="22"/>
  <c r="AK126" i="16"/>
  <c r="AK204" i="16" s="1"/>
  <c r="AK268" i="16" s="1"/>
  <c r="I92" i="16"/>
  <c r="I170" i="16" s="1"/>
  <c r="I234" i="16" s="1"/>
  <c r="E268" i="15"/>
  <c r="D268" i="15" s="1"/>
  <c r="O316" i="15" s="1"/>
  <c r="D204" i="15"/>
  <c r="Q94" i="16"/>
  <c r="Q172" i="16" s="1"/>
  <c r="Q236" i="16" s="1"/>
  <c r="E223" i="15"/>
  <c r="D223" i="15" s="1"/>
  <c r="D159" i="15"/>
  <c r="G11" i="8"/>
  <c r="G15" i="8" s="1"/>
  <c r="G11" i="9"/>
  <c r="G15" i="9" s="1"/>
  <c r="E236" i="14"/>
  <c r="D236" i="14" s="1"/>
  <c r="D172" i="14"/>
  <c r="M15" i="21"/>
  <c r="B15" i="20"/>
  <c r="E15" i="20"/>
  <c r="L16" i="20" s="1"/>
  <c r="O51" i="20"/>
  <c r="O153" i="11"/>
  <c r="N100" i="11"/>
  <c r="R122" i="16"/>
  <c r="R200" i="16" s="1"/>
  <c r="R264" i="16" s="1"/>
  <c r="L66" i="22"/>
  <c r="AI56" i="22" s="1"/>
  <c r="AV127" i="16"/>
  <c r="AV205" i="16" s="1"/>
  <c r="AV269" i="16" s="1"/>
  <c r="K58" i="22"/>
  <c r="AC123" i="16"/>
  <c r="AC201" i="16" s="1"/>
  <c r="AC265" i="16" s="1"/>
  <c r="AD47" i="22"/>
  <c r="AX47" i="22"/>
  <c r="M78" i="22"/>
  <c r="AE131" i="16"/>
  <c r="AE209" i="16" s="1"/>
  <c r="AE273" i="16" s="1"/>
  <c r="AI55" i="22"/>
  <c r="BC55" i="22"/>
  <c r="D213" i="15"/>
  <c r="E277" i="15"/>
  <c r="D277" i="15" s="1"/>
  <c r="E242" i="14"/>
  <c r="D242" i="14" s="1"/>
  <c r="D178" i="14"/>
  <c r="AD98" i="16"/>
  <c r="AD176" i="16" s="1"/>
  <c r="AD240" i="16" s="1"/>
  <c r="AM125" i="16"/>
  <c r="AM203" i="16" s="1"/>
  <c r="AM267" i="16" s="1"/>
  <c r="AL132" i="16"/>
  <c r="AL210" i="16" s="1"/>
  <c r="AL274" i="16" s="1"/>
  <c r="Q60" i="22"/>
  <c r="AK145" i="16"/>
  <c r="AK223" i="16" s="1"/>
  <c r="AK287" i="16" s="1"/>
  <c r="Q95" i="16"/>
  <c r="Q173" i="16" s="1"/>
  <c r="Q237" i="16" s="1"/>
  <c r="AM150" i="16"/>
  <c r="AM228" i="16" s="1"/>
  <c r="AM292" i="16" s="1"/>
  <c r="P61" i="22"/>
  <c r="AK142" i="16"/>
  <c r="AK220" i="16" s="1"/>
  <c r="AK284" i="16" s="1"/>
  <c r="AE143" i="16"/>
  <c r="AE221" i="16" s="1"/>
  <c r="AE285" i="16" s="1"/>
  <c r="O61" i="22"/>
  <c r="AK138" i="16"/>
  <c r="AK216" i="16" s="1"/>
  <c r="AK280" i="16" s="1"/>
  <c r="AW155" i="16"/>
  <c r="AW233" i="16" s="1"/>
  <c r="AW297" i="16" s="1"/>
  <c r="AL138" i="16"/>
  <c r="AL216" i="16" s="1"/>
  <c r="AL280" i="16" s="1"/>
  <c r="AU147" i="16"/>
  <c r="AU225" i="16" s="1"/>
  <c r="AU289" i="16" s="1"/>
  <c r="S133" i="16"/>
  <c r="S211" i="16" s="1"/>
  <c r="S275" i="16" s="1"/>
  <c r="AD136" i="16"/>
  <c r="AD214" i="16" s="1"/>
  <c r="AD278" i="16" s="1"/>
  <c r="O73" i="22"/>
  <c r="T138" i="16"/>
  <c r="T216" i="16" s="1"/>
  <c r="T280" i="16" s="1"/>
  <c r="E55" i="22"/>
  <c r="AC96" i="16"/>
  <c r="AC174" i="16" s="1"/>
  <c r="AC238" i="16" s="1"/>
  <c r="K47" i="22"/>
  <c r="J120" i="16"/>
  <c r="J198" i="16" s="1"/>
  <c r="J262" i="16" s="1"/>
  <c r="AG48" i="22"/>
  <c r="BA48" i="22"/>
  <c r="AJ94" i="16"/>
  <c r="AJ172" i="16" s="1"/>
  <c r="AJ236" i="16" s="1"/>
  <c r="Q152" i="16"/>
  <c r="Q230" i="16" s="1"/>
  <c r="Q294" i="16" s="1"/>
  <c r="N64" i="22"/>
  <c r="AV133" i="16"/>
  <c r="AV211" i="16" s="1"/>
  <c r="AV275" i="16" s="1"/>
  <c r="Q144" i="16"/>
  <c r="Q222" i="16" s="1"/>
  <c r="Q286" i="16" s="1"/>
  <c r="D50" i="22"/>
  <c r="J95" i="16"/>
  <c r="J173" i="16" s="1"/>
  <c r="J237" i="16" s="1"/>
  <c r="AD54" i="22"/>
  <c r="AX54" i="22"/>
  <c r="S113" i="16"/>
  <c r="S191" i="16" s="1"/>
  <c r="S255" i="16" s="1"/>
  <c r="Q128" i="16"/>
  <c r="Q206" i="16" s="1"/>
  <c r="Q270" i="16" s="1"/>
  <c r="H85" i="22"/>
  <c r="AX110" i="16"/>
  <c r="AX188" i="16" s="1"/>
  <c r="AX252" i="16" s="1"/>
  <c r="K136" i="16"/>
  <c r="K214" i="16" s="1"/>
  <c r="K278" i="16" s="1"/>
  <c r="I65" i="22"/>
  <c r="AV114" i="16"/>
  <c r="AV192" i="16" s="1"/>
  <c r="AV256" i="16" s="1"/>
  <c r="E47" i="22"/>
  <c r="J96" i="16"/>
  <c r="J174" i="16" s="1"/>
  <c r="J238" i="16" s="1"/>
  <c r="K127" i="16"/>
  <c r="K205" i="16" s="1"/>
  <c r="K269" i="16" s="1"/>
  <c r="AM120" i="16"/>
  <c r="AM198" i="16" s="1"/>
  <c r="AM262" i="16" s="1"/>
  <c r="S72" i="22"/>
  <c r="T153" i="16"/>
  <c r="T231" i="16" s="1"/>
  <c r="T295" i="16" s="1"/>
  <c r="AW124" i="16"/>
  <c r="AW202" i="16" s="1"/>
  <c r="AW266" i="16" s="1"/>
  <c r="AB124" i="16"/>
  <c r="AB202" i="16" s="1"/>
  <c r="AB266" i="16" s="1"/>
  <c r="D59" i="22"/>
  <c r="D41" i="22"/>
  <c r="AW93" i="16"/>
  <c r="AW171" i="16" s="1"/>
  <c r="AW235" i="16" s="1"/>
  <c r="AD111" i="16"/>
  <c r="AD189" i="16" s="1"/>
  <c r="AD253" i="16" s="1"/>
  <c r="M14" i="22"/>
  <c r="AB130" i="16"/>
  <c r="AB208" i="16" s="1"/>
  <c r="AB272" i="16" s="1"/>
  <c r="AU102" i="16"/>
  <c r="AU180" i="16" s="1"/>
  <c r="AU244" i="16" s="1"/>
  <c r="AP52" i="22"/>
  <c r="BJ52" i="22"/>
  <c r="K110" i="16"/>
  <c r="K188" i="16" s="1"/>
  <c r="K252" i="16" s="1"/>
  <c r="O51" i="22"/>
  <c r="R136" i="16"/>
  <c r="R214" i="16" s="1"/>
  <c r="R278" i="16" s="1"/>
  <c r="BG56" i="22"/>
  <c r="AM56" i="22"/>
  <c r="E54" i="22"/>
  <c r="R99" i="16"/>
  <c r="R177" i="16" s="1"/>
  <c r="R241" i="16" s="1"/>
  <c r="E234" i="16"/>
  <c r="D234" i="16" s="1"/>
  <c r="D170" i="16"/>
  <c r="Q140" i="16"/>
  <c r="Q218" i="16" s="1"/>
  <c r="Q282" i="16" s="1"/>
  <c r="Q139" i="16"/>
  <c r="Q217" i="16" s="1"/>
  <c r="Q281" i="16" s="1"/>
  <c r="AB137" i="16"/>
  <c r="AB215" i="16" s="1"/>
  <c r="AB279" i="16" s="1"/>
  <c r="AJ100" i="16"/>
  <c r="AJ178" i="16" s="1"/>
  <c r="AJ242" i="16" s="1"/>
  <c r="J79" i="22"/>
  <c r="AM116" i="16"/>
  <c r="AM194" i="16" s="1"/>
  <c r="AM258" i="16" s="1"/>
  <c r="E240" i="14"/>
  <c r="D240" i="14" s="1"/>
  <c r="D176" i="14"/>
  <c r="AB104" i="16"/>
  <c r="AB182" i="16" s="1"/>
  <c r="AB246" i="16" s="1"/>
  <c r="E234" i="14"/>
  <c r="D234" i="14" s="1"/>
  <c r="D170" i="14"/>
  <c r="N215" i="12"/>
  <c r="M215" i="12" s="1"/>
  <c r="M151" i="12"/>
  <c r="D10" i="9"/>
  <c r="D14" i="9" s="1"/>
  <c r="D20" i="9" s="1"/>
  <c r="D29" i="9" s="1"/>
  <c r="D10" i="8"/>
  <c r="D14" i="8" s="1"/>
  <c r="B44" i="20"/>
  <c r="F18" i="21"/>
  <c r="AX16" i="20"/>
  <c r="E44" i="20"/>
  <c r="AU98" i="16"/>
  <c r="AU176" i="16" s="1"/>
  <c r="AU240" i="16" s="1"/>
  <c r="AE97" i="16"/>
  <c r="AE175" i="16" s="1"/>
  <c r="AE239" i="16" s="1"/>
  <c r="BE48" i="22"/>
  <c r="AK48" i="22"/>
  <c r="AJ144" i="16"/>
  <c r="AJ222" i="16" s="1"/>
  <c r="AJ286" i="16" s="1"/>
  <c r="AL118" i="16"/>
  <c r="AL196" i="16" s="1"/>
  <c r="AL260" i="16" s="1"/>
  <c r="T114" i="16"/>
  <c r="T192" i="16" s="1"/>
  <c r="T256" i="16" s="1"/>
  <c r="R155" i="16"/>
  <c r="R233" i="16" s="1"/>
  <c r="R297" i="16" s="1"/>
  <c r="T145" i="16"/>
  <c r="T223" i="16" s="1"/>
  <c r="T287" i="16" s="1"/>
  <c r="L109" i="16"/>
  <c r="L187" i="16" s="1"/>
  <c r="L251" i="16" s="1"/>
  <c r="J59" i="22"/>
  <c r="W370" i="12"/>
  <c r="AR370" i="12" s="1"/>
  <c r="O333" i="12"/>
  <c r="AJ333" i="12" s="1"/>
  <c r="Q356" i="12"/>
  <c r="AL356" i="12" s="1"/>
  <c r="Q367" i="12"/>
  <c r="AL367" i="12" s="1"/>
  <c r="X290" i="12"/>
  <c r="AS290" i="12" s="1"/>
  <c r="W308" i="12"/>
  <c r="AR308" i="12" s="1"/>
  <c r="S364" i="12"/>
  <c r="AN364" i="12" s="1"/>
  <c r="S290" i="12"/>
  <c r="AN290" i="12" s="1"/>
  <c r="P302" i="12"/>
  <c r="AK302" i="12" s="1"/>
  <c r="O272" i="12"/>
  <c r="AJ272" i="12" s="1"/>
  <c r="Q285" i="12"/>
  <c r="AL285" i="12" s="1"/>
  <c r="Q302" i="12"/>
  <c r="AL302" i="12" s="1"/>
  <c r="O311" i="12"/>
  <c r="AJ311" i="12" s="1"/>
  <c r="N323" i="12"/>
  <c r="AI323" i="12" s="1"/>
  <c r="N337" i="12"/>
  <c r="AI337" i="12" s="1"/>
  <c r="X333" i="12"/>
  <c r="AS333" i="12" s="1"/>
  <c r="S354" i="12"/>
  <c r="AN354" i="12" s="1"/>
  <c r="W277" i="12"/>
  <c r="AR277" i="12" s="1"/>
  <c r="S268" i="12"/>
  <c r="AN268" i="12" s="1"/>
  <c r="R265" i="12"/>
  <c r="AM265" i="12" s="1"/>
  <c r="O270" i="12"/>
  <c r="AJ270" i="12" s="1"/>
  <c r="W292" i="12"/>
  <c r="AR292" i="12" s="1"/>
  <c r="N238" i="12"/>
  <c r="M238" i="12" s="1"/>
  <c r="M174" i="12"/>
  <c r="M170" i="12"/>
  <c r="N234" i="12"/>
  <c r="M234" i="12" s="1"/>
  <c r="AX142" i="16"/>
  <c r="AX220" i="16" s="1"/>
  <c r="AX284" i="16" s="1"/>
  <c r="S146" i="16"/>
  <c r="S224" i="16" s="1"/>
  <c r="S288" i="16" s="1"/>
  <c r="G23" i="22"/>
  <c r="AU107" i="16"/>
  <c r="AU185" i="16" s="1"/>
  <c r="AU249" i="16" s="1"/>
  <c r="I93" i="16"/>
  <c r="I171" i="16" s="1"/>
  <c r="I235" i="16" s="1"/>
  <c r="I96" i="16"/>
  <c r="I174" i="16" s="1"/>
  <c r="I238" i="16" s="1"/>
  <c r="AN54" i="22"/>
  <c r="BH54" i="22"/>
  <c r="AE140" i="16"/>
  <c r="AE218" i="16" s="1"/>
  <c r="AE282" i="16" s="1"/>
  <c r="AJ55" i="22"/>
  <c r="BD55" i="22"/>
  <c r="P42" i="22"/>
  <c r="AW142" i="16"/>
  <c r="AW220" i="16" s="1"/>
  <c r="AW284" i="16" s="1"/>
  <c r="BD51" i="22"/>
  <c r="AJ51" i="22"/>
  <c r="S154" i="16"/>
  <c r="S232" i="16" s="1"/>
  <c r="S296" i="16" s="1"/>
  <c r="AJ105" i="16"/>
  <c r="AJ183" i="16" s="1"/>
  <c r="AJ247" i="16" s="1"/>
  <c r="I130" i="16"/>
  <c r="I208" i="16" s="1"/>
  <c r="I272" i="16" s="1"/>
  <c r="AY52" i="22"/>
  <c r="AE52" i="22"/>
  <c r="AY47" i="22"/>
  <c r="AU152" i="16"/>
  <c r="AU230" i="16" s="1"/>
  <c r="AU294" i="16" s="1"/>
  <c r="I119" i="16"/>
  <c r="I197" i="16" s="1"/>
  <c r="I261" i="16" s="1"/>
  <c r="N58" i="22"/>
  <c r="AC135" i="16"/>
  <c r="AC213" i="16" s="1"/>
  <c r="AC277" i="16" s="1"/>
  <c r="R50" i="22"/>
  <c r="J151" i="16"/>
  <c r="J229" i="16" s="1"/>
  <c r="J293" i="16" s="1"/>
  <c r="H34" i="22"/>
  <c r="AD110" i="16"/>
  <c r="AD188" i="16" s="1"/>
  <c r="AD252" i="16" s="1"/>
  <c r="AU103" i="16"/>
  <c r="AU181" i="16" s="1"/>
  <c r="AU245" i="16" s="1"/>
  <c r="AJ146" i="16"/>
  <c r="AJ224" i="16" s="1"/>
  <c r="AJ288" i="16" s="1"/>
  <c r="R48" i="22"/>
  <c r="BI47" i="22" s="1"/>
  <c r="J149" i="16"/>
  <c r="J227" i="16" s="1"/>
  <c r="J291" i="16" s="1"/>
  <c r="K24" i="22"/>
  <c r="K120" i="16"/>
  <c r="K198" i="16" s="1"/>
  <c r="K262" i="16" s="1"/>
  <c r="AE151" i="16"/>
  <c r="AE229" i="16" s="1"/>
  <c r="AE293" i="16" s="1"/>
  <c r="AY55" i="22"/>
  <c r="AI47" i="22"/>
  <c r="BC47" i="22"/>
  <c r="F55" i="22"/>
  <c r="AC100" i="16"/>
  <c r="AC178" i="16" s="1"/>
  <c r="AC242" i="16" s="1"/>
  <c r="AE48" i="22"/>
  <c r="AY48" i="22"/>
  <c r="AU97" i="16"/>
  <c r="AU175" i="16" s="1"/>
  <c r="AU239" i="16" s="1"/>
  <c r="L113" i="16"/>
  <c r="L191" i="16" s="1"/>
  <c r="L255" i="16" s="1"/>
  <c r="J61" i="22"/>
  <c r="AK118" i="16"/>
  <c r="AK196" i="16" s="1"/>
  <c r="AK260" i="16" s="1"/>
  <c r="G42" i="22"/>
  <c r="AW106" i="16"/>
  <c r="AW184" i="16" s="1"/>
  <c r="AW248" i="16" s="1"/>
  <c r="AD107" i="16"/>
  <c r="AD185" i="16" s="1"/>
  <c r="AD249" i="16" s="1"/>
  <c r="AU106" i="16"/>
  <c r="AU184" i="16" s="1"/>
  <c r="AU248" i="16" s="1"/>
  <c r="L96" i="16"/>
  <c r="L174" i="16" s="1"/>
  <c r="L238" i="16" s="1"/>
  <c r="L102" i="16"/>
  <c r="L180" i="16" s="1"/>
  <c r="L244" i="16" s="1"/>
  <c r="O60" i="22"/>
  <c r="AK137" i="16"/>
  <c r="AK215" i="16" s="1"/>
  <c r="AK279" i="16" s="1"/>
  <c r="R5" i="22"/>
  <c r="I149" i="16"/>
  <c r="I227" i="16" s="1"/>
  <c r="I291" i="16" s="1"/>
  <c r="AU56" i="22"/>
  <c r="AA56" i="22"/>
  <c r="O50" i="22"/>
  <c r="AL48" i="22" s="1"/>
  <c r="J139" i="16"/>
  <c r="J217" i="16" s="1"/>
  <c r="J281" i="16" s="1"/>
  <c r="S126" i="16"/>
  <c r="S204" i="16" s="1"/>
  <c r="S268" i="16" s="1"/>
  <c r="Q49" i="22"/>
  <c r="J146" i="16"/>
  <c r="J224" i="16" s="1"/>
  <c r="J288" i="16" s="1"/>
  <c r="Q151" i="16"/>
  <c r="Q229" i="16" s="1"/>
  <c r="Q293" i="16" s="1"/>
  <c r="Q4" i="22"/>
  <c r="I144" i="16"/>
  <c r="I222" i="16" s="1"/>
  <c r="I286" i="16" s="1"/>
  <c r="AL148" i="16"/>
  <c r="AL226" i="16" s="1"/>
  <c r="AL290" i="16" s="1"/>
  <c r="E272" i="16"/>
  <c r="D272" i="16" s="1"/>
  <c r="D208" i="16"/>
  <c r="P56" i="22"/>
  <c r="AC141" i="16"/>
  <c r="AC219" i="16" s="1"/>
  <c r="AC283" i="16" s="1"/>
  <c r="AW151" i="16"/>
  <c r="AW229" i="16" s="1"/>
  <c r="AW293" i="16" s="1"/>
  <c r="AL140" i="16"/>
  <c r="AL218" i="16" s="1"/>
  <c r="AL282" i="16" s="1"/>
  <c r="I27" i="22"/>
  <c r="K115" i="16"/>
  <c r="K193" i="16" s="1"/>
  <c r="K257" i="16" s="1"/>
  <c r="E261" i="16"/>
  <c r="D261" i="16" s="1"/>
  <c r="D197" i="16"/>
  <c r="T124" i="16"/>
  <c r="T202" i="16" s="1"/>
  <c r="T266" i="16" s="1"/>
  <c r="M66" i="22"/>
  <c r="AJ56" i="22" s="1"/>
  <c r="AV131" i="16"/>
  <c r="AV209" i="16" s="1"/>
  <c r="AV273" i="16" s="1"/>
  <c r="I55" i="22"/>
  <c r="AC112" i="16"/>
  <c r="AC190" i="16" s="1"/>
  <c r="AC254" i="16" s="1"/>
  <c r="N56" i="22"/>
  <c r="BE51" i="22" s="1"/>
  <c r="AC133" i="16"/>
  <c r="AC211" i="16" s="1"/>
  <c r="AC275" i="16" s="1"/>
  <c r="O7" i="22"/>
  <c r="I139" i="16"/>
  <c r="I217" i="16" s="1"/>
  <c r="I281" i="16" s="1"/>
  <c r="G62" i="22"/>
  <c r="AJ138" i="16"/>
  <c r="AJ216" i="16" s="1"/>
  <c r="AJ280" i="16" s="1"/>
  <c r="R143" i="16"/>
  <c r="R221" i="16" s="1"/>
  <c r="R285" i="16" s="1"/>
  <c r="P48" i="22"/>
  <c r="J141" i="16"/>
  <c r="J219" i="16" s="1"/>
  <c r="J283" i="16" s="1"/>
  <c r="S112" i="16"/>
  <c r="S190" i="16" s="1"/>
  <c r="S254" i="16" s="1"/>
  <c r="P16" i="22"/>
  <c r="AJ140" i="16"/>
  <c r="AJ218" i="16" s="1"/>
  <c r="AJ282" i="16" s="1"/>
  <c r="BJ48" i="22"/>
  <c r="AP48" i="22"/>
  <c r="K121" i="16"/>
  <c r="K199" i="16" s="1"/>
  <c r="K263" i="16" s="1"/>
  <c r="R42" i="22"/>
  <c r="AW150" i="16"/>
  <c r="AW228" i="16" s="1"/>
  <c r="AW292" i="16" s="1"/>
  <c r="AU155" i="16"/>
  <c r="AU233" i="16" s="1"/>
  <c r="AU297" i="16" s="1"/>
  <c r="D227" i="16"/>
  <c r="E291" i="16"/>
  <c r="D291" i="16" s="1"/>
  <c r="AW131" i="16"/>
  <c r="AW209" i="16" s="1"/>
  <c r="AW273" i="16" s="1"/>
  <c r="K113" i="16"/>
  <c r="K191" i="16" s="1"/>
  <c r="K255" i="16" s="1"/>
  <c r="AX111" i="16"/>
  <c r="AX189" i="16" s="1"/>
  <c r="AX253" i="16" s="1"/>
  <c r="S104" i="16"/>
  <c r="S182" i="16" s="1"/>
  <c r="S246" i="16" s="1"/>
  <c r="I141" i="16"/>
  <c r="I219" i="16" s="1"/>
  <c r="I283" i="16" s="1"/>
  <c r="BJ56" i="22"/>
  <c r="AP56" i="22"/>
  <c r="E49" i="22"/>
  <c r="J98" i="16"/>
  <c r="J176" i="16" s="1"/>
  <c r="J240" i="16" s="1"/>
  <c r="AL141" i="16"/>
  <c r="AL219" i="16" s="1"/>
  <c r="AL283" i="16" s="1"/>
  <c r="BB52" i="22"/>
  <c r="AH52" i="22"/>
  <c r="S48" i="22"/>
  <c r="AP47" i="22" s="1"/>
  <c r="J153" i="16"/>
  <c r="J231" i="16" s="1"/>
  <c r="J295" i="16" s="1"/>
  <c r="AW148" i="16"/>
  <c r="AW226" i="16" s="1"/>
  <c r="AW290" i="16" s="1"/>
  <c r="P57" i="22"/>
  <c r="AC142" i="16"/>
  <c r="AC220" i="16" s="1"/>
  <c r="AC284" i="16" s="1"/>
  <c r="AW110" i="16"/>
  <c r="AW188" i="16" s="1"/>
  <c r="AW252" i="16" s="1"/>
  <c r="AL152" i="16"/>
  <c r="AL230" i="16" s="1"/>
  <c r="AL294" i="16" s="1"/>
  <c r="AL126" i="16"/>
  <c r="AL204" i="16" s="1"/>
  <c r="AL268" i="16" s="1"/>
  <c r="G54" i="22"/>
  <c r="R107" i="16"/>
  <c r="R185" i="16" s="1"/>
  <c r="R249" i="16" s="1"/>
  <c r="O59" i="22"/>
  <c r="AK136" i="16"/>
  <c r="AK214" i="16" s="1"/>
  <c r="AK278" i="16" s="1"/>
  <c r="M53" i="22"/>
  <c r="R130" i="16"/>
  <c r="R208" i="16" s="1"/>
  <c r="R272" i="16" s="1"/>
  <c r="H61" i="22"/>
  <c r="Q150" i="16"/>
  <c r="Q228" i="16" s="1"/>
  <c r="Q292" i="16" s="1"/>
  <c r="I124" i="16"/>
  <c r="I202" i="16" s="1"/>
  <c r="I266" i="16" s="1"/>
  <c r="M59" i="22"/>
  <c r="AK128" i="16"/>
  <c r="AK206" i="16" s="1"/>
  <c r="AK270" i="16" s="1"/>
  <c r="D165" i="15"/>
  <c r="E229" i="15"/>
  <c r="D229" i="15" s="1"/>
  <c r="B176" i="12"/>
  <c r="C240" i="12"/>
  <c r="B240" i="12" s="1"/>
  <c r="E253" i="14"/>
  <c r="D253" i="14" s="1"/>
  <c r="D189" i="14"/>
  <c r="N188" i="12"/>
  <c r="M188" i="12" s="1"/>
  <c r="M124" i="12"/>
  <c r="M173" i="12"/>
  <c r="N237" i="12"/>
  <c r="M237" i="12" s="1"/>
  <c r="C182" i="12"/>
  <c r="B182" i="12" s="1"/>
  <c r="B118" i="12"/>
  <c r="N190" i="12"/>
  <c r="M190" i="12" s="1"/>
  <c r="M126" i="12"/>
  <c r="N186" i="12"/>
  <c r="M186" i="12" s="1"/>
  <c r="M122" i="12"/>
  <c r="C226" i="12"/>
  <c r="B226" i="12" s="1"/>
  <c r="B162" i="12"/>
  <c r="D155" i="11"/>
  <c r="C103" i="11"/>
  <c r="H55" i="22"/>
  <c r="AC108" i="16"/>
  <c r="AC186" i="16" s="1"/>
  <c r="AC250" i="16" s="1"/>
  <c r="G36" i="22"/>
  <c r="AL104" i="16"/>
  <c r="AL182" i="16" s="1"/>
  <c r="AL246" i="16" s="1"/>
  <c r="AO53" i="22"/>
  <c r="BI53" i="22"/>
  <c r="AX102" i="16"/>
  <c r="AX180" i="16" s="1"/>
  <c r="AX244" i="16" s="1"/>
  <c r="AA54" i="22"/>
  <c r="L136" i="16"/>
  <c r="L214" i="16" s="1"/>
  <c r="L278" i="16" s="1"/>
  <c r="R123" i="16"/>
  <c r="R201" i="16" s="1"/>
  <c r="R265" i="16" s="1"/>
  <c r="G43" i="22"/>
  <c r="AW107" i="16"/>
  <c r="AW185" i="16" s="1"/>
  <c r="AW249" i="16" s="1"/>
  <c r="S106" i="16"/>
  <c r="S184" i="16" s="1"/>
  <c r="S248" i="16" s="1"/>
  <c r="BJ55" i="22"/>
  <c r="AP55" i="22"/>
  <c r="M49" i="22"/>
  <c r="J130" i="16"/>
  <c r="J208" i="16" s="1"/>
  <c r="J272" i="16" s="1"/>
  <c r="M25" i="22"/>
  <c r="K129" i="16"/>
  <c r="K207" i="16" s="1"/>
  <c r="K271" i="16" s="1"/>
  <c r="Q108" i="16"/>
  <c r="Q186" i="16" s="1"/>
  <c r="Q250" i="16" s="1"/>
  <c r="D21" i="22"/>
  <c r="AU93" i="16"/>
  <c r="AU171" i="16" s="1"/>
  <c r="AU235" i="16" s="1"/>
  <c r="T134" i="16"/>
  <c r="T212" i="16" s="1"/>
  <c r="T276" i="16" s="1"/>
  <c r="AJ47" i="22"/>
  <c r="BD47" i="22"/>
  <c r="I134" i="16"/>
  <c r="I212" i="16" s="1"/>
  <c r="I276" i="16" s="1"/>
  <c r="AP54" i="22"/>
  <c r="BJ54" i="22"/>
  <c r="K126" i="16"/>
  <c r="K204" i="16" s="1"/>
  <c r="K268" i="16" s="1"/>
  <c r="E74" i="22"/>
  <c r="T99" i="16"/>
  <c r="T177" i="16" s="1"/>
  <c r="T241" i="16" s="1"/>
  <c r="AL98" i="16"/>
  <c r="AL176" i="16" s="1"/>
  <c r="AL240" i="16" s="1"/>
  <c r="K151" i="16"/>
  <c r="K229" i="16" s="1"/>
  <c r="K293" i="16" s="1"/>
  <c r="AB103" i="16"/>
  <c r="AB181" i="16" s="1"/>
  <c r="AB245" i="16" s="1"/>
  <c r="L86" i="22"/>
  <c r="AX127" i="16"/>
  <c r="AX205" i="16" s="1"/>
  <c r="AX269" i="16" s="1"/>
  <c r="T120" i="16"/>
  <c r="T198" i="16" s="1"/>
  <c r="T262" i="16" s="1"/>
  <c r="P21" i="22"/>
  <c r="AU141" i="16"/>
  <c r="AU219" i="16" s="1"/>
  <c r="AU283" i="16" s="1"/>
  <c r="AB125" i="16"/>
  <c r="AB203" i="16" s="1"/>
  <c r="AB267" i="16" s="1"/>
  <c r="I110" i="16"/>
  <c r="I188" i="16" s="1"/>
  <c r="I252" i="16" s="1"/>
  <c r="D62" i="22"/>
  <c r="AU54" i="22" s="1"/>
  <c r="AK95" i="16"/>
  <c r="AK173" i="16" s="1"/>
  <c r="AK237" i="16" s="1"/>
  <c r="AN51" i="22"/>
  <c r="AE152" i="16"/>
  <c r="AE230" i="16" s="1"/>
  <c r="AE294" i="16" s="1"/>
  <c r="AX56" i="22"/>
  <c r="AD56" i="22"/>
  <c r="AE127" i="16"/>
  <c r="AE205" i="16" s="1"/>
  <c r="AE269" i="16" s="1"/>
  <c r="AL112" i="16"/>
  <c r="AL190" i="16" s="1"/>
  <c r="AL254" i="16" s="1"/>
  <c r="Q15" i="22"/>
  <c r="AB147" i="16"/>
  <c r="AB225" i="16" s="1"/>
  <c r="AB289" i="16" s="1"/>
  <c r="E283" i="16"/>
  <c r="D283" i="16" s="1"/>
  <c r="D219" i="16"/>
  <c r="G72" i="22"/>
  <c r="T105" i="16"/>
  <c r="T183" i="16" s="1"/>
  <c r="T247" i="16" s="1"/>
  <c r="Q103" i="16"/>
  <c r="Q181" i="16" s="1"/>
  <c r="Q245" i="16" s="1"/>
  <c r="AM95" i="16"/>
  <c r="AM173" i="16" s="1"/>
  <c r="AM237" i="16" s="1"/>
  <c r="M57" i="22"/>
  <c r="AC130" i="16"/>
  <c r="AC208" i="16" s="1"/>
  <c r="AC272" i="16" s="1"/>
  <c r="S10" i="22"/>
  <c r="Q154" i="16"/>
  <c r="Q232" i="16" s="1"/>
  <c r="Q296" i="16" s="1"/>
  <c r="AX121" i="16"/>
  <c r="AX199" i="16" s="1"/>
  <c r="AX263" i="16" s="1"/>
  <c r="AU114" i="16"/>
  <c r="AU192" i="16" s="1"/>
  <c r="AU256" i="16" s="1"/>
  <c r="H48" i="22"/>
  <c r="AE47" i="22" s="1"/>
  <c r="J109" i="16"/>
  <c r="J187" i="16" s="1"/>
  <c r="J251" i="16" s="1"/>
  <c r="AG51" i="22"/>
  <c r="BA51" i="22"/>
  <c r="K114" i="16"/>
  <c r="K192" i="16" s="1"/>
  <c r="K256" i="16" s="1"/>
  <c r="AJ96" i="16"/>
  <c r="AJ174" i="16" s="1"/>
  <c r="AJ238" i="16" s="1"/>
  <c r="R72" i="22"/>
  <c r="T149" i="16"/>
  <c r="T227" i="16" s="1"/>
  <c r="T291" i="16" s="1"/>
  <c r="AW145" i="16"/>
  <c r="AW223" i="16" s="1"/>
  <c r="AW287" i="16" s="1"/>
  <c r="D217" i="14"/>
  <c r="E281" i="14"/>
  <c r="D281" i="14" s="1"/>
  <c r="F11" i="8"/>
  <c r="F15" i="8" s="1"/>
  <c r="F11" i="9"/>
  <c r="F15" i="9" s="1"/>
  <c r="D11" i="8"/>
  <c r="D15" i="8" s="1"/>
  <c r="D11" i="9"/>
  <c r="D15" i="9" s="1"/>
  <c r="C205" i="12"/>
  <c r="B205" i="12" s="1"/>
  <c r="B141" i="12"/>
  <c r="E274" i="14"/>
  <c r="D274" i="14" s="1"/>
  <c r="D210" i="14"/>
  <c r="C107" i="11"/>
  <c r="D159" i="11"/>
  <c r="D153" i="11"/>
  <c r="C101" i="11"/>
  <c r="V15" i="21"/>
  <c r="E24" i="20"/>
  <c r="L25" i="20" s="1"/>
  <c r="B24" i="20"/>
  <c r="O96" i="20"/>
  <c r="P58" i="22"/>
  <c r="AC143" i="16"/>
  <c r="AC221" i="16" s="1"/>
  <c r="AC285" i="16" s="1"/>
  <c r="AL153" i="16"/>
  <c r="AL231" i="16" s="1"/>
  <c r="AL295" i="16" s="1"/>
  <c r="AB119" i="16"/>
  <c r="AB197" i="16" s="1"/>
  <c r="AB261" i="16" s="1"/>
  <c r="AY56" i="22"/>
  <c r="AE56" i="22"/>
  <c r="T151" i="16"/>
  <c r="T229" i="16" s="1"/>
  <c r="T293" i="16" s="1"/>
  <c r="K52" i="22"/>
  <c r="R121" i="16"/>
  <c r="R199" i="16" s="1"/>
  <c r="R263" i="16" s="1"/>
  <c r="BE56" i="22"/>
  <c r="AK56" i="22"/>
  <c r="J48" i="22"/>
  <c r="J117" i="16"/>
  <c r="J195" i="16" s="1"/>
  <c r="J259" i="16" s="1"/>
  <c r="Q106" i="16"/>
  <c r="Q184" i="16" s="1"/>
  <c r="Q248" i="16" s="1"/>
  <c r="C34" i="27"/>
  <c r="D16" i="27"/>
  <c r="I19" i="27"/>
  <c r="C125" i="27" s="1"/>
  <c r="I22" i="27"/>
  <c r="L111" i="16"/>
  <c r="L189" i="16" s="1"/>
  <c r="L253" i="16" s="1"/>
  <c r="R62" i="22"/>
  <c r="AU139" i="16"/>
  <c r="AU217" i="16" s="1"/>
  <c r="AU281" i="16" s="1"/>
  <c r="AL119" i="16"/>
  <c r="AL197" i="16" s="1"/>
  <c r="AL261" i="16" s="1"/>
  <c r="T111" i="16"/>
  <c r="T189" i="16" s="1"/>
  <c r="T253" i="16" s="1"/>
  <c r="I51" i="22"/>
  <c r="R112" i="16"/>
  <c r="R190" i="16" s="1"/>
  <c r="R254" i="16" s="1"/>
  <c r="AU135" i="16"/>
  <c r="AU213" i="16" s="1"/>
  <c r="AU277" i="16" s="1"/>
  <c r="R37" i="22"/>
  <c r="AL149" i="16"/>
  <c r="AL227" i="16" s="1"/>
  <c r="AL291" i="16" s="1"/>
  <c r="K65" i="22"/>
  <c r="AV122" i="16"/>
  <c r="AV200" i="16" s="1"/>
  <c r="AV264" i="16" s="1"/>
  <c r="E297" i="16"/>
  <c r="D297" i="16" s="1"/>
  <c r="D233" i="16"/>
  <c r="E290" i="16"/>
  <c r="D290" i="16" s="1"/>
  <c r="D226" i="16"/>
  <c r="E263" i="15"/>
  <c r="D263" i="15" s="1"/>
  <c r="D199" i="15"/>
  <c r="K107" i="16"/>
  <c r="K185" i="16" s="1"/>
  <c r="K249" i="16" s="1"/>
  <c r="S153" i="16"/>
  <c r="S231" i="16" s="1"/>
  <c r="S295" i="16" s="1"/>
  <c r="AL122" i="16"/>
  <c r="AL200" i="16" s="1"/>
  <c r="AL264" i="16" s="1"/>
  <c r="AW97" i="16"/>
  <c r="AW175" i="16" s="1"/>
  <c r="AW239" i="16" s="1"/>
  <c r="L59" i="22"/>
  <c r="E245" i="16"/>
  <c r="D245" i="16" s="1"/>
  <c r="D181" i="16"/>
  <c r="AU142" i="16"/>
  <c r="AU220" i="16" s="1"/>
  <c r="AU284" i="16" s="1"/>
  <c r="Q99" i="16"/>
  <c r="Q177" i="16" s="1"/>
  <c r="Q241" i="16" s="1"/>
  <c r="D182" i="15"/>
  <c r="E246" i="15"/>
  <c r="D246" i="15" s="1"/>
  <c r="I118" i="16"/>
  <c r="I196" i="16" s="1"/>
  <c r="I260" i="16" s="1"/>
  <c r="E11" i="8"/>
  <c r="E15" i="8" s="1"/>
  <c r="E11" i="9"/>
  <c r="E15" i="9" s="1"/>
  <c r="P43" i="22"/>
  <c r="AW143" i="16"/>
  <c r="AW221" i="16" s="1"/>
  <c r="AW285" i="16" s="1"/>
  <c r="M137" i="12"/>
  <c r="N201" i="12"/>
  <c r="M201" i="12" s="1"/>
  <c r="N228" i="12"/>
  <c r="M228" i="12" s="1"/>
  <c r="M164" i="12"/>
  <c r="N203" i="12"/>
  <c r="M203" i="12" s="1"/>
  <c r="M139" i="12"/>
  <c r="B151" i="12"/>
  <c r="C215" i="12"/>
  <c r="B215" i="12" s="1"/>
  <c r="AJ152" i="16"/>
  <c r="AJ230" i="16" s="1"/>
  <c r="AJ294" i="16" s="1"/>
  <c r="AV53" i="22"/>
  <c r="AB53" i="22"/>
  <c r="S66" i="22"/>
  <c r="AV155" i="16"/>
  <c r="AV233" i="16" s="1"/>
  <c r="AV297" i="16" s="1"/>
  <c r="AX52" i="22"/>
  <c r="AD52" i="22"/>
  <c r="AU109" i="16"/>
  <c r="AU187" i="16" s="1"/>
  <c r="AU251" i="16" s="1"/>
  <c r="S143" i="16"/>
  <c r="S221" i="16" s="1"/>
  <c r="S285" i="16" s="1"/>
  <c r="AX100" i="16"/>
  <c r="AX178" i="16" s="1"/>
  <c r="AX242" i="16" s="1"/>
  <c r="K59" i="22"/>
  <c r="AK120" i="16"/>
  <c r="AK198" i="16" s="1"/>
  <c r="AK262" i="16" s="1"/>
  <c r="AD147" i="16"/>
  <c r="AD225" i="16" s="1"/>
  <c r="AD289" i="16" s="1"/>
  <c r="Q57" i="22"/>
  <c r="AC146" i="16"/>
  <c r="AC224" i="16" s="1"/>
  <c r="AC288" i="16" s="1"/>
  <c r="R140" i="16"/>
  <c r="R218" i="16" s="1"/>
  <c r="R282" i="16" s="1"/>
  <c r="AU110" i="16"/>
  <c r="AU188" i="16" s="1"/>
  <c r="AU252" i="16" s="1"/>
  <c r="K61" i="22"/>
  <c r="AK122" i="16"/>
  <c r="AK200" i="16" s="1"/>
  <c r="AK264" i="16" s="1"/>
  <c r="AI8" i="25"/>
  <c r="AI8" i="24"/>
  <c r="AP8" i="24" s="1"/>
  <c r="AI8" i="23"/>
  <c r="AP8" i="23" s="1"/>
  <c r="BB51" i="22"/>
  <c r="AH51" i="22"/>
  <c r="AH55" i="22"/>
  <c r="BB55" i="22"/>
  <c r="D171" i="16"/>
  <c r="E235" i="16"/>
  <c r="D235" i="16" s="1"/>
  <c r="AL93" i="16"/>
  <c r="AL171" i="16" s="1"/>
  <c r="AL235" i="16" s="1"/>
  <c r="E238" i="16"/>
  <c r="D238" i="16" s="1"/>
  <c r="D174" i="16"/>
  <c r="AM145" i="16"/>
  <c r="AM223" i="16" s="1"/>
  <c r="AM287" i="16" s="1"/>
  <c r="C195" i="12"/>
  <c r="B195" i="12" s="1"/>
  <c r="B131" i="12"/>
  <c r="BC48" i="22"/>
  <c r="AI48" i="22"/>
  <c r="N18" i="21"/>
  <c r="AX56" i="20"/>
  <c r="E52" i="20"/>
  <c r="B52" i="20"/>
  <c r="R128" i="16"/>
  <c r="R206" i="16" s="1"/>
  <c r="R270" i="16" s="1"/>
  <c r="AI51" i="22"/>
  <c r="BC51" i="22"/>
  <c r="AD153" i="16"/>
  <c r="AD231" i="16" s="1"/>
  <c r="AD295" i="16" s="1"/>
  <c r="AM115" i="16"/>
  <c r="AM193" i="16" s="1"/>
  <c r="AM257" i="16" s="1"/>
  <c r="D223" i="16"/>
  <c r="E287" i="16"/>
  <c r="D287" i="16" s="1"/>
  <c r="AX104" i="16"/>
  <c r="AX182" i="16" s="1"/>
  <c r="AX246" i="16" s="1"/>
  <c r="F62" i="22"/>
  <c r="AW54" i="22" s="1"/>
  <c r="Q50" i="22"/>
  <c r="J147" i="16"/>
  <c r="J225" i="16" s="1"/>
  <c r="J289" i="16" s="1"/>
  <c r="AB154" i="16"/>
  <c r="AB232" i="16" s="1"/>
  <c r="AB296" i="16" s="1"/>
  <c r="L104" i="16"/>
  <c r="L182" i="16" s="1"/>
  <c r="L246" i="16" s="1"/>
  <c r="S119" i="16"/>
  <c r="S197" i="16" s="1"/>
  <c r="S261" i="16" s="1"/>
  <c r="AJ118" i="16"/>
  <c r="AJ196" i="16" s="1"/>
  <c r="AJ260" i="16" s="1"/>
  <c r="AL115" i="16"/>
  <c r="AL193" i="16" s="1"/>
  <c r="AL257" i="16" s="1"/>
  <c r="N32" i="22"/>
  <c r="AD132" i="16"/>
  <c r="AD210" i="16" s="1"/>
  <c r="AD274" i="16" s="1"/>
  <c r="AB132" i="16"/>
  <c r="AB210" i="16" s="1"/>
  <c r="AB274" i="16" s="1"/>
  <c r="O63" i="22"/>
  <c r="AV136" i="16"/>
  <c r="AV214" i="16" s="1"/>
  <c r="AV278" i="16" s="1"/>
  <c r="F49" i="22"/>
  <c r="J102" i="16"/>
  <c r="J180" i="16" s="1"/>
  <c r="J244" i="16" s="1"/>
  <c r="E57" i="22"/>
  <c r="AC98" i="16"/>
  <c r="AC176" i="16" s="1"/>
  <c r="AC240" i="16" s="1"/>
  <c r="AB96" i="16"/>
  <c r="AB174" i="16" s="1"/>
  <c r="AB238" i="16" s="1"/>
  <c r="S15" i="22"/>
  <c r="AB155" i="16"/>
  <c r="AB233" i="16" s="1"/>
  <c r="AB297" i="16" s="1"/>
  <c r="AU131" i="16"/>
  <c r="AU209" i="16" s="1"/>
  <c r="AU273" i="16" s="1"/>
  <c r="C135" i="27"/>
  <c r="I20" i="27"/>
  <c r="D25" i="27"/>
  <c r="BF56" i="22"/>
  <c r="AL56" i="22"/>
  <c r="Q59" i="22"/>
  <c r="O62" i="22"/>
  <c r="AG52" i="22"/>
  <c r="L34" i="22"/>
  <c r="AD126" i="16"/>
  <c r="AD204" i="16" s="1"/>
  <c r="AD268" i="16" s="1"/>
  <c r="D58" i="22"/>
  <c r="AC95" i="16"/>
  <c r="AC173" i="16" s="1"/>
  <c r="AC237" i="16" s="1"/>
  <c r="N61" i="22"/>
  <c r="AK134" i="16"/>
  <c r="AK212" i="16" s="1"/>
  <c r="AK276" i="16" s="1"/>
  <c r="AJ101" i="16"/>
  <c r="AJ179" i="16" s="1"/>
  <c r="AJ243" i="16" s="1"/>
  <c r="T142" i="16"/>
  <c r="T220" i="16" s="1"/>
  <c r="T284" i="16" s="1"/>
  <c r="BC56" i="22"/>
  <c r="J77" i="22"/>
  <c r="AE118" i="16"/>
  <c r="AE196" i="16" s="1"/>
  <c r="AE260" i="16" s="1"/>
  <c r="N63" i="22"/>
  <c r="AV132" i="16"/>
  <c r="AV210" i="16" s="1"/>
  <c r="AV274" i="16" s="1"/>
  <c r="AL135" i="16"/>
  <c r="AL213" i="16" s="1"/>
  <c r="AL277" i="16" s="1"/>
  <c r="AD120" i="16"/>
  <c r="AD198" i="16" s="1"/>
  <c r="AD262" i="16" s="1"/>
  <c r="K118" i="16"/>
  <c r="K196" i="16" s="1"/>
  <c r="K260" i="16" s="1"/>
  <c r="L37" i="22"/>
  <c r="AL125" i="16"/>
  <c r="AL203" i="16" s="1"/>
  <c r="AL267" i="16" s="1"/>
  <c r="I97" i="16"/>
  <c r="I175" i="16" s="1"/>
  <c r="I239" i="16" s="1"/>
  <c r="T122" i="16"/>
  <c r="T200" i="16" s="1"/>
  <c r="T264" i="16" s="1"/>
  <c r="AW52" i="22"/>
  <c r="AC52" i="22"/>
  <c r="AU101" i="16"/>
  <c r="AU179" i="16" s="1"/>
  <c r="AU243" i="16" s="1"/>
  <c r="L117" i="16"/>
  <c r="L195" i="16" s="1"/>
  <c r="L259" i="16" s="1"/>
  <c r="R61" i="22"/>
  <c r="AW105" i="16"/>
  <c r="AW183" i="16" s="1"/>
  <c r="AW247" i="16" s="1"/>
  <c r="K141" i="16"/>
  <c r="K219" i="16" s="1"/>
  <c r="K283" i="16" s="1"/>
  <c r="AD119" i="16"/>
  <c r="AD197" i="16" s="1"/>
  <c r="AD261" i="16" s="1"/>
  <c r="J22" i="22"/>
  <c r="AU118" i="16"/>
  <c r="AU196" i="16" s="1"/>
  <c r="AU260" i="16" s="1"/>
  <c r="L146" i="16"/>
  <c r="L224" i="16" s="1"/>
  <c r="L288" i="16" s="1"/>
  <c r="E60" i="22"/>
  <c r="BG48" i="22"/>
  <c r="AL101" i="16"/>
  <c r="AL179" i="16" s="1"/>
  <c r="AL243" i="16" s="1"/>
  <c r="Q122" i="16"/>
  <c r="Q200" i="16" s="1"/>
  <c r="Q264" i="16" s="1"/>
  <c r="K86" i="22"/>
  <c r="AX123" i="16"/>
  <c r="AX201" i="16" s="1"/>
  <c r="AX265" i="16" s="1"/>
  <c r="P60" i="22"/>
  <c r="AK141" i="16"/>
  <c r="AK219" i="16" s="1"/>
  <c r="AK283" i="16" s="1"/>
  <c r="S138" i="16"/>
  <c r="S216" i="16" s="1"/>
  <c r="S280" i="16" s="1"/>
  <c r="M62" i="22"/>
  <c r="K117" i="16"/>
  <c r="K195" i="16" s="1"/>
  <c r="K259" i="16" s="1"/>
  <c r="E249" i="16"/>
  <c r="D249" i="16" s="1"/>
  <c r="D185" i="16"/>
  <c r="L60" i="22"/>
  <c r="AM121" i="16"/>
  <c r="AM199" i="16" s="1"/>
  <c r="AM263" i="16" s="1"/>
  <c r="L142" i="16"/>
  <c r="L220" i="16" s="1"/>
  <c r="L284" i="16" s="1"/>
  <c r="J62" i="22"/>
  <c r="L43" i="22"/>
  <c r="AW127" i="16"/>
  <c r="AW205" i="16" s="1"/>
  <c r="AW269" i="16" s="1"/>
  <c r="I148" i="16"/>
  <c r="I226" i="16" s="1"/>
  <c r="I290" i="16" s="1"/>
  <c r="AD124" i="16"/>
  <c r="AD202" i="16" s="1"/>
  <c r="AD266" i="16" s="1"/>
  <c r="Q145" i="16"/>
  <c r="Q223" i="16" s="1"/>
  <c r="Q287" i="16" s="1"/>
  <c r="N84" i="22"/>
  <c r="AX133" i="16"/>
  <c r="AX211" i="16" s="1"/>
  <c r="AX275" i="16" s="1"/>
  <c r="Q129" i="16"/>
  <c r="Q207" i="16" s="1"/>
  <c r="Q271" i="16" s="1"/>
  <c r="AM97" i="16"/>
  <c r="AM175" i="16" s="1"/>
  <c r="AM239" i="16" s="1"/>
  <c r="I48" i="22"/>
  <c r="AF47" i="22" s="1"/>
  <c r="J113" i="16"/>
  <c r="J191" i="16" s="1"/>
  <c r="J255" i="16" s="1"/>
  <c r="AE101" i="16"/>
  <c r="AE179" i="16" s="1"/>
  <c r="AE243" i="16" s="1"/>
  <c r="AX125" i="16"/>
  <c r="AX203" i="16" s="1"/>
  <c r="AX267" i="16" s="1"/>
  <c r="BF47" i="22"/>
  <c r="AL47" i="22"/>
  <c r="Q100" i="16"/>
  <c r="Q178" i="16" s="1"/>
  <c r="Q242" i="16" s="1"/>
  <c r="Q24" i="22"/>
  <c r="K144" i="16"/>
  <c r="K222" i="16" s="1"/>
  <c r="K286" i="16" s="1"/>
  <c r="AB115" i="16"/>
  <c r="AB193" i="16" s="1"/>
  <c r="AB257" i="16" s="1"/>
  <c r="S105" i="16"/>
  <c r="S183" i="16" s="1"/>
  <c r="S247" i="16" s="1"/>
  <c r="I151" i="16"/>
  <c r="I229" i="16" s="1"/>
  <c r="I293" i="16" s="1"/>
  <c r="D179" i="15"/>
  <c r="E243" i="15"/>
  <c r="D243" i="15" s="1"/>
  <c r="AE122" i="16"/>
  <c r="AE200" i="16" s="1"/>
  <c r="AE264" i="16" s="1"/>
  <c r="I6" i="22"/>
  <c r="I114" i="16"/>
  <c r="I192" i="16" s="1"/>
  <c r="I256" i="16" s="1"/>
  <c r="M136" i="12"/>
  <c r="N200" i="12"/>
  <c r="M200" i="12" s="1"/>
  <c r="N240" i="12"/>
  <c r="M240" i="12" s="1"/>
  <c r="M176" i="12"/>
  <c r="AL100" i="16"/>
  <c r="AL178" i="16" s="1"/>
  <c r="AL242" i="16" s="1"/>
  <c r="D56" i="22"/>
  <c r="AC93" i="16"/>
  <c r="AC171" i="16" s="1"/>
  <c r="AC235" i="16" s="1"/>
  <c r="AW109" i="16"/>
  <c r="AW187" i="16" s="1"/>
  <c r="AW251" i="16" s="1"/>
  <c r="M7" i="22"/>
  <c r="I131" i="16"/>
  <c r="I209" i="16" s="1"/>
  <c r="I273" i="16" s="1"/>
  <c r="L152" i="16"/>
  <c r="L230" i="16" s="1"/>
  <c r="L294" i="16" s="1"/>
  <c r="T116" i="16"/>
  <c r="T194" i="16" s="1"/>
  <c r="T258" i="16" s="1"/>
  <c r="AD115" i="16"/>
  <c r="AD193" i="16" s="1"/>
  <c r="AD257" i="16" s="1"/>
  <c r="F40" i="22"/>
  <c r="AW100" i="16"/>
  <c r="AW178" i="16" s="1"/>
  <c r="AW242" i="16" s="1"/>
  <c r="R126" i="16"/>
  <c r="R204" i="16" s="1"/>
  <c r="R268" i="16" s="1"/>
  <c r="F10" i="22"/>
  <c r="Q102" i="16"/>
  <c r="Q180" i="16" s="1"/>
  <c r="Q244" i="16" s="1"/>
  <c r="E270" i="14"/>
  <c r="D270" i="14" s="1"/>
  <c r="D206" i="14"/>
  <c r="AU121" i="16"/>
  <c r="AU199" i="16" s="1"/>
  <c r="AU263" i="16" s="1"/>
  <c r="L77" i="22"/>
  <c r="AE126" i="16"/>
  <c r="AE204" i="16" s="1"/>
  <c r="AE268" i="16" s="1"/>
  <c r="AB144" i="16"/>
  <c r="AB222" i="16" s="1"/>
  <c r="AB286" i="16" s="1"/>
  <c r="BG47" i="22"/>
  <c r="AM47" i="22"/>
  <c r="R56" i="22"/>
  <c r="AC149" i="16"/>
  <c r="AC227" i="16" s="1"/>
  <c r="AC291" i="16" s="1"/>
  <c r="L119" i="16"/>
  <c r="L197" i="16" s="1"/>
  <c r="L261" i="16" s="1"/>
  <c r="E239" i="16"/>
  <c r="D239" i="16" s="1"/>
  <c r="D175" i="16"/>
  <c r="D76" i="22"/>
  <c r="AE93" i="16"/>
  <c r="AE171" i="16" s="1"/>
  <c r="AE235" i="16" s="1"/>
  <c r="S142" i="16"/>
  <c r="S220" i="16" s="1"/>
  <c r="S284" i="16" s="1"/>
  <c r="P17" i="22"/>
  <c r="AJ141" i="16"/>
  <c r="AJ219" i="16" s="1"/>
  <c r="AJ283" i="16" s="1"/>
  <c r="AX119" i="16"/>
  <c r="AX197" i="16" s="1"/>
  <c r="AX261" i="16" s="1"/>
  <c r="I107" i="16"/>
  <c r="I185" i="16" s="1"/>
  <c r="I249" i="16" s="1"/>
  <c r="N60" i="22"/>
  <c r="AK133" i="16"/>
  <c r="AK211" i="16" s="1"/>
  <c r="AK275" i="16" s="1"/>
  <c r="K60" i="22"/>
  <c r="I100" i="16"/>
  <c r="I178" i="16" s="1"/>
  <c r="I242" i="16" s="1"/>
  <c r="R133" i="16"/>
  <c r="R211" i="16" s="1"/>
  <c r="R275" i="16" s="1"/>
  <c r="S148" i="16"/>
  <c r="S226" i="16" s="1"/>
  <c r="S290" i="16" s="1"/>
  <c r="E236" i="16"/>
  <c r="D236" i="16" s="1"/>
  <c r="D172" i="16"/>
  <c r="R111" i="16"/>
  <c r="R189" i="16" s="1"/>
  <c r="R253" i="16" s="1"/>
  <c r="G15" i="22"/>
  <c r="AB107" i="16"/>
  <c r="AB185" i="16" s="1"/>
  <c r="AB249" i="16" s="1"/>
  <c r="AW104" i="16"/>
  <c r="AW182" i="16" s="1"/>
  <c r="AW246" i="16" s="1"/>
  <c r="Q141" i="16"/>
  <c r="Q219" i="16" s="1"/>
  <c r="Q283" i="16" s="1"/>
  <c r="S92" i="16"/>
  <c r="S170" i="16" s="1"/>
  <c r="S234" i="16" s="1"/>
  <c r="R113" i="16"/>
  <c r="R191" i="16" s="1"/>
  <c r="R255" i="16" s="1"/>
  <c r="P55" i="22"/>
  <c r="AC140" i="16"/>
  <c r="AC218" i="16" s="1"/>
  <c r="AC282" i="16" s="1"/>
  <c r="H52" i="22"/>
  <c r="R109" i="16"/>
  <c r="R187" i="16" s="1"/>
  <c r="R251" i="16" s="1"/>
  <c r="L123" i="16"/>
  <c r="L201" i="16" s="1"/>
  <c r="L265" i="16" s="1"/>
  <c r="R151" i="16"/>
  <c r="R229" i="16" s="1"/>
  <c r="R293" i="16" s="1"/>
  <c r="AM112" i="16"/>
  <c r="AM190" i="16" s="1"/>
  <c r="AM254" i="16" s="1"/>
  <c r="AU94" i="16"/>
  <c r="AU172" i="16" s="1"/>
  <c r="AU236" i="16" s="1"/>
  <c r="E293" i="16"/>
  <c r="D293" i="16" s="1"/>
  <c r="D229" i="16"/>
  <c r="K9" i="22"/>
  <c r="Q121" i="16"/>
  <c r="Q199" i="16" s="1"/>
  <c r="Q263" i="16" s="1"/>
  <c r="E225" i="15"/>
  <c r="D225" i="15" s="1"/>
  <c r="D161" i="15"/>
  <c r="E256" i="16"/>
  <c r="D256" i="16" s="1"/>
  <c r="D192" i="16"/>
  <c r="M11" i="22"/>
  <c r="Q131" i="16"/>
  <c r="Q209" i="16" s="1"/>
  <c r="Q273" i="16" s="1"/>
  <c r="D199" i="14"/>
  <c r="E263" i="14"/>
  <c r="D263" i="14" s="1"/>
  <c r="E259" i="14"/>
  <c r="D259" i="14" s="1"/>
  <c r="D195" i="14"/>
  <c r="C227" i="12"/>
  <c r="B227" i="12" s="1"/>
  <c r="B163" i="12"/>
  <c r="M167" i="12"/>
  <c r="N231" i="12"/>
  <c r="M231" i="12" s="1"/>
  <c r="AL142" i="16"/>
  <c r="AL220" i="16" s="1"/>
  <c r="AL284" i="16" s="1"/>
  <c r="AZ55" i="22"/>
  <c r="AF55" i="22"/>
  <c r="P50" i="22"/>
  <c r="AM48" i="22" s="1"/>
  <c r="J143" i="16"/>
  <c r="J221" i="16" s="1"/>
  <c r="J285" i="16" s="1"/>
  <c r="L98" i="16"/>
  <c r="L176" i="16" s="1"/>
  <c r="L240" i="16" s="1"/>
  <c r="AA47" i="22"/>
  <c r="AU47" i="22"/>
  <c r="Q149" i="16"/>
  <c r="Q227" i="16" s="1"/>
  <c r="Q291" i="16" s="1"/>
  <c r="H64" i="22"/>
  <c r="AE55" i="22" s="1"/>
  <c r="AV109" i="16"/>
  <c r="AV187" i="16" s="1"/>
  <c r="AV251" i="16" s="1"/>
  <c r="D60" i="22"/>
  <c r="AK93" i="16"/>
  <c r="AK171" i="16" s="1"/>
  <c r="AK235" i="16" s="1"/>
  <c r="S149" i="16"/>
  <c r="S227" i="16" s="1"/>
  <c r="S291" i="16" s="1"/>
  <c r="AU111" i="16"/>
  <c r="AU189" i="16" s="1"/>
  <c r="AU253" i="16" s="1"/>
  <c r="D7" i="22"/>
  <c r="I95" i="16"/>
  <c r="I173" i="16" s="1"/>
  <c r="I237" i="16" s="1"/>
  <c r="E61" i="22"/>
  <c r="F47" i="22"/>
  <c r="J100" i="16"/>
  <c r="J178" i="16" s="1"/>
  <c r="J242" i="16" s="1"/>
  <c r="S85" i="22"/>
  <c r="AX154" i="16"/>
  <c r="AX232" i="16" s="1"/>
  <c r="AX296" i="16" s="1"/>
  <c r="S130" i="16"/>
  <c r="S208" i="16" s="1"/>
  <c r="S272" i="16" s="1"/>
  <c r="L94" i="16"/>
  <c r="L172" i="16" s="1"/>
  <c r="L236" i="16" s="1"/>
  <c r="AL145" i="16"/>
  <c r="AL223" i="16" s="1"/>
  <c r="AL287" i="16" s="1"/>
  <c r="E7" i="22"/>
  <c r="I99" i="16"/>
  <c r="I177" i="16" s="1"/>
  <c r="I241" i="16" s="1"/>
  <c r="D178" i="16"/>
  <c r="E242" i="16"/>
  <c r="D242" i="16" s="1"/>
  <c r="AL108" i="16"/>
  <c r="AL186" i="16" s="1"/>
  <c r="AL250" i="16" s="1"/>
  <c r="AJ108" i="16"/>
  <c r="AJ186" i="16" s="1"/>
  <c r="AJ250" i="16" s="1"/>
  <c r="Q97" i="16"/>
  <c r="Q175" i="16" s="1"/>
  <c r="Q239" i="16" s="1"/>
  <c r="AL139" i="16"/>
  <c r="AL217" i="16" s="1"/>
  <c r="AL281" i="16" s="1"/>
  <c r="G75" i="22"/>
  <c r="AE104" i="16"/>
  <c r="AE182" i="16" s="1"/>
  <c r="AE246" i="16" s="1"/>
  <c r="AW141" i="16"/>
  <c r="AW219" i="16" s="1"/>
  <c r="AW283" i="16" s="1"/>
  <c r="BH47" i="22"/>
  <c r="AN47" i="22"/>
  <c r="Q93" i="16"/>
  <c r="Q171" i="16" s="1"/>
  <c r="Q235" i="16" s="1"/>
  <c r="R129" i="16"/>
  <c r="R207" i="16" s="1"/>
  <c r="R271" i="16" s="1"/>
  <c r="AJ127" i="16"/>
  <c r="AJ205" i="16" s="1"/>
  <c r="AJ269" i="16" s="1"/>
  <c r="J58" i="22"/>
  <c r="BA52" i="22" s="1"/>
  <c r="AC119" i="16"/>
  <c r="AC197" i="16" s="1"/>
  <c r="AC261" i="16" s="1"/>
  <c r="E270" i="15"/>
  <c r="D270" i="15" s="1"/>
  <c r="D206" i="15"/>
  <c r="I58" i="22"/>
  <c r="AZ52" i="22" s="1"/>
  <c r="AC115" i="16"/>
  <c r="AC193" i="16" s="1"/>
  <c r="AC257" i="16" s="1"/>
  <c r="E239" i="15"/>
  <c r="D239" i="15" s="1"/>
  <c r="D175" i="15"/>
  <c r="E242" i="15"/>
  <c r="D242" i="15" s="1"/>
  <c r="D178" i="15"/>
  <c r="I117" i="16"/>
  <c r="I195" i="16" s="1"/>
  <c r="I259" i="16" s="1"/>
  <c r="E262" i="14"/>
  <c r="D262" i="14" s="1"/>
  <c r="D198" i="14"/>
  <c r="I402" i="15"/>
  <c r="S380" i="15"/>
  <c r="E359" i="15"/>
  <c r="O337" i="15"/>
  <c r="X315" i="15"/>
  <c r="I294" i="15"/>
  <c r="K399" i="15"/>
  <c r="V375" i="15"/>
  <c r="H352" i="15"/>
  <c r="S328" i="15"/>
  <c r="AA412" i="15"/>
  <c r="O389" i="15"/>
  <c r="Y365" i="15"/>
  <c r="K342" i="15"/>
  <c r="K393" i="15"/>
  <c r="V369" i="15"/>
  <c r="H346" i="15"/>
  <c r="S322" i="15"/>
  <c r="F299" i="15"/>
  <c r="N399" i="15"/>
  <c r="Z367" i="15"/>
  <c r="Z336" i="15"/>
  <c r="T308" i="15"/>
  <c r="P409" i="15"/>
  <c r="E378" i="15"/>
  <c r="Y411" i="15"/>
  <c r="G374" i="15"/>
  <c r="F338" i="15"/>
  <c r="J307" i="15"/>
  <c r="H404" i="15"/>
  <c r="O366" i="15"/>
  <c r="X331" i="15"/>
  <c r="S301" i="15"/>
  <c r="O396" i="15"/>
  <c r="W358" i="15"/>
  <c r="N375" i="15"/>
  <c r="E331" i="15"/>
  <c r="J295" i="15"/>
  <c r="V376" i="15"/>
  <c r="AA331" i="15"/>
  <c r="G296" i="15"/>
  <c r="Z377" i="15"/>
  <c r="Z332" i="15"/>
  <c r="AA296" i="15"/>
  <c r="J379" i="15"/>
  <c r="AA333" i="15"/>
  <c r="Y297" i="15"/>
  <c r="Q380" i="15"/>
  <c r="X334" i="15"/>
  <c r="W298" i="15"/>
  <c r="Y357" i="15"/>
  <c r="P293" i="15"/>
  <c r="Y340" i="15"/>
  <c r="P405" i="15"/>
  <c r="E327" i="15"/>
  <c r="AA385" i="15"/>
  <c r="T312" i="15"/>
  <c r="J367" i="15"/>
  <c r="I299" i="15"/>
  <c r="O348" i="15"/>
  <c r="AA413" i="15"/>
  <c r="K333" i="15"/>
  <c r="V360" i="15"/>
  <c r="Y313" i="15"/>
  <c r="X392" i="15"/>
  <c r="N338" i="15"/>
  <c r="H300" i="15"/>
  <c r="X337" i="15"/>
  <c r="X304" i="15"/>
  <c r="G383" i="15"/>
  <c r="AA307" i="15"/>
  <c r="Q142" i="16"/>
  <c r="Q220" i="16" s="1"/>
  <c r="Q284" i="16" s="1"/>
  <c r="AB133" i="16"/>
  <c r="AB211" i="16" s="1"/>
  <c r="AB275" i="16" s="1"/>
  <c r="Q18" i="21"/>
  <c r="E55" i="20"/>
  <c r="AX71" i="20"/>
  <c r="B55" i="20"/>
  <c r="AU55" i="22"/>
  <c r="AA55" i="22"/>
  <c r="AX55" i="22"/>
  <c r="AD55" i="22"/>
  <c r="AX48" i="22"/>
  <c r="AD48" i="22"/>
  <c r="K125" i="16"/>
  <c r="K203" i="16" s="1"/>
  <c r="K267" i="16" s="1"/>
  <c r="D188" i="16"/>
  <c r="E252" i="16"/>
  <c r="D252" i="16" s="1"/>
  <c r="L14" i="22"/>
  <c r="AB126" i="16"/>
  <c r="AB204" i="16" s="1"/>
  <c r="AB268" i="16" s="1"/>
  <c r="R49" i="22"/>
  <c r="J150" i="16"/>
  <c r="J228" i="16" s="1"/>
  <c r="J292" i="16" s="1"/>
  <c r="M10" i="22"/>
  <c r="Q130" i="16"/>
  <c r="Q208" i="16" s="1"/>
  <c r="Q272" i="16" s="1"/>
  <c r="AE149" i="16"/>
  <c r="AE227" i="16" s="1"/>
  <c r="AE291" i="16" s="1"/>
  <c r="AL133" i="16"/>
  <c r="AL211" i="16" s="1"/>
  <c r="AL275" i="16" s="1"/>
  <c r="T97" i="16"/>
  <c r="T175" i="16" s="1"/>
  <c r="T239" i="16" s="1"/>
  <c r="E235" i="15"/>
  <c r="D235" i="15" s="1"/>
  <c r="D171" i="15"/>
  <c r="N183" i="12"/>
  <c r="M183" i="12" s="1"/>
  <c r="M119" i="12"/>
  <c r="E238" i="14"/>
  <c r="D238" i="14" s="1"/>
  <c r="D174" i="14"/>
  <c r="G349" i="14" s="1"/>
  <c r="Q5" i="22"/>
  <c r="I145" i="16"/>
  <c r="I223" i="16" s="1"/>
  <c r="I287" i="16" s="1"/>
  <c r="M58" i="22"/>
  <c r="AC131" i="16"/>
  <c r="AC209" i="16" s="1"/>
  <c r="AC273" i="16" s="1"/>
  <c r="L20" i="22"/>
  <c r="AU124" i="16"/>
  <c r="AU202" i="16" s="1"/>
  <c r="AU266" i="16" s="1"/>
  <c r="AB92" i="16"/>
  <c r="AB170" i="16" s="1"/>
  <c r="AB234" i="16" s="1"/>
  <c r="I155" i="16"/>
  <c r="I233" i="16" s="1"/>
  <c r="I297" i="16" s="1"/>
  <c r="R8" i="22"/>
  <c r="Q148" i="16"/>
  <c r="Q226" i="16" s="1"/>
  <c r="Q290" i="16" s="1"/>
  <c r="N57" i="22"/>
  <c r="AC134" i="16"/>
  <c r="AC212" i="16" s="1"/>
  <c r="AC276" i="16" s="1"/>
  <c r="F72" i="22"/>
  <c r="T101" i="16"/>
  <c r="T179" i="16" s="1"/>
  <c r="T243" i="16" s="1"/>
  <c r="O55" i="22"/>
  <c r="AC136" i="16"/>
  <c r="AC214" i="16" s="1"/>
  <c r="AC278" i="16" s="1"/>
  <c r="E271" i="16"/>
  <c r="D271" i="16" s="1"/>
  <c r="D207" i="16"/>
  <c r="D200" i="14"/>
  <c r="E264" i="14"/>
  <c r="D264" i="14" s="1"/>
  <c r="I16" i="27"/>
  <c r="BI56" i="22"/>
  <c r="AO56" i="22"/>
  <c r="AB55" i="22"/>
  <c r="AV55" i="22"/>
  <c r="AF52" i="22"/>
  <c r="AJ132" i="16"/>
  <c r="AJ210" i="16" s="1"/>
  <c r="AJ274" i="16" s="1"/>
  <c r="R150" i="16"/>
  <c r="R228" i="16" s="1"/>
  <c r="R292" i="16" s="1"/>
  <c r="Q10" i="22"/>
  <c r="Q146" i="16"/>
  <c r="Q224" i="16" s="1"/>
  <c r="Q288" i="16" s="1"/>
  <c r="BJ51" i="22"/>
  <c r="AP51" i="22"/>
  <c r="AM114" i="16"/>
  <c r="AM192" i="16" s="1"/>
  <c r="AM256" i="16" s="1"/>
  <c r="L58" i="22"/>
  <c r="AC127" i="16"/>
  <c r="AC205" i="16" s="1"/>
  <c r="AC269" i="16" s="1"/>
  <c r="E50" i="22"/>
  <c r="J99" i="16"/>
  <c r="J177" i="16" s="1"/>
  <c r="J241" i="16" s="1"/>
  <c r="I152" i="16"/>
  <c r="I230" i="16" s="1"/>
  <c r="I294" i="16" s="1"/>
  <c r="N59" i="22"/>
  <c r="AW56" i="22"/>
  <c r="AC56" i="22"/>
  <c r="Q56" i="22"/>
  <c r="BH51" i="22" s="1"/>
  <c r="AC145" i="16"/>
  <c r="AC223" i="16" s="1"/>
  <c r="AC287" i="16" s="1"/>
  <c r="H60" i="22"/>
  <c r="AE53" i="22" s="1"/>
  <c r="R154" i="16"/>
  <c r="R232" i="16" s="1"/>
  <c r="R296" i="16" s="1"/>
  <c r="AU143" i="16"/>
  <c r="AU221" i="16" s="1"/>
  <c r="AU285" i="16" s="1"/>
  <c r="BI55" i="22"/>
  <c r="AO55" i="22"/>
  <c r="I62" i="22"/>
  <c r="AF54" i="22" s="1"/>
  <c r="AM137" i="16"/>
  <c r="AM215" i="16" s="1"/>
  <c r="AM279" i="16" s="1"/>
  <c r="E27" i="22"/>
  <c r="K99" i="16"/>
  <c r="K177" i="16" s="1"/>
  <c r="K241" i="16" s="1"/>
  <c r="AM118" i="16"/>
  <c r="AM196" i="16" s="1"/>
  <c r="AM260" i="16" s="1"/>
  <c r="S139" i="16"/>
  <c r="S217" i="16" s="1"/>
  <c r="S281" i="16" s="1"/>
  <c r="AB145" i="16"/>
  <c r="AB223" i="16" s="1"/>
  <c r="AB287" i="16" s="1"/>
  <c r="L33" i="22"/>
  <c r="AD125" i="16"/>
  <c r="AD203" i="16" s="1"/>
  <c r="AD267" i="16" s="1"/>
  <c r="AW55" i="22"/>
  <c r="AC55" i="22"/>
  <c r="J47" i="22"/>
  <c r="J116" i="16"/>
  <c r="J194" i="16" s="1"/>
  <c r="J258" i="16" s="1"/>
  <c r="AG56" i="22"/>
  <c r="BA56" i="22"/>
  <c r="S59" i="22"/>
  <c r="AL134" i="16"/>
  <c r="AL212" i="16" s="1"/>
  <c r="AL276" i="16" s="1"/>
  <c r="S84" i="22"/>
  <c r="AX153" i="16"/>
  <c r="AX231" i="16" s="1"/>
  <c r="AX295" i="16" s="1"/>
  <c r="R137" i="16"/>
  <c r="R215" i="16" s="1"/>
  <c r="R279" i="16" s="1"/>
  <c r="R33" i="22"/>
  <c r="AD149" i="16"/>
  <c r="AD227" i="16" s="1"/>
  <c r="AD291" i="16" s="1"/>
  <c r="BE47" i="22"/>
  <c r="AK47" i="22"/>
  <c r="S147" i="16"/>
  <c r="S225" i="16" s="1"/>
  <c r="S289" i="16" s="1"/>
  <c r="AJ123" i="16"/>
  <c r="AJ201" i="16" s="1"/>
  <c r="AJ265" i="16" s="1"/>
  <c r="S79" i="22"/>
  <c r="AM152" i="16"/>
  <c r="AM230" i="16" s="1"/>
  <c r="AM294" i="16" s="1"/>
  <c r="BA55" i="22"/>
  <c r="AG55" i="22"/>
  <c r="AJ142" i="16"/>
  <c r="AJ220" i="16" s="1"/>
  <c r="AJ284" i="16" s="1"/>
  <c r="AX51" i="22"/>
  <c r="AD51" i="22"/>
  <c r="AB97" i="16"/>
  <c r="AB175" i="16" s="1"/>
  <c r="AB239" i="16" s="1"/>
  <c r="AM144" i="16"/>
  <c r="AM222" i="16" s="1"/>
  <c r="AM286" i="16" s="1"/>
  <c r="O10" i="22"/>
  <c r="Q138" i="16"/>
  <c r="Q216" i="16" s="1"/>
  <c r="Q280" i="16" s="1"/>
  <c r="BH56" i="22"/>
  <c r="AN56" i="22"/>
  <c r="AL52" i="22"/>
  <c r="N43" i="22"/>
  <c r="AW135" i="16"/>
  <c r="AW213" i="16" s="1"/>
  <c r="AW277" i="16" s="1"/>
  <c r="AD155" i="16"/>
  <c r="AD233" i="16" s="1"/>
  <c r="AD297" i="16" s="1"/>
  <c r="AJ93" i="16"/>
  <c r="AJ171" i="16" s="1"/>
  <c r="AJ235" i="16" s="1"/>
  <c r="S101" i="16"/>
  <c r="S179" i="16" s="1"/>
  <c r="S243" i="16" s="1"/>
  <c r="I111" i="16"/>
  <c r="I189" i="16" s="1"/>
  <c r="I253" i="16" s="1"/>
  <c r="L150" i="16"/>
  <c r="L228" i="16" s="1"/>
  <c r="L292" i="16" s="1"/>
  <c r="S134" i="16"/>
  <c r="S212" i="16" s="1"/>
  <c r="S276" i="16" s="1"/>
  <c r="AV56" i="22"/>
  <c r="AB56" i="22"/>
  <c r="S56" i="22"/>
  <c r="AC153" i="16"/>
  <c r="AC231" i="16" s="1"/>
  <c r="AC295" i="16" s="1"/>
  <c r="J20" i="22"/>
  <c r="AU116" i="16"/>
  <c r="AU194" i="16" s="1"/>
  <c r="AU258" i="16" s="1"/>
  <c r="E241" i="16"/>
  <c r="D241" i="16" s="1"/>
  <c r="D177" i="16"/>
  <c r="J73" i="22"/>
  <c r="T118" i="16"/>
  <c r="T196" i="16" s="1"/>
  <c r="T260" i="16" s="1"/>
  <c r="S100" i="16"/>
  <c r="S178" i="16" s="1"/>
  <c r="S242" i="16" s="1"/>
  <c r="P59" i="22"/>
  <c r="AK140" i="16"/>
  <c r="AK218" i="16" s="1"/>
  <c r="AK282" i="16" s="1"/>
  <c r="T103" i="16"/>
  <c r="T181" i="16" s="1"/>
  <c r="T245" i="16" s="1"/>
  <c r="J33" i="22"/>
  <c r="AD117" i="16"/>
  <c r="AD195" i="16" s="1"/>
  <c r="AD259" i="16" s="1"/>
  <c r="AB111" i="16"/>
  <c r="AB189" i="16" s="1"/>
  <c r="AB253" i="16" s="1"/>
  <c r="AJ135" i="16"/>
  <c r="AJ213" i="16" s="1"/>
  <c r="AJ277" i="16" s="1"/>
  <c r="R6" i="22"/>
  <c r="I150" i="16"/>
  <c r="I228" i="16" s="1"/>
  <c r="I292" i="16" s="1"/>
  <c r="AE145" i="16"/>
  <c r="AE223" i="16" s="1"/>
  <c r="AE287" i="16" s="1"/>
  <c r="K50" i="22"/>
  <c r="AH48" i="22" s="1"/>
  <c r="J123" i="16"/>
  <c r="J201" i="16" s="1"/>
  <c r="J265" i="16" s="1"/>
  <c r="E24" i="22"/>
  <c r="K96" i="16"/>
  <c r="K174" i="16" s="1"/>
  <c r="K238" i="16" s="1"/>
  <c r="D55" i="22"/>
  <c r="AC92" i="16"/>
  <c r="AC170" i="16" s="1"/>
  <c r="AC234" i="16" s="1"/>
  <c r="D198" i="16"/>
  <c r="E262" i="16"/>
  <c r="D262" i="16" s="1"/>
  <c r="R16" i="22"/>
  <c r="AJ148" i="16"/>
  <c r="AJ226" i="16" s="1"/>
  <c r="AJ290" i="16" s="1"/>
  <c r="E267" i="15"/>
  <c r="D267" i="15" s="1"/>
  <c r="D203" i="15"/>
  <c r="D195" i="16"/>
  <c r="E259" i="16"/>
  <c r="D259" i="16" s="1"/>
  <c r="S12" i="22"/>
  <c r="AB152" i="16"/>
  <c r="AB230" i="16" s="1"/>
  <c r="AB294" i="16" s="1"/>
  <c r="E257" i="14"/>
  <c r="D257" i="14" s="1"/>
  <c r="D193" i="14"/>
  <c r="M147" i="12"/>
  <c r="N211" i="12"/>
  <c r="M211" i="12" s="1"/>
  <c r="S334" i="12" s="1"/>
  <c r="AN334" i="12" s="1"/>
  <c r="D166" i="11"/>
  <c r="C114" i="11"/>
  <c r="X15" i="21"/>
  <c r="B26" i="20"/>
  <c r="E26" i="20"/>
  <c r="O106" i="20"/>
  <c r="O121" i="20"/>
  <c r="AA15" i="21"/>
  <c r="E29" i="20"/>
  <c r="B29" i="20"/>
  <c r="D165" i="11"/>
  <c r="C113" i="11"/>
  <c r="E66" i="20"/>
  <c r="AX126" i="20"/>
  <c r="B66" i="20"/>
  <c r="AB18" i="21"/>
  <c r="E18" i="21"/>
  <c r="E43" i="20"/>
  <c r="L44" i="20" s="1"/>
  <c r="AX11" i="20"/>
  <c r="B43" i="20"/>
  <c r="AX121" i="20"/>
  <c r="E65" i="20"/>
  <c r="L66" i="20" s="1"/>
  <c r="B65" i="20"/>
  <c r="AA18" i="21"/>
  <c r="O219" i="11"/>
  <c r="N219" i="11" s="1"/>
  <c r="N166" i="11"/>
  <c r="B30" i="2"/>
  <c r="B31" i="2" s="1"/>
  <c r="B4" i="5"/>
  <c r="G22" i="9"/>
  <c r="G31" i="9" s="1"/>
  <c r="G26" i="9"/>
  <c r="G35" i="9" s="1"/>
  <c r="G25" i="9"/>
  <c r="G34" i="9" s="1"/>
  <c r="N169" i="11"/>
  <c r="O222" i="11"/>
  <c r="N222" i="11" s="1"/>
  <c r="N167" i="11"/>
  <c r="O220" i="11"/>
  <c r="N220" i="11" s="1"/>
  <c r="O16" i="20"/>
  <c r="F15" i="21"/>
  <c r="E8" i="20"/>
  <c r="B8" i="20"/>
  <c r="D164" i="11"/>
  <c r="C112" i="11"/>
  <c r="N163" i="11"/>
  <c r="O216" i="11"/>
  <c r="N216" i="11" s="1"/>
  <c r="L18" i="21"/>
  <c r="AX46" i="20"/>
  <c r="B50" i="20"/>
  <c r="E50" i="20"/>
  <c r="L51" i="20" s="1"/>
  <c r="O207" i="11"/>
  <c r="N207" i="11" s="1"/>
  <c r="N154" i="11"/>
  <c r="C115" i="11"/>
  <c r="D167" i="11"/>
  <c r="O205" i="11"/>
  <c r="N205" i="11" s="1"/>
  <c r="N152" i="11"/>
  <c r="N121" i="11"/>
  <c r="O174" i="11"/>
  <c r="N174" i="11" s="1"/>
  <c r="H15" i="21"/>
  <c r="O26" i="20"/>
  <c r="B10" i="20"/>
  <c r="E10" i="20"/>
  <c r="N15" i="21"/>
  <c r="O56" i="20"/>
  <c r="B16" i="20"/>
  <c r="E16" i="20"/>
  <c r="G15" i="21"/>
  <c r="E9" i="20"/>
  <c r="O21" i="20"/>
  <c r="B9" i="20"/>
  <c r="E31" i="20"/>
  <c r="L32" i="20" s="1"/>
  <c r="B31" i="20"/>
  <c r="AC15" i="21"/>
  <c r="O131" i="20"/>
  <c r="D178" i="11"/>
  <c r="C178" i="11" s="1"/>
  <c r="C126" i="11"/>
  <c r="Z18" i="21"/>
  <c r="E64" i="20"/>
  <c r="B64" i="20"/>
  <c r="AX116" i="20"/>
  <c r="AX76" i="20"/>
  <c r="R18" i="21"/>
  <c r="E56" i="20"/>
  <c r="L57" i="20" s="1"/>
  <c r="B56" i="20"/>
  <c r="I18" i="21"/>
  <c r="E47" i="20"/>
  <c r="B47" i="20"/>
  <c r="AX31" i="20"/>
  <c r="D173" i="15"/>
  <c r="S395" i="15" s="1"/>
  <c r="E237" i="15"/>
  <c r="D237" i="15" s="1"/>
  <c r="C192" i="12"/>
  <c r="B192" i="12" s="1"/>
  <c r="B128" i="12"/>
  <c r="C201" i="12"/>
  <c r="B201" i="12" s="1"/>
  <c r="B137" i="12"/>
  <c r="C117" i="11"/>
  <c r="D169" i="11"/>
  <c r="B48" i="4"/>
  <c r="D163" i="11"/>
  <c r="C111" i="11"/>
  <c r="B160" i="12"/>
  <c r="C224" i="12"/>
  <c r="B224" i="12" s="1"/>
  <c r="C121" i="11"/>
  <c r="D173" i="11"/>
  <c r="O11" i="20"/>
  <c r="E15" i="21"/>
  <c r="E7" i="20"/>
  <c r="L8" i="20" s="1"/>
  <c r="B7" i="20"/>
  <c r="I15" i="21"/>
  <c r="B11" i="20"/>
  <c r="O31" i="20"/>
  <c r="E11" i="20"/>
  <c r="L12" i="20" s="1"/>
  <c r="J18" i="21"/>
  <c r="E48" i="20"/>
  <c r="L49" i="20" s="1"/>
  <c r="B48" i="20"/>
  <c r="AX36" i="20"/>
  <c r="AE18" i="21"/>
  <c r="AX141" i="20"/>
  <c r="E69" i="20"/>
  <c r="B69" i="20"/>
  <c r="D187" i="11"/>
  <c r="C187" i="11" s="1"/>
  <c r="C135" i="11"/>
  <c r="O165" i="11"/>
  <c r="N112" i="11"/>
  <c r="Q77" i="14"/>
  <c r="Q76" i="14" s="1"/>
  <c r="Q53" i="14"/>
  <c r="Q52" i="14" s="1"/>
  <c r="Q75" i="14"/>
  <c r="Q63" i="14"/>
  <c r="Q56" i="14"/>
  <c r="Q55" i="14" s="1"/>
  <c r="Q51" i="14"/>
  <c r="Q65" i="14"/>
  <c r="Q64" i="14" s="1"/>
  <c r="Q72" i="14"/>
  <c r="Q60" i="14"/>
  <c r="Q71" i="14"/>
  <c r="Q70" i="14" s="1"/>
  <c r="Q66" i="14"/>
  <c r="Q80" i="14"/>
  <c r="Q79" i="14" s="1"/>
  <c r="Q74" i="14"/>
  <c r="Q73" i="14" s="1"/>
  <c r="Q78" i="14"/>
  <c r="Q54" i="14"/>
  <c r="Q62" i="14"/>
  <c r="Q61" i="14" s="1"/>
  <c r="Q59" i="14"/>
  <c r="Q58" i="14" s="1"/>
  <c r="Q69" i="14"/>
  <c r="Q68" i="14"/>
  <c r="Q67" i="14" s="1"/>
  <c r="Q57" i="14"/>
  <c r="E226" i="14"/>
  <c r="D226" i="14" s="1"/>
  <c r="D162" i="14"/>
  <c r="O161" i="11"/>
  <c r="N108" i="11"/>
  <c r="C178" i="12"/>
  <c r="B178" i="12" s="1"/>
  <c r="B114" i="12"/>
  <c r="Q28" i="18"/>
  <c r="L28" i="18"/>
  <c r="B28" i="18"/>
  <c r="V28" i="18"/>
  <c r="G28" i="18"/>
  <c r="O15" i="21"/>
  <c r="O61" i="20"/>
  <c r="B17" i="20"/>
  <c r="E17" i="20"/>
  <c r="AF15" i="21"/>
  <c r="O146" i="20"/>
  <c r="E34" i="20"/>
  <c r="B34" i="20"/>
  <c r="K15" i="21"/>
  <c r="E13" i="20"/>
  <c r="L14" i="20" s="1"/>
  <c r="O41" i="20"/>
  <c r="B13" i="20"/>
  <c r="J15" i="21"/>
  <c r="B12" i="20"/>
  <c r="O36" i="20"/>
  <c r="E12" i="20"/>
  <c r="C221" i="12"/>
  <c r="B221" i="12" s="1"/>
  <c r="B157" i="12"/>
  <c r="O157" i="11"/>
  <c r="N104" i="11"/>
  <c r="B51" i="20"/>
  <c r="AX51" i="20"/>
  <c r="M18" i="21"/>
  <c r="E51" i="20"/>
  <c r="L52" i="20" s="1"/>
  <c r="X18" i="21"/>
  <c r="E62" i="20"/>
  <c r="L63" i="20" s="1"/>
  <c r="B62" i="20"/>
  <c r="AX106" i="20"/>
  <c r="E49" i="20"/>
  <c r="K18" i="21"/>
  <c r="B49" i="20"/>
  <c r="AX41" i="20"/>
  <c r="E70" i="20"/>
  <c r="L71" i="20" s="1"/>
  <c r="B70" i="20"/>
  <c r="AF18" i="21"/>
  <c r="AX146" i="20"/>
  <c r="Q65" i="15"/>
  <c r="Q64" i="15" s="1"/>
  <c r="Q78" i="15"/>
  <c r="Q59" i="15"/>
  <c r="Q58" i="15" s="1"/>
  <c r="Q66" i="15"/>
  <c r="Q54" i="15"/>
  <c r="Q80" i="15"/>
  <c r="Q79" i="15" s="1"/>
  <c r="Q75" i="15"/>
  <c r="Q68" i="15"/>
  <c r="Q67" i="15" s="1"/>
  <c r="Q56" i="15"/>
  <c r="Q55" i="15" s="1"/>
  <c r="Q63" i="15"/>
  <c r="Q51" i="15"/>
  <c r="Q71" i="15"/>
  <c r="Q70" i="15" s="1"/>
  <c r="Q69" i="15"/>
  <c r="Q57" i="15"/>
  <c r="Q62" i="15"/>
  <c r="Q61" i="15" s="1"/>
  <c r="Q53" i="15"/>
  <c r="Q52" i="15" s="1"/>
  <c r="Q60" i="15"/>
  <c r="Q77" i="15"/>
  <c r="Q76" i="15" s="1"/>
  <c r="Q72" i="15"/>
  <c r="Q74" i="15"/>
  <c r="Q73" i="15" s="1"/>
  <c r="D214" i="11"/>
  <c r="C214" i="11" s="1"/>
  <c r="C162" i="11"/>
  <c r="D57" i="22"/>
  <c r="AC94" i="16"/>
  <c r="AC172" i="16" s="1"/>
  <c r="AC236" i="16" s="1"/>
  <c r="K155" i="16"/>
  <c r="K233" i="16" s="1"/>
  <c r="K297" i="16" s="1"/>
  <c r="AB138" i="16"/>
  <c r="AB216" i="16" s="1"/>
  <c r="AB280" i="16" s="1"/>
  <c r="L134" i="16"/>
  <c r="L212" i="16" s="1"/>
  <c r="L276" i="16" s="1"/>
  <c r="BI52" i="22"/>
  <c r="AO52" i="22"/>
  <c r="L148" i="16"/>
  <c r="L226" i="16" s="1"/>
  <c r="L290" i="16" s="1"/>
  <c r="AB120" i="16"/>
  <c r="AB198" i="16" s="1"/>
  <c r="AB262" i="16" s="1"/>
  <c r="Q92" i="16"/>
  <c r="Q170" i="16" s="1"/>
  <c r="Q234" i="16" s="1"/>
  <c r="I120" i="16"/>
  <c r="I198" i="16" s="1"/>
  <c r="I262" i="16" s="1"/>
  <c r="AM154" i="16"/>
  <c r="AM232" i="16" s="1"/>
  <c r="AM296" i="16" s="1"/>
  <c r="E277" i="14"/>
  <c r="D277" i="14" s="1"/>
  <c r="D213" i="14"/>
  <c r="E225" i="14"/>
  <c r="D225" i="14" s="1"/>
  <c r="D161" i="14"/>
  <c r="R408" i="14" s="1"/>
  <c r="C196" i="12"/>
  <c r="B196" i="12" s="1"/>
  <c r="B132" i="12"/>
  <c r="C213" i="12"/>
  <c r="B213" i="12" s="1"/>
  <c r="B149" i="12"/>
  <c r="E239" i="14"/>
  <c r="D239" i="14" s="1"/>
  <c r="D175" i="14"/>
  <c r="C25" i="8"/>
  <c r="C34" i="8" s="1"/>
  <c r="C21" i="8"/>
  <c r="C30" i="8" s="1"/>
  <c r="C23" i="8"/>
  <c r="C32" i="8" s="1"/>
  <c r="C26" i="8"/>
  <c r="C35" i="8" s="1"/>
  <c r="L15" i="21"/>
  <c r="E14" i="20"/>
  <c r="O46" i="20"/>
  <c r="B14" i="20"/>
  <c r="S15" i="21"/>
  <c r="B21" i="20"/>
  <c r="O81" i="20"/>
  <c r="E21" i="20"/>
  <c r="L22" i="20" s="1"/>
  <c r="B11" i="4"/>
  <c r="T18" i="21"/>
  <c r="AX86" i="20"/>
  <c r="E58" i="20"/>
  <c r="B58" i="20"/>
  <c r="AX96" i="20"/>
  <c r="V18" i="21"/>
  <c r="E60" i="20"/>
  <c r="B60" i="20"/>
  <c r="O217" i="11"/>
  <c r="N217" i="11" s="1"/>
  <c r="N164" i="11"/>
  <c r="C151" i="11"/>
  <c r="D203" i="11"/>
  <c r="C203" i="11" s="1"/>
  <c r="E229" i="14"/>
  <c r="D229" i="14" s="1"/>
  <c r="D165" i="14"/>
  <c r="C232" i="12"/>
  <c r="B232" i="12" s="1"/>
  <c r="B168" i="12"/>
  <c r="C225" i="12"/>
  <c r="B225" i="12" s="1"/>
  <c r="B161" i="12"/>
  <c r="N207" i="12"/>
  <c r="M207" i="12" s="1"/>
  <c r="M143" i="12"/>
  <c r="E268" i="14"/>
  <c r="D268" i="14" s="1"/>
  <c r="D204" i="14"/>
  <c r="N180" i="12"/>
  <c r="M180" i="12" s="1"/>
  <c r="M116" i="12"/>
  <c r="M175" i="12"/>
  <c r="N239" i="12"/>
  <c r="M239" i="12" s="1"/>
  <c r="AJ104" i="16"/>
  <c r="AJ182" i="16" s="1"/>
  <c r="AJ246" i="16" s="1"/>
  <c r="O213" i="11"/>
  <c r="N213" i="11" s="1"/>
  <c r="N160" i="11"/>
  <c r="AD15" i="21"/>
  <c r="E32" i="20"/>
  <c r="L33" i="20" s="1"/>
  <c r="B32" i="20"/>
  <c r="O136" i="20"/>
  <c r="O111" i="20"/>
  <c r="Y15" i="21"/>
  <c r="B27" i="20"/>
  <c r="E27" i="20"/>
  <c r="Q15" i="21"/>
  <c r="E19" i="20"/>
  <c r="L20" i="20" s="1"/>
  <c r="B19" i="20"/>
  <c r="O71" i="20"/>
  <c r="B22" i="20"/>
  <c r="O86" i="20"/>
  <c r="E22" i="20"/>
  <c r="T15" i="21"/>
  <c r="N155" i="11"/>
  <c r="O208" i="11"/>
  <c r="N208" i="11" s="1"/>
  <c r="S18" i="21"/>
  <c r="B57" i="20"/>
  <c r="E57" i="20"/>
  <c r="L58" i="20" s="1"/>
  <c r="AX81" i="20"/>
  <c r="O18" i="21"/>
  <c r="E53" i="20"/>
  <c r="AX61" i="20"/>
  <c r="B53" i="20"/>
  <c r="AC18" i="21"/>
  <c r="E67" i="20"/>
  <c r="B67" i="20"/>
  <c r="AX131" i="20"/>
  <c r="Y18" i="21"/>
  <c r="E63" i="20"/>
  <c r="L64" i="20" s="1"/>
  <c r="B63" i="20"/>
  <c r="AX111" i="20"/>
  <c r="N159" i="11"/>
  <c r="O212" i="11"/>
  <c r="N212" i="11" s="1"/>
  <c r="C21" i="9"/>
  <c r="C30" i="9" s="1"/>
  <c r="C23" i="9"/>
  <c r="C32" i="9" s="1"/>
  <c r="C26" i="9"/>
  <c r="C35" i="9" s="1"/>
  <c r="C25" i="9"/>
  <c r="C34" i="9" s="1"/>
  <c r="G24" i="9"/>
  <c r="G33" i="9" s="1"/>
  <c r="C161" i="11"/>
  <c r="D213" i="11"/>
  <c r="C213" i="11" s="1"/>
  <c r="R103" i="16"/>
  <c r="R181" i="16" s="1"/>
  <c r="R245" i="16" s="1"/>
  <c r="R147" i="16"/>
  <c r="R225" i="16" s="1"/>
  <c r="R289" i="16" s="1"/>
  <c r="L100" i="16"/>
  <c r="L178" i="16" s="1"/>
  <c r="L242" i="16" s="1"/>
  <c r="Q147" i="16"/>
  <c r="Q225" i="16" s="1"/>
  <c r="Q289" i="16" s="1"/>
  <c r="Q11" i="22"/>
  <c r="L5" i="22"/>
  <c r="I125" i="16"/>
  <c r="I203" i="16" s="1"/>
  <c r="I267" i="16" s="1"/>
  <c r="E266" i="16"/>
  <c r="D266" i="16" s="1"/>
  <c r="D202" i="16"/>
  <c r="AJ137" i="16"/>
  <c r="AJ215" i="16" s="1"/>
  <c r="AJ279" i="16" s="1"/>
  <c r="AM106" i="16"/>
  <c r="AM184" i="16" s="1"/>
  <c r="AM248" i="16" s="1"/>
  <c r="E266" i="15"/>
  <c r="D266" i="15" s="1"/>
  <c r="F307" i="15" s="1"/>
  <c r="D202" i="15"/>
  <c r="Q127" i="16"/>
  <c r="Q205" i="16" s="1"/>
  <c r="Q269" i="16" s="1"/>
  <c r="E224" i="14"/>
  <c r="D224" i="14" s="1"/>
  <c r="D160" i="14"/>
  <c r="AW95" i="16"/>
  <c r="AW173" i="16" s="1"/>
  <c r="AW237" i="16" s="1"/>
  <c r="E271" i="15"/>
  <c r="D271" i="15" s="1"/>
  <c r="D207" i="15"/>
  <c r="M168" i="12"/>
  <c r="N232" i="12"/>
  <c r="M232" i="12" s="1"/>
  <c r="H409" i="14"/>
  <c r="N392" i="14"/>
  <c r="W376" i="14"/>
  <c r="H358" i="14"/>
  <c r="N341" i="14"/>
  <c r="W322" i="14"/>
  <c r="AA305" i="14"/>
  <c r="N290" i="14"/>
  <c r="Z397" i="14"/>
  <c r="Y410" i="14"/>
  <c r="X388" i="14"/>
  <c r="F370" i="14"/>
  <c r="F353" i="14"/>
  <c r="W332" i="14"/>
  <c r="P314" i="14"/>
  <c r="H294" i="14"/>
  <c r="AA402" i="14"/>
  <c r="O384" i="14"/>
  <c r="G364" i="14"/>
  <c r="X345" i="14"/>
  <c r="Q325" i="14"/>
  <c r="I307" i="14"/>
  <c r="H290" i="14"/>
  <c r="P396" i="14"/>
  <c r="H377" i="14"/>
  <c r="Y356" i="14"/>
  <c r="R338" i="14"/>
  <c r="Q321" i="14"/>
  <c r="J301" i="14"/>
  <c r="V410" i="14"/>
  <c r="R388" i="14"/>
  <c r="Z369" i="14"/>
  <c r="Z352" i="14"/>
  <c r="S332" i="14"/>
  <c r="J314" i="14"/>
  <c r="E294" i="14"/>
  <c r="X402" i="14"/>
  <c r="J384" i="14"/>
  <c r="AA363" i="14"/>
  <c r="T345" i="14"/>
  <c r="N325" i="14"/>
  <c r="E307" i="14"/>
  <c r="O402" i="14"/>
  <c r="I366" i="14"/>
  <c r="X334" i="14"/>
  <c r="W299" i="14"/>
  <c r="H396" i="14"/>
  <c r="Y365" i="14"/>
  <c r="G331" i="14"/>
  <c r="V299" i="14"/>
  <c r="P392" i="14"/>
  <c r="N360" i="14"/>
  <c r="F331" i="14"/>
  <c r="P296" i="14"/>
  <c r="O392" i="14"/>
  <c r="V356" i="14"/>
  <c r="K325" i="14"/>
  <c r="O296" i="14"/>
  <c r="O388" i="14"/>
  <c r="X396" i="14"/>
  <c r="E361" i="14"/>
  <c r="S329" i="14"/>
  <c r="K300" i="14"/>
  <c r="G393" i="14"/>
  <c r="AA360" i="14"/>
  <c r="AA325" i="14"/>
  <c r="E295" i="14"/>
  <c r="P364" i="14"/>
  <c r="I295" i="14"/>
  <c r="X350" i="14"/>
  <c r="P407" i="14"/>
  <c r="F337" i="14"/>
  <c r="AA403" i="14"/>
  <c r="J328" i="14"/>
  <c r="F389" i="14"/>
  <c r="V316" i="14"/>
  <c r="O374" i="14"/>
  <c r="F316" i="14"/>
  <c r="I329" i="14"/>
  <c r="T324" i="14"/>
  <c r="W306" i="14"/>
  <c r="T301" i="14"/>
  <c r="E305" i="14"/>
  <c r="H411" i="14"/>
  <c r="J382" i="14"/>
  <c r="I406" i="14"/>
  <c r="J334" i="14"/>
  <c r="X414" i="14"/>
  <c r="S308" i="14"/>
  <c r="C219" i="12"/>
  <c r="B219" i="12" s="1"/>
  <c r="B155" i="12"/>
  <c r="D15" i="21"/>
  <c r="E6" i="20"/>
  <c r="L7" i="20" s="1"/>
  <c r="O6" i="20"/>
  <c r="B6" i="20"/>
  <c r="P15" i="21"/>
  <c r="O66" i="20"/>
  <c r="E18" i="20"/>
  <c r="B18" i="20"/>
  <c r="W15" i="21"/>
  <c r="O101" i="20"/>
  <c r="B25" i="20"/>
  <c r="E25" i="20"/>
  <c r="L26" i="20" s="1"/>
  <c r="W18" i="21"/>
  <c r="AX101" i="20"/>
  <c r="E61" i="20"/>
  <c r="B61" i="20"/>
  <c r="B68" i="20"/>
  <c r="AX136" i="20"/>
  <c r="AD18" i="21"/>
  <c r="E68" i="20"/>
  <c r="L69" i="20" s="1"/>
  <c r="AG18" i="21"/>
  <c r="E71" i="20"/>
  <c r="B71" i="20"/>
  <c r="AX151" i="20"/>
  <c r="F22" i="8"/>
  <c r="F31" i="8" s="1"/>
  <c r="F26" i="8"/>
  <c r="F35" i="8" s="1"/>
  <c r="F23" i="8"/>
  <c r="F32" i="8" s="1"/>
  <c r="F21" i="8"/>
  <c r="F30" i="8" s="1"/>
  <c r="F25" i="8"/>
  <c r="F34" i="8" s="1"/>
  <c r="G21" i="3"/>
  <c r="B85" i="2"/>
  <c r="B97" i="2" s="1"/>
  <c r="C10" i="9"/>
  <c r="C14" i="9" s="1"/>
  <c r="C20" i="9" s="1"/>
  <c r="C29" i="9" s="1"/>
  <c r="C10" i="8"/>
  <c r="C14" i="8" s="1"/>
  <c r="C20" i="8" s="1"/>
  <c r="C29" i="8" s="1"/>
  <c r="N187" i="12"/>
  <c r="M187" i="12" s="1"/>
  <c r="M123" i="12"/>
  <c r="S358" i="12" s="1"/>
  <c r="AN358" i="12" s="1"/>
  <c r="E284" i="14"/>
  <c r="D284" i="14" s="1"/>
  <c r="D220" i="14"/>
  <c r="D216" i="14"/>
  <c r="E280" i="14"/>
  <c r="D280" i="14" s="1"/>
  <c r="B156" i="12"/>
  <c r="C220" i="12"/>
  <c r="B220" i="12" s="1"/>
  <c r="AE15" i="21"/>
  <c r="O141" i="20"/>
  <c r="E33" i="20"/>
  <c r="L34" i="20" s="1"/>
  <c r="B33" i="20"/>
  <c r="U15" i="21"/>
  <c r="E23" i="20"/>
  <c r="O91" i="20"/>
  <c r="B23" i="20"/>
  <c r="O126" i="20"/>
  <c r="B30" i="20"/>
  <c r="E30" i="20"/>
  <c r="AB15" i="21"/>
  <c r="O215" i="11"/>
  <c r="N215" i="11" s="1"/>
  <c r="N162" i="11"/>
  <c r="B143" i="12"/>
  <c r="C207" i="12"/>
  <c r="B207" i="12" s="1"/>
  <c r="H18" i="21"/>
  <c r="E46" i="20"/>
  <c r="L47" i="20" s="1"/>
  <c r="AX26" i="20"/>
  <c r="B46" i="20"/>
  <c r="AH18" i="21"/>
  <c r="B72" i="20"/>
  <c r="E72" i="20"/>
  <c r="L73" i="20" s="1"/>
  <c r="AX156" i="20"/>
  <c r="G18" i="21"/>
  <c r="B45" i="20"/>
  <c r="E45" i="20"/>
  <c r="L46" i="20" s="1"/>
  <c r="AX21" i="20"/>
  <c r="D22" i="9"/>
  <c r="D31" i="9" s="1"/>
  <c r="D26" i="9"/>
  <c r="D35" i="9" s="1"/>
  <c r="D23" i="9"/>
  <c r="D32" i="9" s="1"/>
  <c r="D25" i="9"/>
  <c r="D34" i="9" s="1"/>
  <c r="D21" i="9"/>
  <c r="D30" i="9" s="1"/>
  <c r="C157" i="11"/>
  <c r="D209" i="11"/>
  <c r="C209" i="11" s="1"/>
  <c r="M131" i="12"/>
  <c r="N195" i="12"/>
  <c r="M195" i="12" s="1"/>
  <c r="N191" i="12"/>
  <c r="M191" i="12" s="1"/>
  <c r="M127" i="12"/>
  <c r="N129" i="11"/>
  <c r="O182" i="11"/>
  <c r="N182" i="11" s="1"/>
  <c r="Z15" i="21"/>
  <c r="E28" i="20"/>
  <c r="L29" i="20" s="1"/>
  <c r="O116" i="20"/>
  <c r="B28" i="20"/>
  <c r="O156" i="20"/>
  <c r="E36" i="20"/>
  <c r="L37" i="20" s="1"/>
  <c r="B36" i="20"/>
  <c r="AH15" i="21"/>
  <c r="G26" i="8"/>
  <c r="G35" i="8" s="1"/>
  <c r="G21" i="8"/>
  <c r="G30" i="8" s="1"/>
  <c r="G23" i="8"/>
  <c r="G32" i="8" s="1"/>
  <c r="G22" i="8"/>
  <c r="G31" i="8" s="1"/>
  <c r="G25" i="8"/>
  <c r="G34" i="8" s="1"/>
  <c r="N123" i="11"/>
  <c r="O176" i="11"/>
  <c r="N176" i="11" s="1"/>
  <c r="O221" i="11"/>
  <c r="N221" i="11" s="1"/>
  <c r="N168" i="11"/>
  <c r="E255" i="14"/>
  <c r="D255" i="14" s="1"/>
  <c r="D191" i="14"/>
  <c r="C198" i="12"/>
  <c r="B198" i="12" s="1"/>
  <c r="B134" i="12"/>
  <c r="N236" i="12"/>
  <c r="M236" i="12" s="1"/>
  <c r="M172" i="12"/>
  <c r="N184" i="12"/>
  <c r="M184" i="12" s="1"/>
  <c r="M120" i="12"/>
  <c r="C186" i="12"/>
  <c r="B186" i="12" s="1"/>
  <c r="B122" i="12"/>
  <c r="B159" i="12"/>
  <c r="C223" i="12"/>
  <c r="B223" i="12" s="1"/>
  <c r="E232" i="14"/>
  <c r="D232" i="14" s="1"/>
  <c r="D168" i="14"/>
  <c r="M145" i="12"/>
  <c r="N209" i="12"/>
  <c r="M209" i="12" s="1"/>
  <c r="O183" i="11"/>
  <c r="N183" i="11" s="1"/>
  <c r="N130" i="11"/>
  <c r="R15" i="21"/>
  <c r="B20" i="20"/>
  <c r="E20" i="20"/>
  <c r="O76" i="20"/>
  <c r="AG15" i="21"/>
  <c r="O151" i="20"/>
  <c r="B35" i="20"/>
  <c r="E35" i="20"/>
  <c r="B42" i="20"/>
  <c r="AX6" i="20"/>
  <c r="E42" i="20"/>
  <c r="L43" i="20" s="1"/>
  <c r="D18" i="21"/>
  <c r="U18" i="21"/>
  <c r="E59" i="20"/>
  <c r="L60" i="20" s="1"/>
  <c r="AX91" i="20"/>
  <c r="B59" i="20"/>
  <c r="P18" i="21"/>
  <c r="B54" i="20"/>
  <c r="E54" i="20"/>
  <c r="AX66" i="20"/>
  <c r="C171" i="11"/>
  <c r="D223" i="11"/>
  <c r="C223" i="11" s="1"/>
  <c r="E26" i="9"/>
  <c r="E35" i="9" s="1"/>
  <c r="E21" i="9"/>
  <c r="E30" i="9" s="1"/>
  <c r="E23" i="9"/>
  <c r="E32" i="9" s="1"/>
  <c r="E22" i="9"/>
  <c r="E31" i="9" s="1"/>
  <c r="E25" i="9"/>
  <c r="E34" i="9" s="1"/>
  <c r="AB388" i="12"/>
  <c r="AB382" i="12"/>
  <c r="AB405" i="12"/>
  <c r="AB404" i="12" s="1"/>
  <c r="AB387" i="12"/>
  <c r="AB386" i="12" s="1"/>
  <c r="AB385" i="12"/>
  <c r="AB402" i="12"/>
  <c r="AB401" i="12" s="1"/>
  <c r="AB384" i="12"/>
  <c r="AB383" i="12" s="1"/>
  <c r="AB400" i="12"/>
  <c r="AB393" i="12"/>
  <c r="AB392" i="12" s="1"/>
  <c r="AB399" i="12"/>
  <c r="AB398" i="12" s="1"/>
  <c r="AB396" i="12"/>
  <c r="AB395" i="12" s="1"/>
  <c r="AB394" i="12"/>
  <c r="AB390" i="12"/>
  <c r="AB389" i="12" s="1"/>
  <c r="AB397" i="12"/>
  <c r="D222" i="11"/>
  <c r="C222" i="11" s="1"/>
  <c r="C170" i="11"/>
  <c r="N171" i="11"/>
  <c r="O224" i="11"/>
  <c r="N224" i="11" s="1"/>
  <c r="E23" i="8"/>
  <c r="E32" i="8" s="1"/>
  <c r="E26" i="8"/>
  <c r="E35" i="8" s="1"/>
  <c r="E22" i="8"/>
  <c r="E31" i="8" s="1"/>
  <c r="E21" i="8"/>
  <c r="E30" i="8" s="1"/>
  <c r="E25" i="8"/>
  <c r="E34" i="8" s="1"/>
  <c r="BW53" i="16"/>
  <c r="BW52" i="16" s="1"/>
  <c r="W18" i="22" s="1"/>
  <c r="BW44" i="16"/>
  <c r="BW43" i="16" s="1"/>
  <c r="W15" i="22" s="1"/>
  <c r="BW20" i="16"/>
  <c r="BW19" i="16" s="1"/>
  <c r="W7" i="22" s="1"/>
  <c r="H8" i="22" s="1"/>
  <c r="BW14" i="16"/>
  <c r="BW13" i="16" s="1"/>
  <c r="W5" i="22" s="1"/>
  <c r="L26" i="22" s="1"/>
  <c r="BW26" i="16"/>
  <c r="BW25" i="16" s="1"/>
  <c r="W9" i="22" s="1"/>
  <c r="BW39" i="16"/>
  <c r="BW32" i="16"/>
  <c r="BW31" i="16" s="1"/>
  <c r="W11" i="22" s="1"/>
  <c r="O13" i="22" s="1"/>
  <c r="BW65" i="16"/>
  <c r="BW64" i="16" s="1"/>
  <c r="W22" i="22" s="1"/>
  <c r="F85" i="22" s="1"/>
  <c r="BW60" i="16"/>
  <c r="BW48" i="16"/>
  <c r="BW41" i="16"/>
  <c r="BW40" i="16" s="1"/>
  <c r="W14" i="22" s="1"/>
  <c r="E76" i="22" s="1"/>
  <c r="BW24" i="16"/>
  <c r="BW15" i="16"/>
  <c r="BW18" i="16"/>
  <c r="BW6" i="16"/>
  <c r="BW30" i="16"/>
  <c r="BW17" i="16"/>
  <c r="BW16" i="16" s="1"/>
  <c r="W6" i="22" s="1"/>
  <c r="H68" i="22" s="1"/>
  <c r="BW56" i="16"/>
  <c r="BW55" i="16" s="1"/>
  <c r="W19" i="22" s="1"/>
  <c r="F23" i="22" s="1"/>
  <c r="BW42" i="16"/>
  <c r="BW29" i="16"/>
  <c r="BW28" i="16" s="1"/>
  <c r="W10" i="22" s="1"/>
  <c r="Q74" i="22" s="1"/>
  <c r="BW23" i="16"/>
  <c r="BW22" i="16" s="1"/>
  <c r="W8" i="22" s="1"/>
  <c r="I52" i="22" s="1"/>
  <c r="BW62" i="16"/>
  <c r="BW61" i="16" s="1"/>
  <c r="W21" i="22" s="1"/>
  <c r="S43" i="22" s="1"/>
  <c r="BW38" i="16"/>
  <c r="BW37" i="16" s="1"/>
  <c r="W13" i="22" s="1"/>
  <c r="J35" i="22" s="1"/>
  <c r="BW8" i="16"/>
  <c r="BW7" i="16" s="1"/>
  <c r="W3" i="22" s="1"/>
  <c r="M6" i="22" s="1"/>
  <c r="BW36" i="16"/>
  <c r="BW50" i="16"/>
  <c r="BW49" i="16" s="1"/>
  <c r="W17" i="22" s="1"/>
  <c r="BW54" i="16"/>
  <c r="BW12" i="16"/>
  <c r="A166" i="20" l="1"/>
  <c r="D6" i="21"/>
  <c r="L42" i="20"/>
  <c r="L6" i="20"/>
  <c r="B7" i="4"/>
  <c r="B8" i="4" s="1"/>
  <c r="B101" i="2"/>
  <c r="B9" i="2"/>
  <c r="B5" i="5" s="1"/>
  <c r="G25" i="3"/>
  <c r="K16" i="21"/>
  <c r="K17" i="21"/>
  <c r="R42" i="20"/>
  <c r="U42" i="20" s="1"/>
  <c r="R46" i="20"/>
  <c r="H141" i="21"/>
  <c r="H147" i="21"/>
  <c r="H53" i="21"/>
  <c r="H47" i="21"/>
  <c r="V365" i="14"/>
  <c r="P318" i="14"/>
  <c r="H297" i="14"/>
  <c r="V389" i="14"/>
  <c r="K332" i="14"/>
  <c r="S364" i="14"/>
  <c r="Z301" i="14"/>
  <c r="P329" i="14"/>
  <c r="F372" i="14"/>
  <c r="AA341" i="14"/>
  <c r="CJ14" i="20"/>
  <c r="CK14" i="20"/>
  <c r="CL14" i="20"/>
  <c r="G315" i="15"/>
  <c r="Z349" i="15"/>
  <c r="Y294" i="15"/>
  <c r="E298" i="15"/>
  <c r="W376" i="15"/>
  <c r="Y338" i="15"/>
  <c r="H400" i="15"/>
  <c r="Q366" i="15"/>
  <c r="AA399" i="15"/>
  <c r="X402" i="15"/>
  <c r="F314" i="14"/>
  <c r="F299" i="14"/>
  <c r="E339" i="14"/>
  <c r="R413" i="14"/>
  <c r="AA326" i="14"/>
  <c r="L56" i="20"/>
  <c r="E412" i="15"/>
  <c r="E292" i="15"/>
  <c r="R375" i="15"/>
  <c r="Y343" i="15"/>
  <c r="F346" i="15"/>
  <c r="P364" i="15"/>
  <c r="E325" i="15"/>
  <c r="P304" i="15"/>
  <c r="N284" i="12"/>
  <c r="AI284" i="12" s="1"/>
  <c r="O37" i="22"/>
  <c r="F38" i="22"/>
  <c r="H39" i="22"/>
  <c r="R39" i="22"/>
  <c r="S39" i="22"/>
  <c r="R38" i="22"/>
  <c r="S38" i="22"/>
  <c r="K36" i="22"/>
  <c r="H38" i="22"/>
  <c r="E39" i="22"/>
  <c r="K39" i="22"/>
  <c r="D36" i="22"/>
  <c r="D39" i="22"/>
  <c r="I38" i="22"/>
  <c r="O36" i="22"/>
  <c r="L36" i="22"/>
  <c r="M39" i="22"/>
  <c r="G37" i="22"/>
  <c r="Q39" i="22"/>
  <c r="E36" i="22"/>
  <c r="Q38" i="22"/>
  <c r="H37" i="22"/>
  <c r="J37" i="22"/>
  <c r="F39" i="22"/>
  <c r="M36" i="22"/>
  <c r="K37" i="22"/>
  <c r="D38" i="22"/>
  <c r="P39" i="22"/>
  <c r="G38" i="22"/>
  <c r="J36" i="22"/>
  <c r="G39" i="22"/>
  <c r="M38" i="22"/>
  <c r="I37" i="22"/>
  <c r="E38" i="22"/>
  <c r="K38" i="22"/>
  <c r="R36" i="22"/>
  <c r="F37" i="22"/>
  <c r="P37" i="22"/>
  <c r="S36" i="22"/>
  <c r="J39" i="22"/>
  <c r="N37" i="22"/>
  <c r="M37" i="22"/>
  <c r="L39" i="22"/>
  <c r="O38" i="22"/>
  <c r="N38" i="22"/>
  <c r="L38" i="22"/>
  <c r="I36" i="22"/>
  <c r="F36" i="22"/>
  <c r="Q37" i="22"/>
  <c r="O39" i="22"/>
  <c r="N39" i="22"/>
  <c r="D37" i="22"/>
  <c r="Q36" i="22"/>
  <c r="I39" i="22"/>
  <c r="E37" i="22"/>
  <c r="P36" i="22"/>
  <c r="P38" i="22"/>
  <c r="W361" i="12"/>
  <c r="AR361" i="12" s="1"/>
  <c r="N359" i="12"/>
  <c r="AI359" i="12" s="1"/>
  <c r="N341" i="12"/>
  <c r="AI341" i="12" s="1"/>
  <c r="O306" i="12"/>
  <c r="AJ306" i="12" s="1"/>
  <c r="O288" i="12"/>
  <c r="AJ288" i="12" s="1"/>
  <c r="Q347" i="12"/>
  <c r="AL347" i="12" s="1"/>
  <c r="N330" i="12"/>
  <c r="AI330" i="12" s="1"/>
  <c r="N294" i="12"/>
  <c r="AI294" i="12" s="1"/>
  <c r="P356" i="12"/>
  <c r="AK356" i="12" s="1"/>
  <c r="X317" i="12"/>
  <c r="AS317" i="12" s="1"/>
  <c r="X299" i="12"/>
  <c r="AS299" i="12" s="1"/>
  <c r="O356" i="12"/>
  <c r="AJ356" i="12" s="1"/>
  <c r="W335" i="12"/>
  <c r="AR335" i="12" s="1"/>
  <c r="W317" i="12"/>
  <c r="AR317" i="12" s="1"/>
  <c r="W281" i="12"/>
  <c r="AR281" i="12" s="1"/>
  <c r="W263" i="12"/>
  <c r="AR263" i="12" s="1"/>
  <c r="S373" i="12"/>
  <c r="AN373" i="12" s="1"/>
  <c r="S335" i="12"/>
  <c r="AN335" i="12" s="1"/>
  <c r="S317" i="12"/>
  <c r="AN317" i="12" s="1"/>
  <c r="S299" i="12"/>
  <c r="AN299" i="12" s="1"/>
  <c r="R348" i="12"/>
  <c r="AM348" i="12" s="1"/>
  <c r="P329" i="12"/>
  <c r="AK329" i="12" s="1"/>
  <c r="P311" i="12"/>
  <c r="AK311" i="12" s="1"/>
  <c r="S365" i="12"/>
  <c r="AN365" i="12" s="1"/>
  <c r="P321" i="12"/>
  <c r="AK321" i="12" s="1"/>
  <c r="R285" i="12"/>
  <c r="AM285" i="12" s="1"/>
  <c r="R373" i="12"/>
  <c r="AM373" i="12" s="1"/>
  <c r="R338" i="12"/>
  <c r="AM338" i="12" s="1"/>
  <c r="R302" i="12"/>
  <c r="AM302" i="12" s="1"/>
  <c r="N254" i="12"/>
  <c r="AI254" i="12" s="1"/>
  <c r="Q355" i="12"/>
  <c r="AL355" i="12" s="1"/>
  <c r="P285" i="12"/>
  <c r="AK285" i="12" s="1"/>
  <c r="Q260" i="12"/>
  <c r="AL260" i="12" s="1"/>
  <c r="O329" i="12"/>
  <c r="AJ329" i="12" s="1"/>
  <c r="O293" i="12"/>
  <c r="AJ293" i="12" s="1"/>
  <c r="S246" i="12"/>
  <c r="Q341" i="12"/>
  <c r="AL341" i="12" s="1"/>
  <c r="R273" i="12"/>
  <c r="AM273" i="12" s="1"/>
  <c r="R255" i="12"/>
  <c r="AM255" i="12" s="1"/>
  <c r="N319" i="12"/>
  <c r="AI319" i="12" s="1"/>
  <c r="N282" i="12"/>
  <c r="AI282" i="12" s="1"/>
  <c r="S261" i="12"/>
  <c r="AN261" i="12" s="1"/>
  <c r="X315" i="12"/>
  <c r="AS315" i="12" s="1"/>
  <c r="R279" i="12"/>
  <c r="AM279" i="12" s="1"/>
  <c r="Q370" i="12"/>
  <c r="AL370" i="12" s="1"/>
  <c r="S297" i="12"/>
  <c r="AN297" i="12" s="1"/>
  <c r="R324" i="12"/>
  <c r="AM324" i="12" s="1"/>
  <c r="X285" i="12"/>
  <c r="AS285" i="12" s="1"/>
  <c r="S327" i="12"/>
  <c r="AN327" i="12" s="1"/>
  <c r="X325" i="12"/>
  <c r="AS325" i="12" s="1"/>
  <c r="R274" i="12"/>
  <c r="AM274" i="12" s="1"/>
  <c r="Q366" i="12"/>
  <c r="AL366" i="12" s="1"/>
  <c r="X349" i="12"/>
  <c r="AS349" i="12" s="1"/>
  <c r="R345" i="12"/>
  <c r="AM345" i="12" s="1"/>
  <c r="X249" i="12"/>
  <c r="AS249" i="12" s="1"/>
  <c r="X347" i="12"/>
  <c r="AS347" i="12" s="1"/>
  <c r="W258" i="12"/>
  <c r="AR258" i="12" s="1"/>
  <c r="S250" i="12"/>
  <c r="AN250" i="12" s="1"/>
  <c r="W283" i="12"/>
  <c r="AR283" i="12" s="1"/>
  <c r="W247" i="12"/>
  <c r="AR247" i="12" s="1"/>
  <c r="W343" i="12"/>
  <c r="AR343" i="12" s="1"/>
  <c r="O324" i="12"/>
  <c r="AJ324" i="12" s="1"/>
  <c r="Q365" i="12"/>
  <c r="AL365" i="12" s="1"/>
  <c r="N312" i="12"/>
  <c r="AI312" i="12" s="1"/>
  <c r="X335" i="12"/>
  <c r="AS335" i="12" s="1"/>
  <c r="X281" i="12"/>
  <c r="AS281" i="12" s="1"/>
  <c r="W299" i="12"/>
  <c r="AR299" i="12" s="1"/>
  <c r="S355" i="12"/>
  <c r="AN355" i="12" s="1"/>
  <c r="X370" i="12"/>
  <c r="AS370" i="12" s="1"/>
  <c r="P293" i="12"/>
  <c r="AK293" i="12" s="1"/>
  <c r="O263" i="12"/>
  <c r="AJ263" i="12" s="1"/>
  <c r="N272" i="12"/>
  <c r="AI272" i="12" s="1"/>
  <c r="Q320" i="12"/>
  <c r="AL320" i="12" s="1"/>
  <c r="O364" i="12"/>
  <c r="AJ364" i="12" s="1"/>
  <c r="O267" i="12"/>
  <c r="AJ267" i="12" s="1"/>
  <c r="N305" i="12"/>
  <c r="AI305" i="12" s="1"/>
  <c r="W357" i="12"/>
  <c r="AR357" i="12" s="1"/>
  <c r="S357" i="12"/>
  <c r="AN357" i="12" s="1"/>
  <c r="S263" i="12"/>
  <c r="AN263" i="12" s="1"/>
  <c r="N344" i="12"/>
  <c r="AI344" i="12" s="1"/>
  <c r="R272" i="12"/>
  <c r="AM272" i="12" s="1"/>
  <c r="W316" i="12"/>
  <c r="AR316" i="12" s="1"/>
  <c r="X337" i="12"/>
  <c r="AS337" i="12" s="1"/>
  <c r="R343" i="12"/>
  <c r="AM343" i="12" s="1"/>
  <c r="X328" i="12"/>
  <c r="AS328" i="12" s="1"/>
  <c r="CK8" i="20"/>
  <c r="CJ8" i="20"/>
  <c r="CL8" i="20"/>
  <c r="W159" i="21"/>
  <c r="W71" i="21"/>
  <c r="W65" i="21"/>
  <c r="W165" i="21"/>
  <c r="W59" i="21"/>
  <c r="W153" i="21"/>
  <c r="D47" i="21"/>
  <c r="D53" i="21"/>
  <c r="D147" i="21"/>
  <c r="D141" i="21"/>
  <c r="O288" i="14"/>
  <c r="F387" i="14"/>
  <c r="F323" i="14"/>
  <c r="X367" i="14"/>
  <c r="G300" i="14"/>
  <c r="Q322" i="14"/>
  <c r="T327" i="14"/>
  <c r="T346" i="14"/>
  <c r="V342" i="14"/>
  <c r="J347" i="14"/>
  <c r="H365" i="14"/>
  <c r="J327" i="14"/>
  <c r="F403" i="14"/>
  <c r="Y334" i="14"/>
  <c r="Z403" i="14"/>
  <c r="F346" i="14"/>
  <c r="F291" i="14"/>
  <c r="V359" i="14"/>
  <c r="P299" i="14"/>
  <c r="J362" i="14"/>
  <c r="X312" i="14"/>
  <c r="J376" i="14"/>
  <c r="E306" i="14"/>
  <c r="E335" i="14"/>
  <c r="O366" i="14"/>
  <c r="V402" i="14"/>
  <c r="F306" i="14"/>
  <c r="X340" i="14"/>
  <c r="X369" i="14"/>
  <c r="W402" i="14"/>
  <c r="J398" i="14"/>
  <c r="V301" i="14"/>
  <c r="W336" i="14"/>
  <c r="W365" i="14"/>
  <c r="K398" i="14"/>
  <c r="O305" i="14"/>
  <c r="X336" i="14"/>
  <c r="R371" i="14"/>
  <c r="F402" i="14"/>
  <c r="P305" i="14"/>
  <c r="I340" i="14"/>
  <c r="S371" i="14"/>
  <c r="K408" i="14"/>
  <c r="X308" i="14"/>
  <c r="J340" i="14"/>
  <c r="E375" i="14"/>
  <c r="O408" i="14"/>
  <c r="R313" i="14"/>
  <c r="S330" i="14"/>
  <c r="Z348" i="14"/>
  <c r="I369" i="14"/>
  <c r="X387" i="14"/>
  <c r="AA409" i="14"/>
  <c r="I299" i="14"/>
  <c r="R317" i="14"/>
  <c r="Y337" i="14"/>
  <c r="H356" i="14"/>
  <c r="P376" i="14"/>
  <c r="K394" i="14"/>
  <c r="K414" i="14"/>
  <c r="P306" i="14"/>
  <c r="X324" i="14"/>
  <c r="G345" i="14"/>
  <c r="G362" i="14"/>
  <c r="P380" i="14"/>
  <c r="I402" i="14"/>
  <c r="P293" i="14"/>
  <c r="V313" i="14"/>
  <c r="W330" i="14"/>
  <c r="F349" i="14"/>
  <c r="N369" i="14"/>
  <c r="AA387" i="14"/>
  <c r="G410" i="14"/>
  <c r="O299" i="14"/>
  <c r="V317" i="14"/>
  <c r="E338" i="14"/>
  <c r="K356" i="14"/>
  <c r="S376" i="14"/>
  <c r="P394" i="14"/>
  <c r="P414" i="14"/>
  <c r="G403" i="14"/>
  <c r="N293" i="14"/>
  <c r="AA311" i="14"/>
  <c r="R327" i="14"/>
  <c r="N344" i="14"/>
  <c r="AA362" i="14"/>
  <c r="W379" i="14"/>
  <c r="N398" i="14"/>
  <c r="AA413" i="14"/>
  <c r="Q16" i="21"/>
  <c r="Q17" i="21"/>
  <c r="R76" i="20"/>
  <c r="R72" i="20"/>
  <c r="U72" i="20" s="1"/>
  <c r="CJ11" i="20"/>
  <c r="CK11" i="20"/>
  <c r="CL11" i="20"/>
  <c r="L159" i="21"/>
  <c r="L153" i="21"/>
  <c r="L165" i="21"/>
  <c r="L65" i="21"/>
  <c r="L71" i="21"/>
  <c r="L59" i="21"/>
  <c r="Y320" i="15"/>
  <c r="G299" i="15"/>
  <c r="K401" i="15"/>
  <c r="T295" i="15"/>
  <c r="J333" i="15"/>
  <c r="G381" i="15"/>
  <c r="I305" i="15"/>
  <c r="K349" i="15"/>
  <c r="R406" i="15"/>
  <c r="V347" i="15"/>
  <c r="H299" i="15"/>
  <c r="N366" i="15"/>
  <c r="S312" i="15"/>
  <c r="X385" i="15"/>
  <c r="O326" i="15"/>
  <c r="N405" i="15"/>
  <c r="W340" i="15"/>
  <c r="AA292" i="15"/>
  <c r="W357" i="15"/>
  <c r="E306" i="15"/>
  <c r="K377" i="15"/>
  <c r="G306" i="15"/>
  <c r="I343" i="15"/>
  <c r="V391" i="15"/>
  <c r="K305" i="15"/>
  <c r="F342" i="15"/>
  <c r="O390" i="15"/>
  <c r="Q304" i="15"/>
  <c r="H341" i="15"/>
  <c r="H389" i="15"/>
  <c r="T303" i="15"/>
  <c r="H340" i="15"/>
  <c r="Y387" i="15"/>
  <c r="W302" i="15"/>
  <c r="J339" i="15"/>
  <c r="Q386" i="15"/>
  <c r="F367" i="15"/>
  <c r="X404" i="15"/>
  <c r="X307" i="15"/>
  <c r="V338" i="15"/>
  <c r="Y374" i="15"/>
  <c r="S412" i="15"/>
  <c r="AA313" i="15"/>
  <c r="K345" i="15"/>
  <c r="Q382" i="15"/>
  <c r="T353" i="15"/>
  <c r="F385" i="15"/>
  <c r="S288" i="15"/>
  <c r="AA314" i="15"/>
  <c r="N343" i="15"/>
  <c r="X374" i="15"/>
  <c r="I406" i="15"/>
  <c r="J304" i="15"/>
  <c r="Y327" i="15"/>
  <c r="O351" i="15"/>
  <c r="AA374" i="15"/>
  <c r="Q398" i="15"/>
  <c r="Q347" i="15"/>
  <c r="G371" i="15"/>
  <c r="T394" i="15"/>
  <c r="J310" i="15"/>
  <c r="Y333" i="15"/>
  <c r="O357" i="15"/>
  <c r="AA380" i="15"/>
  <c r="Q404" i="15"/>
  <c r="E299" i="15"/>
  <c r="S320" i="15"/>
  <c r="I342" i="15"/>
  <c r="X363" i="15"/>
  <c r="O385" i="15"/>
  <c r="E407" i="15"/>
  <c r="E413" i="15"/>
  <c r="S37" i="22"/>
  <c r="AM52" i="22"/>
  <c r="BG52" i="22"/>
  <c r="AD23" i="22"/>
  <c r="AX23" i="22"/>
  <c r="R248" i="12"/>
  <c r="AM248" i="12" s="1"/>
  <c r="P270" i="12"/>
  <c r="AK270" i="12" s="1"/>
  <c r="S267" i="12"/>
  <c r="AN267" i="12" s="1"/>
  <c r="X298" i="12"/>
  <c r="AS298" i="12" s="1"/>
  <c r="Q315" i="12"/>
  <c r="AL315" i="12" s="1"/>
  <c r="S254" i="12"/>
  <c r="AN254" i="12" s="1"/>
  <c r="R250" i="12"/>
  <c r="AM250" i="12" s="1"/>
  <c r="R246" i="12"/>
  <c r="Q359" i="12"/>
  <c r="AL359" i="12" s="1"/>
  <c r="O346" i="12"/>
  <c r="AJ346" i="12" s="1"/>
  <c r="Q338" i="12"/>
  <c r="AL338" i="12" s="1"/>
  <c r="R320" i="12"/>
  <c r="AM320" i="12" s="1"/>
  <c r="P303" i="12"/>
  <c r="AK303" i="12" s="1"/>
  <c r="P320" i="12"/>
  <c r="AK320" i="12" s="1"/>
  <c r="S308" i="12"/>
  <c r="AN308" i="12" s="1"/>
  <c r="W254" i="12"/>
  <c r="AR254" i="12" s="1"/>
  <c r="W326" i="12"/>
  <c r="AR326" i="12" s="1"/>
  <c r="X308" i="12"/>
  <c r="AS308" i="12" s="1"/>
  <c r="N303" i="12"/>
  <c r="AI303" i="12" s="1"/>
  <c r="O279" i="12"/>
  <c r="AJ279" i="12" s="1"/>
  <c r="N350" i="12"/>
  <c r="AI350" i="12" s="1"/>
  <c r="P28" i="22"/>
  <c r="O28" i="22"/>
  <c r="D30" i="22"/>
  <c r="M29" i="22"/>
  <c r="R30" i="22"/>
  <c r="D29" i="22"/>
  <c r="G31" i="22"/>
  <c r="F31" i="22"/>
  <c r="R31" i="22"/>
  <c r="J30" i="22"/>
  <c r="N28" i="22"/>
  <c r="E30" i="22"/>
  <c r="M28" i="22"/>
  <c r="D31" i="22"/>
  <c r="E28" i="22"/>
  <c r="S28" i="22"/>
  <c r="I31" i="22"/>
  <c r="H30" i="22"/>
  <c r="E29" i="22"/>
  <c r="H28" i="22"/>
  <c r="J28" i="22"/>
  <c r="S31" i="22"/>
  <c r="K30" i="22"/>
  <c r="N31" i="22"/>
  <c r="K29" i="22"/>
  <c r="L29" i="22"/>
  <c r="L28" i="22"/>
  <c r="Q28" i="22"/>
  <c r="M31" i="22"/>
  <c r="I30" i="22"/>
  <c r="E31" i="22"/>
  <c r="K31" i="22"/>
  <c r="L31" i="22"/>
  <c r="J29" i="22"/>
  <c r="H29" i="22"/>
  <c r="H31" i="22"/>
  <c r="P29" i="22"/>
  <c r="G30" i="22"/>
  <c r="M30" i="22"/>
  <c r="R29" i="22"/>
  <c r="Q31" i="22"/>
  <c r="G29" i="22"/>
  <c r="O31" i="22"/>
  <c r="S30" i="22"/>
  <c r="L30" i="22"/>
  <c r="Q29" i="22"/>
  <c r="J31" i="22"/>
  <c r="N29" i="22"/>
  <c r="I29" i="22"/>
  <c r="F30" i="22"/>
  <c r="I28" i="22"/>
  <c r="P30" i="22"/>
  <c r="Q30" i="22"/>
  <c r="O30" i="22"/>
  <c r="AI15" i="22"/>
  <c r="N298" i="14"/>
  <c r="H329" i="14"/>
  <c r="G295" i="14"/>
  <c r="Q301" i="14"/>
  <c r="O393" i="14"/>
  <c r="V306" i="14"/>
  <c r="AA384" i="14"/>
  <c r="O411" i="14"/>
  <c r="H309" i="14"/>
  <c r="F298" i="14"/>
  <c r="R398" i="14"/>
  <c r="W358" i="14"/>
  <c r="AF20" i="21"/>
  <c r="AF19" i="21"/>
  <c r="BA151" i="20"/>
  <c r="BA147" i="20"/>
  <c r="BD147" i="20" s="1"/>
  <c r="P399" i="15"/>
  <c r="R388" i="15"/>
  <c r="AA381" i="15"/>
  <c r="I296" i="15"/>
  <c r="H375" i="15"/>
  <c r="AA342" i="15"/>
  <c r="X283" i="12"/>
  <c r="AS283" i="12" s="1"/>
  <c r="O314" i="12"/>
  <c r="AJ314" i="12" s="1"/>
  <c r="S369" i="12"/>
  <c r="AN369" i="12" s="1"/>
  <c r="V295" i="14"/>
  <c r="O385" i="14"/>
  <c r="Y359" i="14"/>
  <c r="Y368" i="14"/>
  <c r="I304" i="14"/>
  <c r="F374" i="14"/>
  <c r="R298" i="14"/>
  <c r="P291" i="14"/>
  <c r="R291" i="14"/>
  <c r="O159" i="21"/>
  <c r="O153" i="21"/>
  <c r="O59" i="21"/>
  <c r="O165" i="21"/>
  <c r="O71" i="21"/>
  <c r="O65" i="21"/>
  <c r="I17" i="27"/>
  <c r="C126" i="27" s="1"/>
  <c r="BI6" i="22"/>
  <c r="AO6" i="22"/>
  <c r="W373" i="12"/>
  <c r="AR373" i="12" s="1"/>
  <c r="W377" i="15"/>
  <c r="V385" i="15"/>
  <c r="I329" i="15"/>
  <c r="Z301" i="15"/>
  <c r="V399" i="15"/>
  <c r="P297" i="15"/>
  <c r="V310" i="15"/>
  <c r="Z383" i="15"/>
  <c r="Y402" i="15"/>
  <c r="N339" i="15"/>
  <c r="V291" i="15"/>
  <c r="I355" i="15"/>
  <c r="T304" i="15"/>
  <c r="V374" i="15"/>
  <c r="J305" i="15"/>
  <c r="E342" i="15"/>
  <c r="N390" i="15"/>
  <c r="G341" i="15"/>
  <c r="F389" i="15"/>
  <c r="Q303" i="15"/>
  <c r="G340" i="15"/>
  <c r="W387" i="15"/>
  <c r="V302" i="15"/>
  <c r="H339" i="15"/>
  <c r="P386" i="15"/>
  <c r="Y301" i="15"/>
  <c r="I338" i="15"/>
  <c r="H385" i="15"/>
  <c r="F366" i="15"/>
  <c r="V403" i="15"/>
  <c r="Y337" i="15"/>
  <c r="Y373" i="15"/>
  <c r="Q411" i="15"/>
  <c r="H313" i="15"/>
  <c r="O344" i="15"/>
  <c r="N381" i="15"/>
  <c r="T352" i="15"/>
  <c r="F384" i="15"/>
  <c r="Q415" i="15"/>
  <c r="H314" i="15"/>
  <c r="R342" i="15"/>
  <c r="AA373" i="15"/>
  <c r="O405" i="15"/>
  <c r="S303" i="15"/>
  <c r="H327" i="15"/>
  <c r="W350" i="15"/>
  <c r="K374" i="15"/>
  <c r="Y397" i="15"/>
  <c r="Y346" i="15"/>
  <c r="P370" i="15"/>
  <c r="E394" i="15"/>
  <c r="S309" i="15"/>
  <c r="H333" i="15"/>
  <c r="W356" i="15"/>
  <c r="K380" i="15"/>
  <c r="Y403" i="15"/>
  <c r="O298" i="15"/>
  <c r="E320" i="15"/>
  <c r="S341" i="15"/>
  <c r="I363" i="15"/>
  <c r="X384" i="15"/>
  <c r="O406" i="15"/>
  <c r="BB53" i="22"/>
  <c r="AH53" i="22"/>
  <c r="S29" i="22"/>
  <c r="AP7" i="22"/>
  <c r="BJ7" i="22"/>
  <c r="S258" i="12"/>
  <c r="AN258" i="12" s="1"/>
  <c r="S339" i="12"/>
  <c r="AN339" i="12" s="1"/>
  <c r="P341" i="12"/>
  <c r="AK341" i="12" s="1"/>
  <c r="P273" i="12"/>
  <c r="AK273" i="12" s="1"/>
  <c r="X277" i="12"/>
  <c r="AS277" i="12" s="1"/>
  <c r="O368" i="12"/>
  <c r="AJ368" i="12" s="1"/>
  <c r="P353" i="12"/>
  <c r="AK353" i="12" s="1"/>
  <c r="Q353" i="12"/>
  <c r="AL353" i="12" s="1"/>
  <c r="N338" i="12"/>
  <c r="AI338" i="12" s="1"/>
  <c r="O326" i="12"/>
  <c r="AJ326" i="12" s="1"/>
  <c r="Q317" i="12"/>
  <c r="AL317" i="12" s="1"/>
  <c r="R299" i="12"/>
  <c r="AM299" i="12" s="1"/>
  <c r="W309" i="12"/>
  <c r="AR309" i="12" s="1"/>
  <c r="O298" i="12"/>
  <c r="AJ298" i="12" s="1"/>
  <c r="R371" i="12"/>
  <c r="AM371" i="12" s="1"/>
  <c r="P316" i="12"/>
  <c r="AK316" i="12" s="1"/>
  <c r="Q298" i="12"/>
  <c r="AL298" i="12" s="1"/>
  <c r="R292" i="12"/>
  <c r="AM292" i="12" s="1"/>
  <c r="O363" i="12"/>
  <c r="AJ363" i="12" s="1"/>
  <c r="S340" i="12"/>
  <c r="AN340" i="12" s="1"/>
  <c r="CM14" i="20"/>
  <c r="CI14" i="20"/>
  <c r="CH14" i="20"/>
  <c r="L18" i="22"/>
  <c r="M18" i="22"/>
  <c r="K18" i="22"/>
  <c r="G19" i="22"/>
  <c r="D19" i="22"/>
  <c r="S18" i="22"/>
  <c r="Q19" i="22"/>
  <c r="J19" i="22"/>
  <c r="I19" i="22"/>
  <c r="D16" i="22"/>
  <c r="K16" i="22"/>
  <c r="K17" i="22"/>
  <c r="H19" i="22"/>
  <c r="G18" i="22"/>
  <c r="F19" i="22"/>
  <c r="M16" i="22"/>
  <c r="R19" i="22"/>
  <c r="O16" i="22"/>
  <c r="L17" i="22"/>
  <c r="H18" i="22"/>
  <c r="R17" i="22"/>
  <c r="M17" i="22"/>
  <c r="E18" i="22"/>
  <c r="Q17" i="22"/>
  <c r="P19" i="22"/>
  <c r="I16" i="22"/>
  <c r="J17" i="22"/>
  <c r="I18" i="22"/>
  <c r="J16" i="22"/>
  <c r="H17" i="22"/>
  <c r="R18" i="22"/>
  <c r="F18" i="22"/>
  <c r="S19" i="22"/>
  <c r="L16" i="22"/>
  <c r="N18" i="22"/>
  <c r="E19" i="22"/>
  <c r="O19" i="22"/>
  <c r="I17" i="22"/>
  <c r="E17" i="22"/>
  <c r="H16" i="22"/>
  <c r="F17" i="22"/>
  <c r="Q18" i="22"/>
  <c r="N16" i="22"/>
  <c r="S17" i="22"/>
  <c r="O18" i="22"/>
  <c r="O17" i="22"/>
  <c r="S16" i="22"/>
  <c r="K19" i="22"/>
  <c r="D17" i="22"/>
  <c r="G16" i="22"/>
  <c r="N17" i="22"/>
  <c r="L19" i="22"/>
  <c r="G17" i="22"/>
  <c r="M19" i="22"/>
  <c r="D18" i="22"/>
  <c r="P18" i="22"/>
  <c r="F16" i="22"/>
  <c r="Q16" i="22"/>
  <c r="N19" i="22"/>
  <c r="M80" i="22"/>
  <c r="G79" i="22"/>
  <c r="G82" i="22"/>
  <c r="F80" i="22"/>
  <c r="D81" i="22"/>
  <c r="K82" i="22"/>
  <c r="L82" i="22"/>
  <c r="J80" i="22"/>
  <c r="E82" i="22"/>
  <c r="E79" i="22"/>
  <c r="O79" i="22"/>
  <c r="P79" i="22"/>
  <c r="P81" i="22"/>
  <c r="F81" i="22"/>
  <c r="O81" i="22"/>
  <c r="H80" i="22"/>
  <c r="F82" i="22"/>
  <c r="M79" i="22"/>
  <c r="R80" i="22"/>
  <c r="L81" i="22"/>
  <c r="Q81" i="22"/>
  <c r="I80" i="22"/>
  <c r="H79" i="22"/>
  <c r="S80" i="22"/>
  <c r="AP63" i="22" s="1"/>
  <c r="M82" i="22"/>
  <c r="N79" i="22"/>
  <c r="K81" i="22"/>
  <c r="P82" i="22"/>
  <c r="O82" i="22"/>
  <c r="E81" i="22"/>
  <c r="D79" i="22"/>
  <c r="N81" i="22"/>
  <c r="G80" i="22"/>
  <c r="L79" i="22"/>
  <c r="H82" i="22"/>
  <c r="P80" i="22"/>
  <c r="D80" i="22"/>
  <c r="Q82" i="22"/>
  <c r="N80" i="22"/>
  <c r="M81" i="22"/>
  <c r="F79" i="22"/>
  <c r="S82" i="22"/>
  <c r="R82" i="22"/>
  <c r="J82" i="22"/>
  <c r="N82" i="22"/>
  <c r="H81" i="22"/>
  <c r="J81" i="22"/>
  <c r="D82" i="22"/>
  <c r="I82" i="22"/>
  <c r="Q79" i="22"/>
  <c r="R81" i="22"/>
  <c r="G81" i="22"/>
  <c r="O80" i="22"/>
  <c r="L80" i="22"/>
  <c r="K79" i="22"/>
  <c r="I81" i="22"/>
  <c r="U165" i="21"/>
  <c r="U65" i="21"/>
  <c r="U159" i="21"/>
  <c r="U59" i="21"/>
  <c r="U153" i="21"/>
  <c r="U71" i="21"/>
  <c r="G165" i="21"/>
  <c r="G153" i="21"/>
  <c r="G65" i="21"/>
  <c r="G59" i="21"/>
  <c r="G71" i="21"/>
  <c r="G159" i="21"/>
  <c r="AE147" i="21"/>
  <c r="AE47" i="21"/>
  <c r="AE141" i="21"/>
  <c r="AE53" i="21"/>
  <c r="J309" i="14"/>
  <c r="K415" i="14"/>
  <c r="K334" i="14"/>
  <c r="F409" i="14"/>
  <c r="E327" i="14"/>
  <c r="F327" i="14"/>
  <c r="H332" i="14"/>
  <c r="I351" i="14"/>
  <c r="E356" i="14"/>
  <c r="H374" i="14"/>
  <c r="V369" i="14"/>
  <c r="T329" i="14"/>
  <c r="G406" i="14"/>
  <c r="Q341" i="14"/>
  <c r="E291" i="14"/>
  <c r="I348" i="14"/>
  <c r="E293" i="14"/>
  <c r="Y361" i="14"/>
  <c r="G306" i="14"/>
  <c r="T375" i="14"/>
  <c r="I315" i="14"/>
  <c r="W378" i="14"/>
  <c r="Z306" i="14"/>
  <c r="K338" i="14"/>
  <c r="F373" i="14"/>
  <c r="E404" i="14"/>
  <c r="AA306" i="14"/>
  <c r="E342" i="14"/>
  <c r="O373" i="14"/>
  <c r="J410" i="14"/>
  <c r="S399" i="14"/>
  <c r="Z302" i="14"/>
  <c r="T337" i="14"/>
  <c r="G369" i="14"/>
  <c r="S405" i="14"/>
  <c r="K306" i="14"/>
  <c r="V337" i="14"/>
  <c r="W372" i="14"/>
  <c r="AA405" i="14"/>
  <c r="G312" i="14"/>
  <c r="O341" i="14"/>
  <c r="X372" i="14"/>
  <c r="S409" i="14"/>
  <c r="H312" i="14"/>
  <c r="Z346" i="14"/>
  <c r="I376" i="14"/>
  <c r="V409" i="14"/>
  <c r="I314" i="14"/>
  <c r="R332" i="14"/>
  <c r="Y352" i="14"/>
  <c r="Y369" i="14"/>
  <c r="Q388" i="14"/>
  <c r="T410" i="14"/>
  <c r="I301" i="14"/>
  <c r="P321" i="14"/>
  <c r="Q338" i="14"/>
  <c r="X356" i="14"/>
  <c r="G377" i="14"/>
  <c r="O396" i="14"/>
  <c r="G290" i="14"/>
  <c r="G307" i="14"/>
  <c r="P325" i="14"/>
  <c r="W345" i="14"/>
  <c r="F364" i="14"/>
  <c r="N384" i="14"/>
  <c r="Z402" i="14"/>
  <c r="G294" i="14"/>
  <c r="O314" i="14"/>
  <c r="V332" i="14"/>
  <c r="E353" i="14"/>
  <c r="E370" i="14"/>
  <c r="T388" i="14"/>
  <c r="X410" i="14"/>
  <c r="N301" i="14"/>
  <c r="T321" i="14"/>
  <c r="T338" i="14"/>
  <c r="E357" i="14"/>
  <c r="J377" i="14"/>
  <c r="T396" i="14"/>
  <c r="W386" i="14"/>
  <c r="X403" i="14"/>
  <c r="AA293" i="14"/>
  <c r="R312" i="14"/>
  <c r="N329" i="14"/>
  <c r="AA347" i="14"/>
  <c r="R363" i="14"/>
  <c r="N380" i="14"/>
  <c r="AA398" i="14"/>
  <c r="W415" i="14"/>
  <c r="CK26" i="20"/>
  <c r="CJ26" i="20"/>
  <c r="CL26" i="20"/>
  <c r="S20" i="21"/>
  <c r="S19" i="21"/>
  <c r="BA82" i="20"/>
  <c r="BD82" i="20" s="1"/>
  <c r="BA86" i="20"/>
  <c r="Q147" i="21"/>
  <c r="Q47" i="21"/>
  <c r="Q141" i="21"/>
  <c r="Q53" i="21"/>
  <c r="V153" i="21"/>
  <c r="V159" i="21"/>
  <c r="V59" i="21"/>
  <c r="V71" i="21"/>
  <c r="V65" i="21"/>
  <c r="V165" i="21"/>
  <c r="E373" i="12"/>
  <c r="AB373" i="12" s="1"/>
  <c r="I371" i="12"/>
  <c r="AF371" i="12" s="1"/>
  <c r="E370" i="12"/>
  <c r="AB370" i="12" s="1"/>
  <c r="I368" i="12"/>
  <c r="AF368" i="12" s="1"/>
  <c r="E367" i="12"/>
  <c r="AB367" i="12" s="1"/>
  <c r="I365" i="12"/>
  <c r="AF365" i="12" s="1"/>
  <c r="E364" i="12"/>
  <c r="AB364" i="12" s="1"/>
  <c r="I362" i="12"/>
  <c r="AF362" i="12" s="1"/>
  <c r="E361" i="12"/>
  <c r="AB361" i="12" s="1"/>
  <c r="I359" i="12"/>
  <c r="AF359" i="12" s="1"/>
  <c r="E358" i="12"/>
  <c r="AB358" i="12" s="1"/>
  <c r="I356" i="12"/>
  <c r="AF356" i="12" s="1"/>
  <c r="E355" i="12"/>
  <c r="AB355" i="12" s="1"/>
  <c r="I353" i="12"/>
  <c r="AF353" i="12" s="1"/>
  <c r="E352" i="12"/>
  <c r="AB352" i="12" s="1"/>
  <c r="I350" i="12"/>
  <c r="AF350" i="12" s="1"/>
  <c r="E349" i="12"/>
  <c r="AB349" i="12" s="1"/>
  <c r="I347" i="12"/>
  <c r="AF347" i="12" s="1"/>
  <c r="E346" i="12"/>
  <c r="AB346" i="12" s="1"/>
  <c r="I344" i="12"/>
  <c r="AF344" i="12" s="1"/>
  <c r="E343" i="12"/>
  <c r="AB343" i="12" s="1"/>
  <c r="I341" i="12"/>
  <c r="AF341" i="12" s="1"/>
  <c r="H373" i="12"/>
  <c r="AE373" i="12" s="1"/>
  <c r="F371" i="12"/>
  <c r="AC371" i="12" s="1"/>
  <c r="E369" i="12"/>
  <c r="AB369" i="12" s="1"/>
  <c r="C367" i="12"/>
  <c r="Z367" i="12" s="1"/>
  <c r="I366" i="12"/>
  <c r="AF366" i="12" s="1"/>
  <c r="H364" i="12"/>
  <c r="AE364" i="12" s="1"/>
  <c r="F362" i="12"/>
  <c r="AC362" i="12" s="1"/>
  <c r="E360" i="12"/>
  <c r="AB360" i="12" s="1"/>
  <c r="C358" i="12"/>
  <c r="Z358" i="12" s="1"/>
  <c r="I357" i="12"/>
  <c r="AF357" i="12" s="1"/>
  <c r="H355" i="12"/>
  <c r="AE355" i="12" s="1"/>
  <c r="F353" i="12"/>
  <c r="AC353" i="12" s="1"/>
  <c r="E351" i="12"/>
  <c r="AB351" i="12" s="1"/>
  <c r="C349" i="12"/>
  <c r="Z349" i="12" s="1"/>
  <c r="I348" i="12"/>
  <c r="AF348" i="12" s="1"/>
  <c r="H346" i="12"/>
  <c r="AE346" i="12" s="1"/>
  <c r="F344" i="12"/>
  <c r="AC344" i="12" s="1"/>
  <c r="E342" i="12"/>
  <c r="AB342" i="12" s="1"/>
  <c r="D340" i="12"/>
  <c r="AA340" i="12" s="1"/>
  <c r="H338" i="12"/>
  <c r="AE338" i="12" s="1"/>
  <c r="D337" i="12"/>
  <c r="AA337" i="12" s="1"/>
  <c r="H335" i="12"/>
  <c r="AE335" i="12" s="1"/>
  <c r="D334" i="12"/>
  <c r="AA334" i="12" s="1"/>
  <c r="H332" i="12"/>
  <c r="AE332" i="12" s="1"/>
  <c r="D331" i="12"/>
  <c r="AA331" i="12" s="1"/>
  <c r="H329" i="12"/>
  <c r="AE329" i="12" s="1"/>
  <c r="D328" i="12"/>
  <c r="AA328" i="12" s="1"/>
  <c r="H326" i="12"/>
  <c r="AE326" i="12" s="1"/>
  <c r="D325" i="12"/>
  <c r="AA325" i="12" s="1"/>
  <c r="H323" i="12"/>
  <c r="AE323" i="12" s="1"/>
  <c r="D322" i="12"/>
  <c r="AA322" i="12" s="1"/>
  <c r="H320" i="12"/>
  <c r="AE320" i="12" s="1"/>
  <c r="D319" i="12"/>
  <c r="AA319" i="12" s="1"/>
  <c r="H317" i="12"/>
  <c r="AE317" i="12" s="1"/>
  <c r="D316" i="12"/>
  <c r="AA316" i="12" s="1"/>
  <c r="H314" i="12"/>
  <c r="AE314" i="12" s="1"/>
  <c r="D313" i="12"/>
  <c r="AA313" i="12" s="1"/>
  <c r="H311" i="12"/>
  <c r="AE311" i="12" s="1"/>
  <c r="D310" i="12"/>
  <c r="AA310" i="12" s="1"/>
  <c r="H308" i="12"/>
  <c r="AE308" i="12" s="1"/>
  <c r="D307" i="12"/>
  <c r="AA307" i="12" s="1"/>
  <c r="H305" i="12"/>
  <c r="AE305" i="12" s="1"/>
  <c r="D304" i="12"/>
  <c r="AA304" i="12" s="1"/>
  <c r="H302" i="12"/>
  <c r="AE302" i="12" s="1"/>
  <c r="D301" i="12"/>
  <c r="AA301" i="12" s="1"/>
  <c r="H299" i="12"/>
  <c r="AE299" i="12" s="1"/>
  <c r="D298" i="12"/>
  <c r="AA298" i="12" s="1"/>
  <c r="H296" i="12"/>
  <c r="AE296" i="12" s="1"/>
  <c r="D295" i="12"/>
  <c r="AA295" i="12" s="1"/>
  <c r="H293" i="12"/>
  <c r="AE293" i="12" s="1"/>
  <c r="D292" i="12"/>
  <c r="AA292" i="12" s="1"/>
  <c r="H290" i="12"/>
  <c r="AE290" i="12" s="1"/>
  <c r="D289" i="12"/>
  <c r="AA289" i="12" s="1"/>
  <c r="H287" i="12"/>
  <c r="AE287" i="12" s="1"/>
  <c r="D286" i="12"/>
  <c r="AA286" i="12" s="1"/>
  <c r="H284" i="12"/>
  <c r="AE284" i="12" s="1"/>
  <c r="D283" i="12"/>
  <c r="AA283" i="12" s="1"/>
  <c r="H281" i="12"/>
  <c r="AE281" i="12" s="1"/>
  <c r="D280" i="12"/>
  <c r="AA280" i="12" s="1"/>
  <c r="G373" i="12"/>
  <c r="AD373" i="12" s="1"/>
  <c r="E371" i="12"/>
  <c r="AB371" i="12" s="1"/>
  <c r="D369" i="12"/>
  <c r="AA369" i="12" s="1"/>
  <c r="J368" i="12"/>
  <c r="AG368" i="12" s="1"/>
  <c r="H366" i="12"/>
  <c r="AE366" i="12" s="1"/>
  <c r="G364" i="12"/>
  <c r="AD364" i="12" s="1"/>
  <c r="E362" i="12"/>
  <c r="AB362" i="12" s="1"/>
  <c r="D360" i="12"/>
  <c r="AA360" i="12" s="1"/>
  <c r="J359" i="12"/>
  <c r="AG359" i="12" s="1"/>
  <c r="H357" i="12"/>
  <c r="AE357" i="12" s="1"/>
  <c r="G355" i="12"/>
  <c r="AD355" i="12" s="1"/>
  <c r="E353" i="12"/>
  <c r="AB353" i="12" s="1"/>
  <c r="D351" i="12"/>
  <c r="AA351" i="12" s="1"/>
  <c r="J350" i="12"/>
  <c r="AG350" i="12" s="1"/>
  <c r="H348" i="12"/>
  <c r="AE348" i="12" s="1"/>
  <c r="G346" i="12"/>
  <c r="AD346" i="12" s="1"/>
  <c r="E344" i="12"/>
  <c r="AB344" i="12" s="1"/>
  <c r="D342" i="12"/>
  <c r="AA342" i="12" s="1"/>
  <c r="J341" i="12"/>
  <c r="AG341" i="12" s="1"/>
  <c r="C340" i="12"/>
  <c r="Z340" i="12" s="1"/>
  <c r="G338" i="12"/>
  <c r="AD338" i="12" s="1"/>
  <c r="C337" i="12"/>
  <c r="Z337" i="12" s="1"/>
  <c r="G335" i="12"/>
  <c r="AD335" i="12" s="1"/>
  <c r="C334" i="12"/>
  <c r="Z334" i="12" s="1"/>
  <c r="G332" i="12"/>
  <c r="AD332" i="12" s="1"/>
  <c r="C331" i="12"/>
  <c r="Z331" i="12" s="1"/>
  <c r="G329" i="12"/>
  <c r="AD329" i="12" s="1"/>
  <c r="C328" i="12"/>
  <c r="Z328" i="12" s="1"/>
  <c r="G326" i="12"/>
  <c r="AD326" i="12" s="1"/>
  <c r="C325" i="12"/>
  <c r="Z325" i="12" s="1"/>
  <c r="G323" i="12"/>
  <c r="AD323" i="12" s="1"/>
  <c r="C322" i="12"/>
  <c r="Z322" i="12" s="1"/>
  <c r="G320" i="12"/>
  <c r="AD320" i="12" s="1"/>
  <c r="C319" i="12"/>
  <c r="Z319" i="12" s="1"/>
  <c r="G317" i="12"/>
  <c r="AD317" i="12" s="1"/>
  <c r="C316" i="12"/>
  <c r="Z316" i="12" s="1"/>
  <c r="G314" i="12"/>
  <c r="AD314" i="12" s="1"/>
  <c r="C313" i="12"/>
  <c r="Z313" i="12" s="1"/>
  <c r="G311" i="12"/>
  <c r="AD311" i="12" s="1"/>
  <c r="C310" i="12"/>
  <c r="Z310" i="12" s="1"/>
  <c r="G308" i="12"/>
  <c r="AD308" i="12" s="1"/>
  <c r="C307" i="12"/>
  <c r="Z307" i="12" s="1"/>
  <c r="G305" i="12"/>
  <c r="AD305" i="12" s="1"/>
  <c r="C304" i="12"/>
  <c r="Z304" i="12" s="1"/>
  <c r="G302" i="12"/>
  <c r="AD302" i="12" s="1"/>
  <c r="C301" i="12"/>
  <c r="Z301" i="12" s="1"/>
  <c r="G299" i="12"/>
  <c r="AD299" i="12" s="1"/>
  <c r="C298" i="12"/>
  <c r="Z298" i="12" s="1"/>
  <c r="G296" i="12"/>
  <c r="AD296" i="12" s="1"/>
  <c r="C295" i="12"/>
  <c r="Z295" i="12" s="1"/>
  <c r="G293" i="12"/>
  <c r="AD293" i="12" s="1"/>
  <c r="C292" i="12"/>
  <c r="Z292" i="12" s="1"/>
  <c r="F373" i="12"/>
  <c r="AC373" i="12" s="1"/>
  <c r="D371" i="12"/>
  <c r="AA371" i="12" s="1"/>
  <c r="J370" i="12"/>
  <c r="AG370" i="12" s="1"/>
  <c r="C369" i="12"/>
  <c r="Z369" i="12" s="1"/>
  <c r="H368" i="12"/>
  <c r="AE368" i="12" s="1"/>
  <c r="G366" i="12"/>
  <c r="AD366" i="12" s="1"/>
  <c r="F364" i="12"/>
  <c r="AC364" i="12" s="1"/>
  <c r="D362" i="12"/>
  <c r="AA362" i="12" s="1"/>
  <c r="J361" i="12"/>
  <c r="AG361" i="12" s="1"/>
  <c r="C360" i="12"/>
  <c r="Z360" i="12" s="1"/>
  <c r="H359" i="12"/>
  <c r="AE359" i="12" s="1"/>
  <c r="G357" i="12"/>
  <c r="AD357" i="12" s="1"/>
  <c r="F355" i="12"/>
  <c r="AC355" i="12" s="1"/>
  <c r="D353" i="12"/>
  <c r="AA353" i="12" s="1"/>
  <c r="J352" i="12"/>
  <c r="AG352" i="12" s="1"/>
  <c r="C351" i="12"/>
  <c r="Z351" i="12" s="1"/>
  <c r="H350" i="12"/>
  <c r="AE350" i="12" s="1"/>
  <c r="G348" i="12"/>
  <c r="AD348" i="12" s="1"/>
  <c r="F346" i="12"/>
  <c r="AC346" i="12" s="1"/>
  <c r="D344" i="12"/>
  <c r="AA344" i="12" s="1"/>
  <c r="J343" i="12"/>
  <c r="AG343" i="12" s="1"/>
  <c r="C342" i="12"/>
  <c r="Z342" i="12" s="1"/>
  <c r="H341" i="12"/>
  <c r="AE341" i="12" s="1"/>
  <c r="J339" i="12"/>
  <c r="AG339" i="12" s="1"/>
  <c r="F338" i="12"/>
  <c r="AC338" i="12" s="1"/>
  <c r="J336" i="12"/>
  <c r="AG336" i="12" s="1"/>
  <c r="F335" i="12"/>
  <c r="AC335" i="12" s="1"/>
  <c r="J333" i="12"/>
  <c r="AG333" i="12" s="1"/>
  <c r="F332" i="12"/>
  <c r="AC332" i="12" s="1"/>
  <c r="J330" i="12"/>
  <c r="AG330" i="12" s="1"/>
  <c r="F329" i="12"/>
  <c r="AC329" i="12" s="1"/>
  <c r="J327" i="12"/>
  <c r="AG327" i="12" s="1"/>
  <c r="F326" i="12"/>
  <c r="AC326" i="12" s="1"/>
  <c r="J324" i="12"/>
  <c r="AG324" i="12" s="1"/>
  <c r="F323" i="12"/>
  <c r="AC323" i="12" s="1"/>
  <c r="J321" i="12"/>
  <c r="AG321" i="12" s="1"/>
  <c r="F320" i="12"/>
  <c r="AC320" i="12" s="1"/>
  <c r="J318" i="12"/>
  <c r="AG318" i="12" s="1"/>
  <c r="F317" i="12"/>
  <c r="AC317" i="12" s="1"/>
  <c r="J315" i="12"/>
  <c r="AG315" i="12" s="1"/>
  <c r="F314" i="12"/>
  <c r="AC314" i="12" s="1"/>
  <c r="J312" i="12"/>
  <c r="AG312" i="12" s="1"/>
  <c r="F311" i="12"/>
  <c r="AC311" i="12" s="1"/>
  <c r="J309" i="12"/>
  <c r="AG309" i="12" s="1"/>
  <c r="F308" i="12"/>
  <c r="AC308" i="12" s="1"/>
  <c r="J306" i="12"/>
  <c r="AG306" i="12" s="1"/>
  <c r="F305" i="12"/>
  <c r="AC305" i="12" s="1"/>
  <c r="J303" i="12"/>
  <c r="AG303" i="12" s="1"/>
  <c r="F302" i="12"/>
  <c r="AC302" i="12" s="1"/>
  <c r="J300" i="12"/>
  <c r="AG300" i="12" s="1"/>
  <c r="F299" i="12"/>
  <c r="AC299" i="12" s="1"/>
  <c r="J297" i="12"/>
  <c r="AG297" i="12" s="1"/>
  <c r="F296" i="12"/>
  <c r="AC296" i="12" s="1"/>
  <c r="J294" i="12"/>
  <c r="AG294" i="12" s="1"/>
  <c r="F293" i="12"/>
  <c r="AC293" i="12" s="1"/>
  <c r="J291" i="12"/>
  <c r="AG291" i="12" s="1"/>
  <c r="F290" i="12"/>
  <c r="AC290" i="12" s="1"/>
  <c r="J288" i="12"/>
  <c r="AG288" i="12" s="1"/>
  <c r="F287" i="12"/>
  <c r="AC287" i="12" s="1"/>
  <c r="J285" i="12"/>
  <c r="AG285" i="12" s="1"/>
  <c r="F284" i="12"/>
  <c r="AC284" i="12" s="1"/>
  <c r="J282" i="12"/>
  <c r="AG282" i="12" s="1"/>
  <c r="F281" i="12"/>
  <c r="AC281" i="12" s="1"/>
  <c r="J279" i="12"/>
  <c r="AG279" i="12" s="1"/>
  <c r="F278" i="12"/>
  <c r="AC278" i="12" s="1"/>
  <c r="D373" i="12"/>
  <c r="AA373" i="12" s="1"/>
  <c r="J372" i="12"/>
  <c r="AG372" i="12" s="1"/>
  <c r="C371" i="12"/>
  <c r="Z371" i="12" s="1"/>
  <c r="I370" i="12"/>
  <c r="AF370" i="12" s="1"/>
  <c r="G368" i="12"/>
  <c r="AD368" i="12" s="1"/>
  <c r="F366" i="12"/>
  <c r="AC366" i="12" s="1"/>
  <c r="D364" i="12"/>
  <c r="AA364" i="12" s="1"/>
  <c r="J363" i="12"/>
  <c r="AG363" i="12" s="1"/>
  <c r="C362" i="12"/>
  <c r="Z362" i="12" s="1"/>
  <c r="I361" i="12"/>
  <c r="AF361" i="12" s="1"/>
  <c r="G359" i="12"/>
  <c r="AD359" i="12" s="1"/>
  <c r="F357" i="12"/>
  <c r="AC357" i="12" s="1"/>
  <c r="D355" i="12"/>
  <c r="AA355" i="12" s="1"/>
  <c r="J354" i="12"/>
  <c r="AG354" i="12" s="1"/>
  <c r="C353" i="12"/>
  <c r="Z353" i="12" s="1"/>
  <c r="I352" i="12"/>
  <c r="AF352" i="12" s="1"/>
  <c r="G350" i="12"/>
  <c r="AD350" i="12" s="1"/>
  <c r="F348" i="12"/>
  <c r="AC348" i="12" s="1"/>
  <c r="D346" i="12"/>
  <c r="AA346" i="12" s="1"/>
  <c r="J345" i="12"/>
  <c r="AG345" i="12" s="1"/>
  <c r="C344" i="12"/>
  <c r="Z344" i="12" s="1"/>
  <c r="I343" i="12"/>
  <c r="AF343" i="12" s="1"/>
  <c r="G341" i="12"/>
  <c r="AD341" i="12" s="1"/>
  <c r="I339" i="12"/>
  <c r="AF339" i="12" s="1"/>
  <c r="E338" i="12"/>
  <c r="AB338" i="12" s="1"/>
  <c r="I336" i="12"/>
  <c r="AF336" i="12" s="1"/>
  <c r="E335" i="12"/>
  <c r="AB335" i="12" s="1"/>
  <c r="I333" i="12"/>
  <c r="AF333" i="12" s="1"/>
  <c r="E332" i="12"/>
  <c r="AB332" i="12" s="1"/>
  <c r="I330" i="12"/>
  <c r="AF330" i="12" s="1"/>
  <c r="E329" i="12"/>
  <c r="AB329" i="12" s="1"/>
  <c r="I327" i="12"/>
  <c r="AF327" i="12" s="1"/>
  <c r="E326" i="12"/>
  <c r="AB326" i="12" s="1"/>
  <c r="I324" i="12"/>
  <c r="AF324" i="12" s="1"/>
  <c r="E323" i="12"/>
  <c r="AB323" i="12" s="1"/>
  <c r="I321" i="12"/>
  <c r="AF321" i="12" s="1"/>
  <c r="E320" i="12"/>
  <c r="AB320" i="12" s="1"/>
  <c r="I318" i="12"/>
  <c r="AF318" i="12" s="1"/>
  <c r="E317" i="12"/>
  <c r="AB317" i="12" s="1"/>
  <c r="I315" i="12"/>
  <c r="AF315" i="12" s="1"/>
  <c r="E314" i="12"/>
  <c r="AB314" i="12" s="1"/>
  <c r="I312" i="12"/>
  <c r="AF312" i="12" s="1"/>
  <c r="E311" i="12"/>
  <c r="AB311" i="12" s="1"/>
  <c r="I309" i="12"/>
  <c r="AF309" i="12" s="1"/>
  <c r="E308" i="12"/>
  <c r="AB308" i="12" s="1"/>
  <c r="I306" i="12"/>
  <c r="AF306" i="12" s="1"/>
  <c r="E305" i="12"/>
  <c r="AB305" i="12" s="1"/>
  <c r="I303" i="12"/>
  <c r="AF303" i="12" s="1"/>
  <c r="E302" i="12"/>
  <c r="AB302" i="12" s="1"/>
  <c r="I300" i="12"/>
  <c r="AF300" i="12" s="1"/>
  <c r="E299" i="12"/>
  <c r="AB299" i="12" s="1"/>
  <c r="I297" i="12"/>
  <c r="AF297" i="12" s="1"/>
  <c r="E296" i="12"/>
  <c r="AB296" i="12" s="1"/>
  <c r="I294" i="12"/>
  <c r="AF294" i="12" s="1"/>
  <c r="E293" i="12"/>
  <c r="AB293" i="12" s="1"/>
  <c r="I291" i="12"/>
  <c r="AF291" i="12" s="1"/>
  <c r="E290" i="12"/>
  <c r="AB290" i="12" s="1"/>
  <c r="I288" i="12"/>
  <c r="AF288" i="12" s="1"/>
  <c r="E287" i="12"/>
  <c r="AB287" i="12" s="1"/>
  <c r="I285" i="12"/>
  <c r="AF285" i="12" s="1"/>
  <c r="E284" i="12"/>
  <c r="AB284" i="12" s="1"/>
  <c r="I282" i="12"/>
  <c r="AF282" i="12" s="1"/>
  <c r="E281" i="12"/>
  <c r="AB281" i="12" s="1"/>
  <c r="I279" i="12"/>
  <c r="AF279" i="12" s="1"/>
  <c r="E278" i="12"/>
  <c r="AB278" i="12" s="1"/>
  <c r="I276" i="12"/>
  <c r="AF276" i="12" s="1"/>
  <c r="E275" i="12"/>
  <c r="AB275" i="12" s="1"/>
  <c r="I273" i="12"/>
  <c r="AF273" i="12" s="1"/>
  <c r="E272" i="12"/>
  <c r="AB272" i="12" s="1"/>
  <c r="I270" i="12"/>
  <c r="AF270" i="12" s="1"/>
  <c r="E269" i="12"/>
  <c r="AB269" i="12" s="1"/>
  <c r="I267" i="12"/>
  <c r="AF267" i="12" s="1"/>
  <c r="E266" i="12"/>
  <c r="AB266" i="12" s="1"/>
  <c r="I264" i="12"/>
  <c r="AF264" i="12" s="1"/>
  <c r="E263" i="12"/>
  <c r="AB263" i="12" s="1"/>
  <c r="I261" i="12"/>
  <c r="AF261" i="12" s="1"/>
  <c r="E260" i="12"/>
  <c r="AB260" i="12" s="1"/>
  <c r="I258" i="12"/>
  <c r="AF258" i="12" s="1"/>
  <c r="E257" i="12"/>
  <c r="AB257" i="12" s="1"/>
  <c r="I255" i="12"/>
  <c r="AF255" i="12" s="1"/>
  <c r="E254" i="12"/>
  <c r="AB254" i="12" s="1"/>
  <c r="I252" i="12"/>
  <c r="AF252" i="12" s="1"/>
  <c r="E251" i="12"/>
  <c r="AB251" i="12" s="1"/>
  <c r="I249" i="12"/>
  <c r="AF249" i="12" s="1"/>
  <c r="E248" i="12"/>
  <c r="AB248" i="12" s="1"/>
  <c r="I246" i="12"/>
  <c r="C373" i="12"/>
  <c r="Z373" i="12" s="1"/>
  <c r="I372" i="12"/>
  <c r="AF372" i="12" s="1"/>
  <c r="H370" i="12"/>
  <c r="AE370" i="12" s="1"/>
  <c r="F368" i="12"/>
  <c r="AC368" i="12" s="1"/>
  <c r="E366" i="12"/>
  <c r="AB366" i="12" s="1"/>
  <c r="C364" i="12"/>
  <c r="Z364" i="12" s="1"/>
  <c r="I363" i="12"/>
  <c r="AF363" i="12" s="1"/>
  <c r="H361" i="12"/>
  <c r="AE361" i="12" s="1"/>
  <c r="F359" i="12"/>
  <c r="AC359" i="12" s="1"/>
  <c r="E357" i="12"/>
  <c r="AB357" i="12" s="1"/>
  <c r="C355" i="12"/>
  <c r="Z355" i="12" s="1"/>
  <c r="I354" i="12"/>
  <c r="AF354" i="12" s="1"/>
  <c r="H352" i="12"/>
  <c r="AE352" i="12" s="1"/>
  <c r="F350" i="12"/>
  <c r="AC350" i="12" s="1"/>
  <c r="E348" i="12"/>
  <c r="AB348" i="12" s="1"/>
  <c r="C346" i="12"/>
  <c r="Z346" i="12" s="1"/>
  <c r="I345" i="12"/>
  <c r="AF345" i="12" s="1"/>
  <c r="H343" i="12"/>
  <c r="AE343" i="12" s="1"/>
  <c r="F341" i="12"/>
  <c r="AC341" i="12" s="1"/>
  <c r="H339" i="12"/>
  <c r="AE339" i="12" s="1"/>
  <c r="D338" i="12"/>
  <c r="AA338" i="12" s="1"/>
  <c r="H336" i="12"/>
  <c r="AE336" i="12" s="1"/>
  <c r="D335" i="12"/>
  <c r="AA335" i="12" s="1"/>
  <c r="H333" i="12"/>
  <c r="AE333" i="12" s="1"/>
  <c r="D332" i="12"/>
  <c r="AA332" i="12" s="1"/>
  <c r="H330" i="12"/>
  <c r="AE330" i="12" s="1"/>
  <c r="D329" i="12"/>
  <c r="AA329" i="12" s="1"/>
  <c r="H327" i="12"/>
  <c r="AE327" i="12" s="1"/>
  <c r="D326" i="12"/>
  <c r="AA326" i="12" s="1"/>
  <c r="H324" i="12"/>
  <c r="AE324" i="12" s="1"/>
  <c r="D323" i="12"/>
  <c r="AA323" i="12" s="1"/>
  <c r="H321" i="12"/>
  <c r="AE321" i="12" s="1"/>
  <c r="D320" i="12"/>
  <c r="AA320" i="12" s="1"/>
  <c r="H318" i="12"/>
  <c r="AE318" i="12" s="1"/>
  <c r="D317" i="12"/>
  <c r="AA317" i="12" s="1"/>
  <c r="H315" i="12"/>
  <c r="AE315" i="12" s="1"/>
  <c r="D314" i="12"/>
  <c r="AA314" i="12" s="1"/>
  <c r="H312" i="12"/>
  <c r="AE312" i="12" s="1"/>
  <c r="D311" i="12"/>
  <c r="AA311" i="12" s="1"/>
  <c r="H309" i="12"/>
  <c r="AE309" i="12" s="1"/>
  <c r="D308" i="12"/>
  <c r="AA308" i="12" s="1"/>
  <c r="H306" i="12"/>
  <c r="AE306" i="12" s="1"/>
  <c r="D305" i="12"/>
  <c r="AA305" i="12" s="1"/>
  <c r="H303" i="12"/>
  <c r="AE303" i="12" s="1"/>
  <c r="D302" i="12"/>
  <c r="AA302" i="12" s="1"/>
  <c r="H300" i="12"/>
  <c r="AE300" i="12" s="1"/>
  <c r="D299" i="12"/>
  <c r="AA299" i="12" s="1"/>
  <c r="H297" i="12"/>
  <c r="AE297" i="12" s="1"/>
  <c r="D296" i="12"/>
  <c r="AA296" i="12" s="1"/>
  <c r="H294" i="12"/>
  <c r="AE294" i="12" s="1"/>
  <c r="D293" i="12"/>
  <c r="AA293" i="12" s="1"/>
  <c r="H291" i="12"/>
  <c r="AE291" i="12" s="1"/>
  <c r="D290" i="12"/>
  <c r="AA290" i="12" s="1"/>
  <c r="H288" i="12"/>
  <c r="AE288" i="12" s="1"/>
  <c r="D287" i="12"/>
  <c r="AA287" i="12" s="1"/>
  <c r="F372" i="12"/>
  <c r="AC372" i="12" s="1"/>
  <c r="D370" i="12"/>
  <c r="AA370" i="12" s="1"/>
  <c r="J369" i="12"/>
  <c r="AG369" i="12" s="1"/>
  <c r="C368" i="12"/>
  <c r="Z368" i="12" s="1"/>
  <c r="I367" i="12"/>
  <c r="AF367" i="12" s="1"/>
  <c r="G365" i="12"/>
  <c r="AD365" i="12" s="1"/>
  <c r="F363" i="12"/>
  <c r="AC363" i="12" s="1"/>
  <c r="D361" i="12"/>
  <c r="AA361" i="12" s="1"/>
  <c r="J360" i="12"/>
  <c r="AG360" i="12" s="1"/>
  <c r="C359" i="12"/>
  <c r="Z359" i="12" s="1"/>
  <c r="I358" i="12"/>
  <c r="AF358" i="12" s="1"/>
  <c r="G356" i="12"/>
  <c r="AD356" i="12" s="1"/>
  <c r="F354" i="12"/>
  <c r="AC354" i="12" s="1"/>
  <c r="D352" i="12"/>
  <c r="AA352" i="12" s="1"/>
  <c r="J351" i="12"/>
  <c r="AG351" i="12" s="1"/>
  <c r="C350" i="12"/>
  <c r="Z350" i="12" s="1"/>
  <c r="I349" i="12"/>
  <c r="AF349" i="12" s="1"/>
  <c r="G347" i="12"/>
  <c r="AD347" i="12" s="1"/>
  <c r="F345" i="12"/>
  <c r="AC345" i="12" s="1"/>
  <c r="D343" i="12"/>
  <c r="AA343" i="12" s="1"/>
  <c r="J342" i="12"/>
  <c r="AG342" i="12" s="1"/>
  <c r="C341" i="12"/>
  <c r="Z341" i="12" s="1"/>
  <c r="I340" i="12"/>
  <c r="AF340" i="12" s="1"/>
  <c r="E339" i="12"/>
  <c r="AB339" i="12" s="1"/>
  <c r="I337" i="12"/>
  <c r="AF337" i="12" s="1"/>
  <c r="E336" i="12"/>
  <c r="AB336" i="12" s="1"/>
  <c r="I334" i="12"/>
  <c r="AF334" i="12" s="1"/>
  <c r="E333" i="12"/>
  <c r="AB333" i="12" s="1"/>
  <c r="I331" i="12"/>
  <c r="AF331" i="12" s="1"/>
  <c r="E330" i="12"/>
  <c r="AB330" i="12" s="1"/>
  <c r="I328" i="12"/>
  <c r="AF328" i="12" s="1"/>
  <c r="E327" i="12"/>
  <c r="AB327" i="12" s="1"/>
  <c r="I325" i="12"/>
  <c r="AF325" i="12" s="1"/>
  <c r="E324" i="12"/>
  <c r="AB324" i="12" s="1"/>
  <c r="I322" i="12"/>
  <c r="AF322" i="12" s="1"/>
  <c r="E321" i="12"/>
  <c r="AB321" i="12" s="1"/>
  <c r="I319" i="12"/>
  <c r="AF319" i="12" s="1"/>
  <c r="E318" i="12"/>
  <c r="AB318" i="12" s="1"/>
  <c r="I316" i="12"/>
  <c r="AF316" i="12" s="1"/>
  <c r="E315" i="12"/>
  <c r="AB315" i="12" s="1"/>
  <c r="I313" i="12"/>
  <c r="AF313" i="12" s="1"/>
  <c r="E312" i="12"/>
  <c r="AB312" i="12" s="1"/>
  <c r="I310" i="12"/>
  <c r="AF310" i="12" s="1"/>
  <c r="E309" i="12"/>
  <c r="AB309" i="12" s="1"/>
  <c r="I307" i="12"/>
  <c r="AF307" i="12" s="1"/>
  <c r="E306" i="12"/>
  <c r="AB306" i="12" s="1"/>
  <c r="I304" i="12"/>
  <c r="AF304" i="12" s="1"/>
  <c r="E303" i="12"/>
  <c r="AB303" i="12" s="1"/>
  <c r="I301" i="12"/>
  <c r="AF301" i="12" s="1"/>
  <c r="E300" i="12"/>
  <c r="AB300" i="12" s="1"/>
  <c r="I298" i="12"/>
  <c r="AF298" i="12" s="1"/>
  <c r="E297" i="12"/>
  <c r="AB297" i="12" s="1"/>
  <c r="I295" i="12"/>
  <c r="AF295" i="12" s="1"/>
  <c r="E294" i="12"/>
  <c r="AB294" i="12" s="1"/>
  <c r="I292" i="12"/>
  <c r="AF292" i="12" s="1"/>
  <c r="E291" i="12"/>
  <c r="AB291" i="12" s="1"/>
  <c r="I289" i="12"/>
  <c r="AF289" i="12" s="1"/>
  <c r="E288" i="12"/>
  <c r="AB288" i="12" s="1"/>
  <c r="I286" i="12"/>
  <c r="AF286" i="12" s="1"/>
  <c r="E285" i="12"/>
  <c r="AB285" i="12" s="1"/>
  <c r="I283" i="12"/>
  <c r="AF283" i="12" s="1"/>
  <c r="E282" i="12"/>
  <c r="AB282" i="12" s="1"/>
  <c r="I280" i="12"/>
  <c r="AF280" i="12" s="1"/>
  <c r="E279" i="12"/>
  <c r="AB279" i="12" s="1"/>
  <c r="I277" i="12"/>
  <c r="AF277" i="12" s="1"/>
  <c r="G371" i="12"/>
  <c r="AD371" i="12" s="1"/>
  <c r="D367" i="12"/>
  <c r="AA367" i="12" s="1"/>
  <c r="J366" i="12"/>
  <c r="AG366" i="12" s="1"/>
  <c r="G362" i="12"/>
  <c r="AD362" i="12" s="1"/>
  <c r="D358" i="12"/>
  <c r="AA358" i="12" s="1"/>
  <c r="J357" i="12"/>
  <c r="AG357" i="12" s="1"/>
  <c r="G353" i="12"/>
  <c r="AD353" i="12" s="1"/>
  <c r="D349" i="12"/>
  <c r="AA349" i="12" s="1"/>
  <c r="J348" i="12"/>
  <c r="AG348" i="12" s="1"/>
  <c r="G344" i="12"/>
  <c r="AD344" i="12" s="1"/>
  <c r="E340" i="12"/>
  <c r="AB340" i="12" s="1"/>
  <c r="E337" i="12"/>
  <c r="AB337" i="12" s="1"/>
  <c r="E334" i="12"/>
  <c r="AB334" i="12" s="1"/>
  <c r="E331" i="12"/>
  <c r="AB331" i="12" s="1"/>
  <c r="E328" i="12"/>
  <c r="AB328" i="12" s="1"/>
  <c r="E325" i="12"/>
  <c r="AB325" i="12" s="1"/>
  <c r="E322" i="12"/>
  <c r="AB322" i="12" s="1"/>
  <c r="E319" i="12"/>
  <c r="AB319" i="12" s="1"/>
  <c r="E316" i="12"/>
  <c r="AB316" i="12" s="1"/>
  <c r="E313" i="12"/>
  <c r="AB313" i="12" s="1"/>
  <c r="E310" i="12"/>
  <c r="AB310" i="12" s="1"/>
  <c r="E307" i="12"/>
  <c r="AB307" i="12" s="1"/>
  <c r="E304" i="12"/>
  <c r="AB304" i="12" s="1"/>
  <c r="E301" i="12"/>
  <c r="AB301" i="12" s="1"/>
  <c r="E298" i="12"/>
  <c r="AB298" i="12" s="1"/>
  <c r="E295" i="12"/>
  <c r="AB295" i="12" s="1"/>
  <c r="E292" i="12"/>
  <c r="AB292" i="12" s="1"/>
  <c r="H289" i="12"/>
  <c r="AE289" i="12" s="1"/>
  <c r="C286" i="12"/>
  <c r="Z286" i="12" s="1"/>
  <c r="G283" i="12"/>
  <c r="AD283" i="12" s="1"/>
  <c r="C282" i="12"/>
  <c r="Z282" i="12" s="1"/>
  <c r="H279" i="12"/>
  <c r="AE279" i="12" s="1"/>
  <c r="H278" i="12"/>
  <c r="AE278" i="12" s="1"/>
  <c r="J277" i="12"/>
  <c r="AG277" i="12" s="1"/>
  <c r="H275" i="12"/>
  <c r="AE275" i="12" s="1"/>
  <c r="F273" i="12"/>
  <c r="AC273" i="12" s="1"/>
  <c r="E271" i="12"/>
  <c r="AB271" i="12" s="1"/>
  <c r="C269" i="12"/>
  <c r="Z269" i="12" s="1"/>
  <c r="I268" i="12"/>
  <c r="AF268" i="12" s="1"/>
  <c r="H266" i="12"/>
  <c r="AE266" i="12" s="1"/>
  <c r="F264" i="12"/>
  <c r="AC264" i="12" s="1"/>
  <c r="E262" i="12"/>
  <c r="AB262" i="12" s="1"/>
  <c r="C260" i="12"/>
  <c r="Z260" i="12" s="1"/>
  <c r="I259" i="12"/>
  <c r="AF259" i="12" s="1"/>
  <c r="H257" i="12"/>
  <c r="AE257" i="12" s="1"/>
  <c r="F255" i="12"/>
  <c r="AC255" i="12" s="1"/>
  <c r="E253" i="12"/>
  <c r="AB253" i="12" s="1"/>
  <c r="C251" i="12"/>
  <c r="Z251" i="12" s="1"/>
  <c r="I250" i="12"/>
  <c r="AF250" i="12" s="1"/>
  <c r="H248" i="12"/>
  <c r="AE248" i="12" s="1"/>
  <c r="F246" i="12"/>
  <c r="G370" i="12"/>
  <c r="AD370" i="12" s="1"/>
  <c r="D366" i="12"/>
  <c r="AA366" i="12" s="1"/>
  <c r="J365" i="12"/>
  <c r="AG365" i="12" s="1"/>
  <c r="G361" i="12"/>
  <c r="AD361" i="12" s="1"/>
  <c r="D357" i="12"/>
  <c r="AA357" i="12" s="1"/>
  <c r="J356" i="12"/>
  <c r="AG356" i="12" s="1"/>
  <c r="G352" i="12"/>
  <c r="AD352" i="12" s="1"/>
  <c r="D348" i="12"/>
  <c r="AA348" i="12" s="1"/>
  <c r="J347" i="12"/>
  <c r="AG347" i="12" s="1"/>
  <c r="G343" i="12"/>
  <c r="AD343" i="12" s="1"/>
  <c r="G339" i="12"/>
  <c r="AD339" i="12" s="1"/>
  <c r="G336" i="12"/>
  <c r="AD336" i="12" s="1"/>
  <c r="G333" i="12"/>
  <c r="AD333" i="12" s="1"/>
  <c r="G330" i="12"/>
  <c r="AD330" i="12" s="1"/>
  <c r="G327" i="12"/>
  <c r="AD327" i="12" s="1"/>
  <c r="G324" i="12"/>
  <c r="AD324" i="12" s="1"/>
  <c r="G321" i="12"/>
  <c r="AD321" i="12" s="1"/>
  <c r="G318" i="12"/>
  <c r="AD318" i="12" s="1"/>
  <c r="G315" i="12"/>
  <c r="AD315" i="12" s="1"/>
  <c r="G312" i="12"/>
  <c r="AD312" i="12" s="1"/>
  <c r="G309" i="12"/>
  <c r="AD309" i="12" s="1"/>
  <c r="G306" i="12"/>
  <c r="AD306" i="12" s="1"/>
  <c r="G303" i="12"/>
  <c r="AD303" i="12" s="1"/>
  <c r="G300" i="12"/>
  <c r="AD300" i="12" s="1"/>
  <c r="G297" i="12"/>
  <c r="AD297" i="12" s="1"/>
  <c r="G294" i="12"/>
  <c r="AD294" i="12" s="1"/>
  <c r="G291" i="12"/>
  <c r="AD291" i="12" s="1"/>
  <c r="G289" i="12"/>
  <c r="AD289" i="12" s="1"/>
  <c r="J287" i="12"/>
  <c r="AG287" i="12" s="1"/>
  <c r="J284" i="12"/>
  <c r="AG284" i="12" s="1"/>
  <c r="F283" i="12"/>
  <c r="AC283" i="12" s="1"/>
  <c r="G279" i="12"/>
  <c r="AD279" i="12" s="1"/>
  <c r="G278" i="12"/>
  <c r="AD278" i="12" s="1"/>
  <c r="H277" i="12"/>
  <c r="AE277" i="12" s="1"/>
  <c r="G275" i="12"/>
  <c r="AD275" i="12" s="1"/>
  <c r="E273" i="12"/>
  <c r="AB273" i="12" s="1"/>
  <c r="D271" i="12"/>
  <c r="AA271" i="12" s="1"/>
  <c r="J270" i="12"/>
  <c r="AG270" i="12" s="1"/>
  <c r="H268" i="12"/>
  <c r="AE268" i="12" s="1"/>
  <c r="G266" i="12"/>
  <c r="AD266" i="12" s="1"/>
  <c r="E264" i="12"/>
  <c r="AB264" i="12" s="1"/>
  <c r="D262" i="12"/>
  <c r="AA262" i="12" s="1"/>
  <c r="J261" i="12"/>
  <c r="AG261" i="12" s="1"/>
  <c r="H259" i="12"/>
  <c r="AE259" i="12" s="1"/>
  <c r="G257" i="12"/>
  <c r="AD257" i="12" s="1"/>
  <c r="E255" i="12"/>
  <c r="AB255" i="12" s="1"/>
  <c r="D253" i="12"/>
  <c r="AA253" i="12" s="1"/>
  <c r="J252" i="12"/>
  <c r="AG252" i="12" s="1"/>
  <c r="H250" i="12"/>
  <c r="AE250" i="12" s="1"/>
  <c r="G248" i="12"/>
  <c r="AD248" i="12" s="1"/>
  <c r="E246" i="12"/>
  <c r="F370" i="12"/>
  <c r="AC370" i="12" s="1"/>
  <c r="C366" i="12"/>
  <c r="Z366" i="12" s="1"/>
  <c r="H365" i="12"/>
  <c r="AE365" i="12" s="1"/>
  <c r="F361" i="12"/>
  <c r="AC361" i="12" s="1"/>
  <c r="C357" i="12"/>
  <c r="Z357" i="12" s="1"/>
  <c r="H356" i="12"/>
  <c r="AE356" i="12" s="1"/>
  <c r="F352" i="12"/>
  <c r="AC352" i="12" s="1"/>
  <c r="C348" i="12"/>
  <c r="Z348" i="12" s="1"/>
  <c r="H347" i="12"/>
  <c r="AE347" i="12" s="1"/>
  <c r="F343" i="12"/>
  <c r="AC343" i="12" s="1"/>
  <c r="F339" i="12"/>
  <c r="AC339" i="12" s="1"/>
  <c r="F336" i="12"/>
  <c r="AC336" i="12" s="1"/>
  <c r="F333" i="12"/>
  <c r="AC333" i="12" s="1"/>
  <c r="F330" i="12"/>
  <c r="AC330" i="12" s="1"/>
  <c r="F327" i="12"/>
  <c r="AC327" i="12" s="1"/>
  <c r="F324" i="12"/>
  <c r="AC324" i="12" s="1"/>
  <c r="F321" i="12"/>
  <c r="AC321" i="12" s="1"/>
  <c r="F318" i="12"/>
  <c r="AC318" i="12" s="1"/>
  <c r="F315" i="12"/>
  <c r="AC315" i="12" s="1"/>
  <c r="F312" i="12"/>
  <c r="AC312" i="12" s="1"/>
  <c r="F309" i="12"/>
  <c r="AC309" i="12" s="1"/>
  <c r="F306" i="12"/>
  <c r="AC306" i="12" s="1"/>
  <c r="F303" i="12"/>
  <c r="AC303" i="12" s="1"/>
  <c r="F300" i="12"/>
  <c r="AC300" i="12" s="1"/>
  <c r="F297" i="12"/>
  <c r="AC297" i="12" s="1"/>
  <c r="F294" i="12"/>
  <c r="AC294" i="12" s="1"/>
  <c r="F291" i="12"/>
  <c r="AC291" i="12" s="1"/>
  <c r="F289" i="12"/>
  <c r="AC289" i="12" s="1"/>
  <c r="I287" i="12"/>
  <c r="AF287" i="12" s="1"/>
  <c r="I284" i="12"/>
  <c r="AF284" i="12" s="1"/>
  <c r="E283" i="12"/>
  <c r="AB283" i="12" s="1"/>
  <c r="J280" i="12"/>
  <c r="AG280" i="12" s="1"/>
  <c r="F279" i="12"/>
  <c r="AC279" i="12" s="1"/>
  <c r="D278" i="12"/>
  <c r="AA278" i="12" s="1"/>
  <c r="G277" i="12"/>
  <c r="AD277" i="12" s="1"/>
  <c r="F275" i="12"/>
  <c r="AC275" i="12" s="1"/>
  <c r="D273" i="12"/>
  <c r="AA273" i="12" s="1"/>
  <c r="J272" i="12"/>
  <c r="AG272" i="12" s="1"/>
  <c r="C271" i="12"/>
  <c r="Z271" i="12" s="1"/>
  <c r="H270" i="12"/>
  <c r="AE270" i="12" s="1"/>
  <c r="G268" i="12"/>
  <c r="AD268" i="12" s="1"/>
  <c r="F266" i="12"/>
  <c r="AC266" i="12" s="1"/>
  <c r="D264" i="12"/>
  <c r="AA264" i="12" s="1"/>
  <c r="J263" i="12"/>
  <c r="AG263" i="12" s="1"/>
  <c r="C262" i="12"/>
  <c r="Z262" i="12" s="1"/>
  <c r="H261" i="12"/>
  <c r="AE261" i="12" s="1"/>
  <c r="G259" i="12"/>
  <c r="AD259" i="12" s="1"/>
  <c r="F257" i="12"/>
  <c r="AC257" i="12" s="1"/>
  <c r="D255" i="12"/>
  <c r="AA255" i="12" s="1"/>
  <c r="J254" i="12"/>
  <c r="AG254" i="12" s="1"/>
  <c r="C253" i="12"/>
  <c r="Z253" i="12" s="1"/>
  <c r="H252" i="12"/>
  <c r="AE252" i="12" s="1"/>
  <c r="G250" i="12"/>
  <c r="AD250" i="12" s="1"/>
  <c r="F248" i="12"/>
  <c r="AC248" i="12" s="1"/>
  <c r="D246" i="12"/>
  <c r="C370" i="12"/>
  <c r="Z370" i="12" s="1"/>
  <c r="I369" i="12"/>
  <c r="AF369" i="12" s="1"/>
  <c r="F365" i="12"/>
  <c r="AC365" i="12" s="1"/>
  <c r="C361" i="12"/>
  <c r="Z361" i="12" s="1"/>
  <c r="I360" i="12"/>
  <c r="AF360" i="12" s="1"/>
  <c r="F356" i="12"/>
  <c r="AC356" i="12" s="1"/>
  <c r="C352" i="12"/>
  <c r="Z352" i="12" s="1"/>
  <c r="I351" i="12"/>
  <c r="AF351" i="12" s="1"/>
  <c r="F347" i="12"/>
  <c r="AC347" i="12" s="1"/>
  <c r="C343" i="12"/>
  <c r="Z343" i="12" s="1"/>
  <c r="I342" i="12"/>
  <c r="AF342" i="12" s="1"/>
  <c r="D339" i="12"/>
  <c r="AA339" i="12" s="1"/>
  <c r="D336" i="12"/>
  <c r="AA336" i="12" s="1"/>
  <c r="D333" i="12"/>
  <c r="AA333" i="12" s="1"/>
  <c r="D330" i="12"/>
  <c r="AA330" i="12" s="1"/>
  <c r="D327" i="12"/>
  <c r="AA327" i="12" s="1"/>
  <c r="D324" i="12"/>
  <c r="AA324" i="12" s="1"/>
  <c r="D321" i="12"/>
  <c r="AA321" i="12" s="1"/>
  <c r="D318" i="12"/>
  <c r="AA318" i="12" s="1"/>
  <c r="D315" i="12"/>
  <c r="AA315" i="12" s="1"/>
  <c r="D312" i="12"/>
  <c r="AA312" i="12" s="1"/>
  <c r="D309" i="12"/>
  <c r="AA309" i="12" s="1"/>
  <c r="D306" i="12"/>
  <c r="AA306" i="12" s="1"/>
  <c r="D303" i="12"/>
  <c r="AA303" i="12" s="1"/>
  <c r="D300" i="12"/>
  <c r="AA300" i="12" s="1"/>
  <c r="D297" i="12"/>
  <c r="AA297" i="12" s="1"/>
  <c r="D294" i="12"/>
  <c r="AA294" i="12" s="1"/>
  <c r="D291" i="12"/>
  <c r="AA291" i="12" s="1"/>
  <c r="E289" i="12"/>
  <c r="AB289" i="12" s="1"/>
  <c r="G287" i="12"/>
  <c r="AD287" i="12" s="1"/>
  <c r="G284" i="12"/>
  <c r="AD284" i="12" s="1"/>
  <c r="C283" i="12"/>
  <c r="Z283" i="12" s="1"/>
  <c r="H280" i="12"/>
  <c r="AE280" i="12" s="1"/>
  <c r="D279" i="12"/>
  <c r="AA279" i="12" s="1"/>
  <c r="C278" i="12"/>
  <c r="Z278" i="12" s="1"/>
  <c r="F277" i="12"/>
  <c r="AC277" i="12" s="1"/>
  <c r="D275" i="12"/>
  <c r="AA275" i="12" s="1"/>
  <c r="J274" i="12"/>
  <c r="AG274" i="12" s="1"/>
  <c r="C273" i="12"/>
  <c r="Z273" i="12" s="1"/>
  <c r="I272" i="12"/>
  <c r="AF272" i="12" s="1"/>
  <c r="G270" i="12"/>
  <c r="AD270" i="12" s="1"/>
  <c r="F268" i="12"/>
  <c r="AC268" i="12" s="1"/>
  <c r="D266" i="12"/>
  <c r="AA266" i="12" s="1"/>
  <c r="J265" i="12"/>
  <c r="AG265" i="12" s="1"/>
  <c r="C264" i="12"/>
  <c r="Z264" i="12" s="1"/>
  <c r="I263" i="12"/>
  <c r="AF263" i="12" s="1"/>
  <c r="G261" i="12"/>
  <c r="AD261" i="12" s="1"/>
  <c r="F259" i="12"/>
  <c r="AC259" i="12" s="1"/>
  <c r="D257" i="12"/>
  <c r="AA257" i="12" s="1"/>
  <c r="J256" i="12"/>
  <c r="AG256" i="12" s="1"/>
  <c r="C255" i="12"/>
  <c r="Z255" i="12" s="1"/>
  <c r="I254" i="12"/>
  <c r="AF254" i="12" s="1"/>
  <c r="G252" i="12"/>
  <c r="AD252" i="12" s="1"/>
  <c r="F250" i="12"/>
  <c r="AC250" i="12" s="1"/>
  <c r="D248" i="12"/>
  <c r="AA248" i="12" s="1"/>
  <c r="J247" i="12"/>
  <c r="AG247" i="12" s="1"/>
  <c r="C246" i="12"/>
  <c r="H369" i="12"/>
  <c r="AE369" i="12" s="1"/>
  <c r="E365" i="12"/>
  <c r="AB365" i="12" s="1"/>
  <c r="H360" i="12"/>
  <c r="AE360" i="12" s="1"/>
  <c r="E356" i="12"/>
  <c r="AB356" i="12" s="1"/>
  <c r="H351" i="12"/>
  <c r="AE351" i="12" s="1"/>
  <c r="E347" i="12"/>
  <c r="AB347" i="12" s="1"/>
  <c r="H342" i="12"/>
  <c r="AE342" i="12" s="1"/>
  <c r="C339" i="12"/>
  <c r="Z339" i="12" s="1"/>
  <c r="C336" i="12"/>
  <c r="Z336" i="12" s="1"/>
  <c r="C333" i="12"/>
  <c r="Z333" i="12" s="1"/>
  <c r="C330" i="12"/>
  <c r="Z330" i="12" s="1"/>
  <c r="C327" i="12"/>
  <c r="Z327" i="12" s="1"/>
  <c r="C324" i="12"/>
  <c r="Z324" i="12" s="1"/>
  <c r="C321" i="12"/>
  <c r="Z321" i="12" s="1"/>
  <c r="C318" i="12"/>
  <c r="Z318" i="12" s="1"/>
  <c r="C315" i="12"/>
  <c r="Z315" i="12" s="1"/>
  <c r="C312" i="12"/>
  <c r="Z312" i="12" s="1"/>
  <c r="C309" i="12"/>
  <c r="Z309" i="12" s="1"/>
  <c r="C306" i="12"/>
  <c r="Z306" i="12" s="1"/>
  <c r="C303" i="12"/>
  <c r="Z303" i="12" s="1"/>
  <c r="C300" i="12"/>
  <c r="Z300" i="12" s="1"/>
  <c r="C297" i="12"/>
  <c r="Z297" i="12" s="1"/>
  <c r="C294" i="12"/>
  <c r="Z294" i="12" s="1"/>
  <c r="C291" i="12"/>
  <c r="Z291" i="12" s="1"/>
  <c r="C289" i="12"/>
  <c r="Z289" i="12" s="1"/>
  <c r="C287" i="12"/>
  <c r="Z287" i="12" s="1"/>
  <c r="H285" i="12"/>
  <c r="AE285" i="12" s="1"/>
  <c r="D284" i="12"/>
  <c r="AA284" i="12" s="1"/>
  <c r="G280" i="12"/>
  <c r="AD280" i="12" s="1"/>
  <c r="C279" i="12"/>
  <c r="Z279" i="12" s="1"/>
  <c r="E277" i="12"/>
  <c r="AB277" i="12" s="1"/>
  <c r="C275" i="12"/>
  <c r="Z275" i="12" s="1"/>
  <c r="I274" i="12"/>
  <c r="AF274" i="12" s="1"/>
  <c r="H272" i="12"/>
  <c r="AE272" i="12" s="1"/>
  <c r="F270" i="12"/>
  <c r="AC270" i="12" s="1"/>
  <c r="E268" i="12"/>
  <c r="AB268" i="12" s="1"/>
  <c r="C266" i="12"/>
  <c r="Z266" i="12" s="1"/>
  <c r="I265" i="12"/>
  <c r="AF265" i="12" s="1"/>
  <c r="H263" i="12"/>
  <c r="AE263" i="12" s="1"/>
  <c r="F261" i="12"/>
  <c r="AC261" i="12" s="1"/>
  <c r="E259" i="12"/>
  <c r="AB259" i="12" s="1"/>
  <c r="C257" i="12"/>
  <c r="Z257" i="12" s="1"/>
  <c r="I256" i="12"/>
  <c r="AF256" i="12" s="1"/>
  <c r="H254" i="12"/>
  <c r="AE254" i="12" s="1"/>
  <c r="F252" i="12"/>
  <c r="AC252" i="12" s="1"/>
  <c r="E250" i="12"/>
  <c r="AB250" i="12" s="1"/>
  <c r="C248" i="12"/>
  <c r="Z248" i="12" s="1"/>
  <c r="I247" i="12"/>
  <c r="AF247" i="12" s="1"/>
  <c r="H372" i="12"/>
  <c r="AE372" i="12" s="1"/>
  <c r="E368" i="12"/>
  <c r="AB368" i="12" s="1"/>
  <c r="H363" i="12"/>
  <c r="AE363" i="12" s="1"/>
  <c r="E359" i="12"/>
  <c r="AB359" i="12" s="1"/>
  <c r="H354" i="12"/>
  <c r="AE354" i="12" s="1"/>
  <c r="E350" i="12"/>
  <c r="AB350" i="12" s="1"/>
  <c r="H345" i="12"/>
  <c r="AE345" i="12" s="1"/>
  <c r="E341" i="12"/>
  <c r="AB341" i="12" s="1"/>
  <c r="C338" i="12"/>
  <c r="Z338" i="12" s="1"/>
  <c r="C335" i="12"/>
  <c r="Z335" i="12" s="1"/>
  <c r="C332" i="12"/>
  <c r="Z332" i="12" s="1"/>
  <c r="C329" i="12"/>
  <c r="Z329" i="12" s="1"/>
  <c r="C326" i="12"/>
  <c r="Z326" i="12" s="1"/>
  <c r="C323" i="12"/>
  <c r="Z323" i="12" s="1"/>
  <c r="C320" i="12"/>
  <c r="Z320" i="12" s="1"/>
  <c r="C317" i="12"/>
  <c r="Z317" i="12" s="1"/>
  <c r="C314" i="12"/>
  <c r="Z314" i="12" s="1"/>
  <c r="C311" i="12"/>
  <c r="Z311" i="12" s="1"/>
  <c r="C308" i="12"/>
  <c r="Z308" i="12" s="1"/>
  <c r="C305" i="12"/>
  <c r="Z305" i="12" s="1"/>
  <c r="C302" i="12"/>
  <c r="Z302" i="12" s="1"/>
  <c r="C299" i="12"/>
  <c r="Z299" i="12" s="1"/>
  <c r="C296" i="12"/>
  <c r="Z296" i="12" s="1"/>
  <c r="C293" i="12"/>
  <c r="Z293" i="12" s="1"/>
  <c r="G290" i="12"/>
  <c r="AD290" i="12" s="1"/>
  <c r="G288" i="12"/>
  <c r="AD288" i="12" s="1"/>
  <c r="J286" i="12"/>
  <c r="AG286" i="12" s="1"/>
  <c r="D285" i="12"/>
  <c r="AA285" i="12" s="1"/>
  <c r="G281" i="12"/>
  <c r="AD281" i="12" s="1"/>
  <c r="C280" i="12"/>
  <c r="Z280" i="12" s="1"/>
  <c r="G276" i="12"/>
  <c r="AD276" i="12" s="1"/>
  <c r="F274" i="12"/>
  <c r="AC274" i="12" s="1"/>
  <c r="D272" i="12"/>
  <c r="AA272" i="12" s="1"/>
  <c r="J271" i="12"/>
  <c r="AG271" i="12" s="1"/>
  <c r="C270" i="12"/>
  <c r="Z270" i="12" s="1"/>
  <c r="I269" i="12"/>
  <c r="AF269" i="12" s="1"/>
  <c r="G267" i="12"/>
  <c r="AD267" i="12" s="1"/>
  <c r="F265" i="12"/>
  <c r="AC265" i="12" s="1"/>
  <c r="D263" i="12"/>
  <c r="AA263" i="12" s="1"/>
  <c r="J262" i="12"/>
  <c r="AG262" i="12" s="1"/>
  <c r="C261" i="12"/>
  <c r="Z261" i="12" s="1"/>
  <c r="I260" i="12"/>
  <c r="AF260" i="12" s="1"/>
  <c r="G258" i="12"/>
  <c r="AD258" i="12" s="1"/>
  <c r="F256" i="12"/>
  <c r="AC256" i="12" s="1"/>
  <c r="D254" i="12"/>
  <c r="AA254" i="12" s="1"/>
  <c r="J253" i="12"/>
  <c r="AG253" i="12" s="1"/>
  <c r="C252" i="12"/>
  <c r="Z252" i="12" s="1"/>
  <c r="I251" i="12"/>
  <c r="AF251" i="12" s="1"/>
  <c r="G249" i="12"/>
  <c r="AD249" i="12" s="1"/>
  <c r="F247" i="12"/>
  <c r="AC247" i="12" s="1"/>
  <c r="G372" i="12"/>
  <c r="AD372" i="12" s="1"/>
  <c r="D368" i="12"/>
  <c r="AA368" i="12" s="1"/>
  <c r="J367" i="12"/>
  <c r="AG367" i="12" s="1"/>
  <c r="G363" i="12"/>
  <c r="AD363" i="12" s="1"/>
  <c r="D359" i="12"/>
  <c r="AA359" i="12" s="1"/>
  <c r="J358" i="12"/>
  <c r="AG358" i="12" s="1"/>
  <c r="G354" i="12"/>
  <c r="AD354" i="12" s="1"/>
  <c r="D350" i="12"/>
  <c r="AA350" i="12" s="1"/>
  <c r="J349" i="12"/>
  <c r="AG349" i="12" s="1"/>
  <c r="G345" i="12"/>
  <c r="AD345" i="12" s="1"/>
  <c r="D341" i="12"/>
  <c r="AA341" i="12" s="1"/>
  <c r="J340" i="12"/>
  <c r="AG340" i="12" s="1"/>
  <c r="J337" i="12"/>
  <c r="AG337" i="12" s="1"/>
  <c r="J334" i="12"/>
  <c r="AG334" i="12" s="1"/>
  <c r="J331" i="12"/>
  <c r="AG331" i="12" s="1"/>
  <c r="J328" i="12"/>
  <c r="AG328" i="12" s="1"/>
  <c r="J325" i="12"/>
  <c r="AG325" i="12" s="1"/>
  <c r="J322" i="12"/>
  <c r="AG322" i="12" s="1"/>
  <c r="J319" i="12"/>
  <c r="AG319" i="12" s="1"/>
  <c r="J316" i="12"/>
  <c r="AG316" i="12" s="1"/>
  <c r="J313" i="12"/>
  <c r="AG313" i="12" s="1"/>
  <c r="J310" i="12"/>
  <c r="AG310" i="12" s="1"/>
  <c r="J307" i="12"/>
  <c r="AG307" i="12" s="1"/>
  <c r="J304" i="12"/>
  <c r="AG304" i="12" s="1"/>
  <c r="J301" i="12"/>
  <c r="AG301" i="12" s="1"/>
  <c r="J298" i="12"/>
  <c r="AG298" i="12" s="1"/>
  <c r="J295" i="12"/>
  <c r="AG295" i="12" s="1"/>
  <c r="J292" i="12"/>
  <c r="AG292" i="12" s="1"/>
  <c r="C290" i="12"/>
  <c r="Z290" i="12" s="1"/>
  <c r="F288" i="12"/>
  <c r="AC288" i="12" s="1"/>
  <c r="H286" i="12"/>
  <c r="AE286" i="12" s="1"/>
  <c r="C285" i="12"/>
  <c r="Z285" i="12" s="1"/>
  <c r="H282" i="12"/>
  <c r="AE282" i="12" s="1"/>
  <c r="D281" i="12"/>
  <c r="AA281" i="12" s="1"/>
  <c r="F276" i="12"/>
  <c r="AC276" i="12" s="1"/>
  <c r="E274" i="12"/>
  <c r="AB274" i="12" s="1"/>
  <c r="C272" i="12"/>
  <c r="Z272" i="12" s="1"/>
  <c r="I271" i="12"/>
  <c r="AF271" i="12" s="1"/>
  <c r="H269" i="12"/>
  <c r="AE269" i="12" s="1"/>
  <c r="F267" i="12"/>
  <c r="AC267" i="12" s="1"/>
  <c r="E265" i="12"/>
  <c r="AB265" i="12" s="1"/>
  <c r="C263" i="12"/>
  <c r="Z263" i="12" s="1"/>
  <c r="I262" i="12"/>
  <c r="AF262" i="12" s="1"/>
  <c r="H260" i="12"/>
  <c r="AE260" i="12" s="1"/>
  <c r="F258" i="12"/>
  <c r="AC258" i="12" s="1"/>
  <c r="E256" i="12"/>
  <c r="AB256" i="12" s="1"/>
  <c r="C254" i="12"/>
  <c r="Z254" i="12" s="1"/>
  <c r="I253" i="12"/>
  <c r="AF253" i="12" s="1"/>
  <c r="H251" i="12"/>
  <c r="AE251" i="12" s="1"/>
  <c r="F249" i="12"/>
  <c r="AC249" i="12" s="1"/>
  <c r="E247" i="12"/>
  <c r="AB247" i="12" s="1"/>
  <c r="E372" i="12"/>
  <c r="AB372" i="12" s="1"/>
  <c r="J364" i="12"/>
  <c r="AG364" i="12" s="1"/>
  <c r="G337" i="12"/>
  <c r="AD337" i="12" s="1"/>
  <c r="J335" i="12"/>
  <c r="AG335" i="12" s="1"/>
  <c r="G328" i="12"/>
  <c r="AD328" i="12" s="1"/>
  <c r="J326" i="12"/>
  <c r="AG326" i="12" s="1"/>
  <c r="G319" i="12"/>
  <c r="AD319" i="12" s="1"/>
  <c r="J317" i="12"/>
  <c r="AG317" i="12" s="1"/>
  <c r="G310" i="12"/>
  <c r="AD310" i="12" s="1"/>
  <c r="J308" i="12"/>
  <c r="AG308" i="12" s="1"/>
  <c r="G301" i="12"/>
  <c r="AD301" i="12" s="1"/>
  <c r="J299" i="12"/>
  <c r="AG299" i="12" s="1"/>
  <c r="G292" i="12"/>
  <c r="AD292" i="12" s="1"/>
  <c r="J290" i="12"/>
  <c r="AG290" i="12" s="1"/>
  <c r="D260" i="12"/>
  <c r="AA260" i="12" s="1"/>
  <c r="C259" i="12"/>
  <c r="Z259" i="12" s="1"/>
  <c r="D258" i="12"/>
  <c r="AA258" i="12" s="1"/>
  <c r="D256" i="12"/>
  <c r="AA256" i="12" s="1"/>
  <c r="G255" i="12"/>
  <c r="AD255" i="12" s="1"/>
  <c r="F254" i="12"/>
  <c r="AC254" i="12" s="1"/>
  <c r="G253" i="12"/>
  <c r="AD253" i="12" s="1"/>
  <c r="E252" i="12"/>
  <c r="AB252" i="12" s="1"/>
  <c r="G251" i="12"/>
  <c r="AD251" i="12" s="1"/>
  <c r="J250" i="12"/>
  <c r="AG250" i="12" s="1"/>
  <c r="H249" i="12"/>
  <c r="AE249" i="12" s="1"/>
  <c r="J248" i="12"/>
  <c r="AG248" i="12" s="1"/>
  <c r="H247" i="12"/>
  <c r="AE247" i="12" s="1"/>
  <c r="J246" i="12"/>
  <c r="D372" i="12"/>
  <c r="AA372" i="12" s="1"/>
  <c r="I364" i="12"/>
  <c r="AF364" i="12" s="1"/>
  <c r="J362" i="12"/>
  <c r="AG362" i="12" s="1"/>
  <c r="G360" i="12"/>
  <c r="AD360" i="12" s="1"/>
  <c r="H358" i="12"/>
  <c r="AE358" i="12" s="1"/>
  <c r="F337" i="12"/>
  <c r="AC337" i="12" s="1"/>
  <c r="I335" i="12"/>
  <c r="AF335" i="12" s="1"/>
  <c r="F328" i="12"/>
  <c r="AC328" i="12" s="1"/>
  <c r="I326" i="12"/>
  <c r="AF326" i="12" s="1"/>
  <c r="F319" i="12"/>
  <c r="AC319" i="12" s="1"/>
  <c r="I317" i="12"/>
  <c r="AF317" i="12" s="1"/>
  <c r="F310" i="12"/>
  <c r="AC310" i="12" s="1"/>
  <c r="I308" i="12"/>
  <c r="AF308" i="12" s="1"/>
  <c r="F301" i="12"/>
  <c r="AC301" i="12" s="1"/>
  <c r="I299" i="12"/>
  <c r="AF299" i="12" s="1"/>
  <c r="F292" i="12"/>
  <c r="AC292" i="12" s="1"/>
  <c r="I290" i="12"/>
  <c r="AF290" i="12" s="1"/>
  <c r="F280" i="12"/>
  <c r="AC280" i="12" s="1"/>
  <c r="C258" i="12"/>
  <c r="Z258" i="12" s="1"/>
  <c r="C256" i="12"/>
  <c r="Z256" i="12" s="1"/>
  <c r="F253" i="12"/>
  <c r="AC253" i="12" s="1"/>
  <c r="D252" i="12"/>
  <c r="AA252" i="12" s="1"/>
  <c r="F251" i="12"/>
  <c r="AC251" i="12" s="1"/>
  <c r="D250" i="12"/>
  <c r="AA250" i="12" s="1"/>
  <c r="E249" i="12"/>
  <c r="AB249" i="12" s="1"/>
  <c r="I248" i="12"/>
  <c r="AF248" i="12" s="1"/>
  <c r="G247" i="12"/>
  <c r="AD247" i="12" s="1"/>
  <c r="H246" i="12"/>
  <c r="C372" i="12"/>
  <c r="Z372" i="12" s="1"/>
  <c r="H362" i="12"/>
  <c r="AE362" i="12" s="1"/>
  <c r="F360" i="12"/>
  <c r="AC360" i="12" s="1"/>
  <c r="G358" i="12"/>
  <c r="AD358" i="12" s="1"/>
  <c r="D356" i="12"/>
  <c r="AA356" i="12" s="1"/>
  <c r="E354" i="12"/>
  <c r="AB354" i="12" s="1"/>
  <c r="J346" i="12"/>
  <c r="AG346" i="12" s="1"/>
  <c r="C284" i="12"/>
  <c r="Z284" i="12" s="1"/>
  <c r="E280" i="12"/>
  <c r="AB280" i="12" s="1"/>
  <c r="D251" i="12"/>
  <c r="AA251" i="12" s="1"/>
  <c r="C250" i="12"/>
  <c r="Z250" i="12" s="1"/>
  <c r="D249" i="12"/>
  <c r="AA249" i="12" s="1"/>
  <c r="D247" i="12"/>
  <c r="AA247" i="12" s="1"/>
  <c r="G246" i="12"/>
  <c r="F358" i="12"/>
  <c r="AC358" i="12" s="1"/>
  <c r="C356" i="12"/>
  <c r="Z356" i="12" s="1"/>
  <c r="D354" i="12"/>
  <c r="AA354" i="12" s="1"/>
  <c r="I346" i="12"/>
  <c r="AF346" i="12" s="1"/>
  <c r="J344" i="12"/>
  <c r="AG344" i="12" s="1"/>
  <c r="G342" i="12"/>
  <c r="AD342" i="12" s="1"/>
  <c r="H340" i="12"/>
  <c r="AE340" i="12" s="1"/>
  <c r="H331" i="12"/>
  <c r="AE331" i="12" s="1"/>
  <c r="H322" i="12"/>
  <c r="AE322" i="12" s="1"/>
  <c r="H313" i="12"/>
  <c r="AE313" i="12" s="1"/>
  <c r="H304" i="12"/>
  <c r="AE304" i="12" s="1"/>
  <c r="H295" i="12"/>
  <c r="AE295" i="12" s="1"/>
  <c r="J281" i="12"/>
  <c r="AG281" i="12" s="1"/>
  <c r="C249" i="12"/>
  <c r="Z249" i="12" s="1"/>
  <c r="C247" i="12"/>
  <c r="Z247" i="12" s="1"/>
  <c r="C354" i="12"/>
  <c r="Z354" i="12" s="1"/>
  <c r="H344" i="12"/>
  <c r="AE344" i="12" s="1"/>
  <c r="F342" i="12"/>
  <c r="AC342" i="12" s="1"/>
  <c r="G340" i="12"/>
  <c r="AD340" i="12" s="1"/>
  <c r="J338" i="12"/>
  <c r="AG338" i="12" s="1"/>
  <c r="G331" i="12"/>
  <c r="AD331" i="12" s="1"/>
  <c r="J329" i="12"/>
  <c r="AG329" i="12" s="1"/>
  <c r="G322" i="12"/>
  <c r="AD322" i="12" s="1"/>
  <c r="J320" i="12"/>
  <c r="AG320" i="12" s="1"/>
  <c r="G313" i="12"/>
  <c r="AD313" i="12" s="1"/>
  <c r="J311" i="12"/>
  <c r="AG311" i="12" s="1"/>
  <c r="G304" i="12"/>
  <c r="AD304" i="12" s="1"/>
  <c r="J302" i="12"/>
  <c r="AG302" i="12" s="1"/>
  <c r="G295" i="12"/>
  <c r="AD295" i="12" s="1"/>
  <c r="J293" i="12"/>
  <c r="AG293" i="12" s="1"/>
  <c r="G285" i="12"/>
  <c r="AD285" i="12" s="1"/>
  <c r="I281" i="12"/>
  <c r="AF281" i="12" s="1"/>
  <c r="J373" i="12"/>
  <c r="AG373" i="12" s="1"/>
  <c r="F340" i="12"/>
  <c r="AC340" i="12" s="1"/>
  <c r="I338" i="12"/>
  <c r="AF338" i="12" s="1"/>
  <c r="F331" i="12"/>
  <c r="AC331" i="12" s="1"/>
  <c r="I329" i="12"/>
  <c r="AF329" i="12" s="1"/>
  <c r="F322" i="12"/>
  <c r="AC322" i="12" s="1"/>
  <c r="I320" i="12"/>
  <c r="AF320" i="12" s="1"/>
  <c r="F313" i="12"/>
  <c r="AC313" i="12" s="1"/>
  <c r="I311" i="12"/>
  <c r="AF311" i="12" s="1"/>
  <c r="F304" i="12"/>
  <c r="AC304" i="12" s="1"/>
  <c r="I302" i="12"/>
  <c r="AF302" i="12" s="1"/>
  <c r="F295" i="12"/>
  <c r="AC295" i="12" s="1"/>
  <c r="I293" i="12"/>
  <c r="AF293" i="12" s="1"/>
  <c r="D288" i="12"/>
  <c r="AA288" i="12" s="1"/>
  <c r="C281" i="12"/>
  <c r="Z281" i="12" s="1"/>
  <c r="J276" i="12"/>
  <c r="AG276" i="12" s="1"/>
  <c r="H328" i="12"/>
  <c r="AE328" i="12" s="1"/>
  <c r="H310" i="12"/>
  <c r="AE310" i="12" s="1"/>
  <c r="H292" i="12"/>
  <c r="AE292" i="12" s="1"/>
  <c r="J283" i="12"/>
  <c r="AG283" i="12" s="1"/>
  <c r="C268" i="12"/>
  <c r="Z268" i="12" s="1"/>
  <c r="G264" i="12"/>
  <c r="AD264" i="12" s="1"/>
  <c r="G262" i="12"/>
  <c r="AD262" i="12" s="1"/>
  <c r="G260" i="12"/>
  <c r="AD260" i="12" s="1"/>
  <c r="H258" i="12"/>
  <c r="AE258" i="12" s="1"/>
  <c r="H256" i="12"/>
  <c r="AE256" i="12" s="1"/>
  <c r="I373" i="12"/>
  <c r="AF373" i="12" s="1"/>
  <c r="G369" i="12"/>
  <c r="AD369" i="12" s="1"/>
  <c r="C288" i="12"/>
  <c r="Z288" i="12" s="1"/>
  <c r="F285" i="12"/>
  <c r="AC285" i="12" s="1"/>
  <c r="H283" i="12"/>
  <c r="AE283" i="12" s="1"/>
  <c r="F262" i="12"/>
  <c r="AC262" i="12" s="1"/>
  <c r="F260" i="12"/>
  <c r="AC260" i="12" s="1"/>
  <c r="E258" i="12"/>
  <c r="AB258" i="12" s="1"/>
  <c r="G256" i="12"/>
  <c r="AD256" i="12" s="1"/>
  <c r="G254" i="12"/>
  <c r="AD254" i="12" s="1"/>
  <c r="F369" i="12"/>
  <c r="AC369" i="12" s="1"/>
  <c r="D365" i="12"/>
  <c r="AA365" i="12" s="1"/>
  <c r="H334" i="12"/>
  <c r="AE334" i="12" s="1"/>
  <c r="H316" i="12"/>
  <c r="AE316" i="12" s="1"/>
  <c r="H298" i="12"/>
  <c r="AE298" i="12" s="1"/>
  <c r="J275" i="12"/>
  <c r="AG275" i="12" s="1"/>
  <c r="J273" i="12"/>
  <c r="AG273" i="12" s="1"/>
  <c r="C365" i="12"/>
  <c r="Z365" i="12" s="1"/>
  <c r="J353" i="12"/>
  <c r="AG353" i="12" s="1"/>
  <c r="H349" i="12"/>
  <c r="AE349" i="12" s="1"/>
  <c r="G334" i="12"/>
  <c r="AD334" i="12" s="1"/>
  <c r="J323" i="12"/>
  <c r="AG323" i="12" s="1"/>
  <c r="G316" i="12"/>
  <c r="AD316" i="12" s="1"/>
  <c r="J305" i="12"/>
  <c r="AG305" i="12" s="1"/>
  <c r="G298" i="12"/>
  <c r="AD298" i="12" s="1"/>
  <c r="G282" i="12"/>
  <c r="AD282" i="12" s="1"/>
  <c r="D277" i="12"/>
  <c r="AA277" i="12" s="1"/>
  <c r="I275" i="12"/>
  <c r="AF275" i="12" s="1"/>
  <c r="H273" i="12"/>
  <c r="AE273" i="12" s="1"/>
  <c r="H271" i="12"/>
  <c r="AE271" i="12" s="1"/>
  <c r="J269" i="12"/>
  <c r="AG269" i="12" s="1"/>
  <c r="J267" i="12"/>
  <c r="AG267" i="12" s="1"/>
  <c r="H353" i="12"/>
  <c r="AE353" i="12" s="1"/>
  <c r="G349" i="12"/>
  <c r="AD349" i="12" s="1"/>
  <c r="E345" i="12"/>
  <c r="AB345" i="12" s="1"/>
  <c r="F334" i="12"/>
  <c r="AC334" i="12" s="1"/>
  <c r="I323" i="12"/>
  <c r="AF323" i="12" s="1"/>
  <c r="F316" i="12"/>
  <c r="AC316" i="12" s="1"/>
  <c r="I305" i="12"/>
  <c r="AF305" i="12" s="1"/>
  <c r="F298" i="12"/>
  <c r="AC298" i="12" s="1"/>
  <c r="F282" i="12"/>
  <c r="AC282" i="12" s="1"/>
  <c r="C277" i="12"/>
  <c r="Z277" i="12" s="1"/>
  <c r="G273" i="12"/>
  <c r="AD273" i="12" s="1"/>
  <c r="G271" i="12"/>
  <c r="AD271" i="12" s="1"/>
  <c r="G269" i="12"/>
  <c r="AD269" i="12" s="1"/>
  <c r="H267" i="12"/>
  <c r="AE267" i="12" s="1"/>
  <c r="H265" i="12"/>
  <c r="AE265" i="12" s="1"/>
  <c r="J371" i="12"/>
  <c r="AG371" i="12" s="1"/>
  <c r="H367" i="12"/>
  <c r="AE367" i="12" s="1"/>
  <c r="C267" i="12"/>
  <c r="Z267" i="12" s="1"/>
  <c r="C265" i="12"/>
  <c r="Z265" i="12" s="1"/>
  <c r="D261" i="12"/>
  <c r="AA261" i="12" s="1"/>
  <c r="D259" i="12"/>
  <c r="AA259" i="12" s="1"/>
  <c r="I257" i="12"/>
  <c r="AF257" i="12" s="1"/>
  <c r="H255" i="12"/>
  <c r="AE255" i="12" s="1"/>
  <c r="H253" i="12"/>
  <c r="AE253" i="12" s="1"/>
  <c r="J251" i="12"/>
  <c r="AG251" i="12" s="1"/>
  <c r="J249" i="12"/>
  <c r="AG249" i="12" s="1"/>
  <c r="H371" i="12"/>
  <c r="AE371" i="12" s="1"/>
  <c r="G367" i="12"/>
  <c r="AD367" i="12" s="1"/>
  <c r="E363" i="12"/>
  <c r="AB363" i="12" s="1"/>
  <c r="J355" i="12"/>
  <c r="AG355" i="12" s="1"/>
  <c r="H325" i="12"/>
  <c r="AE325" i="12" s="1"/>
  <c r="H307" i="12"/>
  <c r="AE307" i="12" s="1"/>
  <c r="H276" i="12"/>
  <c r="AE276" i="12" s="1"/>
  <c r="H274" i="12"/>
  <c r="AE274" i="12" s="1"/>
  <c r="F367" i="12"/>
  <c r="AC367" i="12" s="1"/>
  <c r="D363" i="12"/>
  <c r="AA363" i="12" s="1"/>
  <c r="I355" i="12"/>
  <c r="AF355" i="12" s="1"/>
  <c r="G351" i="12"/>
  <c r="AD351" i="12" s="1"/>
  <c r="J332" i="12"/>
  <c r="AG332" i="12" s="1"/>
  <c r="G325" i="12"/>
  <c r="AD325" i="12" s="1"/>
  <c r="J314" i="12"/>
  <c r="AG314" i="12" s="1"/>
  <c r="G307" i="12"/>
  <c r="AD307" i="12" s="1"/>
  <c r="J296" i="12"/>
  <c r="AG296" i="12" s="1"/>
  <c r="G286" i="12"/>
  <c r="AD286" i="12" s="1"/>
  <c r="J278" i="12"/>
  <c r="AG278" i="12" s="1"/>
  <c r="E276" i="12"/>
  <c r="AB276" i="12" s="1"/>
  <c r="G274" i="12"/>
  <c r="AD274" i="12" s="1"/>
  <c r="G272" i="12"/>
  <c r="AD272" i="12" s="1"/>
  <c r="I332" i="12"/>
  <c r="AF332" i="12" s="1"/>
  <c r="J289" i="12"/>
  <c r="AG289" i="12" s="1"/>
  <c r="D274" i="12"/>
  <c r="AA274" i="12" s="1"/>
  <c r="J268" i="12"/>
  <c r="AG268" i="12" s="1"/>
  <c r="C274" i="12"/>
  <c r="Z274" i="12" s="1"/>
  <c r="D268" i="12"/>
  <c r="AA268" i="12" s="1"/>
  <c r="H262" i="12"/>
  <c r="AE262" i="12" s="1"/>
  <c r="E267" i="12"/>
  <c r="AB267" i="12" s="1"/>
  <c r="H319" i="12"/>
  <c r="AE319" i="12" s="1"/>
  <c r="D267" i="12"/>
  <c r="AA267" i="12" s="1"/>
  <c r="E261" i="12"/>
  <c r="AB261" i="12" s="1"/>
  <c r="J255" i="12"/>
  <c r="AG255" i="12" s="1"/>
  <c r="C363" i="12"/>
  <c r="Z363" i="12" s="1"/>
  <c r="F351" i="12"/>
  <c r="AC351" i="12" s="1"/>
  <c r="F307" i="12"/>
  <c r="AC307" i="12" s="1"/>
  <c r="I296" i="12"/>
  <c r="AF296" i="12" s="1"/>
  <c r="F286" i="12"/>
  <c r="AC286" i="12" s="1"/>
  <c r="I278" i="12"/>
  <c r="AF278" i="12" s="1"/>
  <c r="F272" i="12"/>
  <c r="AC272" i="12" s="1"/>
  <c r="J266" i="12"/>
  <c r="AG266" i="12" s="1"/>
  <c r="E286" i="12"/>
  <c r="AB286" i="12" s="1"/>
  <c r="I266" i="12"/>
  <c r="AF266" i="12" s="1"/>
  <c r="J260" i="12"/>
  <c r="AG260" i="12" s="1"/>
  <c r="H337" i="12"/>
  <c r="AE337" i="12" s="1"/>
  <c r="D265" i="12"/>
  <c r="AA265" i="12" s="1"/>
  <c r="J259" i="12"/>
  <c r="AG259" i="12" s="1"/>
  <c r="D347" i="12"/>
  <c r="AA347" i="12" s="1"/>
  <c r="F325" i="12"/>
  <c r="AC325" i="12" s="1"/>
  <c r="I314" i="12"/>
  <c r="AF314" i="12" s="1"/>
  <c r="D276" i="12"/>
  <c r="AA276" i="12" s="1"/>
  <c r="E270" i="12"/>
  <c r="AB270" i="12" s="1"/>
  <c r="J264" i="12"/>
  <c r="AG264" i="12" s="1"/>
  <c r="F271" i="12"/>
  <c r="AC271" i="12" s="1"/>
  <c r="H264" i="12"/>
  <c r="AE264" i="12" s="1"/>
  <c r="D345" i="12"/>
  <c r="AA345" i="12" s="1"/>
  <c r="D282" i="12"/>
  <c r="AA282" i="12" s="1"/>
  <c r="G263" i="12"/>
  <c r="AD263" i="12" s="1"/>
  <c r="H301" i="12"/>
  <c r="AE301" i="12" s="1"/>
  <c r="J257" i="12"/>
  <c r="AG257" i="12" s="1"/>
  <c r="D270" i="12"/>
  <c r="AA270" i="12" s="1"/>
  <c r="F269" i="12"/>
  <c r="AC269" i="12" s="1"/>
  <c r="D269" i="12"/>
  <c r="AA269" i="12" s="1"/>
  <c r="C347" i="12"/>
  <c r="Z347" i="12" s="1"/>
  <c r="F349" i="12"/>
  <c r="AC349" i="12" s="1"/>
  <c r="G265" i="12"/>
  <c r="AD265" i="12" s="1"/>
  <c r="C345" i="12"/>
  <c r="Z345" i="12" s="1"/>
  <c r="F263" i="12"/>
  <c r="AC263" i="12" s="1"/>
  <c r="C276" i="12"/>
  <c r="Z276" i="12" s="1"/>
  <c r="J258" i="12"/>
  <c r="AG258" i="12" s="1"/>
  <c r="J20" i="21"/>
  <c r="J19" i="21"/>
  <c r="BA37" i="20"/>
  <c r="BD37" i="20" s="1"/>
  <c r="BA41" i="20"/>
  <c r="CL6" i="20"/>
  <c r="CK6" i="20"/>
  <c r="CJ6" i="20"/>
  <c r="AA141" i="21"/>
  <c r="AA147" i="21"/>
  <c r="AA47" i="21"/>
  <c r="AA53" i="21"/>
  <c r="O412" i="15"/>
  <c r="AA341" i="15"/>
  <c r="Z389" i="15"/>
  <c r="H315" i="15"/>
  <c r="W311" i="15"/>
  <c r="H351" i="15"/>
  <c r="F404" i="15"/>
  <c r="I322" i="15"/>
  <c r="T370" i="15"/>
  <c r="S292" i="15"/>
  <c r="Q356" i="15"/>
  <c r="T305" i="15"/>
  <c r="F376" i="15"/>
  <c r="J319" i="15"/>
  <c r="R395" i="15"/>
  <c r="R333" i="15"/>
  <c r="G415" i="15"/>
  <c r="R348" i="15"/>
  <c r="Q299" i="15"/>
  <c r="P367" i="15"/>
  <c r="AA312" i="15"/>
  <c r="AA386" i="15"/>
  <c r="F310" i="15"/>
  <c r="W347" i="15"/>
  <c r="N397" i="15"/>
  <c r="H309" i="15"/>
  <c r="T346" i="15"/>
  <c r="F396" i="15"/>
  <c r="J308" i="15"/>
  <c r="V345" i="15"/>
  <c r="W394" i="15"/>
  <c r="N307" i="15"/>
  <c r="T344" i="15"/>
  <c r="Q393" i="15"/>
  <c r="R306" i="15"/>
  <c r="V343" i="15"/>
  <c r="I392" i="15"/>
  <c r="K371" i="15"/>
  <c r="AA408" i="15"/>
  <c r="J311" i="15"/>
  <c r="G342" i="15"/>
  <c r="G379" i="15"/>
  <c r="Q288" i="15"/>
  <c r="Q317" i="15"/>
  <c r="G349" i="15"/>
  <c r="R386" i="15"/>
  <c r="F357" i="15"/>
  <c r="Q388" i="15"/>
  <c r="P291" i="15"/>
  <c r="F318" i="15"/>
  <c r="AA346" i="15"/>
  <c r="O378" i="15"/>
  <c r="X409" i="15"/>
  <c r="Z306" i="15"/>
  <c r="P330" i="15"/>
  <c r="E354" i="15"/>
  <c r="R377" i="15"/>
  <c r="H401" i="15"/>
  <c r="H350" i="15"/>
  <c r="V373" i="15"/>
  <c r="J397" i="15"/>
  <c r="Z312" i="15"/>
  <c r="P336" i="15"/>
  <c r="E360" i="15"/>
  <c r="R383" i="15"/>
  <c r="H407" i="15"/>
  <c r="O301" i="15"/>
  <c r="E323" i="15"/>
  <c r="S344" i="15"/>
  <c r="I366" i="15"/>
  <c r="X387" i="15"/>
  <c r="O409" i="15"/>
  <c r="AX61" i="22"/>
  <c r="AO54" i="22"/>
  <c r="BI54" i="22"/>
  <c r="J18" i="22"/>
  <c r="Q80" i="22"/>
  <c r="AP8" i="25"/>
  <c r="AF49" i="22"/>
  <c r="AZ49" i="22"/>
  <c r="E16" i="22"/>
  <c r="G28" i="22"/>
  <c r="AM23" i="22"/>
  <c r="BG23" i="22"/>
  <c r="Q254" i="12"/>
  <c r="AL254" i="12" s="1"/>
  <c r="P272" i="12"/>
  <c r="AK272" i="12" s="1"/>
  <c r="N269" i="12"/>
  <c r="AI269" i="12" s="1"/>
  <c r="R300" i="12"/>
  <c r="AM300" i="12" s="1"/>
  <c r="W322" i="12"/>
  <c r="AR322" i="12" s="1"/>
  <c r="N255" i="12"/>
  <c r="AI255" i="12" s="1"/>
  <c r="S252" i="12"/>
  <c r="AN252" i="12" s="1"/>
  <c r="S248" i="12"/>
  <c r="AN248" i="12" s="1"/>
  <c r="W363" i="12"/>
  <c r="AR363" i="12" s="1"/>
  <c r="R350" i="12"/>
  <c r="AM350" i="12" s="1"/>
  <c r="W341" i="12"/>
  <c r="AR341" i="12" s="1"/>
  <c r="R323" i="12"/>
  <c r="AM323" i="12" s="1"/>
  <c r="P306" i="12"/>
  <c r="AK306" i="12" s="1"/>
  <c r="W321" i="12"/>
  <c r="AR321" i="12" s="1"/>
  <c r="O310" i="12"/>
  <c r="AJ310" i="12" s="1"/>
  <c r="P256" i="12"/>
  <c r="AK256" i="12" s="1"/>
  <c r="P328" i="12"/>
  <c r="AK328" i="12" s="1"/>
  <c r="Q310" i="12"/>
  <c r="AL310" i="12" s="1"/>
  <c r="R304" i="12"/>
  <c r="AM304" i="12" s="1"/>
  <c r="S280" i="12"/>
  <c r="AN280" i="12" s="1"/>
  <c r="X351" i="12"/>
  <c r="AS351" i="12" s="1"/>
  <c r="N36" i="22"/>
  <c r="K28" i="22"/>
  <c r="L69" i="22"/>
  <c r="I70" i="22"/>
  <c r="M69" i="22"/>
  <c r="E70" i="22"/>
  <c r="P68" i="22"/>
  <c r="K69" i="22"/>
  <c r="K68" i="22"/>
  <c r="N68" i="22"/>
  <c r="Q67" i="22"/>
  <c r="O70" i="22"/>
  <c r="D67" i="22"/>
  <c r="L70" i="22"/>
  <c r="I67" i="22"/>
  <c r="L67" i="22"/>
  <c r="S68" i="22"/>
  <c r="L68" i="22"/>
  <c r="I69" i="22"/>
  <c r="Q70" i="22"/>
  <c r="G70" i="22"/>
  <c r="F70" i="22"/>
  <c r="S69" i="22"/>
  <c r="J67" i="22"/>
  <c r="S70" i="22"/>
  <c r="G69" i="22"/>
  <c r="R68" i="22"/>
  <c r="F68" i="22"/>
  <c r="M68" i="22"/>
  <c r="M70" i="22"/>
  <c r="O68" i="22"/>
  <c r="H69" i="22"/>
  <c r="D70" i="22"/>
  <c r="Q68" i="22"/>
  <c r="E68" i="22"/>
  <c r="D68" i="22"/>
  <c r="M67" i="22"/>
  <c r="N67" i="22"/>
  <c r="P67" i="22"/>
  <c r="R70" i="22"/>
  <c r="J69" i="22"/>
  <c r="K67" i="22"/>
  <c r="N70" i="22"/>
  <c r="P70" i="22"/>
  <c r="S67" i="22"/>
  <c r="O69" i="22"/>
  <c r="G67" i="22"/>
  <c r="J70" i="22"/>
  <c r="D69" i="22"/>
  <c r="E69" i="22"/>
  <c r="H67" i="22"/>
  <c r="E67" i="22"/>
  <c r="I68" i="22"/>
  <c r="F69" i="22"/>
  <c r="P69" i="22"/>
  <c r="K70" i="22"/>
  <c r="G68" i="22"/>
  <c r="Q69" i="22"/>
  <c r="H70" i="22"/>
  <c r="J68" i="22"/>
  <c r="R69" i="22"/>
  <c r="C127" i="27"/>
  <c r="Y291" i="14"/>
  <c r="Z391" i="14"/>
  <c r="G298" i="14"/>
  <c r="G398" i="14"/>
  <c r="V399" i="14"/>
  <c r="P403" i="14"/>
  <c r="J333" i="14"/>
  <c r="Q340" i="14"/>
  <c r="P346" i="14"/>
  <c r="G315" i="14"/>
  <c r="S411" i="14"/>
  <c r="N326" i="14"/>
  <c r="W412" i="14"/>
  <c r="G343" i="15"/>
  <c r="J314" i="15"/>
  <c r="Y335" i="15"/>
  <c r="E333" i="15"/>
  <c r="Q367" i="15"/>
  <c r="W368" i="15"/>
  <c r="F390" i="15"/>
  <c r="I381" i="15"/>
  <c r="N340" i="12"/>
  <c r="AI340" i="12" s="1"/>
  <c r="P310" i="12"/>
  <c r="AK310" i="12" s="1"/>
  <c r="AE6" i="22"/>
  <c r="AY6" i="22"/>
  <c r="R47" i="21"/>
  <c r="R147" i="21"/>
  <c r="R53" i="21"/>
  <c r="R141" i="21"/>
  <c r="E399" i="14"/>
  <c r="H338" i="14"/>
  <c r="AA343" i="14"/>
  <c r="X333" i="14"/>
  <c r="P333" i="14"/>
  <c r="Z316" i="14"/>
  <c r="AA377" i="14"/>
  <c r="N340" i="14"/>
  <c r="AA342" i="14"/>
  <c r="T305" i="14"/>
  <c r="G308" i="14"/>
  <c r="K411" i="14"/>
  <c r="Z309" i="14"/>
  <c r="N313" i="14"/>
  <c r="X371" i="14"/>
  <c r="W360" i="14"/>
  <c r="V364" i="14"/>
  <c r="E372" i="14"/>
  <c r="N397" i="14"/>
  <c r="Q409" i="15"/>
  <c r="G321" i="15"/>
  <c r="F370" i="15"/>
  <c r="G310" i="15"/>
  <c r="N308" i="15"/>
  <c r="K372" i="15"/>
  <c r="AA349" i="15"/>
  <c r="X347" i="15"/>
  <c r="J378" i="15"/>
  <c r="R313" i="15"/>
  <c r="O388" i="15"/>
  <c r="R28" i="22"/>
  <c r="D20" i="21"/>
  <c r="BA11" i="20"/>
  <c r="BA7" i="20"/>
  <c r="BD7" i="20" s="1"/>
  <c r="Q358" i="14"/>
  <c r="O390" i="14"/>
  <c r="I357" i="14"/>
  <c r="X321" i="14"/>
  <c r="I346" i="14"/>
  <c r="J381" i="14"/>
  <c r="I408" i="14"/>
  <c r="Q414" i="14"/>
  <c r="S414" i="14"/>
  <c r="Y316" i="14"/>
  <c r="Q413" i="14"/>
  <c r="O361" i="14"/>
  <c r="F330" i="14"/>
  <c r="X405" i="14"/>
  <c r="K354" i="14"/>
  <c r="Z305" i="14"/>
  <c r="Z379" i="14"/>
  <c r="H298" i="14"/>
  <c r="R384" i="14"/>
  <c r="CI15" i="20"/>
  <c r="CM15" i="20"/>
  <c r="CH15" i="20"/>
  <c r="AI12" i="22"/>
  <c r="BC12" i="22"/>
  <c r="E397" i="15"/>
  <c r="Q341" i="15"/>
  <c r="H411" i="15"/>
  <c r="W317" i="15"/>
  <c r="I412" i="15"/>
  <c r="X364" i="15"/>
  <c r="T403" i="15"/>
  <c r="AA406" i="15"/>
  <c r="T405" i="15"/>
  <c r="P314" i="15"/>
  <c r="S313" i="15"/>
  <c r="N288" i="15"/>
  <c r="O386" i="15"/>
  <c r="G363" i="15"/>
  <c r="R323" i="15"/>
  <c r="P311" i="15"/>
  <c r="H382" i="15"/>
  <c r="K378" i="15"/>
  <c r="F341" i="15"/>
  <c r="V411" i="15"/>
  <c r="I327" i="15"/>
  <c r="O370" i="15"/>
  <c r="S413" i="15"/>
  <c r="R297" i="12"/>
  <c r="AM297" i="12" s="1"/>
  <c r="P249" i="12"/>
  <c r="AK249" i="12" s="1"/>
  <c r="S326" i="12"/>
  <c r="AN326" i="12" s="1"/>
  <c r="O297" i="12"/>
  <c r="AJ297" i="12" s="1"/>
  <c r="BF49" i="22"/>
  <c r="AL49" i="22"/>
  <c r="I403" i="14"/>
  <c r="N349" i="14"/>
  <c r="K396" i="14"/>
  <c r="Z290" i="14"/>
  <c r="I310" i="14"/>
  <c r="W401" i="14"/>
  <c r="P347" i="14"/>
  <c r="H378" i="14"/>
  <c r="S381" i="14"/>
  <c r="G356" i="14"/>
  <c r="O380" i="14"/>
  <c r="F410" i="14"/>
  <c r="S306" i="14"/>
  <c r="F390" i="14"/>
  <c r="H334" i="14"/>
  <c r="R369" i="14"/>
  <c r="AA401" i="14"/>
  <c r="Y141" i="21"/>
  <c r="Y147" i="21"/>
  <c r="Y53" i="21"/>
  <c r="Y47" i="21"/>
  <c r="CK25" i="20"/>
  <c r="CJ25" i="20"/>
  <c r="CL25" i="20"/>
  <c r="CI16" i="20"/>
  <c r="CM16" i="20"/>
  <c r="CH16" i="20"/>
  <c r="BJ47" i="22"/>
  <c r="N329" i="15"/>
  <c r="Z291" i="15"/>
  <c r="T367" i="15"/>
  <c r="R414" i="15"/>
  <c r="Z345" i="15"/>
  <c r="AA396" i="15"/>
  <c r="T313" i="15"/>
  <c r="AA358" i="15"/>
  <c r="X290" i="15"/>
  <c r="H305" i="15"/>
  <c r="Z375" i="15"/>
  <c r="I319" i="15"/>
  <c r="P395" i="15"/>
  <c r="P333" i="15"/>
  <c r="W414" i="15"/>
  <c r="Q348" i="15"/>
  <c r="O299" i="15"/>
  <c r="N367" i="15"/>
  <c r="Y312" i="15"/>
  <c r="Z386" i="15"/>
  <c r="G327" i="15"/>
  <c r="H406" i="15"/>
  <c r="O318" i="15"/>
  <c r="I358" i="15"/>
  <c r="Q408" i="15"/>
  <c r="O317" i="15"/>
  <c r="Z356" i="15"/>
  <c r="J407" i="15"/>
  <c r="P316" i="15"/>
  <c r="V355" i="15"/>
  <c r="AA405" i="15"/>
  <c r="P315" i="15"/>
  <c r="N354" i="15"/>
  <c r="V404" i="15"/>
  <c r="Q314" i="15"/>
  <c r="G353" i="15"/>
  <c r="K403" i="15"/>
  <c r="V379" i="15"/>
  <c r="G289" i="15"/>
  <c r="H318" i="15"/>
  <c r="X349" i="15"/>
  <c r="N387" i="15"/>
  <c r="W294" i="15"/>
  <c r="K324" i="15"/>
  <c r="J357" i="15"/>
  <c r="F395" i="15"/>
  <c r="G364" i="15"/>
  <c r="Q395" i="15"/>
  <c r="H297" i="15"/>
  <c r="N324" i="15"/>
  <c r="Y353" i="15"/>
  <c r="J385" i="15"/>
  <c r="R288" i="15"/>
  <c r="G312" i="15"/>
  <c r="V335" i="15"/>
  <c r="J359" i="15"/>
  <c r="X382" i="15"/>
  <c r="N406" i="15"/>
  <c r="N355" i="15"/>
  <c r="AA378" i="15"/>
  <c r="Q402" i="15"/>
  <c r="G318" i="15"/>
  <c r="V341" i="15"/>
  <c r="J365" i="15"/>
  <c r="X388" i="15"/>
  <c r="N412" i="15"/>
  <c r="I306" i="15"/>
  <c r="X327" i="15"/>
  <c r="O349" i="15"/>
  <c r="E371" i="15"/>
  <c r="S392" i="15"/>
  <c r="I414" i="15"/>
  <c r="E80" i="22"/>
  <c r="K80" i="22"/>
  <c r="AG62" i="22"/>
  <c r="CM23" i="20"/>
  <c r="CI23" i="20"/>
  <c r="CH23" i="20"/>
  <c r="D26" i="8"/>
  <c r="D35" i="8" s="1"/>
  <c r="D21" i="8"/>
  <c r="D30" i="8" s="1"/>
  <c r="D23" i="8"/>
  <c r="D32" i="8" s="1"/>
  <c r="O261" i="12"/>
  <c r="AJ261" i="12" s="1"/>
  <c r="Q318" i="12"/>
  <c r="AL318" i="12" s="1"/>
  <c r="O252" i="12"/>
  <c r="AJ252" i="12" s="1"/>
  <c r="X367" i="12"/>
  <c r="AS367" i="12" s="1"/>
  <c r="X304" i="12"/>
  <c r="AS304" i="12" s="1"/>
  <c r="N273" i="12"/>
  <c r="AI273" i="12" s="1"/>
  <c r="O273" i="12"/>
  <c r="AJ273" i="12" s="1"/>
  <c r="S266" i="12"/>
  <c r="AN266" i="12" s="1"/>
  <c r="O258" i="12"/>
  <c r="AJ258" i="12" s="1"/>
  <c r="Q251" i="12"/>
  <c r="AL251" i="12" s="1"/>
  <c r="X246" i="12"/>
  <c r="X359" i="12"/>
  <c r="AS359" i="12" s="1"/>
  <c r="P343" i="12"/>
  <c r="AK343" i="12" s="1"/>
  <c r="W339" i="12"/>
  <c r="AR339" i="12" s="1"/>
  <c r="O328" i="12"/>
  <c r="AJ328" i="12" s="1"/>
  <c r="P274" i="12"/>
  <c r="AK274" i="12" s="1"/>
  <c r="O347" i="12"/>
  <c r="AJ347" i="12" s="1"/>
  <c r="Q328" i="12"/>
  <c r="AL328" i="12" s="1"/>
  <c r="R322" i="12"/>
  <c r="AM322" i="12" s="1"/>
  <c r="S298" i="12"/>
  <c r="AN298" i="12" s="1"/>
  <c r="X369" i="12"/>
  <c r="AS369" i="12" s="1"/>
  <c r="AL54" i="22"/>
  <c r="BF54" i="22"/>
  <c r="S22" i="22"/>
  <c r="F67" i="22"/>
  <c r="C28" i="18"/>
  <c r="B57" i="2" s="1"/>
  <c r="C14" i="10" s="1"/>
  <c r="D28" i="18"/>
  <c r="B58" i="2" s="1"/>
  <c r="C15" i="10" s="1"/>
  <c r="AC16" i="21"/>
  <c r="R136" i="20"/>
  <c r="AC17" i="21"/>
  <c r="R132" i="20"/>
  <c r="U132" i="20" s="1"/>
  <c r="F29" i="22"/>
  <c r="K372" i="14"/>
  <c r="R397" i="14"/>
  <c r="T333" i="14"/>
  <c r="R382" i="14"/>
  <c r="E344" i="14"/>
  <c r="Y366" i="14"/>
  <c r="G394" i="14"/>
  <c r="T367" i="14"/>
  <c r="Z328" i="14"/>
  <c r="J332" i="14"/>
  <c r="Z300" i="14"/>
  <c r="V335" i="14"/>
  <c r="E309" i="14"/>
  <c r="Z404" i="14"/>
  <c r="Z314" i="14"/>
  <c r="Y392" i="14"/>
  <c r="I322" i="14"/>
  <c r="X290" i="14"/>
  <c r="X364" i="14"/>
  <c r="O333" i="14"/>
  <c r="AA290" i="14"/>
  <c r="M28" i="18"/>
  <c r="B61" i="2" s="1"/>
  <c r="C18" i="10" s="1"/>
  <c r="N28" i="18"/>
  <c r="B62" i="2" s="1"/>
  <c r="C19" i="10" s="1"/>
  <c r="T349" i="15"/>
  <c r="V318" i="15"/>
  <c r="E288" i="15"/>
  <c r="E369" i="15"/>
  <c r="Y342" i="15"/>
  <c r="T299" i="15"/>
  <c r="Y334" i="15"/>
  <c r="E334" i="15"/>
  <c r="E297" i="15"/>
  <c r="G332" i="15"/>
  <c r="O302" i="15"/>
  <c r="K405" i="15"/>
  <c r="Y378" i="15"/>
  <c r="O309" i="15"/>
  <c r="V299" i="15"/>
  <c r="N370" i="15"/>
  <c r="T413" i="15"/>
  <c r="X352" i="15"/>
  <c r="X294" i="15"/>
  <c r="S359" i="15"/>
  <c r="X269" i="12"/>
  <c r="AS269" i="12" s="1"/>
  <c r="X336" i="12"/>
  <c r="AS336" i="12" s="1"/>
  <c r="X288" i="12"/>
  <c r="AS288" i="12" s="1"/>
  <c r="Q292" i="12"/>
  <c r="AL292" i="12" s="1"/>
  <c r="D17" i="21"/>
  <c r="R11" i="20"/>
  <c r="R7" i="20"/>
  <c r="U7" i="20" s="1"/>
  <c r="Y376" i="14"/>
  <c r="X319" i="14"/>
  <c r="T360" i="14"/>
  <c r="R400" i="14"/>
  <c r="G346" i="14"/>
  <c r="E369" i="14"/>
  <c r="T401" i="14"/>
  <c r="V401" i="14"/>
  <c r="O298" i="14"/>
  <c r="R364" i="14"/>
  <c r="E401" i="14"/>
  <c r="J368" i="14"/>
  <c r="F339" i="14"/>
  <c r="T309" i="14"/>
  <c r="R368" i="14"/>
  <c r="I337" i="14"/>
  <c r="Q372" i="14"/>
  <c r="X305" i="14"/>
  <c r="H341" i="14"/>
  <c r="Q401" i="14"/>
  <c r="G330" i="14"/>
  <c r="V368" i="14"/>
  <c r="Y405" i="14"/>
  <c r="F317" i="14"/>
  <c r="N337" i="14"/>
  <c r="V372" i="14"/>
  <c r="P402" i="14"/>
  <c r="N308" i="14"/>
  <c r="N362" i="14"/>
  <c r="W394" i="14"/>
  <c r="N413" i="14"/>
  <c r="CI18" i="20"/>
  <c r="CH18" i="20"/>
  <c r="CM18" i="20"/>
  <c r="AJ5" i="22"/>
  <c r="BD5" i="22"/>
  <c r="I300" i="14"/>
  <c r="N294" i="14"/>
  <c r="V355" i="14"/>
  <c r="R379" i="14"/>
  <c r="AA292" i="14"/>
  <c r="J364" i="14"/>
  <c r="Y321" i="14"/>
  <c r="Q339" i="14"/>
  <c r="Z313" i="14"/>
  <c r="K374" i="14"/>
  <c r="Y338" i="14"/>
  <c r="Z406" i="14"/>
  <c r="AA406" i="14"/>
  <c r="V344" i="14"/>
  <c r="G348" i="14"/>
  <c r="Y297" i="14"/>
  <c r="Q353" i="14"/>
  <c r="N411" i="14"/>
  <c r="G322" i="14"/>
  <c r="G397" i="14"/>
  <c r="G309" i="14"/>
  <c r="F385" i="14"/>
  <c r="E298" i="14"/>
  <c r="T353" i="14"/>
  <c r="Q411" i="14"/>
  <c r="S340" i="14"/>
  <c r="Z377" i="14"/>
  <c r="R297" i="14"/>
  <c r="N365" i="14"/>
  <c r="L15" i="20"/>
  <c r="V368" i="15"/>
  <c r="Y315" i="15"/>
  <c r="J326" i="15"/>
  <c r="F359" i="15"/>
  <c r="T378" i="15"/>
  <c r="H288" i="15"/>
  <c r="I301" i="15"/>
  <c r="H311" i="15"/>
  <c r="W398" i="15"/>
  <c r="J309" i="15"/>
  <c r="H396" i="15"/>
  <c r="P307" i="15"/>
  <c r="R393" i="15"/>
  <c r="F410" i="15"/>
  <c r="G380" i="15"/>
  <c r="N318" i="15"/>
  <c r="Z357" i="15"/>
  <c r="Z318" i="15"/>
  <c r="T410" i="15"/>
  <c r="G331" i="15"/>
  <c r="X401" i="15"/>
  <c r="N374" i="15"/>
  <c r="G337" i="15"/>
  <c r="X407" i="15"/>
  <c r="E302" i="15"/>
  <c r="I345" i="15"/>
  <c r="E410" i="15"/>
  <c r="P31" i="22"/>
  <c r="BG10" i="22"/>
  <c r="AM10" i="22"/>
  <c r="N260" i="12"/>
  <c r="AI260" i="12" s="1"/>
  <c r="S345" i="12"/>
  <c r="AN345" i="12" s="1"/>
  <c r="X340" i="12"/>
  <c r="AS340" i="12" s="1"/>
  <c r="R259" i="12"/>
  <c r="AM259" i="12" s="1"/>
  <c r="N373" i="12"/>
  <c r="AI373" i="12" s="1"/>
  <c r="N351" i="12"/>
  <c r="AI351" i="12" s="1"/>
  <c r="P318" i="12"/>
  <c r="AK318" i="12" s="1"/>
  <c r="O316" i="12"/>
  <c r="AJ316" i="12" s="1"/>
  <c r="P262" i="12"/>
  <c r="AK262" i="12" s="1"/>
  <c r="Q316" i="12"/>
  <c r="AL316" i="12" s="1"/>
  <c r="R310" i="12"/>
  <c r="AM310" i="12" s="1"/>
  <c r="S286" i="12"/>
  <c r="AN286" i="12" s="1"/>
  <c r="F65" i="21"/>
  <c r="F153" i="21"/>
  <c r="F59" i="21"/>
  <c r="F165" i="21"/>
  <c r="F159" i="21"/>
  <c r="F71" i="21"/>
  <c r="K400" i="14"/>
  <c r="W335" i="14"/>
  <c r="F369" i="14"/>
  <c r="V384" i="14"/>
  <c r="N345" i="14"/>
  <c r="Z294" i="14"/>
  <c r="J357" i="14"/>
  <c r="Z370" i="14"/>
  <c r="E324" i="14"/>
  <c r="Z398" i="14"/>
  <c r="P375" i="14"/>
  <c r="Z408" i="14"/>
  <c r="J346" i="14"/>
  <c r="S412" i="14"/>
  <c r="X310" i="14"/>
  <c r="AA376" i="14"/>
  <c r="Y310" i="14"/>
  <c r="E377" i="14"/>
  <c r="Q314" i="14"/>
  <c r="Z345" i="14"/>
  <c r="E320" i="14"/>
  <c r="K349" i="14"/>
  <c r="V380" i="14"/>
  <c r="Q298" i="14"/>
  <c r="G337" i="14"/>
  <c r="P372" i="14"/>
  <c r="Q393" i="14"/>
  <c r="W305" i="14"/>
  <c r="X322" i="14"/>
  <c r="G341" i="14"/>
  <c r="V379" i="14"/>
  <c r="O291" i="14"/>
  <c r="W309" i="14"/>
  <c r="N348" i="14"/>
  <c r="T368" i="14"/>
  <c r="X385" i="14"/>
  <c r="T298" i="14"/>
  <c r="K337" i="14"/>
  <c r="T372" i="14"/>
  <c r="V393" i="14"/>
  <c r="V413" i="14"/>
  <c r="AA322" i="14"/>
  <c r="J341" i="14"/>
  <c r="R361" i="14"/>
  <c r="S401" i="14"/>
  <c r="F388" i="14"/>
  <c r="O406" i="14"/>
  <c r="AA314" i="14"/>
  <c r="R333" i="14"/>
  <c r="H349" i="14"/>
  <c r="AA365" i="14"/>
  <c r="N401" i="14"/>
  <c r="Z71" i="21"/>
  <c r="Z153" i="21"/>
  <c r="Z165" i="21"/>
  <c r="Z159" i="21"/>
  <c r="Z65" i="21"/>
  <c r="Z59" i="21"/>
  <c r="BJ63" i="22"/>
  <c r="AN7" i="22"/>
  <c r="BH7" i="22"/>
  <c r="G328" i="15"/>
  <c r="S354" i="15"/>
  <c r="O401" i="15"/>
  <c r="S391" i="15"/>
  <c r="V309" i="15"/>
  <c r="V353" i="15"/>
  <c r="W303" i="15"/>
  <c r="K373" i="15"/>
  <c r="Y392" i="15"/>
  <c r="S331" i="15"/>
  <c r="Q346" i="15"/>
  <c r="S297" i="15"/>
  <c r="AA310" i="15"/>
  <c r="K384" i="15"/>
  <c r="N325" i="15"/>
  <c r="K317" i="15"/>
  <c r="Y356" i="15"/>
  <c r="K316" i="15"/>
  <c r="R355" i="15"/>
  <c r="N315" i="15"/>
  <c r="K354" i="15"/>
  <c r="T404" i="15"/>
  <c r="AA352" i="15"/>
  <c r="J403" i="15"/>
  <c r="T351" i="15"/>
  <c r="E402" i="15"/>
  <c r="S378" i="15"/>
  <c r="I317" i="15"/>
  <c r="AA348" i="15"/>
  <c r="E294" i="15"/>
  <c r="K356" i="15"/>
  <c r="Z393" i="15"/>
  <c r="R394" i="15"/>
  <c r="P296" i="15"/>
  <c r="F353" i="15"/>
  <c r="P384" i="15"/>
  <c r="Y415" i="15"/>
  <c r="F335" i="15"/>
  <c r="S358" i="15"/>
  <c r="V405" i="15"/>
  <c r="V354" i="15"/>
  <c r="Y401" i="15"/>
  <c r="P317" i="15"/>
  <c r="S364" i="15"/>
  <c r="H388" i="15"/>
  <c r="S305" i="15"/>
  <c r="X348" i="15"/>
  <c r="E392" i="15"/>
  <c r="AB52" i="22"/>
  <c r="AV52" i="22"/>
  <c r="P255" i="12"/>
  <c r="AK255" i="12" s="1"/>
  <c r="W307" i="12"/>
  <c r="AR307" i="12" s="1"/>
  <c r="X365" i="12"/>
  <c r="AS365" i="12" s="1"/>
  <c r="S272" i="12"/>
  <c r="AN272" i="12" s="1"/>
  <c r="X272" i="12"/>
  <c r="AS272" i="12" s="1"/>
  <c r="X257" i="12"/>
  <c r="AS257" i="12" s="1"/>
  <c r="Q373" i="12"/>
  <c r="AL373" i="12" s="1"/>
  <c r="P339" i="12"/>
  <c r="AK339" i="12" s="1"/>
  <c r="W272" i="12"/>
  <c r="AR272" i="12" s="1"/>
  <c r="N321" i="12"/>
  <c r="AI321" i="12" s="1"/>
  <c r="CL7" i="20"/>
  <c r="CK7" i="20"/>
  <c r="CJ7" i="20"/>
  <c r="O29" i="22"/>
  <c r="L36" i="20"/>
  <c r="Z399" i="14"/>
  <c r="N343" i="14"/>
  <c r="V391" i="14"/>
  <c r="I370" i="14"/>
  <c r="W371" i="14"/>
  <c r="Y367" i="14"/>
  <c r="R373" i="14"/>
  <c r="S402" i="14"/>
  <c r="K290" i="14"/>
  <c r="Q347" i="14"/>
  <c r="K359" i="14"/>
  <c r="F301" i="14"/>
  <c r="Y370" i="14"/>
  <c r="E373" i="14"/>
  <c r="Z323" i="14"/>
  <c r="T389" i="14"/>
  <c r="R337" i="14"/>
  <c r="T312" i="14"/>
  <c r="O347" i="14"/>
  <c r="X378" i="14"/>
  <c r="K288" i="14"/>
  <c r="E316" i="14"/>
  <c r="I382" i="14"/>
  <c r="W374" i="14"/>
  <c r="X411" i="14"/>
  <c r="E312" i="14"/>
  <c r="O343" i="14"/>
  <c r="Y411" i="14"/>
  <c r="W317" i="14"/>
  <c r="X346" i="14"/>
  <c r="I378" i="14"/>
  <c r="Q415" i="14"/>
  <c r="X317" i="14"/>
  <c r="R352" i="14"/>
  <c r="S415" i="14"/>
  <c r="I321" i="14"/>
  <c r="S352" i="14"/>
  <c r="T387" i="14"/>
  <c r="H299" i="14"/>
  <c r="Q317" i="14"/>
  <c r="X337" i="14"/>
  <c r="O376" i="14"/>
  <c r="J394" i="14"/>
  <c r="I414" i="14"/>
  <c r="O306" i="14"/>
  <c r="W324" i="14"/>
  <c r="F345" i="14"/>
  <c r="F362" i="14"/>
  <c r="H402" i="14"/>
  <c r="O293" i="14"/>
  <c r="T313" i="14"/>
  <c r="V330" i="14"/>
  <c r="E349" i="14"/>
  <c r="K369" i="14"/>
  <c r="Z387" i="14"/>
  <c r="K299" i="14"/>
  <c r="T317" i="14"/>
  <c r="AA337" i="14"/>
  <c r="J356" i="14"/>
  <c r="R376" i="14"/>
  <c r="O394" i="14"/>
  <c r="O414" i="14"/>
  <c r="Z324" i="14"/>
  <c r="I345" i="14"/>
  <c r="I362" i="14"/>
  <c r="R380" i="14"/>
  <c r="K402" i="14"/>
  <c r="K410" i="14"/>
  <c r="W298" i="14"/>
  <c r="R315" i="14"/>
  <c r="AA350" i="14"/>
  <c r="H385" i="14"/>
  <c r="CH34" i="20"/>
  <c r="CM34" i="20"/>
  <c r="CI34" i="20"/>
  <c r="AH153" i="21"/>
  <c r="AH165" i="21"/>
  <c r="AH65" i="21"/>
  <c r="AH159" i="21"/>
  <c r="AH71" i="21"/>
  <c r="AH59" i="21"/>
  <c r="E340" i="14"/>
  <c r="P290" i="14"/>
  <c r="N307" i="14"/>
  <c r="Q335" i="14"/>
  <c r="AA381" i="14"/>
  <c r="Y353" i="14"/>
  <c r="X376" i="14"/>
  <c r="I383" i="14"/>
  <c r="W407" i="14"/>
  <c r="Q402" i="14"/>
  <c r="P408" i="14"/>
  <c r="K292" i="14"/>
  <c r="O354" i="14"/>
  <c r="O303" i="14"/>
  <c r="V361" i="14"/>
  <c r="P303" i="14"/>
  <c r="AA372" i="14"/>
  <c r="G317" i="14"/>
  <c r="S389" i="14"/>
  <c r="K326" i="14"/>
  <c r="V392" i="14"/>
  <c r="V339" i="14"/>
  <c r="P410" i="14"/>
  <c r="K319" i="14"/>
  <c r="S348" i="14"/>
  <c r="E380" i="14"/>
  <c r="I289" i="14"/>
  <c r="N319" i="14"/>
  <c r="G354" i="14"/>
  <c r="O383" i="14"/>
  <c r="V375" i="14"/>
  <c r="G413" i="14"/>
  <c r="K315" i="14"/>
  <c r="F350" i="14"/>
  <c r="N379" i="14"/>
  <c r="H413" i="14"/>
  <c r="V318" i="14"/>
  <c r="G350" i="14"/>
  <c r="Z384" i="14"/>
  <c r="T288" i="14"/>
  <c r="W318" i="14"/>
  <c r="W353" i="14"/>
  <c r="J385" i="14"/>
  <c r="V293" i="14"/>
  <c r="O322" i="14"/>
  <c r="X353" i="14"/>
  <c r="AA388" i="14"/>
  <c r="G301" i="14"/>
  <c r="O321" i="14"/>
  <c r="P338" i="14"/>
  <c r="W356" i="14"/>
  <c r="F377" i="14"/>
  <c r="N396" i="14"/>
  <c r="F290" i="14"/>
  <c r="F307" i="14"/>
  <c r="O325" i="14"/>
  <c r="V345" i="14"/>
  <c r="E364" i="14"/>
  <c r="K384" i="14"/>
  <c r="Y402" i="14"/>
  <c r="F294" i="14"/>
  <c r="K314" i="14"/>
  <c r="T332" i="14"/>
  <c r="AA352" i="14"/>
  <c r="AA369" i="14"/>
  <c r="S388" i="14"/>
  <c r="W410" i="14"/>
  <c r="K301" i="14"/>
  <c r="S321" i="14"/>
  <c r="S338" i="14"/>
  <c r="Z356" i="14"/>
  <c r="I377" i="14"/>
  <c r="Q396" i="14"/>
  <c r="I290" i="14"/>
  <c r="J307" i="14"/>
  <c r="R325" i="14"/>
  <c r="Y345" i="14"/>
  <c r="I364" i="14"/>
  <c r="P384" i="14"/>
  <c r="E403" i="14"/>
  <c r="V390" i="14"/>
  <c r="E411" i="14"/>
  <c r="R300" i="14"/>
  <c r="H319" i="14"/>
  <c r="W334" i="14"/>
  <c r="R351" i="14"/>
  <c r="H370" i="14"/>
  <c r="AA386" i="14"/>
  <c r="R405" i="14"/>
  <c r="CK30" i="20"/>
  <c r="CL30" i="20"/>
  <c r="CJ30" i="20"/>
  <c r="S81" i="22"/>
  <c r="X20" i="21"/>
  <c r="X19" i="21"/>
  <c r="BA111" i="20"/>
  <c r="BA107" i="20"/>
  <c r="BD107" i="20" s="1"/>
  <c r="CM11" i="20"/>
  <c r="CI11" i="20"/>
  <c r="CH11" i="20"/>
  <c r="CM10" i="20"/>
  <c r="CI10" i="20"/>
  <c r="CH10" i="20"/>
  <c r="AI10" i="25"/>
  <c r="AI10" i="24"/>
  <c r="AP10" i="24" s="1"/>
  <c r="AI10" i="23"/>
  <c r="AP10" i="23" s="1"/>
  <c r="F28" i="22"/>
  <c r="N30" i="22"/>
  <c r="Q340" i="15"/>
  <c r="R378" i="15"/>
  <c r="P295" i="15"/>
  <c r="O327" i="15"/>
  <c r="AA367" i="15"/>
  <c r="H289" i="15"/>
  <c r="S330" i="15"/>
  <c r="S382" i="15"/>
  <c r="S306" i="15"/>
  <c r="Z311" i="15"/>
  <c r="S385" i="15"/>
  <c r="K326" i="15"/>
  <c r="AA404" i="15"/>
  <c r="T340" i="15"/>
  <c r="X292" i="15"/>
  <c r="S357" i="15"/>
  <c r="Z305" i="15"/>
  <c r="G377" i="15"/>
  <c r="Z319" i="15"/>
  <c r="P396" i="15"/>
  <c r="I334" i="15"/>
  <c r="K415" i="15"/>
  <c r="P322" i="15"/>
  <c r="V363" i="15"/>
  <c r="E414" i="15"/>
  <c r="Q321" i="15"/>
  <c r="O362" i="15"/>
  <c r="V412" i="15"/>
  <c r="Q320" i="15"/>
  <c r="G361" i="15"/>
  <c r="O411" i="15"/>
  <c r="S319" i="15"/>
  <c r="Y359" i="15"/>
  <c r="H410" i="15"/>
  <c r="S318" i="15"/>
  <c r="R358" i="15"/>
  <c r="Z408" i="15"/>
  <c r="Y383" i="15"/>
  <c r="J292" i="15"/>
  <c r="R321" i="15"/>
  <c r="Z353" i="15"/>
  <c r="T391" i="15"/>
  <c r="AA297" i="15"/>
  <c r="V327" i="15"/>
  <c r="R361" i="15"/>
  <c r="G399" i="15"/>
  <c r="R367" i="15"/>
  <c r="AA398" i="15"/>
  <c r="E300" i="15"/>
  <c r="Q327" i="15"/>
  <c r="P357" i="15"/>
  <c r="Y388" i="15"/>
  <c r="H291" i="15"/>
  <c r="W314" i="15"/>
  <c r="K338" i="15"/>
  <c r="Y361" i="15"/>
  <c r="P385" i="15"/>
  <c r="E409" i="15"/>
  <c r="E358" i="15"/>
  <c r="R381" i="15"/>
  <c r="G405" i="15"/>
  <c r="W320" i="15"/>
  <c r="K344" i="15"/>
  <c r="Y367" i="15"/>
  <c r="P391" i="15"/>
  <c r="E415" i="15"/>
  <c r="S308" i="15"/>
  <c r="I330" i="15"/>
  <c r="X351" i="15"/>
  <c r="O373" i="15"/>
  <c r="E395" i="15"/>
  <c r="D28" i="22"/>
  <c r="AW7" i="22"/>
  <c r="H22" i="22"/>
  <c r="Q330" i="12"/>
  <c r="AL330" i="12" s="1"/>
  <c r="R363" i="12"/>
  <c r="AM363" i="12" s="1"/>
  <c r="Q309" i="12"/>
  <c r="AL309" i="12" s="1"/>
  <c r="W270" i="12"/>
  <c r="AR270" i="12" s="1"/>
  <c r="X322" i="12"/>
  <c r="AS322" i="12" s="1"/>
  <c r="O278" i="12"/>
  <c r="AJ278" i="12" s="1"/>
  <c r="S279" i="12"/>
  <c r="AN279" i="12" s="1"/>
  <c r="Q271" i="12"/>
  <c r="AL271" i="12" s="1"/>
  <c r="X266" i="12"/>
  <c r="AS266" i="12" s="1"/>
  <c r="P258" i="12"/>
  <c r="AK258" i="12" s="1"/>
  <c r="W253" i="12"/>
  <c r="AR253" i="12" s="1"/>
  <c r="O369" i="12"/>
  <c r="AJ369" i="12" s="1"/>
  <c r="P361" i="12"/>
  <c r="AK361" i="12" s="1"/>
  <c r="P346" i="12"/>
  <c r="AK346" i="12" s="1"/>
  <c r="O334" i="12"/>
  <c r="AJ334" i="12" s="1"/>
  <c r="P280" i="12"/>
  <c r="AK280" i="12" s="1"/>
  <c r="X355" i="12"/>
  <c r="AS355" i="12" s="1"/>
  <c r="Q334" i="12"/>
  <c r="AL334" i="12" s="1"/>
  <c r="R328" i="12"/>
  <c r="AM328" i="12" s="1"/>
  <c r="S304" i="12"/>
  <c r="AN304" i="12" s="1"/>
  <c r="P342" i="12"/>
  <c r="AK342" i="12" s="1"/>
  <c r="CL33" i="20"/>
  <c r="CK33" i="20"/>
  <c r="CJ33" i="20"/>
  <c r="AO10" i="22"/>
  <c r="BI10" i="22"/>
  <c r="X377" i="14"/>
  <c r="O67" i="22"/>
  <c r="N250" i="12"/>
  <c r="AI250" i="12" s="1"/>
  <c r="R264" i="12"/>
  <c r="AM264" i="12" s="1"/>
  <c r="R355" i="12"/>
  <c r="AM355" i="12" s="1"/>
  <c r="P338" i="12"/>
  <c r="AK338" i="12" s="1"/>
  <c r="X346" i="12"/>
  <c r="AS346" i="12" s="1"/>
  <c r="X326" i="12"/>
  <c r="AS326" i="12" s="1"/>
  <c r="N368" i="12"/>
  <c r="AI368" i="12" s="1"/>
  <c r="G21" i="9"/>
  <c r="G30" i="9" s="1"/>
  <c r="G23" i="9"/>
  <c r="G32" i="9" s="1"/>
  <c r="CK9" i="20"/>
  <c r="CJ9" i="20"/>
  <c r="CL9" i="20"/>
  <c r="AD153" i="21"/>
  <c r="AD65" i="21"/>
  <c r="AD159" i="21"/>
  <c r="AD165" i="21"/>
  <c r="AD71" i="21"/>
  <c r="AD59" i="21"/>
  <c r="F382" i="14"/>
  <c r="O375" i="14"/>
  <c r="S382" i="14"/>
  <c r="P360" i="14"/>
  <c r="E315" i="14"/>
  <c r="I405" i="14"/>
  <c r="I147" i="21"/>
  <c r="I141" i="21"/>
  <c r="I53" i="21"/>
  <c r="I47" i="21"/>
  <c r="CK29" i="20"/>
  <c r="CJ29" i="20"/>
  <c r="CL29" i="20"/>
  <c r="X141" i="21"/>
  <c r="X147" i="21"/>
  <c r="X53" i="21"/>
  <c r="X47" i="21"/>
  <c r="AL7" i="22"/>
  <c r="BF7" i="22"/>
  <c r="AG47" i="22"/>
  <c r="BA47" i="22"/>
  <c r="P341" i="15"/>
  <c r="V406" i="15"/>
  <c r="W304" i="15"/>
  <c r="R336" i="15"/>
  <c r="J373" i="15"/>
  <c r="T293" i="15"/>
  <c r="R334" i="15"/>
  <c r="K387" i="15"/>
  <c r="AA309" i="15"/>
  <c r="W313" i="15"/>
  <c r="I388" i="15"/>
  <c r="H328" i="15"/>
  <c r="R407" i="15"/>
  <c r="T342" i="15"/>
  <c r="R294" i="15"/>
  <c r="H360" i="15"/>
  <c r="S307" i="15"/>
  <c r="F379" i="15"/>
  <c r="Y321" i="15"/>
  <c r="O398" i="15"/>
  <c r="W335" i="15"/>
  <c r="O288" i="15"/>
  <c r="Q323" i="15"/>
  <c r="G365" i="15"/>
  <c r="N415" i="15"/>
  <c r="Q322" i="15"/>
  <c r="W363" i="15"/>
  <c r="G414" i="15"/>
  <c r="S321" i="15"/>
  <c r="W362" i="15"/>
  <c r="X412" i="15"/>
  <c r="R320" i="15"/>
  <c r="N361" i="15"/>
  <c r="R411" i="15"/>
  <c r="V319" i="15"/>
  <c r="G360" i="15"/>
  <c r="I410" i="15"/>
  <c r="AA384" i="15"/>
  <c r="F293" i="15"/>
  <c r="N322" i="15"/>
  <c r="E355" i="15"/>
  <c r="R392" i="15"/>
  <c r="V298" i="15"/>
  <c r="T328" i="15"/>
  <c r="P362" i="15"/>
  <c r="J400" i="15"/>
  <c r="N368" i="15"/>
  <c r="W399" i="15"/>
  <c r="V300" i="15"/>
  <c r="J328" i="15"/>
  <c r="J358" i="15"/>
  <c r="V389" i="15"/>
  <c r="Y291" i="15"/>
  <c r="O315" i="15"/>
  <c r="AA338" i="15"/>
  <c r="Q362" i="15"/>
  <c r="G386" i="15"/>
  <c r="T409" i="15"/>
  <c r="T358" i="15"/>
  <c r="I382" i="15"/>
  <c r="W405" i="15"/>
  <c r="O321" i="15"/>
  <c r="AA344" i="15"/>
  <c r="Q368" i="15"/>
  <c r="G392" i="15"/>
  <c r="T415" i="15"/>
  <c r="I309" i="15"/>
  <c r="X330" i="15"/>
  <c r="O352" i="15"/>
  <c r="E374" i="15"/>
  <c r="H36" i="22"/>
  <c r="AN4" i="22"/>
  <c r="BH4" i="22"/>
  <c r="W301" i="12"/>
  <c r="AR301" i="12" s="1"/>
  <c r="N262" i="12"/>
  <c r="AI262" i="12" s="1"/>
  <c r="Q279" i="12"/>
  <c r="AL279" i="12" s="1"/>
  <c r="Q246" i="12"/>
  <c r="S278" i="12"/>
  <c r="AN278" i="12" s="1"/>
  <c r="R354" i="12"/>
  <c r="AM354" i="12" s="1"/>
  <c r="X297" i="12"/>
  <c r="AS297" i="12" s="1"/>
  <c r="N301" i="12"/>
  <c r="AI301" i="12" s="1"/>
  <c r="Q288" i="12"/>
  <c r="AL288" i="12" s="1"/>
  <c r="O281" i="12"/>
  <c r="AJ281" i="12" s="1"/>
  <c r="S271" i="12"/>
  <c r="AN271" i="12" s="1"/>
  <c r="N263" i="12"/>
  <c r="AI263" i="12" s="1"/>
  <c r="O254" i="12"/>
  <c r="AJ254" i="12" s="1"/>
  <c r="P284" i="12"/>
  <c r="AK284" i="12" s="1"/>
  <c r="S359" i="12"/>
  <c r="AN359" i="12" s="1"/>
  <c r="S346" i="12"/>
  <c r="AN346" i="12" s="1"/>
  <c r="W290" i="12"/>
  <c r="AR290" i="12" s="1"/>
  <c r="P367" i="12"/>
  <c r="AK367" i="12" s="1"/>
  <c r="N345" i="12"/>
  <c r="AI345" i="12" s="1"/>
  <c r="N339" i="12"/>
  <c r="AI339" i="12" s="1"/>
  <c r="O315" i="12"/>
  <c r="AJ315" i="12" s="1"/>
  <c r="W352" i="12"/>
  <c r="AR352" i="12" s="1"/>
  <c r="J38" i="22"/>
  <c r="R79" i="22"/>
  <c r="AX20" i="22"/>
  <c r="AD20" i="22"/>
  <c r="R347" i="14"/>
  <c r="Q309" i="14"/>
  <c r="W333" i="14"/>
  <c r="K330" i="14"/>
  <c r="X406" i="14"/>
  <c r="I353" i="14"/>
  <c r="Y332" i="14"/>
  <c r="Z332" i="14"/>
  <c r="P297" i="14"/>
  <c r="Q297" i="14"/>
  <c r="V363" i="14"/>
  <c r="W399" i="14"/>
  <c r="G367" i="14"/>
  <c r="J329" i="14"/>
  <c r="Z297" i="14"/>
  <c r="R353" i="14"/>
  <c r="X360" i="14"/>
  <c r="H405" i="14"/>
  <c r="H394" i="14"/>
  <c r="CH20" i="20"/>
  <c r="CM20" i="20"/>
  <c r="CI20" i="20"/>
  <c r="R67" i="22"/>
  <c r="K141" i="21"/>
  <c r="K53" i="21"/>
  <c r="K147" i="21"/>
  <c r="K47" i="21"/>
  <c r="BC52" i="22"/>
  <c r="AI52" i="22"/>
  <c r="J409" i="15"/>
  <c r="Y303" i="15"/>
  <c r="E366" i="15"/>
  <c r="AA300" i="15"/>
  <c r="P328" i="15"/>
  <c r="P360" i="15"/>
  <c r="X298" i="15"/>
  <c r="N379" i="15"/>
  <c r="F378" i="15"/>
  <c r="Q397" i="15"/>
  <c r="V332" i="15"/>
  <c r="F308" i="15"/>
  <c r="J410" i="15"/>
  <c r="V337" i="15"/>
  <c r="J323" i="15"/>
  <c r="AA393" i="15"/>
  <c r="J329" i="15"/>
  <c r="N376" i="15"/>
  <c r="E338" i="15"/>
  <c r="AK18" i="22"/>
  <c r="BE18" i="22"/>
  <c r="P368" i="12"/>
  <c r="AK368" i="12" s="1"/>
  <c r="S285" i="12"/>
  <c r="AN285" i="12" s="1"/>
  <c r="X356" i="12"/>
  <c r="AS356" i="12" s="1"/>
  <c r="N326" i="12"/>
  <c r="AI326" i="12" s="1"/>
  <c r="Q274" i="12"/>
  <c r="AL274" i="12" s="1"/>
  <c r="W303" i="12"/>
  <c r="AR303" i="12" s="1"/>
  <c r="O292" i="12"/>
  <c r="AJ292" i="12" s="1"/>
  <c r="N365" i="12"/>
  <c r="AI365" i="12" s="1"/>
  <c r="R358" i="12"/>
  <c r="AM358" i="12" s="1"/>
  <c r="P372" i="12"/>
  <c r="AK372" i="12" s="1"/>
  <c r="M17" i="21"/>
  <c r="R56" i="20"/>
  <c r="M16" i="21"/>
  <c r="R52" i="20"/>
  <c r="U52" i="20" s="1"/>
  <c r="T320" i="14"/>
  <c r="E318" i="14"/>
  <c r="W342" i="14"/>
  <c r="P332" i="14"/>
  <c r="Y409" i="14"/>
  <c r="T310" i="14"/>
  <c r="I365" i="14"/>
  <c r="G334" i="14"/>
  <c r="AA396" i="14"/>
  <c r="X329" i="14"/>
  <c r="Z364" i="14"/>
  <c r="J304" i="14"/>
  <c r="F401" i="14"/>
  <c r="W404" i="14"/>
  <c r="Z329" i="14"/>
  <c r="J348" i="14"/>
  <c r="T385" i="14"/>
  <c r="I354" i="14"/>
  <c r="S393" i="14"/>
  <c r="Y322" i="14"/>
  <c r="X379" i="14"/>
  <c r="X309" i="14"/>
  <c r="O348" i="14"/>
  <c r="Y385" i="14"/>
  <c r="V298" i="14"/>
  <c r="N354" i="14"/>
  <c r="W413" i="14"/>
  <c r="W343" i="14"/>
  <c r="D153" i="21"/>
  <c r="D59" i="21"/>
  <c r="D159" i="21"/>
  <c r="D71" i="21"/>
  <c r="D165" i="21"/>
  <c r="D65" i="21"/>
  <c r="AB141" i="21"/>
  <c r="AB53" i="21"/>
  <c r="AB47" i="21"/>
  <c r="AB147" i="21"/>
  <c r="Z344" i="14"/>
  <c r="Q331" i="14"/>
  <c r="Q360" i="14"/>
  <c r="N385" i="14"/>
  <c r="S343" i="14"/>
  <c r="G355" i="14"/>
  <c r="V378" i="14"/>
  <c r="S395" i="14"/>
  <c r="S407" i="14"/>
  <c r="Z342" i="14"/>
  <c r="S309" i="14"/>
  <c r="K370" i="14"/>
  <c r="T373" i="14"/>
  <c r="K313" i="14"/>
  <c r="P379" i="14"/>
  <c r="Q379" i="14"/>
  <c r="Y314" i="14"/>
  <c r="X392" i="14"/>
  <c r="Y301" i="14"/>
  <c r="W377" i="14"/>
  <c r="W290" i="14"/>
  <c r="O346" i="14"/>
  <c r="F405" i="14"/>
  <c r="N333" i="14"/>
  <c r="E393" i="14"/>
  <c r="K322" i="14"/>
  <c r="Z360" i="14"/>
  <c r="O387" i="14"/>
  <c r="H313" i="14"/>
  <c r="AA329" i="14"/>
  <c r="R348" i="14"/>
  <c r="AA383" i="14"/>
  <c r="N69" i="22"/>
  <c r="AA320" i="15"/>
  <c r="O300" i="15"/>
  <c r="T389" i="15"/>
  <c r="N327" i="15"/>
  <c r="S399" i="15"/>
  <c r="I335" i="15"/>
  <c r="Z410" i="15"/>
  <c r="X343" i="15"/>
  <c r="W293" i="15"/>
  <c r="R353" i="15"/>
  <c r="N301" i="15"/>
  <c r="R363" i="15"/>
  <c r="R308" i="15"/>
  <c r="AA379" i="15"/>
  <c r="K320" i="15"/>
  <c r="Y396" i="15"/>
  <c r="T332" i="15"/>
  <c r="Z403" i="15"/>
  <c r="W389" i="15"/>
  <c r="I373" i="15"/>
  <c r="G358" i="15"/>
  <c r="N345" i="15"/>
  <c r="P332" i="15"/>
  <c r="I356" i="15"/>
  <c r="Z351" i="15"/>
  <c r="J345" i="15"/>
  <c r="K366" i="15"/>
  <c r="AA290" i="15"/>
  <c r="Q336" i="15"/>
  <c r="P325" i="15"/>
  <c r="F315" i="15"/>
  <c r="F303" i="15"/>
  <c r="K295" i="15"/>
  <c r="AA291" i="15"/>
  <c r="W396" i="15"/>
  <c r="P308" i="15"/>
  <c r="O392" i="15"/>
  <c r="I359" i="15"/>
  <c r="F306" i="15"/>
  <c r="S370" i="15"/>
  <c r="V313" i="15"/>
  <c r="R382" i="15"/>
  <c r="H322" i="15"/>
  <c r="P392" i="15"/>
  <c r="R329" i="15"/>
  <c r="H409" i="15"/>
  <c r="X341" i="15"/>
  <c r="F292" i="15"/>
  <c r="N356" i="15"/>
  <c r="K303" i="15"/>
  <c r="AA316" i="15"/>
  <c r="V306" i="15"/>
  <c r="V296" i="15"/>
  <c r="O413" i="15"/>
  <c r="I395" i="15"/>
  <c r="J338" i="15"/>
  <c r="R332" i="15"/>
  <c r="O329" i="15"/>
  <c r="G303" i="15"/>
  <c r="P300" i="15"/>
  <c r="N392" i="15"/>
  <c r="X414" i="15"/>
  <c r="S407" i="15"/>
  <c r="O400" i="15"/>
  <c r="I393" i="15"/>
  <c r="E386" i="15"/>
  <c r="X378" i="15"/>
  <c r="S371" i="15"/>
  <c r="O364" i="15"/>
  <c r="I357" i="15"/>
  <c r="E350" i="15"/>
  <c r="X342" i="15"/>
  <c r="S335" i="15"/>
  <c r="O328" i="15"/>
  <c r="I321" i="15"/>
  <c r="E314" i="15"/>
  <c r="X306" i="15"/>
  <c r="S299" i="15"/>
  <c r="O292" i="15"/>
  <c r="F413" i="15"/>
  <c r="H405" i="15"/>
  <c r="K397" i="15"/>
  <c r="P389" i="15"/>
  <c r="S381" i="15"/>
  <c r="W373" i="15"/>
  <c r="Z365" i="15"/>
  <c r="F358" i="15"/>
  <c r="I350" i="15"/>
  <c r="N342" i="15"/>
  <c r="Q334" i="15"/>
  <c r="T326" i="15"/>
  <c r="W318" i="15"/>
  <c r="Z310" i="15"/>
  <c r="E411" i="15"/>
  <c r="H403" i="15"/>
  <c r="K395" i="15"/>
  <c r="P387" i="15"/>
  <c r="S379" i="15"/>
  <c r="W371" i="15"/>
  <c r="Z363" i="15"/>
  <c r="F356" i="15"/>
  <c r="H348" i="15"/>
  <c r="Z414" i="15"/>
  <c r="F407" i="15"/>
  <c r="H399" i="15"/>
  <c r="K391" i="15"/>
  <c r="P383" i="15"/>
  <c r="S375" i="15"/>
  <c r="W367" i="15"/>
  <c r="Z359" i="15"/>
  <c r="F352" i="15"/>
  <c r="I344" i="15"/>
  <c r="N336" i="15"/>
  <c r="Q328" i="15"/>
  <c r="T320" i="15"/>
  <c r="W312" i="15"/>
  <c r="Z304" i="15"/>
  <c r="F297" i="15"/>
  <c r="I289" i="15"/>
  <c r="I407" i="15"/>
  <c r="V396" i="15"/>
  <c r="J386" i="15"/>
  <c r="W375" i="15"/>
  <c r="K365" i="15"/>
  <c r="Y354" i="15"/>
  <c r="N344" i="15"/>
  <c r="S334" i="15"/>
  <c r="G325" i="15"/>
  <c r="V315" i="15"/>
  <c r="P306" i="15"/>
  <c r="Z297" i="15"/>
  <c r="K289" i="15"/>
  <c r="X406" i="15"/>
  <c r="N396" i="15"/>
  <c r="Y385" i="15"/>
  <c r="O375" i="15"/>
  <c r="Z364" i="15"/>
  <c r="P354" i="15"/>
  <c r="T408" i="15"/>
  <c r="G396" i="15"/>
  <c r="O383" i="15"/>
  <c r="Y370" i="15"/>
  <c r="N358" i="15"/>
  <c r="K346" i="15"/>
  <c r="P335" i="15"/>
  <c r="H325" i="15"/>
  <c r="Z314" i="15"/>
  <c r="Y304" i="15"/>
  <c r="R295" i="15"/>
  <c r="Q413" i="15"/>
  <c r="F401" i="15"/>
  <c r="P388" i="15"/>
  <c r="AA375" i="15"/>
  <c r="O363" i="15"/>
  <c r="V350" i="15"/>
  <c r="Q339" i="15"/>
  <c r="K329" i="15"/>
  <c r="E319" i="15"/>
  <c r="V308" i="15"/>
  <c r="J299" i="15"/>
  <c r="Z289" i="15"/>
  <c r="Z405" i="15"/>
  <c r="J393" i="15"/>
  <c r="V380" i="15"/>
  <c r="H368" i="15"/>
  <c r="S355" i="15"/>
  <c r="W404" i="15"/>
  <c r="AA387" i="15"/>
  <c r="J371" i="15"/>
  <c r="O354" i="15"/>
  <c r="I340" i="15"/>
  <c r="E328" i="15"/>
  <c r="S315" i="15"/>
  <c r="V303" i="15"/>
  <c r="R292" i="15"/>
  <c r="F406" i="15"/>
  <c r="I389" i="15"/>
  <c r="R372" i="15"/>
  <c r="W355" i="15"/>
  <c r="I341" i="15"/>
  <c r="Y328" i="15"/>
  <c r="R316" i="15"/>
  <c r="R304" i="15"/>
  <c r="N293" i="15"/>
  <c r="K407" i="15"/>
  <c r="P390" i="15"/>
  <c r="X373" i="15"/>
  <c r="AA356" i="15"/>
  <c r="H342" i="15"/>
  <c r="W329" i="15"/>
  <c r="R317" i="15"/>
  <c r="N305" i="15"/>
  <c r="H294" i="15"/>
  <c r="R408" i="15"/>
  <c r="W391" i="15"/>
  <c r="G375" i="15"/>
  <c r="K358" i="15"/>
  <c r="J343" i="15"/>
  <c r="W330" i="15"/>
  <c r="P318" i="15"/>
  <c r="H306" i="15"/>
  <c r="F295" i="15"/>
  <c r="Z409" i="15"/>
  <c r="F393" i="15"/>
  <c r="P376" i="15"/>
  <c r="R359" i="15"/>
  <c r="P344" i="15"/>
  <c r="T331" i="15"/>
  <c r="N319" i="15"/>
  <c r="G307" i="15"/>
  <c r="Z295" i="15"/>
  <c r="H408" i="15"/>
  <c r="Y379" i="15"/>
  <c r="AA350" i="15"/>
  <c r="AA328" i="15"/>
  <c r="V307" i="15"/>
  <c r="K288" i="15"/>
  <c r="Z388" i="15"/>
  <c r="N360" i="15"/>
  <c r="T335" i="15"/>
  <c r="V314" i="15"/>
  <c r="V294" i="15"/>
  <c r="K398" i="15"/>
  <c r="E370" i="15"/>
  <c r="W342" i="15"/>
  <c r="N321" i="15"/>
  <c r="H301" i="15"/>
  <c r="Z407" i="15"/>
  <c r="W378" i="15"/>
  <c r="R350" i="15"/>
  <c r="K328" i="15"/>
  <c r="Q307" i="15"/>
  <c r="G288" i="15"/>
  <c r="N388" i="15"/>
  <c r="Q359" i="15"/>
  <c r="O335" i="15"/>
  <c r="F314" i="15"/>
  <c r="Q294" i="15"/>
  <c r="F398" i="15"/>
  <c r="AA368" i="15"/>
  <c r="S342" i="15"/>
  <c r="F321" i="15"/>
  <c r="Q300" i="15"/>
  <c r="W406" i="15"/>
  <c r="Q378" i="15"/>
  <c r="W349" i="15"/>
  <c r="F328" i="15"/>
  <c r="W306" i="15"/>
  <c r="Z411" i="15"/>
  <c r="AA343" i="15"/>
  <c r="Z294" i="15"/>
  <c r="W353" i="15"/>
  <c r="AA301" i="15"/>
  <c r="V365" i="15"/>
  <c r="Y309" i="15"/>
  <c r="Y375" i="15"/>
  <c r="H317" i="15"/>
  <c r="H387" i="15"/>
  <c r="F326" i="15"/>
  <c r="N402" i="15"/>
  <c r="S337" i="15"/>
  <c r="Z288" i="15"/>
  <c r="G351" i="15"/>
  <c r="G300" i="15"/>
  <c r="Y306" i="15"/>
  <c r="W296" i="15"/>
  <c r="P413" i="15"/>
  <c r="W397" i="15"/>
  <c r="N380" i="15"/>
  <c r="AA318" i="15"/>
  <c r="AA311" i="15"/>
  <c r="R310" i="15"/>
  <c r="P378" i="15"/>
  <c r="K300" i="15"/>
  <c r="V349" i="15"/>
  <c r="Q325" i="15"/>
  <c r="O356" i="15"/>
  <c r="Z293" i="15"/>
  <c r="AA306" i="15"/>
  <c r="Q335" i="15"/>
  <c r="T350" i="15"/>
  <c r="Q389" i="15"/>
  <c r="E349" i="15"/>
  <c r="P397" i="15"/>
  <c r="V346" i="15"/>
  <c r="Y394" i="15"/>
  <c r="V344" i="15"/>
  <c r="F312" i="15"/>
  <c r="N289" i="15"/>
  <c r="V387" i="15"/>
  <c r="K389" i="15"/>
  <c r="I379" i="15"/>
  <c r="R307" i="15"/>
  <c r="T354" i="15"/>
  <c r="X350" i="15"/>
  <c r="Z397" i="15"/>
  <c r="J384" i="15"/>
  <c r="S323" i="15"/>
  <c r="X366" i="15"/>
  <c r="S343" i="12"/>
  <c r="AN343" i="12" s="1"/>
  <c r="R318" i="12"/>
  <c r="AM318" i="12" s="1"/>
  <c r="R261" i="12"/>
  <c r="AM261" i="12" s="1"/>
  <c r="Q253" i="12"/>
  <c r="AL253" i="12" s="1"/>
  <c r="X363" i="12"/>
  <c r="AS363" i="12" s="1"/>
  <c r="R335" i="12"/>
  <c r="AM335" i="12" s="1"/>
  <c r="W327" i="12"/>
  <c r="AR327" i="12" s="1"/>
  <c r="P334" i="12"/>
  <c r="AK334" i="12" s="1"/>
  <c r="AG63" i="22"/>
  <c r="BA63" i="22"/>
  <c r="Y295" i="14"/>
  <c r="Q377" i="14"/>
  <c r="S363" i="14"/>
  <c r="AA288" i="14"/>
  <c r="K381" i="14"/>
  <c r="R404" i="14"/>
  <c r="P401" i="14"/>
  <c r="CM22" i="20"/>
  <c r="CI22" i="20"/>
  <c r="CH22" i="20"/>
  <c r="L19" i="20"/>
  <c r="F352" i="14"/>
  <c r="Y311" i="14"/>
  <c r="S327" i="14"/>
  <c r="O345" i="14"/>
  <c r="J295" i="14"/>
  <c r="E382" i="14"/>
  <c r="E389" i="14"/>
  <c r="X413" i="14"/>
  <c r="Z289" i="14"/>
  <c r="Y306" i="14"/>
  <c r="J294" i="14"/>
  <c r="R356" i="14"/>
  <c r="R305" i="14"/>
  <c r="O368" i="14"/>
  <c r="X316" i="14"/>
  <c r="J319" i="14"/>
  <c r="S392" i="14"/>
  <c r="E333" i="14"/>
  <c r="O410" i="14"/>
  <c r="G342" i="14"/>
  <c r="P413" i="14"/>
  <c r="Q320" i="14"/>
  <c r="Z351" i="14"/>
  <c r="Y386" i="14"/>
  <c r="J290" i="14"/>
  <c r="R320" i="14"/>
  <c r="K355" i="14"/>
  <c r="Z386" i="14"/>
  <c r="G414" i="14"/>
  <c r="Q316" i="14"/>
  <c r="J351" i="14"/>
  <c r="T382" i="14"/>
  <c r="T291" i="14"/>
  <c r="Z319" i="14"/>
  <c r="K351" i="14"/>
  <c r="I386" i="14"/>
  <c r="V291" i="14"/>
  <c r="T325" i="14"/>
  <c r="V354" i="14"/>
  <c r="J386" i="14"/>
  <c r="S294" i="14"/>
  <c r="V325" i="14"/>
  <c r="J390" i="14"/>
  <c r="X301" i="14"/>
  <c r="F322" i="14"/>
  <c r="O340" i="14"/>
  <c r="V360" i="14"/>
  <c r="V377" i="14"/>
  <c r="F397" i="14"/>
  <c r="V290" i="14"/>
  <c r="F309" i="14"/>
  <c r="K329" i="14"/>
  <c r="N346" i="14"/>
  <c r="T364" i="14"/>
  <c r="E385" i="14"/>
  <c r="E405" i="14"/>
  <c r="AA297" i="14"/>
  <c r="K333" i="14"/>
  <c r="S353" i="14"/>
  <c r="Z371" i="14"/>
  <c r="Z392" i="14"/>
  <c r="P411" i="14"/>
  <c r="AA301" i="14"/>
  <c r="J322" i="14"/>
  <c r="R340" i="14"/>
  <c r="Y360" i="14"/>
  <c r="Y377" i="14"/>
  <c r="K397" i="14"/>
  <c r="Y290" i="14"/>
  <c r="I309" i="14"/>
  <c r="Q329" i="14"/>
  <c r="Q346" i="14"/>
  <c r="Y364" i="14"/>
  <c r="I385" i="14"/>
  <c r="S394" i="14"/>
  <c r="T411" i="14"/>
  <c r="H301" i="14"/>
  <c r="W319" i="14"/>
  <c r="R336" i="14"/>
  <c r="H355" i="14"/>
  <c r="W370" i="14"/>
  <c r="R387" i="14"/>
  <c r="H406" i="14"/>
  <c r="N15" i="22"/>
  <c r="M13" i="22"/>
  <c r="O15" i="22"/>
  <c r="Q14" i="22"/>
  <c r="E14" i="22"/>
  <c r="L15" i="22"/>
  <c r="BC9" i="22" s="1"/>
  <c r="K15" i="22"/>
  <c r="P13" i="22"/>
  <c r="G14" i="22"/>
  <c r="O12" i="22"/>
  <c r="D14" i="22"/>
  <c r="D15" i="22"/>
  <c r="I14" i="22"/>
  <c r="M15" i="22"/>
  <c r="BD9" i="22" s="1"/>
  <c r="K13" i="22"/>
  <c r="F14" i="22"/>
  <c r="F12" i="22"/>
  <c r="R13" i="22"/>
  <c r="F13" i="22"/>
  <c r="E15" i="22"/>
  <c r="M12" i="22"/>
  <c r="H12" i="22"/>
  <c r="G13" i="22"/>
  <c r="H13" i="22"/>
  <c r="J13" i="22"/>
  <c r="H14" i="22"/>
  <c r="K14" i="22"/>
  <c r="I13" i="22"/>
  <c r="R12" i="22"/>
  <c r="J12" i="22"/>
  <c r="P14" i="22"/>
  <c r="R14" i="22"/>
  <c r="R15" i="22"/>
  <c r="D13" i="22"/>
  <c r="J14" i="22"/>
  <c r="I12" i="22"/>
  <c r="N14" i="22"/>
  <c r="P12" i="22"/>
  <c r="S13" i="22"/>
  <c r="BJ8" i="22" s="1"/>
  <c r="L13" i="22"/>
  <c r="J15" i="22"/>
  <c r="S14" i="22"/>
  <c r="N12" i="22"/>
  <c r="I15" i="22"/>
  <c r="K12" i="22"/>
  <c r="E13" i="22"/>
  <c r="G12" i="22"/>
  <c r="N13" i="22"/>
  <c r="D12" i="22"/>
  <c r="L12" i="22"/>
  <c r="P15" i="22"/>
  <c r="F15" i="22"/>
  <c r="Q13" i="22"/>
  <c r="O14" i="22"/>
  <c r="H15" i="22"/>
  <c r="E12" i="22"/>
  <c r="Q12" i="22"/>
  <c r="L55" i="20"/>
  <c r="J296" i="14"/>
  <c r="K376" i="14"/>
  <c r="Z311" i="14"/>
  <c r="T356" i="14"/>
  <c r="AA304" i="14"/>
  <c r="V387" i="14"/>
  <c r="Q399" i="14"/>
  <c r="J293" i="14"/>
  <c r="Y289" i="14"/>
  <c r="X293" i="14"/>
  <c r="O311" i="14"/>
  <c r="N300" i="14"/>
  <c r="G370" i="14"/>
  <c r="AA307" i="14"/>
  <c r="X370" i="14"/>
  <c r="I319" i="14"/>
  <c r="P383" i="14"/>
  <c r="X332" i="14"/>
  <c r="O395" i="14"/>
  <c r="G335" i="14"/>
  <c r="O413" i="14"/>
  <c r="W348" i="14"/>
  <c r="F293" i="14"/>
  <c r="V321" i="14"/>
  <c r="G353" i="14"/>
  <c r="I388" i="14"/>
  <c r="G293" i="14"/>
  <c r="I327" i="14"/>
  <c r="Q356" i="14"/>
  <c r="J388" i="14"/>
  <c r="R383" i="14"/>
  <c r="S289" i="14"/>
  <c r="H323" i="14"/>
  <c r="P352" i="14"/>
  <c r="Y383" i="14"/>
  <c r="Q292" i="14"/>
  <c r="I323" i="14"/>
  <c r="AA357" i="14"/>
  <c r="Q387" i="14"/>
  <c r="R292" i="14"/>
  <c r="S326" i="14"/>
  <c r="E358" i="14"/>
  <c r="X393" i="14"/>
  <c r="T295" i="14"/>
  <c r="Z326" i="14"/>
  <c r="T361" i="14"/>
  <c r="Y393" i="14"/>
  <c r="V305" i="14"/>
  <c r="V322" i="14"/>
  <c r="F341" i="14"/>
  <c r="N361" i="14"/>
  <c r="T379" i="14"/>
  <c r="O401" i="14"/>
  <c r="N291" i="14"/>
  <c r="V309" i="14"/>
  <c r="E330" i="14"/>
  <c r="K348" i="14"/>
  <c r="S368" i="14"/>
  <c r="V385" i="14"/>
  <c r="V405" i="14"/>
  <c r="S298" i="14"/>
  <c r="AA316" i="14"/>
  <c r="J337" i="14"/>
  <c r="J354" i="14"/>
  <c r="S372" i="14"/>
  <c r="T393" i="14"/>
  <c r="T413" i="14"/>
  <c r="Y305" i="14"/>
  <c r="Z322" i="14"/>
  <c r="I341" i="14"/>
  <c r="Q361" i="14"/>
  <c r="Y379" i="14"/>
  <c r="R401" i="14"/>
  <c r="Q291" i="14"/>
  <c r="Y309" i="14"/>
  <c r="H330" i="14"/>
  <c r="P348" i="14"/>
  <c r="W368" i="14"/>
  <c r="Z385" i="14"/>
  <c r="Z405" i="14"/>
  <c r="J395" i="14"/>
  <c r="S413" i="14"/>
  <c r="W304" i="14"/>
  <c r="N320" i="14"/>
  <c r="H337" i="14"/>
  <c r="W355" i="14"/>
  <c r="R372" i="14"/>
  <c r="H391" i="14"/>
  <c r="W406" i="14"/>
  <c r="H412" i="14"/>
  <c r="AA404" i="14"/>
  <c r="W397" i="14"/>
  <c r="R390" i="14"/>
  <c r="N383" i="14"/>
  <c r="H376" i="14"/>
  <c r="AA368" i="14"/>
  <c r="W361" i="14"/>
  <c r="R354" i="14"/>
  <c r="N347" i="14"/>
  <c r="H340" i="14"/>
  <c r="AA332" i="14"/>
  <c r="W325" i="14"/>
  <c r="R318" i="14"/>
  <c r="N311" i="14"/>
  <c r="H304" i="14"/>
  <c r="AA296" i="14"/>
  <c r="W289" i="14"/>
  <c r="T409" i="14"/>
  <c r="X401" i="14"/>
  <c r="AA393" i="14"/>
  <c r="G386" i="14"/>
  <c r="P409" i="14"/>
  <c r="Z400" i="14"/>
  <c r="K392" i="14"/>
  <c r="X383" i="14"/>
  <c r="AA375" i="14"/>
  <c r="G368" i="14"/>
  <c r="J360" i="14"/>
  <c r="O352" i="14"/>
  <c r="R344" i="14"/>
  <c r="V336" i="14"/>
  <c r="Y328" i="14"/>
  <c r="E321" i="14"/>
  <c r="G313" i="14"/>
  <c r="J305" i="14"/>
  <c r="O297" i="14"/>
  <c r="R289" i="14"/>
  <c r="O409" i="14"/>
  <c r="Y400" i="14"/>
  <c r="J392" i="14"/>
  <c r="W383" i="14"/>
  <c r="Z375" i="14"/>
  <c r="F368" i="14"/>
  <c r="I360" i="14"/>
  <c r="N352" i="14"/>
  <c r="Q344" i="14"/>
  <c r="T336" i="14"/>
  <c r="X328" i="14"/>
  <c r="Z320" i="14"/>
  <c r="F313" i="14"/>
  <c r="I305" i="14"/>
  <c r="N297" i="14"/>
  <c r="Q289" i="14"/>
  <c r="N409" i="14"/>
  <c r="X400" i="14"/>
  <c r="I392" i="14"/>
  <c r="V383" i="14"/>
  <c r="Y375" i="14"/>
  <c r="E368" i="14"/>
  <c r="H360" i="14"/>
  <c r="K352" i="14"/>
  <c r="P344" i="14"/>
  <c r="S336" i="14"/>
  <c r="V328" i="14"/>
  <c r="Y320" i="14"/>
  <c r="E313" i="14"/>
  <c r="H305" i="14"/>
  <c r="K297" i="14"/>
  <c r="P289" i="14"/>
  <c r="K409" i="14"/>
  <c r="V400" i="14"/>
  <c r="H392" i="14"/>
  <c r="T383" i="14"/>
  <c r="X375" i="14"/>
  <c r="AA367" i="14"/>
  <c r="G360" i="14"/>
  <c r="J352" i="14"/>
  <c r="O344" i="14"/>
  <c r="Q336" i="14"/>
  <c r="T328" i="14"/>
  <c r="X320" i="14"/>
  <c r="AA312" i="14"/>
  <c r="G305" i="14"/>
  <c r="J297" i="14"/>
  <c r="O289" i="14"/>
  <c r="J409" i="14"/>
  <c r="T400" i="14"/>
  <c r="G392" i="14"/>
  <c r="S383" i="14"/>
  <c r="W375" i="14"/>
  <c r="Z367" i="14"/>
  <c r="F360" i="14"/>
  <c r="I352" i="14"/>
  <c r="K344" i="14"/>
  <c r="P336" i="14"/>
  <c r="S328" i="14"/>
  <c r="W320" i="14"/>
  <c r="Z312" i="14"/>
  <c r="F305" i="14"/>
  <c r="AA415" i="14"/>
  <c r="G401" i="14"/>
  <c r="K386" i="14"/>
  <c r="Y372" i="14"/>
  <c r="J359" i="14"/>
  <c r="AA345" i="14"/>
  <c r="O332" i="14"/>
  <c r="F319" i="14"/>
  <c r="Q305" i="14"/>
  <c r="S292" i="14"/>
  <c r="E407" i="14"/>
  <c r="Q392" i="14"/>
  <c r="J378" i="14"/>
  <c r="AA364" i="14"/>
  <c r="N351" i="14"/>
  <c r="F338" i="14"/>
  <c r="P324" i="14"/>
  <c r="Z310" i="14"/>
  <c r="S297" i="14"/>
  <c r="I413" i="14"/>
  <c r="O398" i="14"/>
  <c r="Z383" i="14"/>
  <c r="N370" i="14"/>
  <c r="F357" i="14"/>
  <c r="P343" i="14"/>
  <c r="Y329" i="14"/>
  <c r="R316" i="14"/>
  <c r="E303" i="14"/>
  <c r="R290" i="14"/>
  <c r="S404" i="14"/>
  <c r="W389" i="14"/>
  <c r="E376" i="14"/>
  <c r="P362" i="14"/>
  <c r="Y348" i="14"/>
  <c r="R335" i="14"/>
  <c r="AA321" i="14"/>
  <c r="T308" i="14"/>
  <c r="Q295" i="14"/>
  <c r="Q410" i="14"/>
  <c r="E396" i="14"/>
  <c r="O381" i="14"/>
  <c r="AA408" i="14"/>
  <c r="I394" i="14"/>
  <c r="F380" i="14"/>
  <c r="P366" i="14"/>
  <c r="H353" i="14"/>
  <c r="S339" i="14"/>
  <c r="J326" i="14"/>
  <c r="V312" i="14"/>
  <c r="G299" i="14"/>
  <c r="Y414" i="14"/>
  <c r="N400" i="14"/>
  <c r="R385" i="14"/>
  <c r="H372" i="14"/>
  <c r="R358" i="14"/>
  <c r="J345" i="14"/>
  <c r="T331" i="14"/>
  <c r="G318" i="14"/>
  <c r="X304" i="14"/>
  <c r="AA291" i="14"/>
  <c r="W392" i="14"/>
  <c r="K362" i="14"/>
  <c r="P335" i="14"/>
  <c r="J308" i="14"/>
  <c r="Q407" i="14"/>
  <c r="P373" i="14"/>
  <c r="R346" i="14"/>
  <c r="O319" i="14"/>
  <c r="H293" i="14"/>
  <c r="V386" i="14"/>
  <c r="K357" i="14"/>
  <c r="O330" i="14"/>
  <c r="Q303" i="14"/>
  <c r="I401" i="14"/>
  <c r="P368" i="14"/>
  <c r="R341" i="14"/>
  <c r="T314" i="14"/>
  <c r="E289" i="14"/>
  <c r="J383" i="14"/>
  <c r="F355" i="14"/>
  <c r="Z327" i="14"/>
  <c r="E301" i="14"/>
  <c r="J400" i="14"/>
  <c r="V367" i="14"/>
  <c r="Y340" i="14"/>
  <c r="AA313" i="14"/>
  <c r="N288" i="14"/>
  <c r="O356" i="14"/>
  <c r="K302" i="14"/>
  <c r="T369" i="14"/>
  <c r="Y315" i="14"/>
  <c r="T384" i="14"/>
  <c r="G329" i="14"/>
  <c r="Y401" i="14"/>
  <c r="H342" i="14"/>
  <c r="N289" i="14"/>
  <c r="Q354" i="14"/>
  <c r="W300" i="14"/>
  <c r="Q367" i="14"/>
  <c r="P313" i="14"/>
  <c r="N376" i="14"/>
  <c r="P322" i="14"/>
  <c r="E359" i="14"/>
  <c r="Y347" i="14"/>
  <c r="H336" i="14"/>
  <c r="I325" i="14"/>
  <c r="Y312" i="14"/>
  <c r="O300" i="14"/>
  <c r="G388" i="14"/>
  <c r="AA385" i="14"/>
  <c r="F375" i="14"/>
  <c r="V329" i="14"/>
  <c r="E288" i="14"/>
  <c r="R411" i="14"/>
  <c r="N404" i="14"/>
  <c r="H397" i="14"/>
  <c r="AA389" i="14"/>
  <c r="W382" i="14"/>
  <c r="R375" i="14"/>
  <c r="N368" i="14"/>
  <c r="H361" i="14"/>
  <c r="AA353" i="14"/>
  <c r="W346" i="14"/>
  <c r="R339" i="14"/>
  <c r="N332" i="14"/>
  <c r="H325" i="14"/>
  <c r="AA317" i="14"/>
  <c r="W310" i="14"/>
  <c r="R303" i="14"/>
  <c r="N296" i="14"/>
  <c r="H289" i="14"/>
  <c r="E409" i="14"/>
  <c r="H401" i="14"/>
  <c r="K393" i="14"/>
  <c r="P385" i="14"/>
  <c r="W408" i="14"/>
  <c r="I400" i="14"/>
  <c r="S391" i="14"/>
  <c r="H383" i="14"/>
  <c r="K375" i="14"/>
  <c r="P367" i="14"/>
  <c r="S359" i="14"/>
  <c r="W351" i="14"/>
  <c r="Z343" i="14"/>
  <c r="F336" i="14"/>
  <c r="I328" i="14"/>
  <c r="K320" i="14"/>
  <c r="P312" i="14"/>
  <c r="S304" i="14"/>
  <c r="W296" i="14"/>
  <c r="Z288" i="14"/>
  <c r="V408" i="14"/>
  <c r="G400" i="14"/>
  <c r="R391" i="14"/>
  <c r="G383" i="14"/>
  <c r="J375" i="14"/>
  <c r="O367" i="14"/>
  <c r="R359" i="14"/>
  <c r="V351" i="14"/>
  <c r="Y343" i="14"/>
  <c r="E336" i="14"/>
  <c r="G328" i="14"/>
  <c r="J320" i="14"/>
  <c r="O312" i="14"/>
  <c r="R304" i="14"/>
  <c r="V296" i="14"/>
  <c r="Y288" i="14"/>
  <c r="T408" i="14"/>
  <c r="F400" i="14"/>
  <c r="Q391" i="14"/>
  <c r="F383" i="14"/>
  <c r="I375" i="14"/>
  <c r="N367" i="14"/>
  <c r="Q359" i="14"/>
  <c r="T351" i="14"/>
  <c r="X343" i="14"/>
  <c r="Z335" i="14"/>
  <c r="F328" i="14"/>
  <c r="I320" i="14"/>
  <c r="N312" i="14"/>
  <c r="Q304" i="14"/>
  <c r="T296" i="14"/>
  <c r="X288" i="14"/>
  <c r="S408" i="14"/>
  <c r="E400" i="14"/>
  <c r="P391" i="14"/>
  <c r="E383" i="14"/>
  <c r="H375" i="14"/>
  <c r="K367" i="14"/>
  <c r="P359" i="14"/>
  <c r="S351" i="14"/>
  <c r="V343" i="14"/>
  <c r="Y335" i="14"/>
  <c r="E328" i="14"/>
  <c r="H320" i="14"/>
  <c r="K312" i="14"/>
  <c r="P304" i="14"/>
  <c r="S296" i="14"/>
  <c r="W288" i="14"/>
  <c r="Q408" i="14"/>
  <c r="AA399" i="14"/>
  <c r="O391" i="14"/>
  <c r="AA382" i="14"/>
  <c r="G375" i="14"/>
  <c r="J367" i="14"/>
  <c r="O359" i="14"/>
  <c r="Q351" i="14"/>
  <c r="T343" i="14"/>
  <c r="X335" i="14"/>
  <c r="AA327" i="14"/>
  <c r="G320" i="14"/>
  <c r="J312" i="14"/>
  <c r="O304" i="14"/>
  <c r="T414" i="14"/>
  <c r="X399" i="14"/>
  <c r="K385" i="14"/>
  <c r="T371" i="14"/>
  <c r="N358" i="14"/>
  <c r="W344" i="14"/>
  <c r="I331" i="14"/>
  <c r="Y317" i="14"/>
  <c r="K304" i="14"/>
  <c r="W291" i="14"/>
  <c r="E406" i="14"/>
  <c r="I391" i="14"/>
  <c r="K377" i="14"/>
  <c r="W363" i="14"/>
  <c r="H350" i="14"/>
  <c r="Y336" i="14"/>
  <c r="J323" i="14"/>
  <c r="AA309" i="14"/>
  <c r="Q296" i="14"/>
  <c r="Z411" i="14"/>
  <c r="O397" i="14"/>
  <c r="V382" i="14"/>
  <c r="H369" i="14"/>
  <c r="Y355" i="14"/>
  <c r="J342" i="14"/>
  <c r="AA328" i="14"/>
  <c r="N315" i="14"/>
  <c r="F302" i="14"/>
  <c r="T289" i="14"/>
  <c r="K403" i="14"/>
  <c r="P388" i="14"/>
  <c r="X374" i="14"/>
  <c r="J361" i="14"/>
  <c r="Z347" i="14"/>
  <c r="N334" i="14"/>
  <c r="F321" i="14"/>
  <c r="P307" i="14"/>
  <c r="O294" i="14"/>
  <c r="I409" i="14"/>
  <c r="T394" i="14"/>
  <c r="I380" i="14"/>
  <c r="T407" i="14"/>
  <c r="H393" i="14"/>
  <c r="Y378" i="14"/>
  <c r="R365" i="14"/>
  <c r="AA351" i="14"/>
  <c r="O338" i="14"/>
  <c r="F325" i="14"/>
  <c r="Q311" i="14"/>
  <c r="I298" i="14"/>
  <c r="Y413" i="14"/>
  <c r="F399" i="14"/>
  <c r="Q384" i="14"/>
  <c r="AA370" i="14"/>
  <c r="N357" i="14"/>
  <c r="F344" i="14"/>
  <c r="P330" i="14"/>
  <c r="H317" i="14"/>
  <c r="S303" i="14"/>
  <c r="G291" i="14"/>
  <c r="K390" i="14"/>
  <c r="Z359" i="14"/>
  <c r="F333" i="14"/>
  <c r="H306" i="14"/>
  <c r="H404" i="14"/>
  <c r="F371" i="14"/>
  <c r="H344" i="14"/>
  <c r="J317" i="14"/>
  <c r="I291" i="14"/>
  <c r="Q383" i="14"/>
  <c r="I355" i="14"/>
  <c r="K328" i="14"/>
  <c r="O301" i="14"/>
  <c r="H398" i="14"/>
  <c r="K366" i="14"/>
  <c r="O339" i="14"/>
  <c r="Q312" i="14"/>
  <c r="N415" i="14"/>
  <c r="W380" i="14"/>
  <c r="T352" i="14"/>
  <c r="X325" i="14"/>
  <c r="Z298" i="14"/>
  <c r="Z396" i="14"/>
  <c r="S365" i="14"/>
  <c r="V338" i="14"/>
  <c r="R311" i="14"/>
  <c r="V414" i="14"/>
  <c r="Y351" i="14"/>
  <c r="X297" i="14"/>
  <c r="G365" i="14"/>
  <c r="K311" i="14"/>
  <c r="AA378" i="14"/>
  <c r="S324" i="14"/>
  <c r="J396" i="14"/>
  <c r="S337" i="14"/>
  <c r="P412" i="14"/>
  <c r="E350" i="14"/>
  <c r="K296" i="14"/>
  <c r="E363" i="14"/>
  <c r="Z308" i="14"/>
  <c r="V371" i="14"/>
  <c r="Z317" i="14"/>
  <c r="X348" i="14"/>
  <c r="N336" i="14"/>
  <c r="J325" i="14"/>
  <c r="Q313" i="14"/>
  <c r="X302" i="14"/>
  <c r="K291" i="14"/>
  <c r="J363" i="14"/>
  <c r="O362" i="14"/>
  <c r="K353" i="14"/>
  <c r="Q385" i="14"/>
  <c r="AA349" i="14"/>
  <c r="AA410" i="14"/>
  <c r="W403" i="14"/>
  <c r="R396" i="14"/>
  <c r="N389" i="14"/>
  <c r="H382" i="14"/>
  <c r="AA374" i="14"/>
  <c r="W367" i="14"/>
  <c r="R360" i="14"/>
  <c r="N353" i="14"/>
  <c r="H346" i="14"/>
  <c r="AA338" i="14"/>
  <c r="W331" i="14"/>
  <c r="R324" i="14"/>
  <c r="N317" i="14"/>
  <c r="H310" i="14"/>
  <c r="AA302" i="14"/>
  <c r="W295" i="14"/>
  <c r="R288" i="14"/>
  <c r="N408" i="14"/>
  <c r="Q400" i="14"/>
  <c r="T392" i="14"/>
  <c r="X384" i="14"/>
  <c r="F408" i="14"/>
  <c r="P399" i="14"/>
  <c r="Z390" i="14"/>
  <c r="Q382" i="14"/>
  <c r="T374" i="14"/>
  <c r="X366" i="14"/>
  <c r="AA358" i="14"/>
  <c r="G351" i="14"/>
  <c r="J343" i="14"/>
  <c r="O335" i="14"/>
  <c r="Q327" i="14"/>
  <c r="T319" i="14"/>
  <c r="X311" i="14"/>
  <c r="AA303" i="14"/>
  <c r="G296" i="14"/>
  <c r="J288" i="14"/>
  <c r="E408" i="14"/>
  <c r="O399" i="14"/>
  <c r="Y390" i="14"/>
  <c r="P382" i="14"/>
  <c r="S374" i="14"/>
  <c r="W366" i="14"/>
  <c r="Z358" i="14"/>
  <c r="F351" i="14"/>
  <c r="I343" i="14"/>
  <c r="K335" i="14"/>
  <c r="P327" i="14"/>
  <c r="S319" i="14"/>
  <c r="W311" i="14"/>
  <c r="Z303" i="14"/>
  <c r="F296" i="14"/>
  <c r="I288" i="14"/>
  <c r="Z407" i="14"/>
  <c r="N399" i="14"/>
  <c r="X390" i="14"/>
  <c r="O382" i="14"/>
  <c r="R374" i="14"/>
  <c r="V366" i="14"/>
  <c r="Y358" i="14"/>
  <c r="E351" i="14"/>
  <c r="G343" i="14"/>
  <c r="J335" i="14"/>
  <c r="O327" i="14"/>
  <c r="R319" i="14"/>
  <c r="V311" i="14"/>
  <c r="Y303" i="14"/>
  <c r="E296" i="14"/>
  <c r="H288" i="14"/>
  <c r="Y407" i="14"/>
  <c r="K399" i="14"/>
  <c r="W390" i="14"/>
  <c r="N382" i="14"/>
  <c r="Q374" i="14"/>
  <c r="T366" i="14"/>
  <c r="X358" i="14"/>
  <c r="Z350" i="14"/>
  <c r="F343" i="14"/>
  <c r="I335" i="14"/>
  <c r="N327" i="14"/>
  <c r="Q319" i="14"/>
  <c r="T311" i="14"/>
  <c r="X303" i="14"/>
  <c r="AA295" i="14"/>
  <c r="G288" i="14"/>
  <c r="X407" i="14"/>
  <c r="J399" i="14"/>
  <c r="T390" i="14"/>
  <c r="K382" i="14"/>
  <c r="P374" i="14"/>
  <c r="S366" i="14"/>
  <c r="V358" i="14"/>
  <c r="Y350" i="14"/>
  <c r="E343" i="14"/>
  <c r="H335" i="14"/>
  <c r="K327" i="14"/>
  <c r="P319" i="14"/>
  <c r="S311" i="14"/>
  <c r="W303" i="14"/>
  <c r="K413" i="14"/>
  <c r="X398" i="14"/>
  <c r="F384" i="14"/>
  <c r="P370" i="14"/>
  <c r="H357" i="14"/>
  <c r="R343" i="14"/>
  <c r="J330" i="14"/>
  <c r="T316" i="14"/>
  <c r="N303" i="14"/>
  <c r="T290" i="14"/>
  <c r="V404" i="14"/>
  <c r="Y389" i="14"/>
  <c r="G376" i="14"/>
  <c r="R362" i="14"/>
  <c r="J349" i="14"/>
  <c r="T335" i="14"/>
  <c r="N322" i="14"/>
  <c r="W308" i="14"/>
  <c r="S295" i="14"/>
  <c r="S410" i="14"/>
  <c r="G396" i="14"/>
  <c r="Q381" i="14"/>
  <c r="I368" i="14"/>
  <c r="T354" i="14"/>
  <c r="K341" i="14"/>
  <c r="W327" i="14"/>
  <c r="H314" i="14"/>
  <c r="Y300" i="14"/>
  <c r="S288" i="14"/>
  <c r="E402" i="14"/>
  <c r="P387" i="14"/>
  <c r="S373" i="14"/>
  <c r="K360" i="14"/>
  <c r="V346" i="14"/>
  <c r="H333" i="14"/>
  <c r="Y319" i="14"/>
  <c r="J306" i="14"/>
  <c r="R293" i="14"/>
  <c r="H408" i="14"/>
  <c r="N393" i="14"/>
  <c r="K379" i="14"/>
  <c r="T406" i="14"/>
  <c r="Y391" i="14"/>
  <c r="T377" i="14"/>
  <c r="N364" i="14"/>
  <c r="W350" i="14"/>
  <c r="P337" i="14"/>
  <c r="Y323" i="14"/>
  <c r="R310" i="14"/>
  <c r="F297" i="14"/>
  <c r="R412" i="14"/>
  <c r="V397" i="14"/>
  <c r="K383" i="14"/>
  <c r="W369" i="14"/>
  <c r="P356" i="14"/>
  <c r="Y342" i="14"/>
  <c r="R329" i="14"/>
  <c r="AA315" i="14"/>
  <c r="O302" i="14"/>
  <c r="E290" i="14"/>
  <c r="E387" i="14"/>
  <c r="X357" i="14"/>
  <c r="Z330" i="14"/>
  <c r="E304" i="14"/>
  <c r="K401" i="14"/>
  <c r="Z368" i="14"/>
  <c r="F342" i="14"/>
  <c r="H315" i="14"/>
  <c r="J289" i="14"/>
  <c r="Y380" i="14"/>
  <c r="X352" i="14"/>
  <c r="Z325" i="14"/>
  <c r="E299" i="14"/>
  <c r="K395" i="14"/>
  <c r="Z363" i="14"/>
  <c r="E337" i="14"/>
  <c r="G310" i="14"/>
  <c r="Q412" i="14"/>
  <c r="E378" i="14"/>
  <c r="R350" i="14"/>
  <c r="T323" i="14"/>
  <c r="X296" i="14"/>
  <c r="F394" i="14"/>
  <c r="I363" i="14"/>
  <c r="K336" i="14"/>
  <c r="O309" i="14"/>
  <c r="X408" i="14"/>
  <c r="K347" i="14"/>
  <c r="Y293" i="14"/>
  <c r="S360" i="14"/>
  <c r="X306" i="14"/>
  <c r="G374" i="14"/>
  <c r="F320" i="14"/>
  <c r="N390" i="14"/>
  <c r="G333" i="14"/>
  <c r="J406" i="14"/>
  <c r="P345" i="14"/>
  <c r="O292" i="14"/>
  <c r="P358" i="14"/>
  <c r="T304" i="14"/>
  <c r="I367" i="14"/>
  <c r="O313" i="14"/>
  <c r="W338" i="14"/>
  <c r="P326" i="14"/>
  <c r="E314" i="14"/>
  <c r="Y302" i="14"/>
  <c r="Z291" i="14"/>
  <c r="S397" i="14"/>
  <c r="K343" i="14"/>
  <c r="T340" i="14"/>
  <c r="S331" i="14"/>
  <c r="F318" i="14"/>
  <c r="G361" i="14"/>
  <c r="N410" i="14"/>
  <c r="H403" i="14"/>
  <c r="AA395" i="14"/>
  <c r="W388" i="14"/>
  <c r="R381" i="14"/>
  <c r="N374" i="14"/>
  <c r="H367" i="14"/>
  <c r="AA359" i="14"/>
  <c r="W352" i="14"/>
  <c r="R345" i="14"/>
  <c r="N338" i="14"/>
  <c r="H331" i="14"/>
  <c r="AA323" i="14"/>
  <c r="W316" i="14"/>
  <c r="R309" i="14"/>
  <c r="N302" i="14"/>
  <c r="H295" i="14"/>
  <c r="R415" i="14"/>
  <c r="V407" i="14"/>
  <c r="Y399" i="14"/>
  <c r="E392" i="14"/>
  <c r="Z415" i="14"/>
  <c r="K407" i="14"/>
  <c r="W398" i="14"/>
  <c r="I390" i="14"/>
  <c r="Y381" i="14"/>
  <c r="E374" i="14"/>
  <c r="H366" i="14"/>
  <c r="K358" i="14"/>
  <c r="P350" i="14"/>
  <c r="S342" i="14"/>
  <c r="V334" i="14"/>
  <c r="Y326" i="14"/>
  <c r="E319" i="14"/>
  <c r="H311" i="14"/>
  <c r="K303" i="14"/>
  <c r="P295" i="14"/>
  <c r="Y415" i="14"/>
  <c r="J407" i="14"/>
  <c r="V398" i="14"/>
  <c r="H390" i="14"/>
  <c r="X381" i="14"/>
  <c r="AA373" i="14"/>
  <c r="G366" i="14"/>
  <c r="J358" i="14"/>
  <c r="O350" i="14"/>
  <c r="Q342" i="14"/>
  <c r="T334" i="14"/>
  <c r="X326" i="14"/>
  <c r="AA318" i="14"/>
  <c r="G311" i="14"/>
  <c r="J303" i="14"/>
  <c r="O295" i="14"/>
  <c r="X415" i="14"/>
  <c r="I407" i="14"/>
  <c r="T398" i="14"/>
  <c r="G390" i="14"/>
  <c r="W381" i="14"/>
  <c r="Z373" i="14"/>
  <c r="F366" i="14"/>
  <c r="I358" i="14"/>
  <c r="K350" i="14"/>
  <c r="P342" i="14"/>
  <c r="S334" i="14"/>
  <c r="W326" i="14"/>
  <c r="Z318" i="14"/>
  <c r="F311" i="14"/>
  <c r="I303" i="14"/>
  <c r="N295" i="14"/>
  <c r="V415" i="14"/>
  <c r="H407" i="14"/>
  <c r="S398" i="14"/>
  <c r="E390" i="14"/>
  <c r="V381" i="14"/>
  <c r="Y373" i="14"/>
  <c r="E366" i="14"/>
  <c r="G358" i="14"/>
  <c r="J350" i="14"/>
  <c r="O342" i="14"/>
  <c r="R334" i="14"/>
  <c r="V326" i="14"/>
  <c r="Y318" i="14"/>
  <c r="E311" i="14"/>
  <c r="H303" i="14"/>
  <c r="K295" i="14"/>
  <c r="T415" i="14"/>
  <c r="G407" i="14"/>
  <c r="Q398" i="14"/>
  <c r="Z389" i="14"/>
  <c r="T381" i="14"/>
  <c r="X373" i="14"/>
  <c r="Z365" i="14"/>
  <c r="F358" i="14"/>
  <c r="I350" i="14"/>
  <c r="N342" i="14"/>
  <c r="Q334" i="14"/>
  <c r="T326" i="14"/>
  <c r="X318" i="14"/>
  <c r="AA310" i="14"/>
  <c r="G303" i="14"/>
  <c r="E412" i="14"/>
  <c r="Q397" i="14"/>
  <c r="Y382" i="14"/>
  <c r="Q369" i="14"/>
  <c r="AA355" i="14"/>
  <c r="T342" i="14"/>
  <c r="F329" i="14"/>
  <c r="P315" i="14"/>
  <c r="H302" i="14"/>
  <c r="X289" i="14"/>
  <c r="O403" i="14"/>
  <c r="Z388" i="14"/>
  <c r="Z374" i="14"/>
  <c r="S361" i="14"/>
  <c r="F348" i="14"/>
  <c r="P334" i="14"/>
  <c r="H321" i="14"/>
  <c r="R307" i="14"/>
  <c r="Q294" i="14"/>
  <c r="R409" i="14"/>
  <c r="X394" i="14"/>
  <c r="S380" i="14"/>
  <c r="E367" i="14"/>
  <c r="P353" i="14"/>
  <c r="G340" i="14"/>
  <c r="R326" i="14"/>
  <c r="J313" i="14"/>
  <c r="T299" i="14"/>
  <c r="P415" i="14"/>
  <c r="AA400" i="14"/>
  <c r="H386" i="14"/>
  <c r="O372" i="14"/>
  <c r="G359" i="14"/>
  <c r="Q345" i="14"/>
  <c r="I332" i="14"/>
  <c r="T318" i="14"/>
  <c r="K305" i="14"/>
  <c r="P292" i="14"/>
  <c r="Y406" i="14"/>
  <c r="F392" i="14"/>
  <c r="G378" i="14"/>
  <c r="N405" i="14"/>
  <c r="Q390" i="14"/>
  <c r="V376" i="14"/>
  <c r="H363" i="14"/>
  <c r="Y349" i="14"/>
  <c r="J336" i="14"/>
  <c r="T322" i="14"/>
  <c r="N309" i="14"/>
  <c r="H296" i="14"/>
  <c r="J411" i="14"/>
  <c r="W396" i="14"/>
  <c r="G382" i="14"/>
  <c r="X368" i="14"/>
  <c r="J355" i="14"/>
  <c r="T341" i="14"/>
  <c r="N328" i="14"/>
  <c r="W314" i="14"/>
  <c r="P301" i="14"/>
  <c r="G289" i="14"/>
  <c r="H384" i="14"/>
  <c r="O355" i="14"/>
  <c r="Q328" i="14"/>
  <c r="S301" i="14"/>
  <c r="Y398" i="14"/>
  <c r="Q366" i="14"/>
  <c r="T339" i="14"/>
  <c r="W312" i="14"/>
  <c r="V412" i="14"/>
  <c r="T378" i="14"/>
  <c r="T350" i="14"/>
  <c r="W323" i="14"/>
  <c r="Z296" i="14"/>
  <c r="AA391" i="14"/>
  <c r="X361" i="14"/>
  <c r="Z334" i="14"/>
  <c r="E308" i="14"/>
  <c r="X409" i="14"/>
  <c r="N375" i="14"/>
  <c r="H348" i="14"/>
  <c r="J321" i="14"/>
  <c r="Y294" i="14"/>
  <c r="K391" i="14"/>
  <c r="F361" i="14"/>
  <c r="I334" i="14"/>
  <c r="K307" i="14"/>
  <c r="T402" i="14"/>
  <c r="X342" i="14"/>
  <c r="AA289" i="14"/>
  <c r="F356" i="14"/>
  <c r="J302" i="14"/>
  <c r="S369" i="14"/>
  <c r="X315" i="14"/>
  <c r="I384" i="14"/>
  <c r="R328" i="14"/>
  <c r="P400" i="14"/>
  <c r="AA340" i="14"/>
  <c r="P288" i="14"/>
  <c r="Z353" i="14"/>
  <c r="H300" i="14"/>
  <c r="Z362" i="14"/>
  <c r="Y308" i="14"/>
  <c r="G327" i="14"/>
  <c r="G316" i="14"/>
  <c r="F304" i="14"/>
  <c r="N292" i="14"/>
  <c r="Y404" i="14"/>
  <c r="P371" i="14"/>
  <c r="V320" i="14"/>
  <c r="Q318" i="14"/>
  <c r="P309" i="14"/>
  <c r="Z382" i="14"/>
  <c r="O412" i="14"/>
  <c r="T348" i="14"/>
  <c r="P405" i="14"/>
  <c r="W409" i="14"/>
  <c r="R402" i="14"/>
  <c r="N395" i="14"/>
  <c r="H388" i="14"/>
  <c r="AA380" i="14"/>
  <c r="W373" i="14"/>
  <c r="R366" i="14"/>
  <c r="N359" i="14"/>
  <c r="H352" i="14"/>
  <c r="AA344" i="14"/>
  <c r="W337" i="14"/>
  <c r="R330" i="14"/>
  <c r="N323" i="14"/>
  <c r="H316" i="14"/>
  <c r="AA308" i="14"/>
  <c r="W301" i="14"/>
  <c r="R294" i="14"/>
  <c r="Z414" i="14"/>
  <c r="F407" i="14"/>
  <c r="I399" i="14"/>
  <c r="N391" i="14"/>
  <c r="I415" i="14"/>
  <c r="S406" i="14"/>
  <c r="F398" i="14"/>
  <c r="Q389" i="14"/>
  <c r="I381" i="14"/>
  <c r="N373" i="14"/>
  <c r="Q365" i="14"/>
  <c r="T357" i="14"/>
  <c r="X349" i="14"/>
  <c r="Z341" i="14"/>
  <c r="F334" i="14"/>
  <c r="I326" i="14"/>
  <c r="N318" i="14"/>
  <c r="Q310" i="14"/>
  <c r="T302" i="14"/>
  <c r="X294" i="14"/>
  <c r="G415" i="14"/>
  <c r="R406" i="14"/>
  <c r="E398" i="14"/>
  <c r="P389" i="14"/>
  <c r="H381" i="14"/>
  <c r="K373" i="14"/>
  <c r="P365" i="14"/>
  <c r="S357" i="14"/>
  <c r="V349" i="14"/>
  <c r="Y341" i="14"/>
  <c r="E334" i="14"/>
  <c r="H326" i="14"/>
  <c r="K318" i="14"/>
  <c r="P310" i="14"/>
  <c r="S302" i="14"/>
  <c r="W294" i="14"/>
  <c r="F415" i="14"/>
  <c r="Q406" i="14"/>
  <c r="AA397" i="14"/>
  <c r="K389" i="14"/>
  <c r="G381" i="14"/>
  <c r="J373" i="14"/>
  <c r="O365" i="14"/>
  <c r="Q357" i="14"/>
  <c r="T349" i="14"/>
  <c r="X341" i="14"/>
  <c r="AA333" i="14"/>
  <c r="G326" i="14"/>
  <c r="J318" i="14"/>
  <c r="O310" i="14"/>
  <c r="R302" i="14"/>
  <c r="V294" i="14"/>
  <c r="E415" i="14"/>
  <c r="P406" i="14"/>
  <c r="Y397" i="14"/>
  <c r="J389" i="14"/>
  <c r="F381" i="14"/>
  <c r="I373" i="14"/>
  <c r="K365" i="14"/>
  <c r="P357" i="14"/>
  <c r="S349" i="14"/>
  <c r="W341" i="14"/>
  <c r="Z333" i="14"/>
  <c r="F326" i="14"/>
  <c r="I318" i="14"/>
  <c r="N310" i="14"/>
  <c r="Q302" i="14"/>
  <c r="T294" i="14"/>
  <c r="AA414" i="14"/>
  <c r="N406" i="14"/>
  <c r="X397" i="14"/>
  <c r="I389" i="14"/>
  <c r="E381" i="14"/>
  <c r="G373" i="14"/>
  <c r="J365" i="14"/>
  <c r="O357" i="14"/>
  <c r="R349" i="14"/>
  <c r="V341" i="14"/>
  <c r="Y333" i="14"/>
  <c r="E326" i="14"/>
  <c r="H318" i="14"/>
  <c r="K310" i="14"/>
  <c r="P302" i="14"/>
  <c r="F411" i="14"/>
  <c r="I396" i="14"/>
  <c r="Z381" i="14"/>
  <c r="K368" i="14"/>
  <c r="W354" i="14"/>
  <c r="P341" i="14"/>
  <c r="Y327" i="14"/>
  <c r="R314" i="14"/>
  <c r="AA300" i="14"/>
  <c r="V288" i="14"/>
  <c r="N402" i="14"/>
  <c r="S387" i="14"/>
  <c r="V373" i="14"/>
  <c r="O360" i="14"/>
  <c r="Y346" i="14"/>
  <c r="Q333" i="14"/>
  <c r="AA319" i="14"/>
  <c r="T306" i="14"/>
  <c r="T293" i="14"/>
  <c r="J408" i="14"/>
  <c r="P393" i="14"/>
  <c r="O379" i="14"/>
  <c r="X365" i="14"/>
  <c r="Q352" i="14"/>
  <c r="Z338" i="14"/>
  <c r="S325" i="14"/>
  <c r="F312" i="14"/>
  <c r="P298" i="14"/>
  <c r="H414" i="14"/>
  <c r="T399" i="14"/>
  <c r="Y384" i="14"/>
  <c r="Q371" i="14"/>
  <c r="Z357" i="14"/>
  <c r="S344" i="14"/>
  <c r="E331" i="14"/>
  <c r="P317" i="14"/>
  <c r="G304" i="14"/>
  <c r="S291" i="14"/>
  <c r="Q405" i="14"/>
  <c r="E391" i="14"/>
  <c r="Z376" i="14"/>
  <c r="F404" i="14"/>
  <c r="R389" i="14"/>
  <c r="Q375" i="14"/>
  <c r="AA361" i="14"/>
  <c r="F335" i="14"/>
  <c r="W321" i="14"/>
  <c r="H308" i="14"/>
  <c r="F295" i="14"/>
  <c r="I410" i="14"/>
  <c r="P395" i="14"/>
  <c r="Z380" i="14"/>
  <c r="S367" i="14"/>
  <c r="F354" i="14"/>
  <c r="V340" i="14"/>
  <c r="H327" i="14"/>
  <c r="Y313" i="14"/>
  <c r="J300" i="14"/>
  <c r="F288" i="14"/>
  <c r="N381" i="14"/>
  <c r="J353" i="14"/>
  <c r="O326" i="14"/>
  <c r="Q299" i="14"/>
  <c r="R395" i="14"/>
  <c r="O364" i="14"/>
  <c r="Q337" i="14"/>
  <c r="S310" i="14"/>
  <c r="Z409" i="14"/>
  <c r="S375" i="14"/>
  <c r="Q348" i="14"/>
  <c r="N321" i="14"/>
  <c r="AA294" i="14"/>
  <c r="G389" i="14"/>
  <c r="T359" i="14"/>
  <c r="Q332" i="14"/>
  <c r="S305" i="14"/>
  <c r="V406" i="14"/>
  <c r="Z372" i="14"/>
  <c r="E346" i="14"/>
  <c r="G319" i="14"/>
  <c r="Z292" i="14"/>
  <c r="K388" i="14"/>
  <c r="T358" i="14"/>
  <c r="X331" i="14"/>
  <c r="Z304" i="14"/>
  <c r="Y396" i="14"/>
  <c r="J338" i="14"/>
  <c r="F414" i="14"/>
  <c r="X351" i="14"/>
  <c r="W297" i="14"/>
  <c r="F365" i="14"/>
  <c r="J311" i="14"/>
  <c r="Z378" i="14"/>
  <c r="K324" i="14"/>
  <c r="R394" i="14"/>
  <c r="O336" i="14"/>
  <c r="I411" i="14"/>
  <c r="O349" i="14"/>
  <c r="X295" i="14"/>
  <c r="O358" i="14"/>
  <c r="N304" i="14"/>
  <c r="P316" i="14"/>
  <c r="V304" i="14"/>
  <c r="K294" i="14"/>
  <c r="T391" i="14"/>
  <c r="P349" i="14"/>
  <c r="R299" i="14"/>
  <c r="K298" i="14"/>
  <c r="O290" i="14"/>
  <c r="O317" i="14"/>
  <c r="V411" i="14"/>
  <c r="H415" i="14"/>
  <c r="AA407" i="14"/>
  <c r="W400" i="14"/>
  <c r="R393" i="14"/>
  <c r="N386" i="14"/>
  <c r="H379" i="14"/>
  <c r="AA371" i="14"/>
  <c r="W364" i="14"/>
  <c r="R357" i="14"/>
  <c r="N350" i="14"/>
  <c r="H343" i="14"/>
  <c r="AA335" i="14"/>
  <c r="W328" i="14"/>
  <c r="R321" i="14"/>
  <c r="N314" i="14"/>
  <c r="H307" i="14"/>
  <c r="AA299" i="14"/>
  <c r="W292" i="14"/>
  <c r="AA412" i="14"/>
  <c r="G405" i="14"/>
  <c r="J397" i="14"/>
  <c r="O389" i="14"/>
  <c r="F413" i="14"/>
  <c r="Q404" i="14"/>
  <c r="Y395" i="14"/>
  <c r="K387" i="14"/>
  <c r="J379" i="14"/>
  <c r="O371" i="14"/>
  <c r="Q363" i="14"/>
  <c r="T355" i="14"/>
  <c r="X347" i="14"/>
  <c r="AA339" i="14"/>
  <c r="G332" i="14"/>
  <c r="J324" i="14"/>
  <c r="O316" i="14"/>
  <c r="R308" i="14"/>
  <c r="V300" i="14"/>
  <c r="Y292" i="14"/>
  <c r="E413" i="14"/>
  <c r="O404" i="14"/>
  <c r="X395" i="14"/>
  <c r="J387" i="14"/>
  <c r="I379" i="14"/>
  <c r="K371" i="14"/>
  <c r="P363" i="14"/>
  <c r="S355" i="14"/>
  <c r="W347" i="14"/>
  <c r="Z339" i="14"/>
  <c r="F332" i="14"/>
  <c r="I324" i="14"/>
  <c r="N316" i="14"/>
  <c r="Q308" i="14"/>
  <c r="T300" i="14"/>
  <c r="X292" i="14"/>
  <c r="Z412" i="14"/>
  <c r="K404" i="14"/>
  <c r="W395" i="14"/>
  <c r="I387" i="14"/>
  <c r="G379" i="14"/>
  <c r="J371" i="14"/>
  <c r="O363" i="14"/>
  <c r="R355" i="14"/>
  <c r="V347" i="14"/>
  <c r="Y339" i="14"/>
  <c r="E332" i="14"/>
  <c r="H324" i="14"/>
  <c r="K316" i="14"/>
  <c r="P308" i="14"/>
  <c r="S300" i="14"/>
  <c r="V292" i="14"/>
  <c r="Y412" i="14"/>
  <c r="J404" i="14"/>
  <c r="V395" i="14"/>
  <c r="H387" i="14"/>
  <c r="F379" i="14"/>
  <c r="I371" i="14"/>
  <c r="N363" i="14"/>
  <c r="Q355" i="14"/>
  <c r="T347" i="14"/>
  <c r="X339" i="14"/>
  <c r="AA331" i="14"/>
  <c r="G324" i="14"/>
  <c r="J316" i="14"/>
  <c r="O308" i="14"/>
  <c r="Q300" i="14"/>
  <c r="T292" i="14"/>
  <c r="X412" i="14"/>
  <c r="I404" i="14"/>
  <c r="T395" i="14"/>
  <c r="G387" i="14"/>
  <c r="E379" i="14"/>
  <c r="H371" i="14"/>
  <c r="K363" i="14"/>
  <c r="P355" i="14"/>
  <c r="S347" i="14"/>
  <c r="W339" i="14"/>
  <c r="Z331" i="14"/>
  <c r="F324" i="14"/>
  <c r="I316" i="14"/>
  <c r="K308" i="14"/>
  <c r="P300" i="14"/>
  <c r="O407" i="14"/>
  <c r="R392" i="14"/>
  <c r="K378" i="14"/>
  <c r="E365" i="14"/>
  <c r="O351" i="14"/>
  <c r="G338" i="14"/>
  <c r="Q324" i="14"/>
  <c r="I311" i="14"/>
  <c r="T297" i="14"/>
  <c r="J413" i="14"/>
  <c r="P398" i="14"/>
  <c r="E384" i="14"/>
  <c r="O370" i="14"/>
  <c r="G357" i="14"/>
  <c r="Q343" i="14"/>
  <c r="I330" i="14"/>
  <c r="S316" i="14"/>
  <c r="F303" i="14"/>
  <c r="S290" i="14"/>
  <c r="T404" i="14"/>
  <c r="X389" i="14"/>
  <c r="F376" i="14"/>
  <c r="Q362" i="14"/>
  <c r="I349" i="14"/>
  <c r="S335" i="14"/>
  <c r="E322" i="14"/>
  <c r="V308" i="14"/>
  <c r="R295" i="14"/>
  <c r="R410" i="14"/>
  <c r="F396" i="14"/>
  <c r="P381" i="14"/>
  <c r="H368" i="14"/>
  <c r="S354" i="14"/>
  <c r="E341" i="14"/>
  <c r="V327" i="14"/>
  <c r="G314" i="14"/>
  <c r="X300" i="14"/>
  <c r="Q288" i="14"/>
  <c r="Z401" i="14"/>
  <c r="N387" i="14"/>
  <c r="J415" i="14"/>
  <c r="O400" i="14"/>
  <c r="S385" i="14"/>
  <c r="I372" i="14"/>
  <c r="S358" i="14"/>
  <c r="K345" i="14"/>
  <c r="V331" i="14"/>
  <c r="O318" i="14"/>
  <c r="Y304" i="14"/>
  <c r="J292" i="14"/>
  <c r="K406" i="14"/>
  <c r="X391" i="14"/>
  <c r="S377" i="14"/>
  <c r="K364" i="14"/>
  <c r="V350" i="14"/>
  <c r="O337" i="14"/>
  <c r="X323" i="14"/>
  <c r="J310" i="14"/>
  <c r="E297" i="14"/>
  <c r="R407" i="14"/>
  <c r="Q373" i="14"/>
  <c r="S346" i="14"/>
  <c r="V319" i="14"/>
  <c r="I293" i="14"/>
  <c r="X386" i="14"/>
  <c r="W357" i="14"/>
  <c r="Y330" i="14"/>
  <c r="V303" i="14"/>
  <c r="J401" i="14"/>
  <c r="Q368" i="14"/>
  <c r="S341" i="14"/>
  <c r="V314" i="14"/>
  <c r="F289" i="14"/>
  <c r="X380" i="14"/>
  <c r="V352" i="14"/>
  <c r="Y325" i="14"/>
  <c r="AA298" i="14"/>
  <c r="T397" i="14"/>
  <c r="J366" i="14"/>
  <c r="N339" i="14"/>
  <c r="I312" i="14"/>
  <c r="W414" i="14"/>
  <c r="AA379" i="14"/>
  <c r="E352" i="14"/>
  <c r="G325" i="14"/>
  <c r="J298" i="14"/>
  <c r="S379" i="14"/>
  <c r="AA324" i="14"/>
  <c r="V396" i="14"/>
  <c r="I338" i="14"/>
  <c r="E414" i="14"/>
  <c r="P351" i="14"/>
  <c r="V297" i="14"/>
  <c r="Q364" i="14"/>
  <c r="V310" i="14"/>
  <c r="R377" i="14"/>
  <c r="G323" i="14"/>
  <c r="Z393" i="14"/>
  <c r="G336" i="14"/>
  <c r="J405" i="14"/>
  <c r="X344" i="14"/>
  <c r="X291" i="14"/>
  <c r="G409" i="14"/>
  <c r="E394" i="14"/>
  <c r="G380" i="14"/>
  <c r="Z366" i="14"/>
  <c r="P354" i="14"/>
  <c r="N388" i="14"/>
  <c r="F363" i="14"/>
  <c r="E354" i="14"/>
  <c r="G352" i="14"/>
  <c r="G372" i="14"/>
  <c r="X338" i="14"/>
  <c r="R414" i="14"/>
  <c r="N407" i="14"/>
  <c r="H400" i="14"/>
  <c r="AA392" i="14"/>
  <c r="W385" i="14"/>
  <c r="R378" i="14"/>
  <c r="N371" i="14"/>
  <c r="H364" i="14"/>
  <c r="AA356" i="14"/>
  <c r="W349" i="14"/>
  <c r="R342" i="14"/>
  <c r="N335" i="14"/>
  <c r="H328" i="14"/>
  <c r="AA320" i="14"/>
  <c r="W313" i="14"/>
  <c r="R306" i="14"/>
  <c r="N299" i="14"/>
  <c r="H292" i="14"/>
  <c r="K412" i="14"/>
  <c r="P404" i="14"/>
  <c r="S396" i="14"/>
  <c r="V388" i="14"/>
  <c r="N412" i="14"/>
  <c r="V403" i="14"/>
  <c r="H395" i="14"/>
  <c r="S386" i="14"/>
  <c r="S378" i="14"/>
  <c r="V370" i="14"/>
  <c r="Y362" i="14"/>
  <c r="E355" i="14"/>
  <c r="H347" i="14"/>
  <c r="K339" i="14"/>
  <c r="P331" i="14"/>
  <c r="S323" i="14"/>
  <c r="W315" i="14"/>
  <c r="Z307" i="14"/>
  <c r="F300" i="14"/>
  <c r="I292" i="14"/>
  <c r="J412" i="14"/>
  <c r="T403" i="14"/>
  <c r="G395" i="14"/>
  <c r="R386" i="14"/>
  <c r="Q378" i="14"/>
  <c r="T370" i="14"/>
  <c r="X362" i="14"/>
  <c r="AA354" i="14"/>
  <c r="G347" i="14"/>
  <c r="J339" i="14"/>
  <c r="O331" i="14"/>
  <c r="R323" i="14"/>
  <c r="V315" i="14"/>
  <c r="Y307" i="14"/>
  <c r="E300" i="14"/>
  <c r="G292" i="14"/>
  <c r="I412" i="14"/>
  <c r="S403" i="14"/>
  <c r="F395" i="14"/>
  <c r="Q386" i="14"/>
  <c r="P378" i="14"/>
  <c r="S370" i="14"/>
  <c r="W362" i="14"/>
  <c r="Z354" i="14"/>
  <c r="F347" i="14"/>
  <c r="I339" i="14"/>
  <c r="N331" i="14"/>
  <c r="Q323" i="14"/>
  <c r="T315" i="14"/>
  <c r="X307" i="14"/>
  <c r="Z299" i="14"/>
  <c r="F292" i="14"/>
  <c r="G412" i="14"/>
  <c r="R403" i="14"/>
  <c r="E395" i="14"/>
  <c r="P386" i="14"/>
  <c r="O378" i="14"/>
  <c r="R370" i="14"/>
  <c r="V362" i="14"/>
  <c r="Y354" i="14"/>
  <c r="E347" i="14"/>
  <c r="H339" i="14"/>
  <c r="K331" i="14"/>
  <c r="P323" i="14"/>
  <c r="S315" i="14"/>
  <c r="V307" i="14"/>
  <c r="Y299" i="14"/>
  <c r="E292" i="14"/>
  <c r="F412" i="14"/>
  <c r="Q403" i="14"/>
  <c r="AA394" i="14"/>
  <c r="O386" i="14"/>
  <c r="N378" i="14"/>
  <c r="Q370" i="14"/>
  <c r="T362" i="14"/>
  <c r="X354" i="14"/>
  <c r="AA346" i="14"/>
  <c r="G339" i="14"/>
  <c r="J331" i="14"/>
  <c r="O323" i="14"/>
  <c r="Q315" i="14"/>
  <c r="T307" i="14"/>
  <c r="X299" i="14"/>
  <c r="F406" i="14"/>
  <c r="J391" i="14"/>
  <c r="O377" i="14"/>
  <c r="X363" i="14"/>
  <c r="Q350" i="14"/>
  <c r="Z336" i="14"/>
  <c r="K323" i="14"/>
  <c r="E310" i="14"/>
  <c r="R296" i="14"/>
  <c r="AA411" i="14"/>
  <c r="P397" i="14"/>
  <c r="X382" i="14"/>
  <c r="P369" i="14"/>
  <c r="Z355" i="14"/>
  <c r="K342" i="14"/>
  <c r="E329" i="14"/>
  <c r="O315" i="14"/>
  <c r="G302" i="14"/>
  <c r="V289" i="14"/>
  <c r="N403" i="14"/>
  <c r="Y388" i="14"/>
  <c r="Y374" i="14"/>
  <c r="K361" i="14"/>
  <c r="E348" i="14"/>
  <c r="O334" i="14"/>
  <c r="G321" i="14"/>
  <c r="Q307" i="14"/>
  <c r="P294" i="14"/>
  <c r="Q409" i="14"/>
  <c r="V394" i="14"/>
  <c r="J380" i="14"/>
  <c r="AA366" i="14"/>
  <c r="O353" i="14"/>
  <c r="F340" i="14"/>
  <c r="Q326" i="14"/>
  <c r="I313" i="14"/>
  <c r="S299" i="14"/>
  <c r="O415" i="14"/>
  <c r="S400" i="14"/>
  <c r="F386" i="14"/>
  <c r="Z413" i="14"/>
  <c r="G399" i="14"/>
  <c r="S384" i="14"/>
  <c r="E371" i="14"/>
  <c r="V357" i="14"/>
  <c r="G344" i="14"/>
  <c r="Q330" i="14"/>
  <c r="I317" i="14"/>
  <c r="T303" i="14"/>
  <c r="H291" i="14"/>
  <c r="K405" i="14"/>
  <c r="P390" i="14"/>
  <c r="T376" i="14"/>
  <c r="G363" i="14"/>
  <c r="Q349" i="14"/>
  <c r="I336" i="14"/>
  <c r="S322" i="14"/>
  <c r="K309" i="14"/>
  <c r="Z295" i="14"/>
  <c r="X404" i="14"/>
  <c r="G371" i="14"/>
  <c r="I344" i="14"/>
  <c r="K317" i="14"/>
  <c r="J291" i="14"/>
  <c r="G384" i="14"/>
  <c r="N355" i="14"/>
  <c r="P328" i="14"/>
  <c r="R301" i="14"/>
  <c r="I398" i="14"/>
  <c r="N366" i="14"/>
  <c r="P339" i="14"/>
  <c r="S312" i="14"/>
  <c r="T412" i="14"/>
  <c r="F378" i="14"/>
  <c r="S350" i="14"/>
  <c r="V323" i="14"/>
  <c r="Y296" i="14"/>
  <c r="I395" i="14"/>
  <c r="Y363" i="14"/>
  <c r="AA336" i="14"/>
  <c r="F310" i="14"/>
  <c r="W411" i="14"/>
  <c r="P377" i="14"/>
  <c r="Z349" i="14"/>
  <c r="E323" i="14"/>
  <c r="I296" i="14"/>
  <c r="I374" i="14"/>
  <c r="P320" i="14"/>
  <c r="S390" i="14"/>
  <c r="V333" i="14"/>
  <c r="G408" i="14"/>
  <c r="I347" i="14"/>
  <c r="W293" i="14"/>
  <c r="E360" i="14"/>
  <c r="I306" i="14"/>
  <c r="N372" i="14"/>
  <c r="S318" i="14"/>
  <c r="W387" i="14"/>
  <c r="R331" i="14"/>
  <c r="H399" i="14"/>
  <c r="K340" i="14"/>
  <c r="G411" i="14"/>
  <c r="Q394" i="14"/>
  <c r="H380" i="14"/>
  <c r="R367" i="14"/>
  <c r="S356" i="14"/>
  <c r="J344" i="14"/>
  <c r="T365" i="14"/>
  <c r="Z340" i="14"/>
  <c r="Y331" i="14"/>
  <c r="AA330" i="14"/>
  <c r="O307" i="14"/>
  <c r="W329" i="14"/>
  <c r="P369" i="12"/>
  <c r="AK369" i="12" s="1"/>
  <c r="F47" i="21"/>
  <c r="F141" i="21"/>
  <c r="F147" i="21"/>
  <c r="F53" i="21"/>
  <c r="BD7" i="22"/>
  <c r="AJ7" i="22"/>
  <c r="AA299" i="15"/>
  <c r="Z406" i="15"/>
  <c r="Y372" i="15"/>
  <c r="AA288" i="15"/>
  <c r="J408" i="15"/>
  <c r="F317" i="15"/>
  <c r="J364" i="15"/>
  <c r="AA293" i="15"/>
  <c r="J336" i="15"/>
  <c r="J324" i="15"/>
  <c r="J402" i="15"/>
  <c r="T338" i="15"/>
  <c r="F291" i="15"/>
  <c r="AA354" i="15"/>
  <c r="F304" i="15"/>
  <c r="J374" i="15"/>
  <c r="Z317" i="15"/>
  <c r="W393" i="15"/>
  <c r="K332" i="15"/>
  <c r="K413" i="15"/>
  <c r="J347" i="15"/>
  <c r="F294" i="15"/>
  <c r="T329" i="15"/>
  <c r="Q373" i="15"/>
  <c r="I293" i="15"/>
  <c r="W328" i="15"/>
  <c r="J372" i="15"/>
  <c r="K292" i="15"/>
  <c r="W327" i="15"/>
  <c r="Z370" i="15"/>
  <c r="O291" i="15"/>
  <c r="Y326" i="15"/>
  <c r="T369" i="15"/>
  <c r="R290" i="15"/>
  <c r="X325" i="15"/>
  <c r="K368" i="15"/>
  <c r="Q353" i="15"/>
  <c r="H391" i="15"/>
  <c r="T297" i="15"/>
  <c r="R327" i="15"/>
  <c r="H361" i="15"/>
  <c r="Z398" i="15"/>
  <c r="N303" i="15"/>
  <c r="T333" i="15"/>
  <c r="Y368" i="15"/>
  <c r="S406" i="15"/>
  <c r="S373" i="15"/>
  <c r="E405" i="15"/>
  <c r="F305" i="15"/>
  <c r="AA332" i="15"/>
  <c r="Q363" i="15"/>
  <c r="Z394" i="15"/>
  <c r="W295" i="15"/>
  <c r="K319" i="15"/>
  <c r="Z342" i="15"/>
  <c r="P366" i="15"/>
  <c r="E390" i="15"/>
  <c r="R413" i="15"/>
  <c r="R362" i="15"/>
  <c r="H386" i="15"/>
  <c r="V409" i="15"/>
  <c r="K325" i="15"/>
  <c r="Z348" i="15"/>
  <c r="P372" i="15"/>
  <c r="E396" i="15"/>
  <c r="I291" i="15"/>
  <c r="X312" i="15"/>
  <c r="O334" i="15"/>
  <c r="E356" i="15"/>
  <c r="S377" i="15"/>
  <c r="I399" i="15"/>
  <c r="Q303" i="12"/>
  <c r="AL303" i="12" s="1"/>
  <c r="X310" i="12"/>
  <c r="AS310" i="12" s="1"/>
  <c r="R294" i="12"/>
  <c r="AM294" i="12" s="1"/>
  <c r="Q248" i="12"/>
  <c r="AL248" i="12" s="1"/>
  <c r="N288" i="12"/>
  <c r="AI288" i="12" s="1"/>
  <c r="W356" i="12"/>
  <c r="AR356" i="12" s="1"/>
  <c r="X300" i="12"/>
  <c r="AS300" i="12" s="1"/>
  <c r="N304" i="12"/>
  <c r="AI304" i="12" s="1"/>
  <c r="N290" i="12"/>
  <c r="AI290" i="12" s="1"/>
  <c r="S282" i="12"/>
  <c r="AN282" i="12" s="1"/>
  <c r="W273" i="12"/>
  <c r="AR273" i="12" s="1"/>
  <c r="X264" i="12"/>
  <c r="AS264" i="12" s="1"/>
  <c r="Q256" i="12"/>
  <c r="AL256" i="12" s="1"/>
  <c r="W285" i="12"/>
  <c r="AR285" i="12" s="1"/>
  <c r="X361" i="12"/>
  <c r="AS361" i="12" s="1"/>
  <c r="N347" i="12"/>
  <c r="AI347" i="12" s="1"/>
  <c r="P292" i="12"/>
  <c r="AK292" i="12" s="1"/>
  <c r="R369" i="12"/>
  <c r="AM369" i="12" s="1"/>
  <c r="P347" i="12"/>
  <c r="AK347" i="12" s="1"/>
  <c r="R340" i="12"/>
  <c r="AM340" i="12" s="1"/>
  <c r="S316" i="12"/>
  <c r="AN316" i="12" s="1"/>
  <c r="P354" i="12"/>
  <c r="AK354" i="12" s="1"/>
  <c r="F20" i="9"/>
  <c r="F29" i="9" s="1"/>
  <c r="F25" i="9"/>
  <c r="F34" i="9" s="1"/>
  <c r="F22" i="9"/>
  <c r="F31" i="9" s="1"/>
  <c r="AH17" i="21"/>
  <c r="AH16" i="21"/>
  <c r="R157" i="20"/>
  <c r="U157" i="20" s="1"/>
  <c r="R20" i="21"/>
  <c r="R19" i="21"/>
  <c r="BA77" i="20"/>
  <c r="BD77" i="20" s="1"/>
  <c r="BA81" i="20"/>
  <c r="J315" i="14"/>
  <c r="N330" i="14"/>
  <c r="Z361" i="14"/>
  <c r="T363" i="14"/>
  <c r="F367" i="14"/>
  <c r="K346" i="14"/>
  <c r="Y371" i="14"/>
  <c r="I397" i="14"/>
  <c r="G385" i="14"/>
  <c r="V353" i="14"/>
  <c r="F393" i="14"/>
  <c r="W307" i="14"/>
  <c r="N377" i="14"/>
  <c r="P363" i="15"/>
  <c r="W334" i="15"/>
  <c r="F408" i="15"/>
  <c r="R380" i="15"/>
  <c r="W359" i="15"/>
  <c r="W412" i="15"/>
  <c r="X346" i="15"/>
  <c r="X279" i="12"/>
  <c r="AS279" i="12" s="1"/>
  <c r="Q305" i="12"/>
  <c r="AL305" i="12" s="1"/>
  <c r="Y357" i="14"/>
  <c r="S320" i="14"/>
  <c r="G297" i="14"/>
  <c r="V302" i="14"/>
  <c r="E397" i="14"/>
  <c r="S307" i="14"/>
  <c r="T405" i="14"/>
  <c r="P361" i="14"/>
  <c r="W393" i="14"/>
  <c r="V374" i="14"/>
  <c r="F359" i="14"/>
  <c r="Y408" i="14"/>
  <c r="I308" i="14"/>
  <c r="J374" i="14"/>
  <c r="J403" i="14"/>
  <c r="T344" i="14"/>
  <c r="Z410" i="14"/>
  <c r="I333" i="14"/>
  <c r="P340" i="14"/>
  <c r="O329" i="14"/>
  <c r="F315" i="14"/>
  <c r="E302" i="14"/>
  <c r="W405" i="14"/>
  <c r="R399" i="14"/>
  <c r="T292" i="15"/>
  <c r="N377" i="15"/>
  <c r="G398" i="15"/>
  <c r="X314" i="15"/>
  <c r="Y347" i="15"/>
  <c r="W345" i="15"/>
  <c r="H343" i="15"/>
  <c r="H292" i="15"/>
  <c r="T360" i="15"/>
  <c r="BD54" i="22"/>
  <c r="AJ54" i="22"/>
  <c r="G22" i="3"/>
  <c r="B98" i="2"/>
  <c r="Z321" i="14"/>
  <c r="Y344" i="14"/>
  <c r="AA390" i="14"/>
  <c r="F308" i="14"/>
  <c r="P311" i="14"/>
  <c r="X314" i="14"/>
  <c r="I342" i="14"/>
  <c r="S345" i="14"/>
  <c r="T380" i="14"/>
  <c r="H354" i="14"/>
  <c r="E317" i="14"/>
  <c r="P323" i="15"/>
  <c r="R22" i="22"/>
  <c r="J23" i="22"/>
  <c r="AG13" i="22" s="1"/>
  <c r="M21" i="22"/>
  <c r="K23" i="22"/>
  <c r="S21" i="22"/>
  <c r="M20" i="22"/>
  <c r="I21" i="22"/>
  <c r="M22" i="22"/>
  <c r="L22" i="22"/>
  <c r="H20" i="22"/>
  <c r="F20" i="22"/>
  <c r="K20" i="22"/>
  <c r="D23" i="22"/>
  <c r="Q22" i="22"/>
  <c r="Q21" i="22"/>
  <c r="O21" i="22"/>
  <c r="O20" i="22"/>
  <c r="D20" i="22"/>
  <c r="G20" i="22"/>
  <c r="I23" i="22"/>
  <c r="L23" i="22"/>
  <c r="O22" i="22"/>
  <c r="Q20" i="22"/>
  <c r="N21" i="22"/>
  <c r="E20" i="22"/>
  <c r="G21" i="22"/>
  <c r="E23" i="22"/>
  <c r="N22" i="22"/>
  <c r="P20" i="22"/>
  <c r="K22" i="22"/>
  <c r="J21" i="22"/>
  <c r="AG12" i="22" s="1"/>
  <c r="L21" i="22"/>
  <c r="R21" i="22"/>
  <c r="N20" i="22"/>
  <c r="F22" i="22"/>
  <c r="O23" i="22"/>
  <c r="M23" i="22"/>
  <c r="R20" i="22"/>
  <c r="S20" i="22"/>
  <c r="D22" i="22"/>
  <c r="E22" i="22"/>
  <c r="G22" i="22"/>
  <c r="H23" i="22"/>
  <c r="P23" i="22"/>
  <c r="Q23" i="22"/>
  <c r="E21" i="22"/>
  <c r="I20" i="22"/>
  <c r="H21" i="22"/>
  <c r="K21" i="22"/>
  <c r="R23" i="22"/>
  <c r="P22" i="22"/>
  <c r="F21" i="22"/>
  <c r="S23" i="22"/>
  <c r="N23" i="22"/>
  <c r="CK31" i="20"/>
  <c r="CL31" i="20"/>
  <c r="CJ31" i="20"/>
  <c r="P147" i="21"/>
  <c r="P141" i="21"/>
  <c r="P47" i="21"/>
  <c r="P53" i="21"/>
  <c r="I361" i="14"/>
  <c r="Y403" i="14"/>
  <c r="R322" i="14"/>
  <c r="I393" i="14"/>
  <c r="J370" i="14"/>
  <c r="J393" i="14"/>
  <c r="O405" i="14"/>
  <c r="I297" i="14"/>
  <c r="I302" i="14"/>
  <c r="O320" i="14"/>
  <c r="Z315" i="14"/>
  <c r="W302" i="14"/>
  <c r="J372" i="14"/>
  <c r="S314" i="14"/>
  <c r="E386" i="14"/>
  <c r="K321" i="14"/>
  <c r="T386" i="14"/>
  <c r="AA334" i="14"/>
  <c r="G404" i="14"/>
  <c r="V348" i="14"/>
  <c r="K289" i="14"/>
  <c r="H351" i="14"/>
  <c r="Z293" i="14"/>
  <c r="E325" i="14"/>
  <c r="W359" i="14"/>
  <c r="H389" i="14"/>
  <c r="I294" i="14"/>
  <c r="O328" i="14"/>
  <c r="X359" i="14"/>
  <c r="Q395" i="14"/>
  <c r="W384" i="14"/>
  <c r="Q290" i="14"/>
  <c r="N324" i="14"/>
  <c r="X355" i="14"/>
  <c r="F391" i="14"/>
  <c r="S293" i="14"/>
  <c r="O324" i="14"/>
  <c r="H359" i="14"/>
  <c r="G391" i="14"/>
  <c r="X298" i="14"/>
  <c r="X327" i="14"/>
  <c r="I359" i="14"/>
  <c r="Y394" i="14"/>
  <c r="Y298" i="14"/>
  <c r="S333" i="14"/>
  <c r="S362" i="14"/>
  <c r="Z394" i="14"/>
  <c r="N306" i="14"/>
  <c r="V324" i="14"/>
  <c r="E345" i="14"/>
  <c r="E362" i="14"/>
  <c r="K380" i="14"/>
  <c r="G402" i="14"/>
  <c r="K293" i="14"/>
  <c r="S313" i="14"/>
  <c r="T330" i="14"/>
  <c r="AA348" i="14"/>
  <c r="J369" i="14"/>
  <c r="Y387" i="14"/>
  <c r="E410" i="14"/>
  <c r="J299" i="14"/>
  <c r="S317" i="14"/>
  <c r="Z337" i="14"/>
  <c r="I356" i="14"/>
  <c r="Q376" i="14"/>
  <c r="N394" i="14"/>
  <c r="N414" i="14"/>
  <c r="Q306" i="14"/>
  <c r="Y324" i="14"/>
  <c r="H345" i="14"/>
  <c r="H362" i="14"/>
  <c r="Q380" i="14"/>
  <c r="J402" i="14"/>
  <c r="Q293" i="14"/>
  <c r="X313" i="14"/>
  <c r="X330" i="14"/>
  <c r="O369" i="14"/>
  <c r="E388" i="14"/>
  <c r="H410" i="14"/>
  <c r="Z395" i="14"/>
  <c r="J414" i="14"/>
  <c r="N305" i="14"/>
  <c r="H322" i="14"/>
  <c r="W340" i="14"/>
  <c r="N356" i="14"/>
  <c r="H373" i="14"/>
  <c r="W391" i="14"/>
  <c r="S17" i="21"/>
  <c r="S16" i="21"/>
  <c r="R82" i="20"/>
  <c r="U82" i="20" s="1"/>
  <c r="R86" i="20"/>
  <c r="CK19" i="20"/>
  <c r="CJ19" i="20"/>
  <c r="CL19" i="20"/>
  <c r="CM30" i="20"/>
  <c r="CH30" i="20"/>
  <c r="CI30" i="20"/>
  <c r="T406" i="15"/>
  <c r="Q293" i="15"/>
  <c r="S384" i="15"/>
  <c r="R298" i="15"/>
  <c r="W413" i="15"/>
  <c r="G322" i="15"/>
  <c r="K370" i="15"/>
  <c r="K298" i="15"/>
  <c r="Y339" i="15"/>
  <c r="I326" i="15"/>
  <c r="Y404" i="15"/>
  <c r="R340" i="15"/>
  <c r="W292" i="15"/>
  <c r="R357" i="15"/>
  <c r="Y305" i="15"/>
  <c r="X376" i="15"/>
  <c r="Y319" i="15"/>
  <c r="V395" i="15"/>
  <c r="H334" i="15"/>
  <c r="I415" i="15"/>
  <c r="V348" i="15"/>
  <c r="AA294" i="15"/>
  <c r="V330" i="15"/>
  <c r="Z374" i="15"/>
  <c r="G294" i="15"/>
  <c r="V329" i="15"/>
  <c r="R373" i="15"/>
  <c r="K293" i="15"/>
  <c r="X328" i="15"/>
  <c r="Q372" i="15"/>
  <c r="N292" i="15"/>
  <c r="Z327" i="15"/>
  <c r="I371" i="15"/>
  <c r="R291" i="15"/>
  <c r="AA326" i="15"/>
  <c r="Z369" i="15"/>
  <c r="Q354" i="15"/>
  <c r="J392" i="15"/>
  <c r="Q298" i="15"/>
  <c r="N328" i="15"/>
  <c r="J362" i="15"/>
  <c r="F400" i="15"/>
  <c r="G304" i="15"/>
  <c r="T334" i="15"/>
  <c r="AA369" i="15"/>
  <c r="Q407" i="15"/>
  <c r="R374" i="15"/>
  <c r="E406" i="15"/>
  <c r="W305" i="15"/>
  <c r="W333" i="15"/>
  <c r="K364" i="15"/>
  <c r="W395" i="15"/>
  <c r="O296" i="15"/>
  <c r="AA319" i="15"/>
  <c r="R343" i="15"/>
  <c r="G367" i="15"/>
  <c r="T390" i="15"/>
  <c r="J414" i="15"/>
  <c r="J363" i="15"/>
  <c r="X386" i="15"/>
  <c r="N410" i="15"/>
  <c r="AA325" i="15"/>
  <c r="R349" i="15"/>
  <c r="G373" i="15"/>
  <c r="T396" i="15"/>
  <c r="X291" i="15"/>
  <c r="O313" i="15"/>
  <c r="E335" i="15"/>
  <c r="S356" i="15"/>
  <c r="I378" i="15"/>
  <c r="X399" i="15"/>
  <c r="I79" i="22"/>
  <c r="I22" i="22"/>
  <c r="S370" i="12"/>
  <c r="AN370" i="12" s="1"/>
  <c r="W256" i="12"/>
  <c r="AR256" i="12" s="1"/>
  <c r="R330" i="12"/>
  <c r="AM330" i="12" s="1"/>
  <c r="X280" i="12"/>
  <c r="AS280" i="12" s="1"/>
  <c r="S318" i="12"/>
  <c r="AN318" i="12" s="1"/>
  <c r="O287" i="12"/>
  <c r="AJ287" i="12" s="1"/>
  <c r="X312" i="12"/>
  <c r="AS312" i="12" s="1"/>
  <c r="N316" i="12"/>
  <c r="AI316" i="12" s="1"/>
  <c r="N302" i="12"/>
  <c r="AI302" i="12" s="1"/>
  <c r="O290" i="12"/>
  <c r="AJ290" i="12" s="1"/>
  <c r="X282" i="12"/>
  <c r="AS282" i="12" s="1"/>
  <c r="W271" i="12"/>
  <c r="AR271" i="12" s="1"/>
  <c r="X262" i="12"/>
  <c r="AS262" i="12" s="1"/>
  <c r="W291" i="12"/>
  <c r="AR291" i="12" s="1"/>
  <c r="S368" i="12"/>
  <c r="AN368" i="12" s="1"/>
  <c r="R353" i="12"/>
  <c r="AM353" i="12" s="1"/>
  <c r="P298" i="12"/>
  <c r="AK298" i="12" s="1"/>
  <c r="Q280" i="12"/>
  <c r="AL280" i="12" s="1"/>
  <c r="N354" i="12"/>
  <c r="AI354" i="12" s="1"/>
  <c r="O345" i="12"/>
  <c r="AJ345" i="12" s="1"/>
  <c r="S322" i="12"/>
  <c r="AN322" i="12" s="1"/>
  <c r="P360" i="12"/>
  <c r="AK360" i="12" s="1"/>
  <c r="AW53" i="22"/>
  <c r="AC53" i="22"/>
  <c r="X159" i="21"/>
  <c r="X153" i="21"/>
  <c r="X71" i="21"/>
  <c r="X65" i="21"/>
  <c r="X165" i="21"/>
  <c r="X59" i="21"/>
  <c r="CJ10" i="20"/>
  <c r="CL10" i="20"/>
  <c r="CK10" i="20"/>
  <c r="L20" i="21"/>
  <c r="L19" i="21"/>
  <c r="BA51" i="20"/>
  <c r="BA47" i="20"/>
  <c r="BD47" i="20" s="1"/>
  <c r="E19" i="21"/>
  <c r="E20" i="21"/>
  <c r="BA16" i="20"/>
  <c r="BA12" i="20"/>
  <c r="BD12" i="20" s="1"/>
  <c r="R54" i="22"/>
  <c r="P9" i="22"/>
  <c r="N52" i="22"/>
  <c r="J26" i="22"/>
  <c r="M51" i="22"/>
  <c r="E11" i="22"/>
  <c r="R11" i="22"/>
  <c r="BA54" i="22"/>
  <c r="AG54" i="22"/>
  <c r="N259" i="12"/>
  <c r="AI259" i="12" s="1"/>
  <c r="O253" i="12"/>
  <c r="AJ253" i="12" s="1"/>
  <c r="W328" i="12"/>
  <c r="AR328" i="12" s="1"/>
  <c r="P279" i="12"/>
  <c r="AK279" i="12" s="1"/>
  <c r="R321" i="12"/>
  <c r="AM321" i="12" s="1"/>
  <c r="N289" i="12"/>
  <c r="AI289" i="12" s="1"/>
  <c r="N278" i="12"/>
  <c r="AI278" i="12" s="1"/>
  <c r="W325" i="12"/>
  <c r="AR325" i="12" s="1"/>
  <c r="X301" i="12"/>
  <c r="AS301" i="12" s="1"/>
  <c r="S294" i="12"/>
  <c r="AN294" i="12" s="1"/>
  <c r="N271" i="12"/>
  <c r="AI271" i="12" s="1"/>
  <c r="W280" i="12"/>
  <c r="AR280" i="12" s="1"/>
  <c r="O250" i="12"/>
  <c r="AJ250" i="12" s="1"/>
  <c r="Q270" i="12"/>
  <c r="AL270" i="12" s="1"/>
  <c r="X307" i="12"/>
  <c r="AS307" i="12" s="1"/>
  <c r="N371" i="12"/>
  <c r="AI371" i="12" s="1"/>
  <c r="S291" i="12"/>
  <c r="AN291" i="12" s="1"/>
  <c r="P288" i="12"/>
  <c r="AK288" i="12" s="1"/>
  <c r="Q324" i="12"/>
  <c r="AL324" i="12" s="1"/>
  <c r="R306" i="12"/>
  <c r="AM306" i="12" s="1"/>
  <c r="N366" i="12"/>
  <c r="AI366" i="12" s="1"/>
  <c r="X358" i="12"/>
  <c r="AS358" i="12" s="1"/>
  <c r="X256" i="12"/>
  <c r="AS256" i="12" s="1"/>
  <c r="X274" i="12"/>
  <c r="AS274" i="12" s="1"/>
  <c r="X303" i="12"/>
  <c r="AS303" i="12" s="1"/>
  <c r="X339" i="12"/>
  <c r="AS339" i="12" s="1"/>
  <c r="X254" i="12"/>
  <c r="AS254" i="12" s="1"/>
  <c r="P275" i="12"/>
  <c r="AK275" i="12" s="1"/>
  <c r="N307" i="12"/>
  <c r="AI307" i="12" s="1"/>
  <c r="Q344" i="12"/>
  <c r="AL344" i="12" s="1"/>
  <c r="N249" i="12"/>
  <c r="AI249" i="12" s="1"/>
  <c r="N267" i="12"/>
  <c r="AI267" i="12" s="1"/>
  <c r="N293" i="12"/>
  <c r="AI293" i="12" s="1"/>
  <c r="N329" i="12"/>
  <c r="AI329" i="12" s="1"/>
  <c r="N364" i="12"/>
  <c r="AI364" i="12" s="1"/>
  <c r="P260" i="12"/>
  <c r="AK260" i="12" s="1"/>
  <c r="N285" i="12"/>
  <c r="AI285" i="12" s="1"/>
  <c r="O317" i="12"/>
  <c r="AJ317" i="12" s="1"/>
  <c r="X354" i="12"/>
  <c r="AS354" i="12" s="1"/>
  <c r="S253" i="12"/>
  <c r="AN253" i="12" s="1"/>
  <c r="N274" i="12"/>
  <c r="AI274" i="12" s="1"/>
  <c r="Q308" i="12"/>
  <c r="AL308" i="12" s="1"/>
  <c r="N342" i="12"/>
  <c r="AI342" i="12" s="1"/>
  <c r="O247" i="12"/>
  <c r="AJ247" i="12" s="1"/>
  <c r="O265" i="12"/>
  <c r="AJ265" i="12" s="1"/>
  <c r="R290" i="12"/>
  <c r="AM290" i="12" s="1"/>
  <c r="R326" i="12"/>
  <c r="AM326" i="12" s="1"/>
  <c r="O360" i="12"/>
  <c r="AJ360" i="12" s="1"/>
  <c r="R258" i="12"/>
  <c r="AM258" i="12" s="1"/>
  <c r="R276" i="12"/>
  <c r="AM276" i="12" s="1"/>
  <c r="P309" i="12"/>
  <c r="AK309" i="12" s="1"/>
  <c r="S347" i="12"/>
  <c r="AN347" i="12" s="1"/>
  <c r="P287" i="12"/>
  <c r="AK287" i="12" s="1"/>
  <c r="P305" i="12"/>
  <c r="AK305" i="12" s="1"/>
  <c r="P323" i="12"/>
  <c r="AK323" i="12" s="1"/>
  <c r="S341" i="12"/>
  <c r="AN341" i="12" s="1"/>
  <c r="O362" i="12"/>
  <c r="AJ362" i="12" s="1"/>
  <c r="S293" i="12"/>
  <c r="AN293" i="12" s="1"/>
  <c r="S311" i="12"/>
  <c r="AN311" i="12" s="1"/>
  <c r="S329" i="12"/>
  <c r="AN329" i="12" s="1"/>
  <c r="X348" i="12"/>
  <c r="AS348" i="12" s="1"/>
  <c r="X366" i="12"/>
  <c r="AS366" i="12" s="1"/>
  <c r="W257" i="12"/>
  <c r="AR257" i="12" s="1"/>
  <c r="W275" i="12"/>
  <c r="AR275" i="12" s="1"/>
  <c r="W293" i="12"/>
  <c r="AR293" i="12" s="1"/>
  <c r="W311" i="12"/>
  <c r="AR311" i="12" s="1"/>
  <c r="W329" i="12"/>
  <c r="AR329" i="12" s="1"/>
  <c r="P349" i="12"/>
  <c r="AK349" i="12" s="1"/>
  <c r="S371" i="12"/>
  <c r="AN371" i="12" s="1"/>
  <c r="X293" i="12"/>
  <c r="AS293" i="12" s="1"/>
  <c r="X311" i="12"/>
  <c r="AS311" i="12" s="1"/>
  <c r="X329" i="12"/>
  <c r="AS329" i="12" s="1"/>
  <c r="Q349" i="12"/>
  <c r="AL349" i="12" s="1"/>
  <c r="W371" i="12"/>
  <c r="AR371" i="12" s="1"/>
  <c r="N306" i="12"/>
  <c r="AI306" i="12" s="1"/>
  <c r="N324" i="12"/>
  <c r="AI324" i="12" s="1"/>
  <c r="W342" i="12"/>
  <c r="AR342" i="12" s="1"/>
  <c r="W360" i="12"/>
  <c r="AR360" i="12" s="1"/>
  <c r="O282" i="12"/>
  <c r="AJ282" i="12" s="1"/>
  <c r="O300" i="12"/>
  <c r="AJ300" i="12" s="1"/>
  <c r="O318" i="12"/>
  <c r="AJ318" i="12" s="1"/>
  <c r="O336" i="12"/>
  <c r="AJ336" i="12" s="1"/>
  <c r="O352" i="12"/>
  <c r="AJ352" i="12" s="1"/>
  <c r="O370" i="12"/>
  <c r="AJ370" i="12" s="1"/>
  <c r="W355" i="12"/>
  <c r="AR355" i="12" s="1"/>
  <c r="D20" i="8"/>
  <c r="D29" i="8" s="1"/>
  <c r="D22" i="8"/>
  <c r="D31" i="8" s="1"/>
  <c r="D25" i="8"/>
  <c r="D34" i="8" s="1"/>
  <c r="M8" i="22"/>
  <c r="S8" i="22"/>
  <c r="O32" i="22"/>
  <c r="P78" i="22"/>
  <c r="M47" i="21"/>
  <c r="M141" i="21"/>
  <c r="M147" i="21"/>
  <c r="M53" i="21"/>
  <c r="D4" i="22"/>
  <c r="M26" i="22"/>
  <c r="O47" i="21"/>
  <c r="O147" i="21"/>
  <c r="O53" i="21"/>
  <c r="O141" i="21"/>
  <c r="AH53" i="21"/>
  <c r="AH147" i="21"/>
  <c r="AH141" i="21"/>
  <c r="AH47" i="21"/>
  <c r="AH20" i="21"/>
  <c r="BA157" i="20"/>
  <c r="BD157" i="20" s="1"/>
  <c r="AH19" i="21"/>
  <c r="L31" i="20"/>
  <c r="F39" i="8"/>
  <c r="F40" i="8"/>
  <c r="CJ24" i="20"/>
  <c r="CK24" i="20"/>
  <c r="CL24" i="20"/>
  <c r="CM5" i="20"/>
  <c r="CI5" i="20"/>
  <c r="CH5" i="20"/>
  <c r="L11" i="22"/>
  <c r="Y20" i="21"/>
  <c r="Y19" i="21"/>
  <c r="BA116" i="20"/>
  <c r="BA112" i="20"/>
  <c r="BD112" i="20" s="1"/>
  <c r="CJ20" i="20"/>
  <c r="CL20" i="20"/>
  <c r="CK20" i="20"/>
  <c r="L28" i="20"/>
  <c r="CL23" i="20"/>
  <c r="CK23" i="20"/>
  <c r="CJ23" i="20"/>
  <c r="S53" i="21"/>
  <c r="S147" i="21"/>
  <c r="S47" i="21"/>
  <c r="S141" i="21"/>
  <c r="M20" i="21"/>
  <c r="M19" i="21"/>
  <c r="BA56" i="20"/>
  <c r="BA52" i="20"/>
  <c r="BD52" i="20" s="1"/>
  <c r="CH12" i="20"/>
  <c r="CI12" i="20"/>
  <c r="CM12" i="20"/>
  <c r="I28" i="18"/>
  <c r="B60" i="2" s="1"/>
  <c r="C17" i="10" s="1"/>
  <c r="H28" i="18"/>
  <c r="B59" i="2" s="1"/>
  <c r="C16" i="10" s="1"/>
  <c r="I17" i="21"/>
  <c r="I16" i="21"/>
  <c r="R36" i="20"/>
  <c r="R32" i="20"/>
  <c r="U32" i="20" s="1"/>
  <c r="L48" i="20"/>
  <c r="L11" i="20"/>
  <c r="CL13" i="20"/>
  <c r="CK13" i="20"/>
  <c r="CJ13" i="20"/>
  <c r="E165" i="21"/>
  <c r="E65" i="21"/>
  <c r="E153" i="21"/>
  <c r="E159" i="21"/>
  <c r="E59" i="21"/>
  <c r="E71" i="21"/>
  <c r="L27" i="20"/>
  <c r="AK52" i="22"/>
  <c r="BE52" i="22"/>
  <c r="AO48" i="22"/>
  <c r="BI48" i="22"/>
  <c r="P298" i="15"/>
  <c r="N349" i="15"/>
  <c r="F289" i="15"/>
  <c r="Q308" i="15"/>
  <c r="Q329" i="15"/>
  <c r="AA351" i="15"/>
  <c r="P380" i="15"/>
  <c r="K409" i="15"/>
  <c r="I302" i="15"/>
  <c r="AA322" i="15"/>
  <c r="G344" i="15"/>
  <c r="Q371" i="15"/>
  <c r="E400" i="15"/>
  <c r="Y295" i="15"/>
  <c r="AA315" i="15"/>
  <c r="K337" i="15"/>
  <c r="G362" i="15"/>
  <c r="E391" i="15"/>
  <c r="W289" i="15"/>
  <c r="E309" i="15"/>
  <c r="J330" i="15"/>
  <c r="Q352" i="15"/>
  <c r="O381" i="15"/>
  <c r="P410" i="15"/>
  <c r="X302" i="15"/>
  <c r="H323" i="15"/>
  <c r="X344" i="15"/>
  <c r="Z371" i="15"/>
  <c r="Y400" i="15"/>
  <c r="Q296" i="15"/>
  <c r="I316" i="15"/>
  <c r="Q337" i="15"/>
  <c r="AA362" i="15"/>
  <c r="J391" i="15"/>
  <c r="G290" i="15"/>
  <c r="T309" i="15"/>
  <c r="Q330" i="15"/>
  <c r="K353" i="15"/>
  <c r="Z381" i="15"/>
  <c r="X410" i="15"/>
  <c r="X296" i="15"/>
  <c r="G308" i="15"/>
  <c r="N320" i="15"/>
  <c r="W332" i="15"/>
  <c r="P345" i="15"/>
  <c r="E361" i="15"/>
  <c r="X377" i="15"/>
  <c r="P394" i="15"/>
  <c r="K411" i="15"/>
  <c r="AA295" i="15"/>
  <c r="I307" i="15"/>
  <c r="Q319" i="15"/>
  <c r="V331" i="15"/>
  <c r="Q344" i="15"/>
  <c r="T359" i="15"/>
  <c r="Q376" i="15"/>
  <c r="H393" i="15"/>
  <c r="AA409" i="15"/>
  <c r="H295" i="15"/>
  <c r="N306" i="15"/>
  <c r="Q318" i="15"/>
  <c r="Y330" i="15"/>
  <c r="P343" i="15"/>
  <c r="P358" i="15"/>
  <c r="J375" i="15"/>
  <c r="Y391" i="15"/>
  <c r="V408" i="15"/>
  <c r="J294" i="15"/>
  <c r="O305" i="15"/>
  <c r="T317" i="15"/>
  <c r="AA329" i="15"/>
  <c r="O342" i="15"/>
  <c r="G357" i="15"/>
  <c r="Z373" i="15"/>
  <c r="S390" i="15"/>
  <c r="O407" i="15"/>
  <c r="O293" i="15"/>
  <c r="S304" i="15"/>
  <c r="T316" i="15"/>
  <c r="Z328" i="15"/>
  <c r="K341" i="15"/>
  <c r="X355" i="15"/>
  <c r="S372" i="15"/>
  <c r="J389" i="15"/>
  <c r="G406" i="15"/>
  <c r="R356" i="15"/>
  <c r="J369" i="15"/>
  <c r="W381" i="15"/>
  <c r="K394" i="15"/>
  <c r="Y406" i="15"/>
  <c r="V290" i="15"/>
  <c r="F300" i="15"/>
  <c r="R309" i="15"/>
  <c r="X319" i="15"/>
  <c r="G330" i="15"/>
  <c r="P340" i="15"/>
  <c r="W351" i="15"/>
  <c r="N364" i="15"/>
  <c r="Y376" i="15"/>
  <c r="R389" i="15"/>
  <c r="G402" i="15"/>
  <c r="S414" i="15"/>
  <c r="K296" i="15"/>
  <c r="V305" i="15"/>
  <c r="W315" i="15"/>
  <c r="G326" i="15"/>
  <c r="K336" i="15"/>
  <c r="I347" i="15"/>
  <c r="P359" i="15"/>
  <c r="E372" i="15"/>
  <c r="R384" i="15"/>
  <c r="F397" i="15"/>
  <c r="S409" i="15"/>
  <c r="J355" i="15"/>
  <c r="W365" i="15"/>
  <c r="I376" i="15"/>
  <c r="V386" i="15"/>
  <c r="H397" i="15"/>
  <c r="T407" i="15"/>
  <c r="F290" i="15"/>
  <c r="S298" i="15"/>
  <c r="H307" i="15"/>
  <c r="Q316" i="15"/>
  <c r="Z325" i="15"/>
  <c r="N335" i="15"/>
  <c r="H345" i="15"/>
  <c r="T355" i="15"/>
  <c r="G366" i="15"/>
  <c r="S376" i="15"/>
  <c r="F387" i="15"/>
  <c r="R397" i="15"/>
  <c r="E408" i="15"/>
  <c r="Y289" i="15"/>
  <c r="V297" i="15"/>
  <c r="R305" i="15"/>
  <c r="P313" i="15"/>
  <c r="K321" i="15"/>
  <c r="H329" i="15"/>
  <c r="E337" i="15"/>
  <c r="Y344" i="15"/>
  <c r="V352" i="15"/>
  <c r="R360" i="15"/>
  <c r="O368" i="15"/>
  <c r="J376" i="15"/>
  <c r="G384" i="15"/>
  <c r="AA391" i="15"/>
  <c r="Y399" i="15"/>
  <c r="V407" i="15"/>
  <c r="R415" i="15"/>
  <c r="Y348" i="15"/>
  <c r="V356" i="15"/>
  <c r="R364" i="15"/>
  <c r="O372" i="15"/>
  <c r="J380" i="15"/>
  <c r="G388" i="15"/>
  <c r="AA395" i="15"/>
  <c r="X403" i="15"/>
  <c r="T411" i="15"/>
  <c r="R311" i="15"/>
  <c r="P319" i="15"/>
  <c r="K327" i="15"/>
  <c r="H335" i="15"/>
  <c r="E343" i="15"/>
  <c r="Y350" i="15"/>
  <c r="V358" i="15"/>
  <c r="R366" i="15"/>
  <c r="O374" i="15"/>
  <c r="J382" i="15"/>
  <c r="G390" i="15"/>
  <c r="AA397" i="15"/>
  <c r="Y405" i="15"/>
  <c r="V413" i="15"/>
  <c r="E293" i="15"/>
  <c r="I300" i="15"/>
  <c r="O307" i="15"/>
  <c r="S314" i="15"/>
  <c r="X321" i="15"/>
  <c r="E329" i="15"/>
  <c r="I336" i="15"/>
  <c r="O343" i="15"/>
  <c r="S350" i="15"/>
  <c r="X357" i="15"/>
  <c r="E365" i="15"/>
  <c r="I372" i="15"/>
  <c r="O379" i="15"/>
  <c r="S386" i="15"/>
  <c r="X393" i="15"/>
  <c r="E401" i="15"/>
  <c r="I408" i="15"/>
  <c r="O415" i="15"/>
  <c r="P41" i="22"/>
  <c r="AW47" i="22"/>
  <c r="AC47" i="22"/>
  <c r="L53" i="22"/>
  <c r="H41" i="22"/>
  <c r="K77" i="22"/>
  <c r="F8" i="22"/>
  <c r="M9" i="22"/>
  <c r="CK15" i="20"/>
  <c r="CJ15" i="20"/>
  <c r="CL15" i="20"/>
  <c r="BB54" i="22"/>
  <c r="AH54" i="22"/>
  <c r="F83" i="22"/>
  <c r="G27" i="22"/>
  <c r="K84" i="22"/>
  <c r="S75" i="22"/>
  <c r="K71" i="22"/>
  <c r="K54" i="22"/>
  <c r="AY51" i="22"/>
  <c r="AE51" i="22"/>
  <c r="AL53" i="22"/>
  <c r="BF53" i="22"/>
  <c r="R40" i="22"/>
  <c r="P5" i="22"/>
  <c r="W337" i="12"/>
  <c r="AR337" i="12" s="1"/>
  <c r="Q294" i="12"/>
  <c r="AL294" i="12" s="1"/>
  <c r="Q339" i="12"/>
  <c r="AL339" i="12" s="1"/>
  <c r="R287" i="12"/>
  <c r="AM287" i="12" s="1"/>
  <c r="Q343" i="12"/>
  <c r="AL343" i="12" s="1"/>
  <c r="S303" i="12"/>
  <c r="AN303" i="12" s="1"/>
  <c r="N286" i="12"/>
  <c r="AI286" i="12" s="1"/>
  <c r="Q336" i="12"/>
  <c r="AL336" i="12" s="1"/>
  <c r="R312" i="12"/>
  <c r="AM312" i="12" s="1"/>
  <c r="S312" i="12"/>
  <c r="AN312" i="12" s="1"/>
  <c r="N277" i="12"/>
  <c r="AI277" i="12" s="1"/>
  <c r="Q291" i="12"/>
  <c r="AL291" i="12" s="1"/>
  <c r="P252" i="12"/>
  <c r="AK252" i="12" s="1"/>
  <c r="O271" i="12"/>
  <c r="AJ271" i="12" s="1"/>
  <c r="R309" i="12"/>
  <c r="AM309" i="12" s="1"/>
  <c r="X267" i="12"/>
  <c r="AS267" i="12" s="1"/>
  <c r="S300" i="12"/>
  <c r="AN300" i="12" s="1"/>
  <c r="N348" i="12"/>
  <c r="AI348" i="12" s="1"/>
  <c r="W331" i="12"/>
  <c r="AR331" i="12" s="1"/>
  <c r="X313" i="12"/>
  <c r="AS313" i="12" s="1"/>
  <c r="R280" i="12"/>
  <c r="AM280" i="12" s="1"/>
  <c r="N362" i="12"/>
  <c r="AI362" i="12" s="1"/>
  <c r="O257" i="12"/>
  <c r="AJ257" i="12" s="1"/>
  <c r="O275" i="12"/>
  <c r="AJ275" i="12" s="1"/>
  <c r="X306" i="12"/>
  <c r="AS306" i="12" s="1"/>
  <c r="P344" i="12"/>
  <c r="AK344" i="12" s="1"/>
  <c r="O255" i="12"/>
  <c r="AJ255" i="12" s="1"/>
  <c r="S277" i="12"/>
  <c r="AN277" i="12" s="1"/>
  <c r="N310" i="12"/>
  <c r="AI310" i="12" s="1"/>
  <c r="W348" i="12"/>
  <c r="AR348" i="12" s="1"/>
  <c r="X250" i="12"/>
  <c r="AS250" i="12" s="1"/>
  <c r="X268" i="12"/>
  <c r="AS268" i="12" s="1"/>
  <c r="N296" i="12"/>
  <c r="AI296" i="12" s="1"/>
  <c r="N332" i="12"/>
  <c r="AI332" i="12" s="1"/>
  <c r="Q368" i="12"/>
  <c r="AL368" i="12" s="1"/>
  <c r="R262" i="12"/>
  <c r="AM262" i="12" s="1"/>
  <c r="X286" i="12"/>
  <c r="AS286" i="12" s="1"/>
  <c r="O320" i="12"/>
  <c r="AJ320" i="12" s="1"/>
  <c r="O355" i="12"/>
  <c r="AJ355" i="12" s="1"/>
  <c r="W255" i="12"/>
  <c r="AR255" i="12" s="1"/>
  <c r="P276" i="12"/>
  <c r="AK276" i="12" s="1"/>
  <c r="Q311" i="12"/>
  <c r="AL311" i="12" s="1"/>
  <c r="Q346" i="12"/>
  <c r="AL346" i="12" s="1"/>
  <c r="Q249" i="12"/>
  <c r="AL249" i="12" s="1"/>
  <c r="Q267" i="12"/>
  <c r="AL267" i="12" s="1"/>
  <c r="R293" i="12"/>
  <c r="AM293" i="12" s="1"/>
  <c r="R329" i="12"/>
  <c r="AM329" i="12" s="1"/>
  <c r="R364" i="12"/>
  <c r="AM364" i="12" s="1"/>
  <c r="S260" i="12"/>
  <c r="AN260" i="12" s="1"/>
  <c r="O280" i="12"/>
  <c r="AJ280" i="12" s="1"/>
  <c r="P312" i="12"/>
  <c r="AK312" i="12" s="1"/>
  <c r="P352" i="12"/>
  <c r="AK352" i="12" s="1"/>
  <c r="W288" i="12"/>
  <c r="AR288" i="12" s="1"/>
  <c r="W306" i="12"/>
  <c r="AR306" i="12" s="1"/>
  <c r="W324" i="12"/>
  <c r="AR324" i="12" s="1"/>
  <c r="X343" i="12"/>
  <c r="AS343" i="12" s="1"/>
  <c r="P364" i="12"/>
  <c r="AK364" i="12" s="1"/>
  <c r="O295" i="12"/>
  <c r="AJ295" i="12" s="1"/>
  <c r="O313" i="12"/>
  <c r="AJ313" i="12" s="1"/>
  <c r="O331" i="12"/>
  <c r="AJ331" i="12" s="1"/>
  <c r="O349" i="12"/>
  <c r="AJ349" i="12" s="1"/>
  <c r="O367" i="12"/>
  <c r="AJ367" i="12" s="1"/>
  <c r="P259" i="12"/>
  <c r="AK259" i="12" s="1"/>
  <c r="P277" i="12"/>
  <c r="AK277" i="12" s="1"/>
  <c r="P295" i="12"/>
  <c r="AK295" i="12" s="1"/>
  <c r="P313" i="12"/>
  <c r="AK313" i="12" s="1"/>
  <c r="P331" i="12"/>
  <c r="AK331" i="12" s="1"/>
  <c r="R351" i="12"/>
  <c r="AM351" i="12" s="1"/>
  <c r="X373" i="12"/>
  <c r="AS373" i="12" s="1"/>
  <c r="Q295" i="12"/>
  <c r="AL295" i="12" s="1"/>
  <c r="Q313" i="12"/>
  <c r="AL313" i="12" s="1"/>
  <c r="Q331" i="12"/>
  <c r="AL331" i="12" s="1"/>
  <c r="S351" i="12"/>
  <c r="AN351" i="12" s="1"/>
  <c r="N372" i="12"/>
  <c r="AI372" i="12" s="1"/>
  <c r="R307" i="12"/>
  <c r="AM307" i="12" s="1"/>
  <c r="R325" i="12"/>
  <c r="AM325" i="12" s="1"/>
  <c r="N343" i="12"/>
  <c r="AI343" i="12" s="1"/>
  <c r="N361" i="12"/>
  <c r="AI361" i="12" s="1"/>
  <c r="S283" i="12"/>
  <c r="AN283" i="12" s="1"/>
  <c r="S301" i="12"/>
  <c r="AN301" i="12" s="1"/>
  <c r="S319" i="12"/>
  <c r="AN319" i="12" s="1"/>
  <c r="S337" i="12"/>
  <c r="AN337" i="12" s="1"/>
  <c r="Q354" i="12"/>
  <c r="AL354" i="12" s="1"/>
  <c r="Q372" i="12"/>
  <c r="AL372" i="12" s="1"/>
  <c r="P357" i="12"/>
  <c r="AK357" i="12" s="1"/>
  <c r="BA53" i="22"/>
  <c r="AG53" i="22"/>
  <c r="H35" i="22"/>
  <c r="AY19" i="22" s="1"/>
  <c r="AX53" i="22"/>
  <c r="AD53" i="22"/>
  <c r="O78" i="22"/>
  <c r="S74" i="22"/>
  <c r="J141" i="21"/>
  <c r="J53" i="21"/>
  <c r="J147" i="21"/>
  <c r="J47" i="21"/>
  <c r="J153" i="21"/>
  <c r="J159" i="21"/>
  <c r="J165" i="21"/>
  <c r="J59" i="21"/>
  <c r="J65" i="21"/>
  <c r="J71" i="21"/>
  <c r="N141" i="21"/>
  <c r="N147" i="21"/>
  <c r="N47" i="21"/>
  <c r="N53" i="21"/>
  <c r="D26" i="22"/>
  <c r="O27" i="22"/>
  <c r="S24" i="22"/>
  <c r="D25" i="22"/>
  <c r="L24" i="22"/>
  <c r="O25" i="22"/>
  <c r="N26" i="22"/>
  <c r="H24" i="22"/>
  <c r="J27" i="22"/>
  <c r="G24" i="22"/>
  <c r="F26" i="22"/>
  <c r="O26" i="22"/>
  <c r="F24" i="22"/>
  <c r="P24" i="22"/>
  <c r="M24" i="22"/>
  <c r="D24" i="22"/>
  <c r="R24" i="22"/>
  <c r="G25" i="22"/>
  <c r="K26" i="22"/>
  <c r="J24" i="22"/>
  <c r="F27" i="22"/>
  <c r="R25" i="22"/>
  <c r="N25" i="22"/>
  <c r="K27" i="22"/>
  <c r="H27" i="22"/>
  <c r="Q25" i="22"/>
  <c r="AN14" i="22" s="1"/>
  <c r="S26" i="22"/>
  <c r="Q27" i="22"/>
  <c r="E26" i="22"/>
  <c r="Q26" i="22"/>
  <c r="M27" i="22"/>
  <c r="F25" i="22"/>
  <c r="H25" i="22"/>
  <c r="N27" i="22"/>
  <c r="D27" i="22"/>
  <c r="P27" i="22"/>
  <c r="P26" i="22"/>
  <c r="I24" i="22"/>
  <c r="E25" i="22"/>
  <c r="AV14" i="22" s="1"/>
  <c r="S25" i="22"/>
  <c r="G26" i="22"/>
  <c r="R26" i="22"/>
  <c r="K8" i="22"/>
  <c r="P11" i="22"/>
  <c r="K11" i="22"/>
  <c r="N9" i="22"/>
  <c r="S9" i="22"/>
  <c r="J8" i="22"/>
  <c r="G11" i="22"/>
  <c r="H10" i="22"/>
  <c r="N10" i="22"/>
  <c r="H9" i="22"/>
  <c r="S11" i="22"/>
  <c r="J9" i="22"/>
  <c r="I11" i="22"/>
  <c r="L8" i="22"/>
  <c r="O9" i="22"/>
  <c r="O8" i="22"/>
  <c r="L9" i="22"/>
  <c r="L10" i="22"/>
  <c r="I8" i="22"/>
  <c r="G9" i="22"/>
  <c r="E8" i="22"/>
  <c r="N8" i="22"/>
  <c r="J11" i="22"/>
  <c r="I10" i="22"/>
  <c r="H11" i="22"/>
  <c r="G8" i="22"/>
  <c r="J10" i="22"/>
  <c r="F9" i="22"/>
  <c r="I9" i="22"/>
  <c r="E10" i="22"/>
  <c r="N11" i="22"/>
  <c r="CL5" i="20"/>
  <c r="CK5" i="20"/>
  <c r="CJ5" i="20"/>
  <c r="CH35" i="20"/>
  <c r="CI35" i="20"/>
  <c r="CM35" i="20"/>
  <c r="CL35" i="20"/>
  <c r="CJ35" i="20"/>
  <c r="CK35" i="20"/>
  <c r="CI29" i="20"/>
  <c r="CM29" i="20"/>
  <c r="CH29" i="20"/>
  <c r="F39" i="9"/>
  <c r="F40" i="9"/>
  <c r="L62" i="20"/>
  <c r="Y159" i="21"/>
  <c r="Y71" i="21"/>
  <c r="Y153" i="21"/>
  <c r="Y165" i="21"/>
  <c r="Y59" i="21"/>
  <c r="Y65" i="21"/>
  <c r="S165" i="21"/>
  <c r="S153" i="21"/>
  <c r="S159" i="21"/>
  <c r="S59" i="21"/>
  <c r="S71" i="21"/>
  <c r="S65" i="21"/>
  <c r="CI26" i="20"/>
  <c r="CM26" i="20"/>
  <c r="CH26" i="20"/>
  <c r="L61" i="20"/>
  <c r="CM13" i="20"/>
  <c r="CI13" i="20"/>
  <c r="CH13" i="20"/>
  <c r="C22" i="8"/>
  <c r="C31" i="8" s="1"/>
  <c r="AF165" i="21"/>
  <c r="AF65" i="21"/>
  <c r="AF153" i="21"/>
  <c r="AF59" i="21"/>
  <c r="AF71" i="21"/>
  <c r="AF159" i="21"/>
  <c r="M165" i="21"/>
  <c r="M159" i="21"/>
  <c r="M71" i="21"/>
  <c r="M59" i="21"/>
  <c r="M153" i="21"/>
  <c r="M65" i="21"/>
  <c r="W28" i="18"/>
  <c r="B65" i="2" s="1"/>
  <c r="C22" i="10" s="1"/>
  <c r="X28" i="18"/>
  <c r="B66" i="2" s="1"/>
  <c r="C23" i="10" s="1"/>
  <c r="N161" i="11"/>
  <c r="O214" i="11"/>
  <c r="N214" i="11" s="1"/>
  <c r="N165" i="11"/>
  <c r="O218" i="11"/>
  <c r="N218" i="11" s="1"/>
  <c r="C163" i="11"/>
  <c r="D215" i="11"/>
  <c r="C215" i="11" s="1"/>
  <c r="I65" i="21"/>
  <c r="I159" i="21"/>
  <c r="I153" i="21"/>
  <c r="I165" i="21"/>
  <c r="I71" i="21"/>
  <c r="I59" i="21"/>
  <c r="AC147" i="21"/>
  <c r="AC47" i="21"/>
  <c r="AC141" i="21"/>
  <c r="AC53" i="21"/>
  <c r="CI9" i="20"/>
  <c r="CM9" i="20"/>
  <c r="CH9" i="20"/>
  <c r="C167" i="11"/>
  <c r="D219" i="11"/>
  <c r="C219" i="11" s="1"/>
  <c r="AB153" i="21"/>
  <c r="AB165" i="21"/>
  <c r="AB59" i="21"/>
  <c r="AB159" i="21"/>
  <c r="AB65" i="21"/>
  <c r="AB71" i="21"/>
  <c r="CI25" i="20"/>
  <c r="CM25" i="20"/>
  <c r="CH25" i="20"/>
  <c r="AU51" i="22"/>
  <c r="AA51" i="22"/>
  <c r="H7" i="22"/>
  <c r="O52" i="22"/>
  <c r="BE53" i="22"/>
  <c r="AK53" i="22"/>
  <c r="CL18" i="20"/>
  <c r="CJ18" i="20"/>
  <c r="CK18" i="20"/>
  <c r="Z339" i="15"/>
  <c r="Y349" i="15"/>
  <c r="Y323" i="15"/>
  <c r="V351" i="15"/>
  <c r="H356" i="15"/>
  <c r="N363" i="15"/>
  <c r="I409" i="15"/>
  <c r="Q295" i="15"/>
  <c r="T306" i="15"/>
  <c r="Z316" i="15"/>
  <c r="P327" i="15"/>
  <c r="W307" i="15"/>
  <c r="W361" i="15"/>
  <c r="T296" i="15"/>
  <c r="G346" i="15"/>
  <c r="X413" i="15"/>
  <c r="P334" i="15"/>
  <c r="O399" i="15"/>
  <c r="H326" i="15"/>
  <c r="J387" i="15"/>
  <c r="K318" i="15"/>
  <c r="E376" i="15"/>
  <c r="Z309" i="15"/>
  <c r="AA365" i="15"/>
  <c r="G302" i="15"/>
  <c r="X353" i="15"/>
  <c r="Y290" i="15"/>
  <c r="E310" i="15"/>
  <c r="N331" i="15"/>
  <c r="R354" i="15"/>
  <c r="F383" i="15"/>
  <c r="AA411" i="15"/>
  <c r="Z303" i="15"/>
  <c r="P324" i="15"/>
  <c r="N346" i="15"/>
  <c r="H374" i="15"/>
  <c r="S402" i="15"/>
  <c r="Q297" i="15"/>
  <c r="X317" i="15"/>
  <c r="W338" i="15"/>
  <c r="T364" i="15"/>
  <c r="E393" i="15"/>
  <c r="G291" i="15"/>
  <c r="W310" i="15"/>
  <c r="H332" i="15"/>
  <c r="F355" i="15"/>
  <c r="AA383" i="15"/>
  <c r="Q412" i="15"/>
  <c r="H304" i="15"/>
  <c r="F325" i="15"/>
  <c r="R346" i="15"/>
  <c r="Q374" i="15"/>
  <c r="Q403" i="15"/>
  <c r="H298" i="15"/>
  <c r="AA317" i="15"/>
  <c r="O339" i="15"/>
  <c r="Y364" i="15"/>
  <c r="Y393" i="15"/>
  <c r="W291" i="15"/>
  <c r="G311" i="15"/>
  <c r="N332" i="15"/>
  <c r="Y355" i="15"/>
  <c r="O384" i="15"/>
  <c r="N413" i="15"/>
  <c r="W297" i="15"/>
  <c r="G309" i="15"/>
  <c r="P321" i="15"/>
  <c r="Z333" i="15"/>
  <c r="S346" i="15"/>
  <c r="N362" i="15"/>
  <c r="H379" i="15"/>
  <c r="Y395" i="15"/>
  <c r="T412" i="15"/>
  <c r="Y296" i="15"/>
  <c r="H308" i="15"/>
  <c r="P320" i="15"/>
  <c r="X332" i="15"/>
  <c r="T345" i="15"/>
  <c r="F361" i="15"/>
  <c r="Y377" i="15"/>
  <c r="Q394" i="15"/>
  <c r="N411" i="15"/>
  <c r="F296" i="15"/>
  <c r="K307" i="15"/>
  <c r="R319" i="15"/>
  <c r="Z331" i="15"/>
  <c r="R344" i="15"/>
  <c r="X359" i="15"/>
  <c r="T376" i="15"/>
  <c r="P393" i="15"/>
  <c r="G410" i="15"/>
  <c r="I295" i="15"/>
  <c r="O306" i="15"/>
  <c r="R318" i="15"/>
  <c r="Z330" i="15"/>
  <c r="Q343" i="15"/>
  <c r="Q358" i="15"/>
  <c r="K375" i="15"/>
  <c r="H392" i="15"/>
  <c r="W408" i="15"/>
  <c r="N294" i="15"/>
  <c r="Q305" i="15"/>
  <c r="V317" i="15"/>
  <c r="E330" i="15"/>
  <c r="Q342" i="15"/>
  <c r="H357" i="15"/>
  <c r="F374" i="15"/>
  <c r="Y390" i="15"/>
  <c r="P407" i="15"/>
  <c r="T357" i="15"/>
  <c r="I370" i="15"/>
  <c r="W382" i="15"/>
  <c r="O395" i="15"/>
  <c r="AA407" i="15"/>
  <c r="Q291" i="15"/>
  <c r="Y300" i="15"/>
  <c r="P310" i="15"/>
  <c r="V320" i="15"/>
  <c r="AA330" i="15"/>
  <c r="J341" i="15"/>
  <c r="Z352" i="15"/>
  <c r="P365" i="15"/>
  <c r="AA377" i="15"/>
  <c r="R390" i="15"/>
  <c r="F403" i="15"/>
  <c r="W415" i="15"/>
  <c r="G297" i="15"/>
  <c r="Q306" i="15"/>
  <c r="S316" i="15"/>
  <c r="Z326" i="15"/>
  <c r="I337" i="15"/>
  <c r="F348" i="15"/>
  <c r="O360" i="15"/>
  <c r="AA372" i="15"/>
  <c r="T385" i="15"/>
  <c r="I398" i="15"/>
  <c r="W410" i="15"/>
  <c r="J356" i="15"/>
  <c r="V366" i="15"/>
  <c r="I377" i="15"/>
  <c r="T387" i="15"/>
  <c r="H398" i="15"/>
  <c r="S408" i="15"/>
  <c r="W290" i="15"/>
  <c r="K299" i="15"/>
  <c r="Y307" i="15"/>
  <c r="J317" i="15"/>
  <c r="W326" i="15"/>
  <c r="G336" i="15"/>
  <c r="E346" i="15"/>
  <c r="P356" i="15"/>
  <c r="AA366" i="15"/>
  <c r="O377" i="15"/>
  <c r="Z387" i="15"/>
  <c r="N398" i="15"/>
  <c r="Y408" i="15"/>
  <c r="Q290" i="15"/>
  <c r="N298" i="15"/>
  <c r="J306" i="15"/>
  <c r="G314" i="15"/>
  <c r="AA321" i="15"/>
  <c r="X329" i="15"/>
  <c r="T337" i="15"/>
  <c r="Q345" i="15"/>
  <c r="N353" i="15"/>
  <c r="I361" i="15"/>
  <c r="F369" i="15"/>
  <c r="Z376" i="15"/>
  <c r="W384" i="15"/>
  <c r="T392" i="15"/>
  <c r="Q400" i="15"/>
  <c r="N408" i="15"/>
  <c r="T341" i="15"/>
  <c r="Q349" i="15"/>
  <c r="N357" i="15"/>
  <c r="I365" i="15"/>
  <c r="F373" i="15"/>
  <c r="Z380" i="15"/>
  <c r="W388" i="15"/>
  <c r="S396" i="15"/>
  <c r="P404" i="15"/>
  <c r="K412" i="15"/>
  <c r="J312" i="15"/>
  <c r="G320" i="15"/>
  <c r="AA327" i="15"/>
  <c r="X335" i="15"/>
  <c r="T343" i="15"/>
  <c r="Q351" i="15"/>
  <c r="N359" i="15"/>
  <c r="I367" i="15"/>
  <c r="F375" i="15"/>
  <c r="Z382" i="15"/>
  <c r="W390" i="15"/>
  <c r="T398" i="15"/>
  <c r="Q406" i="15"/>
  <c r="N414" i="15"/>
  <c r="S293" i="15"/>
  <c r="X300" i="15"/>
  <c r="E308" i="15"/>
  <c r="I315" i="15"/>
  <c r="O322" i="15"/>
  <c r="S329" i="15"/>
  <c r="X336" i="15"/>
  <c r="E344" i="15"/>
  <c r="I351" i="15"/>
  <c r="O358" i="15"/>
  <c r="S365" i="15"/>
  <c r="X372" i="15"/>
  <c r="E380" i="15"/>
  <c r="I387" i="15"/>
  <c r="O394" i="15"/>
  <c r="S401" i="15"/>
  <c r="X408" i="15"/>
  <c r="AV54" i="22"/>
  <c r="AB54" i="22"/>
  <c r="R9" i="22"/>
  <c r="G40" i="22"/>
  <c r="F4" i="22"/>
  <c r="K32" i="22"/>
  <c r="P73" i="22"/>
  <c r="BH53" i="22"/>
  <c r="AN53" i="22"/>
  <c r="G83" i="22"/>
  <c r="L53" i="20"/>
  <c r="AZ51" i="22"/>
  <c r="AF51" i="22"/>
  <c r="R43" i="22"/>
  <c r="AO23" i="22" s="1"/>
  <c r="BH48" i="22"/>
  <c r="AN48" i="22"/>
  <c r="R78" i="22"/>
  <c r="P75" i="22"/>
  <c r="P85" i="22"/>
  <c r="S372" i="12"/>
  <c r="AN372" i="12" s="1"/>
  <c r="W252" i="12"/>
  <c r="AR252" i="12" s="1"/>
  <c r="R254" i="12"/>
  <c r="AM254" i="12" s="1"/>
  <c r="W319" i="12"/>
  <c r="AR319" i="12" s="1"/>
  <c r="X252" i="12"/>
  <c r="AS252" i="12" s="1"/>
  <c r="S321" i="12"/>
  <c r="AN321" i="12" s="1"/>
  <c r="R289" i="12"/>
  <c r="AM289" i="12" s="1"/>
  <c r="P359" i="12"/>
  <c r="AK359" i="12" s="1"/>
  <c r="X319" i="12"/>
  <c r="AS319" i="12" s="1"/>
  <c r="S330" i="12"/>
  <c r="AN330" i="12" s="1"/>
  <c r="P282" i="12"/>
  <c r="AK282" i="12" s="1"/>
  <c r="W298" i="12"/>
  <c r="AR298" i="12" s="1"/>
  <c r="P254" i="12"/>
  <c r="AK254" i="12" s="1"/>
  <c r="Q272" i="12"/>
  <c r="AL272" i="12" s="1"/>
  <c r="X316" i="12"/>
  <c r="AS316" i="12" s="1"/>
  <c r="W268" i="12"/>
  <c r="AR268" i="12" s="1"/>
  <c r="S309" i="12"/>
  <c r="AN309" i="12" s="1"/>
  <c r="X276" i="12"/>
  <c r="AS276" i="12" s="1"/>
  <c r="Q333" i="12"/>
  <c r="AL333" i="12" s="1"/>
  <c r="R315" i="12"/>
  <c r="AM315" i="12" s="1"/>
  <c r="Q284" i="12"/>
  <c r="AL284" i="12" s="1"/>
  <c r="O366" i="12"/>
  <c r="AJ366" i="12" s="1"/>
  <c r="Q259" i="12"/>
  <c r="AL259" i="12" s="1"/>
  <c r="R277" i="12"/>
  <c r="AM277" i="12" s="1"/>
  <c r="X309" i="12"/>
  <c r="AS309" i="12" s="1"/>
  <c r="S348" i="12"/>
  <c r="AN348" i="12" s="1"/>
  <c r="P257" i="12"/>
  <c r="AK257" i="12" s="1"/>
  <c r="Q278" i="12"/>
  <c r="AL278" i="12" s="1"/>
  <c r="N313" i="12"/>
  <c r="AI313" i="12" s="1"/>
  <c r="N349" i="12"/>
  <c r="AI349" i="12" s="1"/>
  <c r="O251" i="12"/>
  <c r="AJ251" i="12" s="1"/>
  <c r="O269" i="12"/>
  <c r="AJ269" i="12" s="1"/>
  <c r="N299" i="12"/>
  <c r="AI299" i="12" s="1"/>
  <c r="N335" i="12"/>
  <c r="AI335" i="12" s="1"/>
  <c r="W372" i="12"/>
  <c r="AR372" i="12" s="1"/>
  <c r="S264" i="12"/>
  <c r="AN264" i="12" s="1"/>
  <c r="R288" i="12"/>
  <c r="AM288" i="12" s="1"/>
  <c r="O323" i="12"/>
  <c r="AJ323" i="12" s="1"/>
  <c r="R359" i="12"/>
  <c r="AM359" i="12" s="1"/>
  <c r="N256" i="12"/>
  <c r="AI256" i="12" s="1"/>
  <c r="Q281" i="12"/>
  <c r="AL281" i="12" s="1"/>
  <c r="Q314" i="12"/>
  <c r="AL314" i="12" s="1"/>
  <c r="W350" i="12"/>
  <c r="AR350" i="12" s="1"/>
  <c r="R251" i="12"/>
  <c r="AM251" i="12" s="1"/>
  <c r="R269" i="12"/>
  <c r="AM269" i="12" s="1"/>
  <c r="R296" i="12"/>
  <c r="AM296" i="12" s="1"/>
  <c r="R332" i="12"/>
  <c r="AM332" i="12" s="1"/>
  <c r="X368" i="12"/>
  <c r="AS368" i="12" s="1"/>
  <c r="N261" i="12"/>
  <c r="AI261" i="12" s="1"/>
  <c r="S281" i="12"/>
  <c r="AN281" i="12" s="1"/>
  <c r="P315" i="12"/>
  <c r="AK315" i="12" s="1"/>
  <c r="S356" i="12"/>
  <c r="AN356" i="12" s="1"/>
  <c r="P290" i="12"/>
  <c r="AK290" i="12" s="1"/>
  <c r="P308" i="12"/>
  <c r="AK308" i="12" s="1"/>
  <c r="P326" i="12"/>
  <c r="AK326" i="12" s="1"/>
  <c r="O344" i="12"/>
  <c r="AJ344" i="12" s="1"/>
  <c r="R366" i="12"/>
  <c r="AM366" i="12" s="1"/>
  <c r="S296" i="12"/>
  <c r="AN296" i="12" s="1"/>
  <c r="S314" i="12"/>
  <c r="AN314" i="12" s="1"/>
  <c r="S332" i="12"/>
  <c r="AN332" i="12" s="1"/>
  <c r="Q351" i="12"/>
  <c r="AL351" i="12" s="1"/>
  <c r="Q369" i="12"/>
  <c r="AL369" i="12" s="1"/>
  <c r="W260" i="12"/>
  <c r="AR260" i="12" s="1"/>
  <c r="W278" i="12"/>
  <c r="AR278" i="12" s="1"/>
  <c r="W296" i="12"/>
  <c r="AR296" i="12" s="1"/>
  <c r="W314" i="12"/>
  <c r="AR314" i="12" s="1"/>
  <c r="W332" i="12"/>
  <c r="AR332" i="12" s="1"/>
  <c r="S353" i="12"/>
  <c r="AN353" i="12" s="1"/>
  <c r="X278" i="12"/>
  <c r="AS278" i="12" s="1"/>
  <c r="X296" i="12"/>
  <c r="AS296" i="12" s="1"/>
  <c r="X314" i="12"/>
  <c r="AS314" i="12" s="1"/>
  <c r="X332" i="12"/>
  <c r="AS332" i="12" s="1"/>
  <c r="W353" i="12"/>
  <c r="AR353" i="12" s="1"/>
  <c r="N291" i="12"/>
  <c r="AI291" i="12" s="1"/>
  <c r="N309" i="12"/>
  <c r="AI309" i="12" s="1"/>
  <c r="N327" i="12"/>
  <c r="AI327" i="12" s="1"/>
  <c r="X344" i="12"/>
  <c r="AS344" i="12" s="1"/>
  <c r="X362" i="12"/>
  <c r="AS362" i="12" s="1"/>
  <c r="O285" i="12"/>
  <c r="AJ285" i="12" s="1"/>
  <c r="O303" i="12"/>
  <c r="AJ303" i="12" s="1"/>
  <c r="O321" i="12"/>
  <c r="AJ321" i="12" s="1"/>
  <c r="O339" i="12"/>
  <c r="AJ339" i="12" s="1"/>
  <c r="R356" i="12"/>
  <c r="AM356" i="12" s="1"/>
  <c r="W340" i="12"/>
  <c r="AR340" i="12" s="1"/>
  <c r="W358" i="12"/>
  <c r="AR358" i="12" s="1"/>
  <c r="L27" i="22"/>
  <c r="BC15" i="22" s="1"/>
  <c r="BG54" i="22"/>
  <c r="AM54" i="22"/>
  <c r="E34" i="22"/>
  <c r="AI54" i="22"/>
  <c r="BC54" i="22"/>
  <c r="AO51" i="22"/>
  <c r="BI51" i="22"/>
  <c r="R101" i="20"/>
  <c r="V17" i="21"/>
  <c r="R97" i="20"/>
  <c r="U97" i="20" s="1"/>
  <c r="V16" i="21"/>
  <c r="AH14" i="22"/>
  <c r="BB14" i="22"/>
  <c r="AA53" i="22"/>
  <c r="AU53" i="22"/>
  <c r="AV47" i="22"/>
  <c r="AB47" i="22"/>
  <c r="F6" i="22"/>
  <c r="P6" i="22"/>
  <c r="K7" i="22"/>
  <c r="Q6" i="22"/>
  <c r="G6" i="22"/>
  <c r="F7" i="22"/>
  <c r="H4" i="22"/>
  <c r="N7" i="22"/>
  <c r="N4" i="22"/>
  <c r="H5" i="22"/>
  <c r="I7" i="22"/>
  <c r="AZ5" i="22" s="1"/>
  <c r="S5" i="22"/>
  <c r="P7" i="22"/>
  <c r="G5" i="22"/>
  <c r="N5" i="22"/>
  <c r="P4" i="22"/>
  <c r="I5" i="22"/>
  <c r="K6" i="22"/>
  <c r="J4" i="22"/>
  <c r="F5" i="22"/>
  <c r="G4" i="22"/>
  <c r="O5" i="22"/>
  <c r="D6" i="22"/>
  <c r="L7" i="22"/>
  <c r="M4" i="22"/>
  <c r="I4" i="22"/>
  <c r="S6" i="22"/>
  <c r="L6" i="22"/>
  <c r="K5" i="22"/>
  <c r="O4" i="22"/>
  <c r="Q7" i="22"/>
  <c r="E6" i="22"/>
  <c r="CL17" i="20"/>
  <c r="CK17" i="20"/>
  <c r="CJ17" i="20"/>
  <c r="W16" i="21"/>
  <c r="R102" i="20"/>
  <c r="U102" i="20" s="1"/>
  <c r="W17" i="21"/>
  <c r="R106" i="20"/>
  <c r="Q54" i="22"/>
  <c r="C22" i="9"/>
  <c r="C31" i="9" s="1"/>
  <c r="L68" i="20"/>
  <c r="T147" i="21"/>
  <c r="T53" i="21"/>
  <c r="T141" i="21"/>
  <c r="T47" i="21"/>
  <c r="CJ21" i="20"/>
  <c r="CL21" i="20"/>
  <c r="CK21" i="20"/>
  <c r="L141" i="21"/>
  <c r="L147" i="21"/>
  <c r="L47" i="21"/>
  <c r="L53" i="21"/>
  <c r="K4" i="22"/>
  <c r="CH33" i="20"/>
  <c r="CM33" i="20"/>
  <c r="CI33" i="20"/>
  <c r="S28" i="18"/>
  <c r="B64" i="2" s="1"/>
  <c r="C21" i="10" s="1"/>
  <c r="R28" i="18"/>
  <c r="B63" i="2" s="1"/>
  <c r="C20" i="10" s="1"/>
  <c r="CK32" i="20"/>
  <c r="CL32" i="20"/>
  <c r="CJ32" i="20"/>
  <c r="CI6" i="20"/>
  <c r="CH6" i="20"/>
  <c r="CM6" i="20"/>
  <c r="R165" i="21"/>
  <c r="R65" i="21"/>
  <c r="R71" i="21"/>
  <c r="R153" i="21"/>
  <c r="R159" i="21"/>
  <c r="R59" i="21"/>
  <c r="CI8" i="20"/>
  <c r="CH8" i="20"/>
  <c r="CM8" i="20"/>
  <c r="L67" i="20"/>
  <c r="D218" i="11"/>
  <c r="C218" i="11" s="1"/>
  <c r="C166" i="11"/>
  <c r="S7" i="22"/>
  <c r="E72" i="22"/>
  <c r="Q153" i="21"/>
  <c r="Q165" i="21"/>
  <c r="Q159" i="21"/>
  <c r="Q59" i="21"/>
  <c r="Q71" i="21"/>
  <c r="Q65" i="21"/>
  <c r="N347" i="15"/>
  <c r="S361" i="15"/>
  <c r="J320" i="15"/>
  <c r="Z379" i="15"/>
  <c r="Z307" i="15"/>
  <c r="F363" i="15"/>
  <c r="K297" i="15"/>
  <c r="O347" i="15"/>
  <c r="I290" i="15"/>
  <c r="R338" i="15"/>
  <c r="G404" i="15"/>
  <c r="F331" i="15"/>
  <c r="I394" i="15"/>
  <c r="J322" i="15"/>
  <c r="V382" i="15"/>
  <c r="E315" i="15"/>
  <c r="P371" i="15"/>
  <c r="S295" i="15"/>
  <c r="T315" i="15"/>
  <c r="S336" i="15"/>
  <c r="T361" i="15"/>
  <c r="AA389" i="15"/>
  <c r="J289" i="15"/>
  <c r="W308" i="15"/>
  <c r="F330" i="15"/>
  <c r="K352" i="15"/>
  <c r="J381" i="15"/>
  <c r="R409" i="15"/>
  <c r="J302" i="15"/>
  <c r="F323" i="15"/>
  <c r="H344" i="15"/>
  <c r="R371" i="15"/>
  <c r="V400" i="15"/>
  <c r="J296" i="15"/>
  <c r="E316" i="15"/>
  <c r="N337" i="15"/>
  <c r="H362" i="15"/>
  <c r="F391" i="15"/>
  <c r="X289" i="15"/>
  <c r="F309" i="15"/>
  <c r="N330" i="15"/>
  <c r="I353" i="15"/>
  <c r="T381" i="15"/>
  <c r="R410" i="15"/>
  <c r="Z302" i="15"/>
  <c r="K323" i="15"/>
  <c r="E345" i="15"/>
  <c r="F372" i="15"/>
  <c r="Z400" i="15"/>
  <c r="R296" i="15"/>
  <c r="W316" i="15"/>
  <c r="R337" i="15"/>
  <c r="E363" i="15"/>
  <c r="R391" i="15"/>
  <c r="P289" i="15"/>
  <c r="R300" i="15"/>
  <c r="H312" i="15"/>
  <c r="Q324" i="15"/>
  <c r="W336" i="15"/>
  <c r="F350" i="15"/>
  <c r="S366" i="15"/>
  <c r="K383" i="15"/>
  <c r="G400" i="15"/>
  <c r="P288" i="15"/>
  <c r="W299" i="15"/>
  <c r="I311" i="15"/>
  <c r="T323" i="15"/>
  <c r="Z335" i="15"/>
  <c r="F349" i="15"/>
  <c r="N365" i="15"/>
  <c r="E382" i="15"/>
  <c r="X398" i="15"/>
  <c r="P415" i="15"/>
  <c r="Y298" i="15"/>
  <c r="K310" i="15"/>
  <c r="T322" i="15"/>
  <c r="Z334" i="15"/>
  <c r="AA347" i="15"/>
  <c r="F364" i="15"/>
  <c r="W380" i="15"/>
  <c r="S397" i="15"/>
  <c r="O414" i="15"/>
  <c r="F298" i="15"/>
  <c r="K309" i="15"/>
  <c r="T321" i="15"/>
  <c r="F334" i="15"/>
  <c r="W346" i="15"/>
  <c r="X362" i="15"/>
  <c r="P379" i="15"/>
  <c r="J396" i="15"/>
  <c r="G413" i="15"/>
  <c r="J297" i="15"/>
  <c r="O308" i="15"/>
  <c r="X320" i="15"/>
  <c r="G333" i="15"/>
  <c r="Y345" i="15"/>
  <c r="P361" i="15"/>
  <c r="G378" i="15"/>
  <c r="AA394" i="15"/>
  <c r="W411" i="15"/>
  <c r="Y360" i="15"/>
  <c r="N373" i="15"/>
  <c r="Z385" i="15"/>
  <c r="P398" i="15"/>
  <c r="G411" i="15"/>
  <c r="Y293" i="15"/>
  <c r="H303" i="15"/>
  <c r="E313" i="15"/>
  <c r="I323" i="15"/>
  <c r="Q333" i="15"/>
  <c r="F344" i="15"/>
  <c r="Z355" i="15"/>
  <c r="T368" i="15"/>
  <c r="H381" i="15"/>
  <c r="T393" i="15"/>
  <c r="J406" i="15"/>
  <c r="H290" i="15"/>
  <c r="P299" i="15"/>
  <c r="Z308" i="15"/>
  <c r="H319" i="15"/>
  <c r="P329" i="15"/>
  <c r="W339" i="15"/>
  <c r="F351" i="15"/>
  <c r="S363" i="15"/>
  <c r="G376" i="15"/>
  <c r="T388" i="15"/>
  <c r="N401" i="15"/>
  <c r="Z413" i="15"/>
  <c r="Y358" i="15"/>
  <c r="N369" i="15"/>
  <c r="X379" i="15"/>
  <c r="K390" i="15"/>
  <c r="W400" i="15"/>
  <c r="J411" i="15"/>
  <c r="Y292" i="15"/>
  <c r="P301" i="15"/>
  <c r="I310" i="15"/>
  <c r="T319" i="15"/>
  <c r="F329" i="15"/>
  <c r="Q338" i="15"/>
  <c r="S348" i="15"/>
  <c r="G359" i="15"/>
  <c r="R369" i="15"/>
  <c r="F380" i="15"/>
  <c r="Q390" i="15"/>
  <c r="AA400" i="15"/>
  <c r="P411" i="15"/>
  <c r="Q292" i="15"/>
  <c r="N300" i="15"/>
  <c r="I308" i="15"/>
  <c r="F316" i="15"/>
  <c r="Z323" i="15"/>
  <c r="W331" i="15"/>
  <c r="S339" i="15"/>
  <c r="P347" i="15"/>
  <c r="K355" i="15"/>
  <c r="H363" i="15"/>
  <c r="F371" i="15"/>
  <c r="Z378" i="15"/>
  <c r="W386" i="15"/>
  <c r="S394" i="15"/>
  <c r="P402" i="15"/>
  <c r="K410" i="15"/>
  <c r="S343" i="15"/>
  <c r="P351" i="15"/>
  <c r="K359" i="15"/>
  <c r="H367" i="15"/>
  <c r="E375" i="15"/>
  <c r="Y382" i="15"/>
  <c r="V390" i="15"/>
  <c r="R398" i="15"/>
  <c r="P406" i="15"/>
  <c r="K414" i="15"/>
  <c r="I314" i="15"/>
  <c r="F322" i="15"/>
  <c r="Z329" i="15"/>
  <c r="W337" i="15"/>
  <c r="S345" i="15"/>
  <c r="P353" i="15"/>
  <c r="K361" i="15"/>
  <c r="H369" i="15"/>
  <c r="F377" i="15"/>
  <c r="Z384" i="15"/>
  <c r="W392" i="15"/>
  <c r="S400" i="15"/>
  <c r="P408" i="15"/>
  <c r="I288" i="15"/>
  <c r="O295" i="15"/>
  <c r="S302" i="15"/>
  <c r="X309" i="15"/>
  <c r="E317" i="15"/>
  <c r="I324" i="15"/>
  <c r="O331" i="15"/>
  <c r="S338" i="15"/>
  <c r="X345" i="15"/>
  <c r="E353" i="15"/>
  <c r="I360" i="15"/>
  <c r="O367" i="15"/>
  <c r="S374" i="15"/>
  <c r="X381" i="15"/>
  <c r="E389" i="15"/>
  <c r="I396" i="15"/>
  <c r="O403" i="15"/>
  <c r="S410" i="15"/>
  <c r="J5" i="22"/>
  <c r="I35" i="22"/>
  <c r="R7" i="22"/>
  <c r="BI5" i="22" s="1"/>
  <c r="L84" i="22"/>
  <c r="Q9" i="22"/>
  <c r="BB48" i="22"/>
  <c r="I23" i="27"/>
  <c r="C37" i="27" s="1"/>
  <c r="D21" i="27"/>
  <c r="AC48" i="22"/>
  <c r="AW48" i="22"/>
  <c r="P51" i="22"/>
  <c r="BC53" i="22"/>
  <c r="AI53" i="22"/>
  <c r="H74" i="22"/>
  <c r="R74" i="22"/>
  <c r="V147" i="21"/>
  <c r="V53" i="21"/>
  <c r="V141" i="21"/>
  <c r="V47" i="21"/>
  <c r="I26" i="22"/>
  <c r="BD52" i="22"/>
  <c r="AJ52" i="22"/>
  <c r="N6" i="22"/>
  <c r="BD48" i="22"/>
  <c r="AJ48" i="22"/>
  <c r="H86" i="22"/>
  <c r="AY66" i="22" s="1"/>
  <c r="K25" i="22"/>
  <c r="P54" i="22"/>
  <c r="Q312" i="12"/>
  <c r="AL312" i="12" s="1"/>
  <c r="X292" i="12"/>
  <c r="AS292" i="12" s="1"/>
  <c r="R339" i="12"/>
  <c r="AM339" i="12" s="1"/>
  <c r="R256" i="12"/>
  <c r="AM256" i="12" s="1"/>
  <c r="X260" i="12"/>
  <c r="AS260" i="12" s="1"/>
  <c r="W347" i="12"/>
  <c r="AR347" i="12" s="1"/>
  <c r="O359" i="12"/>
  <c r="AJ359" i="12" s="1"/>
  <c r="Q255" i="12"/>
  <c r="AL255" i="12" s="1"/>
  <c r="O341" i="12"/>
  <c r="AJ341" i="12" s="1"/>
  <c r="N357" i="12"/>
  <c r="AI357" i="12" s="1"/>
  <c r="N353" i="12"/>
  <c r="AI353" i="12" s="1"/>
  <c r="Q327" i="12"/>
  <c r="AL327" i="12" s="1"/>
  <c r="R370" i="12"/>
  <c r="AM370" i="12" s="1"/>
  <c r="N275" i="12"/>
  <c r="AI275" i="12" s="1"/>
  <c r="R327" i="12"/>
  <c r="AM327" i="12" s="1"/>
  <c r="Q273" i="12"/>
  <c r="AL273" i="12" s="1"/>
  <c r="S336" i="12"/>
  <c r="AN336" i="12" s="1"/>
  <c r="W295" i="12"/>
  <c r="AR295" i="12" s="1"/>
  <c r="O348" i="12"/>
  <c r="AJ348" i="12" s="1"/>
  <c r="X331" i="12"/>
  <c r="AS331" i="12" s="1"/>
  <c r="S306" i="12"/>
  <c r="AN306" i="12" s="1"/>
  <c r="N246" i="12"/>
  <c r="N264" i="12"/>
  <c r="AI264" i="12" s="1"/>
  <c r="O283" i="12"/>
  <c r="AJ283" i="12" s="1"/>
  <c r="X318" i="12"/>
  <c r="AS318" i="12" s="1"/>
  <c r="P362" i="12"/>
  <c r="AK362" i="12" s="1"/>
  <c r="X263" i="12"/>
  <c r="AS263" i="12" s="1"/>
  <c r="R283" i="12"/>
  <c r="AM283" i="12" s="1"/>
  <c r="N322" i="12"/>
  <c r="AI322" i="12" s="1"/>
  <c r="N358" i="12"/>
  <c r="AI358" i="12" s="1"/>
  <c r="S257" i="12"/>
  <c r="AN257" i="12" s="1"/>
  <c r="S275" i="12"/>
  <c r="AN275" i="12" s="1"/>
  <c r="N308" i="12"/>
  <c r="AI308" i="12" s="1"/>
  <c r="W345" i="12"/>
  <c r="AR345" i="12" s="1"/>
  <c r="X248" i="12"/>
  <c r="AS248" i="12" s="1"/>
  <c r="P269" i="12"/>
  <c r="AK269" i="12" s="1"/>
  <c r="O296" i="12"/>
  <c r="AJ296" i="12" s="1"/>
  <c r="O332" i="12"/>
  <c r="AJ332" i="12" s="1"/>
  <c r="R368" i="12"/>
  <c r="AM368" i="12" s="1"/>
  <c r="S262" i="12"/>
  <c r="AN262" i="12" s="1"/>
  <c r="S288" i="12"/>
  <c r="AN288" i="12" s="1"/>
  <c r="Q323" i="12"/>
  <c r="AL323" i="12" s="1"/>
  <c r="W359" i="12"/>
  <c r="AR359" i="12" s="1"/>
  <c r="X255" i="12"/>
  <c r="AS255" i="12" s="1"/>
  <c r="X273" i="12"/>
  <c r="AS273" i="12" s="1"/>
  <c r="R305" i="12"/>
  <c r="AM305" i="12" s="1"/>
  <c r="X341" i="12"/>
  <c r="AS341" i="12" s="1"/>
  <c r="Q247" i="12"/>
  <c r="AL247" i="12" s="1"/>
  <c r="Q265" i="12"/>
  <c r="AL265" i="12" s="1"/>
  <c r="N287" i="12"/>
  <c r="AI287" i="12" s="1"/>
  <c r="P324" i="12"/>
  <c r="AK324" i="12" s="1"/>
  <c r="P370" i="12"/>
  <c r="AK370" i="12" s="1"/>
  <c r="W294" i="12"/>
  <c r="AR294" i="12" s="1"/>
  <c r="W312" i="12"/>
  <c r="AR312" i="12" s="1"/>
  <c r="W330" i="12"/>
  <c r="AR330" i="12" s="1"/>
  <c r="S350" i="12"/>
  <c r="AN350" i="12" s="1"/>
  <c r="O371" i="12"/>
  <c r="AJ371" i="12" s="1"/>
  <c r="O301" i="12"/>
  <c r="AJ301" i="12" s="1"/>
  <c r="O319" i="12"/>
  <c r="AJ319" i="12" s="1"/>
  <c r="O337" i="12"/>
  <c r="AJ337" i="12" s="1"/>
  <c r="N356" i="12"/>
  <c r="AI356" i="12" s="1"/>
  <c r="P247" i="12"/>
  <c r="AK247" i="12" s="1"/>
  <c r="P265" i="12"/>
  <c r="AK265" i="12" s="1"/>
  <c r="P283" i="12"/>
  <c r="AK283" i="12" s="1"/>
  <c r="P301" i="12"/>
  <c r="AK301" i="12" s="1"/>
  <c r="P319" i="12"/>
  <c r="AK319" i="12" s="1"/>
  <c r="P337" i="12"/>
  <c r="AK337" i="12" s="1"/>
  <c r="P358" i="12"/>
  <c r="AK358" i="12" s="1"/>
  <c r="Q283" i="12"/>
  <c r="AL283" i="12" s="1"/>
  <c r="Q301" i="12"/>
  <c r="AL301" i="12" s="1"/>
  <c r="Q319" i="12"/>
  <c r="AL319" i="12" s="1"/>
  <c r="Q337" i="12"/>
  <c r="AL337" i="12" s="1"/>
  <c r="Q358" i="12"/>
  <c r="AL358" i="12" s="1"/>
  <c r="R295" i="12"/>
  <c r="AM295" i="12" s="1"/>
  <c r="R313" i="12"/>
  <c r="AM313" i="12" s="1"/>
  <c r="R331" i="12"/>
  <c r="AM331" i="12" s="1"/>
  <c r="R349" i="12"/>
  <c r="AM349" i="12" s="1"/>
  <c r="R367" i="12"/>
  <c r="AM367" i="12" s="1"/>
  <c r="S289" i="12"/>
  <c r="AN289" i="12" s="1"/>
  <c r="S307" i="12"/>
  <c r="AN307" i="12" s="1"/>
  <c r="S325" i="12"/>
  <c r="AN325" i="12" s="1"/>
  <c r="X342" i="12"/>
  <c r="AS342" i="12" s="1"/>
  <c r="X360" i="12"/>
  <c r="AS360" i="12" s="1"/>
  <c r="P345" i="12"/>
  <c r="AK345" i="12" s="1"/>
  <c r="P363" i="12"/>
  <c r="AK363" i="12" s="1"/>
  <c r="Q72" i="22"/>
  <c r="O11" i="22"/>
  <c r="H26" i="22"/>
  <c r="S42" i="22"/>
  <c r="N71" i="21"/>
  <c r="N159" i="21"/>
  <c r="N165" i="21"/>
  <c r="N65" i="21"/>
  <c r="N59" i="21"/>
  <c r="N153" i="21"/>
  <c r="F21" i="9"/>
  <c r="F30" i="9" s="1"/>
  <c r="F26" i="9"/>
  <c r="F35" i="9" s="1"/>
  <c r="F23" i="9"/>
  <c r="F32" i="9" s="1"/>
  <c r="AJ53" i="22"/>
  <c r="BD53" i="22"/>
  <c r="CM27" i="20"/>
  <c r="CI27" i="20"/>
  <c r="CH27" i="20"/>
  <c r="I32" i="22"/>
  <c r="G34" i="22"/>
  <c r="I34" i="22"/>
  <c r="D33" i="22"/>
  <c r="E33" i="22"/>
  <c r="K35" i="22"/>
  <c r="K34" i="22"/>
  <c r="J34" i="22"/>
  <c r="O33" i="22"/>
  <c r="G33" i="22"/>
  <c r="F33" i="22"/>
  <c r="Q33" i="22"/>
  <c r="P34" i="22"/>
  <c r="H33" i="22"/>
  <c r="O35" i="22"/>
  <c r="P32" i="22"/>
  <c r="S34" i="22"/>
  <c r="E32" i="22"/>
  <c r="M35" i="22"/>
  <c r="N35" i="22"/>
  <c r="M33" i="22"/>
  <c r="AJ18" i="22" s="1"/>
  <c r="N34" i="22"/>
  <c r="F35" i="22"/>
  <c r="G32" i="22"/>
  <c r="L35" i="22"/>
  <c r="AI19" i="22" s="1"/>
  <c r="R34" i="22"/>
  <c r="P33" i="22"/>
  <c r="Q34" i="22"/>
  <c r="I33" i="22"/>
  <c r="E35" i="22"/>
  <c r="O34" i="22"/>
  <c r="F34" i="22"/>
  <c r="M34" i="22"/>
  <c r="R35" i="22"/>
  <c r="J32" i="22"/>
  <c r="S32" i="22"/>
  <c r="F32" i="22"/>
  <c r="D34" i="22"/>
  <c r="H32" i="22"/>
  <c r="D35" i="22"/>
  <c r="P35" i="22"/>
  <c r="D32" i="22"/>
  <c r="N33" i="22"/>
  <c r="Q32" i="22"/>
  <c r="R32" i="22"/>
  <c r="N76" i="22"/>
  <c r="AK61" i="22" s="1"/>
  <c r="I77" i="22"/>
  <c r="S76" i="22"/>
  <c r="N78" i="22"/>
  <c r="K75" i="22"/>
  <c r="L76" i="22"/>
  <c r="I76" i="22"/>
  <c r="J75" i="22"/>
  <c r="J78" i="22"/>
  <c r="BA62" i="22" s="1"/>
  <c r="P77" i="22"/>
  <c r="R77" i="22"/>
  <c r="O75" i="22"/>
  <c r="R75" i="22"/>
  <c r="J76" i="22"/>
  <c r="M76" i="22"/>
  <c r="O77" i="22"/>
  <c r="K76" i="22"/>
  <c r="N77" i="22"/>
  <c r="O76" i="22"/>
  <c r="M75" i="22"/>
  <c r="Q77" i="22"/>
  <c r="H75" i="22"/>
  <c r="G78" i="22"/>
  <c r="H78" i="22"/>
  <c r="H77" i="22"/>
  <c r="F78" i="22"/>
  <c r="D77" i="22"/>
  <c r="Q78" i="22"/>
  <c r="D75" i="22"/>
  <c r="K78" i="22"/>
  <c r="P76" i="22"/>
  <c r="E75" i="22"/>
  <c r="I75" i="22"/>
  <c r="D78" i="22"/>
  <c r="S78" i="22"/>
  <c r="I78" i="22"/>
  <c r="Q75" i="22"/>
  <c r="F75" i="22"/>
  <c r="G76" i="22"/>
  <c r="AD61" i="22" s="1"/>
  <c r="S77" i="22"/>
  <c r="L75" i="22"/>
  <c r="M77" i="22"/>
  <c r="G77" i="22"/>
  <c r="F77" i="22"/>
  <c r="E77" i="22"/>
  <c r="E78" i="22"/>
  <c r="P59" i="21"/>
  <c r="P165" i="21"/>
  <c r="P65" i="21"/>
  <c r="P153" i="21"/>
  <c r="P71" i="21"/>
  <c r="P159" i="21"/>
  <c r="AG147" i="21"/>
  <c r="AG141" i="21"/>
  <c r="AG53" i="21"/>
  <c r="AG47" i="21"/>
  <c r="H19" i="21"/>
  <c r="H20" i="21"/>
  <c r="BA27" i="20"/>
  <c r="BD27" i="20" s="1"/>
  <c r="BA31" i="20"/>
  <c r="L24" i="20"/>
  <c r="CK34" i="20"/>
  <c r="CJ34" i="20"/>
  <c r="CL34" i="20"/>
  <c r="CH24" i="20"/>
  <c r="CM24" i="20"/>
  <c r="CI24" i="20"/>
  <c r="AC159" i="21"/>
  <c r="AC165" i="21"/>
  <c r="AC65" i="21"/>
  <c r="AC71" i="21"/>
  <c r="AC153" i="21"/>
  <c r="AC59" i="21"/>
  <c r="L23" i="20"/>
  <c r="CH31" i="20"/>
  <c r="CI31" i="20"/>
  <c r="CM31" i="20"/>
  <c r="L59" i="20"/>
  <c r="CL12" i="20"/>
  <c r="CJ12" i="20"/>
  <c r="CK12" i="20"/>
  <c r="N157" i="11"/>
  <c r="O210" i="11"/>
  <c r="N210" i="11" s="1"/>
  <c r="L35" i="20"/>
  <c r="L70" i="20"/>
  <c r="E16" i="21"/>
  <c r="R16" i="20"/>
  <c r="E17" i="21"/>
  <c r="R12" i="20"/>
  <c r="U12" i="20" s="1"/>
  <c r="AA159" i="21"/>
  <c r="AA153" i="21"/>
  <c r="AA165" i="21"/>
  <c r="AA59" i="21"/>
  <c r="AA71" i="21"/>
  <c r="AA65" i="21"/>
  <c r="F74" i="22"/>
  <c r="S4" i="22"/>
  <c r="R53" i="22"/>
  <c r="E289" i="15"/>
  <c r="H366" i="15"/>
  <c r="J303" i="15"/>
  <c r="T311" i="15"/>
  <c r="F313" i="15"/>
  <c r="V311" i="15"/>
  <c r="F324" i="15"/>
  <c r="O336" i="15"/>
  <c r="K347" i="15"/>
  <c r="AA360" i="15"/>
  <c r="Q375" i="15"/>
  <c r="H324" i="15"/>
  <c r="I385" i="15"/>
  <c r="Y311" i="15"/>
  <c r="R368" i="15"/>
  <c r="K301" i="15"/>
  <c r="J352" i="15"/>
  <c r="V293" i="15"/>
  <c r="W343" i="15"/>
  <c r="Y410" i="15"/>
  <c r="V334" i="15"/>
  <c r="Q399" i="15"/>
  <c r="J327" i="15"/>
  <c r="J388" i="15"/>
  <c r="Y318" i="15"/>
  <c r="P377" i="15"/>
  <c r="N297" i="15"/>
  <c r="G317" i="15"/>
  <c r="P338" i="15"/>
  <c r="T363" i="15"/>
  <c r="Q392" i="15"/>
  <c r="E291" i="15"/>
  <c r="T310" i="15"/>
  <c r="R331" i="15"/>
  <c r="Z354" i="15"/>
  <c r="H383" i="15"/>
  <c r="H412" i="15"/>
  <c r="E304" i="15"/>
  <c r="Z324" i="15"/>
  <c r="P346" i="15"/>
  <c r="I374" i="15"/>
  <c r="T402" i="15"/>
  <c r="R297" i="15"/>
  <c r="Y317" i="15"/>
  <c r="X338" i="15"/>
  <c r="W364" i="15"/>
  <c r="S393" i="15"/>
  <c r="S291" i="15"/>
  <c r="Y310" i="15"/>
  <c r="J332" i="15"/>
  <c r="G355" i="15"/>
  <c r="E384" i="15"/>
  <c r="R412" i="15"/>
  <c r="I304" i="15"/>
  <c r="J325" i="15"/>
  <c r="H347" i="15"/>
  <c r="T374" i="15"/>
  <c r="R403" i="15"/>
  <c r="I298" i="15"/>
  <c r="J318" i="15"/>
  <c r="P339" i="15"/>
  <c r="F365" i="15"/>
  <c r="H394" i="15"/>
  <c r="K290" i="15"/>
  <c r="Q301" i="15"/>
  <c r="I313" i="15"/>
  <c r="R325" i="15"/>
  <c r="Z337" i="15"/>
  <c r="K351" i="15"/>
  <c r="F368" i="15"/>
  <c r="T384" i="15"/>
  <c r="P401" i="15"/>
  <c r="Q289" i="15"/>
  <c r="S300" i="15"/>
  <c r="K312" i="15"/>
  <c r="S324" i="15"/>
  <c r="Y336" i="15"/>
  <c r="J350" i="15"/>
  <c r="T366" i="15"/>
  <c r="N383" i="15"/>
  <c r="I400" i="15"/>
  <c r="T288" i="15"/>
  <c r="X299" i="15"/>
  <c r="K311" i="15"/>
  <c r="V323" i="15"/>
  <c r="AA335" i="15"/>
  <c r="H349" i="15"/>
  <c r="O365" i="15"/>
  <c r="F382" i="15"/>
  <c r="Y398" i="15"/>
  <c r="V415" i="15"/>
  <c r="Z298" i="15"/>
  <c r="N310" i="15"/>
  <c r="W322" i="15"/>
  <c r="AA334" i="15"/>
  <c r="E348" i="15"/>
  <c r="H364" i="15"/>
  <c r="X380" i="15"/>
  <c r="T397" i="15"/>
  <c r="P414" i="15"/>
  <c r="G298" i="15"/>
  <c r="N309" i="15"/>
  <c r="W321" i="15"/>
  <c r="G334" i="15"/>
  <c r="G347" i="15"/>
  <c r="Y362" i="15"/>
  <c r="Q379" i="15"/>
  <c r="K396" i="15"/>
  <c r="H413" i="15"/>
  <c r="X361" i="15"/>
  <c r="P374" i="15"/>
  <c r="E387" i="15"/>
  <c r="R399" i="15"/>
  <c r="G412" i="15"/>
  <c r="S294" i="15"/>
  <c r="AA303" i="15"/>
  <c r="X313" i="15"/>
  <c r="G324" i="15"/>
  <c r="K334" i="15"/>
  <c r="F345" i="15"/>
  <c r="E357" i="15"/>
  <c r="S369" i="15"/>
  <c r="G382" i="15"/>
  <c r="X394" i="15"/>
  <c r="N407" i="15"/>
  <c r="Z290" i="15"/>
  <c r="J300" i="15"/>
  <c r="W309" i="15"/>
  <c r="F320" i="15"/>
  <c r="K330" i="15"/>
  <c r="S340" i="15"/>
  <c r="E352" i="15"/>
  <c r="V364" i="15"/>
  <c r="J377" i="15"/>
  <c r="X389" i="15"/>
  <c r="K402" i="15"/>
  <c r="Y414" i="15"/>
  <c r="V359" i="15"/>
  <c r="H370" i="15"/>
  <c r="T380" i="15"/>
  <c r="G391" i="15"/>
  <c r="R401" i="15"/>
  <c r="F412" i="15"/>
  <c r="R293" i="15"/>
  <c r="H302" i="15"/>
  <c r="F311" i="15"/>
  <c r="O320" i="15"/>
  <c r="Y329" i="15"/>
  <c r="K339" i="15"/>
  <c r="S349" i="15"/>
  <c r="F360" i="15"/>
  <c r="R370" i="15"/>
  <c r="E381" i="15"/>
  <c r="Q391" i="15"/>
  <c r="AA401" i="15"/>
  <c r="P412" i="15"/>
  <c r="H293" i="15"/>
  <c r="E301" i="15"/>
  <c r="Y308" i="15"/>
  <c r="V316" i="15"/>
  <c r="R324" i="15"/>
  <c r="O332" i="15"/>
  <c r="J340" i="15"/>
  <c r="G348" i="15"/>
  <c r="AA355" i="15"/>
  <c r="Y363" i="15"/>
  <c r="V371" i="15"/>
  <c r="R379" i="15"/>
  <c r="O387" i="15"/>
  <c r="J395" i="15"/>
  <c r="G403" i="15"/>
  <c r="AA410" i="15"/>
  <c r="J344" i="15"/>
  <c r="G352" i="15"/>
  <c r="AA359" i="15"/>
  <c r="X367" i="15"/>
  <c r="T375" i="15"/>
  <c r="Q383" i="15"/>
  <c r="N391" i="15"/>
  <c r="J399" i="15"/>
  <c r="G407" i="15"/>
  <c r="AA414" i="15"/>
  <c r="Y314" i="15"/>
  <c r="V322" i="15"/>
  <c r="R330" i="15"/>
  <c r="O338" i="15"/>
  <c r="J346" i="15"/>
  <c r="G354" i="15"/>
  <c r="AA361" i="15"/>
  <c r="Y369" i="15"/>
  <c r="V377" i="15"/>
  <c r="R385" i="15"/>
  <c r="O393" i="15"/>
  <c r="J401" i="15"/>
  <c r="G409" i="15"/>
  <c r="X288" i="15"/>
  <c r="E296" i="15"/>
  <c r="I303" i="15"/>
  <c r="O310" i="15"/>
  <c r="S317" i="15"/>
  <c r="X324" i="15"/>
  <c r="E332" i="15"/>
  <c r="I339" i="15"/>
  <c r="O346" i="15"/>
  <c r="S353" i="15"/>
  <c r="X360" i="15"/>
  <c r="E368" i="15"/>
  <c r="I375" i="15"/>
  <c r="O382" i="15"/>
  <c r="S389" i="15"/>
  <c r="X396" i="15"/>
  <c r="E404" i="15"/>
  <c r="I411" i="15"/>
  <c r="BG51" i="22"/>
  <c r="AM51" i="22"/>
  <c r="H54" i="22"/>
  <c r="K10" i="22"/>
  <c r="K73" i="22"/>
  <c r="AK54" i="22"/>
  <c r="BE54" i="22"/>
  <c r="D35" i="27"/>
  <c r="C41" i="27"/>
  <c r="C71" i="27"/>
  <c r="L4" i="22"/>
  <c r="AK51" i="22"/>
  <c r="L71" i="22"/>
  <c r="J7" i="22"/>
  <c r="E4" i="22"/>
  <c r="N283" i="12"/>
  <c r="AI283" i="12" s="1"/>
  <c r="R303" i="12"/>
  <c r="AM303" i="12" s="1"/>
  <c r="S249" i="12"/>
  <c r="AN249" i="12" s="1"/>
  <c r="W310" i="12"/>
  <c r="AR310" i="12" s="1"/>
  <c r="O262" i="12"/>
  <c r="AJ262" i="12" s="1"/>
  <c r="X258" i="12"/>
  <c r="AS258" i="12" s="1"/>
  <c r="R247" i="12"/>
  <c r="AM247" i="12" s="1"/>
  <c r="Q257" i="12"/>
  <c r="AL257" i="12" s="1"/>
  <c r="R257" i="12"/>
  <c r="AM257" i="12" s="1"/>
  <c r="W259" i="12"/>
  <c r="AR259" i="12" s="1"/>
  <c r="O357" i="12"/>
  <c r="AJ357" i="12" s="1"/>
  <c r="W334" i="12"/>
  <c r="AR334" i="12" s="1"/>
  <c r="X261" i="12"/>
  <c r="AS261" i="12" s="1"/>
  <c r="O277" i="12"/>
  <c r="AJ277" i="12" s="1"/>
  <c r="X334" i="12"/>
  <c r="AS334" i="12" s="1"/>
  <c r="S274" i="12"/>
  <c r="AN274" i="12" s="1"/>
  <c r="X270" i="12"/>
  <c r="AS270" i="12" s="1"/>
  <c r="Q297" i="12"/>
  <c r="AL297" i="12" s="1"/>
  <c r="O350" i="12"/>
  <c r="AJ350" i="12" s="1"/>
  <c r="R333" i="12"/>
  <c r="AM333" i="12" s="1"/>
  <c r="S315" i="12"/>
  <c r="AN315" i="12" s="1"/>
  <c r="X247" i="12"/>
  <c r="AS247" i="12" s="1"/>
  <c r="X265" i="12"/>
  <c r="AS265" i="12" s="1"/>
  <c r="S284" i="12"/>
  <c r="AN284" i="12" s="1"/>
  <c r="X321" i="12"/>
  <c r="AS321" i="12" s="1"/>
  <c r="S366" i="12"/>
  <c r="AN366" i="12" s="1"/>
  <c r="O264" i="12"/>
  <c r="AJ264" i="12" s="1"/>
  <c r="X289" i="12"/>
  <c r="AS289" i="12" s="1"/>
  <c r="N325" i="12"/>
  <c r="AI325" i="12" s="1"/>
  <c r="Q362" i="12"/>
  <c r="AL362" i="12" s="1"/>
  <c r="N258" i="12"/>
  <c r="AI258" i="12" s="1"/>
  <c r="N276" i="12"/>
  <c r="AI276" i="12" s="1"/>
  <c r="N311" i="12"/>
  <c r="AI311" i="12" s="1"/>
  <c r="N346" i="12"/>
  <c r="AI346" i="12" s="1"/>
  <c r="O249" i="12"/>
  <c r="AJ249" i="12" s="1"/>
  <c r="R271" i="12"/>
  <c r="AM271" i="12" s="1"/>
  <c r="O299" i="12"/>
  <c r="AJ299" i="12" s="1"/>
  <c r="O335" i="12"/>
  <c r="AJ335" i="12" s="1"/>
  <c r="X372" i="12"/>
  <c r="AS372" i="12" s="1"/>
  <c r="W264" i="12"/>
  <c r="AR264" i="12" s="1"/>
  <c r="Q290" i="12"/>
  <c r="AL290" i="12" s="1"/>
  <c r="Q326" i="12"/>
  <c r="AL326" i="12" s="1"/>
  <c r="N360" i="12"/>
  <c r="AI360" i="12" s="1"/>
  <c r="O256" i="12"/>
  <c r="AJ256" i="12" s="1"/>
  <c r="O274" i="12"/>
  <c r="AJ274" i="12" s="1"/>
  <c r="R308" i="12"/>
  <c r="AM308" i="12" s="1"/>
  <c r="O342" i="12"/>
  <c r="AJ342" i="12" s="1"/>
  <c r="R249" i="12"/>
  <c r="AM249" i="12" s="1"/>
  <c r="R267" i="12"/>
  <c r="AM267" i="12" s="1"/>
  <c r="P291" i="12"/>
  <c r="AK291" i="12" s="1"/>
  <c r="P327" i="12"/>
  <c r="AK327" i="12" s="1"/>
  <c r="P278" i="12"/>
  <c r="AK278" i="12" s="1"/>
  <c r="P296" i="12"/>
  <c r="AK296" i="12" s="1"/>
  <c r="P314" i="12"/>
  <c r="AK314" i="12" s="1"/>
  <c r="P332" i="12"/>
  <c r="AK332" i="12" s="1"/>
  <c r="X352" i="12"/>
  <c r="AS352" i="12" s="1"/>
  <c r="P373" i="12"/>
  <c r="AK373" i="12" s="1"/>
  <c r="S302" i="12"/>
  <c r="AN302" i="12" s="1"/>
  <c r="S320" i="12"/>
  <c r="AN320" i="12" s="1"/>
  <c r="S338" i="12"/>
  <c r="AN338" i="12" s="1"/>
  <c r="X357" i="12"/>
  <c r="AS357" i="12" s="1"/>
  <c r="W248" i="12"/>
  <c r="AR248" i="12" s="1"/>
  <c r="W266" i="12"/>
  <c r="AR266" i="12" s="1"/>
  <c r="W284" i="12"/>
  <c r="AR284" i="12" s="1"/>
  <c r="W302" i="12"/>
  <c r="AR302" i="12" s="1"/>
  <c r="W320" i="12"/>
  <c r="AR320" i="12" s="1"/>
  <c r="W338" i="12"/>
  <c r="AR338" i="12" s="1"/>
  <c r="R360" i="12"/>
  <c r="AM360" i="12" s="1"/>
  <c r="X284" i="12"/>
  <c r="AS284" i="12" s="1"/>
  <c r="X302" i="12"/>
  <c r="AS302" i="12" s="1"/>
  <c r="X320" i="12"/>
  <c r="AS320" i="12" s="1"/>
  <c r="X338" i="12"/>
  <c r="AS338" i="12" s="1"/>
  <c r="S360" i="12"/>
  <c r="AN360" i="12" s="1"/>
  <c r="N297" i="12"/>
  <c r="AI297" i="12" s="1"/>
  <c r="N315" i="12"/>
  <c r="AI315" i="12" s="1"/>
  <c r="N333" i="12"/>
  <c r="AI333" i="12" s="1"/>
  <c r="W351" i="12"/>
  <c r="AR351" i="12" s="1"/>
  <c r="W369" i="12"/>
  <c r="AR369" i="12" s="1"/>
  <c r="O291" i="12"/>
  <c r="AJ291" i="12" s="1"/>
  <c r="O309" i="12"/>
  <c r="AJ309" i="12" s="1"/>
  <c r="O327" i="12"/>
  <c r="AJ327" i="12" s="1"/>
  <c r="O343" i="12"/>
  <c r="AJ343" i="12" s="1"/>
  <c r="O361" i="12"/>
  <c r="AJ361" i="12" s="1"/>
  <c r="W346" i="12"/>
  <c r="AR346" i="12" s="1"/>
  <c r="W364" i="12"/>
  <c r="AR364" i="12" s="1"/>
  <c r="AZ56" i="22"/>
  <c r="AF56" i="22"/>
  <c r="AH47" i="22"/>
  <c r="BB47" i="22"/>
  <c r="D11" i="22"/>
  <c r="K53" i="22"/>
  <c r="I42" i="22"/>
  <c r="M73" i="22"/>
  <c r="CL22" i="20"/>
  <c r="CK22" i="20"/>
  <c r="CJ22" i="20"/>
  <c r="Z16" i="21"/>
  <c r="Z17" i="21"/>
  <c r="R121" i="20"/>
  <c r="R117" i="20"/>
  <c r="U117" i="20" s="1"/>
  <c r="H165" i="21"/>
  <c r="H65" i="21"/>
  <c r="H159" i="21"/>
  <c r="H153" i="21"/>
  <c r="H71" i="21"/>
  <c r="H59" i="21"/>
  <c r="U141" i="21"/>
  <c r="U53" i="21"/>
  <c r="U47" i="21"/>
  <c r="U147" i="21"/>
  <c r="L72" i="20"/>
  <c r="F54" i="22"/>
  <c r="CK16" i="20"/>
  <c r="CJ16" i="20"/>
  <c r="CL16" i="20"/>
  <c r="AD16" i="21"/>
  <c r="AD17" i="21"/>
  <c r="R141" i="20"/>
  <c r="R137" i="20"/>
  <c r="U137" i="20" s="1"/>
  <c r="D8" i="22"/>
  <c r="S27" i="22"/>
  <c r="K159" i="21"/>
  <c r="K153" i="21"/>
  <c r="K165" i="21"/>
  <c r="K71" i="21"/>
  <c r="K65" i="21"/>
  <c r="K59" i="21"/>
  <c r="E147" i="21"/>
  <c r="E47" i="21"/>
  <c r="E53" i="21"/>
  <c r="E141" i="21"/>
  <c r="L10" i="20"/>
  <c r="D216" i="11"/>
  <c r="C216" i="11" s="1"/>
  <c r="C164" i="11"/>
  <c r="CL28" i="20"/>
  <c r="CJ28" i="20"/>
  <c r="CK28" i="20"/>
  <c r="C165" i="11"/>
  <c r="D217" i="11"/>
  <c r="C217" i="11" s="1"/>
  <c r="AP53" i="22"/>
  <c r="BJ53" i="22"/>
  <c r="L25" i="22"/>
  <c r="G395" i="15"/>
  <c r="G319" i="15"/>
  <c r="AA323" i="15"/>
  <c r="Q331" i="15"/>
  <c r="N333" i="15"/>
  <c r="E321" i="15"/>
  <c r="J334" i="15"/>
  <c r="O345" i="15"/>
  <c r="W360" i="15"/>
  <c r="W374" i="15"/>
  <c r="Y389" i="15"/>
  <c r="G329" i="15"/>
  <c r="J390" i="15"/>
  <c r="Y316" i="15"/>
  <c r="P373" i="15"/>
  <c r="AA304" i="15"/>
  <c r="X358" i="15"/>
  <c r="O297" i="15"/>
  <c r="T347" i="15"/>
  <c r="J290" i="15"/>
  <c r="R339" i="15"/>
  <c r="Z404" i="15"/>
  <c r="J331" i="15"/>
  <c r="J394" i="15"/>
  <c r="Z322" i="15"/>
  <c r="AA382" i="15"/>
  <c r="T298" i="15"/>
  <c r="F319" i="15"/>
  <c r="K340" i="15"/>
  <c r="J366" i="15"/>
  <c r="H395" i="15"/>
  <c r="V292" i="15"/>
  <c r="E312" i="15"/>
  <c r="O333" i="15"/>
  <c r="Q357" i="15"/>
  <c r="W385" i="15"/>
  <c r="V414" i="15"/>
  <c r="X305" i="15"/>
  <c r="N326" i="15"/>
  <c r="P348" i="15"/>
  <c r="H376" i="15"/>
  <c r="J405" i="15"/>
  <c r="N299" i="15"/>
  <c r="W319" i="15"/>
  <c r="V340" i="15"/>
  <c r="K367" i="15"/>
  <c r="T395" i="15"/>
  <c r="Z292" i="15"/>
  <c r="V312" i="15"/>
  <c r="S333" i="15"/>
  <c r="V357" i="15"/>
  <c r="T386" i="15"/>
  <c r="H415" i="15"/>
  <c r="AA305" i="15"/>
  <c r="F327" i="15"/>
  <c r="T348" i="15"/>
  <c r="H377" i="15"/>
  <c r="R405" i="15"/>
  <c r="R299" i="15"/>
  <c r="H320" i="15"/>
  <c r="N341" i="15"/>
  <c r="S367" i="15"/>
  <c r="Q396" i="15"/>
  <c r="J291" i="15"/>
  <c r="P302" i="15"/>
  <c r="K314" i="15"/>
  <c r="P326" i="15"/>
  <c r="Z338" i="15"/>
  <c r="R352" i="15"/>
  <c r="O369" i="15"/>
  <c r="F386" i="15"/>
  <c r="Z402" i="15"/>
  <c r="N290" i="15"/>
  <c r="R301" i="15"/>
  <c r="J313" i="15"/>
  <c r="S325" i="15"/>
  <c r="AA337" i="15"/>
  <c r="N351" i="15"/>
  <c r="G368" i="15"/>
  <c r="V384" i="15"/>
  <c r="Q401" i="15"/>
  <c r="R289" i="15"/>
  <c r="T300" i="15"/>
  <c r="O312" i="15"/>
  <c r="V324" i="15"/>
  <c r="F337" i="15"/>
  <c r="K350" i="15"/>
  <c r="Y366" i="15"/>
  <c r="V383" i="15"/>
  <c r="K400" i="15"/>
  <c r="V288" i="15"/>
  <c r="Y299" i="15"/>
  <c r="N311" i="15"/>
  <c r="W323" i="15"/>
  <c r="E336" i="15"/>
  <c r="I349" i="15"/>
  <c r="Q365" i="15"/>
  <c r="K382" i="15"/>
  <c r="E399" i="15"/>
  <c r="X415" i="15"/>
  <c r="AA298" i="15"/>
  <c r="Q310" i="15"/>
  <c r="Y322" i="15"/>
  <c r="G335" i="15"/>
  <c r="K348" i="15"/>
  <c r="I364" i="15"/>
  <c r="F381" i="15"/>
  <c r="V397" i="15"/>
  <c r="Q414" i="15"/>
  <c r="Z362" i="15"/>
  <c r="P375" i="15"/>
  <c r="E388" i="15"/>
  <c r="T400" i="15"/>
  <c r="I413" i="15"/>
  <c r="N295" i="15"/>
  <c r="V304" i="15"/>
  <c r="T314" i="15"/>
  <c r="AA324" i="15"/>
  <c r="J335" i="15"/>
  <c r="AA345" i="15"/>
  <c r="H358" i="15"/>
  <c r="V370" i="15"/>
  <c r="I383" i="15"/>
  <c r="X395" i="15"/>
  <c r="K408" i="15"/>
  <c r="T291" i="15"/>
  <c r="F301" i="15"/>
  <c r="S310" i="15"/>
  <c r="Z320" i="15"/>
  <c r="H331" i="15"/>
  <c r="O341" i="15"/>
  <c r="H353" i="15"/>
  <c r="T365" i="15"/>
  <c r="H378" i="15"/>
  <c r="Z390" i="15"/>
  <c r="P403" i="15"/>
  <c r="AA415" i="15"/>
  <c r="Q360" i="15"/>
  <c r="AA370" i="15"/>
  <c r="P381" i="15"/>
  <c r="Z391" i="15"/>
  <c r="O402" i="15"/>
  <c r="Y412" i="15"/>
  <c r="K294" i="15"/>
  <c r="Y302" i="15"/>
  <c r="X311" i="15"/>
  <c r="H321" i="15"/>
  <c r="T330" i="15"/>
  <c r="F340" i="15"/>
  <c r="O350" i="15"/>
  <c r="Z360" i="15"/>
  <c r="N371" i="15"/>
  <c r="Y381" i="15"/>
  <c r="K392" i="15"/>
  <c r="W402" i="15"/>
  <c r="J413" i="15"/>
  <c r="X293" i="15"/>
  <c r="T301" i="15"/>
  <c r="Q309" i="15"/>
  <c r="N317" i="15"/>
  <c r="I325" i="15"/>
  <c r="F333" i="15"/>
  <c r="Z340" i="15"/>
  <c r="W348" i="15"/>
  <c r="T356" i="15"/>
  <c r="Q364" i="15"/>
  <c r="N372" i="15"/>
  <c r="I380" i="15"/>
  <c r="F388" i="15"/>
  <c r="Z395" i="15"/>
  <c r="W403" i="15"/>
  <c r="S411" i="15"/>
  <c r="Z344" i="15"/>
  <c r="W352" i="15"/>
  <c r="S360" i="15"/>
  <c r="P368" i="15"/>
  <c r="K376" i="15"/>
  <c r="H384" i="15"/>
  <c r="F392" i="15"/>
  <c r="Z399" i="15"/>
  <c r="W407" i="15"/>
  <c r="S415" i="15"/>
  <c r="Q315" i="15"/>
  <c r="N323" i="15"/>
  <c r="I331" i="15"/>
  <c r="F339" i="15"/>
  <c r="Z346" i="15"/>
  <c r="W354" i="15"/>
  <c r="T362" i="15"/>
  <c r="Q370" i="15"/>
  <c r="N378" i="15"/>
  <c r="I386" i="15"/>
  <c r="F394" i="15"/>
  <c r="Z401" i="15"/>
  <c r="W409" i="15"/>
  <c r="O289" i="15"/>
  <c r="S296" i="15"/>
  <c r="X303" i="15"/>
  <c r="E311" i="15"/>
  <c r="I318" i="15"/>
  <c r="O325" i="15"/>
  <c r="S332" i="15"/>
  <c r="X339" i="15"/>
  <c r="E347" i="15"/>
  <c r="I354" i="15"/>
  <c r="O361" i="15"/>
  <c r="S368" i="15"/>
  <c r="X375" i="15"/>
  <c r="E383" i="15"/>
  <c r="I390" i="15"/>
  <c r="O397" i="15"/>
  <c r="S404" i="15"/>
  <c r="X411" i="15"/>
  <c r="M52" i="22"/>
  <c r="E9" i="22"/>
  <c r="G7" i="22"/>
  <c r="J71" i="22"/>
  <c r="F76" i="22"/>
  <c r="L32" i="22"/>
  <c r="P25" i="22"/>
  <c r="BF55" i="22"/>
  <c r="AL55" i="22"/>
  <c r="AN52" i="22"/>
  <c r="BH52" i="22"/>
  <c r="E41" i="22"/>
  <c r="D24" i="27"/>
  <c r="C87" i="27" s="1"/>
  <c r="O27" i="27" s="1"/>
  <c r="C153" i="11"/>
  <c r="I261" i="11" s="1"/>
  <c r="D205" i="11"/>
  <c r="C205" i="11" s="1"/>
  <c r="L78" i="22"/>
  <c r="AI62" i="22" s="1"/>
  <c r="H6" i="22"/>
  <c r="R27" i="22"/>
  <c r="I25" i="22"/>
  <c r="N251" i="12"/>
  <c r="AI251" i="12" s="1"/>
  <c r="S247" i="12"/>
  <c r="AN247" i="12" s="1"/>
  <c r="N279" i="12"/>
  <c r="AI279" i="12" s="1"/>
  <c r="Q321" i="12"/>
  <c r="AL321" i="12" s="1"/>
  <c r="P264" i="12"/>
  <c r="AK264" i="12" s="1"/>
  <c r="Q264" i="12"/>
  <c r="AL264" i="12" s="1"/>
  <c r="R284" i="12"/>
  <c r="AM284" i="12" s="1"/>
  <c r="O259" i="12"/>
  <c r="AJ259" i="12" s="1"/>
  <c r="S259" i="12"/>
  <c r="AN259" i="12" s="1"/>
  <c r="W261" i="12"/>
  <c r="AR261" i="12" s="1"/>
  <c r="Q361" i="12"/>
  <c r="AL361" i="12" s="1"/>
  <c r="Q357" i="12"/>
  <c r="AL357" i="12" s="1"/>
  <c r="W265" i="12"/>
  <c r="AR265" i="12" s="1"/>
  <c r="R278" i="12"/>
  <c r="AM278" i="12" s="1"/>
  <c r="R336" i="12"/>
  <c r="AM336" i="12" s="1"/>
  <c r="Q275" i="12"/>
  <c r="AL275" i="12" s="1"/>
  <c r="W274" i="12"/>
  <c r="AR274" i="12" s="1"/>
  <c r="W304" i="12"/>
  <c r="AR304" i="12" s="1"/>
  <c r="Q352" i="12"/>
  <c r="AL352" i="12" s="1"/>
  <c r="Q348" i="12"/>
  <c r="AL348" i="12" s="1"/>
  <c r="S324" i="12"/>
  <c r="AN324" i="12" s="1"/>
  <c r="O248" i="12"/>
  <c r="AJ248" i="12" s="1"/>
  <c r="O266" i="12"/>
  <c r="AJ266" i="12" s="1"/>
  <c r="W289" i="12"/>
  <c r="AR289" i="12" s="1"/>
  <c r="X324" i="12"/>
  <c r="AS324" i="12" s="1"/>
  <c r="P371" i="12"/>
  <c r="AK371" i="12" s="1"/>
  <c r="P266" i="12"/>
  <c r="AK266" i="12" s="1"/>
  <c r="N292" i="12"/>
  <c r="AI292" i="12" s="1"/>
  <c r="N328" i="12"/>
  <c r="AI328" i="12" s="1"/>
  <c r="W366" i="12"/>
  <c r="AR366" i="12" s="1"/>
  <c r="X259" i="12"/>
  <c r="AS259" i="12" s="1"/>
  <c r="N281" i="12"/>
  <c r="AI281" i="12" s="1"/>
  <c r="N314" i="12"/>
  <c r="AI314" i="12" s="1"/>
  <c r="Q350" i="12"/>
  <c r="AL350" i="12" s="1"/>
  <c r="P251" i="12"/>
  <c r="AK251" i="12" s="1"/>
  <c r="S273" i="12"/>
  <c r="AN273" i="12" s="1"/>
  <c r="O302" i="12"/>
  <c r="AJ302" i="12" s="1"/>
  <c r="O338" i="12"/>
  <c r="AJ338" i="12" s="1"/>
  <c r="O373" i="12"/>
  <c r="AJ373" i="12" s="1"/>
  <c r="N265" i="12"/>
  <c r="AI265" i="12" s="1"/>
  <c r="Q293" i="12"/>
  <c r="AL293" i="12" s="1"/>
  <c r="Q329" i="12"/>
  <c r="AL329" i="12" s="1"/>
  <c r="Q364" i="12"/>
  <c r="AL364" i="12" s="1"/>
  <c r="Q258" i="12"/>
  <c r="AL258" i="12" s="1"/>
  <c r="Q276" i="12"/>
  <c r="AL276" i="12" s="1"/>
  <c r="R311" i="12"/>
  <c r="AM311" i="12" s="1"/>
  <c r="R346" i="12"/>
  <c r="AM346" i="12" s="1"/>
  <c r="S251" i="12"/>
  <c r="AN251" i="12" s="1"/>
  <c r="S269" i="12"/>
  <c r="AN269" i="12" s="1"/>
  <c r="P294" i="12"/>
  <c r="AK294" i="12" s="1"/>
  <c r="P330" i="12"/>
  <c r="AK330" i="12" s="1"/>
  <c r="W279" i="12"/>
  <c r="AR279" i="12" s="1"/>
  <c r="W297" i="12"/>
  <c r="AR297" i="12" s="1"/>
  <c r="W315" i="12"/>
  <c r="AR315" i="12" s="1"/>
  <c r="W333" i="12"/>
  <c r="AR333" i="12" s="1"/>
  <c r="O353" i="12"/>
  <c r="AJ353" i="12" s="1"/>
  <c r="O286" i="12"/>
  <c r="AJ286" i="12" s="1"/>
  <c r="O304" i="12"/>
  <c r="AJ304" i="12" s="1"/>
  <c r="O322" i="12"/>
  <c r="AJ322" i="12" s="1"/>
  <c r="O340" i="12"/>
  <c r="AJ340" i="12" s="1"/>
  <c r="O358" i="12"/>
  <c r="AJ358" i="12" s="1"/>
  <c r="P250" i="12"/>
  <c r="AK250" i="12" s="1"/>
  <c r="P268" i="12"/>
  <c r="AK268" i="12" s="1"/>
  <c r="P286" i="12"/>
  <c r="AK286" i="12" s="1"/>
  <c r="P304" i="12"/>
  <c r="AK304" i="12" s="1"/>
  <c r="P322" i="12"/>
  <c r="AK322" i="12" s="1"/>
  <c r="P340" i="12"/>
  <c r="AK340" i="12" s="1"/>
  <c r="S362" i="12"/>
  <c r="AN362" i="12" s="1"/>
  <c r="Q286" i="12"/>
  <c r="AL286" i="12" s="1"/>
  <c r="Q304" i="12"/>
  <c r="AL304" i="12" s="1"/>
  <c r="Q322" i="12"/>
  <c r="AL322" i="12" s="1"/>
  <c r="Q340" i="12"/>
  <c r="AL340" i="12" s="1"/>
  <c r="W362" i="12"/>
  <c r="AR362" i="12" s="1"/>
  <c r="R298" i="12"/>
  <c r="AM298" i="12" s="1"/>
  <c r="R316" i="12"/>
  <c r="AM316" i="12" s="1"/>
  <c r="R334" i="12"/>
  <c r="AM334" i="12" s="1"/>
  <c r="N352" i="12"/>
  <c r="AI352" i="12" s="1"/>
  <c r="N370" i="12"/>
  <c r="AI370" i="12" s="1"/>
  <c r="S292" i="12"/>
  <c r="AN292" i="12" s="1"/>
  <c r="S310" i="12"/>
  <c r="AN310" i="12" s="1"/>
  <c r="S328" i="12"/>
  <c r="AN328" i="12" s="1"/>
  <c r="Q345" i="12"/>
  <c r="AL345" i="12" s="1"/>
  <c r="Q363" i="12"/>
  <c r="AL363" i="12" s="1"/>
  <c r="P348" i="12"/>
  <c r="AK348" i="12" s="1"/>
  <c r="P366" i="12"/>
  <c r="AK366" i="12" s="1"/>
  <c r="S54" i="22"/>
  <c r="P8" i="22"/>
  <c r="N24" i="22"/>
  <c r="L21" i="20"/>
  <c r="Z147" i="21"/>
  <c r="Z141" i="21"/>
  <c r="Z47" i="21"/>
  <c r="Z53" i="21"/>
  <c r="CM32" i="20"/>
  <c r="CI32" i="20"/>
  <c r="CH32" i="20"/>
  <c r="AG65" i="21"/>
  <c r="AG153" i="21"/>
  <c r="AG165" i="21"/>
  <c r="AG71" i="21"/>
  <c r="AG59" i="21"/>
  <c r="AG159" i="21"/>
  <c r="W53" i="21"/>
  <c r="W141" i="21"/>
  <c r="W47" i="21"/>
  <c r="W147" i="21"/>
  <c r="CH21" i="20"/>
  <c r="CM21" i="20"/>
  <c r="CI21" i="20"/>
  <c r="AD47" i="21"/>
  <c r="AD53" i="21"/>
  <c r="AD147" i="21"/>
  <c r="AD141" i="21"/>
  <c r="T165" i="21"/>
  <c r="T65" i="21"/>
  <c r="T153" i="21"/>
  <c r="T159" i="21"/>
  <c r="T59" i="21"/>
  <c r="T71" i="21"/>
  <c r="L50" i="20"/>
  <c r="AF53" i="21"/>
  <c r="AF141" i="21"/>
  <c r="AF147" i="21"/>
  <c r="AF47" i="21"/>
  <c r="AE165" i="21"/>
  <c r="AE159" i="21"/>
  <c r="AE65" i="21"/>
  <c r="AE59" i="21"/>
  <c r="AE153" i="21"/>
  <c r="AE71" i="21"/>
  <c r="CL27" i="20"/>
  <c r="CK27" i="20"/>
  <c r="CJ27" i="20"/>
  <c r="G147" i="21"/>
  <c r="G141" i="21"/>
  <c r="G53" i="21"/>
  <c r="G47" i="21"/>
  <c r="CI7" i="20"/>
  <c r="CM7" i="20"/>
  <c r="CH7" i="20"/>
  <c r="BA126" i="20"/>
  <c r="BA122" i="20"/>
  <c r="BD122" i="20" s="1"/>
  <c r="AA19" i="21"/>
  <c r="AA20" i="21"/>
  <c r="CM28" i="20"/>
  <c r="CI28" i="20"/>
  <c r="CH28" i="20"/>
  <c r="Q76" i="22"/>
  <c r="AM53" i="22"/>
  <c r="BG53" i="22"/>
  <c r="S35" i="22"/>
  <c r="S53" i="22"/>
  <c r="AC54" i="22"/>
  <c r="Z341" i="15"/>
  <c r="X368" i="15"/>
  <c r="G397" i="15"/>
  <c r="O294" i="15"/>
  <c r="Z313" i="15"/>
  <c r="K335" i="15"/>
  <c r="O359" i="15"/>
  <c r="K388" i="15"/>
  <c r="F288" i="15"/>
  <c r="E307" i="15"/>
  <c r="I328" i="15"/>
  <c r="Q350" i="15"/>
  <c r="V378" i="15"/>
  <c r="Y407" i="15"/>
  <c r="G301" i="15"/>
  <c r="J321" i="15"/>
  <c r="V342" i="15"/>
  <c r="K369" i="15"/>
  <c r="J398" i="15"/>
  <c r="T294" i="15"/>
  <c r="R314" i="15"/>
  <c r="R335" i="15"/>
  <c r="K360" i="15"/>
  <c r="S388" i="15"/>
  <c r="J288" i="15"/>
  <c r="T307" i="15"/>
  <c r="R328" i="15"/>
  <c r="Z350" i="15"/>
  <c r="W379" i="15"/>
  <c r="G408" i="15"/>
  <c r="J301" i="15"/>
  <c r="Z321" i="15"/>
  <c r="F343" i="15"/>
  <c r="G370" i="15"/>
  <c r="V398" i="15"/>
  <c r="G292" i="15"/>
  <c r="O303" i="15"/>
  <c r="J315" i="15"/>
  <c r="S327" i="15"/>
  <c r="AA339" i="15"/>
  <c r="AA353" i="15"/>
  <c r="W370" i="15"/>
  <c r="R387" i="15"/>
  <c r="J404" i="15"/>
  <c r="K291" i="15"/>
  <c r="Q302" i="15"/>
  <c r="N314" i="15"/>
  <c r="R326" i="15"/>
  <c r="E339" i="15"/>
  <c r="S352" i="15"/>
  <c r="P369" i="15"/>
  <c r="K386" i="15"/>
  <c r="AA402" i="15"/>
  <c r="O290" i="15"/>
  <c r="V301" i="15"/>
  <c r="N313" i="15"/>
  <c r="T325" i="15"/>
  <c r="G338" i="15"/>
  <c r="R351" i="15"/>
  <c r="I368" i="15"/>
  <c r="E385" i="15"/>
  <c r="V401" i="15"/>
  <c r="S289" i="15"/>
  <c r="W300" i="15"/>
  <c r="P312" i="15"/>
  <c r="W324" i="15"/>
  <c r="H337" i="15"/>
  <c r="N350" i="15"/>
  <c r="Z366" i="15"/>
  <c r="W383" i="15"/>
  <c r="N400" i="15"/>
  <c r="W288" i="15"/>
  <c r="Z299" i="15"/>
  <c r="Q311" i="15"/>
  <c r="X323" i="15"/>
  <c r="H336" i="15"/>
  <c r="J349" i="15"/>
  <c r="R365" i="15"/>
  <c r="N382" i="15"/>
  <c r="F399" i="15"/>
  <c r="Z415" i="15"/>
  <c r="E364" i="15"/>
  <c r="R376" i="15"/>
  <c r="G389" i="15"/>
  <c r="T401" i="15"/>
  <c r="H414" i="15"/>
  <c r="H296" i="15"/>
  <c r="P305" i="15"/>
  <c r="R315" i="15"/>
  <c r="W325" i="15"/>
  <c r="F336" i="15"/>
  <c r="F347" i="15"/>
  <c r="H359" i="15"/>
  <c r="T371" i="15"/>
  <c r="N384" i="15"/>
  <c r="Z396" i="15"/>
  <c r="N409" i="15"/>
  <c r="P292" i="15"/>
  <c r="X301" i="15"/>
  <c r="O311" i="15"/>
  <c r="V321" i="15"/>
  <c r="F332" i="15"/>
  <c r="P342" i="15"/>
  <c r="J354" i="15"/>
  <c r="W366" i="15"/>
  <c r="K379" i="15"/>
  <c r="X391" i="15"/>
  <c r="N404" i="15"/>
  <c r="E351" i="15"/>
  <c r="Q361" i="15"/>
  <c r="AA371" i="15"/>
  <c r="P382" i="15"/>
  <c r="Z392" i="15"/>
  <c r="N403" i="15"/>
  <c r="Y413" i="15"/>
  <c r="E295" i="15"/>
  <c r="R303" i="15"/>
  <c r="R312" i="15"/>
  <c r="E322" i="15"/>
  <c r="P331" i="15"/>
  <c r="X340" i="15"/>
  <c r="J351" i="15"/>
  <c r="V361" i="15"/>
  <c r="H372" i="15"/>
  <c r="T382" i="15"/>
  <c r="G393" i="15"/>
  <c r="S403" i="15"/>
  <c r="F414" i="15"/>
  <c r="P294" i="15"/>
  <c r="K302" i="15"/>
  <c r="H310" i="15"/>
  <c r="E318" i="15"/>
  <c r="Y325" i="15"/>
  <c r="V333" i="15"/>
  <c r="R341" i="15"/>
  <c r="P349" i="15"/>
  <c r="K357" i="15"/>
  <c r="H365" i="15"/>
  <c r="E373" i="15"/>
  <c r="Y380" i="15"/>
  <c r="V388" i="15"/>
  <c r="R396" i="15"/>
  <c r="O404" i="15"/>
  <c r="J412" i="15"/>
  <c r="R345" i="15"/>
  <c r="O353" i="15"/>
  <c r="J361" i="15"/>
  <c r="G369" i="15"/>
  <c r="AA376" i="15"/>
  <c r="Y384" i="15"/>
  <c r="V392" i="15"/>
  <c r="R400" i="15"/>
  <c r="O408" i="15"/>
  <c r="K308" i="15"/>
  <c r="H316" i="15"/>
  <c r="E324" i="15"/>
  <c r="Y331" i="15"/>
  <c r="V339" i="15"/>
  <c r="R347" i="15"/>
  <c r="P355" i="15"/>
  <c r="K363" i="15"/>
  <c r="H371" i="15"/>
  <c r="E379" i="15"/>
  <c r="Y386" i="15"/>
  <c r="V394" i="15"/>
  <c r="R402" i="15"/>
  <c r="O410" i="15"/>
  <c r="E290" i="15"/>
  <c r="I297" i="15"/>
  <c r="O304" i="15"/>
  <c r="S311" i="15"/>
  <c r="X318" i="15"/>
  <c r="E326" i="15"/>
  <c r="I333" i="15"/>
  <c r="O340" i="15"/>
  <c r="S347" i="15"/>
  <c r="X354" i="15"/>
  <c r="E362" i="15"/>
  <c r="I369" i="15"/>
  <c r="O376" i="15"/>
  <c r="S383" i="15"/>
  <c r="X390" i="15"/>
  <c r="E398" i="15"/>
  <c r="I405" i="15"/>
  <c r="E5" i="22"/>
  <c r="AK55" i="22"/>
  <c r="BE55" i="22"/>
  <c r="S33" i="22"/>
  <c r="J6" i="22"/>
  <c r="C159" i="11"/>
  <c r="E270" i="11" s="1"/>
  <c r="D211" i="11"/>
  <c r="C211" i="11" s="1"/>
  <c r="AY53" i="22"/>
  <c r="C155" i="11"/>
  <c r="D207" i="11"/>
  <c r="C207" i="11" s="1"/>
  <c r="R10" i="22"/>
  <c r="G35" i="22"/>
  <c r="AC51" i="22"/>
  <c r="AW51" i="22"/>
  <c r="D5" i="22"/>
  <c r="X251" i="12"/>
  <c r="AS251" i="12" s="1"/>
  <c r="N253" i="12"/>
  <c r="AI253" i="12" s="1"/>
  <c r="Q287" i="12"/>
  <c r="AL287" i="12" s="1"/>
  <c r="W250" i="12"/>
  <c r="AR250" i="12" s="1"/>
  <c r="N266" i="12"/>
  <c r="AI266" i="12" s="1"/>
  <c r="Q266" i="12"/>
  <c r="AL266" i="12" s="1"/>
  <c r="R286" i="12"/>
  <c r="AM286" i="12" s="1"/>
  <c r="P261" i="12"/>
  <c r="AK261" i="12" s="1"/>
  <c r="Q261" i="12"/>
  <c r="AL261" i="12" s="1"/>
  <c r="R263" i="12"/>
  <c r="AM263" i="12" s="1"/>
  <c r="P246" i="12"/>
  <c r="R361" i="12"/>
  <c r="AM361" i="12" s="1"/>
  <c r="R266" i="12"/>
  <c r="AM266" i="12" s="1"/>
  <c r="Q282" i="12"/>
  <c r="AL282" i="12" s="1"/>
  <c r="S361" i="12"/>
  <c r="AN361" i="12" s="1"/>
  <c r="S276" i="12"/>
  <c r="AN276" i="12" s="1"/>
  <c r="R275" i="12"/>
  <c r="AM275" i="12" s="1"/>
  <c r="Q306" i="12"/>
  <c r="AL306" i="12" s="1"/>
  <c r="O284" i="12"/>
  <c r="AJ284" i="12" s="1"/>
  <c r="P350" i="12"/>
  <c r="AK350" i="12" s="1"/>
  <c r="S333" i="12"/>
  <c r="AN333" i="12" s="1"/>
  <c r="Q250" i="12"/>
  <c r="AL250" i="12" s="1"/>
  <c r="Q268" i="12"/>
  <c r="AL268" i="12" s="1"/>
  <c r="X291" i="12"/>
  <c r="AS291" i="12" s="1"/>
  <c r="X327" i="12"/>
  <c r="AS327" i="12" s="1"/>
  <c r="O246" i="12"/>
  <c r="R268" i="12"/>
  <c r="AM268" i="12" s="1"/>
  <c r="N295" i="12"/>
  <c r="AI295" i="12" s="1"/>
  <c r="N331" i="12"/>
  <c r="AI331" i="12" s="1"/>
  <c r="N367" i="12"/>
  <c r="AI367" i="12" s="1"/>
  <c r="O260" i="12"/>
  <c r="AJ260" i="12" s="1"/>
  <c r="R282" i="12"/>
  <c r="AM282" i="12" s="1"/>
  <c r="N317" i="12"/>
  <c r="AI317" i="12" s="1"/>
  <c r="W354" i="12"/>
  <c r="AR354" i="12" s="1"/>
  <c r="R253" i="12"/>
  <c r="AM253" i="12" s="1"/>
  <c r="X275" i="12"/>
  <c r="AS275" i="12" s="1"/>
  <c r="O305" i="12"/>
  <c r="AJ305" i="12" s="1"/>
  <c r="R341" i="12"/>
  <c r="AM341" i="12" s="1"/>
  <c r="W246" i="12"/>
  <c r="P267" i="12"/>
  <c r="AK267" i="12" s="1"/>
  <c r="Q296" i="12"/>
  <c r="AL296" i="12" s="1"/>
  <c r="Q332" i="12"/>
  <c r="AL332" i="12" s="1"/>
  <c r="W368" i="12"/>
  <c r="AR368" i="12" s="1"/>
  <c r="R260" i="12"/>
  <c r="AM260" i="12" s="1"/>
  <c r="N280" i="12"/>
  <c r="AI280" i="12" s="1"/>
  <c r="R314" i="12"/>
  <c r="AM314" i="12" s="1"/>
  <c r="X350" i="12"/>
  <c r="AS350" i="12" s="1"/>
  <c r="N252" i="12"/>
  <c r="AI252" i="12" s="1"/>
  <c r="N270" i="12"/>
  <c r="AI270" i="12" s="1"/>
  <c r="P297" i="12"/>
  <c r="AK297" i="12" s="1"/>
  <c r="P333" i="12"/>
  <c r="AK333" i="12" s="1"/>
  <c r="P281" i="12"/>
  <c r="AK281" i="12" s="1"/>
  <c r="P299" i="12"/>
  <c r="AK299" i="12" s="1"/>
  <c r="P317" i="12"/>
  <c r="AK317" i="12" s="1"/>
  <c r="P335" i="12"/>
  <c r="AK335" i="12" s="1"/>
  <c r="P355" i="12"/>
  <c r="AK355" i="12" s="1"/>
  <c r="S287" i="12"/>
  <c r="AN287" i="12" s="1"/>
  <c r="S305" i="12"/>
  <c r="AN305" i="12" s="1"/>
  <c r="S323" i="12"/>
  <c r="AN323" i="12" s="1"/>
  <c r="Q342" i="12"/>
  <c r="AL342" i="12" s="1"/>
  <c r="Q360" i="12"/>
  <c r="AL360" i="12" s="1"/>
  <c r="W251" i="12"/>
  <c r="AR251" i="12" s="1"/>
  <c r="W269" i="12"/>
  <c r="AR269" i="12" s="1"/>
  <c r="W287" i="12"/>
  <c r="AR287" i="12" s="1"/>
  <c r="W305" i="12"/>
  <c r="AR305" i="12" s="1"/>
  <c r="W323" i="12"/>
  <c r="AR323" i="12" s="1"/>
  <c r="R342" i="12"/>
  <c r="AM342" i="12" s="1"/>
  <c r="X364" i="12"/>
  <c r="AS364" i="12" s="1"/>
  <c r="X287" i="12"/>
  <c r="AS287" i="12" s="1"/>
  <c r="X305" i="12"/>
  <c r="AS305" i="12" s="1"/>
  <c r="X323" i="12"/>
  <c r="AS323" i="12" s="1"/>
  <c r="S342" i="12"/>
  <c r="AN342" i="12" s="1"/>
  <c r="N363" i="12"/>
  <c r="AI363" i="12" s="1"/>
  <c r="N300" i="12"/>
  <c r="AI300" i="12" s="1"/>
  <c r="N318" i="12"/>
  <c r="AI318" i="12" s="1"/>
  <c r="N336" i="12"/>
  <c r="AI336" i="12" s="1"/>
  <c r="X353" i="12"/>
  <c r="AS353" i="12" s="1"/>
  <c r="X371" i="12"/>
  <c r="AS371" i="12" s="1"/>
  <c r="O294" i="12"/>
  <c r="AJ294" i="12" s="1"/>
  <c r="O312" i="12"/>
  <c r="AJ312" i="12" s="1"/>
  <c r="O330" i="12"/>
  <c r="AJ330" i="12" s="1"/>
  <c r="R347" i="12"/>
  <c r="AM347" i="12" s="1"/>
  <c r="R365" i="12"/>
  <c r="AM365" i="12" s="1"/>
  <c r="W349" i="12"/>
  <c r="AR349" i="12" s="1"/>
  <c r="W367" i="12"/>
  <c r="AR367" i="12" s="1"/>
  <c r="L45" i="20"/>
  <c r="AJ430" i="16"/>
  <c r="X430" i="16"/>
  <c r="I430" i="16"/>
  <c r="AQ429" i="16"/>
  <c r="AB429" i="16"/>
  <c r="M429" i="16"/>
  <c r="AU428" i="16"/>
  <c r="AF428" i="16"/>
  <c r="Q428" i="16"/>
  <c r="E428" i="16"/>
  <c r="AM430" i="16"/>
  <c r="Z430" i="16"/>
  <c r="J430" i="16"/>
  <c r="AM429" i="16"/>
  <c r="Z429" i="16"/>
  <c r="J429" i="16"/>
  <c r="AQ428" i="16"/>
  <c r="AA428" i="16"/>
  <c r="K428" i="16"/>
  <c r="AR427" i="16"/>
  <c r="AC427" i="16"/>
  <c r="N427" i="16"/>
  <c r="AV426" i="16"/>
  <c r="AG426" i="16"/>
  <c r="R426" i="16"/>
  <c r="F426" i="16"/>
  <c r="AK425" i="16"/>
  <c r="Y425" i="16"/>
  <c r="J425" i="16"/>
  <c r="AR424" i="16"/>
  <c r="AC424" i="16"/>
  <c r="N424" i="16"/>
  <c r="AL430" i="16"/>
  <c r="Y430" i="16"/>
  <c r="H430" i="16"/>
  <c r="AL429" i="16"/>
  <c r="Y429" i="16"/>
  <c r="I429" i="16"/>
  <c r="AM428" i="16"/>
  <c r="Z428" i="16"/>
  <c r="J428" i="16"/>
  <c r="AQ427" i="16"/>
  <c r="AB427" i="16"/>
  <c r="M427" i="16"/>
  <c r="AU426" i="16"/>
  <c r="AF426" i="16"/>
  <c r="Q426" i="16"/>
  <c r="E426" i="16"/>
  <c r="AJ425" i="16"/>
  <c r="X425" i="16"/>
  <c r="I425" i="16"/>
  <c r="AQ424" i="16"/>
  <c r="AB424" i="16"/>
  <c r="M424" i="16"/>
  <c r="AU423" i="16"/>
  <c r="AF423" i="16"/>
  <c r="Q423" i="16"/>
  <c r="E423" i="16"/>
  <c r="AJ422" i="16"/>
  <c r="X422" i="16"/>
  <c r="I422" i="16"/>
  <c r="AQ421" i="16"/>
  <c r="AB421" i="16"/>
  <c r="M421" i="16"/>
  <c r="AU420" i="16"/>
  <c r="AF420" i="16"/>
  <c r="Q420" i="16"/>
  <c r="E420" i="16"/>
  <c r="AJ419" i="16"/>
  <c r="X419" i="16"/>
  <c r="I419" i="16"/>
  <c r="AQ418" i="16"/>
  <c r="AB418" i="16"/>
  <c r="M418" i="16"/>
  <c r="AU417" i="16"/>
  <c r="AF417" i="16"/>
  <c r="Q417" i="16"/>
  <c r="E417" i="16"/>
  <c r="AK430" i="16"/>
  <c r="T430" i="16"/>
  <c r="G430" i="16"/>
  <c r="AK429" i="16"/>
  <c r="X429" i="16"/>
  <c r="H429" i="16"/>
  <c r="AL428" i="16"/>
  <c r="Y428" i="16"/>
  <c r="I428" i="16"/>
  <c r="AM427" i="16"/>
  <c r="AA427" i="16"/>
  <c r="L427" i="16"/>
  <c r="AT426" i="16"/>
  <c r="AE426" i="16"/>
  <c r="P426" i="16"/>
  <c r="AX425" i="16"/>
  <c r="AI425" i="16"/>
  <c r="T425" i="16"/>
  <c r="H425" i="16"/>
  <c r="AM424" i="16"/>
  <c r="AA424" i="16"/>
  <c r="L424" i="16"/>
  <c r="AT423" i="16"/>
  <c r="AE423" i="16"/>
  <c r="P423" i="16"/>
  <c r="AX422" i="16"/>
  <c r="AI422" i="16"/>
  <c r="T422" i="16"/>
  <c r="H422" i="16"/>
  <c r="AM421" i="16"/>
  <c r="AA421" i="16"/>
  <c r="L421" i="16"/>
  <c r="AT420" i="16"/>
  <c r="AE420" i="16"/>
  <c r="P420" i="16"/>
  <c r="AX419" i="16"/>
  <c r="AI419" i="16"/>
  <c r="T419" i="16"/>
  <c r="H419" i="16"/>
  <c r="AM418" i="16"/>
  <c r="AA418" i="16"/>
  <c r="L418" i="16"/>
  <c r="AT417" i="16"/>
  <c r="AE417" i="16"/>
  <c r="P417" i="16"/>
  <c r="AX416" i="16"/>
  <c r="AI416" i="16"/>
  <c r="T416" i="16"/>
  <c r="AI430" i="16"/>
  <c r="S430" i="16"/>
  <c r="F430" i="16"/>
  <c r="AJ429" i="16"/>
  <c r="T429" i="16"/>
  <c r="G429" i="16"/>
  <c r="AK428" i="16"/>
  <c r="X428" i="16"/>
  <c r="H428" i="16"/>
  <c r="AL427" i="16"/>
  <c r="Z427" i="16"/>
  <c r="K427" i="16"/>
  <c r="AS426" i="16"/>
  <c r="AD426" i="16"/>
  <c r="O426" i="16"/>
  <c r="AW425" i="16"/>
  <c r="AH425" i="16"/>
  <c r="S425" i="16"/>
  <c r="G425" i="16"/>
  <c r="AL424" i="16"/>
  <c r="Z424" i="16"/>
  <c r="K424" i="16"/>
  <c r="AS423" i="16"/>
  <c r="AD423" i="16"/>
  <c r="O423" i="16"/>
  <c r="AW422" i="16"/>
  <c r="AH422" i="16"/>
  <c r="S422" i="16"/>
  <c r="G422" i="16"/>
  <c r="AL421" i="16"/>
  <c r="Z421" i="16"/>
  <c r="K421" i="16"/>
  <c r="AS420" i="16"/>
  <c r="AD420" i="16"/>
  <c r="O420" i="16"/>
  <c r="AW419" i="16"/>
  <c r="AH419" i="16"/>
  <c r="S419" i="16"/>
  <c r="G419" i="16"/>
  <c r="AL418" i="16"/>
  <c r="Z418" i="16"/>
  <c r="K418" i="16"/>
  <c r="AS417" i="16"/>
  <c r="AD417" i="16"/>
  <c r="O417" i="16"/>
  <c r="AW416" i="16"/>
  <c r="AH416" i="16"/>
  <c r="S416" i="16"/>
  <c r="G416" i="16"/>
  <c r="AL415" i="16"/>
  <c r="Z415" i="16"/>
  <c r="K415" i="16"/>
  <c r="AS414" i="16"/>
  <c r="AD414" i="16"/>
  <c r="O414" i="16"/>
  <c r="AW413" i="16"/>
  <c r="AH413" i="16"/>
  <c r="S413" i="16"/>
  <c r="G413" i="16"/>
  <c r="AL412" i="16"/>
  <c r="Z412" i="16"/>
  <c r="K412" i="16"/>
  <c r="AS411" i="16"/>
  <c r="AD411" i="16"/>
  <c r="O411" i="16"/>
  <c r="AW410" i="16"/>
  <c r="AH410" i="16"/>
  <c r="S410" i="16"/>
  <c r="G410" i="16"/>
  <c r="AL409" i="16"/>
  <c r="Z409" i="16"/>
  <c r="K409" i="16"/>
  <c r="AS408" i="16"/>
  <c r="AD408" i="16"/>
  <c r="O408" i="16"/>
  <c r="AW407" i="16"/>
  <c r="AH407" i="16"/>
  <c r="S407" i="16"/>
  <c r="G407" i="16"/>
  <c r="AL406" i="16"/>
  <c r="Z406" i="16"/>
  <c r="K406" i="16"/>
  <c r="AS405" i="16"/>
  <c r="AD405" i="16"/>
  <c r="O405" i="16"/>
  <c r="AW404" i="16"/>
  <c r="AH404" i="16"/>
  <c r="S404" i="16"/>
  <c r="G404" i="16"/>
  <c r="AL403" i="16"/>
  <c r="Z403" i="16"/>
  <c r="K403" i="16"/>
  <c r="AS402" i="16"/>
  <c r="AD402" i="16"/>
  <c r="O402" i="16"/>
  <c r="AW401" i="16"/>
  <c r="AH401" i="16"/>
  <c r="S401" i="16"/>
  <c r="G401" i="16"/>
  <c r="AL400" i="16"/>
  <c r="Z400" i="16"/>
  <c r="K400" i="16"/>
  <c r="AS399" i="16"/>
  <c r="AD399" i="16"/>
  <c r="O399" i="16"/>
  <c r="AW398" i="16"/>
  <c r="AH398" i="16"/>
  <c r="S398" i="16"/>
  <c r="G398" i="16"/>
  <c r="AL397" i="16"/>
  <c r="Z397" i="16"/>
  <c r="K397" i="16"/>
  <c r="AS396" i="16"/>
  <c r="AD396" i="16"/>
  <c r="O396" i="16"/>
  <c r="AW395" i="16"/>
  <c r="AH395" i="16"/>
  <c r="S395" i="16"/>
  <c r="G395" i="16"/>
  <c r="AL394" i="16"/>
  <c r="Z394" i="16"/>
  <c r="K394" i="16"/>
  <c r="AS393" i="16"/>
  <c r="AD393" i="16"/>
  <c r="O393" i="16"/>
  <c r="AW392" i="16"/>
  <c r="AH392" i="16"/>
  <c r="S392" i="16"/>
  <c r="G392" i="16"/>
  <c r="AL391" i="16"/>
  <c r="Z391" i="16"/>
  <c r="K391" i="16"/>
  <c r="AS390" i="16"/>
  <c r="AD390" i="16"/>
  <c r="O390" i="16"/>
  <c r="AW389" i="16"/>
  <c r="AH389" i="16"/>
  <c r="S389" i="16"/>
  <c r="G389" i="16"/>
  <c r="AL388" i="16"/>
  <c r="Z388" i="16"/>
  <c r="K388" i="16"/>
  <c r="AS387" i="16"/>
  <c r="AD387" i="16"/>
  <c r="O387" i="16"/>
  <c r="AW386" i="16"/>
  <c r="AH386" i="16"/>
  <c r="S386" i="16"/>
  <c r="G386" i="16"/>
  <c r="AL385" i="16"/>
  <c r="Z385" i="16"/>
  <c r="K385" i="16"/>
  <c r="AS384" i="16"/>
  <c r="AD384" i="16"/>
  <c r="O384" i="16"/>
  <c r="AW383" i="16"/>
  <c r="AH383" i="16"/>
  <c r="S383" i="16"/>
  <c r="G383" i="16"/>
  <c r="AL382" i="16"/>
  <c r="Z382" i="16"/>
  <c r="K382" i="16"/>
  <c r="AS381" i="16"/>
  <c r="AD381" i="16"/>
  <c r="O381" i="16"/>
  <c r="AW380" i="16"/>
  <c r="AH380" i="16"/>
  <c r="S380" i="16"/>
  <c r="G380" i="16"/>
  <c r="AL379" i="16"/>
  <c r="Z379" i="16"/>
  <c r="K379" i="16"/>
  <c r="AS378" i="16"/>
  <c r="AD378" i="16"/>
  <c r="O378" i="16"/>
  <c r="AW377" i="16"/>
  <c r="AH377" i="16"/>
  <c r="S377" i="16"/>
  <c r="G377" i="16"/>
  <c r="AL376" i="16"/>
  <c r="Z376" i="16"/>
  <c r="K376" i="16"/>
  <c r="AS375" i="16"/>
  <c r="AD375" i="16"/>
  <c r="O375" i="16"/>
  <c r="AW374" i="16"/>
  <c r="AH374" i="16"/>
  <c r="S374" i="16"/>
  <c r="G374" i="16"/>
  <c r="AL373" i="16"/>
  <c r="Z373" i="16"/>
  <c r="K373" i="16"/>
  <c r="AS372" i="16"/>
  <c r="AD372" i="16"/>
  <c r="O372" i="16"/>
  <c r="AW371" i="16"/>
  <c r="AH371" i="16"/>
  <c r="S371" i="16"/>
  <c r="G371" i="16"/>
  <c r="AL370" i="16"/>
  <c r="Z370" i="16"/>
  <c r="K370" i="16"/>
  <c r="AS369" i="16"/>
  <c r="AD369" i="16"/>
  <c r="O369" i="16"/>
  <c r="AW368" i="16"/>
  <c r="AH368" i="16"/>
  <c r="S368" i="16"/>
  <c r="G368" i="16"/>
  <c r="AL367" i="16"/>
  <c r="Z367" i="16"/>
  <c r="K367" i="16"/>
  <c r="AS366" i="16"/>
  <c r="AD366" i="16"/>
  <c r="O366" i="16"/>
  <c r="AW365" i="16"/>
  <c r="AH365" i="16"/>
  <c r="S365" i="16"/>
  <c r="G365" i="16"/>
  <c r="AL364" i="16"/>
  <c r="Z364" i="16"/>
  <c r="K364" i="16"/>
  <c r="AS363" i="16"/>
  <c r="AD363" i="16"/>
  <c r="O363" i="16"/>
  <c r="AW362" i="16"/>
  <c r="AH362" i="16"/>
  <c r="S362" i="16"/>
  <c r="G362" i="16"/>
  <c r="AL361" i="16"/>
  <c r="Z361" i="16"/>
  <c r="K361" i="16"/>
  <c r="AS360" i="16"/>
  <c r="AD360" i="16"/>
  <c r="O360" i="16"/>
  <c r="AW359" i="16"/>
  <c r="AH359" i="16"/>
  <c r="S359" i="16"/>
  <c r="G359" i="16"/>
  <c r="AL358" i="16"/>
  <c r="Z358" i="16"/>
  <c r="K358" i="16"/>
  <c r="AS357" i="16"/>
  <c r="AD357" i="16"/>
  <c r="O357" i="16"/>
  <c r="AW356" i="16"/>
  <c r="AH356" i="16"/>
  <c r="S356" i="16"/>
  <c r="G356" i="16"/>
  <c r="AL355" i="16"/>
  <c r="Z355" i="16"/>
  <c r="K355" i="16"/>
  <c r="AS354" i="16"/>
  <c r="AD354" i="16"/>
  <c r="O354" i="16"/>
  <c r="AW353" i="16"/>
  <c r="AH353" i="16"/>
  <c r="S353" i="16"/>
  <c r="G353" i="16"/>
  <c r="AL352" i="16"/>
  <c r="Z352" i="16"/>
  <c r="K352" i="16"/>
  <c r="AS351" i="16"/>
  <c r="AD351" i="16"/>
  <c r="O351" i="16"/>
  <c r="AW350" i="16"/>
  <c r="AH350" i="16"/>
  <c r="S350" i="16"/>
  <c r="G350" i="16"/>
  <c r="AL349" i="16"/>
  <c r="Z349" i="16"/>
  <c r="K349" i="16"/>
  <c r="AS348" i="16"/>
  <c r="AD348" i="16"/>
  <c r="O348" i="16"/>
  <c r="AW347" i="16"/>
  <c r="AH347" i="16"/>
  <c r="S347" i="16"/>
  <c r="G347" i="16"/>
  <c r="AL346" i="16"/>
  <c r="Z346" i="16"/>
  <c r="K346" i="16"/>
  <c r="AS345" i="16"/>
  <c r="AD345" i="16"/>
  <c r="O345" i="16"/>
  <c r="AW344" i="16"/>
  <c r="AH344" i="16"/>
  <c r="S344" i="16"/>
  <c r="G344" i="16"/>
  <c r="AL343" i="16"/>
  <c r="Z343" i="16"/>
  <c r="K343" i="16"/>
  <c r="AS342" i="16"/>
  <c r="AD342" i="16"/>
  <c r="O342" i="16"/>
  <c r="AW341" i="16"/>
  <c r="AH341" i="16"/>
  <c r="S341" i="16"/>
  <c r="G341" i="16"/>
  <c r="AL340" i="16"/>
  <c r="Z340" i="16"/>
  <c r="K340" i="16"/>
  <c r="AS339" i="16"/>
  <c r="AD339" i="16"/>
  <c r="O339" i="16"/>
  <c r="AW338" i="16"/>
  <c r="AH338" i="16"/>
  <c r="S338" i="16"/>
  <c r="G338" i="16"/>
  <c r="AL337" i="16"/>
  <c r="Z337" i="16"/>
  <c r="AX430" i="16"/>
  <c r="AH430" i="16"/>
  <c r="R430" i="16"/>
  <c r="E430" i="16"/>
  <c r="AI429" i="16"/>
  <c r="S429" i="16"/>
  <c r="F429" i="16"/>
  <c r="AJ428" i="16"/>
  <c r="T428" i="16"/>
  <c r="G428" i="16"/>
  <c r="AK427" i="16"/>
  <c r="Y427" i="16"/>
  <c r="J427" i="16"/>
  <c r="AR426" i="16"/>
  <c r="AC426" i="16"/>
  <c r="N426" i="16"/>
  <c r="AV425" i="16"/>
  <c r="AG425" i="16"/>
  <c r="R425" i="16"/>
  <c r="F425" i="16"/>
  <c r="AK424" i="16"/>
  <c r="Y424" i="16"/>
  <c r="J424" i="16"/>
  <c r="AR423" i="16"/>
  <c r="AC423" i="16"/>
  <c r="N423" i="16"/>
  <c r="AV422" i="16"/>
  <c r="AG422" i="16"/>
  <c r="R422" i="16"/>
  <c r="F422" i="16"/>
  <c r="AK421" i="16"/>
  <c r="Y421" i="16"/>
  <c r="J421" i="16"/>
  <c r="AR420" i="16"/>
  <c r="AC420" i="16"/>
  <c r="N420" i="16"/>
  <c r="AV419" i="16"/>
  <c r="AG419" i="16"/>
  <c r="R419" i="16"/>
  <c r="F419" i="16"/>
  <c r="AK418" i="16"/>
  <c r="Y418" i="16"/>
  <c r="J418" i="16"/>
  <c r="AR417" i="16"/>
  <c r="AC417" i="16"/>
  <c r="N417" i="16"/>
  <c r="AV416" i="16"/>
  <c r="AG416" i="16"/>
  <c r="AF430" i="16"/>
  <c r="K430" i="16"/>
  <c r="AD429" i="16"/>
  <c r="AW428" i="16"/>
  <c r="S428" i="16"/>
  <c r="AT427" i="16"/>
  <c r="R427" i="16"/>
  <c r="AM426" i="16"/>
  <c r="S426" i="16"/>
  <c r="AQ425" i="16"/>
  <c r="O425" i="16"/>
  <c r="AJ424" i="16"/>
  <c r="P424" i="16"/>
  <c r="AL423" i="16"/>
  <c r="S423" i="16"/>
  <c r="AS422" i="16"/>
  <c r="Z422" i="16"/>
  <c r="AW421" i="16"/>
  <c r="AD421" i="16"/>
  <c r="G421" i="16"/>
  <c r="AH420" i="16"/>
  <c r="K420" i="16"/>
  <c r="AL419" i="16"/>
  <c r="O419" i="16"/>
  <c r="AS418" i="16"/>
  <c r="S418" i="16"/>
  <c r="AW417" i="16"/>
  <c r="Z417" i="16"/>
  <c r="G417" i="16"/>
  <c r="AE416" i="16"/>
  <c r="N416" i="16"/>
  <c r="AU415" i="16"/>
  <c r="AE415" i="16"/>
  <c r="O415" i="16"/>
  <c r="AV414" i="16"/>
  <c r="AF414" i="16"/>
  <c r="P414" i="16"/>
  <c r="AV413" i="16"/>
  <c r="AF413" i="16"/>
  <c r="P413" i="16"/>
  <c r="AW412" i="16"/>
  <c r="AG412" i="16"/>
  <c r="Q412" i="16"/>
  <c r="AX411" i="16"/>
  <c r="AH411" i="16"/>
  <c r="R411" i="16"/>
  <c r="E411" i="16"/>
  <c r="AI410" i="16"/>
  <c r="R410" i="16"/>
  <c r="E410" i="16"/>
  <c r="AI409" i="16"/>
  <c r="S409" i="16"/>
  <c r="F409" i="16"/>
  <c r="AJ408" i="16"/>
  <c r="T408" i="16"/>
  <c r="G408" i="16"/>
  <c r="AK407" i="16"/>
  <c r="X407" i="16"/>
  <c r="H407" i="16"/>
  <c r="AK406" i="16"/>
  <c r="X406" i="16"/>
  <c r="H406" i="16"/>
  <c r="AL405" i="16"/>
  <c r="Y405" i="16"/>
  <c r="I405" i="16"/>
  <c r="AM404" i="16"/>
  <c r="Z404" i="16"/>
  <c r="J404" i="16"/>
  <c r="AQ403" i="16"/>
  <c r="AA403" i="16"/>
  <c r="J403" i="16"/>
  <c r="AQ402" i="16"/>
  <c r="AA402" i="16"/>
  <c r="K402" i="16"/>
  <c r="AR401" i="16"/>
  <c r="AB401" i="16"/>
  <c r="L401" i="16"/>
  <c r="AS400" i="16"/>
  <c r="AC400" i="16"/>
  <c r="M400" i="16"/>
  <c r="AT399" i="16"/>
  <c r="AC399" i="16"/>
  <c r="M399" i="16"/>
  <c r="AT398" i="16"/>
  <c r="AD398" i="16"/>
  <c r="N398" i="16"/>
  <c r="AU397" i="16"/>
  <c r="AE397" i="16"/>
  <c r="O397" i="16"/>
  <c r="AV396" i="16"/>
  <c r="AF396" i="16"/>
  <c r="P396" i="16"/>
  <c r="AV395" i="16"/>
  <c r="AF395" i="16"/>
  <c r="P395" i="16"/>
  <c r="AW394" i="16"/>
  <c r="AG394" i="16"/>
  <c r="Q394" i="16"/>
  <c r="AX393" i="16"/>
  <c r="AH393" i="16"/>
  <c r="R393" i="16"/>
  <c r="E393" i="16"/>
  <c r="AI392" i="16"/>
  <c r="R392" i="16"/>
  <c r="E392" i="16"/>
  <c r="AI391" i="16"/>
  <c r="S391" i="16"/>
  <c r="F391" i="16"/>
  <c r="AJ390" i="16"/>
  <c r="T390" i="16"/>
  <c r="G390" i="16"/>
  <c r="AK389" i="16"/>
  <c r="X389" i="16"/>
  <c r="H389" i="16"/>
  <c r="AK388" i="16"/>
  <c r="X388" i="16"/>
  <c r="H388" i="16"/>
  <c r="AL387" i="16"/>
  <c r="Y387" i="16"/>
  <c r="I387" i="16"/>
  <c r="AM386" i="16"/>
  <c r="Z386" i="16"/>
  <c r="J386" i="16"/>
  <c r="AQ385" i="16"/>
  <c r="AA385" i="16"/>
  <c r="J385" i="16"/>
  <c r="AQ384" i="16"/>
  <c r="AA384" i="16"/>
  <c r="K384" i="16"/>
  <c r="AR383" i="16"/>
  <c r="AB383" i="16"/>
  <c r="L383" i="16"/>
  <c r="AS382" i="16"/>
  <c r="AC382" i="16"/>
  <c r="M382" i="16"/>
  <c r="AT381" i="16"/>
  <c r="AC381" i="16"/>
  <c r="M381" i="16"/>
  <c r="AT380" i="16"/>
  <c r="AD380" i="16"/>
  <c r="N380" i="16"/>
  <c r="AU379" i="16"/>
  <c r="AE379" i="16"/>
  <c r="O379" i="16"/>
  <c r="AV378" i="16"/>
  <c r="AF378" i="16"/>
  <c r="P378" i="16"/>
  <c r="AV377" i="16"/>
  <c r="AF377" i="16"/>
  <c r="P377" i="16"/>
  <c r="AW376" i="16"/>
  <c r="AG376" i="16"/>
  <c r="Q376" i="16"/>
  <c r="AX375" i="16"/>
  <c r="AH375" i="16"/>
  <c r="R375" i="16"/>
  <c r="E375" i="16"/>
  <c r="AI374" i="16"/>
  <c r="R374" i="16"/>
  <c r="E374" i="16"/>
  <c r="AI373" i="16"/>
  <c r="S373" i="16"/>
  <c r="F373" i="16"/>
  <c r="AJ372" i="16"/>
  <c r="T372" i="16"/>
  <c r="G372" i="16"/>
  <c r="AK371" i="16"/>
  <c r="X371" i="16"/>
  <c r="H371" i="16"/>
  <c r="AK370" i="16"/>
  <c r="X370" i="16"/>
  <c r="H370" i="16"/>
  <c r="AL369" i="16"/>
  <c r="Y369" i="16"/>
  <c r="I369" i="16"/>
  <c r="AM368" i="16"/>
  <c r="Z368" i="16"/>
  <c r="J368" i="16"/>
  <c r="AQ367" i="16"/>
  <c r="AA367" i="16"/>
  <c r="J367" i="16"/>
  <c r="AQ366" i="16"/>
  <c r="AA366" i="16"/>
  <c r="K366" i="16"/>
  <c r="AR365" i="16"/>
  <c r="AB365" i="16"/>
  <c r="L365" i="16"/>
  <c r="AS364" i="16"/>
  <c r="AC364" i="16"/>
  <c r="M364" i="16"/>
  <c r="AT363" i="16"/>
  <c r="AC363" i="16"/>
  <c r="M363" i="16"/>
  <c r="AT362" i="16"/>
  <c r="AD362" i="16"/>
  <c r="N362" i="16"/>
  <c r="AU361" i="16"/>
  <c r="AE361" i="16"/>
  <c r="O361" i="16"/>
  <c r="AV360" i="16"/>
  <c r="AF360" i="16"/>
  <c r="P360" i="16"/>
  <c r="AV359" i="16"/>
  <c r="AF359" i="16"/>
  <c r="P359" i="16"/>
  <c r="AW358" i="16"/>
  <c r="AG358" i="16"/>
  <c r="Q358" i="16"/>
  <c r="AX357" i="16"/>
  <c r="AH357" i="16"/>
  <c r="R357" i="16"/>
  <c r="E357" i="16"/>
  <c r="AI356" i="16"/>
  <c r="R356" i="16"/>
  <c r="E356" i="16"/>
  <c r="AI355" i="16"/>
  <c r="S355" i="16"/>
  <c r="F355" i="16"/>
  <c r="AJ354" i="16"/>
  <c r="T354" i="16"/>
  <c r="G354" i="16"/>
  <c r="AK353" i="16"/>
  <c r="X353" i="16"/>
  <c r="H353" i="16"/>
  <c r="AK352" i="16"/>
  <c r="X352" i="16"/>
  <c r="H352" i="16"/>
  <c r="AL351" i="16"/>
  <c r="Y351" i="16"/>
  <c r="I351" i="16"/>
  <c r="AM350" i="16"/>
  <c r="Z350" i="16"/>
  <c r="J350" i="16"/>
  <c r="AQ349" i="16"/>
  <c r="AA349" i="16"/>
  <c r="J349" i="16"/>
  <c r="AQ348" i="16"/>
  <c r="AA348" i="16"/>
  <c r="K348" i="16"/>
  <c r="AR347" i="16"/>
  <c r="AB347" i="16"/>
  <c r="L347" i="16"/>
  <c r="AS346" i="16"/>
  <c r="AC346" i="16"/>
  <c r="M346" i="16"/>
  <c r="AT345" i="16"/>
  <c r="AC345" i="16"/>
  <c r="M345" i="16"/>
  <c r="AT344" i="16"/>
  <c r="AD344" i="16"/>
  <c r="N344" i="16"/>
  <c r="AU343" i="16"/>
  <c r="AE343" i="16"/>
  <c r="O343" i="16"/>
  <c r="AV342" i="16"/>
  <c r="AF342" i="16"/>
  <c r="P342" i="16"/>
  <c r="AV341" i="16"/>
  <c r="AF341" i="16"/>
  <c r="P341" i="16"/>
  <c r="AW340" i="16"/>
  <c r="AG340" i="16"/>
  <c r="Q340" i="16"/>
  <c r="AX339" i="16"/>
  <c r="AH339" i="16"/>
  <c r="R339" i="16"/>
  <c r="E339" i="16"/>
  <c r="AI338" i="16"/>
  <c r="R338" i="16"/>
  <c r="E338" i="16"/>
  <c r="AI337" i="16"/>
  <c r="S337" i="16"/>
  <c r="G337" i="16"/>
  <c r="AL336" i="16"/>
  <c r="Z336" i="16"/>
  <c r="K336" i="16"/>
  <c r="AS335" i="16"/>
  <c r="AD335" i="16"/>
  <c r="O335" i="16"/>
  <c r="AW334" i="16"/>
  <c r="AH334" i="16"/>
  <c r="S334" i="16"/>
  <c r="G334" i="16"/>
  <c r="AL333" i="16"/>
  <c r="Z333" i="16"/>
  <c r="K333" i="16"/>
  <c r="AS332" i="16"/>
  <c r="AD332" i="16"/>
  <c r="O332" i="16"/>
  <c r="AW331" i="16"/>
  <c r="AH331" i="16"/>
  <c r="S331" i="16"/>
  <c r="G331" i="16"/>
  <c r="AL330" i="16"/>
  <c r="Z330" i="16"/>
  <c r="K330" i="16"/>
  <c r="AS329" i="16"/>
  <c r="AD329" i="16"/>
  <c r="O329" i="16"/>
  <c r="AW328" i="16"/>
  <c r="AH328" i="16"/>
  <c r="S328" i="16"/>
  <c r="G328" i="16"/>
  <c r="AL327" i="16"/>
  <c r="Z327" i="16"/>
  <c r="K327" i="16"/>
  <c r="AS326" i="16"/>
  <c r="AD326" i="16"/>
  <c r="O326" i="16"/>
  <c r="AW325" i="16"/>
  <c r="AH325" i="16"/>
  <c r="S325" i="16"/>
  <c r="G325" i="16"/>
  <c r="AL324" i="16"/>
  <c r="Z324" i="16"/>
  <c r="K324" i="16"/>
  <c r="AS323" i="16"/>
  <c r="AD323" i="16"/>
  <c r="O323" i="16"/>
  <c r="AW322" i="16"/>
  <c r="AH322" i="16"/>
  <c r="S322" i="16"/>
  <c r="G322" i="16"/>
  <c r="AL321" i="16"/>
  <c r="Z321" i="16"/>
  <c r="K321" i="16"/>
  <c r="AS320" i="16"/>
  <c r="AD320" i="16"/>
  <c r="O320" i="16"/>
  <c r="AW319" i="16"/>
  <c r="AE430" i="16"/>
  <c r="AX429" i="16"/>
  <c r="AC429" i="16"/>
  <c r="AV428" i="16"/>
  <c r="R428" i="16"/>
  <c r="AS427" i="16"/>
  <c r="Q427" i="16"/>
  <c r="AL426" i="16"/>
  <c r="M426" i="16"/>
  <c r="AM425" i="16"/>
  <c r="N425" i="16"/>
  <c r="AI424" i="16"/>
  <c r="O424" i="16"/>
  <c r="AK423" i="16"/>
  <c r="R423" i="16"/>
  <c r="AR422" i="16"/>
  <c r="Y422" i="16"/>
  <c r="AV421" i="16"/>
  <c r="AC421" i="16"/>
  <c r="F421" i="16"/>
  <c r="AG420" i="16"/>
  <c r="J420" i="16"/>
  <c r="AK419" i="16"/>
  <c r="N419" i="16"/>
  <c r="AR418" i="16"/>
  <c r="R418" i="16"/>
  <c r="AV417" i="16"/>
  <c r="Y417" i="16"/>
  <c r="F417" i="16"/>
  <c r="AD416" i="16"/>
  <c r="M416" i="16"/>
  <c r="AT415" i="16"/>
  <c r="AD415" i="16"/>
  <c r="N415" i="16"/>
  <c r="AU414" i="16"/>
  <c r="AE414" i="16"/>
  <c r="N414" i="16"/>
  <c r="AU413" i="16"/>
  <c r="AE413" i="16"/>
  <c r="O413" i="16"/>
  <c r="AV412" i="16"/>
  <c r="AF412" i="16"/>
  <c r="P412" i="16"/>
  <c r="AW411" i="16"/>
  <c r="AG411" i="16"/>
  <c r="Q411" i="16"/>
  <c r="AX410" i="16"/>
  <c r="AG410" i="16"/>
  <c r="Q410" i="16"/>
  <c r="AX409" i="16"/>
  <c r="AH409" i="16"/>
  <c r="R409" i="16"/>
  <c r="E409" i="16"/>
  <c r="AI408" i="16"/>
  <c r="S408" i="16"/>
  <c r="F408" i="16"/>
  <c r="AJ407" i="16"/>
  <c r="T407" i="16"/>
  <c r="F407" i="16"/>
  <c r="AJ406" i="16"/>
  <c r="T406" i="16"/>
  <c r="G406" i="16"/>
  <c r="AK405" i="16"/>
  <c r="X405" i="16"/>
  <c r="H405" i="16"/>
  <c r="AL404" i="16"/>
  <c r="Y404" i="16"/>
  <c r="I404" i="16"/>
  <c r="AM403" i="16"/>
  <c r="Y403" i="16"/>
  <c r="I403" i="16"/>
  <c r="AM402" i="16"/>
  <c r="Z402" i="16"/>
  <c r="J402" i="16"/>
  <c r="AQ401" i="16"/>
  <c r="AA401" i="16"/>
  <c r="K401" i="16"/>
  <c r="AR400" i="16"/>
  <c r="AB400" i="16"/>
  <c r="L400" i="16"/>
  <c r="AR399" i="16"/>
  <c r="AB399" i="16"/>
  <c r="L399" i="16"/>
  <c r="AS398" i="16"/>
  <c r="AC398" i="16"/>
  <c r="M398" i="16"/>
  <c r="AT397" i="16"/>
  <c r="AD397" i="16"/>
  <c r="N397" i="16"/>
  <c r="AU396" i="16"/>
  <c r="AE396" i="16"/>
  <c r="N396" i="16"/>
  <c r="AU395" i="16"/>
  <c r="AE395" i="16"/>
  <c r="O395" i="16"/>
  <c r="AV394" i="16"/>
  <c r="AF394" i="16"/>
  <c r="P394" i="16"/>
  <c r="AW393" i="16"/>
  <c r="AG393" i="16"/>
  <c r="Q393" i="16"/>
  <c r="AX392" i="16"/>
  <c r="AG392" i="16"/>
  <c r="Q392" i="16"/>
  <c r="AX391" i="16"/>
  <c r="AH391" i="16"/>
  <c r="R391" i="16"/>
  <c r="E391" i="16"/>
  <c r="AI390" i="16"/>
  <c r="S390" i="16"/>
  <c r="F390" i="16"/>
  <c r="AJ389" i="16"/>
  <c r="T389" i="16"/>
  <c r="F389" i="16"/>
  <c r="AJ388" i="16"/>
  <c r="T388" i="16"/>
  <c r="G388" i="16"/>
  <c r="AK387" i="16"/>
  <c r="X387" i="16"/>
  <c r="H387" i="16"/>
  <c r="AL386" i="16"/>
  <c r="Y386" i="16"/>
  <c r="I386" i="16"/>
  <c r="AM385" i="16"/>
  <c r="Y385" i="16"/>
  <c r="I385" i="16"/>
  <c r="AM384" i="16"/>
  <c r="Z384" i="16"/>
  <c r="J384" i="16"/>
  <c r="AQ383" i="16"/>
  <c r="AA383" i="16"/>
  <c r="K383" i="16"/>
  <c r="AR382" i="16"/>
  <c r="AB382" i="16"/>
  <c r="L382" i="16"/>
  <c r="AR381" i="16"/>
  <c r="AB381" i="16"/>
  <c r="L381" i="16"/>
  <c r="AS380" i="16"/>
  <c r="AC380" i="16"/>
  <c r="M380" i="16"/>
  <c r="AT379" i="16"/>
  <c r="AD379" i="16"/>
  <c r="N379" i="16"/>
  <c r="AU378" i="16"/>
  <c r="AE378" i="16"/>
  <c r="N378" i="16"/>
  <c r="AU377" i="16"/>
  <c r="AE377" i="16"/>
  <c r="O377" i="16"/>
  <c r="AV376" i="16"/>
  <c r="AF376" i="16"/>
  <c r="P376" i="16"/>
  <c r="AW375" i="16"/>
  <c r="AG375" i="16"/>
  <c r="Q375" i="16"/>
  <c r="AX374" i="16"/>
  <c r="AG374" i="16"/>
  <c r="Q374" i="16"/>
  <c r="AX373" i="16"/>
  <c r="AD430" i="16"/>
  <c r="AW429" i="16"/>
  <c r="AA429" i="16"/>
  <c r="AT428" i="16"/>
  <c r="P428" i="16"/>
  <c r="AJ427" i="16"/>
  <c r="P427" i="16"/>
  <c r="AK426" i="16"/>
  <c r="L426" i="16"/>
  <c r="AL425" i="16"/>
  <c r="M425" i="16"/>
  <c r="AH424" i="16"/>
  <c r="I424" i="16"/>
  <c r="AJ423" i="16"/>
  <c r="M423" i="16"/>
  <c r="AQ422" i="16"/>
  <c r="Q422" i="16"/>
  <c r="AU421" i="16"/>
  <c r="X421" i="16"/>
  <c r="E421" i="16"/>
  <c r="AB420" i="16"/>
  <c r="I420" i="16"/>
  <c r="AF419" i="16"/>
  <c r="M419" i="16"/>
  <c r="AJ418" i="16"/>
  <c r="Q418" i="16"/>
  <c r="AQ417" i="16"/>
  <c r="X417" i="16"/>
  <c r="AU416" i="16"/>
  <c r="AC416" i="16"/>
  <c r="L416" i="16"/>
  <c r="AS415" i="16"/>
  <c r="AC415" i="16"/>
  <c r="M415" i="16"/>
  <c r="AT414" i="16"/>
  <c r="AC414" i="16"/>
  <c r="M414" i="16"/>
  <c r="AT413" i="16"/>
  <c r="AD413" i="16"/>
  <c r="N413" i="16"/>
  <c r="AU412" i="16"/>
  <c r="AE412" i="16"/>
  <c r="O412" i="16"/>
  <c r="AV411" i="16"/>
  <c r="AF411" i="16"/>
  <c r="P411" i="16"/>
  <c r="AV410" i="16"/>
  <c r="AF410" i="16"/>
  <c r="P410" i="16"/>
  <c r="AW409" i="16"/>
  <c r="AG409" i="16"/>
  <c r="Q409" i="16"/>
  <c r="AX408" i="16"/>
  <c r="AH408" i="16"/>
  <c r="R408" i="16"/>
  <c r="E408" i="16"/>
  <c r="AI407" i="16"/>
  <c r="R407" i="16"/>
  <c r="E407" i="16"/>
  <c r="AI406" i="16"/>
  <c r="S406" i="16"/>
  <c r="F406" i="16"/>
  <c r="AJ405" i="16"/>
  <c r="T405" i="16"/>
  <c r="G405" i="16"/>
  <c r="AK404" i="16"/>
  <c r="X404" i="16"/>
  <c r="H404" i="16"/>
  <c r="AK403" i="16"/>
  <c r="X403" i="16"/>
  <c r="H403" i="16"/>
  <c r="AL402" i="16"/>
  <c r="Y402" i="16"/>
  <c r="I402" i="16"/>
  <c r="AM401" i="16"/>
  <c r="Z401" i="16"/>
  <c r="J401" i="16"/>
  <c r="AQ400" i="16"/>
  <c r="AA400" i="16"/>
  <c r="J400" i="16"/>
  <c r="AQ399" i="16"/>
  <c r="AA399" i="16"/>
  <c r="K399" i="16"/>
  <c r="AR398" i="16"/>
  <c r="AB398" i="16"/>
  <c r="L398" i="16"/>
  <c r="AS397" i="16"/>
  <c r="AC397" i="16"/>
  <c r="M397" i="16"/>
  <c r="AT396" i="16"/>
  <c r="AC396" i="16"/>
  <c r="M396" i="16"/>
  <c r="AT395" i="16"/>
  <c r="AD395" i="16"/>
  <c r="N395" i="16"/>
  <c r="AU394" i="16"/>
  <c r="AE394" i="16"/>
  <c r="O394" i="16"/>
  <c r="AV393" i="16"/>
  <c r="AF393" i="16"/>
  <c r="P393" i="16"/>
  <c r="AV392" i="16"/>
  <c r="AF392" i="16"/>
  <c r="P392" i="16"/>
  <c r="AW391" i="16"/>
  <c r="AG391" i="16"/>
  <c r="Q391" i="16"/>
  <c r="AX390" i="16"/>
  <c r="AH390" i="16"/>
  <c r="R390" i="16"/>
  <c r="E390" i="16"/>
  <c r="AI389" i="16"/>
  <c r="R389" i="16"/>
  <c r="E389" i="16"/>
  <c r="AI388" i="16"/>
  <c r="S388" i="16"/>
  <c r="F388" i="16"/>
  <c r="AJ387" i="16"/>
  <c r="T387" i="16"/>
  <c r="G387" i="16"/>
  <c r="AK386" i="16"/>
  <c r="X386" i="16"/>
  <c r="H386" i="16"/>
  <c r="AK385" i="16"/>
  <c r="X385" i="16"/>
  <c r="H385" i="16"/>
  <c r="AL384" i="16"/>
  <c r="Y384" i="16"/>
  <c r="I384" i="16"/>
  <c r="AM383" i="16"/>
  <c r="Z383" i="16"/>
  <c r="J383" i="16"/>
  <c r="AQ382" i="16"/>
  <c r="AA382" i="16"/>
  <c r="J382" i="16"/>
  <c r="AQ381" i="16"/>
  <c r="AA381" i="16"/>
  <c r="K381" i="16"/>
  <c r="AR380" i="16"/>
  <c r="AB380" i="16"/>
  <c r="L380" i="16"/>
  <c r="AS379" i="16"/>
  <c r="AC379" i="16"/>
  <c r="M379" i="16"/>
  <c r="AT378" i="16"/>
  <c r="AC378" i="16"/>
  <c r="M378" i="16"/>
  <c r="AT377" i="16"/>
  <c r="AD377" i="16"/>
  <c r="N377" i="16"/>
  <c r="AU376" i="16"/>
  <c r="AE376" i="16"/>
  <c r="O376" i="16"/>
  <c r="AV375" i="16"/>
  <c r="AF375" i="16"/>
  <c r="P375" i="16"/>
  <c r="AV374" i="16"/>
  <c r="AF374" i="16"/>
  <c r="P374" i="16"/>
  <c r="AW373" i="16"/>
  <c r="AG373" i="16"/>
  <c r="Q373" i="16"/>
  <c r="AX372" i="16"/>
  <c r="AH372" i="16"/>
  <c r="R372" i="16"/>
  <c r="E372" i="16"/>
  <c r="AI371" i="16"/>
  <c r="R371" i="16"/>
  <c r="E371" i="16"/>
  <c r="AI370" i="16"/>
  <c r="S370" i="16"/>
  <c r="F370" i="16"/>
  <c r="AJ369" i="16"/>
  <c r="T369" i="16"/>
  <c r="G369" i="16"/>
  <c r="AK368" i="16"/>
  <c r="X368" i="16"/>
  <c r="H368" i="16"/>
  <c r="AK367" i="16"/>
  <c r="X367" i="16"/>
  <c r="H367" i="16"/>
  <c r="AL366" i="16"/>
  <c r="Y366" i="16"/>
  <c r="I366" i="16"/>
  <c r="AM365" i="16"/>
  <c r="Z365" i="16"/>
  <c r="J365" i="16"/>
  <c r="AQ364" i="16"/>
  <c r="AA364" i="16"/>
  <c r="J364" i="16"/>
  <c r="AQ363" i="16"/>
  <c r="AA363" i="16"/>
  <c r="K363" i="16"/>
  <c r="AR362" i="16"/>
  <c r="AB362" i="16"/>
  <c r="L362" i="16"/>
  <c r="AS361" i="16"/>
  <c r="AC361" i="16"/>
  <c r="M361" i="16"/>
  <c r="AT360" i="16"/>
  <c r="AC360" i="16"/>
  <c r="M360" i="16"/>
  <c r="AT359" i="16"/>
  <c r="AD359" i="16"/>
  <c r="N359" i="16"/>
  <c r="AU358" i="16"/>
  <c r="AE358" i="16"/>
  <c r="O358" i="16"/>
  <c r="AV357" i="16"/>
  <c r="AF357" i="16"/>
  <c r="P357" i="16"/>
  <c r="AV356" i="16"/>
  <c r="AF356" i="16"/>
  <c r="P356" i="16"/>
  <c r="AW355" i="16"/>
  <c r="AG355" i="16"/>
  <c r="Q355" i="16"/>
  <c r="AX354" i="16"/>
  <c r="AH354" i="16"/>
  <c r="R354" i="16"/>
  <c r="E354" i="16"/>
  <c r="AI353" i="16"/>
  <c r="R353" i="16"/>
  <c r="E353" i="16"/>
  <c r="AI352" i="16"/>
  <c r="S352" i="16"/>
  <c r="F352" i="16"/>
  <c r="AJ351" i="16"/>
  <c r="T351" i="16"/>
  <c r="G351" i="16"/>
  <c r="AK350" i="16"/>
  <c r="X350" i="16"/>
  <c r="H350" i="16"/>
  <c r="AK349" i="16"/>
  <c r="X349" i="16"/>
  <c r="H349" i="16"/>
  <c r="AL348" i="16"/>
  <c r="Y348" i="16"/>
  <c r="I348" i="16"/>
  <c r="AM347" i="16"/>
  <c r="Z347" i="16"/>
  <c r="J347" i="16"/>
  <c r="AQ346" i="16"/>
  <c r="AA346" i="16"/>
  <c r="J346" i="16"/>
  <c r="AQ345" i="16"/>
  <c r="AA345" i="16"/>
  <c r="K345" i="16"/>
  <c r="AR344" i="16"/>
  <c r="AB344" i="16"/>
  <c r="L344" i="16"/>
  <c r="AS343" i="16"/>
  <c r="AC343" i="16"/>
  <c r="M343" i="16"/>
  <c r="AT342" i="16"/>
  <c r="AC342" i="16"/>
  <c r="M342" i="16"/>
  <c r="AT341" i="16"/>
  <c r="AD341" i="16"/>
  <c r="N341" i="16"/>
  <c r="AU340" i="16"/>
  <c r="AE340" i="16"/>
  <c r="O340" i="16"/>
  <c r="AV339" i="16"/>
  <c r="AF339" i="16"/>
  <c r="P339" i="16"/>
  <c r="AV338" i="16"/>
  <c r="AF338" i="16"/>
  <c r="P338" i="16"/>
  <c r="AW337" i="16"/>
  <c r="AG337" i="16"/>
  <c r="Q337" i="16"/>
  <c r="E337" i="16"/>
  <c r="AJ336" i="16"/>
  <c r="X336" i="16"/>
  <c r="I336" i="16"/>
  <c r="AQ335" i="16"/>
  <c r="AB335" i="16"/>
  <c r="M335" i="16"/>
  <c r="AU334" i="16"/>
  <c r="AF334" i="16"/>
  <c r="Q334" i="16"/>
  <c r="E334" i="16"/>
  <c r="AJ333" i="16"/>
  <c r="X333" i="16"/>
  <c r="I333" i="16"/>
  <c r="AQ332" i="16"/>
  <c r="AB332" i="16"/>
  <c r="M332" i="16"/>
  <c r="AU331" i="16"/>
  <c r="AF331" i="16"/>
  <c r="Q331" i="16"/>
  <c r="E331" i="16"/>
  <c r="AJ330" i="16"/>
  <c r="X330" i="16"/>
  <c r="I330" i="16"/>
  <c r="AQ329" i="16"/>
  <c r="AB329" i="16"/>
  <c r="M329" i="16"/>
  <c r="AU328" i="16"/>
  <c r="AF328" i="16"/>
  <c r="Q328" i="16"/>
  <c r="E328" i="16"/>
  <c r="AJ327" i="16"/>
  <c r="X327" i="16"/>
  <c r="I327" i="16"/>
  <c r="AQ326" i="16"/>
  <c r="AB326" i="16"/>
  <c r="M326" i="16"/>
  <c r="AU325" i="16"/>
  <c r="AF325" i="16"/>
  <c r="Q325" i="16"/>
  <c r="E325" i="16"/>
  <c r="AJ324" i="16"/>
  <c r="X324" i="16"/>
  <c r="I324" i="16"/>
  <c r="AQ323" i="16"/>
  <c r="AB323" i="16"/>
  <c r="M323" i="16"/>
  <c r="AU322" i="16"/>
  <c r="AC430" i="16"/>
  <c r="AV429" i="16"/>
  <c r="R429" i="16"/>
  <c r="AS428" i="16"/>
  <c r="O428" i="16"/>
  <c r="AI427" i="16"/>
  <c r="O427" i="16"/>
  <c r="AJ426" i="16"/>
  <c r="K426" i="16"/>
  <c r="AF425" i="16"/>
  <c r="L425" i="16"/>
  <c r="AG424" i="16"/>
  <c r="H424" i="16"/>
  <c r="AI423" i="16"/>
  <c r="L423" i="16"/>
  <c r="AM422" i="16"/>
  <c r="P422" i="16"/>
  <c r="AT421" i="16"/>
  <c r="T421" i="16"/>
  <c r="AX420" i="16"/>
  <c r="AA420" i="16"/>
  <c r="H420" i="16"/>
  <c r="AE419" i="16"/>
  <c r="L419" i="16"/>
  <c r="AI418" i="16"/>
  <c r="P418" i="16"/>
  <c r="AM417" i="16"/>
  <c r="T417" i="16"/>
  <c r="AT416" i="16"/>
  <c r="AB416" i="16"/>
  <c r="K416" i="16"/>
  <c r="AR415" i="16"/>
  <c r="AB415" i="16"/>
  <c r="L415" i="16"/>
  <c r="AR414" i="16"/>
  <c r="AB414" i="16"/>
  <c r="L414" i="16"/>
  <c r="AS413" i="16"/>
  <c r="AC413" i="16"/>
  <c r="M413" i="16"/>
  <c r="AT412" i="16"/>
  <c r="AD412" i="16"/>
  <c r="N412" i="16"/>
  <c r="AU411" i="16"/>
  <c r="AE411" i="16"/>
  <c r="N411" i="16"/>
  <c r="AU410" i="16"/>
  <c r="AE410" i="16"/>
  <c r="O410" i="16"/>
  <c r="AV409" i="16"/>
  <c r="AF409" i="16"/>
  <c r="P409" i="16"/>
  <c r="AW408" i="16"/>
  <c r="AG408" i="16"/>
  <c r="Q408" i="16"/>
  <c r="AX407" i="16"/>
  <c r="AG407" i="16"/>
  <c r="Q407" i="16"/>
  <c r="AX406" i="16"/>
  <c r="AH406" i="16"/>
  <c r="R406" i="16"/>
  <c r="E406" i="16"/>
  <c r="AI405" i="16"/>
  <c r="S405" i="16"/>
  <c r="F405" i="16"/>
  <c r="AJ404" i="16"/>
  <c r="T404" i="16"/>
  <c r="F404" i="16"/>
  <c r="AJ403" i="16"/>
  <c r="T403" i="16"/>
  <c r="G403" i="16"/>
  <c r="AK402" i="16"/>
  <c r="X402" i="16"/>
  <c r="H402" i="16"/>
  <c r="AL401" i="16"/>
  <c r="Y401" i="16"/>
  <c r="I401" i="16"/>
  <c r="AM400" i="16"/>
  <c r="Y400" i="16"/>
  <c r="I400" i="16"/>
  <c r="AM399" i="16"/>
  <c r="Z399" i="16"/>
  <c r="J399" i="16"/>
  <c r="AQ398" i="16"/>
  <c r="AA398" i="16"/>
  <c r="K398" i="16"/>
  <c r="AR397" i="16"/>
  <c r="AB397" i="16"/>
  <c r="L397" i="16"/>
  <c r="AR396" i="16"/>
  <c r="AB396" i="16"/>
  <c r="L396" i="16"/>
  <c r="AS395" i="16"/>
  <c r="AC395" i="16"/>
  <c r="M395" i="16"/>
  <c r="AT394" i="16"/>
  <c r="AD394" i="16"/>
  <c r="N394" i="16"/>
  <c r="AU393" i="16"/>
  <c r="AE393" i="16"/>
  <c r="N393" i="16"/>
  <c r="AU392" i="16"/>
  <c r="AE392" i="16"/>
  <c r="O392" i="16"/>
  <c r="AV391" i="16"/>
  <c r="AF391" i="16"/>
  <c r="P391" i="16"/>
  <c r="AW390" i="16"/>
  <c r="AG390" i="16"/>
  <c r="Q390" i="16"/>
  <c r="AX389" i="16"/>
  <c r="AG389" i="16"/>
  <c r="Q389" i="16"/>
  <c r="AX388" i="16"/>
  <c r="AH388" i="16"/>
  <c r="R388" i="16"/>
  <c r="E388" i="16"/>
  <c r="AI387" i="16"/>
  <c r="S387" i="16"/>
  <c r="F387" i="16"/>
  <c r="AJ386" i="16"/>
  <c r="T386" i="16"/>
  <c r="F386" i="16"/>
  <c r="AJ385" i="16"/>
  <c r="T385" i="16"/>
  <c r="G385" i="16"/>
  <c r="AK384" i="16"/>
  <c r="X384" i="16"/>
  <c r="H384" i="16"/>
  <c r="AL383" i="16"/>
  <c r="Y383" i="16"/>
  <c r="I383" i="16"/>
  <c r="AM382" i="16"/>
  <c r="Y382" i="16"/>
  <c r="I382" i="16"/>
  <c r="AM381" i="16"/>
  <c r="Z381" i="16"/>
  <c r="J381" i="16"/>
  <c r="AQ380" i="16"/>
  <c r="AA380" i="16"/>
  <c r="K380" i="16"/>
  <c r="AR379" i="16"/>
  <c r="AB379" i="16"/>
  <c r="L379" i="16"/>
  <c r="AR378" i="16"/>
  <c r="AB378" i="16"/>
  <c r="L378" i="16"/>
  <c r="AS377" i="16"/>
  <c r="AC377" i="16"/>
  <c r="M377" i="16"/>
  <c r="AT376" i="16"/>
  <c r="AD376" i="16"/>
  <c r="N376" i="16"/>
  <c r="AU375" i="16"/>
  <c r="AE375" i="16"/>
  <c r="N375" i="16"/>
  <c r="AU374" i="16"/>
  <c r="AE374" i="16"/>
  <c r="O374" i="16"/>
  <c r="AV373" i="16"/>
  <c r="AF373" i="16"/>
  <c r="P373" i="16"/>
  <c r="AW372" i="16"/>
  <c r="AG372" i="16"/>
  <c r="Q372" i="16"/>
  <c r="AX371" i="16"/>
  <c r="AG371" i="16"/>
  <c r="Q371" i="16"/>
  <c r="AX370" i="16"/>
  <c r="AH370" i="16"/>
  <c r="R370" i="16"/>
  <c r="E370" i="16"/>
  <c r="AI369" i="16"/>
  <c r="S369" i="16"/>
  <c r="F369" i="16"/>
  <c r="AJ368" i="16"/>
  <c r="T368" i="16"/>
  <c r="F368" i="16"/>
  <c r="AJ367" i="16"/>
  <c r="T367" i="16"/>
  <c r="G367" i="16"/>
  <c r="AK366" i="16"/>
  <c r="X366" i="16"/>
  <c r="H366" i="16"/>
  <c r="AL365" i="16"/>
  <c r="Y365" i="16"/>
  <c r="I365" i="16"/>
  <c r="AM364" i="16"/>
  <c r="Y364" i="16"/>
  <c r="I364" i="16"/>
  <c r="AM363" i="16"/>
  <c r="Z363" i="16"/>
  <c r="J363" i="16"/>
  <c r="AQ362" i="16"/>
  <c r="AA362" i="16"/>
  <c r="K362" i="16"/>
  <c r="AR361" i="16"/>
  <c r="AB361" i="16"/>
  <c r="L361" i="16"/>
  <c r="AR360" i="16"/>
  <c r="AB360" i="16"/>
  <c r="L360" i="16"/>
  <c r="AS359" i="16"/>
  <c r="AC359" i="16"/>
  <c r="M359" i="16"/>
  <c r="AT358" i="16"/>
  <c r="AD358" i="16"/>
  <c r="N358" i="16"/>
  <c r="AU357" i="16"/>
  <c r="AE357" i="16"/>
  <c r="N357" i="16"/>
  <c r="AU356" i="16"/>
  <c r="AE356" i="16"/>
  <c r="O356" i="16"/>
  <c r="AV355" i="16"/>
  <c r="AF355" i="16"/>
  <c r="P355" i="16"/>
  <c r="AW354" i="16"/>
  <c r="AG354" i="16"/>
  <c r="Q354" i="16"/>
  <c r="AX353" i="16"/>
  <c r="AG353" i="16"/>
  <c r="Q353" i="16"/>
  <c r="AX352" i="16"/>
  <c r="AH352" i="16"/>
  <c r="R352" i="16"/>
  <c r="E352" i="16"/>
  <c r="AI351" i="16"/>
  <c r="S351" i="16"/>
  <c r="F351" i="16"/>
  <c r="AJ350" i="16"/>
  <c r="T350" i="16"/>
  <c r="F350" i="16"/>
  <c r="AJ349" i="16"/>
  <c r="T349" i="16"/>
  <c r="G349" i="16"/>
  <c r="AK348" i="16"/>
  <c r="X348" i="16"/>
  <c r="H348" i="16"/>
  <c r="AL347" i="16"/>
  <c r="Y347" i="16"/>
  <c r="I347" i="16"/>
  <c r="AM346" i="16"/>
  <c r="Y346" i="16"/>
  <c r="I346" i="16"/>
  <c r="AM345" i="16"/>
  <c r="Z345" i="16"/>
  <c r="J345" i="16"/>
  <c r="AQ344" i="16"/>
  <c r="AA344" i="16"/>
  <c r="K344" i="16"/>
  <c r="AR343" i="16"/>
  <c r="AB343" i="16"/>
  <c r="L343" i="16"/>
  <c r="AR342" i="16"/>
  <c r="AB342" i="16"/>
  <c r="L342" i="16"/>
  <c r="AS341" i="16"/>
  <c r="AC341" i="16"/>
  <c r="M341" i="16"/>
  <c r="AT340" i="16"/>
  <c r="AD340" i="16"/>
  <c r="N340" i="16"/>
  <c r="AU339" i="16"/>
  <c r="AE339" i="16"/>
  <c r="N339" i="16"/>
  <c r="AU338" i="16"/>
  <c r="AE338" i="16"/>
  <c r="O338" i="16"/>
  <c r="AV337" i="16"/>
  <c r="AF337" i="16"/>
  <c r="P337" i="16"/>
  <c r="AX336" i="16"/>
  <c r="AI336" i="16"/>
  <c r="T336" i="16"/>
  <c r="H336" i="16"/>
  <c r="AM335" i="16"/>
  <c r="AA335" i="16"/>
  <c r="L335" i="16"/>
  <c r="AT334" i="16"/>
  <c r="AE334" i="16"/>
  <c r="P334" i="16"/>
  <c r="AX333" i="16"/>
  <c r="AI333" i="16"/>
  <c r="T333" i="16"/>
  <c r="H333" i="16"/>
  <c r="AM332" i="16"/>
  <c r="AA332" i="16"/>
  <c r="L332" i="16"/>
  <c r="AT331" i="16"/>
  <c r="AE331" i="16"/>
  <c r="P331" i="16"/>
  <c r="AX330" i="16"/>
  <c r="AI330" i="16"/>
  <c r="T330" i="16"/>
  <c r="H330" i="16"/>
  <c r="AM329" i="16"/>
  <c r="AA329" i="16"/>
  <c r="L329" i="16"/>
  <c r="AT328" i="16"/>
  <c r="AE328" i="16"/>
  <c r="P328" i="16"/>
  <c r="AX327" i="16"/>
  <c r="AI327" i="16"/>
  <c r="T327" i="16"/>
  <c r="H327" i="16"/>
  <c r="AM326" i="16"/>
  <c r="AA326" i="16"/>
  <c r="L326" i="16"/>
  <c r="AT325" i="16"/>
  <c r="AE325" i="16"/>
  <c r="P325" i="16"/>
  <c r="AX324" i="16"/>
  <c r="AI324" i="16"/>
  <c r="T324" i="16"/>
  <c r="H324" i="16"/>
  <c r="AM323" i="16"/>
  <c r="AA323" i="16"/>
  <c r="L323" i="16"/>
  <c r="AT322" i="16"/>
  <c r="AE322" i="16"/>
  <c r="P322" i="16"/>
  <c r="AX321" i="16"/>
  <c r="AI321" i="16"/>
  <c r="T321" i="16"/>
  <c r="H321" i="16"/>
  <c r="AM320" i="16"/>
  <c r="AA320" i="16"/>
  <c r="L320" i="16"/>
  <c r="AT319" i="16"/>
  <c r="AE319" i="16"/>
  <c r="P319" i="16"/>
  <c r="AX318" i="16"/>
  <c r="AI318" i="16"/>
  <c r="T318" i="16"/>
  <c r="H318" i="16"/>
  <c r="AM317" i="16"/>
  <c r="AA317" i="16"/>
  <c r="L317" i="16"/>
  <c r="AT316" i="16"/>
  <c r="AE316" i="16"/>
  <c r="P316" i="16"/>
  <c r="AX315" i="16"/>
  <c r="AI315" i="16"/>
  <c r="T315" i="16"/>
  <c r="H315" i="16"/>
  <c r="AM314" i="16"/>
  <c r="AA314" i="16"/>
  <c r="L314" i="16"/>
  <c r="AT313" i="16"/>
  <c r="AE313" i="16"/>
  <c r="P313" i="16"/>
  <c r="AX312" i="16"/>
  <c r="AI312" i="16"/>
  <c r="T312" i="16"/>
  <c r="H312" i="16"/>
  <c r="AM311" i="16"/>
  <c r="AA311" i="16"/>
  <c r="L311" i="16"/>
  <c r="AT310" i="16"/>
  <c r="AE310" i="16"/>
  <c r="P310" i="16"/>
  <c r="AX309" i="16"/>
  <c r="AI309" i="16"/>
  <c r="T309" i="16"/>
  <c r="H309" i="16"/>
  <c r="AM308" i="16"/>
  <c r="AA308" i="16"/>
  <c r="L308" i="16"/>
  <c r="AT307" i="16"/>
  <c r="AE307" i="16"/>
  <c r="P307" i="16"/>
  <c r="AX306" i="16"/>
  <c r="AI306" i="16"/>
  <c r="T306" i="16"/>
  <c r="H306" i="16"/>
  <c r="AM305" i="16"/>
  <c r="AA305" i="16"/>
  <c r="L305" i="16"/>
  <c r="AT304" i="16"/>
  <c r="AE304" i="16"/>
  <c r="P304" i="16"/>
  <c r="AX303" i="16"/>
  <c r="AI303" i="16"/>
  <c r="T303" i="16"/>
  <c r="H303" i="16"/>
  <c r="AW430" i="16"/>
  <c r="AB430" i="16"/>
  <c r="AU429" i="16"/>
  <c r="Q429" i="16"/>
  <c r="AR428" i="16"/>
  <c r="N428" i="16"/>
  <c r="AH427" i="16"/>
  <c r="I427" i="16"/>
  <c r="AI426" i="16"/>
  <c r="J426" i="16"/>
  <c r="AE425" i="16"/>
  <c r="K425" i="16"/>
  <c r="AF424" i="16"/>
  <c r="G424" i="16"/>
  <c r="AH423" i="16"/>
  <c r="K423" i="16"/>
  <c r="AL422" i="16"/>
  <c r="O422" i="16"/>
  <c r="AS421" i="16"/>
  <c r="S421" i="16"/>
  <c r="AW420" i="16"/>
  <c r="Z420" i="16"/>
  <c r="G420" i="16"/>
  <c r="AD419" i="16"/>
  <c r="K419" i="16"/>
  <c r="AH418" i="16"/>
  <c r="O418" i="16"/>
  <c r="AL417" i="16"/>
  <c r="S417" i="16"/>
  <c r="AS416" i="16"/>
  <c r="AA416" i="16"/>
  <c r="J416" i="16"/>
  <c r="AQ415" i="16"/>
  <c r="AA415" i="16"/>
  <c r="J415" i="16"/>
  <c r="AQ414" i="16"/>
  <c r="AA414" i="16"/>
  <c r="K414" i="16"/>
  <c r="AR413" i="16"/>
  <c r="AB413" i="16"/>
  <c r="L413" i="16"/>
  <c r="AS412" i="16"/>
  <c r="AC412" i="16"/>
  <c r="M412" i="16"/>
  <c r="AT411" i="16"/>
  <c r="AC411" i="16"/>
  <c r="M411" i="16"/>
  <c r="AT410" i="16"/>
  <c r="AD410" i="16"/>
  <c r="N410" i="16"/>
  <c r="AU409" i="16"/>
  <c r="AE409" i="16"/>
  <c r="O409" i="16"/>
  <c r="AV408" i="16"/>
  <c r="AF408" i="16"/>
  <c r="P408" i="16"/>
  <c r="AV407" i="16"/>
  <c r="AF407" i="16"/>
  <c r="P407" i="16"/>
  <c r="AW406" i="16"/>
  <c r="AG406" i="16"/>
  <c r="Q406" i="16"/>
  <c r="AX405" i="16"/>
  <c r="AH405" i="16"/>
  <c r="R405" i="16"/>
  <c r="E405" i="16"/>
  <c r="AI404" i="16"/>
  <c r="R404" i="16"/>
  <c r="E404" i="16"/>
  <c r="AI403" i="16"/>
  <c r="S403" i="16"/>
  <c r="F403" i="16"/>
  <c r="AJ402" i="16"/>
  <c r="T402" i="16"/>
  <c r="G402" i="16"/>
  <c r="AK401" i="16"/>
  <c r="X401" i="16"/>
  <c r="H401" i="16"/>
  <c r="AK400" i="16"/>
  <c r="X400" i="16"/>
  <c r="H400" i="16"/>
  <c r="AL399" i="16"/>
  <c r="Y399" i="16"/>
  <c r="I399" i="16"/>
  <c r="AM398" i="16"/>
  <c r="Z398" i="16"/>
  <c r="J398" i="16"/>
  <c r="AQ397" i="16"/>
  <c r="AA397" i="16"/>
  <c r="J397" i="16"/>
  <c r="AQ396" i="16"/>
  <c r="AA396" i="16"/>
  <c r="K396" i="16"/>
  <c r="AR395" i="16"/>
  <c r="AB395" i="16"/>
  <c r="L395" i="16"/>
  <c r="AS394" i="16"/>
  <c r="AC394" i="16"/>
  <c r="M394" i="16"/>
  <c r="AT393" i="16"/>
  <c r="AC393" i="16"/>
  <c r="M393" i="16"/>
  <c r="AT392" i="16"/>
  <c r="AD392" i="16"/>
  <c r="N392" i="16"/>
  <c r="AU391" i="16"/>
  <c r="AE391" i="16"/>
  <c r="O391" i="16"/>
  <c r="AV390" i="16"/>
  <c r="AF390" i="16"/>
  <c r="P390" i="16"/>
  <c r="AV389" i="16"/>
  <c r="AF389" i="16"/>
  <c r="P389" i="16"/>
  <c r="AW388" i="16"/>
  <c r="AG388" i="16"/>
  <c r="Q388" i="16"/>
  <c r="AX387" i="16"/>
  <c r="AH387" i="16"/>
  <c r="R387" i="16"/>
  <c r="E387" i="16"/>
  <c r="AI386" i="16"/>
  <c r="R386" i="16"/>
  <c r="E386" i="16"/>
  <c r="AI385" i="16"/>
  <c r="S385" i="16"/>
  <c r="F385" i="16"/>
  <c r="AJ384" i="16"/>
  <c r="T384" i="16"/>
  <c r="G384" i="16"/>
  <c r="AK383" i="16"/>
  <c r="X383" i="16"/>
  <c r="H383" i="16"/>
  <c r="AK382" i="16"/>
  <c r="X382" i="16"/>
  <c r="H382" i="16"/>
  <c r="AL381" i="16"/>
  <c r="Y381" i="16"/>
  <c r="I381" i="16"/>
  <c r="AM380" i="16"/>
  <c r="Z380" i="16"/>
  <c r="J380" i="16"/>
  <c r="AQ379" i="16"/>
  <c r="AA379" i="16"/>
  <c r="J379" i="16"/>
  <c r="AQ378" i="16"/>
  <c r="AA378" i="16"/>
  <c r="K378" i="16"/>
  <c r="AR377" i="16"/>
  <c r="AB377" i="16"/>
  <c r="L377" i="16"/>
  <c r="AS376" i="16"/>
  <c r="AC376" i="16"/>
  <c r="M376" i="16"/>
  <c r="AT375" i="16"/>
  <c r="AC375" i="16"/>
  <c r="M375" i="16"/>
  <c r="AT374" i="16"/>
  <c r="AD374" i="16"/>
  <c r="N374" i="16"/>
  <c r="AU373" i="16"/>
  <c r="AE373" i="16"/>
  <c r="O373" i="16"/>
  <c r="AV372" i="16"/>
  <c r="AF372" i="16"/>
  <c r="P372" i="16"/>
  <c r="AV371" i="16"/>
  <c r="AF371" i="16"/>
  <c r="P371" i="16"/>
  <c r="AW370" i="16"/>
  <c r="AG370" i="16"/>
  <c r="Q370" i="16"/>
  <c r="AX369" i="16"/>
  <c r="AH369" i="16"/>
  <c r="R369" i="16"/>
  <c r="E369" i="16"/>
  <c r="AI368" i="16"/>
  <c r="R368" i="16"/>
  <c r="E368" i="16"/>
  <c r="AI367" i="16"/>
  <c r="S367" i="16"/>
  <c r="F367" i="16"/>
  <c r="AJ366" i="16"/>
  <c r="T366" i="16"/>
  <c r="G366" i="16"/>
  <c r="AK365" i="16"/>
  <c r="X365" i="16"/>
  <c r="H365" i="16"/>
  <c r="AK364" i="16"/>
  <c r="X364" i="16"/>
  <c r="H364" i="16"/>
  <c r="AL363" i="16"/>
  <c r="Y363" i="16"/>
  <c r="I363" i="16"/>
  <c r="AM362" i="16"/>
  <c r="Z362" i="16"/>
  <c r="J362" i="16"/>
  <c r="AQ361" i="16"/>
  <c r="AA361" i="16"/>
  <c r="J361" i="16"/>
  <c r="AQ360" i="16"/>
  <c r="AA360" i="16"/>
  <c r="K360" i="16"/>
  <c r="AR359" i="16"/>
  <c r="AB359" i="16"/>
  <c r="L359" i="16"/>
  <c r="AS358" i="16"/>
  <c r="AC358" i="16"/>
  <c r="M358" i="16"/>
  <c r="AT357" i="16"/>
  <c r="AC357" i="16"/>
  <c r="M357" i="16"/>
  <c r="AT356" i="16"/>
  <c r="AD356" i="16"/>
  <c r="N356" i="16"/>
  <c r="AU355" i="16"/>
  <c r="AE355" i="16"/>
  <c r="O355" i="16"/>
  <c r="AV354" i="16"/>
  <c r="AF354" i="16"/>
  <c r="P354" i="16"/>
  <c r="AV353" i="16"/>
  <c r="AF353" i="16"/>
  <c r="P353" i="16"/>
  <c r="AW352" i="16"/>
  <c r="AG352" i="16"/>
  <c r="Q352" i="16"/>
  <c r="AX351" i="16"/>
  <c r="AH351" i="16"/>
  <c r="R351" i="16"/>
  <c r="E351" i="16"/>
  <c r="AI350" i="16"/>
  <c r="R350" i="16"/>
  <c r="E350" i="16"/>
  <c r="AI349" i="16"/>
  <c r="S349" i="16"/>
  <c r="F349" i="16"/>
  <c r="AJ348" i="16"/>
  <c r="T348" i="16"/>
  <c r="G348" i="16"/>
  <c r="AK347" i="16"/>
  <c r="X347" i="16"/>
  <c r="H347" i="16"/>
  <c r="AK346" i="16"/>
  <c r="X346" i="16"/>
  <c r="H346" i="16"/>
  <c r="AL345" i="16"/>
  <c r="Y345" i="16"/>
  <c r="I345" i="16"/>
  <c r="AM344" i="16"/>
  <c r="Z344" i="16"/>
  <c r="J344" i="16"/>
  <c r="AQ343" i="16"/>
  <c r="AA343" i="16"/>
  <c r="J343" i="16"/>
  <c r="AQ342" i="16"/>
  <c r="AA342" i="16"/>
  <c r="K342" i="16"/>
  <c r="AR341" i="16"/>
  <c r="AB341" i="16"/>
  <c r="L341" i="16"/>
  <c r="AS340" i="16"/>
  <c r="AC340" i="16"/>
  <c r="M340" i="16"/>
  <c r="AT339" i="16"/>
  <c r="AC339" i="16"/>
  <c r="M339" i="16"/>
  <c r="AT338" i="16"/>
  <c r="AD338" i="16"/>
  <c r="N338" i="16"/>
  <c r="AU337" i="16"/>
  <c r="AE337" i="16"/>
  <c r="O337" i="16"/>
  <c r="AW336" i="16"/>
  <c r="AH336" i="16"/>
  <c r="S336" i="16"/>
  <c r="G336" i="16"/>
  <c r="AL335" i="16"/>
  <c r="Z335" i="16"/>
  <c r="K335" i="16"/>
  <c r="AS334" i="16"/>
  <c r="AD334" i="16"/>
  <c r="O334" i="16"/>
  <c r="AW333" i="16"/>
  <c r="AH333" i="16"/>
  <c r="S333" i="16"/>
  <c r="G333" i="16"/>
  <c r="AL332" i="16"/>
  <c r="Z332" i="16"/>
  <c r="K332" i="16"/>
  <c r="AS331" i="16"/>
  <c r="AD331" i="16"/>
  <c r="O331" i="16"/>
  <c r="AW330" i="16"/>
  <c r="AH330" i="16"/>
  <c r="S330" i="16"/>
  <c r="G330" i="16"/>
  <c r="AL329" i="16"/>
  <c r="Z329" i="16"/>
  <c r="K329" i="16"/>
  <c r="AS328" i="16"/>
  <c r="AD328" i="16"/>
  <c r="O328" i="16"/>
  <c r="AW327" i="16"/>
  <c r="AH327" i="16"/>
  <c r="S327" i="16"/>
  <c r="G327" i="16"/>
  <c r="AL326" i="16"/>
  <c r="Z326" i="16"/>
  <c r="P430" i="16"/>
  <c r="P429" i="16"/>
  <c r="AC428" i="16"/>
  <c r="AD427" i="16"/>
  <c r="AB426" i="16"/>
  <c r="AR425" i="16"/>
  <c r="AU424" i="16"/>
  <c r="AX423" i="16"/>
  <c r="J423" i="16"/>
  <c r="AB422" i="16"/>
  <c r="AH421" i="16"/>
  <c r="AQ420" i="16"/>
  <c r="L420" i="16"/>
  <c r="Y419" i="16"/>
  <c r="AE418" i="16"/>
  <c r="AK417" i="16"/>
  <c r="I417" i="16"/>
  <c r="R416" i="16"/>
  <c r="AK415" i="16"/>
  <c r="P415" i="16"/>
  <c r="AI414" i="16"/>
  <c r="H414" i="16"/>
  <c r="AA413" i="16"/>
  <c r="E413" i="16"/>
  <c r="X412" i="16"/>
  <c r="AQ411" i="16"/>
  <c r="S411" i="16"/>
  <c r="AL410" i="16"/>
  <c r="K410" i="16"/>
  <c r="AD409" i="16"/>
  <c r="H409" i="16"/>
  <c r="AA408" i="16"/>
  <c r="AT407" i="16"/>
  <c r="Y407" i="16"/>
  <c r="AR406" i="16"/>
  <c r="N406" i="16"/>
  <c r="AG405" i="16"/>
  <c r="K405" i="16"/>
  <c r="AD404" i="16"/>
  <c r="AW403" i="16"/>
  <c r="AB403" i="16"/>
  <c r="AU402" i="16"/>
  <c r="Q402" i="16"/>
  <c r="AJ401" i="16"/>
  <c r="N401" i="16"/>
  <c r="AG400" i="16"/>
  <c r="F400" i="16"/>
  <c r="AE399" i="16"/>
  <c r="AX398" i="16"/>
  <c r="T398" i="16"/>
  <c r="AM397" i="16"/>
  <c r="Q397" i="16"/>
  <c r="AJ396" i="16"/>
  <c r="I396" i="16"/>
  <c r="AG395" i="16"/>
  <c r="F395" i="16"/>
  <c r="Y394" i="16"/>
  <c r="AR393" i="16"/>
  <c r="T393" i="16"/>
  <c r="AM392" i="16"/>
  <c r="L392" i="16"/>
  <c r="AJ391" i="16"/>
  <c r="I391" i="16"/>
  <c r="AB390" i="16"/>
  <c r="AU389" i="16"/>
  <c r="Z389" i="16"/>
  <c r="AS388" i="16"/>
  <c r="O388" i="16"/>
  <c r="AM387" i="16"/>
  <c r="L387" i="16"/>
  <c r="AE386" i="16"/>
  <c r="AX385" i="16"/>
  <c r="AC385" i="16"/>
  <c r="AV384" i="16"/>
  <c r="R384" i="16"/>
  <c r="AS383" i="16"/>
  <c r="O383" i="16"/>
  <c r="AH382" i="16"/>
  <c r="G382" i="16"/>
  <c r="AF381" i="16"/>
  <c r="E381" i="16"/>
  <c r="X380" i="16"/>
  <c r="AV379" i="16"/>
  <c r="R379" i="16"/>
  <c r="AK378" i="16"/>
  <c r="J378" i="16"/>
  <c r="AI377" i="16"/>
  <c r="H377" i="16"/>
  <c r="AA376" i="16"/>
  <c r="E376" i="16"/>
  <c r="X375" i="16"/>
  <c r="AQ374" i="16"/>
  <c r="M374" i="16"/>
  <c r="AK373" i="16"/>
  <c r="M373" i="16"/>
  <c r="AL372" i="16"/>
  <c r="M372" i="16"/>
  <c r="AM371" i="16"/>
  <c r="N371" i="16"/>
  <c r="AQ370" i="16"/>
  <c r="O370" i="16"/>
  <c r="AQ369" i="16"/>
  <c r="P369" i="16"/>
  <c r="AR368" i="16"/>
  <c r="P368" i="16"/>
  <c r="AS367" i="16"/>
  <c r="Q367" i="16"/>
  <c r="AT366" i="16"/>
  <c r="R366" i="16"/>
  <c r="AT365" i="16"/>
  <c r="R365" i="16"/>
  <c r="AU364" i="16"/>
  <c r="S364" i="16"/>
  <c r="AV363" i="16"/>
  <c r="T363" i="16"/>
  <c r="AV362" i="16"/>
  <c r="X362" i="16"/>
  <c r="AW361" i="16"/>
  <c r="X361" i="16"/>
  <c r="AX360" i="16"/>
  <c r="Y360" i="16"/>
  <c r="E360" i="16"/>
  <c r="Z359" i="16"/>
  <c r="E359" i="16"/>
  <c r="AA358" i="16"/>
  <c r="F358" i="16"/>
  <c r="AA357" i="16"/>
  <c r="G357" i="16"/>
  <c r="AB356" i="16"/>
  <c r="H356" i="16"/>
  <c r="AC355" i="16"/>
  <c r="H355" i="16"/>
  <c r="AC354" i="16"/>
  <c r="I354" i="16"/>
  <c r="AD353" i="16"/>
  <c r="J353" i="16"/>
  <c r="AE352" i="16"/>
  <c r="J352" i="16"/>
  <c r="AF351" i="16"/>
  <c r="K351" i="16"/>
  <c r="AF350" i="16"/>
  <c r="L350" i="16"/>
  <c r="AG349" i="16"/>
  <c r="M349" i="16"/>
  <c r="AH348" i="16"/>
  <c r="M348" i="16"/>
  <c r="AI347" i="16"/>
  <c r="N347" i="16"/>
  <c r="AI346" i="16"/>
  <c r="O346" i="16"/>
  <c r="AJ345" i="16"/>
  <c r="P345" i="16"/>
  <c r="AK344" i="16"/>
  <c r="P344" i="16"/>
  <c r="AK343" i="16"/>
  <c r="Q343" i="16"/>
  <c r="AL342" i="16"/>
  <c r="R342" i="16"/>
  <c r="AM341" i="16"/>
  <c r="R341" i="16"/>
  <c r="AQ340" i="16"/>
  <c r="S340" i="16"/>
  <c r="AQ339" i="16"/>
  <c r="T339" i="16"/>
  <c r="AR338" i="16"/>
  <c r="X338" i="16"/>
  <c r="AS337" i="16"/>
  <c r="X337" i="16"/>
  <c r="AU336" i="16"/>
  <c r="AB336" i="16"/>
  <c r="E336" i="16"/>
  <c r="AF335" i="16"/>
  <c r="I335" i="16"/>
  <c r="AJ334" i="16"/>
  <c r="M334" i="16"/>
  <c r="AQ333" i="16"/>
  <c r="Q333" i="16"/>
  <c r="AU332" i="16"/>
  <c r="X332" i="16"/>
  <c r="E332" i="16"/>
  <c r="AB331" i="16"/>
  <c r="I331" i="16"/>
  <c r="AF330" i="16"/>
  <c r="M330" i="16"/>
  <c r="AJ329" i="16"/>
  <c r="Q329" i="16"/>
  <c r="AQ328" i="16"/>
  <c r="X328" i="16"/>
  <c r="AU327" i="16"/>
  <c r="AB327" i="16"/>
  <c r="E327" i="16"/>
  <c r="AF326" i="16"/>
  <c r="J326" i="16"/>
  <c r="AL325" i="16"/>
  <c r="T325" i="16"/>
  <c r="AV324" i="16"/>
  <c r="AD324" i="16"/>
  <c r="L324" i="16"/>
  <c r="AK323" i="16"/>
  <c r="S323" i="16"/>
  <c r="AX322" i="16"/>
  <c r="AD322" i="16"/>
  <c r="M322" i="16"/>
  <c r="AS321" i="16"/>
  <c r="AB321" i="16"/>
  <c r="J321" i="16"/>
  <c r="AL320" i="16"/>
  <c r="X320" i="16"/>
  <c r="G320" i="16"/>
  <c r="AJ319" i="16"/>
  <c r="T319" i="16"/>
  <c r="G319" i="16"/>
  <c r="AK318" i="16"/>
  <c r="X318" i="16"/>
  <c r="G318" i="16"/>
  <c r="AK317" i="16"/>
  <c r="X317" i="16"/>
  <c r="H317" i="16"/>
  <c r="AL316" i="16"/>
  <c r="Y316" i="16"/>
  <c r="I316" i="16"/>
  <c r="AM315" i="16"/>
  <c r="Z315" i="16"/>
  <c r="J315" i="16"/>
  <c r="AQ314" i="16"/>
  <c r="Z314" i="16"/>
  <c r="J314" i="16"/>
  <c r="AQ313" i="16"/>
  <c r="AA313" i="16"/>
  <c r="K313" i="16"/>
  <c r="AR312" i="16"/>
  <c r="AB312" i="16"/>
  <c r="L312" i="16"/>
  <c r="AS311" i="16"/>
  <c r="AC311" i="16"/>
  <c r="M311" i="16"/>
  <c r="AS310" i="16"/>
  <c r="AC310" i="16"/>
  <c r="M310" i="16"/>
  <c r="AT309" i="16"/>
  <c r="AD309" i="16"/>
  <c r="N309" i="16"/>
  <c r="AU308" i="16"/>
  <c r="AE308" i="16"/>
  <c r="O308" i="16"/>
  <c r="AV307" i="16"/>
  <c r="AF307" i="16"/>
  <c r="O307" i="16"/>
  <c r="AV306" i="16"/>
  <c r="AF306" i="16"/>
  <c r="P306" i="16"/>
  <c r="AW305" i="16"/>
  <c r="AG305" i="16"/>
  <c r="Q305" i="16"/>
  <c r="AX304" i="16"/>
  <c r="AH304" i="16"/>
  <c r="R304" i="16"/>
  <c r="E304" i="16"/>
  <c r="AH303" i="16"/>
  <c r="R303" i="16"/>
  <c r="E303" i="16"/>
  <c r="O430" i="16"/>
  <c r="O429" i="16"/>
  <c r="AB428" i="16"/>
  <c r="X427" i="16"/>
  <c r="AA426" i="16"/>
  <c r="AD425" i="16"/>
  <c r="AT424" i="16"/>
  <c r="AW423" i="16"/>
  <c r="I423" i="16"/>
  <c r="AA422" i="16"/>
  <c r="AG421" i="16"/>
  <c r="AM420" i="16"/>
  <c r="F420" i="16"/>
  <c r="Q419" i="16"/>
  <c r="AD418" i="16"/>
  <c r="AJ417" i="16"/>
  <c r="H417" i="16"/>
  <c r="Q416" i="16"/>
  <c r="AJ415" i="16"/>
  <c r="I415" i="16"/>
  <c r="AH414" i="16"/>
  <c r="G414" i="16"/>
  <c r="Z413" i="16"/>
  <c r="AX412" i="16"/>
  <c r="T412" i="16"/>
  <c r="AM411" i="16"/>
  <c r="L411" i="16"/>
  <c r="AK410" i="16"/>
  <c r="J410" i="16"/>
  <c r="AC409" i="16"/>
  <c r="G409" i="16"/>
  <c r="Z408" i="16"/>
  <c r="AS407" i="16"/>
  <c r="O407" i="16"/>
  <c r="AQ406" i="16"/>
  <c r="M406" i="16"/>
  <c r="AF405" i="16"/>
  <c r="J405" i="16"/>
  <c r="AC404" i="16"/>
  <c r="AV403" i="16"/>
  <c r="R403" i="16"/>
  <c r="AT402" i="16"/>
  <c r="P402" i="16"/>
  <c r="AI401" i="16"/>
  <c r="M401" i="16"/>
  <c r="AF400" i="16"/>
  <c r="E400" i="16"/>
  <c r="X399" i="16"/>
  <c r="AV398" i="16"/>
  <c r="R398" i="16"/>
  <c r="AK397" i="16"/>
  <c r="P397" i="16"/>
  <c r="AI396" i="16"/>
  <c r="H396" i="16"/>
  <c r="AA395" i="16"/>
  <c r="E395" i="16"/>
  <c r="X394" i="16"/>
  <c r="AQ393" i="16"/>
  <c r="S393" i="16"/>
  <c r="AL392" i="16"/>
  <c r="K392" i="16"/>
  <c r="AD391" i="16"/>
  <c r="H391" i="16"/>
  <c r="AA390" i="16"/>
  <c r="AT389" i="16"/>
  <c r="Y389" i="16"/>
  <c r="AR388" i="16"/>
  <c r="N388" i="16"/>
  <c r="AG387" i="16"/>
  <c r="K387" i="16"/>
  <c r="AD386" i="16"/>
  <c r="AW385" i="16"/>
  <c r="AB385" i="16"/>
  <c r="AU384" i="16"/>
  <c r="Q384" i="16"/>
  <c r="AJ383" i="16"/>
  <c r="N383" i="16"/>
  <c r="AG382" i="16"/>
  <c r="F382" i="16"/>
  <c r="AE381" i="16"/>
  <c r="AX380" i="16"/>
  <c r="T380" i="16"/>
  <c r="AM379" i="16"/>
  <c r="Q379" i="16"/>
  <c r="AJ378" i="16"/>
  <c r="I378" i="16"/>
  <c r="AG377" i="16"/>
  <c r="F377" i="16"/>
  <c r="Y376" i="16"/>
  <c r="AR375" i="16"/>
  <c r="T375" i="16"/>
  <c r="AM374" i="16"/>
  <c r="L374" i="16"/>
  <c r="AJ373" i="16"/>
  <c r="L373" i="16"/>
  <c r="AK372" i="16"/>
  <c r="L372" i="16"/>
  <c r="AL371" i="16"/>
  <c r="M371" i="16"/>
  <c r="AM370" i="16"/>
  <c r="N370" i="16"/>
  <c r="AM369" i="16"/>
  <c r="N369" i="16"/>
  <c r="AQ368" i="16"/>
  <c r="O368" i="16"/>
  <c r="AR367" i="16"/>
  <c r="P367" i="16"/>
  <c r="AR366" i="16"/>
  <c r="Q366" i="16"/>
  <c r="AS365" i="16"/>
  <c r="Q365" i="16"/>
  <c r="AT364" i="16"/>
  <c r="R364" i="16"/>
  <c r="AU363" i="16"/>
  <c r="S363" i="16"/>
  <c r="AU362" i="16"/>
  <c r="T362" i="16"/>
  <c r="AV361" i="16"/>
  <c r="T361" i="16"/>
  <c r="AW360" i="16"/>
  <c r="X360" i="16"/>
  <c r="AX359" i="16"/>
  <c r="Y359" i="16"/>
  <c r="AX358" i="16"/>
  <c r="Y358" i="16"/>
  <c r="E358" i="16"/>
  <c r="Z357" i="16"/>
  <c r="F357" i="16"/>
  <c r="AA356" i="16"/>
  <c r="F356" i="16"/>
  <c r="AB355" i="16"/>
  <c r="G355" i="16"/>
  <c r="AB354" i="16"/>
  <c r="H354" i="16"/>
  <c r="AC353" i="16"/>
  <c r="I353" i="16"/>
  <c r="AD352" i="16"/>
  <c r="I352" i="16"/>
  <c r="AE351" i="16"/>
  <c r="J351" i="16"/>
  <c r="AE350" i="16"/>
  <c r="K350" i="16"/>
  <c r="AF349" i="16"/>
  <c r="L349" i="16"/>
  <c r="AG348" i="16"/>
  <c r="L348" i="16"/>
  <c r="AG347" i="16"/>
  <c r="M347" i="16"/>
  <c r="AH346" i="16"/>
  <c r="N346" i="16"/>
  <c r="AI345" i="16"/>
  <c r="N345" i="16"/>
  <c r="AJ344" i="16"/>
  <c r="O344" i="16"/>
  <c r="AJ343" i="16"/>
  <c r="P343" i="16"/>
  <c r="AK342" i="16"/>
  <c r="Q342" i="16"/>
  <c r="AL341" i="16"/>
  <c r="Q341" i="16"/>
  <c r="AM340" i="16"/>
  <c r="R340" i="16"/>
  <c r="AM339" i="16"/>
  <c r="S339" i="16"/>
  <c r="AQ338" i="16"/>
  <c r="T338" i="16"/>
  <c r="AR337" i="16"/>
  <c r="T337" i="16"/>
  <c r="AT336" i="16"/>
  <c r="AA336" i="16"/>
  <c r="AX335" i="16"/>
  <c r="AE335" i="16"/>
  <c r="H335" i="16"/>
  <c r="AI334" i="16"/>
  <c r="L334" i="16"/>
  <c r="AM333" i="16"/>
  <c r="P333" i="16"/>
  <c r="AT332" i="16"/>
  <c r="T332" i="16"/>
  <c r="AX331" i="16"/>
  <c r="AA331" i="16"/>
  <c r="H331" i="16"/>
  <c r="AE330" i="16"/>
  <c r="L330" i="16"/>
  <c r="AI329" i="16"/>
  <c r="P329" i="16"/>
  <c r="AM328" i="16"/>
  <c r="T328" i="16"/>
  <c r="AT327" i="16"/>
  <c r="AA327" i="16"/>
  <c r="AX326" i="16"/>
  <c r="AE326" i="16"/>
  <c r="I326" i="16"/>
  <c r="AK325" i="16"/>
  <c r="R325" i="16"/>
  <c r="AU324" i="16"/>
  <c r="AC324" i="16"/>
  <c r="J324" i="16"/>
  <c r="AJ323" i="16"/>
  <c r="R323" i="16"/>
  <c r="AV322" i="16"/>
  <c r="AC322" i="16"/>
  <c r="L322" i="16"/>
  <c r="AR321" i="16"/>
  <c r="AA321" i="16"/>
  <c r="I321" i="16"/>
  <c r="AK320" i="16"/>
  <c r="T320" i="16"/>
  <c r="F320" i="16"/>
  <c r="AI319" i="16"/>
  <c r="S319" i="16"/>
  <c r="F319" i="16"/>
  <c r="AJ318" i="16"/>
  <c r="S318" i="16"/>
  <c r="F318" i="16"/>
  <c r="AJ317" i="16"/>
  <c r="T317" i="16"/>
  <c r="G317" i="16"/>
  <c r="AK316" i="16"/>
  <c r="X316" i="16"/>
  <c r="H316" i="16"/>
  <c r="AL315" i="16"/>
  <c r="Y315" i="16"/>
  <c r="I315" i="16"/>
  <c r="AL314" i="16"/>
  <c r="Y314" i="16"/>
  <c r="I314" i="16"/>
  <c r="AM313" i="16"/>
  <c r="Z313" i="16"/>
  <c r="J313" i="16"/>
  <c r="AQ312" i="16"/>
  <c r="AA312" i="16"/>
  <c r="K312" i="16"/>
  <c r="AR311" i="16"/>
  <c r="AB311" i="16"/>
  <c r="K311" i="16"/>
  <c r="AR310" i="16"/>
  <c r="AB310" i="16"/>
  <c r="L310" i="16"/>
  <c r="AS309" i="16"/>
  <c r="AC309" i="16"/>
  <c r="M309" i="16"/>
  <c r="AT308" i="16"/>
  <c r="AD308" i="16"/>
  <c r="N308" i="16"/>
  <c r="AU307" i="16"/>
  <c r="AD307" i="16"/>
  <c r="N307" i="16"/>
  <c r="AU306" i="16"/>
  <c r="AE306" i="16"/>
  <c r="O306" i="16"/>
  <c r="AV305" i="16"/>
  <c r="AF305" i="16"/>
  <c r="P305" i="16"/>
  <c r="AW304" i="16"/>
  <c r="AG304" i="16"/>
  <c r="Q304" i="16"/>
  <c r="AW303" i="16"/>
  <c r="AG303" i="16"/>
  <c r="AG431" i="16" s="1"/>
  <c r="Q303" i="16"/>
  <c r="N430" i="16"/>
  <c r="N429" i="16"/>
  <c r="M428" i="16"/>
  <c r="T427" i="16"/>
  <c r="Z426" i="16"/>
  <c r="AC425" i="16"/>
  <c r="AS424" i="16"/>
  <c r="AV423" i="16"/>
  <c r="H423" i="16"/>
  <c r="N422" i="16"/>
  <c r="AF421" i="16"/>
  <c r="AL420" i="16"/>
  <c r="AU419" i="16"/>
  <c r="P419" i="16"/>
  <c r="AC418" i="16"/>
  <c r="AI417" i="16"/>
  <c r="AR416" i="16"/>
  <c r="P416" i="16"/>
  <c r="AI415" i="16"/>
  <c r="H415" i="16"/>
  <c r="AG414" i="16"/>
  <c r="F414" i="16"/>
  <c r="Y413" i="16"/>
  <c r="AR412" i="16"/>
  <c r="S412" i="16"/>
  <c r="AL411" i="16"/>
  <c r="K411" i="16"/>
  <c r="AJ410" i="16"/>
  <c r="I410" i="16"/>
  <c r="AB409" i="16"/>
  <c r="AU408" i="16"/>
  <c r="Y408" i="16"/>
  <c r="AR407" i="16"/>
  <c r="N407" i="16"/>
  <c r="AM406" i="16"/>
  <c r="L406" i="16"/>
  <c r="AE405" i="16"/>
  <c r="AX404" i="16"/>
  <c r="AB404" i="16"/>
  <c r="AU403" i="16"/>
  <c r="Q403" i="16"/>
  <c r="AR402" i="16"/>
  <c r="N402" i="16"/>
  <c r="AG401" i="16"/>
  <c r="F401" i="16"/>
  <c r="AE400" i="16"/>
  <c r="AX399" i="16"/>
  <c r="T399" i="16"/>
  <c r="AU398" i="16"/>
  <c r="Q398" i="16"/>
  <c r="AJ397" i="16"/>
  <c r="I397" i="16"/>
  <c r="AH396" i="16"/>
  <c r="G396" i="16"/>
  <c r="Z395" i="16"/>
  <c r="AX394" i="16"/>
  <c r="T394" i="16"/>
  <c r="AM393" i="16"/>
  <c r="L393" i="16"/>
  <c r="AK392" i="16"/>
  <c r="J392" i="16"/>
  <c r="AC391" i="16"/>
  <c r="G391" i="16"/>
  <c r="Z390" i="16"/>
  <c r="AS389" i="16"/>
  <c r="O389" i="16"/>
  <c r="AQ388" i="16"/>
  <c r="M388" i="16"/>
  <c r="AF387" i="16"/>
  <c r="J387" i="16"/>
  <c r="AC386" i="16"/>
  <c r="AV385" i="16"/>
  <c r="R385" i="16"/>
  <c r="AT384" i="16"/>
  <c r="P384" i="16"/>
  <c r="AI383" i="16"/>
  <c r="M383" i="16"/>
  <c r="AF382" i="16"/>
  <c r="E382" i="16"/>
  <c r="X381" i="16"/>
  <c r="AV380" i="16"/>
  <c r="R380" i="16"/>
  <c r="AK379" i="16"/>
  <c r="P379" i="16"/>
  <c r="AI378" i="16"/>
  <c r="H378" i="16"/>
  <c r="AA377" i="16"/>
  <c r="E377" i="16"/>
  <c r="X376" i="16"/>
  <c r="AQ375" i="16"/>
  <c r="S375" i="16"/>
  <c r="AL374" i="16"/>
  <c r="K374" i="16"/>
  <c r="AH373" i="16"/>
  <c r="J373" i="16"/>
  <c r="AI372" i="16"/>
  <c r="K372" i="16"/>
  <c r="AJ371" i="16"/>
  <c r="L371" i="16"/>
  <c r="AJ370" i="16"/>
  <c r="M370" i="16"/>
  <c r="AK369" i="16"/>
  <c r="M369" i="16"/>
  <c r="AL368" i="16"/>
  <c r="N368" i="16"/>
  <c r="AM367" i="16"/>
  <c r="O367" i="16"/>
  <c r="AM366" i="16"/>
  <c r="P366" i="16"/>
  <c r="AQ365" i="16"/>
  <c r="P365" i="16"/>
  <c r="AR364" i="16"/>
  <c r="Q364" i="16"/>
  <c r="AR363" i="16"/>
  <c r="R363" i="16"/>
  <c r="AS362" i="16"/>
  <c r="R362" i="16"/>
  <c r="AT361" i="16"/>
  <c r="S361" i="16"/>
  <c r="AU360" i="16"/>
  <c r="T360" i="16"/>
  <c r="AU359" i="16"/>
  <c r="X359" i="16"/>
  <c r="AV358" i="16"/>
  <c r="X358" i="16"/>
  <c r="AW357" i="16"/>
  <c r="Y357" i="16"/>
  <c r="AX356" i="16"/>
  <c r="Z356" i="16"/>
  <c r="AX355" i="16"/>
  <c r="AA355" i="16"/>
  <c r="E355" i="16"/>
  <c r="AA354" i="16"/>
  <c r="F354" i="16"/>
  <c r="AB353" i="16"/>
  <c r="F353" i="16"/>
  <c r="AC352" i="16"/>
  <c r="G352" i="16"/>
  <c r="AC351" i="16"/>
  <c r="H351" i="16"/>
  <c r="AD350" i="16"/>
  <c r="I350" i="16"/>
  <c r="AE349" i="16"/>
  <c r="I349" i="16"/>
  <c r="AF348" i="16"/>
  <c r="J348" i="16"/>
  <c r="AF347" i="16"/>
  <c r="K347" i="16"/>
  <c r="AG346" i="16"/>
  <c r="L346" i="16"/>
  <c r="AH345" i="16"/>
  <c r="L345" i="16"/>
  <c r="AI344" i="16"/>
  <c r="M344" i="16"/>
  <c r="AI343" i="16"/>
  <c r="N343" i="16"/>
  <c r="AJ342" i="16"/>
  <c r="N342" i="16"/>
  <c r="AK341" i="16"/>
  <c r="O341" i="16"/>
  <c r="AK340" i="16"/>
  <c r="P340" i="16"/>
  <c r="AL339" i="16"/>
  <c r="Q339" i="16"/>
  <c r="AM338" i="16"/>
  <c r="Q338" i="16"/>
  <c r="AQ337" i="16"/>
  <c r="R337" i="16"/>
  <c r="AS336" i="16"/>
  <c r="Y336" i="16"/>
  <c r="AW335" i="16"/>
  <c r="AC335" i="16"/>
  <c r="G335" i="16"/>
  <c r="AG334" i="16"/>
  <c r="K334" i="16"/>
  <c r="AK333" i="16"/>
  <c r="O333" i="16"/>
  <c r="AR332" i="16"/>
  <c r="S332" i="16"/>
  <c r="AV331" i="16"/>
  <c r="Z331" i="16"/>
  <c r="F331" i="16"/>
  <c r="AD330" i="16"/>
  <c r="J330" i="16"/>
  <c r="AH329" i="16"/>
  <c r="N329" i="16"/>
  <c r="AL328" i="16"/>
  <c r="R328" i="16"/>
  <c r="AS327" i="16"/>
  <c r="Y327" i="16"/>
  <c r="AW326" i="16"/>
  <c r="AC326" i="16"/>
  <c r="H326" i="16"/>
  <c r="AJ325" i="16"/>
  <c r="O325" i="16"/>
  <c r="AT324" i="16"/>
  <c r="AB324" i="16"/>
  <c r="G324" i="16"/>
  <c r="AI323" i="16"/>
  <c r="Q323" i="16"/>
  <c r="AS322" i="16"/>
  <c r="AB322" i="16"/>
  <c r="K322" i="16"/>
  <c r="AQ321" i="16"/>
  <c r="Y321" i="16"/>
  <c r="G321" i="16"/>
  <c r="AJ320" i="16"/>
  <c r="S320" i="16"/>
  <c r="E320" i="16"/>
  <c r="AH319" i="16"/>
  <c r="R319" i="16"/>
  <c r="E319" i="16"/>
  <c r="AH318" i="16"/>
  <c r="R318" i="16"/>
  <c r="E318" i="16"/>
  <c r="AI317" i="16"/>
  <c r="S317" i="16"/>
  <c r="F317" i="16"/>
  <c r="AJ316" i="16"/>
  <c r="T316" i="16"/>
  <c r="G316" i="16"/>
  <c r="AK315" i="16"/>
  <c r="X315" i="16"/>
  <c r="G315" i="16"/>
  <c r="AK314" i="16"/>
  <c r="X314" i="16"/>
  <c r="H314" i="16"/>
  <c r="AL313" i="16"/>
  <c r="Y313" i="16"/>
  <c r="I313" i="16"/>
  <c r="AM312" i="16"/>
  <c r="Z312" i="16"/>
  <c r="J312" i="16"/>
  <c r="AQ311" i="16"/>
  <c r="Z311" i="16"/>
  <c r="J311" i="16"/>
  <c r="AQ310" i="16"/>
  <c r="AA310" i="16"/>
  <c r="K310" i="16"/>
  <c r="AR309" i="16"/>
  <c r="AB309" i="16"/>
  <c r="L309" i="16"/>
  <c r="AS308" i="16"/>
  <c r="AC308" i="16"/>
  <c r="M308" i="16"/>
  <c r="AS307" i="16"/>
  <c r="AC307" i="16"/>
  <c r="M307" i="16"/>
  <c r="AT306" i="16"/>
  <c r="AD306" i="16"/>
  <c r="N306" i="16"/>
  <c r="AU305" i="16"/>
  <c r="AE305" i="16"/>
  <c r="O305" i="16"/>
  <c r="AV304" i="16"/>
  <c r="AF304" i="16"/>
  <c r="O304" i="16"/>
  <c r="AV303" i="16"/>
  <c r="AF303" i="16"/>
  <c r="P303" i="16"/>
  <c r="AV430" i="16"/>
  <c r="M430" i="16"/>
  <c r="L429" i="16"/>
  <c r="L428" i="16"/>
  <c r="S427" i="16"/>
  <c r="Y426" i="16"/>
  <c r="AB425" i="16"/>
  <c r="AE424" i="16"/>
  <c r="AQ423" i="16"/>
  <c r="G423" i="16"/>
  <c r="M422" i="16"/>
  <c r="AE421" i="16"/>
  <c r="AK420" i="16"/>
  <c r="AT419" i="16"/>
  <c r="J419" i="16"/>
  <c r="X418" i="16"/>
  <c r="AH417" i="16"/>
  <c r="AQ416" i="16"/>
  <c r="O416" i="16"/>
  <c r="AH415" i="16"/>
  <c r="G415" i="16"/>
  <c r="Z414" i="16"/>
  <c r="E414" i="16"/>
  <c r="X413" i="16"/>
  <c r="AQ412" i="16"/>
  <c r="R412" i="16"/>
  <c r="AK411" i="16"/>
  <c r="J411" i="16"/>
  <c r="AC410" i="16"/>
  <c r="H410" i="16"/>
  <c r="AA409" i="16"/>
  <c r="AT408" i="16"/>
  <c r="X408" i="16"/>
  <c r="AQ407" i="16"/>
  <c r="M407" i="16"/>
  <c r="AF406" i="16"/>
  <c r="J406" i="16"/>
  <c r="AC405" i="16"/>
  <c r="AV404" i="16"/>
  <c r="AA404" i="16"/>
  <c r="AT403" i="16"/>
  <c r="P403" i="16"/>
  <c r="AI402" i="16"/>
  <c r="M402" i="16"/>
  <c r="AF401" i="16"/>
  <c r="E401" i="16"/>
  <c r="AD400" i="16"/>
  <c r="AW399" i="16"/>
  <c r="S399" i="16"/>
  <c r="AL398" i="16"/>
  <c r="P398" i="16"/>
  <c r="AI397" i="16"/>
  <c r="H397" i="16"/>
  <c r="AG396" i="16"/>
  <c r="F396" i="16"/>
  <c r="Y395" i="16"/>
  <c r="AR394" i="16"/>
  <c r="S394" i="16"/>
  <c r="AL393" i="16"/>
  <c r="K393" i="16"/>
  <c r="AJ392" i="16"/>
  <c r="I392" i="16"/>
  <c r="AB391" i="16"/>
  <c r="AU390" i="16"/>
  <c r="Y390" i="16"/>
  <c r="AR389" i="16"/>
  <c r="N389" i="16"/>
  <c r="AM388" i="16"/>
  <c r="L388" i="16"/>
  <c r="AE387" i="16"/>
  <c r="AX386" i="16"/>
  <c r="AB386" i="16"/>
  <c r="AU385" i="16"/>
  <c r="Q385" i="16"/>
  <c r="AR384" i="16"/>
  <c r="N384" i="16"/>
  <c r="AG383" i="16"/>
  <c r="F383" i="16"/>
  <c r="AE382" i="16"/>
  <c r="AX381" i="16"/>
  <c r="T381" i="16"/>
  <c r="AU380" i="16"/>
  <c r="Q380" i="16"/>
  <c r="AJ379" i="16"/>
  <c r="I379" i="16"/>
  <c r="AH378" i="16"/>
  <c r="G378" i="16"/>
  <c r="Z377" i="16"/>
  <c r="AX376" i="16"/>
  <c r="T376" i="16"/>
  <c r="AM375" i="16"/>
  <c r="L375" i="16"/>
  <c r="AK374" i="16"/>
  <c r="J374" i="16"/>
  <c r="AD373" i="16"/>
  <c r="I373" i="16"/>
  <c r="AE372" i="16"/>
  <c r="J372" i="16"/>
  <c r="AE371" i="16"/>
  <c r="K371" i="16"/>
  <c r="AF370" i="16"/>
  <c r="L370" i="16"/>
  <c r="AG369" i="16"/>
  <c r="L369" i="16"/>
  <c r="AG368" i="16"/>
  <c r="M368" i="16"/>
  <c r="AH367" i="16"/>
  <c r="N367" i="16"/>
  <c r="AI366" i="16"/>
  <c r="N366" i="16"/>
  <c r="AJ365" i="16"/>
  <c r="O365" i="16"/>
  <c r="AJ364" i="16"/>
  <c r="P364" i="16"/>
  <c r="AK363" i="16"/>
  <c r="Q363" i="16"/>
  <c r="AL362" i="16"/>
  <c r="Q362" i="16"/>
  <c r="AM361" i="16"/>
  <c r="R361" i="16"/>
  <c r="AM360" i="16"/>
  <c r="S360" i="16"/>
  <c r="AQ359" i="16"/>
  <c r="T359" i="16"/>
  <c r="AR358" i="16"/>
  <c r="T358" i="16"/>
  <c r="AR357" i="16"/>
  <c r="X357" i="16"/>
  <c r="AS356" i="16"/>
  <c r="Y356" i="16"/>
  <c r="AT355" i="16"/>
  <c r="Y355" i="16"/>
  <c r="AU354" i="16"/>
  <c r="Z354" i="16"/>
  <c r="AU353" i="16"/>
  <c r="AA353" i="16"/>
  <c r="AV352" i="16"/>
  <c r="AB352" i="16"/>
  <c r="AW351" i="16"/>
  <c r="AB351" i="16"/>
  <c r="AX350" i="16"/>
  <c r="AC350" i="16"/>
  <c r="AX349" i="16"/>
  <c r="AD349" i="16"/>
  <c r="E349" i="16"/>
  <c r="AE348" i="16"/>
  <c r="F348" i="16"/>
  <c r="AE347" i="16"/>
  <c r="F347" i="16"/>
  <c r="AF346" i="16"/>
  <c r="G346" i="16"/>
  <c r="AG345" i="16"/>
  <c r="H345" i="16"/>
  <c r="AG344" i="16"/>
  <c r="I344" i="16"/>
  <c r="AH343" i="16"/>
  <c r="I343" i="16"/>
  <c r="AI342" i="16"/>
  <c r="J342" i="16"/>
  <c r="AJ341" i="16"/>
  <c r="K341" i="16"/>
  <c r="AJ340" i="16"/>
  <c r="L340" i="16"/>
  <c r="AK339" i="16"/>
  <c r="L339" i="16"/>
  <c r="AL338" i="16"/>
  <c r="M338" i="16"/>
  <c r="AM337" i="16"/>
  <c r="N337" i="16"/>
  <c r="AR336" i="16"/>
  <c r="R336" i="16"/>
  <c r="AV335" i="16"/>
  <c r="Y335" i="16"/>
  <c r="F335" i="16"/>
  <c r="AC334" i="16"/>
  <c r="J334" i="16"/>
  <c r="AG333" i="16"/>
  <c r="N333" i="16"/>
  <c r="AK332" i="16"/>
  <c r="R332" i="16"/>
  <c r="AR331" i="16"/>
  <c r="Y331" i="16"/>
  <c r="AV330" i="16"/>
  <c r="AC330" i="16"/>
  <c r="F330" i="16"/>
  <c r="AG329" i="16"/>
  <c r="J329" i="16"/>
  <c r="AK328" i="16"/>
  <c r="N328" i="16"/>
  <c r="AR327" i="16"/>
  <c r="R327" i="16"/>
  <c r="AV326" i="16"/>
  <c r="Y326" i="16"/>
  <c r="G326" i="16"/>
  <c r="AI325" i="16"/>
  <c r="N325" i="16"/>
  <c r="AS324" i="16"/>
  <c r="AA324" i="16"/>
  <c r="F324" i="16"/>
  <c r="AH323" i="16"/>
  <c r="P323" i="16"/>
  <c r="AR322" i="16"/>
  <c r="AA322" i="16"/>
  <c r="J322" i="16"/>
  <c r="AM321" i="16"/>
  <c r="X321" i="16"/>
  <c r="F321" i="16"/>
  <c r="AI320" i="16"/>
  <c r="R320" i="16"/>
  <c r="AX319" i="16"/>
  <c r="AG319" i="16"/>
  <c r="Q319" i="16"/>
  <c r="AW318" i="16"/>
  <c r="AG318" i="16"/>
  <c r="Q318" i="16"/>
  <c r="AX317" i="16"/>
  <c r="AH317" i="16"/>
  <c r="R317" i="16"/>
  <c r="E317" i="16"/>
  <c r="AI316" i="16"/>
  <c r="S316" i="16"/>
  <c r="F316" i="16"/>
  <c r="AJ315" i="16"/>
  <c r="S315" i="16"/>
  <c r="F315" i="16"/>
  <c r="AJ314" i="16"/>
  <c r="T314" i="16"/>
  <c r="G314" i="16"/>
  <c r="AK313" i="16"/>
  <c r="X313" i="16"/>
  <c r="H313" i="16"/>
  <c r="AL312" i="16"/>
  <c r="Y312" i="16"/>
  <c r="I312" i="16"/>
  <c r="AL311" i="16"/>
  <c r="Y311" i="16"/>
  <c r="I311" i="16"/>
  <c r="AM310" i="16"/>
  <c r="Z310" i="16"/>
  <c r="J310" i="16"/>
  <c r="AQ309" i="16"/>
  <c r="AA309" i="16"/>
  <c r="K309" i="16"/>
  <c r="AR308" i="16"/>
  <c r="AB308" i="16"/>
  <c r="K308" i="16"/>
  <c r="AR307" i="16"/>
  <c r="AB307" i="16"/>
  <c r="L307" i="16"/>
  <c r="AS306" i="16"/>
  <c r="AC306" i="16"/>
  <c r="M306" i="16"/>
  <c r="AT305" i="16"/>
  <c r="AD305" i="16"/>
  <c r="N305" i="16"/>
  <c r="AU304" i="16"/>
  <c r="AD304" i="16"/>
  <c r="N304" i="16"/>
  <c r="AU303" i="16"/>
  <c r="AE303" i="16"/>
  <c r="O303" i="16"/>
  <c r="AS430" i="16"/>
  <c r="AF429" i="16"/>
  <c r="AW427" i="16"/>
  <c r="AQ426" i="16"/>
  <c r="Q425" i="16"/>
  <c r="F424" i="16"/>
  <c r="AT422" i="16"/>
  <c r="AJ421" i="16"/>
  <c r="Y420" i="16"/>
  <c r="AA419" i="16"/>
  <c r="I418" i="16"/>
  <c r="K417" i="16"/>
  <c r="F416" i="16"/>
  <c r="R415" i="16"/>
  <c r="T414" i="16"/>
  <c r="AI413" i="16"/>
  <c r="AJ412" i="16"/>
  <c r="E412" i="16"/>
  <c r="G411" i="16"/>
  <c r="M410" i="16"/>
  <c r="T409" i="16"/>
  <c r="AC408" i="16"/>
  <c r="AE407" i="16"/>
  <c r="AT406" i="16"/>
  <c r="AV405" i="16"/>
  <c r="M405" i="16"/>
  <c r="O404" i="16"/>
  <c r="AD403" i="16"/>
  <c r="AF402" i="16"/>
  <c r="AT401" i="16"/>
  <c r="AV400" i="16"/>
  <c r="N400" i="16"/>
  <c r="P399" i="16"/>
  <c r="Y398" i="16"/>
  <c r="AF397" i="16"/>
  <c r="AL396" i="16"/>
  <c r="AQ395" i="16"/>
  <c r="I395" i="16"/>
  <c r="J394" i="16"/>
  <c r="Y393" i="16"/>
  <c r="AA392" i="16"/>
  <c r="AM391" i="16"/>
  <c r="AQ390" i="16"/>
  <c r="I390" i="16"/>
  <c r="K389" i="16"/>
  <c r="Y388" i="16"/>
  <c r="AA387" i="16"/>
  <c r="AG386" i="16"/>
  <c r="AR385" i="16"/>
  <c r="AX384" i="16"/>
  <c r="F384" i="16"/>
  <c r="Q383" i="16"/>
  <c r="S382" i="16"/>
  <c r="AH381" i="16"/>
  <c r="AJ380" i="16"/>
  <c r="AX379" i="16"/>
  <c r="F379" i="16"/>
  <c r="R378" i="16"/>
  <c r="T377" i="16"/>
  <c r="AH376" i="16"/>
  <c r="AJ375" i="16"/>
  <c r="AS374" i="16"/>
  <c r="F374" i="16"/>
  <c r="R373" i="16"/>
  <c r="AA372" i="16"/>
  <c r="AR371" i="16"/>
  <c r="F371" i="16"/>
  <c r="T370" i="16"/>
  <c r="AC369" i="16"/>
  <c r="AT368" i="16"/>
  <c r="I368" i="16"/>
  <c r="Y367" i="16"/>
  <c r="AF366" i="16"/>
  <c r="AV365" i="16"/>
  <c r="K365" i="16"/>
  <c r="AB364" i="16"/>
  <c r="AH363" i="16"/>
  <c r="E363" i="16"/>
  <c r="M362" i="16"/>
  <c r="AD361" i="16"/>
  <c r="AJ360" i="16"/>
  <c r="G360" i="16"/>
  <c r="O359" i="16"/>
  <c r="AF358" i="16"/>
  <c r="AL357" i="16"/>
  <c r="I357" i="16"/>
  <c r="Q356" i="16"/>
  <c r="AH355" i="16"/>
  <c r="AQ354" i="16"/>
  <c r="K354" i="16"/>
  <c r="T353" i="16"/>
  <c r="AJ352" i="16"/>
  <c r="AT351" i="16"/>
  <c r="M351" i="16"/>
  <c r="Y350" i="16"/>
  <c r="AM349" i="16"/>
  <c r="AV348" i="16"/>
  <c r="P348" i="16"/>
  <c r="AA347" i="16"/>
  <c r="AR346" i="16"/>
  <c r="AX345" i="16"/>
  <c r="R345" i="16"/>
  <c r="AC344" i="16"/>
  <c r="AT343" i="16"/>
  <c r="F343" i="16"/>
  <c r="T342" i="16"/>
  <c r="AE341" i="16"/>
  <c r="AV340" i="16"/>
  <c r="H340" i="16"/>
  <c r="Y339" i="16"/>
  <c r="AG338" i="16"/>
  <c r="AX337" i="16"/>
  <c r="K337" i="16"/>
  <c r="AD336" i="16"/>
  <c r="AR335" i="16"/>
  <c r="N335" i="16"/>
  <c r="Z334" i="16"/>
  <c r="AS333" i="16"/>
  <c r="J333" i="16"/>
  <c r="AC332" i="16"/>
  <c r="AL331" i="16"/>
  <c r="K331" i="16"/>
  <c r="Y330" i="16"/>
  <c r="AR329" i="16"/>
  <c r="G329" i="16"/>
  <c r="Z328" i="16"/>
  <c r="AK327" i="16"/>
  <c r="J327" i="16"/>
  <c r="S326" i="16"/>
  <c r="AQ325" i="16"/>
  <c r="K325" i="16"/>
  <c r="AF324" i="16"/>
  <c r="AW323" i="16"/>
  <c r="X323" i="16"/>
  <c r="AL322" i="16"/>
  <c r="O322" i="16"/>
  <c r="AH321" i="16"/>
  <c r="M321" i="16"/>
  <c r="AF320" i="16"/>
  <c r="I320" i="16"/>
  <c r="AC319" i="16"/>
  <c r="I319" i="16"/>
  <c r="AD318" i="16"/>
  <c r="J318" i="16"/>
  <c r="AE317" i="16"/>
  <c r="J317" i="16"/>
  <c r="AF316" i="16"/>
  <c r="K316" i="16"/>
  <c r="AF315" i="16"/>
  <c r="L315" i="16"/>
  <c r="AG314" i="16"/>
  <c r="M314" i="16"/>
  <c r="AH313" i="16"/>
  <c r="M313" i="16"/>
  <c r="AH312" i="16"/>
  <c r="N312" i="16"/>
  <c r="AI311" i="16"/>
  <c r="O311" i="16"/>
  <c r="AJ310" i="16"/>
  <c r="O310" i="16"/>
  <c r="AK309" i="16"/>
  <c r="P309" i="16"/>
  <c r="AK308" i="16"/>
  <c r="Q308" i="16"/>
  <c r="AL307" i="16"/>
  <c r="R307" i="16"/>
  <c r="AM306" i="16"/>
  <c r="R306" i="16"/>
  <c r="AQ305" i="16"/>
  <c r="S305" i="16"/>
  <c r="AQ304" i="16"/>
  <c r="T304" i="16"/>
  <c r="AR303" i="16"/>
  <c r="X303" i="16"/>
  <c r="AR430" i="16"/>
  <c r="AE429" i="16"/>
  <c r="AV427" i="16"/>
  <c r="AH426" i="16"/>
  <c r="P425" i="16"/>
  <c r="E424" i="16"/>
  <c r="AK422" i="16"/>
  <c r="AI421" i="16"/>
  <c r="X420" i="16"/>
  <c r="Z419" i="16"/>
  <c r="H418" i="16"/>
  <c r="J417" i="16"/>
  <c r="E416" i="16"/>
  <c r="Q415" i="16"/>
  <c r="S414" i="16"/>
  <c r="AG413" i="16"/>
  <c r="AI412" i="16"/>
  <c r="AR411" i="16"/>
  <c r="F411" i="16"/>
  <c r="L410" i="16"/>
  <c r="N409" i="16"/>
  <c r="AB408" i="16"/>
  <c r="AD407" i="16"/>
  <c r="AS406" i="16"/>
  <c r="AU405" i="16"/>
  <c r="L405" i="16"/>
  <c r="N404" i="16"/>
  <c r="AC403" i="16"/>
  <c r="AE402" i="16"/>
  <c r="AS401" i="16"/>
  <c r="AU400" i="16"/>
  <c r="G400" i="16"/>
  <c r="N399" i="16"/>
  <c r="X398" i="16"/>
  <c r="Y397" i="16"/>
  <c r="AK396" i="16"/>
  <c r="AM395" i="16"/>
  <c r="H395" i="16"/>
  <c r="I394" i="16"/>
  <c r="X393" i="16"/>
  <c r="Z392" i="16"/>
  <c r="AK391" i="16"/>
  <c r="AM390" i="16"/>
  <c r="H390" i="16"/>
  <c r="J389" i="16"/>
  <c r="P388" i="16"/>
  <c r="Z387" i="16"/>
  <c r="AF386" i="16"/>
  <c r="AH385" i="16"/>
  <c r="AW384" i="16"/>
  <c r="E384" i="16"/>
  <c r="P383" i="16"/>
  <c r="R382" i="16"/>
  <c r="AG381" i="16"/>
  <c r="AI380" i="16"/>
  <c r="AW379" i="16"/>
  <c r="E379" i="16"/>
  <c r="Q378" i="16"/>
  <c r="R377" i="16"/>
  <c r="AB376" i="16"/>
  <c r="AI375" i="16"/>
  <c r="AR374" i="16"/>
  <c r="AT373" i="16"/>
  <c r="N373" i="16"/>
  <c r="Z372" i="16"/>
  <c r="AQ371" i="16"/>
  <c r="AV370" i="16"/>
  <c r="P370" i="16"/>
  <c r="AB369" i="16"/>
  <c r="AS368" i="16"/>
  <c r="AX367" i="16"/>
  <c r="R367" i="16"/>
  <c r="AE366" i="16"/>
  <c r="AU365" i="16"/>
  <c r="F365" i="16"/>
  <c r="T364" i="16"/>
  <c r="AG363" i="16"/>
  <c r="AX362" i="16"/>
  <c r="I362" i="16"/>
  <c r="Y361" i="16"/>
  <c r="AI360" i="16"/>
  <c r="F360" i="16"/>
  <c r="K359" i="16"/>
  <c r="AB358" i="16"/>
  <c r="AK357" i="16"/>
  <c r="H357" i="16"/>
  <c r="M356" i="16"/>
  <c r="AD355" i="16"/>
  <c r="AM354" i="16"/>
  <c r="J354" i="16"/>
  <c r="O353" i="16"/>
  <c r="AF352" i="16"/>
  <c r="AR351" i="16"/>
  <c r="L351" i="16"/>
  <c r="Q350" i="16"/>
  <c r="AH349" i="16"/>
  <c r="AU348" i="16"/>
  <c r="N348" i="16"/>
  <c r="T347" i="16"/>
  <c r="AJ346" i="16"/>
  <c r="AW345" i="16"/>
  <c r="Q345" i="16"/>
  <c r="Y344" i="16"/>
  <c r="AM343" i="16"/>
  <c r="E343" i="16"/>
  <c r="S342" i="16"/>
  <c r="AA341" i="16"/>
  <c r="AR340" i="16"/>
  <c r="G340" i="16"/>
  <c r="X339" i="16"/>
  <c r="AC338" i="16"/>
  <c r="AT337" i="16"/>
  <c r="J337" i="16"/>
  <c r="AC336" i="16"/>
  <c r="AK335" i="16"/>
  <c r="J335" i="16"/>
  <c r="Y334" i="16"/>
  <c r="AR333" i="16"/>
  <c r="F333" i="16"/>
  <c r="Y332" i="16"/>
  <c r="AK331" i="16"/>
  <c r="J331" i="16"/>
  <c r="R330" i="16"/>
  <c r="AK329" i="16"/>
  <c r="F329" i="16"/>
  <c r="Y328" i="16"/>
  <c r="AG327" i="16"/>
  <c r="F327" i="16"/>
  <c r="R326" i="16"/>
  <c r="AM325" i="16"/>
  <c r="J325" i="16"/>
  <c r="AE324" i="16"/>
  <c r="AV323" i="16"/>
  <c r="T323" i="16"/>
  <c r="AK322" i="16"/>
  <c r="N322" i="16"/>
  <c r="AG321" i="16"/>
  <c r="L321" i="16"/>
  <c r="AE320" i="16"/>
  <c r="H320" i="16"/>
  <c r="AB319" i="16"/>
  <c r="H319" i="16"/>
  <c r="AC318" i="16"/>
  <c r="I318" i="16"/>
  <c r="AD317" i="16"/>
  <c r="I317" i="16"/>
  <c r="AD316" i="16"/>
  <c r="J316" i="16"/>
  <c r="AE315" i="16"/>
  <c r="K315" i="16"/>
  <c r="AF314" i="16"/>
  <c r="K314" i="16"/>
  <c r="AG313" i="16"/>
  <c r="L313" i="16"/>
  <c r="AG312" i="16"/>
  <c r="M312" i="16"/>
  <c r="AH311" i="16"/>
  <c r="N311" i="16"/>
  <c r="AI310" i="16"/>
  <c r="N310" i="16"/>
  <c r="AJ309" i="16"/>
  <c r="O309" i="16"/>
  <c r="AJ308" i="16"/>
  <c r="P308" i="16"/>
  <c r="AK307" i="16"/>
  <c r="Q307" i="16"/>
  <c r="AL306" i="16"/>
  <c r="Q306" i="16"/>
  <c r="AL305" i="16"/>
  <c r="R305" i="16"/>
  <c r="AM304" i="16"/>
  <c r="S304" i="16"/>
  <c r="AQ303" i="16"/>
  <c r="S303" i="16"/>
  <c r="AQ430" i="16"/>
  <c r="K429" i="16"/>
  <c r="AU427" i="16"/>
  <c r="X426" i="16"/>
  <c r="E425" i="16"/>
  <c r="AM423" i="16"/>
  <c r="AF422" i="16"/>
  <c r="R421" i="16"/>
  <c r="T420" i="16"/>
  <c r="E419" i="16"/>
  <c r="G418" i="16"/>
  <c r="AM416" i="16"/>
  <c r="AX415" i="16"/>
  <c r="F415" i="16"/>
  <c r="R414" i="16"/>
  <c r="T413" i="16"/>
  <c r="AH412" i="16"/>
  <c r="AJ411" i="16"/>
  <c r="AS410" i="16"/>
  <c r="F410" i="16"/>
  <c r="M409" i="16"/>
  <c r="N408" i="16"/>
  <c r="AC407" i="16"/>
  <c r="AE406" i="16"/>
  <c r="AT405" i="16"/>
  <c r="AU404" i="16"/>
  <c r="M404" i="16"/>
  <c r="O403" i="16"/>
  <c r="AC402" i="16"/>
  <c r="AE401" i="16"/>
  <c r="AT400" i="16"/>
  <c r="AV399" i="16"/>
  <c r="H399" i="16"/>
  <c r="O398" i="16"/>
  <c r="X397" i="16"/>
  <c r="Z396" i="16"/>
  <c r="AL395" i="16"/>
  <c r="AQ394" i="16"/>
  <c r="H394" i="16"/>
  <c r="J393" i="16"/>
  <c r="Y392" i="16"/>
  <c r="AA391" i="16"/>
  <c r="AL390" i="16"/>
  <c r="AQ389" i="16"/>
  <c r="I389" i="16"/>
  <c r="J388" i="16"/>
  <c r="Q387" i="16"/>
  <c r="AA386" i="16"/>
  <c r="AG385" i="16"/>
  <c r="AI384" i="16"/>
  <c r="AX383" i="16"/>
  <c r="E383" i="16"/>
  <c r="Q382" i="16"/>
  <c r="S381" i="16"/>
  <c r="AG380" i="16"/>
  <c r="AI379" i="16"/>
  <c r="AX378" i="16"/>
  <c r="F378" i="16"/>
  <c r="Q377" i="16"/>
  <c r="S376" i="16"/>
  <c r="AB375" i="16"/>
  <c r="AJ374" i="16"/>
  <c r="AS373" i="16"/>
  <c r="H373" i="16"/>
  <c r="Y372" i="16"/>
  <c r="AD371" i="16"/>
  <c r="AU370" i="16"/>
  <c r="J370" i="16"/>
  <c r="AA369" i="16"/>
  <c r="AF368" i="16"/>
  <c r="AW367" i="16"/>
  <c r="M367" i="16"/>
  <c r="AC366" i="16"/>
  <c r="AI365" i="16"/>
  <c r="E365" i="16"/>
  <c r="O364" i="16"/>
  <c r="AF363" i="16"/>
  <c r="AK362" i="16"/>
  <c r="H362" i="16"/>
  <c r="Q361" i="16"/>
  <c r="AH360" i="16"/>
  <c r="AM359" i="16"/>
  <c r="J359" i="16"/>
  <c r="S358" i="16"/>
  <c r="AJ357" i="16"/>
  <c r="AR356" i="16"/>
  <c r="L356" i="16"/>
  <c r="X355" i="16"/>
  <c r="AL354" i="16"/>
  <c r="AT353" i="16"/>
  <c r="N353" i="16"/>
  <c r="AA352" i="16"/>
  <c r="AQ351" i="16"/>
  <c r="AV350" i="16"/>
  <c r="P350" i="16"/>
  <c r="AC349" i="16"/>
  <c r="AT348" i="16"/>
  <c r="E348" i="16"/>
  <c r="R347" i="16"/>
  <c r="AE346" i="16"/>
  <c r="AV345" i="16"/>
  <c r="G345" i="16"/>
  <c r="X344" i="16"/>
  <c r="AG343" i="16"/>
  <c r="AX342" i="16"/>
  <c r="I342" i="16"/>
  <c r="Z341" i="16"/>
  <c r="AI340" i="16"/>
  <c r="F340" i="16"/>
  <c r="K339" i="16"/>
  <c r="AB338" i="16"/>
  <c r="AK337" i="16"/>
  <c r="I337" i="16"/>
  <c r="Q336" i="16"/>
  <c r="AJ335" i="16"/>
  <c r="E335" i="16"/>
  <c r="X334" i="16"/>
  <c r="AF333" i="16"/>
  <c r="E333" i="16"/>
  <c r="Q332" i="16"/>
  <c r="AJ331" i="16"/>
  <c r="AU330" i="16"/>
  <c r="Q330" i="16"/>
  <c r="AF329" i="16"/>
  <c r="E329" i="16"/>
  <c r="M328" i="16"/>
  <c r="AF327" i="16"/>
  <c r="AU326" i="16"/>
  <c r="Q326" i="16"/>
  <c r="AG325" i="16"/>
  <c r="I325" i="16"/>
  <c r="Y324" i="16"/>
  <c r="AU323" i="16"/>
  <c r="N323" i="16"/>
  <c r="AJ322" i="16"/>
  <c r="I322" i="16"/>
  <c r="AF321" i="16"/>
  <c r="E321" i="16"/>
  <c r="AC320" i="16"/>
  <c r="AV319" i="16"/>
  <c r="AA319" i="16"/>
  <c r="AV318" i="16"/>
  <c r="AB318" i="16"/>
  <c r="AW317" i="16"/>
  <c r="AC317" i="16"/>
  <c r="AX316" i="16"/>
  <c r="AC316" i="16"/>
  <c r="E316" i="16"/>
  <c r="AD315" i="16"/>
  <c r="E315" i="16"/>
  <c r="AE314" i="16"/>
  <c r="F314" i="16"/>
  <c r="AF313" i="16"/>
  <c r="G313" i="16"/>
  <c r="AF312" i="16"/>
  <c r="G312" i="16"/>
  <c r="AG311" i="16"/>
  <c r="H311" i="16"/>
  <c r="AH310" i="16"/>
  <c r="I310" i="16"/>
  <c r="AH309" i="16"/>
  <c r="J309" i="16"/>
  <c r="AI308" i="16"/>
  <c r="J308" i="16"/>
  <c r="AJ307" i="16"/>
  <c r="K307" i="16"/>
  <c r="AK306" i="16"/>
  <c r="L306" i="16"/>
  <c r="AK305" i="16"/>
  <c r="M305" i="16"/>
  <c r="AL304" i="16"/>
  <c r="M304" i="16"/>
  <c r="AM303" i="16"/>
  <c r="N303" i="16"/>
  <c r="AG430" i="16"/>
  <c r="E429" i="16"/>
  <c r="AG427" i="16"/>
  <c r="T426" i="16"/>
  <c r="AX424" i="16"/>
  <c r="AG423" i="16"/>
  <c r="AE422" i="16"/>
  <c r="Q421" i="16"/>
  <c r="S420" i="16"/>
  <c r="AX418" i="16"/>
  <c r="F418" i="16"/>
  <c r="AL416" i="16"/>
  <c r="AW415" i="16"/>
  <c r="E415" i="16"/>
  <c r="Q414" i="16"/>
  <c r="R413" i="16"/>
  <c r="AB412" i="16"/>
  <c r="AI411" i="16"/>
  <c r="AR410" i="16"/>
  <c r="AT409" i="16"/>
  <c r="L409" i="16"/>
  <c r="M408" i="16"/>
  <c r="AB407" i="16"/>
  <c r="AD406" i="16"/>
  <c r="AR405" i="16"/>
  <c r="AT404" i="16"/>
  <c r="L404" i="16"/>
  <c r="N403" i="16"/>
  <c r="AB402" i="16"/>
  <c r="AD401" i="16"/>
  <c r="AJ400" i="16"/>
  <c r="AU399" i="16"/>
  <c r="G399" i="16"/>
  <c r="I398" i="16"/>
  <c r="T397" i="16"/>
  <c r="Y396" i="16"/>
  <c r="AK395" i="16"/>
  <c r="AM394" i="16"/>
  <c r="G394" i="16"/>
  <c r="I393" i="16"/>
  <c r="X392" i="16"/>
  <c r="Y391" i="16"/>
  <c r="AK390" i="16"/>
  <c r="AM389" i="16"/>
  <c r="AV388" i="16"/>
  <c r="I388" i="16"/>
  <c r="P387" i="16"/>
  <c r="Q386" i="16"/>
  <c r="AF385" i="16"/>
  <c r="AH384" i="16"/>
  <c r="AV383" i="16"/>
  <c r="AX382" i="16"/>
  <c r="P382" i="16"/>
  <c r="R381" i="16"/>
  <c r="AF380" i="16"/>
  <c r="AH379" i="16"/>
  <c r="AW378" i="16"/>
  <c r="E378" i="16"/>
  <c r="K377" i="16"/>
  <c r="R376" i="16"/>
  <c r="AA375" i="16"/>
  <c r="AC374" i="16"/>
  <c r="AR373" i="16"/>
  <c r="G373" i="16"/>
  <c r="X372" i="16"/>
  <c r="AC371" i="16"/>
  <c r="AT370" i="16"/>
  <c r="I370" i="16"/>
  <c r="Z369" i="16"/>
  <c r="AE368" i="16"/>
  <c r="AV367" i="16"/>
  <c r="L367" i="16"/>
  <c r="AB366" i="16"/>
  <c r="AG365" i="16"/>
  <c r="AX364" i="16"/>
  <c r="N364" i="16"/>
  <c r="AE363" i="16"/>
  <c r="AJ362" i="16"/>
  <c r="F362" i="16"/>
  <c r="P361" i="16"/>
  <c r="AG360" i="16"/>
  <c r="AL359" i="16"/>
  <c r="I359" i="16"/>
  <c r="R358" i="16"/>
  <c r="AI357" i="16"/>
  <c r="AQ356" i="16"/>
  <c r="K356" i="16"/>
  <c r="T355" i="16"/>
  <c r="AK354" i="16"/>
  <c r="AS353" i="16"/>
  <c r="M353" i="16"/>
  <c r="Y352" i="16"/>
  <c r="AM351" i="16"/>
  <c r="AU350" i="16"/>
  <c r="O350" i="16"/>
  <c r="AB349" i="16"/>
  <c r="AR348" i="16"/>
  <c r="AX347" i="16"/>
  <c r="Q347" i="16"/>
  <c r="AD346" i="16"/>
  <c r="AU345" i="16"/>
  <c r="F345" i="16"/>
  <c r="T344" i="16"/>
  <c r="AF343" i="16"/>
  <c r="AW342" i="16"/>
  <c r="H342" i="16"/>
  <c r="Y341" i="16"/>
  <c r="AH340" i="16"/>
  <c r="E340" i="16"/>
  <c r="J339" i="16"/>
  <c r="AA338" i="16"/>
  <c r="AJ337" i="16"/>
  <c r="H337" i="16"/>
  <c r="P336" i="16"/>
  <c r="AI335" i="16"/>
  <c r="AX334" i="16"/>
  <c r="T334" i="16"/>
  <c r="AE333" i="16"/>
  <c r="AX332" i="16"/>
  <c r="P332" i="16"/>
  <c r="AI331" i="16"/>
  <c r="AT330" i="16"/>
  <c r="P330" i="16"/>
  <c r="AE329" i="16"/>
  <c r="AX328" i="16"/>
  <c r="L328" i="16"/>
  <c r="AE327" i="16"/>
  <c r="AT326" i="16"/>
  <c r="P326" i="16"/>
  <c r="AD325" i="16"/>
  <c r="H325" i="16"/>
  <c r="S324" i="16"/>
  <c r="AT323" i="16"/>
  <c r="K323" i="16"/>
  <c r="AI322" i="16"/>
  <c r="H322" i="16"/>
  <c r="AE321" i="16"/>
  <c r="AX320" i="16"/>
  <c r="AB320" i="16"/>
  <c r="AU319" i="16"/>
  <c r="Z319" i="16"/>
  <c r="AU318" i="16"/>
  <c r="AA318" i="16"/>
  <c r="AV317" i="16"/>
  <c r="AB317" i="16"/>
  <c r="AW316" i="16"/>
  <c r="AB316" i="16"/>
  <c r="AW315" i="16"/>
  <c r="AC315" i="16"/>
  <c r="AX314" i="16"/>
  <c r="AD314" i="16"/>
  <c r="E314" i="16"/>
  <c r="AD313" i="16"/>
  <c r="F313" i="16"/>
  <c r="AE312" i="16"/>
  <c r="F312" i="16"/>
  <c r="AF311" i="16"/>
  <c r="G311" i="16"/>
  <c r="AG310" i="16"/>
  <c r="H310" i="16"/>
  <c r="AG309" i="16"/>
  <c r="I309" i="16"/>
  <c r="AH308" i="16"/>
  <c r="I308" i="16"/>
  <c r="AI307" i="16"/>
  <c r="J307" i="16"/>
  <c r="AJ306" i="16"/>
  <c r="K306" i="16"/>
  <c r="AJ305" i="16"/>
  <c r="K305" i="16"/>
  <c r="AK304" i="16"/>
  <c r="L304" i="16"/>
  <c r="AL303" i="16"/>
  <c r="M303" i="16"/>
  <c r="AU430" i="16"/>
  <c r="AH428" i="16"/>
  <c r="AX426" i="16"/>
  <c r="AD424" i="16"/>
  <c r="F423" i="16"/>
  <c r="N421" i="16"/>
  <c r="AC419" i="16"/>
  <c r="AG417" i="16"/>
  <c r="I416" i="16"/>
  <c r="AM414" i="16"/>
  <c r="AK413" i="16"/>
  <c r="L412" i="16"/>
  <c r="I411" i="16"/>
  <c r="AQ409" i="16"/>
  <c r="AK408" i="16"/>
  <c r="L407" i="16"/>
  <c r="I406" i="16"/>
  <c r="AQ404" i="16"/>
  <c r="AF403" i="16"/>
  <c r="L402" i="16"/>
  <c r="AX400" i="16"/>
  <c r="AI399" i="16"/>
  <c r="AF398" i="16"/>
  <c r="G397" i="16"/>
  <c r="E396" i="16"/>
  <c r="AI394" i="16"/>
  <c r="AA393" i="16"/>
  <c r="H392" i="16"/>
  <c r="AT390" i="16"/>
  <c r="AD389" i="16"/>
  <c r="AB388" i="16"/>
  <c r="AV386" i="16"/>
  <c r="AT385" i="16"/>
  <c r="AE384" i="16"/>
  <c r="T383" i="16"/>
  <c r="AW381" i="16"/>
  <c r="AL380" i="16"/>
  <c r="Y379" i="16"/>
  <c r="T378" i="16"/>
  <c r="AR376" i="16"/>
  <c r="AL375" i="16"/>
  <c r="Z374" i="16"/>
  <c r="X373" i="16"/>
  <c r="I372" i="16"/>
  <c r="J371" i="16"/>
  <c r="AV369" i="16"/>
  <c r="AV368" i="16"/>
  <c r="AG367" i="16"/>
  <c r="AH366" i="16"/>
  <c r="AD365" i="16"/>
  <c r="AE364" i="16"/>
  <c r="P363" i="16"/>
  <c r="P362" i="16"/>
  <c r="H361" i="16"/>
  <c r="I360" i="16"/>
  <c r="AQ358" i="16"/>
  <c r="AQ357" i="16"/>
  <c r="AK356" i="16"/>
  <c r="AK355" i="16"/>
  <c r="Y354" i="16"/>
  <c r="Z353" i="16"/>
  <c r="O352" i="16"/>
  <c r="P351" i="16"/>
  <c r="AW349" i="16"/>
  <c r="AX348" i="16"/>
  <c r="AT347" i="16"/>
  <c r="AU346" i="16"/>
  <c r="AF345" i="16"/>
  <c r="AF344" i="16"/>
  <c r="X343" i="16"/>
  <c r="Y342" i="16"/>
  <c r="J341" i="16"/>
  <c r="J340" i="16"/>
  <c r="G339" i="16"/>
  <c r="H338" i="16"/>
  <c r="AQ336" i="16"/>
  <c r="AU335" i="16"/>
  <c r="AQ334" i="16"/>
  <c r="AU333" i="16"/>
  <c r="AJ332" i="16"/>
  <c r="AQ331" i="16"/>
  <c r="AQ330" i="16"/>
  <c r="AU329" i="16"/>
  <c r="AJ328" i="16"/>
  <c r="AQ327" i="16"/>
  <c r="AJ326" i="16"/>
  <c r="AS325" i="16"/>
  <c r="AR324" i="16"/>
  <c r="E324" i="16"/>
  <c r="H323" i="16"/>
  <c r="R322" i="16"/>
  <c r="S321" i="16"/>
  <c r="AH320" i="16"/>
  <c r="AQ319" i="16"/>
  <c r="K319" i="16"/>
  <c r="P318" i="16"/>
  <c r="AG317" i="16"/>
  <c r="AS316" i="16"/>
  <c r="M316" i="16"/>
  <c r="R315" i="16"/>
  <c r="AI314" i="16"/>
  <c r="AV313" i="16"/>
  <c r="O313" i="16"/>
  <c r="X312" i="16"/>
  <c r="AK311" i="16"/>
  <c r="AX310" i="16"/>
  <c r="R310" i="16"/>
  <c r="Z309" i="16"/>
  <c r="AQ308" i="16"/>
  <c r="F308" i="16"/>
  <c r="T307" i="16"/>
  <c r="AB306" i="16"/>
  <c r="AS305" i="16"/>
  <c r="H305" i="16"/>
  <c r="Y304" i="16"/>
  <c r="AD303" i="16"/>
  <c r="AT430" i="16"/>
  <c r="AG428" i="16"/>
  <c r="AW426" i="16"/>
  <c r="X424" i="16"/>
  <c r="AU422" i="16"/>
  <c r="I421" i="16"/>
  <c r="AB419" i="16"/>
  <c r="AB417" i="16"/>
  <c r="H416" i="16"/>
  <c r="AL414" i="16"/>
  <c r="AJ413" i="16"/>
  <c r="J412" i="16"/>
  <c r="H411" i="16"/>
  <c r="AM409" i="16"/>
  <c r="AE408" i="16"/>
  <c r="K407" i="16"/>
  <c r="AW405" i="16"/>
  <c r="AG404" i="16"/>
  <c r="AE403" i="16"/>
  <c r="F402" i="16"/>
  <c r="AW400" i="16"/>
  <c r="AH399" i="16"/>
  <c r="AE398" i="16"/>
  <c r="F397" i="16"/>
  <c r="AX395" i="16"/>
  <c r="AH394" i="16"/>
  <c r="Z393" i="16"/>
  <c r="F392" i="16"/>
  <c r="AR390" i="16"/>
  <c r="AC389" i="16"/>
  <c r="AA388" i="16"/>
  <c r="AU386" i="16"/>
  <c r="AS385" i="16"/>
  <c r="AC384" i="16"/>
  <c r="R383" i="16"/>
  <c r="AV381" i="16"/>
  <c r="AK380" i="16"/>
  <c r="X379" i="16"/>
  <c r="S378" i="16"/>
  <c r="AQ376" i="16"/>
  <c r="AK375" i="16"/>
  <c r="Y374" i="16"/>
  <c r="T373" i="16"/>
  <c r="H372" i="16"/>
  <c r="I371" i="16"/>
  <c r="AU369" i="16"/>
  <c r="AU368" i="16"/>
  <c r="AF367" i="16"/>
  <c r="AG366" i="16"/>
  <c r="AC365" i="16"/>
  <c r="AD364" i="16"/>
  <c r="N363" i="16"/>
  <c r="O362" i="16"/>
  <c r="G361" i="16"/>
  <c r="H360" i="16"/>
  <c r="AM358" i="16"/>
  <c r="AM357" i="16"/>
  <c r="AJ356" i="16"/>
  <c r="AJ355" i="16"/>
  <c r="X354" i="16"/>
  <c r="Y353" i="16"/>
  <c r="N352" i="16"/>
  <c r="N351" i="16"/>
  <c r="AV349" i="16"/>
  <c r="AW348" i="16"/>
  <c r="AS347" i="16"/>
  <c r="AT346" i="16"/>
  <c r="AE345" i="16"/>
  <c r="AE344" i="16"/>
  <c r="T343" i="16"/>
  <c r="X342" i="16"/>
  <c r="I341" i="16"/>
  <c r="I340" i="16"/>
  <c r="F339" i="16"/>
  <c r="F338" i="16"/>
  <c r="AM336" i="16"/>
  <c r="AT335" i="16"/>
  <c r="AM334" i="16"/>
  <c r="AT333" i="16"/>
  <c r="AI332" i="16"/>
  <c r="AM331" i="16"/>
  <c r="AM330" i="16"/>
  <c r="AT329" i="16"/>
  <c r="AI328" i="16"/>
  <c r="AM327" i="16"/>
  <c r="AI326" i="16"/>
  <c r="AR325" i="16"/>
  <c r="AQ324" i="16"/>
  <c r="AX323" i="16"/>
  <c r="G323" i="16"/>
  <c r="Q322" i="16"/>
  <c r="R321" i="16"/>
  <c r="AG320" i="16"/>
  <c r="AM319" i="16"/>
  <c r="J319" i="16"/>
  <c r="O318" i="16"/>
  <c r="AF317" i="16"/>
  <c r="AR316" i="16"/>
  <c r="L316" i="16"/>
  <c r="Q315" i="16"/>
  <c r="AH314" i="16"/>
  <c r="AU313" i="16"/>
  <c r="N313" i="16"/>
  <c r="S312" i="16"/>
  <c r="AJ311" i="16"/>
  <c r="AW310" i="16"/>
  <c r="Q310" i="16"/>
  <c r="Y309" i="16"/>
  <c r="AL308" i="16"/>
  <c r="E308" i="16"/>
  <c r="S307" i="16"/>
  <c r="AA306" i="16"/>
  <c r="AR305" i="16"/>
  <c r="G305" i="16"/>
  <c r="X304" i="16"/>
  <c r="AC303" i="16"/>
  <c r="AA430" i="16"/>
  <c r="AE428" i="16"/>
  <c r="I426" i="16"/>
  <c r="T424" i="16"/>
  <c r="AD422" i="16"/>
  <c r="H421" i="16"/>
  <c r="AW418" i="16"/>
  <c r="AA417" i="16"/>
  <c r="AV415" i="16"/>
  <c r="AK414" i="16"/>
  <c r="Q413" i="16"/>
  <c r="I412" i="16"/>
  <c r="AQ410" i="16"/>
  <c r="AK409" i="16"/>
  <c r="L408" i="16"/>
  <c r="J407" i="16"/>
  <c r="AQ405" i="16"/>
  <c r="AF404" i="16"/>
  <c r="M403" i="16"/>
  <c r="E402" i="16"/>
  <c r="AI400" i="16"/>
  <c r="AG399" i="16"/>
  <c r="H398" i="16"/>
  <c r="E397" i="16"/>
  <c r="AJ395" i="16"/>
  <c r="AB394" i="16"/>
  <c r="H393" i="16"/>
  <c r="AT391" i="16"/>
  <c r="AE390" i="16"/>
  <c r="AB389" i="16"/>
  <c r="AW387" i="16"/>
  <c r="AT386" i="16"/>
  <c r="AE385" i="16"/>
  <c r="AB384" i="16"/>
  <c r="AW382" i="16"/>
  <c r="AU381" i="16"/>
  <c r="AE380" i="16"/>
  <c r="T379" i="16"/>
  <c r="AX377" i="16"/>
  <c r="AM376" i="16"/>
  <c r="Z375" i="16"/>
  <c r="X374" i="16"/>
  <c r="E373" i="16"/>
  <c r="F372" i="16"/>
  <c r="AS370" i="16"/>
  <c r="AT369" i="16"/>
  <c r="AD368" i="16"/>
  <c r="AE367" i="16"/>
  <c r="Z366" i="16"/>
  <c r="AA365" i="16"/>
  <c r="L364" i="16"/>
  <c r="L363" i="16"/>
  <c r="E362" i="16"/>
  <c r="F361" i="16"/>
  <c r="AK359" i="16"/>
  <c r="AK358" i="16"/>
  <c r="AG357" i="16"/>
  <c r="AG356" i="16"/>
  <c r="R355" i="16"/>
  <c r="S354" i="16"/>
  <c r="L353" i="16"/>
  <c r="M352" i="16"/>
  <c r="AT350" i="16"/>
  <c r="AU349" i="16"/>
  <c r="AM348" i="16"/>
  <c r="AQ347" i="16"/>
  <c r="AB346" i="16"/>
  <c r="AB345" i="16"/>
  <c r="R344" i="16"/>
  <c r="S343" i="16"/>
  <c r="G342" i="16"/>
  <c r="H341" i="16"/>
  <c r="AW339" i="16"/>
  <c r="AX338" i="16"/>
  <c r="AH337" i="16"/>
  <c r="AK336" i="16"/>
  <c r="AH335" i="16"/>
  <c r="AL334" i="16"/>
  <c r="AD333" i="16"/>
  <c r="AH332" i="16"/>
  <c r="AG331" i="16"/>
  <c r="AK330" i="16"/>
  <c r="AC329" i="16"/>
  <c r="AG328" i="16"/>
  <c r="AD327" i="16"/>
  <c r="AH326" i="16"/>
  <c r="AC325" i="16"/>
  <c r="AM324" i="16"/>
  <c r="AR323" i="16"/>
  <c r="F323" i="16"/>
  <c r="F322" i="16"/>
  <c r="Q321" i="16"/>
  <c r="Z320" i="16"/>
  <c r="AL319" i="16"/>
  <c r="AT318" i="16"/>
  <c r="N318" i="16"/>
  <c r="Z317" i="16"/>
  <c r="AQ316" i="16"/>
  <c r="AV315" i="16"/>
  <c r="P315" i="16"/>
  <c r="AC314" i="16"/>
  <c r="AS313" i="16"/>
  <c r="E313" i="16"/>
  <c r="R312" i="16"/>
  <c r="AE311" i="16"/>
  <c r="AV310" i="16"/>
  <c r="G310" i="16"/>
  <c r="X309" i="16"/>
  <c r="AG308" i="16"/>
  <c r="AX307" i="16"/>
  <c r="I307" i="16"/>
  <c r="Z306" i="16"/>
  <c r="AI305" i="16"/>
  <c r="F305" i="16"/>
  <c r="K304" i="16"/>
  <c r="AB303" i="16"/>
  <c r="Q430" i="16"/>
  <c r="AD428" i="16"/>
  <c r="H426" i="16"/>
  <c r="S424" i="16"/>
  <c r="AC422" i="16"/>
  <c r="AV420" i="16"/>
  <c r="AV418" i="16"/>
  <c r="R417" i="16"/>
  <c r="AM415" i="16"/>
  <c r="AJ414" i="16"/>
  <c r="K413" i="16"/>
  <c r="H412" i="16"/>
  <c r="AM410" i="16"/>
  <c r="AJ409" i="16"/>
  <c r="K408" i="16"/>
  <c r="I407" i="16"/>
  <c r="AM405" i="16"/>
  <c r="AE404" i="16"/>
  <c r="L403" i="16"/>
  <c r="AX401" i="16"/>
  <c r="AH400" i="16"/>
  <c r="AF399" i="16"/>
  <c r="F398" i="16"/>
  <c r="AX396" i="16"/>
  <c r="AI395" i="16"/>
  <c r="AA394" i="16"/>
  <c r="G393" i="16"/>
  <c r="AS391" i="16"/>
  <c r="AC390" i="16"/>
  <c r="AA389" i="16"/>
  <c r="AV387" i="16"/>
  <c r="AS386" i="16"/>
  <c r="AD385" i="16"/>
  <c r="S384" i="16"/>
  <c r="AV382" i="16"/>
  <c r="AK381" i="16"/>
  <c r="Y380" i="16"/>
  <c r="S379" i="16"/>
  <c r="AQ377" i="16"/>
  <c r="AK376" i="16"/>
  <c r="Y375" i="16"/>
  <c r="T374" i="16"/>
  <c r="AU372" i="16"/>
  <c r="AU371" i="16"/>
  <c r="AR370" i="16"/>
  <c r="AR369" i="16"/>
  <c r="AC368" i="16"/>
  <c r="AD367" i="16"/>
  <c r="S366" i="16"/>
  <c r="T365" i="16"/>
  <c r="G364" i="16"/>
  <c r="H363" i="16"/>
  <c r="AX361" i="16"/>
  <c r="E361" i="16"/>
  <c r="AJ359" i="16"/>
  <c r="AJ358" i="16"/>
  <c r="AB357" i="16"/>
  <c r="AC356" i="16"/>
  <c r="N355" i="16"/>
  <c r="N354" i="16"/>
  <c r="K353" i="16"/>
  <c r="L352" i="16"/>
  <c r="AS350" i="16"/>
  <c r="AT349" i="16"/>
  <c r="AI348" i="16"/>
  <c r="AJ347" i="16"/>
  <c r="T346" i="16"/>
  <c r="X345" i="16"/>
  <c r="Q344" i="16"/>
  <c r="R343" i="16"/>
  <c r="F342" i="16"/>
  <c r="F341" i="16"/>
  <c r="AR339" i="16"/>
  <c r="AS338" i="16"/>
  <c r="AD337" i="16"/>
  <c r="AG336" i="16"/>
  <c r="AG335" i="16"/>
  <c r="AK334" i="16"/>
  <c r="AC333" i="16"/>
  <c r="AG332" i="16"/>
  <c r="AC331" i="16"/>
  <c r="AG330" i="16"/>
  <c r="Y329" i="16"/>
  <c r="AC328" i="16"/>
  <c r="AC327" i="16"/>
  <c r="AG326" i="16"/>
  <c r="AB325" i="16"/>
  <c r="AK324" i="16"/>
  <c r="AL323" i="16"/>
  <c r="E323" i="16"/>
  <c r="E322" i="16"/>
  <c r="P321" i="16"/>
  <c r="Y320" i="16"/>
  <c r="AK319" i="16"/>
  <c r="AS318" i="16"/>
  <c r="M318" i="16"/>
  <c r="Y317" i="16"/>
  <c r="AM316" i="16"/>
  <c r="AU315" i="16"/>
  <c r="O315" i="16"/>
  <c r="AB314" i="16"/>
  <c r="AR313" i="16"/>
  <c r="AW312" i="16"/>
  <c r="Q312" i="16"/>
  <c r="AD311" i="16"/>
  <c r="AU310" i="16"/>
  <c r="F310" i="16"/>
  <c r="S309" i="16"/>
  <c r="AF308" i="16"/>
  <c r="AW307" i="16"/>
  <c r="H307" i="16"/>
  <c r="Y306" i="16"/>
  <c r="AH305" i="16"/>
  <c r="E305" i="16"/>
  <c r="J304" i="16"/>
  <c r="AA303" i="16"/>
  <c r="AX428" i="16"/>
  <c r="AT425" i="16"/>
  <c r="X423" i="16"/>
  <c r="R420" i="16"/>
  <c r="E418" i="16"/>
  <c r="Y415" i="16"/>
  <c r="AM413" i="16"/>
  <c r="AB411" i="16"/>
  <c r="AS409" i="16"/>
  <c r="H408" i="16"/>
  <c r="P406" i="16"/>
  <c r="K404" i="16"/>
  <c r="S402" i="16"/>
  <c r="R400" i="16"/>
  <c r="AI398" i="16"/>
  <c r="X396" i="16"/>
  <c r="AK394" i="16"/>
  <c r="AR392" i="16"/>
  <c r="L391" i="16"/>
  <c r="AU388" i="16"/>
  <c r="N387" i="16"/>
  <c r="N385" i="16"/>
  <c r="AD383" i="16"/>
  <c r="Q381" i="16"/>
  <c r="AG379" i="16"/>
  <c r="AK377" i="16"/>
  <c r="G376" i="16"/>
  <c r="AQ373" i="16"/>
  <c r="S372" i="16"/>
  <c r="AC370" i="16"/>
  <c r="H369" i="16"/>
  <c r="I367" i="16"/>
  <c r="AF365" i="16"/>
  <c r="AX363" i="16"/>
  <c r="AC362" i="16"/>
  <c r="AE360" i="16"/>
  <c r="H359" i="16"/>
  <c r="Q357" i="16"/>
  <c r="AQ355" i="16"/>
  <c r="AR353" i="16"/>
  <c r="T352" i="16"/>
  <c r="AL350" i="16"/>
  <c r="O349" i="16"/>
  <c r="P347" i="16"/>
  <c r="AR345" i="16"/>
  <c r="E344" i="16"/>
  <c r="AE342" i="16"/>
  <c r="AF340" i="16"/>
  <c r="I339" i="16"/>
  <c r="AA337" i="16"/>
  <c r="J336" i="16"/>
  <c r="R334" i="16"/>
  <c r="AW332" i="16"/>
  <c r="R331" i="16"/>
  <c r="AW329" i="16"/>
  <c r="K328" i="16"/>
  <c r="AR326" i="16"/>
  <c r="Y325" i="16"/>
  <c r="N324" i="16"/>
  <c r="AG322" i="16"/>
  <c r="AD321" i="16"/>
  <c r="N320" i="16"/>
  <c r="M319" i="16"/>
  <c r="AU317" i="16"/>
  <c r="AV316" i="16"/>
  <c r="AR315" i="16"/>
  <c r="AS314" i="16"/>
  <c r="AC313" i="16"/>
  <c r="AD312" i="16"/>
  <c r="S311" i="16"/>
  <c r="T310" i="16"/>
  <c r="G309" i="16"/>
  <c r="H308" i="16"/>
  <c r="E307" i="16"/>
  <c r="E306" i="16"/>
  <c r="AJ304" i="16"/>
  <c r="AK303" i="16"/>
  <c r="AI428" i="16"/>
  <c r="AS425" i="16"/>
  <c r="T423" i="16"/>
  <c r="M420" i="16"/>
  <c r="AX417" i="16"/>
  <c r="X415" i="16"/>
  <c r="AL413" i="16"/>
  <c r="AA411" i="16"/>
  <c r="AR409" i="16"/>
  <c r="AU407" i="16"/>
  <c r="O406" i="16"/>
  <c r="AX403" i="16"/>
  <c r="R402" i="16"/>
  <c r="Q400" i="16"/>
  <c r="AG398" i="16"/>
  <c r="T396" i="16"/>
  <c r="AJ394" i="16"/>
  <c r="AQ392" i="16"/>
  <c r="J391" i="16"/>
  <c r="AT388" i="16"/>
  <c r="M387" i="16"/>
  <c r="M385" i="16"/>
  <c r="AC383" i="16"/>
  <c r="P381" i="16"/>
  <c r="AF379" i="16"/>
  <c r="AJ377" i="16"/>
  <c r="F376" i="16"/>
  <c r="AM373" i="16"/>
  <c r="N372" i="16"/>
  <c r="AB370" i="16"/>
  <c r="AX368" i="16"/>
  <c r="E367" i="16"/>
  <c r="AE365" i="16"/>
  <c r="AW363" i="16"/>
  <c r="Y362" i="16"/>
  <c r="Z360" i="16"/>
  <c r="F359" i="16"/>
  <c r="L357" i="16"/>
  <c r="AM355" i="16"/>
  <c r="AQ353" i="16"/>
  <c r="P352" i="16"/>
  <c r="AG350" i="16"/>
  <c r="N349" i="16"/>
  <c r="O347" i="16"/>
  <c r="AK345" i="16"/>
  <c r="AX343" i="16"/>
  <c r="Z342" i="16"/>
  <c r="AB340" i="16"/>
  <c r="H339" i="16"/>
  <c r="Y337" i="16"/>
  <c r="F336" i="16"/>
  <c r="N334" i="16"/>
  <c r="AV332" i="16"/>
  <c r="N331" i="16"/>
  <c r="AV329" i="16"/>
  <c r="J328" i="16"/>
  <c r="AK326" i="16"/>
  <c r="X325" i="16"/>
  <c r="M324" i="16"/>
  <c r="AF322" i="16"/>
  <c r="AC321" i="16"/>
  <c r="M320" i="16"/>
  <c r="L319" i="16"/>
  <c r="AT317" i="16"/>
  <c r="AU316" i="16"/>
  <c r="AQ315" i="16"/>
  <c r="AR314" i="16"/>
  <c r="AB313" i="16"/>
  <c r="AC312" i="16"/>
  <c r="R311" i="16"/>
  <c r="S310" i="16"/>
  <c r="F309" i="16"/>
  <c r="G308" i="16"/>
  <c r="AW306" i="16"/>
  <c r="AX305" i="16"/>
  <c r="AI304" i="16"/>
  <c r="AJ303" i="16"/>
  <c r="F428" i="16"/>
  <c r="AA425" i="16"/>
  <c r="L422" i="16"/>
  <c r="AS419" i="16"/>
  <c r="M417" i="16"/>
  <c r="T415" i="16"/>
  <c r="J413" i="16"/>
  <c r="Z411" i="16"/>
  <c r="Y409" i="16"/>
  <c r="AM407" i="16"/>
  <c r="AB405" i="16"/>
  <c r="AS403" i="16"/>
  <c r="AV401" i="16"/>
  <c r="P400" i="16"/>
  <c r="E398" i="16"/>
  <c r="S396" i="16"/>
  <c r="R394" i="16"/>
  <c r="AC392" i="16"/>
  <c r="X390" i="16"/>
  <c r="AF388" i="16"/>
  <c r="AR386" i="16"/>
  <c r="L385" i="16"/>
  <c r="AU382" i="16"/>
  <c r="N381" i="16"/>
  <c r="H379" i="16"/>
  <c r="Y377" i="16"/>
  <c r="K375" i="16"/>
  <c r="AC373" i="16"/>
  <c r="AT371" i="16"/>
  <c r="AA370" i="16"/>
  <c r="AB368" i="16"/>
  <c r="AX366" i="16"/>
  <c r="N365" i="16"/>
  <c r="AJ363" i="16"/>
  <c r="AK361" i="16"/>
  <c r="R360" i="16"/>
  <c r="AI358" i="16"/>
  <c r="K357" i="16"/>
  <c r="M355" i="16"/>
  <c r="AM353" i="16"/>
  <c r="AV351" i="16"/>
  <c r="AB350" i="16"/>
  <c r="AC348" i="16"/>
  <c r="E347" i="16"/>
  <c r="T345" i="16"/>
  <c r="AW343" i="16"/>
  <c r="E342" i="16"/>
  <c r="AA340" i="16"/>
  <c r="AK338" i="16"/>
  <c r="M337" i="16"/>
  <c r="X335" i="16"/>
  <c r="I334" i="16"/>
  <c r="AF332" i="16"/>
  <c r="M331" i="16"/>
  <c r="X329" i="16"/>
  <c r="I328" i="16"/>
  <c r="X326" i="16"/>
  <c r="M325" i="16"/>
  <c r="AG323" i="16"/>
  <c r="Z322" i="16"/>
  <c r="O321" i="16"/>
  <c r="K320" i="16"/>
  <c r="AR318" i="16"/>
  <c r="AS317" i="16"/>
  <c r="AH316" i="16"/>
  <c r="AH315" i="16"/>
  <c r="S314" i="16"/>
  <c r="T313" i="16"/>
  <c r="P312" i="16"/>
  <c r="Q311" i="16"/>
  <c r="E310" i="16"/>
  <c r="E309" i="16"/>
  <c r="AQ307" i="16"/>
  <c r="AR306" i="16"/>
  <c r="AC305" i="16"/>
  <c r="AC304" i="16"/>
  <c r="Z303" i="16"/>
  <c r="AX427" i="16"/>
  <c r="Z425" i="16"/>
  <c r="K422" i="16"/>
  <c r="AR419" i="16"/>
  <c r="L417" i="16"/>
  <c r="S415" i="16"/>
  <c r="I413" i="16"/>
  <c r="Y411" i="16"/>
  <c r="X409" i="16"/>
  <c r="AL407" i="16"/>
  <c r="AA405" i="16"/>
  <c r="AR403" i="16"/>
  <c r="AU401" i="16"/>
  <c r="O400" i="16"/>
  <c r="AX397" i="16"/>
  <c r="R396" i="16"/>
  <c r="L394" i="16"/>
  <c r="AB392" i="16"/>
  <c r="N390" i="16"/>
  <c r="AE388" i="16"/>
  <c r="AQ386" i="16"/>
  <c r="E385" i="16"/>
  <c r="AT382" i="16"/>
  <c r="H381" i="16"/>
  <c r="G379" i="16"/>
  <c r="X377" i="16"/>
  <c r="J375" i="16"/>
  <c r="AB373" i="16"/>
  <c r="AS371" i="16"/>
  <c r="Y370" i="16"/>
  <c r="AA368" i="16"/>
  <c r="AW366" i="16"/>
  <c r="M365" i="16"/>
  <c r="AI363" i="16"/>
  <c r="AJ361" i="16"/>
  <c r="Q360" i="16"/>
  <c r="AH358" i="16"/>
  <c r="J357" i="16"/>
  <c r="L355" i="16"/>
  <c r="AL353" i="16"/>
  <c r="AU351" i="16"/>
  <c r="AA350" i="16"/>
  <c r="AB348" i="16"/>
  <c r="AX346" i="16"/>
  <c r="S345" i="16"/>
  <c r="AV343" i="16"/>
  <c r="AX341" i="16"/>
  <c r="Y340" i="16"/>
  <c r="AJ338" i="16"/>
  <c r="L337" i="16"/>
  <c r="T335" i="16"/>
  <c r="H334" i="16"/>
  <c r="AE332" i="16"/>
  <c r="L331" i="16"/>
  <c r="T329" i="16"/>
  <c r="H328" i="16"/>
  <c r="T326" i="16"/>
  <c r="L325" i="16"/>
  <c r="AF323" i="16"/>
  <c r="Y322" i="16"/>
  <c r="N321" i="16"/>
  <c r="J320" i="16"/>
  <c r="AQ318" i="16"/>
  <c r="AR317" i="16"/>
  <c r="AG316" i="16"/>
  <c r="AG315" i="16"/>
  <c r="R314" i="16"/>
  <c r="S313" i="16"/>
  <c r="O312" i="16"/>
  <c r="P311" i="16"/>
  <c r="AW309" i="16"/>
  <c r="AX308" i="16"/>
  <c r="AM307" i="16"/>
  <c r="AQ306" i="16"/>
  <c r="AB305" i="16"/>
  <c r="AB304" i="16"/>
  <c r="Y303" i="16"/>
  <c r="AT429" i="16"/>
  <c r="AU425" i="16"/>
  <c r="AR421" i="16"/>
  <c r="N418" i="16"/>
  <c r="X414" i="16"/>
  <c r="F412" i="16"/>
  <c r="AQ408" i="16"/>
  <c r="Y406" i="16"/>
  <c r="AX402" i="16"/>
  <c r="S400" i="16"/>
  <c r="AG397" i="16"/>
  <c r="J395" i="16"/>
  <c r="AQ391" i="16"/>
  <c r="L389" i="16"/>
  <c r="M386" i="16"/>
  <c r="AE383" i="16"/>
  <c r="O380" i="16"/>
  <c r="AL377" i="16"/>
  <c r="F375" i="16"/>
  <c r="AB372" i="16"/>
  <c r="AE369" i="16"/>
  <c r="AB367" i="16"/>
  <c r="AH364" i="16"/>
  <c r="AE362" i="16"/>
  <c r="AG359" i="16"/>
  <c r="S357" i="16"/>
  <c r="AR354" i="16"/>
  <c r="AM352" i="16"/>
  <c r="AR349" i="16"/>
  <c r="AC347" i="16"/>
  <c r="AU344" i="16"/>
  <c r="AG342" i="16"/>
  <c r="AI339" i="16"/>
  <c r="AB337" i="16"/>
  <c r="P335" i="16"/>
  <c r="L333" i="16"/>
  <c r="AA330" i="16"/>
  <c r="AA328" i="16"/>
  <c r="E326" i="16"/>
  <c r="O324" i="16"/>
  <c r="AV321" i="16"/>
  <c r="P320" i="16"/>
  <c r="AE318" i="16"/>
  <c r="K317" i="16"/>
  <c r="M315" i="16"/>
  <c r="AI313" i="16"/>
  <c r="AV311" i="16"/>
  <c r="X310" i="16"/>
  <c r="Y308" i="16"/>
  <c r="F307" i="16"/>
  <c r="T305" i="16"/>
  <c r="AS303" i="16"/>
  <c r="AS429" i="16"/>
  <c r="AW424" i="16"/>
  <c r="P421" i="16"/>
  <c r="AK416" i="16"/>
  <c r="J414" i="16"/>
  <c r="X411" i="16"/>
  <c r="AM408" i="16"/>
  <c r="Z405" i="16"/>
  <c r="AW402" i="16"/>
  <c r="AK399" i="16"/>
  <c r="S397" i="16"/>
  <c r="F394" i="16"/>
  <c r="X391" i="16"/>
  <c r="AD388" i="16"/>
  <c r="L386" i="16"/>
  <c r="AJ382" i="16"/>
  <c r="I380" i="16"/>
  <c r="J377" i="16"/>
  <c r="AB374" i="16"/>
  <c r="AB371" i="16"/>
  <c r="X369" i="16"/>
  <c r="AV366" i="16"/>
  <c r="AG364" i="16"/>
  <c r="AI361" i="16"/>
  <c r="AE359" i="16"/>
  <c r="AM356" i="16"/>
  <c r="AI354" i="16"/>
  <c r="AK351" i="16"/>
  <c r="Y349" i="16"/>
  <c r="AW346" i="16"/>
  <c r="AS344" i="16"/>
  <c r="AU341" i="16"/>
  <c r="AG339" i="16"/>
  <c r="F337" i="16"/>
  <c r="AV334" i="16"/>
  <c r="N332" i="16"/>
  <c r="O330" i="16"/>
  <c r="F328" i="16"/>
  <c r="AX325" i="16"/>
  <c r="AE323" i="16"/>
  <c r="AU321" i="16"/>
  <c r="AS319" i="16"/>
  <c r="Z318" i="16"/>
  <c r="AA316" i="16"/>
  <c r="AW314" i="16"/>
  <c r="R313" i="16"/>
  <c r="AU311" i="16"/>
  <c r="AV309" i="16"/>
  <c r="X308" i="16"/>
  <c r="AH306" i="16"/>
  <c r="J305" i="16"/>
  <c r="L303" i="16"/>
  <c r="AR429" i="16"/>
  <c r="AV424" i="16"/>
  <c r="O421" i="16"/>
  <c r="AJ416" i="16"/>
  <c r="I414" i="16"/>
  <c r="T411" i="16"/>
  <c r="AL408" i="16"/>
  <c r="Q405" i="16"/>
  <c r="AV402" i="16"/>
  <c r="AJ399" i="16"/>
  <c r="R397" i="16"/>
  <c r="E394" i="16"/>
  <c r="T391" i="16"/>
  <c r="AC388" i="16"/>
  <c r="K386" i="16"/>
  <c r="AI382" i="16"/>
  <c r="H380" i="16"/>
  <c r="I377" i="16"/>
  <c r="AA374" i="16"/>
  <c r="AA371" i="16"/>
  <c r="Q369" i="16"/>
  <c r="AU366" i="16"/>
  <c r="AF364" i="16"/>
  <c r="AH361" i="16"/>
  <c r="AA359" i="16"/>
  <c r="AL356" i="16"/>
  <c r="AE354" i="16"/>
  <c r="AG351" i="16"/>
  <c r="R349" i="16"/>
  <c r="AV346" i="16"/>
  <c r="AL344" i="16"/>
  <c r="AQ341" i="16"/>
  <c r="AB339" i="16"/>
  <c r="AV336" i="16"/>
  <c r="AR334" i="16"/>
  <c r="J332" i="16"/>
  <c r="N330" i="16"/>
  <c r="AV327" i="16"/>
  <c r="AV325" i="16"/>
  <c r="AC323" i="16"/>
  <c r="AT321" i="16"/>
  <c r="AR319" i="16"/>
  <c r="Y318" i="16"/>
  <c r="Z316" i="16"/>
  <c r="AV314" i="16"/>
  <c r="Q313" i="16"/>
  <c r="AT311" i="16"/>
  <c r="AU309" i="16"/>
  <c r="T308" i="16"/>
  <c r="AG306" i="16"/>
  <c r="I305" i="16"/>
  <c r="K303" i="16"/>
  <c r="AH429" i="16"/>
  <c r="R424" i="16"/>
  <c r="AJ420" i="16"/>
  <c r="AF416" i="16"/>
  <c r="AX413" i="16"/>
  <c r="AB410" i="16"/>
  <c r="J408" i="16"/>
  <c r="P405" i="16"/>
  <c r="AH402" i="16"/>
  <c r="R399" i="16"/>
  <c r="AW396" i="16"/>
  <c r="AK393" i="16"/>
  <c r="N391" i="16"/>
  <c r="AU387" i="16"/>
  <c r="P385" i="16"/>
  <c r="AD382" i="16"/>
  <c r="F380" i="16"/>
  <c r="AJ376" i="16"/>
  <c r="I374" i="16"/>
  <c r="Z371" i="16"/>
  <c r="K369" i="16"/>
  <c r="M366" i="16"/>
  <c r="F364" i="16"/>
  <c r="AG361" i="16"/>
  <c r="R359" i="16"/>
  <c r="X356" i="16"/>
  <c r="M354" i="16"/>
  <c r="AA351" i="16"/>
  <c r="Q349" i="16"/>
  <c r="S346" i="16"/>
  <c r="H344" i="16"/>
  <c r="AI341" i="16"/>
  <c r="AA339" i="16"/>
  <c r="AF336" i="16"/>
  <c r="AB334" i="16"/>
  <c r="I332" i="16"/>
  <c r="E330" i="16"/>
  <c r="Q327" i="16"/>
  <c r="AA325" i="16"/>
  <c r="Z323" i="16"/>
  <c r="AK321" i="16"/>
  <c r="AF319" i="16"/>
  <c r="L318" i="16"/>
  <c r="R316" i="16"/>
  <c r="AU314" i="16"/>
  <c r="AV312" i="16"/>
  <c r="X311" i="16"/>
  <c r="AM309" i="16"/>
  <c r="S308" i="16"/>
  <c r="X306" i="16"/>
  <c r="AS304" i="16"/>
  <c r="J303" i="16"/>
  <c r="AG429" i="16"/>
  <c r="Q424" i="16"/>
  <c r="AI420" i="16"/>
  <c r="Z416" i="16"/>
  <c r="AQ413" i="16"/>
  <c r="AA410" i="16"/>
  <c r="I408" i="16"/>
  <c r="N405" i="16"/>
  <c r="AG402" i="16"/>
  <c r="Q399" i="16"/>
  <c r="AM396" i="16"/>
  <c r="AJ393" i="16"/>
  <c r="M391" i="16"/>
  <c r="AT387" i="16"/>
  <c r="O385" i="16"/>
  <c r="T382" i="16"/>
  <c r="E380" i="16"/>
  <c r="AI376" i="16"/>
  <c r="H374" i="16"/>
  <c r="Y371" i="16"/>
  <c r="J369" i="16"/>
  <c r="L366" i="16"/>
  <c r="E364" i="16"/>
  <c r="AF361" i="16"/>
  <c r="Q359" i="16"/>
  <c r="T356" i="16"/>
  <c r="L354" i="16"/>
  <c r="Z351" i="16"/>
  <c r="P349" i="16"/>
  <c r="R346" i="16"/>
  <c r="F344" i="16"/>
  <c r="AG341" i="16"/>
  <c r="Z339" i="16"/>
  <c r="AE336" i="16"/>
  <c r="AA334" i="16"/>
  <c r="H332" i="16"/>
  <c r="AX329" i="16"/>
  <c r="P327" i="16"/>
  <c r="Z325" i="16"/>
  <c r="Y323" i="16"/>
  <c r="AJ321" i="16"/>
  <c r="AD319" i="16"/>
  <c r="K318" i="16"/>
  <c r="Q316" i="16"/>
  <c r="AT314" i="16"/>
  <c r="AU312" i="16"/>
  <c r="T311" i="16"/>
  <c r="AL309" i="16"/>
  <c r="R308" i="16"/>
  <c r="S306" i="16"/>
  <c r="AR304" i="16"/>
  <c r="I303" i="16"/>
  <c r="H427" i="16"/>
  <c r="Z423" i="16"/>
  <c r="AU418" i="16"/>
  <c r="AG415" i="16"/>
  <c r="AM412" i="16"/>
  <c r="X410" i="16"/>
  <c r="AV406" i="16"/>
  <c r="Q404" i="16"/>
  <c r="R401" i="16"/>
  <c r="AK398" i="16"/>
  <c r="X395" i="16"/>
  <c r="F393" i="16"/>
  <c r="K390" i="16"/>
  <c r="AC387" i="16"/>
  <c r="M384" i="16"/>
  <c r="AJ381" i="16"/>
  <c r="AG378" i="16"/>
  <c r="I376" i="16"/>
  <c r="AT372" i="16"/>
  <c r="AE370" i="16"/>
  <c r="L368" i="16"/>
  <c r="E366" i="16"/>
  <c r="G363" i="16"/>
  <c r="AL360" i="16"/>
  <c r="J358" i="16"/>
  <c r="AS355" i="16"/>
  <c r="AU352" i="16"/>
  <c r="AR350" i="16"/>
  <c r="R348" i="16"/>
  <c r="F346" i="16"/>
  <c r="H343" i="16"/>
  <c r="E341" i="16"/>
  <c r="L338" i="16"/>
  <c r="M336" i="16"/>
  <c r="AB333" i="16"/>
  <c r="X331" i="16"/>
  <c r="I329" i="16"/>
  <c r="M327" i="16"/>
  <c r="AH324" i="16"/>
  <c r="AQ322" i="16"/>
  <c r="AU320" i="16"/>
  <c r="O319" i="16"/>
  <c r="Q317" i="16"/>
  <c r="AT315" i="16"/>
  <c r="O314" i="16"/>
  <c r="AK312" i="16"/>
  <c r="AL310" i="16"/>
  <c r="R309" i="16"/>
  <c r="AA307" i="16"/>
  <c r="G306" i="16"/>
  <c r="I304" i="16"/>
  <c r="E427" i="16"/>
  <c r="AF418" i="16"/>
  <c r="Y412" i="16"/>
  <c r="AB406" i="16"/>
  <c r="O401" i="16"/>
  <c r="Q395" i="16"/>
  <c r="AE389" i="16"/>
  <c r="AT383" i="16"/>
  <c r="X378" i="16"/>
  <c r="AM372" i="16"/>
  <c r="AT367" i="16"/>
  <c r="AG362" i="16"/>
  <c r="G358" i="16"/>
  <c r="AR352" i="16"/>
  <c r="AU347" i="16"/>
  <c r="AM342" i="16"/>
  <c r="I338" i="16"/>
  <c r="R333" i="16"/>
  <c r="AR328" i="16"/>
  <c r="Q324" i="16"/>
  <c r="AQ320" i="16"/>
  <c r="N317" i="16"/>
  <c r="AW313" i="16"/>
  <c r="AD310" i="16"/>
  <c r="X307" i="16"/>
  <c r="F304" i="16"/>
  <c r="G426" i="16"/>
  <c r="T418" i="16"/>
  <c r="G412" i="16"/>
  <c r="AA406" i="16"/>
  <c r="T400" i="16"/>
  <c r="K395" i="16"/>
  <c r="M389" i="16"/>
  <c r="AF383" i="16"/>
  <c r="AM377" i="16"/>
  <c r="AC372" i="16"/>
  <c r="AC367" i="16"/>
  <c r="AF362" i="16"/>
  <c r="T357" i="16"/>
  <c r="AQ352" i="16"/>
  <c r="AD347" i="16"/>
  <c r="AH342" i="16"/>
  <c r="AC337" i="16"/>
  <c r="M333" i="16"/>
  <c r="AB328" i="16"/>
  <c r="P324" i="16"/>
  <c r="Q320" i="16"/>
  <c r="M317" i="16"/>
  <c r="AJ313" i="16"/>
  <c r="Y310" i="16"/>
  <c r="G307" i="16"/>
  <c r="AT303" i="16"/>
  <c r="AB423" i="16"/>
  <c r="Y416" i="16"/>
  <c r="Z410" i="16"/>
  <c r="AS404" i="16"/>
  <c r="F399" i="16"/>
  <c r="AI393" i="16"/>
  <c r="AR387" i="16"/>
  <c r="O382" i="16"/>
  <c r="L376" i="16"/>
  <c r="T371" i="16"/>
  <c r="J366" i="16"/>
  <c r="N361" i="16"/>
  <c r="J356" i="16"/>
  <c r="X351" i="16"/>
  <c r="Q346" i="16"/>
  <c r="X341" i="16"/>
  <c r="O336" i="16"/>
  <c r="G332" i="16"/>
  <c r="O327" i="16"/>
  <c r="J323" i="16"/>
  <c r="Y319" i="16"/>
  <c r="O316" i="16"/>
  <c r="AT312" i="16"/>
  <c r="AF309" i="16"/>
  <c r="J306" i="16"/>
  <c r="G303" i="16"/>
  <c r="AA423" i="16"/>
  <c r="X416" i="16"/>
  <c r="Y410" i="16"/>
  <c r="AR404" i="16"/>
  <c r="E399" i="16"/>
  <c r="AB393" i="16"/>
  <c r="AQ387" i="16"/>
  <c r="N382" i="16"/>
  <c r="J376" i="16"/>
  <c r="O371" i="16"/>
  <c r="F366" i="16"/>
  <c r="I361" i="16"/>
  <c r="I356" i="16"/>
  <c r="Q351" i="16"/>
  <c r="P346" i="16"/>
  <c r="T341" i="16"/>
  <c r="N336" i="16"/>
  <c r="F332" i="16"/>
  <c r="N327" i="16"/>
  <c r="I323" i="16"/>
  <c r="X319" i="16"/>
  <c r="N316" i="16"/>
  <c r="AS312" i="16"/>
  <c r="AE309" i="16"/>
  <c r="I306" i="16"/>
  <c r="F303" i="16"/>
  <c r="Y423" i="16"/>
  <c r="AF415" i="16"/>
  <c r="T410" i="16"/>
  <c r="P404" i="16"/>
  <c r="AJ398" i="16"/>
  <c r="AS392" i="16"/>
  <c r="AB387" i="16"/>
  <c r="AI381" i="16"/>
  <c r="H376" i="16"/>
  <c r="AD370" i="16"/>
  <c r="AX365" i="16"/>
  <c r="AK360" i="16"/>
  <c r="AR355" i="16"/>
  <c r="AQ350" i="16"/>
  <c r="E346" i="16"/>
  <c r="AX340" i="16"/>
  <c r="L336" i="16"/>
  <c r="T331" i="16"/>
  <c r="L327" i="16"/>
  <c r="AM322" i="16"/>
  <c r="N319" i="16"/>
  <c r="AS315" i="16"/>
  <c r="AJ312" i="16"/>
  <c r="Q309" i="16"/>
  <c r="F306" i="16"/>
  <c r="L430" i="16"/>
  <c r="AX421" i="16"/>
  <c r="Y414" i="16"/>
  <c r="AR408" i="16"/>
  <c r="E403" i="16"/>
  <c r="AH397" i="16"/>
  <c r="AR391" i="16"/>
  <c r="N386" i="16"/>
  <c r="P380" i="16"/>
  <c r="G375" i="16"/>
  <c r="AF369" i="16"/>
  <c r="AI364" i="16"/>
  <c r="AI359" i="16"/>
  <c r="AT354" i="16"/>
  <c r="AS349" i="16"/>
  <c r="AV344" i="16"/>
  <c r="AJ339" i="16"/>
  <c r="Q335" i="16"/>
  <c r="AB330" i="16"/>
  <c r="F326" i="16"/>
  <c r="AW321" i="16"/>
  <c r="AF318" i="16"/>
  <c r="N315" i="16"/>
  <c r="AW311" i="16"/>
  <c r="Z308" i="16"/>
  <c r="X305" i="16"/>
  <c r="AF427" i="16"/>
  <c r="AQ419" i="16"/>
  <c r="H413" i="16"/>
  <c r="AA407" i="16"/>
  <c r="AC401" i="16"/>
  <c r="Q396" i="16"/>
  <c r="M390" i="16"/>
  <c r="AG384" i="16"/>
  <c r="AM378" i="16"/>
  <c r="AA373" i="16"/>
  <c r="Y368" i="16"/>
  <c r="AB363" i="16"/>
  <c r="P358" i="16"/>
  <c r="AJ353" i="16"/>
  <c r="Z348" i="16"/>
  <c r="AD343" i="16"/>
  <c r="Z338" i="16"/>
  <c r="F334" i="16"/>
  <c r="S329" i="16"/>
  <c r="F325" i="16"/>
  <c r="AW320" i="16"/>
  <c r="AQ317" i="16"/>
  <c r="Q314" i="16"/>
  <c r="F311" i="16"/>
  <c r="AH307" i="16"/>
  <c r="AA304" i="16"/>
  <c r="AE427" i="16"/>
  <c r="AM419" i="16"/>
  <c r="F413" i="16"/>
  <c r="Z407" i="16"/>
  <c r="T401" i="16"/>
  <c r="J396" i="16"/>
  <c r="L390" i="16"/>
  <c r="AF384" i="16"/>
  <c r="AL378" i="16"/>
  <c r="Y373" i="16"/>
  <c r="Q368" i="16"/>
  <c r="X363" i="16"/>
  <c r="L358" i="16"/>
  <c r="AE353" i="16"/>
  <c r="S348" i="16"/>
  <c r="Y343" i="16"/>
  <c r="Y338" i="16"/>
  <c r="AV333" i="16"/>
  <c r="R329" i="16"/>
  <c r="AW324" i="16"/>
  <c r="AV320" i="16"/>
  <c r="AL317" i="16"/>
  <c r="P314" i="16"/>
  <c r="E311" i="16"/>
  <c r="AG307" i="16"/>
  <c r="Z304" i="16"/>
  <c r="F427" i="16"/>
  <c r="AG418" i="16"/>
  <c r="AA412" i="16"/>
  <c r="AC406" i="16"/>
  <c r="P401" i="16"/>
  <c r="R395" i="16"/>
  <c r="AL389" i="16"/>
  <c r="AU383" i="16"/>
  <c r="Y378" i="16"/>
  <c r="AQ372" i="16"/>
  <c r="AU367" i="16"/>
  <c r="AI362" i="16"/>
  <c r="H358" i="16"/>
  <c r="AS352" i="16"/>
  <c r="AV347" i="16"/>
  <c r="AU342" i="16"/>
  <c r="J338" i="16"/>
  <c r="Y333" i="16"/>
  <c r="AV328" i="16"/>
  <c r="R324" i="16"/>
  <c r="AR320" i="16"/>
  <c r="O317" i="16"/>
  <c r="AX313" i="16"/>
  <c r="AF310" i="16"/>
  <c r="Y307" i="16"/>
  <c r="G304" i="16"/>
  <c r="I409" i="16"/>
  <c r="O386" i="16"/>
  <c r="AV364" i="16"/>
  <c r="AX344" i="16"/>
  <c r="K326" i="16"/>
  <c r="AX311" i="16"/>
  <c r="AU406" i="16"/>
  <c r="L384" i="16"/>
  <c r="F363" i="16"/>
  <c r="G343" i="16"/>
  <c r="AG324" i="16"/>
  <c r="AK310" i="16"/>
  <c r="AH403" i="16"/>
  <c r="G381" i="16"/>
  <c r="N360" i="16"/>
  <c r="X340" i="16"/>
  <c r="X322" i="16"/>
  <c r="AW308" i="16"/>
  <c r="AG403" i="16"/>
  <c r="F381" i="16"/>
  <c r="J360" i="16"/>
  <c r="T340" i="16"/>
  <c r="T322" i="16"/>
  <c r="AV308" i="16"/>
  <c r="G427" i="16"/>
  <c r="Q401" i="16"/>
  <c r="Z378" i="16"/>
  <c r="I358" i="16"/>
  <c r="K338" i="16"/>
  <c r="AT320" i="16"/>
  <c r="Z307" i="16"/>
  <c r="T395" i="16"/>
  <c r="J355" i="16"/>
  <c r="H329" i="16"/>
  <c r="T392" i="16"/>
  <c r="I355" i="16"/>
  <c r="N326" i="16"/>
  <c r="M392" i="16"/>
  <c r="AT352" i="16"/>
  <c r="AM318" i="16"/>
  <c r="J422" i="16"/>
  <c r="J390" i="16"/>
  <c r="N350" i="16"/>
  <c r="AL318" i="16"/>
  <c r="E422" i="16"/>
  <c r="P386" i="16"/>
  <c r="M350" i="16"/>
  <c r="P317" i="16"/>
  <c r="AT418" i="16"/>
  <c r="I375" i="16"/>
  <c r="Q348" i="16"/>
  <c r="AB315" i="16"/>
  <c r="AW414" i="16"/>
  <c r="AR372" i="16"/>
  <c r="S335" i="16"/>
  <c r="N314" i="16"/>
  <c r="AW369" i="16"/>
  <c r="H304" i="16"/>
  <c r="K368" i="16"/>
  <c r="AW364" i="16"/>
  <c r="E345" i="16"/>
  <c r="R335" i="16"/>
  <c r="J409" i="16"/>
  <c r="AR330" i="16"/>
  <c r="AW397" i="16"/>
  <c r="AA315" i="16"/>
  <c r="AK412" i="16"/>
  <c r="AV397" i="16"/>
  <c r="H375" i="16"/>
  <c r="G370" i="16"/>
  <c r="AA333" i="16"/>
  <c r="Z305" i="16"/>
  <c r="AS330" i="16"/>
  <c r="E312" i="16"/>
  <c r="Y305" i="16"/>
  <c r="AX414" i="16"/>
  <c r="L40" i="22"/>
  <c r="O24" i="22"/>
  <c r="Q8" i="22"/>
  <c r="AB51" i="22"/>
  <c r="AV51" i="22"/>
  <c r="N153" i="11"/>
  <c r="R254" i="11" s="1"/>
  <c r="O206" i="11"/>
  <c r="N206" i="11" s="1"/>
  <c r="D10" i="22"/>
  <c r="O6" i="22"/>
  <c r="AZ47" i="22"/>
  <c r="AZ54" i="22"/>
  <c r="J42" i="22"/>
  <c r="P40" i="22"/>
  <c r="M42" i="22"/>
  <c r="E43" i="22"/>
  <c r="Q42" i="22"/>
  <c r="F42" i="22"/>
  <c r="H40" i="22"/>
  <c r="E42" i="22"/>
  <c r="O42" i="22"/>
  <c r="F43" i="22"/>
  <c r="M41" i="22"/>
  <c r="K40" i="22"/>
  <c r="S40" i="22"/>
  <c r="K43" i="22"/>
  <c r="Q40" i="22"/>
  <c r="Q43" i="22"/>
  <c r="E40" i="22"/>
  <c r="J40" i="22"/>
  <c r="K42" i="22"/>
  <c r="L41" i="22"/>
  <c r="J41" i="22"/>
  <c r="J43" i="22"/>
  <c r="M40" i="22"/>
  <c r="L42" i="22"/>
  <c r="N42" i="22"/>
  <c r="N41" i="22"/>
  <c r="I40" i="22"/>
  <c r="O40" i="22"/>
  <c r="I43" i="22"/>
  <c r="D40" i="22"/>
  <c r="I41" i="22"/>
  <c r="R41" i="22"/>
  <c r="F41" i="22"/>
  <c r="AC22" i="22" s="1"/>
  <c r="D42" i="22"/>
  <c r="O43" i="22"/>
  <c r="S41" i="22"/>
  <c r="K41" i="22"/>
  <c r="H43" i="22"/>
  <c r="N40" i="22"/>
  <c r="O41" i="22"/>
  <c r="R51" i="22"/>
  <c r="Q51" i="22"/>
  <c r="O53" i="22"/>
  <c r="E51" i="22"/>
  <c r="S52" i="22"/>
  <c r="P52" i="22"/>
  <c r="J54" i="22"/>
  <c r="L52" i="22"/>
  <c r="Q53" i="22"/>
  <c r="J53" i="22"/>
  <c r="N53" i="22"/>
  <c r="E52" i="22"/>
  <c r="J52" i="22"/>
  <c r="I54" i="22"/>
  <c r="D54" i="22"/>
  <c r="F53" i="22"/>
  <c r="L51" i="22"/>
  <c r="N54" i="22"/>
  <c r="F51" i="22"/>
  <c r="D52" i="22"/>
  <c r="M54" i="22"/>
  <c r="AJ50" i="22" s="1"/>
  <c r="D51" i="22"/>
  <c r="N51" i="22"/>
  <c r="J51" i="22"/>
  <c r="K51" i="22"/>
  <c r="G52" i="22"/>
  <c r="P53" i="22"/>
  <c r="G51" i="22"/>
  <c r="G53" i="22"/>
  <c r="R52" i="22"/>
  <c r="H53" i="22"/>
  <c r="S51" i="22"/>
  <c r="O54" i="22"/>
  <c r="E53" i="22"/>
  <c r="I53" i="22"/>
  <c r="F52" i="22"/>
  <c r="D53" i="22"/>
  <c r="H51" i="22"/>
  <c r="L54" i="22"/>
  <c r="Q52" i="22"/>
  <c r="M72" i="22"/>
  <c r="N71" i="22"/>
  <c r="M74" i="22"/>
  <c r="D73" i="22"/>
  <c r="Q73" i="22"/>
  <c r="E71" i="22"/>
  <c r="S73" i="22"/>
  <c r="N72" i="22"/>
  <c r="S71" i="22"/>
  <c r="G73" i="22"/>
  <c r="O72" i="22"/>
  <c r="L72" i="22"/>
  <c r="P74" i="22"/>
  <c r="I74" i="22"/>
  <c r="Q71" i="22"/>
  <c r="N74" i="22"/>
  <c r="J74" i="22"/>
  <c r="AG60" i="22" s="1"/>
  <c r="F71" i="22"/>
  <c r="G74" i="22"/>
  <c r="I72" i="22"/>
  <c r="D72" i="22"/>
  <c r="P72" i="22"/>
  <c r="R73" i="22"/>
  <c r="L74" i="22"/>
  <c r="G71" i="22"/>
  <c r="H71" i="22"/>
  <c r="L73" i="22"/>
  <c r="E73" i="22"/>
  <c r="O74" i="22"/>
  <c r="AL60" i="22" s="1"/>
  <c r="O71" i="22"/>
  <c r="R71" i="22"/>
  <c r="D71" i="22"/>
  <c r="F73" i="22"/>
  <c r="K74" i="22"/>
  <c r="I71" i="22"/>
  <c r="M71" i="22"/>
  <c r="H72" i="22"/>
  <c r="K72" i="22"/>
  <c r="P71" i="22"/>
  <c r="H73" i="22"/>
  <c r="D74" i="22"/>
  <c r="N85" i="22"/>
  <c r="D85" i="22"/>
  <c r="G84" i="22"/>
  <c r="Q84" i="22"/>
  <c r="P84" i="22"/>
  <c r="I85" i="22"/>
  <c r="M86" i="22"/>
  <c r="BD66" i="22" s="1"/>
  <c r="N86" i="22"/>
  <c r="J83" i="22"/>
  <c r="Q85" i="22"/>
  <c r="E85" i="22"/>
  <c r="O83" i="22"/>
  <c r="Q83" i="22"/>
  <c r="S86" i="22"/>
  <c r="BJ66" i="22" s="1"/>
  <c r="P83" i="22"/>
  <c r="I86" i="22"/>
  <c r="I84" i="22"/>
  <c r="K85" i="22"/>
  <c r="M84" i="22"/>
  <c r="K83" i="22"/>
  <c r="H84" i="22"/>
  <c r="F86" i="22"/>
  <c r="AW66" i="22" s="1"/>
  <c r="E84" i="22"/>
  <c r="J85" i="22"/>
  <c r="E86" i="22"/>
  <c r="G86" i="22"/>
  <c r="AD66" i="22" s="1"/>
  <c r="S83" i="22"/>
  <c r="I83" i="22"/>
  <c r="F84" i="22"/>
  <c r="R86" i="22"/>
  <c r="L85" i="22"/>
  <c r="R84" i="22"/>
  <c r="O86" i="22"/>
  <c r="D86" i="22"/>
  <c r="M83" i="22"/>
  <c r="O85" i="22"/>
  <c r="R85" i="22"/>
  <c r="N83" i="22"/>
  <c r="R83" i="22"/>
  <c r="J84" i="22"/>
  <c r="E83" i="22"/>
  <c r="H83" i="22"/>
  <c r="Q86" i="22"/>
  <c r="D83" i="22"/>
  <c r="P86" i="22"/>
  <c r="D84" i="22"/>
  <c r="L83" i="22"/>
  <c r="O84" i="22"/>
  <c r="U20" i="21"/>
  <c r="BA96" i="20"/>
  <c r="U19" i="21"/>
  <c r="BA92" i="20"/>
  <c r="BD92" i="20" s="1"/>
  <c r="CI19" i="20"/>
  <c r="CM19" i="20"/>
  <c r="CH19" i="20"/>
  <c r="BA26" i="20"/>
  <c r="G19" i="21"/>
  <c r="G20" i="21"/>
  <c r="BA22" i="20"/>
  <c r="BD22" i="20" s="1"/>
  <c r="AE17" i="21"/>
  <c r="AE16" i="21"/>
  <c r="R142" i="20"/>
  <c r="U142" i="20" s="1"/>
  <c r="R146" i="20"/>
  <c r="AD19" i="21"/>
  <c r="AD20" i="21"/>
  <c r="BA137" i="20"/>
  <c r="BD137" i="20" s="1"/>
  <c r="BA141" i="20"/>
  <c r="CM17" i="20"/>
  <c r="CH17" i="20"/>
  <c r="CI17" i="20"/>
  <c r="D43" i="22"/>
  <c r="L54" i="20"/>
  <c r="Y237" i="11"/>
  <c r="O284" i="11"/>
  <c r="P233" i="11"/>
  <c r="P254" i="11"/>
  <c r="W230" i="11"/>
  <c r="R334" i="11"/>
  <c r="V285" i="11"/>
  <c r="AA52" i="22"/>
  <c r="AU52" i="22"/>
  <c r="L13" i="20"/>
  <c r="L18" i="20"/>
  <c r="C173" i="11"/>
  <c r="J251" i="11" s="1"/>
  <c r="D225" i="11"/>
  <c r="C225" i="11" s="1"/>
  <c r="C169" i="11"/>
  <c r="D221" i="11"/>
  <c r="C221" i="11" s="1"/>
  <c r="L65" i="20"/>
  <c r="L17" i="20"/>
  <c r="L9" i="20"/>
  <c r="L30" i="20"/>
  <c r="AL51" i="22"/>
  <c r="BF51" i="22"/>
  <c r="R76" i="22"/>
  <c r="P10" i="22"/>
  <c r="AA403" i="15"/>
  <c r="I320" i="15"/>
  <c r="Z368" i="15"/>
  <c r="H380" i="15"/>
  <c r="Q384" i="15"/>
  <c r="Y341" i="15"/>
  <c r="X356" i="15"/>
  <c r="Z372" i="15"/>
  <c r="G387" i="15"/>
  <c r="F402" i="15"/>
  <c r="Y288" i="15"/>
  <c r="T336" i="15"/>
  <c r="H402" i="15"/>
  <c r="O324" i="15"/>
  <c r="N385" i="15"/>
  <c r="G313" i="15"/>
  <c r="J370" i="15"/>
  <c r="G305" i="15"/>
  <c r="Z358" i="15"/>
  <c r="J298" i="15"/>
  <c r="N348" i="15"/>
  <c r="T290" i="15"/>
  <c r="T339" i="15"/>
  <c r="K406" i="15"/>
  <c r="K331" i="15"/>
  <c r="N394" i="15"/>
  <c r="F302" i="15"/>
  <c r="K322" i="15"/>
  <c r="Z343" i="15"/>
  <c r="O371" i="15"/>
  <c r="T399" i="15"/>
  <c r="X295" i="15"/>
  <c r="Z315" i="15"/>
  <c r="V336" i="15"/>
  <c r="F362" i="15"/>
  <c r="AA390" i="15"/>
  <c r="V289" i="15"/>
  <c r="X308" i="15"/>
  <c r="H330" i="15"/>
  <c r="N352" i="15"/>
  <c r="K381" i="15"/>
  <c r="Y409" i="15"/>
  <c r="N302" i="15"/>
  <c r="G323" i="15"/>
  <c r="W344" i="15"/>
  <c r="Y371" i="15"/>
  <c r="X400" i="15"/>
  <c r="N296" i="15"/>
  <c r="G316" i="15"/>
  <c r="P337" i="15"/>
  <c r="I362" i="15"/>
  <c r="I391" i="15"/>
  <c r="AA289" i="15"/>
  <c r="P309" i="15"/>
  <c r="O330" i="15"/>
  <c r="J353" i="15"/>
  <c r="V381" i="15"/>
  <c r="V410" i="15"/>
  <c r="E303" i="15"/>
  <c r="O323" i="15"/>
  <c r="G345" i="15"/>
  <c r="T372" i="15"/>
  <c r="G401" i="15"/>
  <c r="G293" i="15"/>
  <c r="N304" i="15"/>
  <c r="J316" i="15"/>
  <c r="V328" i="15"/>
  <c r="AA340" i="15"/>
  <c r="Q355" i="15"/>
  <c r="G372" i="15"/>
  <c r="AA388" i="15"/>
  <c r="S405" i="15"/>
  <c r="I292" i="15"/>
  <c r="P303" i="15"/>
  <c r="K315" i="15"/>
  <c r="T327" i="15"/>
  <c r="E340" i="15"/>
  <c r="H354" i="15"/>
  <c r="X370" i="15"/>
  <c r="S387" i="15"/>
  <c r="K404" i="15"/>
  <c r="N291" i="15"/>
  <c r="T302" i="15"/>
  <c r="O314" i="15"/>
  <c r="X326" i="15"/>
  <c r="G339" i="15"/>
  <c r="Y352" i="15"/>
  <c r="Q369" i="15"/>
  <c r="N386" i="15"/>
  <c r="E403" i="15"/>
  <c r="P290" i="15"/>
  <c r="W301" i="15"/>
  <c r="Q313" i="15"/>
  <c r="V325" i="15"/>
  <c r="H338" i="15"/>
  <c r="S351" i="15"/>
  <c r="J368" i="15"/>
  <c r="G385" i="15"/>
  <c r="W401" i="15"/>
  <c r="T289" i="15"/>
  <c r="Z300" i="15"/>
  <c r="Q312" i="15"/>
  <c r="Y324" i="15"/>
  <c r="J337" i="15"/>
  <c r="P350" i="15"/>
  <c r="E367" i="15"/>
  <c r="X383" i="15"/>
  <c r="P400" i="15"/>
  <c r="P352" i="15"/>
  <c r="AA364" i="15"/>
  <c r="Q377" i="15"/>
  <c r="H390" i="15"/>
  <c r="V402" i="15"/>
  <c r="J415" i="15"/>
  <c r="Z296" i="15"/>
  <c r="K306" i="15"/>
  <c r="N316" i="15"/>
  <c r="V326" i="15"/>
  <c r="AA336" i="15"/>
  <c r="Z347" i="15"/>
  <c r="J360" i="15"/>
  <c r="V372" i="15"/>
  <c r="K385" i="15"/>
  <c r="X397" i="15"/>
  <c r="Q410" i="15"/>
  <c r="J293" i="15"/>
  <c r="R302" i="15"/>
  <c r="N312" i="15"/>
  <c r="R322" i="15"/>
  <c r="Y332" i="15"/>
  <c r="K343" i="15"/>
  <c r="H355" i="15"/>
  <c r="V367" i="15"/>
  <c r="O380" i="15"/>
  <c r="AA392" i="15"/>
  <c r="Q405" i="15"/>
  <c r="Y351" i="15"/>
  <c r="K362" i="15"/>
  <c r="W372" i="15"/>
  <c r="J383" i="15"/>
  <c r="V393" i="15"/>
  <c r="I404" i="15"/>
  <c r="T414" i="15"/>
  <c r="V295" i="15"/>
  <c r="K304" i="15"/>
  <c r="K313" i="15"/>
  <c r="X322" i="15"/>
  <c r="I332" i="15"/>
  <c r="W341" i="15"/>
  <c r="I352" i="15"/>
  <c r="V362" i="15"/>
  <c r="H373" i="15"/>
  <c r="T383" i="15"/>
  <c r="G394" i="15"/>
  <c r="R404" i="15"/>
  <c r="F415" i="15"/>
  <c r="G295" i="15"/>
  <c r="AA302" i="15"/>
  <c r="X310" i="15"/>
  <c r="T318" i="15"/>
  <c r="Q326" i="15"/>
  <c r="N334" i="15"/>
  <c r="J342" i="15"/>
  <c r="G350" i="15"/>
  <c r="AA357" i="15"/>
  <c r="X365" i="15"/>
  <c r="T373" i="15"/>
  <c r="Q381" i="15"/>
  <c r="N389" i="15"/>
  <c r="I397" i="15"/>
  <c r="F405" i="15"/>
  <c r="Z412" i="15"/>
  <c r="I346" i="15"/>
  <c r="F354" i="15"/>
  <c r="Z361" i="15"/>
  <c r="W369" i="15"/>
  <c r="T377" i="15"/>
  <c r="Q385" i="15"/>
  <c r="N393" i="15"/>
  <c r="I401" i="15"/>
  <c r="F409" i="15"/>
  <c r="AA308" i="15"/>
  <c r="X316" i="15"/>
  <c r="T324" i="15"/>
  <c r="Q332" i="15"/>
  <c r="N340" i="15"/>
  <c r="J348" i="15"/>
  <c r="G356" i="15"/>
  <c r="AA363" i="15"/>
  <c r="X371" i="15"/>
  <c r="T379" i="15"/>
  <c r="Q387" i="15"/>
  <c r="N395" i="15"/>
  <c r="I403" i="15"/>
  <c r="F411" i="15"/>
  <c r="S290" i="15"/>
  <c r="X297" i="15"/>
  <c r="E305" i="15"/>
  <c r="I312" i="15"/>
  <c r="O319" i="15"/>
  <c r="S326" i="15"/>
  <c r="X333" i="15"/>
  <c r="E341" i="15"/>
  <c r="I348" i="15"/>
  <c r="O355" i="15"/>
  <c r="S362" i="15"/>
  <c r="X369" i="15"/>
  <c r="E377" i="15"/>
  <c r="I384" i="15"/>
  <c r="O391" i="15"/>
  <c r="S398" i="15"/>
  <c r="X405" i="15"/>
  <c r="D9" i="22"/>
  <c r="J86" i="22"/>
  <c r="R4" i="22"/>
  <c r="J25" i="22"/>
  <c r="G41" i="22"/>
  <c r="Q35" i="22"/>
  <c r="BB56" i="22"/>
  <c r="AH56" i="22"/>
  <c r="G10" i="22"/>
  <c r="Q41" i="22"/>
  <c r="F11" i="22"/>
  <c r="AC7" i="22" s="1"/>
  <c r="N73" i="22"/>
  <c r="AY54" i="22"/>
  <c r="AE54" i="22"/>
  <c r="H42" i="22"/>
  <c r="AV48" i="22"/>
  <c r="AB48" i="22"/>
  <c r="M43" i="22"/>
  <c r="N257" i="12"/>
  <c r="AI257" i="12" s="1"/>
  <c r="Q252" i="12"/>
  <c r="AL252" i="12" s="1"/>
  <c r="R372" i="12"/>
  <c r="AM372" i="12" s="1"/>
  <c r="W249" i="12"/>
  <c r="AR249" i="12" s="1"/>
  <c r="S256" i="12"/>
  <c r="AN256" i="12" s="1"/>
  <c r="N268" i="12"/>
  <c r="AI268" i="12" s="1"/>
  <c r="O268" i="12"/>
  <c r="AJ268" i="12" s="1"/>
  <c r="Q300" i="12"/>
  <c r="AL300" i="12" s="1"/>
  <c r="P263" i="12"/>
  <c r="AK263" i="12" s="1"/>
  <c r="Q263" i="12"/>
  <c r="AL263" i="12" s="1"/>
  <c r="S265" i="12"/>
  <c r="AN265" i="12" s="1"/>
  <c r="N248" i="12"/>
  <c r="AI248" i="12" s="1"/>
  <c r="W365" i="12"/>
  <c r="AR365" i="12" s="1"/>
  <c r="W267" i="12"/>
  <c r="AR267" i="12" s="1"/>
  <c r="R291" i="12"/>
  <c r="AM291" i="12" s="1"/>
  <c r="S363" i="12"/>
  <c r="AN363" i="12" s="1"/>
  <c r="Q277" i="12"/>
  <c r="AL277" i="12" s="1"/>
  <c r="W276" i="12"/>
  <c r="AR276" i="12" s="1"/>
  <c r="W313" i="12"/>
  <c r="AR313" i="12" s="1"/>
  <c r="X295" i="12"/>
  <c r="AS295" i="12" s="1"/>
  <c r="R352" i="12"/>
  <c r="AM352" i="12" s="1"/>
  <c r="S352" i="12"/>
  <c r="AN352" i="12" s="1"/>
  <c r="R252" i="12"/>
  <c r="AM252" i="12" s="1"/>
  <c r="R270" i="12"/>
  <c r="AM270" i="12" s="1"/>
  <c r="X294" i="12"/>
  <c r="AS294" i="12" s="1"/>
  <c r="X330" i="12"/>
  <c r="AS330" i="12" s="1"/>
  <c r="P248" i="12"/>
  <c r="AK248" i="12" s="1"/>
  <c r="S270" i="12"/>
  <c r="AN270" i="12" s="1"/>
  <c r="N298" i="12"/>
  <c r="AI298" i="12" s="1"/>
  <c r="N334" i="12"/>
  <c r="AI334" i="12" s="1"/>
  <c r="Q371" i="12"/>
  <c r="AL371" i="12" s="1"/>
  <c r="Q262" i="12"/>
  <c r="AL262" i="12" s="1"/>
  <c r="W286" i="12"/>
  <c r="AR286" i="12" s="1"/>
  <c r="N320" i="12"/>
  <c r="AI320" i="12" s="1"/>
  <c r="N355" i="12"/>
  <c r="AI355" i="12" s="1"/>
  <c r="S255" i="12"/>
  <c r="AN255" i="12" s="1"/>
  <c r="O276" i="12"/>
  <c r="AJ276" i="12" s="1"/>
  <c r="O308" i="12"/>
  <c r="AJ308" i="12" s="1"/>
  <c r="X345" i="12"/>
  <c r="AS345" i="12" s="1"/>
  <c r="N247" i="12"/>
  <c r="AI247" i="12" s="1"/>
  <c r="Q269" i="12"/>
  <c r="AL269" i="12" s="1"/>
  <c r="Q299" i="12"/>
  <c r="AL299" i="12" s="1"/>
  <c r="Q335" i="12"/>
  <c r="AL335" i="12" s="1"/>
  <c r="N369" i="12"/>
  <c r="AI369" i="12" s="1"/>
  <c r="W262" i="12"/>
  <c r="AR262" i="12" s="1"/>
  <c r="R281" i="12"/>
  <c r="AM281" i="12" s="1"/>
  <c r="R317" i="12"/>
  <c r="AM317" i="12" s="1"/>
  <c r="O351" i="12"/>
  <c r="AJ351" i="12" s="1"/>
  <c r="X253" i="12"/>
  <c r="AS253" i="12" s="1"/>
  <c r="X271" i="12"/>
  <c r="AS271" i="12" s="1"/>
  <c r="P300" i="12"/>
  <c r="AK300" i="12" s="1"/>
  <c r="P336" i="12"/>
  <c r="AK336" i="12" s="1"/>
  <c r="W282" i="12"/>
  <c r="AR282" i="12" s="1"/>
  <c r="W300" i="12"/>
  <c r="AR300" i="12" s="1"/>
  <c r="W318" i="12"/>
  <c r="AR318" i="12" s="1"/>
  <c r="W336" i="12"/>
  <c r="AR336" i="12" s="1"/>
  <c r="R357" i="12"/>
  <c r="AM357" i="12" s="1"/>
  <c r="O289" i="12"/>
  <c r="AJ289" i="12" s="1"/>
  <c r="O307" i="12"/>
  <c r="AJ307" i="12" s="1"/>
  <c r="O325" i="12"/>
  <c r="AJ325" i="12" s="1"/>
  <c r="R344" i="12"/>
  <c r="AM344" i="12" s="1"/>
  <c r="R362" i="12"/>
  <c r="AM362" i="12" s="1"/>
  <c r="P253" i="12"/>
  <c r="AK253" i="12" s="1"/>
  <c r="P271" i="12"/>
  <c r="AK271" i="12" s="1"/>
  <c r="P289" i="12"/>
  <c r="AK289" i="12" s="1"/>
  <c r="P307" i="12"/>
  <c r="AK307" i="12" s="1"/>
  <c r="P325" i="12"/>
  <c r="AK325" i="12" s="1"/>
  <c r="S344" i="12"/>
  <c r="AN344" i="12" s="1"/>
  <c r="O365" i="12"/>
  <c r="AJ365" i="12" s="1"/>
  <c r="Q289" i="12"/>
  <c r="AL289" i="12" s="1"/>
  <c r="Q307" i="12"/>
  <c r="AL307" i="12" s="1"/>
  <c r="Q325" i="12"/>
  <c r="AL325" i="12" s="1"/>
  <c r="W344" i="12"/>
  <c r="AR344" i="12" s="1"/>
  <c r="P365" i="12"/>
  <c r="AK365" i="12" s="1"/>
  <c r="R301" i="12"/>
  <c r="AM301" i="12" s="1"/>
  <c r="R319" i="12"/>
  <c r="AM319" i="12" s="1"/>
  <c r="R337" i="12"/>
  <c r="AM337" i="12" s="1"/>
  <c r="O354" i="12"/>
  <c r="AJ354" i="12" s="1"/>
  <c r="O372" i="12"/>
  <c r="AJ372" i="12" s="1"/>
  <c r="S295" i="12"/>
  <c r="AN295" i="12" s="1"/>
  <c r="S313" i="12"/>
  <c r="AN313" i="12" s="1"/>
  <c r="S331" i="12"/>
  <c r="AN331" i="12" s="1"/>
  <c r="S349" i="12"/>
  <c r="AN349" i="12" s="1"/>
  <c r="S367" i="12"/>
  <c r="AN367" i="12" s="1"/>
  <c r="P351" i="12"/>
  <c r="AK351" i="12" s="1"/>
  <c r="I73" i="22"/>
  <c r="AZ53" i="22"/>
  <c r="AF53" i="22"/>
  <c r="K33" i="22"/>
  <c r="H76" i="22"/>
  <c r="X431" i="16" l="1"/>
  <c r="Q309" i="11"/>
  <c r="P256" i="11"/>
  <c r="O315" i="11"/>
  <c r="W313" i="11"/>
  <c r="O286" i="11"/>
  <c r="AJ14" i="22"/>
  <c r="BD14" i="22"/>
  <c r="V330" i="11"/>
  <c r="DI19" i="20"/>
  <c r="DH19" i="20"/>
  <c r="DG19" i="20"/>
  <c r="DF19" i="20"/>
  <c r="EK19" i="20"/>
  <c r="EJ19" i="20"/>
  <c r="EI19" i="20"/>
  <c r="EH19" i="20"/>
  <c r="DJ19" i="20"/>
  <c r="F308" i="11"/>
  <c r="F295" i="11"/>
  <c r="D289" i="11"/>
  <c r="D243" i="11"/>
  <c r="E281" i="11"/>
  <c r="G239" i="11"/>
  <c r="E240" i="11"/>
  <c r="J279" i="11"/>
  <c r="I307" i="11"/>
  <c r="E247" i="11"/>
  <c r="F288" i="11"/>
  <c r="I247" i="11"/>
  <c r="E333" i="11"/>
  <c r="G297" i="11"/>
  <c r="G358" i="11"/>
  <c r="G305" i="11"/>
  <c r="G291" i="11"/>
  <c r="F240" i="11"/>
  <c r="G246" i="11"/>
  <c r="F358" i="11"/>
  <c r="G281" i="11"/>
  <c r="J355" i="11"/>
  <c r="H358" i="11"/>
  <c r="F353" i="11"/>
  <c r="G247" i="11"/>
  <c r="D309" i="11"/>
  <c r="J250" i="11"/>
  <c r="H346" i="11"/>
  <c r="G338" i="11"/>
  <c r="G241" i="11"/>
  <c r="D230" i="11"/>
  <c r="K248" i="11"/>
  <c r="F313" i="11"/>
  <c r="F251" i="11"/>
  <c r="E347" i="11"/>
  <c r="D339" i="11"/>
  <c r="J243" i="11"/>
  <c r="H267" i="11"/>
  <c r="I287" i="11"/>
  <c r="J281" i="11"/>
  <c r="G233" i="11"/>
  <c r="P335" i="11"/>
  <c r="Y273" i="11"/>
  <c r="R283" i="11"/>
  <c r="E307" i="11"/>
  <c r="E260" i="11"/>
  <c r="H240" i="11"/>
  <c r="AB8" i="22"/>
  <c r="AV8" i="22"/>
  <c r="BI9" i="22"/>
  <c r="AO9" i="22"/>
  <c r="W244" i="11"/>
  <c r="E298" i="11"/>
  <c r="D323" i="11"/>
  <c r="F265" i="11"/>
  <c r="U56" i="20"/>
  <c r="EK29" i="20"/>
  <c r="EJ29" i="20"/>
  <c r="DJ29" i="20"/>
  <c r="EI29" i="20"/>
  <c r="DI29" i="20"/>
  <c r="DG29" i="20"/>
  <c r="DH29" i="20"/>
  <c r="DF29" i="20"/>
  <c r="EH29" i="20"/>
  <c r="R273" i="11"/>
  <c r="R309" i="11"/>
  <c r="E344" i="11"/>
  <c r="EW10" i="20"/>
  <c r="DY10" i="20"/>
  <c r="ET10" i="20"/>
  <c r="EV10" i="20"/>
  <c r="DV10" i="20"/>
  <c r="EU10" i="20"/>
  <c r="DU10" i="20"/>
  <c r="DW10" i="20"/>
  <c r="DX10" i="20"/>
  <c r="BJ64" i="22"/>
  <c r="AP64" i="22"/>
  <c r="V329" i="11"/>
  <c r="O241" i="11"/>
  <c r="G319" i="11"/>
  <c r="E337" i="11"/>
  <c r="I249" i="11"/>
  <c r="AG16" i="21"/>
  <c r="R152" i="20"/>
  <c r="U152" i="20" s="1"/>
  <c r="R156" i="20"/>
  <c r="AG17" i="21"/>
  <c r="EG23" i="20"/>
  <c r="DD23" i="20"/>
  <c r="ED23" i="20"/>
  <c r="DA23" i="20"/>
  <c r="DE23" i="20"/>
  <c r="DC23" i="20"/>
  <c r="DB23" i="20"/>
  <c r="EF23" i="20"/>
  <c r="EE23" i="20"/>
  <c r="EO25" i="20"/>
  <c r="EL25" i="20"/>
  <c r="DN25" i="20"/>
  <c r="DM25" i="20"/>
  <c r="DL25" i="20"/>
  <c r="EN25" i="20"/>
  <c r="EM25" i="20"/>
  <c r="DO25" i="20"/>
  <c r="DK25" i="20"/>
  <c r="X328" i="11"/>
  <c r="P260" i="11"/>
  <c r="R321" i="11"/>
  <c r="W246" i="11"/>
  <c r="BA57" i="22"/>
  <c r="AG57" i="22"/>
  <c r="AB10" i="22"/>
  <c r="AV10" i="22"/>
  <c r="Q276" i="11"/>
  <c r="X256" i="11"/>
  <c r="O285" i="11"/>
  <c r="BI64" i="22"/>
  <c r="AO64" i="22"/>
  <c r="BB64" i="22"/>
  <c r="AH64" i="22"/>
  <c r="BF64" i="22"/>
  <c r="AL64" i="22"/>
  <c r="AD10" i="22"/>
  <c r="AX10" i="22"/>
  <c r="AZ10" i="22"/>
  <c r="AF10" i="22"/>
  <c r="AD11" i="22"/>
  <c r="AX11" i="22"/>
  <c r="BD11" i="22"/>
  <c r="AJ11" i="22"/>
  <c r="O343" i="11"/>
  <c r="AW17" i="22"/>
  <c r="AC17" i="22"/>
  <c r="AX17" i="22"/>
  <c r="AD17" i="22"/>
  <c r="BF16" i="22"/>
  <c r="AL16" i="22"/>
  <c r="O253" i="11"/>
  <c r="Q281" i="11"/>
  <c r="R244" i="11"/>
  <c r="DP8" i="20"/>
  <c r="EP8" i="20"/>
  <c r="DT8" i="20"/>
  <c r="DS8" i="20"/>
  <c r="DR8" i="20"/>
  <c r="ES8" i="20"/>
  <c r="ER8" i="20"/>
  <c r="EQ8" i="20"/>
  <c r="DQ8" i="20"/>
  <c r="AJ20" i="22"/>
  <c r="BD20" i="22"/>
  <c r="V232" i="11"/>
  <c r="AP50" i="22"/>
  <c r="BJ50" i="22"/>
  <c r="P261" i="11"/>
  <c r="BA18" i="22"/>
  <c r="AG18" i="22"/>
  <c r="W260" i="11"/>
  <c r="K286" i="11"/>
  <c r="X314" i="11"/>
  <c r="AW431" i="16"/>
  <c r="H431" i="16"/>
  <c r="V263" i="11"/>
  <c r="BC4" i="22"/>
  <c r="AI4" i="22"/>
  <c r="W256" i="11"/>
  <c r="AY62" i="22"/>
  <c r="AE62" i="22"/>
  <c r="Y311" i="11"/>
  <c r="CW25" i="20"/>
  <c r="CV25" i="20"/>
  <c r="EC25" i="20"/>
  <c r="DZ25" i="20"/>
  <c r="CX25" i="20"/>
  <c r="EB25" i="20"/>
  <c r="EA25" i="20"/>
  <c r="CZ25" i="20"/>
  <c r="CY25" i="20"/>
  <c r="V252" i="11"/>
  <c r="X263" i="11"/>
  <c r="O307" i="11"/>
  <c r="X264" i="11"/>
  <c r="W344" i="11"/>
  <c r="R322" i="11"/>
  <c r="EG13" i="20"/>
  <c r="DD13" i="20"/>
  <c r="EF13" i="20"/>
  <c r="DE13" i="20"/>
  <c r="DC13" i="20"/>
  <c r="DB13" i="20"/>
  <c r="DA13" i="20"/>
  <c r="EE13" i="20"/>
  <c r="ED13" i="20"/>
  <c r="E39" i="9"/>
  <c r="H39" i="9"/>
  <c r="DQ5" i="20"/>
  <c r="EP5" i="20"/>
  <c r="DT5" i="20"/>
  <c r="DS5" i="20"/>
  <c r="DR5" i="20"/>
  <c r="DP5" i="20"/>
  <c r="ER5" i="20"/>
  <c r="EQ5" i="20"/>
  <c r="ES5" i="20"/>
  <c r="AE7" i="22"/>
  <c r="AY7" i="22"/>
  <c r="AZ14" i="22"/>
  <c r="AF14" i="22"/>
  <c r="BG14" i="22"/>
  <c r="AM14" i="22"/>
  <c r="ES13" i="20"/>
  <c r="DP13" i="20"/>
  <c r="ER13" i="20"/>
  <c r="EQ13" i="20"/>
  <c r="EP13" i="20"/>
  <c r="DS13" i="20"/>
  <c r="DR13" i="20"/>
  <c r="DQ13" i="20"/>
  <c r="DT13" i="20"/>
  <c r="Y355" i="11"/>
  <c r="W298" i="11"/>
  <c r="X342" i="11"/>
  <c r="W236" i="11"/>
  <c r="Y264" i="11"/>
  <c r="P242" i="11"/>
  <c r="W310" i="11"/>
  <c r="V254" i="11"/>
  <c r="EK20" i="20"/>
  <c r="DH20" i="20"/>
  <c r="DG20" i="20"/>
  <c r="DJ20" i="20"/>
  <c r="EJ20" i="20"/>
  <c r="DI20" i="20"/>
  <c r="EI20" i="20"/>
  <c r="DF20" i="20"/>
  <c r="EH20" i="20"/>
  <c r="E40" i="8"/>
  <c r="H40" i="8"/>
  <c r="EL19" i="20"/>
  <c r="DN19" i="20"/>
  <c r="EN19" i="20"/>
  <c r="EM19" i="20"/>
  <c r="EO19" i="20"/>
  <c r="DO19" i="20"/>
  <c r="DM19" i="20"/>
  <c r="DL19" i="20"/>
  <c r="DK19" i="20"/>
  <c r="P288" i="11"/>
  <c r="V292" i="11"/>
  <c r="AD13" i="22"/>
  <c r="AX13" i="22"/>
  <c r="BB13" i="22"/>
  <c r="AH13" i="22"/>
  <c r="AU12" i="22"/>
  <c r="AA12" i="22"/>
  <c r="BD12" i="22"/>
  <c r="AJ12" i="22"/>
  <c r="J270" i="11"/>
  <c r="K242" i="11"/>
  <c r="H330" i="11"/>
  <c r="J266" i="11"/>
  <c r="K299" i="11"/>
  <c r="G257" i="11"/>
  <c r="E258" i="11"/>
  <c r="G243" i="11"/>
  <c r="H288" i="11"/>
  <c r="H268" i="11"/>
  <c r="K325" i="11"/>
  <c r="I265" i="11"/>
  <c r="E351" i="11"/>
  <c r="I346" i="11"/>
  <c r="E292" i="11"/>
  <c r="F230" i="11"/>
  <c r="D241" i="11"/>
  <c r="K269" i="11"/>
  <c r="F289" i="11"/>
  <c r="E251" i="11"/>
  <c r="H301" i="11"/>
  <c r="K327" i="11"/>
  <c r="G265" i="11"/>
  <c r="D254" i="11"/>
  <c r="I294" i="11"/>
  <c r="F341" i="11"/>
  <c r="J268" i="11"/>
  <c r="D267" i="11"/>
  <c r="G356" i="11"/>
  <c r="F268" i="11"/>
  <c r="J255" i="11"/>
  <c r="K298" i="11"/>
  <c r="F344" i="11"/>
  <c r="F269" i="11"/>
  <c r="D270" i="11"/>
  <c r="D357" i="11"/>
  <c r="H283" i="11"/>
  <c r="K278" i="11"/>
  <c r="D304" i="11"/>
  <c r="G336" i="11"/>
  <c r="H345" i="11"/>
  <c r="F306" i="11"/>
  <c r="K305" i="11"/>
  <c r="H252" i="11"/>
  <c r="H334" i="11"/>
  <c r="H308" i="11"/>
  <c r="K258" i="11"/>
  <c r="E293" i="11"/>
  <c r="G251" i="11"/>
  <c r="E252" i="11"/>
  <c r="R282" i="11"/>
  <c r="V306" i="11"/>
  <c r="X286" i="11"/>
  <c r="E261" i="11"/>
  <c r="D354" i="11"/>
  <c r="E286" i="11"/>
  <c r="BE8" i="22"/>
  <c r="AK8" i="22"/>
  <c r="BG9" i="22"/>
  <c r="AM9" i="22"/>
  <c r="Y279" i="11"/>
  <c r="I257" i="11"/>
  <c r="D336" i="11"/>
  <c r="G264" i="11"/>
  <c r="EM29" i="20"/>
  <c r="DO29" i="20"/>
  <c r="DK29" i="20"/>
  <c r="EN29" i="20"/>
  <c r="EL29" i="20"/>
  <c r="DN29" i="20"/>
  <c r="DM29" i="20"/>
  <c r="DL29" i="20"/>
  <c r="EO29" i="20"/>
  <c r="W347" i="11"/>
  <c r="Q247" i="11"/>
  <c r="Y358" i="11"/>
  <c r="P276" i="11"/>
  <c r="P278" i="11"/>
  <c r="E343" i="11"/>
  <c r="G296" i="11"/>
  <c r="F294" i="11"/>
  <c r="AB14" i="22"/>
  <c r="EU23" i="20"/>
  <c r="DW23" i="20"/>
  <c r="ET23" i="20"/>
  <c r="DV23" i="20"/>
  <c r="DU23" i="20"/>
  <c r="EW23" i="20"/>
  <c r="DX23" i="20"/>
  <c r="EV23" i="20"/>
  <c r="DY23" i="20"/>
  <c r="Y352" i="11"/>
  <c r="W275" i="11"/>
  <c r="P296" i="11"/>
  <c r="O280" i="11"/>
  <c r="P300" i="11"/>
  <c r="AX57" i="22"/>
  <c r="AD57" i="22"/>
  <c r="BJ58" i="22"/>
  <c r="AP58" i="22"/>
  <c r="BH57" i="22"/>
  <c r="AN57" i="22"/>
  <c r="J374" i="12"/>
  <c r="AG246" i="12"/>
  <c r="AG374" i="12" s="1"/>
  <c r="X230" i="11"/>
  <c r="Y314" i="11"/>
  <c r="BH63" i="22"/>
  <c r="AN63" i="22"/>
  <c r="AK63" i="22"/>
  <c r="BE63" i="22"/>
  <c r="AW64" i="22"/>
  <c r="AC64" i="22"/>
  <c r="AX63" i="22"/>
  <c r="AD63" i="22"/>
  <c r="AI11" i="22"/>
  <c r="BC11" i="22"/>
  <c r="BD16" i="22"/>
  <c r="AJ16" i="22"/>
  <c r="AM16" i="22"/>
  <c r="BG16" i="22"/>
  <c r="X356" i="11"/>
  <c r="W308" i="11"/>
  <c r="Y276" i="11"/>
  <c r="EJ8" i="20"/>
  <c r="DG8" i="20"/>
  <c r="EI8" i="20"/>
  <c r="DF8" i="20"/>
  <c r="EH8" i="20"/>
  <c r="DJ8" i="20"/>
  <c r="DI8" i="20"/>
  <c r="DH8" i="20"/>
  <c r="EK8" i="20"/>
  <c r="AW20" i="22"/>
  <c r="AC20" i="22"/>
  <c r="BI20" i="22"/>
  <c r="AO20" i="22"/>
  <c r="AU20" i="22"/>
  <c r="AA20" i="22"/>
  <c r="J346" i="11"/>
  <c r="E303" i="11"/>
  <c r="Q312" i="11"/>
  <c r="AD60" i="22"/>
  <c r="AX60" i="22"/>
  <c r="W350" i="11"/>
  <c r="V300" i="11"/>
  <c r="AA15" i="22"/>
  <c r="AU15" i="22"/>
  <c r="ET12" i="20"/>
  <c r="DV12" i="20"/>
  <c r="DW12" i="20"/>
  <c r="DU12" i="20"/>
  <c r="DY12" i="20"/>
  <c r="EW12" i="20"/>
  <c r="DX12" i="20"/>
  <c r="EV12" i="20"/>
  <c r="EU12" i="20"/>
  <c r="O260" i="11"/>
  <c r="J338" i="11"/>
  <c r="E244" i="11"/>
  <c r="E269" i="11"/>
  <c r="G231" i="11"/>
  <c r="J316" i="11"/>
  <c r="E310" i="11"/>
  <c r="G333" i="11"/>
  <c r="D326" i="11"/>
  <c r="K266" i="11"/>
  <c r="BF9" i="22"/>
  <c r="AL9" i="22"/>
  <c r="AP9" i="22"/>
  <c r="BJ9" i="22"/>
  <c r="AG8" i="22"/>
  <c r="BA8" i="22"/>
  <c r="Q244" i="11"/>
  <c r="F329" i="11"/>
  <c r="K310" i="11"/>
  <c r="J269" i="11"/>
  <c r="BI23" i="22"/>
  <c r="Q294" i="11"/>
  <c r="ES9" i="20"/>
  <c r="ER9" i="20"/>
  <c r="DT9" i="20"/>
  <c r="EQ9" i="20"/>
  <c r="DS9" i="20"/>
  <c r="EP9" i="20"/>
  <c r="DR9" i="20"/>
  <c r="DQ9" i="20"/>
  <c r="DP9" i="20"/>
  <c r="EH33" i="20"/>
  <c r="DH33" i="20"/>
  <c r="DG33" i="20"/>
  <c r="DF33" i="20"/>
  <c r="EI33" i="20"/>
  <c r="EJ33" i="20"/>
  <c r="DJ33" i="20"/>
  <c r="DI33" i="20"/>
  <c r="EK33" i="20"/>
  <c r="AE13" i="22"/>
  <c r="AY13" i="22"/>
  <c r="Y304" i="11"/>
  <c r="P234" i="11"/>
  <c r="X304" i="11"/>
  <c r="H297" i="11"/>
  <c r="I250" i="11"/>
  <c r="D238" i="11"/>
  <c r="DG7" i="20"/>
  <c r="EJ7" i="20"/>
  <c r="EI7" i="20"/>
  <c r="EH7" i="20"/>
  <c r="DJ7" i="20"/>
  <c r="EK7" i="20"/>
  <c r="DI7" i="20"/>
  <c r="DH7" i="20"/>
  <c r="DF7" i="20"/>
  <c r="BA12" i="22"/>
  <c r="Y298" i="11"/>
  <c r="W233" i="11"/>
  <c r="X237" i="11"/>
  <c r="P295" i="11"/>
  <c r="V344" i="11"/>
  <c r="AN58" i="22"/>
  <c r="BH58" i="22"/>
  <c r="BF58" i="22"/>
  <c r="AL58" i="22"/>
  <c r="AB246" i="12"/>
  <c r="AB374" i="12" s="1"/>
  <c r="E374" i="12"/>
  <c r="X310" i="11"/>
  <c r="O333" i="11"/>
  <c r="AM64" i="22"/>
  <c r="BG64" i="22"/>
  <c r="EA14" i="20"/>
  <c r="DZ14" i="20"/>
  <c r="CV14" i="20"/>
  <c r="CZ14" i="20"/>
  <c r="CY14" i="20"/>
  <c r="EC14" i="20"/>
  <c r="EB14" i="20"/>
  <c r="CX14" i="20"/>
  <c r="CW14" i="20"/>
  <c r="AB17" i="22"/>
  <c r="AV17" i="22"/>
  <c r="BE61" i="22"/>
  <c r="X302" i="11"/>
  <c r="V278" i="11"/>
  <c r="V324" i="11"/>
  <c r="EN8" i="20"/>
  <c r="EM8" i="20"/>
  <c r="DM8" i="20"/>
  <c r="DK8" i="20"/>
  <c r="EO8" i="20"/>
  <c r="EL8" i="20"/>
  <c r="DN8" i="20"/>
  <c r="DL8" i="20"/>
  <c r="DO8" i="20"/>
  <c r="AF20" i="22"/>
  <c r="AZ20" i="22"/>
  <c r="AH21" i="22"/>
  <c r="BB21" i="22"/>
  <c r="BF50" i="22"/>
  <c r="AL50" i="22"/>
  <c r="O245" i="11"/>
  <c r="X285" i="11"/>
  <c r="Y299" i="11"/>
  <c r="AA50" i="22"/>
  <c r="AU50" i="22"/>
  <c r="P236" i="11"/>
  <c r="Q306" i="11"/>
  <c r="W329" i="11"/>
  <c r="ES32" i="20"/>
  <c r="DS32" i="20"/>
  <c r="ER32" i="20"/>
  <c r="DR32" i="20"/>
  <c r="EQ32" i="20"/>
  <c r="DQ32" i="20"/>
  <c r="EP32" i="20"/>
  <c r="DT32" i="20"/>
  <c r="DP32" i="20"/>
  <c r="W345" i="11"/>
  <c r="EI17" i="20"/>
  <c r="EH17" i="20"/>
  <c r="DJ17" i="20"/>
  <c r="DI17" i="20"/>
  <c r="EK17" i="20"/>
  <c r="EJ17" i="20"/>
  <c r="DG17" i="20"/>
  <c r="DF17" i="20"/>
  <c r="DH17" i="20"/>
  <c r="EA29" i="20"/>
  <c r="CX29" i="20"/>
  <c r="CW29" i="20"/>
  <c r="CV29" i="20"/>
  <c r="CY29" i="20"/>
  <c r="EB29" i="20"/>
  <c r="DZ29" i="20"/>
  <c r="CZ29" i="20"/>
  <c r="EC29" i="20"/>
  <c r="V261" i="11"/>
  <c r="BG12" i="22"/>
  <c r="AM12" i="22"/>
  <c r="G288" i="11"/>
  <c r="J286" i="11"/>
  <c r="Q273" i="11"/>
  <c r="Q358" i="11"/>
  <c r="O268" i="11"/>
  <c r="X272" i="11"/>
  <c r="O324" i="11"/>
  <c r="O254" i="11"/>
  <c r="X322" i="11"/>
  <c r="X277" i="11"/>
  <c r="R16" i="21"/>
  <c r="R81" i="20"/>
  <c r="R17" i="21"/>
  <c r="R77" i="20"/>
  <c r="U77" i="20" s="1"/>
  <c r="G17" i="21"/>
  <c r="G16" i="21"/>
  <c r="R26" i="20"/>
  <c r="R22" i="20"/>
  <c r="U22" i="20" s="1"/>
  <c r="AU6" i="22"/>
  <c r="AA6" i="22"/>
  <c r="W316" i="11"/>
  <c r="R352" i="11"/>
  <c r="W245" i="11"/>
  <c r="Y282" i="11"/>
  <c r="Q260" i="11"/>
  <c r="Y250" i="11"/>
  <c r="R301" i="11"/>
  <c r="C124" i="27"/>
  <c r="D43" i="27"/>
  <c r="D42" i="27"/>
  <c r="C128" i="27" s="1"/>
  <c r="C130" i="27" s="1"/>
  <c r="R326" i="11"/>
  <c r="W343" i="11"/>
  <c r="R307" i="11"/>
  <c r="X335" i="11"/>
  <c r="Q337" i="11"/>
  <c r="X303" i="11"/>
  <c r="P325" i="11"/>
  <c r="V315" i="11"/>
  <c r="DC24" i="20"/>
  <c r="DB24" i="20"/>
  <c r="DA24" i="20"/>
  <c r="EF24" i="20"/>
  <c r="DE24" i="20"/>
  <c r="DD24" i="20"/>
  <c r="EG24" i="20"/>
  <c r="EE24" i="20"/>
  <c r="ED24" i="20"/>
  <c r="BI62" i="22"/>
  <c r="AO62" i="22"/>
  <c r="BH18" i="22"/>
  <c r="AN18" i="22"/>
  <c r="AW19" i="22"/>
  <c r="AC19" i="22"/>
  <c r="AG19" i="22"/>
  <c r="BA19" i="22"/>
  <c r="AK5" i="22"/>
  <c r="BE5" i="22"/>
  <c r="BG49" i="22"/>
  <c r="AM49" i="22"/>
  <c r="DK32" i="20"/>
  <c r="EO32" i="20"/>
  <c r="DO32" i="20"/>
  <c r="EL32" i="20"/>
  <c r="DL32" i="20"/>
  <c r="EN32" i="20"/>
  <c r="DN32" i="20"/>
  <c r="EM32" i="20"/>
  <c r="DM32" i="20"/>
  <c r="Y338" i="11"/>
  <c r="X332" i="11"/>
  <c r="X300" i="11"/>
  <c r="W300" i="11"/>
  <c r="AV19" i="22"/>
  <c r="AB19" i="22"/>
  <c r="AD22" i="22"/>
  <c r="AX22" i="22"/>
  <c r="EG25" i="20"/>
  <c r="EF25" i="20"/>
  <c r="EE25" i="20"/>
  <c r="DE25" i="20"/>
  <c r="DB25" i="20"/>
  <c r="ED25" i="20"/>
  <c r="DD25" i="20"/>
  <c r="DC25" i="20"/>
  <c r="DA25" i="20"/>
  <c r="Y324" i="11"/>
  <c r="O347" i="11"/>
  <c r="Q318" i="11"/>
  <c r="O258" i="11"/>
  <c r="AB7" i="22"/>
  <c r="AV7" i="22"/>
  <c r="AG6" i="22"/>
  <c r="BA6" i="22"/>
  <c r="ES15" i="20"/>
  <c r="ER15" i="20"/>
  <c r="DT15" i="20"/>
  <c r="EQ15" i="20"/>
  <c r="DS15" i="20"/>
  <c r="DR15" i="20"/>
  <c r="DQ15" i="20"/>
  <c r="EP15" i="20"/>
  <c r="DP15" i="20"/>
  <c r="Y319" i="11"/>
  <c r="R298" i="11"/>
  <c r="P287" i="11"/>
  <c r="AB17" i="21"/>
  <c r="R127" i="20"/>
  <c r="U127" i="20" s="1"/>
  <c r="R131" i="20"/>
  <c r="AB16" i="21"/>
  <c r="BD16" i="20"/>
  <c r="R328" i="11"/>
  <c r="AU13" i="22"/>
  <c r="AA13" i="22"/>
  <c r="H244" i="11"/>
  <c r="K281" i="11"/>
  <c r="K335" i="11"/>
  <c r="E294" i="11"/>
  <c r="K245" i="11"/>
  <c r="K267" i="11"/>
  <c r="K259" i="11"/>
  <c r="D259" i="11"/>
  <c r="D268" i="11"/>
  <c r="J267" i="11"/>
  <c r="D264" i="11"/>
  <c r="D319" i="11"/>
  <c r="D244" i="11"/>
  <c r="K304" i="11"/>
  <c r="G328" i="11"/>
  <c r="K311" i="11"/>
  <c r="F343" i="11"/>
  <c r="G342" i="11"/>
  <c r="J252" i="11"/>
  <c r="K249" i="11"/>
  <c r="J253" i="11"/>
  <c r="K341" i="11"/>
  <c r="F249" i="11"/>
  <c r="H304" i="11"/>
  <c r="G287" i="11"/>
  <c r="O291" i="11"/>
  <c r="D334" i="11"/>
  <c r="F243" i="11"/>
  <c r="AW8" i="22"/>
  <c r="AC8" i="22"/>
  <c r="Y231" i="11"/>
  <c r="J332" i="11"/>
  <c r="X248" i="11"/>
  <c r="DI9" i="20"/>
  <c r="DH9" i="20"/>
  <c r="DG9" i="20"/>
  <c r="DJ9" i="20"/>
  <c r="DF9" i="20"/>
  <c r="EH9" i="20"/>
  <c r="EK9" i="20"/>
  <c r="EJ9" i="20"/>
  <c r="EI9" i="20"/>
  <c r="X307" i="11"/>
  <c r="X238" i="11"/>
  <c r="E255" i="11"/>
  <c r="H264" i="11"/>
  <c r="EO7" i="20"/>
  <c r="DO7" i="20"/>
  <c r="DN7" i="20"/>
  <c r="DM7" i="20"/>
  <c r="DL7" i="20"/>
  <c r="DK7" i="20"/>
  <c r="EL7" i="20"/>
  <c r="EM7" i="20"/>
  <c r="EN7" i="20"/>
  <c r="BD50" i="22"/>
  <c r="X12" i="20"/>
  <c r="X13" i="20" s="1"/>
  <c r="X15" i="20" s="1"/>
  <c r="AG11" i="20" s="1"/>
  <c r="AG15" i="20" s="1"/>
  <c r="CN6" i="20" s="1"/>
  <c r="R13" i="20"/>
  <c r="U11" i="20"/>
  <c r="X137" i="20"/>
  <c r="X138" i="20" s="1"/>
  <c r="X140" i="20" s="1"/>
  <c r="AG136" i="20" s="1"/>
  <c r="AG140" i="20" s="1"/>
  <c r="CN31" i="20" s="1"/>
  <c r="R138" i="20"/>
  <c r="U136" i="20"/>
  <c r="CW16" i="20"/>
  <c r="CV16" i="20"/>
  <c r="DZ16" i="20"/>
  <c r="CZ16" i="20"/>
  <c r="CX16" i="20"/>
  <c r="EA16" i="20"/>
  <c r="CY16" i="20"/>
  <c r="EC16" i="20"/>
  <c r="EB16" i="20"/>
  <c r="V299" i="11"/>
  <c r="V346" i="11"/>
  <c r="X279" i="11"/>
  <c r="W264" i="11"/>
  <c r="R317" i="11"/>
  <c r="BJ57" i="22"/>
  <c r="AP57" i="22"/>
  <c r="P267" i="11"/>
  <c r="V244" i="11"/>
  <c r="BD86" i="20"/>
  <c r="BG63" i="22"/>
  <c r="AM63" i="22"/>
  <c r="AP10" i="22"/>
  <c r="BJ10" i="22"/>
  <c r="BE11" i="22"/>
  <c r="AK11" i="22"/>
  <c r="AB11" i="22"/>
  <c r="AV11" i="22"/>
  <c r="BB10" i="22"/>
  <c r="AH10" i="22"/>
  <c r="DC14" i="20"/>
  <c r="DB14" i="20"/>
  <c r="DA14" i="20"/>
  <c r="EF14" i="20"/>
  <c r="DE14" i="20"/>
  <c r="DD14" i="20"/>
  <c r="ED14" i="20"/>
  <c r="EG14" i="20"/>
  <c r="EE14" i="20"/>
  <c r="AH17" i="22"/>
  <c r="BB17" i="22"/>
  <c r="BE16" i="22"/>
  <c r="AK16" i="22"/>
  <c r="Y248" i="11"/>
  <c r="Q323" i="11"/>
  <c r="P245" i="11"/>
  <c r="AI21" i="22"/>
  <c r="BC21" i="22"/>
  <c r="AV21" i="22"/>
  <c r="AB21" i="22"/>
  <c r="ER14" i="20"/>
  <c r="DT14" i="20"/>
  <c r="EP14" i="20"/>
  <c r="ES14" i="20"/>
  <c r="EQ14" i="20"/>
  <c r="DS14" i="20"/>
  <c r="DR14" i="20"/>
  <c r="DQ14" i="20"/>
  <c r="DP14" i="20"/>
  <c r="AO60" i="22"/>
  <c r="BI60" i="22"/>
  <c r="N431" i="16"/>
  <c r="X243" i="11"/>
  <c r="R315" i="11"/>
  <c r="EG27" i="20"/>
  <c r="EE27" i="20"/>
  <c r="DD27" i="20"/>
  <c r="DC27" i="20"/>
  <c r="DB27" i="20"/>
  <c r="ED27" i="20"/>
  <c r="DA27" i="20"/>
  <c r="EF27" i="20"/>
  <c r="DE27" i="20"/>
  <c r="BD4" i="22"/>
  <c r="AJ4" i="22"/>
  <c r="H40" i="9"/>
  <c r="E40" i="9"/>
  <c r="AW65" i="22"/>
  <c r="AC65" i="22"/>
  <c r="Y233" i="11"/>
  <c r="EK10" i="20"/>
  <c r="DH10" i="20"/>
  <c r="DJ10" i="20"/>
  <c r="EJ10" i="20"/>
  <c r="EI10" i="20"/>
  <c r="EH10" i="20"/>
  <c r="DI10" i="20"/>
  <c r="DG10" i="20"/>
  <c r="DF10" i="20"/>
  <c r="H327" i="11"/>
  <c r="Q338" i="11"/>
  <c r="AV65" i="22"/>
  <c r="AB65" i="22"/>
  <c r="BA22" i="22"/>
  <c r="AG22" i="22"/>
  <c r="P281" i="11"/>
  <c r="V274" i="11"/>
  <c r="AB22" i="22"/>
  <c r="AV22" i="22"/>
  <c r="EE7" i="20"/>
  <c r="EF7" i="20"/>
  <c r="DE7" i="20"/>
  <c r="ED7" i="20"/>
  <c r="DD7" i="20"/>
  <c r="DC7" i="20"/>
  <c r="DB7" i="20"/>
  <c r="EG7" i="20"/>
  <c r="DA7" i="20"/>
  <c r="R311" i="11"/>
  <c r="Y274" i="11"/>
  <c r="V318" i="11"/>
  <c r="O348" i="11"/>
  <c r="O326" i="11"/>
  <c r="AA5" i="22"/>
  <c r="AU5" i="22"/>
  <c r="AF6" i="22"/>
  <c r="AZ6" i="22"/>
  <c r="DA8" i="20"/>
  <c r="DE8" i="20"/>
  <c r="EG8" i="20"/>
  <c r="DD8" i="20"/>
  <c r="DC8" i="20"/>
  <c r="DB8" i="20"/>
  <c r="EF8" i="20"/>
  <c r="EE8" i="20"/>
  <c r="ED8" i="20"/>
  <c r="Y325" i="11"/>
  <c r="X306" i="11"/>
  <c r="R333" i="11"/>
  <c r="R263" i="11"/>
  <c r="DK17" i="20"/>
  <c r="EN17" i="20"/>
  <c r="DO17" i="20"/>
  <c r="DN17" i="20"/>
  <c r="EO17" i="20"/>
  <c r="DM17" i="20"/>
  <c r="EM17" i="20"/>
  <c r="EL17" i="20"/>
  <c r="DL17" i="20"/>
  <c r="Q304" i="11"/>
  <c r="V356" i="11"/>
  <c r="Q274" i="11"/>
  <c r="V20" i="21"/>
  <c r="BA97" i="20"/>
  <c r="BD97" i="20" s="1"/>
  <c r="BA101" i="20"/>
  <c r="V19" i="21"/>
  <c r="DX29" i="20"/>
  <c r="EW29" i="20"/>
  <c r="DW29" i="20"/>
  <c r="EV29" i="20"/>
  <c r="DV29" i="20"/>
  <c r="ET29" i="20"/>
  <c r="DU29" i="20"/>
  <c r="EU29" i="20"/>
  <c r="DY29" i="20"/>
  <c r="BC7" i="22"/>
  <c r="AI7" i="22"/>
  <c r="BF15" i="22"/>
  <c r="AL15" i="22"/>
  <c r="DE12" i="20"/>
  <c r="DD12" i="20"/>
  <c r="DC12" i="20"/>
  <c r="DB12" i="20"/>
  <c r="DA12" i="20"/>
  <c r="EF12" i="20"/>
  <c r="EE12" i="20"/>
  <c r="ED12" i="20"/>
  <c r="EG12" i="20"/>
  <c r="Y320" i="11"/>
  <c r="X321" i="11"/>
  <c r="V313" i="11"/>
  <c r="V322" i="11"/>
  <c r="BD116" i="20"/>
  <c r="AP6" i="22"/>
  <c r="BJ6" i="22"/>
  <c r="BD49" i="22"/>
  <c r="AJ49" i="22"/>
  <c r="W321" i="11"/>
  <c r="O252" i="11"/>
  <c r="AK13" i="22"/>
  <c r="BE13" i="22"/>
  <c r="E259" i="11"/>
  <c r="H322" i="11"/>
  <c r="G293" i="11"/>
  <c r="I273" i="11"/>
  <c r="H335" i="11"/>
  <c r="H300" i="11"/>
  <c r="I260" i="11"/>
  <c r="D338" i="11"/>
  <c r="H250" i="11"/>
  <c r="E287" i="11"/>
  <c r="D251" i="11"/>
  <c r="G308" i="11"/>
  <c r="F340" i="11"/>
  <c r="J341" i="11"/>
  <c r="J326" i="11"/>
  <c r="D245" i="11"/>
  <c r="H305" i="11"/>
  <c r="K330" i="11"/>
  <c r="H231" i="11"/>
  <c r="F316" i="11"/>
  <c r="I350" i="11"/>
  <c r="D296" i="11"/>
  <c r="E271" i="11"/>
  <c r="E328" i="11"/>
  <c r="E288" i="11"/>
  <c r="X297" i="11"/>
  <c r="O276" i="11"/>
  <c r="J343" i="11"/>
  <c r="BI8" i="22"/>
  <c r="AO8" i="22"/>
  <c r="AV9" i="22"/>
  <c r="AB9" i="22"/>
  <c r="D236" i="11"/>
  <c r="BI57" i="22"/>
  <c r="AO57" i="22"/>
  <c r="EO33" i="20"/>
  <c r="EM33" i="20"/>
  <c r="DM33" i="20"/>
  <c r="EN33" i="20"/>
  <c r="DO33" i="20"/>
  <c r="DN33" i="20"/>
  <c r="DL33" i="20"/>
  <c r="DK33" i="20"/>
  <c r="EL33" i="20"/>
  <c r="P310" i="11"/>
  <c r="DI30" i="20"/>
  <c r="EK30" i="20"/>
  <c r="EI30" i="20"/>
  <c r="DH30" i="20"/>
  <c r="EJ30" i="20"/>
  <c r="DJ30" i="20"/>
  <c r="DG30" i="20"/>
  <c r="DF30" i="20"/>
  <c r="EH30" i="20"/>
  <c r="D340" i="11"/>
  <c r="W339" i="11"/>
  <c r="V352" i="11"/>
  <c r="Q255" i="11"/>
  <c r="O346" i="11"/>
  <c r="X255" i="11"/>
  <c r="R324" i="11"/>
  <c r="V280" i="11"/>
  <c r="BD96" i="20"/>
  <c r="BE65" i="22"/>
  <c r="AK65" i="22"/>
  <c r="AU66" i="22"/>
  <c r="AA66" i="22"/>
  <c r="BI59" i="22"/>
  <c r="AO59" i="22"/>
  <c r="BJ60" i="22"/>
  <c r="AP60" i="22"/>
  <c r="AZ50" i="22"/>
  <c r="AF50" i="22"/>
  <c r="BE49" i="22"/>
  <c r="AK49" i="22"/>
  <c r="BE50" i="22"/>
  <c r="AK50" i="22"/>
  <c r="BE22" i="22"/>
  <c r="AK22" i="22"/>
  <c r="AZ22" i="22"/>
  <c r="AF22" i="22"/>
  <c r="AN22" i="22"/>
  <c r="BH22" i="22"/>
  <c r="BD23" i="22"/>
  <c r="AJ23" i="22"/>
  <c r="AL14" i="22"/>
  <c r="BF14" i="22"/>
  <c r="AF431" i="16"/>
  <c r="AX431" i="16"/>
  <c r="P336" i="11"/>
  <c r="Y351" i="11"/>
  <c r="X254" i="11"/>
  <c r="V337" i="11"/>
  <c r="V342" i="11"/>
  <c r="O288" i="11"/>
  <c r="R230" i="11"/>
  <c r="CY32" i="20"/>
  <c r="EB32" i="20"/>
  <c r="CX32" i="20"/>
  <c r="CW32" i="20"/>
  <c r="CV32" i="20"/>
  <c r="DZ32" i="20"/>
  <c r="EC32" i="20"/>
  <c r="EA32" i="20"/>
  <c r="CZ32" i="20"/>
  <c r="AG59" i="22"/>
  <c r="BA59" i="22"/>
  <c r="Y346" i="11"/>
  <c r="V279" i="11"/>
  <c r="Q330" i="11"/>
  <c r="O351" i="11"/>
  <c r="O249" i="11"/>
  <c r="W353" i="11"/>
  <c r="W271" i="11"/>
  <c r="V336" i="11"/>
  <c r="R308" i="11"/>
  <c r="Q299" i="11"/>
  <c r="X287" i="11"/>
  <c r="Y350" i="11"/>
  <c r="Y292" i="11"/>
  <c r="V265" i="11"/>
  <c r="W280" i="11"/>
  <c r="T19" i="21"/>
  <c r="BA87" i="20"/>
  <c r="BD87" i="20" s="1"/>
  <c r="T20" i="21"/>
  <c r="BA91" i="20"/>
  <c r="EW24" i="20"/>
  <c r="DY24" i="20"/>
  <c r="EU24" i="20"/>
  <c r="DW24" i="20"/>
  <c r="DX24" i="20"/>
  <c r="DU24" i="20"/>
  <c r="EV24" i="20"/>
  <c r="ET24" i="20"/>
  <c r="DV24" i="20"/>
  <c r="AE61" i="22"/>
  <c r="AY61" i="22"/>
  <c r="AM62" i="22"/>
  <c r="BG62" i="22"/>
  <c r="BF19" i="22"/>
  <c r="AL19" i="22"/>
  <c r="AH19" i="22"/>
  <c r="BB19" i="22"/>
  <c r="Y307" i="11"/>
  <c r="V294" i="11"/>
  <c r="Q285" i="11"/>
  <c r="V349" i="11"/>
  <c r="X291" i="11"/>
  <c r="Y261" i="11"/>
  <c r="Y277" i="11"/>
  <c r="ES17" i="20"/>
  <c r="DP17" i="20"/>
  <c r="DR17" i="20"/>
  <c r="ER17" i="20"/>
  <c r="EQ17" i="20"/>
  <c r="DT17" i="20"/>
  <c r="EP17" i="20"/>
  <c r="DS17" i="20"/>
  <c r="DQ17" i="20"/>
  <c r="AD4" i="22"/>
  <c r="AX4" i="22"/>
  <c r="BE4" i="22"/>
  <c r="AK4" i="22"/>
  <c r="EO18" i="20"/>
  <c r="EN18" i="20"/>
  <c r="EM18" i="20"/>
  <c r="DO18" i="20"/>
  <c r="DN18" i="20"/>
  <c r="DM18" i="20"/>
  <c r="DK18" i="20"/>
  <c r="EL18" i="20"/>
  <c r="DL18" i="20"/>
  <c r="CW9" i="20"/>
  <c r="CV9" i="20"/>
  <c r="DZ9" i="20"/>
  <c r="EB9" i="20"/>
  <c r="EC9" i="20"/>
  <c r="EA9" i="20"/>
  <c r="CZ9" i="20"/>
  <c r="CY9" i="20"/>
  <c r="CX9" i="20"/>
  <c r="W285" i="11"/>
  <c r="Y306" i="11"/>
  <c r="Q334" i="11"/>
  <c r="Q327" i="11"/>
  <c r="R287" i="11"/>
  <c r="X246" i="11"/>
  <c r="R280" i="11"/>
  <c r="CW26" i="20"/>
  <c r="CV26" i="20"/>
  <c r="EC26" i="20"/>
  <c r="DZ26" i="20"/>
  <c r="CZ26" i="20"/>
  <c r="CX26" i="20"/>
  <c r="CY26" i="20"/>
  <c r="EB26" i="20"/>
  <c r="EA26" i="20"/>
  <c r="DC29" i="20"/>
  <c r="EG29" i="20"/>
  <c r="ED29" i="20"/>
  <c r="DD29" i="20"/>
  <c r="EF29" i="20"/>
  <c r="EE29" i="20"/>
  <c r="DB29" i="20"/>
  <c r="DA29" i="20"/>
  <c r="DE29" i="20"/>
  <c r="AC15" i="22"/>
  <c r="AW15" i="22"/>
  <c r="DI15" i="20"/>
  <c r="DH15" i="20"/>
  <c r="DG15" i="20"/>
  <c r="EH15" i="20"/>
  <c r="DJ15" i="20"/>
  <c r="EI15" i="20"/>
  <c r="DF15" i="20"/>
  <c r="EK15" i="20"/>
  <c r="EJ15" i="20"/>
  <c r="X16" i="21"/>
  <c r="R111" i="20"/>
  <c r="X17" i="21"/>
  <c r="R107" i="20"/>
  <c r="U107" i="20" s="1"/>
  <c r="EC12" i="20"/>
  <c r="EB12" i="20"/>
  <c r="EA12" i="20"/>
  <c r="CX12" i="20"/>
  <c r="CY12" i="20"/>
  <c r="CZ12" i="20"/>
  <c r="CW12" i="20"/>
  <c r="DZ12" i="20"/>
  <c r="CV12" i="20"/>
  <c r="Y301" i="11"/>
  <c r="O283" i="11"/>
  <c r="Q279" i="11"/>
  <c r="Y339" i="11"/>
  <c r="Y283" i="11"/>
  <c r="P251" i="11"/>
  <c r="R262" i="11"/>
  <c r="BD6" i="22"/>
  <c r="AJ6" i="22"/>
  <c r="BA15" i="22"/>
  <c r="AG15" i="22"/>
  <c r="P262" i="11"/>
  <c r="Q350" i="11"/>
  <c r="W247" i="11"/>
  <c r="BG13" i="22"/>
  <c r="AM13" i="22"/>
  <c r="AP12" i="22"/>
  <c r="BJ12" i="22"/>
  <c r="I322" i="11"/>
  <c r="E295" i="11"/>
  <c r="D322" i="11"/>
  <c r="G353" i="11"/>
  <c r="K353" i="11"/>
  <c r="F315" i="11"/>
  <c r="D312" i="11"/>
  <c r="H344" i="11"/>
  <c r="F232" i="11"/>
  <c r="J249" i="11"/>
  <c r="H289" i="11"/>
  <c r="H318" i="11"/>
  <c r="K277" i="11"/>
  <c r="I278" i="11"/>
  <c r="J311" i="11"/>
  <c r="G263" i="11"/>
  <c r="D233" i="11"/>
  <c r="G277" i="11"/>
  <c r="J294" i="11"/>
  <c r="G323" i="11"/>
  <c r="D298" i="11"/>
  <c r="J356" i="11"/>
  <c r="J245" i="11"/>
  <c r="K356" i="11"/>
  <c r="F270" i="11"/>
  <c r="I235" i="11"/>
  <c r="K322" i="11"/>
  <c r="H272" i="11"/>
  <c r="G346" i="11"/>
  <c r="G250" i="11"/>
  <c r="H230" i="11"/>
  <c r="G271" i="11"/>
  <c r="E236" i="11"/>
  <c r="H323" i="11"/>
  <c r="H275" i="11"/>
  <c r="K348" i="11"/>
  <c r="H274" i="11"/>
  <c r="F258" i="11"/>
  <c r="K301" i="11"/>
  <c r="H348" i="11"/>
  <c r="J271" i="11"/>
  <c r="D273" i="11"/>
  <c r="G295" i="11"/>
  <c r="E296" i="11"/>
  <c r="H282" i="11"/>
  <c r="I308" i="11"/>
  <c r="G339" i="11"/>
  <c r="E346" i="11"/>
  <c r="J309" i="11"/>
  <c r="H306" i="11"/>
  <c r="X257" i="11"/>
  <c r="X353" i="11"/>
  <c r="E356" i="11"/>
  <c r="G270" i="11"/>
  <c r="F300" i="11"/>
  <c r="AW9" i="22"/>
  <c r="AC9" i="22"/>
  <c r="BH9" i="22"/>
  <c r="AN9" i="22"/>
  <c r="W322" i="11"/>
  <c r="H355" i="11"/>
  <c r="F262" i="11"/>
  <c r="BD18" i="22"/>
  <c r="DC20" i="20"/>
  <c r="DB20" i="20"/>
  <c r="DA20" i="20"/>
  <c r="EF20" i="20"/>
  <c r="DE20" i="20"/>
  <c r="DD20" i="20"/>
  <c r="ED20" i="20"/>
  <c r="EG20" i="20"/>
  <c r="EE20" i="20"/>
  <c r="AE20" i="22"/>
  <c r="AY20" i="22"/>
  <c r="P330" i="11"/>
  <c r="EL9" i="20"/>
  <c r="DN9" i="20"/>
  <c r="DK9" i="20"/>
  <c r="EO9" i="20"/>
  <c r="EN9" i="20"/>
  <c r="DO9" i="20"/>
  <c r="DL9" i="20"/>
  <c r="EM9" i="20"/>
  <c r="DM9" i="20"/>
  <c r="DQ33" i="20"/>
  <c r="DT33" i="20"/>
  <c r="ES33" i="20"/>
  <c r="DS33" i="20"/>
  <c r="EQ33" i="20"/>
  <c r="DP33" i="20"/>
  <c r="EP33" i="20"/>
  <c r="DR33" i="20"/>
  <c r="ER33" i="20"/>
  <c r="P250" i="11"/>
  <c r="V354" i="11"/>
  <c r="W305" i="11"/>
  <c r="ES30" i="20"/>
  <c r="ER30" i="20"/>
  <c r="DR30" i="20"/>
  <c r="EP30" i="20"/>
  <c r="DS30" i="20"/>
  <c r="DP30" i="20"/>
  <c r="DT30" i="20"/>
  <c r="DQ30" i="20"/>
  <c r="EQ30" i="20"/>
  <c r="J305" i="11"/>
  <c r="I320" i="11"/>
  <c r="I234" i="11"/>
  <c r="EQ7" i="20"/>
  <c r="DS7" i="20"/>
  <c r="ES7" i="20"/>
  <c r="DR7" i="20"/>
  <c r="ER7" i="20"/>
  <c r="DQ7" i="20"/>
  <c r="EP7" i="20"/>
  <c r="DP7" i="20"/>
  <c r="DT7" i="20"/>
  <c r="ET18" i="20"/>
  <c r="DV18" i="20"/>
  <c r="EW18" i="20"/>
  <c r="EV18" i="20"/>
  <c r="DY18" i="20"/>
  <c r="EU18" i="20"/>
  <c r="DX18" i="20"/>
  <c r="DW18" i="20"/>
  <c r="DU18" i="20"/>
  <c r="DU16" i="20"/>
  <c r="DW16" i="20"/>
  <c r="EU16" i="20"/>
  <c r="DX16" i="20"/>
  <c r="ET16" i="20"/>
  <c r="DV16" i="20"/>
  <c r="EW16" i="20"/>
  <c r="EV16" i="20"/>
  <c r="DY16" i="20"/>
  <c r="P244" i="11"/>
  <c r="P347" i="11"/>
  <c r="P293" i="11"/>
  <c r="Q322" i="11"/>
  <c r="R353" i="11"/>
  <c r="AE58" i="22"/>
  <c r="AY58" i="22"/>
  <c r="AH58" i="22"/>
  <c r="BB58" i="22"/>
  <c r="Q349" i="11"/>
  <c r="Q356" i="11"/>
  <c r="O279" i="11"/>
  <c r="AG64" i="22"/>
  <c r="BA64" i="22"/>
  <c r="AY63" i="22"/>
  <c r="AE63" i="22"/>
  <c r="AL63" i="22"/>
  <c r="BF63" i="22"/>
  <c r="BH10" i="22"/>
  <c r="AN10" i="22"/>
  <c r="BC10" i="22"/>
  <c r="AI10" i="22"/>
  <c r="AU10" i="22"/>
  <c r="AA10" i="22"/>
  <c r="EW14" i="20"/>
  <c r="DY14" i="20"/>
  <c r="DW14" i="20"/>
  <c r="DX14" i="20"/>
  <c r="DV14" i="20"/>
  <c r="DU14" i="20"/>
  <c r="EV14" i="20"/>
  <c r="EU14" i="20"/>
  <c r="ET14" i="20"/>
  <c r="BA17" i="22"/>
  <c r="AG17" i="22"/>
  <c r="O317" i="11"/>
  <c r="O255" i="11"/>
  <c r="S374" i="12"/>
  <c r="AN246" i="12"/>
  <c r="AN374" i="12" s="1"/>
  <c r="BG21" i="22"/>
  <c r="AM21" i="22"/>
  <c r="BE21" i="22"/>
  <c r="AK21" i="22"/>
  <c r="BH21" i="22"/>
  <c r="AN21" i="22"/>
  <c r="AE21" i="22"/>
  <c r="AY21" i="22"/>
  <c r="EM14" i="20"/>
  <c r="DO14" i="20"/>
  <c r="EL14" i="20"/>
  <c r="DN14" i="20"/>
  <c r="DM14" i="20"/>
  <c r="EO14" i="20"/>
  <c r="EN14" i="20"/>
  <c r="DL14" i="20"/>
  <c r="DK14" i="20"/>
  <c r="P151" i="7"/>
  <c r="P145" i="7"/>
  <c r="P152" i="7"/>
  <c r="P146" i="7"/>
  <c r="P140" i="7"/>
  <c r="O71" i="7"/>
  <c r="O70" i="7"/>
  <c r="O69" i="7"/>
  <c r="O68" i="7"/>
  <c r="O67" i="7"/>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O33" i="7"/>
  <c r="O32" i="7"/>
  <c r="O31" i="7"/>
  <c r="O30" i="7"/>
  <c r="O29" i="7"/>
  <c r="O28" i="7"/>
  <c r="O27" i="7"/>
  <c r="O26" i="7"/>
  <c r="O25" i="7"/>
  <c r="O24" i="7"/>
  <c r="O23" i="7"/>
  <c r="O22" i="7"/>
  <c r="O21" i="7"/>
  <c r="O20" i="7"/>
  <c r="O19" i="7"/>
  <c r="O18" i="7"/>
  <c r="O17" i="7"/>
  <c r="O16" i="7"/>
  <c r="O15" i="7"/>
  <c r="O14" i="7"/>
  <c r="O13" i="7"/>
  <c r="O12" i="7"/>
  <c r="O152" i="7"/>
  <c r="O146" i="7"/>
  <c r="O140" i="7"/>
  <c r="G49" i="3"/>
  <c r="P141" i="7"/>
  <c r="P153" i="7"/>
  <c r="P147" i="7"/>
  <c r="P150" i="7"/>
  <c r="P148" i="7"/>
  <c r="O150" i="7"/>
  <c r="R71" i="7"/>
  <c r="R68" i="7"/>
  <c r="R65" i="7"/>
  <c r="R62" i="7"/>
  <c r="R59" i="7"/>
  <c r="R53" i="7"/>
  <c r="R47" i="7"/>
  <c r="R44" i="7"/>
  <c r="R41" i="7"/>
  <c r="R29" i="7"/>
  <c r="R26" i="7"/>
  <c r="R20" i="7"/>
  <c r="R17" i="7"/>
  <c r="R14" i="7"/>
  <c r="P155" i="7"/>
  <c r="O142" i="7"/>
  <c r="R69" i="7"/>
  <c r="R63" i="7"/>
  <c r="R39" i="7"/>
  <c r="R36" i="7"/>
  <c r="R24" i="7"/>
  <c r="P149" i="7"/>
  <c r="O148" i="7"/>
  <c r="R56" i="7"/>
  <c r="R50" i="7"/>
  <c r="R38" i="7"/>
  <c r="R35" i="7"/>
  <c r="R32" i="7"/>
  <c r="R23" i="7"/>
  <c r="R66" i="7"/>
  <c r="R60" i="7"/>
  <c r="R51" i="7"/>
  <c r="R42" i="7"/>
  <c r="R30" i="7"/>
  <c r="R18" i="7"/>
  <c r="P143" i="7"/>
  <c r="O144" i="7"/>
  <c r="R27" i="7"/>
  <c r="R12" i="7"/>
  <c r="O151" i="7"/>
  <c r="O155" i="7"/>
  <c r="O153" i="7"/>
  <c r="P144" i="7"/>
  <c r="R57" i="7"/>
  <c r="R48" i="7"/>
  <c r="R15" i="7"/>
  <c r="O145" i="7"/>
  <c r="P142" i="7"/>
  <c r="R54" i="7"/>
  <c r="R45" i="7"/>
  <c r="R33" i="7"/>
  <c r="R21" i="7"/>
  <c r="O149" i="7"/>
  <c r="O147" i="7"/>
  <c r="O154" i="7"/>
  <c r="R70" i="7"/>
  <c r="R64" i="7"/>
  <c r="R34" i="7"/>
  <c r="R31" i="7"/>
  <c r="R28" i="7"/>
  <c r="O141" i="7"/>
  <c r="P154" i="7"/>
  <c r="R67" i="7"/>
  <c r="R61" i="7"/>
  <c r="R58" i="7"/>
  <c r="R55" i="7"/>
  <c r="R52" i="7"/>
  <c r="R49" i="7"/>
  <c r="R46" i="7"/>
  <c r="R43" i="7"/>
  <c r="R40" i="7"/>
  <c r="R37" i="7"/>
  <c r="R25" i="7"/>
  <c r="R22" i="7"/>
  <c r="R19" i="7"/>
  <c r="R16" i="7"/>
  <c r="R13" i="7"/>
  <c r="O143" i="7"/>
  <c r="AY23" i="22"/>
  <c r="AE23" i="22"/>
  <c r="AE65" i="22"/>
  <c r="AY65" i="22"/>
  <c r="AH66" i="22"/>
  <c r="BB66" i="22"/>
  <c r="AM50" i="22"/>
  <c r="BG50" i="22"/>
  <c r="R235" i="11"/>
  <c r="X352" i="11"/>
  <c r="W315" i="11"/>
  <c r="V241" i="11"/>
  <c r="Q292" i="11"/>
  <c r="Q275" i="11"/>
  <c r="Q264" i="11"/>
  <c r="X235" i="11"/>
  <c r="P352" i="11"/>
  <c r="W334" i="11"/>
  <c r="W295" i="11"/>
  <c r="V341" i="11"/>
  <c r="Q316" i="11"/>
  <c r="W234" i="11"/>
  <c r="V258" i="11"/>
  <c r="R255" i="11"/>
  <c r="X239" i="11"/>
  <c r="Q341" i="11"/>
  <c r="P298" i="11"/>
  <c r="X282" i="11"/>
  <c r="O264" i="11"/>
  <c r="V245" i="11"/>
  <c r="Q230" i="11"/>
  <c r="X317" i="11"/>
  <c r="R297" i="11"/>
  <c r="W296" i="11"/>
  <c r="R236" i="11"/>
  <c r="X312" i="11"/>
  <c r="W330" i="11"/>
  <c r="P344" i="11"/>
  <c r="X315" i="11"/>
  <c r="P252" i="11"/>
  <c r="O310" i="11"/>
  <c r="W250" i="11"/>
  <c r="W283" i="11"/>
  <c r="V355" i="11"/>
  <c r="P275" i="11"/>
  <c r="V257" i="11"/>
  <c r="P268" i="11"/>
  <c r="W293" i="11"/>
  <c r="V260" i="11"/>
  <c r="R272" i="11"/>
  <c r="R350" i="11"/>
  <c r="X298" i="11"/>
  <c r="W243" i="11"/>
  <c r="V288" i="11"/>
  <c r="P317" i="11"/>
  <c r="R264" i="11"/>
  <c r="Q282" i="11"/>
  <c r="Q240" i="11"/>
  <c r="P270" i="11"/>
  <c r="Q345" i="11"/>
  <c r="Y344" i="11"/>
  <c r="V333" i="11"/>
  <c r="Y255" i="11"/>
  <c r="R233" i="11"/>
  <c r="X265" i="11"/>
  <c r="V234" i="11"/>
  <c r="V256" i="11"/>
  <c r="R293" i="11"/>
  <c r="R290" i="11"/>
  <c r="V271" i="11"/>
  <c r="O329" i="11"/>
  <c r="Q297" i="11"/>
  <c r="Y240" i="11"/>
  <c r="R341" i="11"/>
  <c r="V270" i="11"/>
  <c r="P308" i="11"/>
  <c r="R325" i="11"/>
  <c r="W269" i="11"/>
  <c r="Y336" i="11"/>
  <c r="O330" i="11"/>
  <c r="R232" i="11"/>
  <c r="O339" i="11"/>
  <c r="O303" i="11"/>
  <c r="Q253" i="11"/>
  <c r="V284" i="11"/>
  <c r="P311" i="11"/>
  <c r="O287" i="11"/>
  <c r="R349" i="11"/>
  <c r="R248" i="11"/>
  <c r="R323" i="11"/>
  <c r="O336" i="11"/>
  <c r="Q335" i="11"/>
  <c r="R237" i="11"/>
  <c r="W351" i="11"/>
  <c r="R345" i="11"/>
  <c r="R340" i="11"/>
  <c r="Y265" i="11"/>
  <c r="O316" i="11"/>
  <c r="Y259" i="11"/>
  <c r="Y330" i="11"/>
  <c r="V332" i="11"/>
  <c r="Y322" i="11"/>
  <c r="Y329" i="11"/>
  <c r="Y236" i="11"/>
  <c r="X260" i="11"/>
  <c r="W251" i="11"/>
  <c r="R331" i="11"/>
  <c r="V249" i="11"/>
  <c r="V328" i="11"/>
  <c r="X234" i="11"/>
  <c r="V296" i="11"/>
  <c r="Q265" i="11"/>
  <c r="W289" i="11"/>
  <c r="Q238" i="11"/>
  <c r="O294" i="11"/>
  <c r="R296" i="11"/>
  <c r="O274" i="11"/>
  <c r="O335" i="11"/>
  <c r="P231" i="11"/>
  <c r="P301" i="11"/>
  <c r="V287" i="11"/>
  <c r="W319" i="11"/>
  <c r="Q315" i="11"/>
  <c r="V246" i="11"/>
  <c r="W288" i="11"/>
  <c r="X278" i="11"/>
  <c r="Y341" i="11"/>
  <c r="P316" i="11"/>
  <c r="V262" i="11"/>
  <c r="W270" i="11"/>
  <c r="P294" i="11"/>
  <c r="O298" i="11"/>
  <c r="R266" i="11"/>
  <c r="V237" i="11"/>
  <c r="Y290" i="11"/>
  <c r="R337" i="11"/>
  <c r="Q278" i="11"/>
  <c r="Q346" i="11"/>
  <c r="R332" i="11"/>
  <c r="W279" i="11"/>
  <c r="Q353" i="11"/>
  <c r="P353" i="11"/>
  <c r="R246" i="11"/>
  <c r="R316" i="11"/>
  <c r="Q352" i="11"/>
  <c r="W257" i="11"/>
  <c r="Q311" i="11"/>
  <c r="W277" i="11"/>
  <c r="O231" i="11"/>
  <c r="R251" i="11"/>
  <c r="V358" i="11"/>
  <c r="Q284" i="11"/>
  <c r="O237" i="11"/>
  <c r="Y309" i="11"/>
  <c r="P327" i="11"/>
  <c r="V343" i="11"/>
  <c r="Q303" i="11"/>
  <c r="W354" i="11"/>
  <c r="R306" i="11"/>
  <c r="R256" i="11"/>
  <c r="Q340" i="11"/>
  <c r="P358" i="11"/>
  <c r="P299" i="11"/>
  <c r="X266" i="11"/>
  <c r="W306" i="11"/>
  <c r="W346" i="11"/>
  <c r="X341" i="11"/>
  <c r="Q305" i="11"/>
  <c r="R268" i="11"/>
  <c r="V319" i="11"/>
  <c r="O270" i="11"/>
  <c r="O334" i="11"/>
  <c r="R291" i="11"/>
  <c r="O230" i="11"/>
  <c r="X231" i="11"/>
  <c r="P348" i="11"/>
  <c r="W336" i="11"/>
  <c r="Q324" i="11"/>
  <c r="AJ431" i="16"/>
  <c r="V282" i="11"/>
  <c r="Q355" i="11"/>
  <c r="W309" i="11"/>
  <c r="DQ28" i="20"/>
  <c r="DP28" i="20"/>
  <c r="EP28" i="20"/>
  <c r="DT28" i="20"/>
  <c r="DR28" i="20"/>
  <c r="ES28" i="20"/>
  <c r="DS28" i="20"/>
  <c r="ER28" i="20"/>
  <c r="EQ28" i="20"/>
  <c r="X301" i="11"/>
  <c r="Y285" i="11"/>
  <c r="BD60" i="22"/>
  <c r="AJ60" i="22"/>
  <c r="P340" i="11"/>
  <c r="AW61" i="22"/>
  <c r="AC61" i="22"/>
  <c r="Y239" i="11"/>
  <c r="Q248" i="11"/>
  <c r="R302" i="11"/>
  <c r="CY13" i="20"/>
  <c r="CX13" i="20"/>
  <c r="CW13" i="20"/>
  <c r="EB13" i="20"/>
  <c r="CV13" i="20"/>
  <c r="EA13" i="20"/>
  <c r="DZ13" i="20"/>
  <c r="CZ13" i="20"/>
  <c r="EC13" i="20"/>
  <c r="DK13" i="20"/>
  <c r="EN13" i="20"/>
  <c r="DO13" i="20"/>
  <c r="EO13" i="20"/>
  <c r="DN13" i="20"/>
  <c r="EM13" i="20"/>
  <c r="DM13" i="20"/>
  <c r="EL13" i="20"/>
  <c r="DL13" i="20"/>
  <c r="W254" i="11"/>
  <c r="Q287" i="11"/>
  <c r="EK24" i="20"/>
  <c r="EI24" i="20"/>
  <c r="DH24" i="20"/>
  <c r="EJ24" i="20"/>
  <c r="DJ24" i="20"/>
  <c r="EH24" i="20"/>
  <c r="DI24" i="20"/>
  <c r="DF24" i="20"/>
  <c r="DG24" i="20"/>
  <c r="V338" i="11"/>
  <c r="EN31" i="20"/>
  <c r="DN31" i="20"/>
  <c r="EO31" i="20"/>
  <c r="EM31" i="20"/>
  <c r="EL31" i="20"/>
  <c r="DL31" i="20"/>
  <c r="DK31" i="20"/>
  <c r="DO31" i="20"/>
  <c r="DM31" i="20"/>
  <c r="E234" i="11"/>
  <c r="Y331" i="11"/>
  <c r="R355" i="11"/>
  <c r="AM431" i="16"/>
  <c r="R347" i="11"/>
  <c r="O341" i="11"/>
  <c r="Y296" i="11"/>
  <c r="O293" i="11"/>
  <c r="Y260" i="11"/>
  <c r="AZ23" i="22"/>
  <c r="AF23" i="22"/>
  <c r="EU27" i="20"/>
  <c r="DW27" i="20"/>
  <c r="ET27" i="20"/>
  <c r="DV27" i="20"/>
  <c r="DU27" i="20"/>
  <c r="EW27" i="20"/>
  <c r="DY27" i="20"/>
  <c r="DX27" i="20"/>
  <c r="EV27" i="20"/>
  <c r="BB4" i="22"/>
  <c r="AH4" i="22"/>
  <c r="W242" i="11"/>
  <c r="Q251" i="11"/>
  <c r="BB18" i="22"/>
  <c r="AH18" i="22"/>
  <c r="W348" i="11"/>
  <c r="W307" i="11"/>
  <c r="AF65" i="22"/>
  <c r="AZ65" i="22"/>
  <c r="X290" i="11"/>
  <c r="AY5" i="22"/>
  <c r="AE5" i="22"/>
  <c r="Q344" i="11"/>
  <c r="W263" i="11"/>
  <c r="P319" i="11"/>
  <c r="BB50" i="22"/>
  <c r="AH50" i="22"/>
  <c r="R344" i="11"/>
  <c r="O248" i="11"/>
  <c r="Q320" i="11"/>
  <c r="BF61" i="22"/>
  <c r="AL61" i="22"/>
  <c r="O342" i="11"/>
  <c r="V326" i="11"/>
  <c r="V351" i="11"/>
  <c r="R241" i="11"/>
  <c r="EU13" i="20"/>
  <c r="DW13" i="20"/>
  <c r="ET13" i="20"/>
  <c r="DV13" i="20"/>
  <c r="DU13" i="20"/>
  <c r="EV13" i="20"/>
  <c r="DY13" i="20"/>
  <c r="DX13" i="20"/>
  <c r="EW13" i="20"/>
  <c r="BG15" i="22"/>
  <c r="AM15" i="22"/>
  <c r="AW14" i="22"/>
  <c r="AC14" i="22"/>
  <c r="W320" i="11"/>
  <c r="E39" i="8"/>
  <c r="H39" i="8"/>
  <c r="AL18" i="22"/>
  <c r="BF18" i="22"/>
  <c r="AB13" i="22"/>
  <c r="AV13" i="22"/>
  <c r="F231" i="11"/>
  <c r="K317" i="11"/>
  <c r="G321" i="11"/>
  <c r="I283" i="11"/>
  <c r="I242" i="11"/>
  <c r="F350" i="11"/>
  <c r="I323" i="11"/>
  <c r="D327" i="11"/>
  <c r="I301" i="11"/>
  <c r="J282" i="11"/>
  <c r="G306" i="11"/>
  <c r="I252" i="11"/>
  <c r="H356" i="11"/>
  <c r="F309" i="11"/>
  <c r="J239" i="11"/>
  <c r="G269" i="11"/>
  <c r="Y256" i="11"/>
  <c r="R277" i="11"/>
  <c r="AG49" i="22"/>
  <c r="BA49" i="22"/>
  <c r="BH6" i="22"/>
  <c r="AN6" i="22"/>
  <c r="P431" i="16"/>
  <c r="X348" i="11"/>
  <c r="O275" i="11"/>
  <c r="EH12" i="20"/>
  <c r="DJ12" i="20"/>
  <c r="EI12" i="20"/>
  <c r="EK12" i="20"/>
  <c r="DH12" i="20"/>
  <c r="DG12" i="20"/>
  <c r="DF12" i="20"/>
  <c r="EJ12" i="20"/>
  <c r="DI12" i="20"/>
  <c r="R300" i="11"/>
  <c r="Q342" i="11"/>
  <c r="EO5" i="20"/>
  <c r="DO5" i="20"/>
  <c r="EN5" i="20"/>
  <c r="DN5" i="20"/>
  <c r="EM5" i="20"/>
  <c r="DM5" i="20"/>
  <c r="EL5" i="20"/>
  <c r="DL5" i="20"/>
  <c r="DK5" i="20"/>
  <c r="D234" i="11"/>
  <c r="R342" i="11"/>
  <c r="EA21" i="20"/>
  <c r="DZ21" i="20"/>
  <c r="CV21" i="20"/>
  <c r="CY21" i="20"/>
  <c r="CW21" i="20"/>
  <c r="CZ21" i="20"/>
  <c r="CX21" i="20"/>
  <c r="EC21" i="20"/>
  <c r="EB21" i="20"/>
  <c r="P238" i="11"/>
  <c r="DQ12" i="20"/>
  <c r="DP12" i="20"/>
  <c r="DR12" i="20"/>
  <c r="EQ12" i="20"/>
  <c r="EP12" i="20"/>
  <c r="DT12" i="20"/>
  <c r="DS12" i="20"/>
  <c r="ES12" i="20"/>
  <c r="ER12" i="20"/>
  <c r="Y313" i="11"/>
  <c r="BB49" i="22"/>
  <c r="AH49" i="22"/>
  <c r="K431" i="16"/>
  <c r="AC431" i="16"/>
  <c r="Q237" i="11"/>
  <c r="BI66" i="22"/>
  <c r="AO66" i="22"/>
  <c r="AW59" i="22"/>
  <c r="AC59" i="22"/>
  <c r="AU49" i="22"/>
  <c r="AA49" i="22"/>
  <c r="BC22" i="22"/>
  <c r="AI22" i="22"/>
  <c r="P374" i="12"/>
  <c r="AK246" i="12"/>
  <c r="AK374" i="12" s="1"/>
  <c r="EC28" i="20"/>
  <c r="EB28" i="20"/>
  <c r="EA28" i="20"/>
  <c r="CX28" i="20"/>
  <c r="CY28" i="20"/>
  <c r="CV28" i="20"/>
  <c r="DZ28" i="20"/>
  <c r="CZ28" i="20"/>
  <c r="CW28" i="20"/>
  <c r="X236" i="11"/>
  <c r="Y317" i="11"/>
  <c r="X345" i="11"/>
  <c r="O262" i="11"/>
  <c r="O272" i="11"/>
  <c r="EA24" i="20"/>
  <c r="DZ24" i="20"/>
  <c r="CY24" i="20"/>
  <c r="CV24" i="20"/>
  <c r="CZ24" i="20"/>
  <c r="CX24" i="20"/>
  <c r="CW24" i="20"/>
  <c r="EC24" i="20"/>
  <c r="EB24" i="20"/>
  <c r="O259" i="11"/>
  <c r="V269" i="11"/>
  <c r="R288" i="11"/>
  <c r="X295" i="11"/>
  <c r="Q300" i="11"/>
  <c r="DU26" i="20"/>
  <c r="DV26" i="20"/>
  <c r="ET26" i="20"/>
  <c r="EW26" i="20"/>
  <c r="EV26" i="20"/>
  <c r="EU26" i="20"/>
  <c r="DY26" i="20"/>
  <c r="DX26" i="20"/>
  <c r="DW26" i="20"/>
  <c r="AD14" i="22"/>
  <c r="AX14" i="22"/>
  <c r="O357" i="11"/>
  <c r="D345" i="11"/>
  <c r="K260" i="11"/>
  <c r="K296" i="11"/>
  <c r="E305" i="11"/>
  <c r="E341" i="11"/>
  <c r="I310" i="11"/>
  <c r="D300" i="11"/>
  <c r="G234" i="11"/>
  <c r="F311" i="11"/>
  <c r="F236" i="11"/>
  <c r="G312" i="11"/>
  <c r="J300" i="11"/>
  <c r="K324" i="11"/>
  <c r="EA11" i="20"/>
  <c r="DZ11" i="20"/>
  <c r="CV11" i="20"/>
  <c r="CX11" i="20"/>
  <c r="CW11" i="20"/>
  <c r="EC11" i="20"/>
  <c r="CZ11" i="20"/>
  <c r="EB11" i="20"/>
  <c r="CY11" i="20"/>
  <c r="V291" i="11"/>
  <c r="R274" i="11"/>
  <c r="W335" i="11"/>
  <c r="R374" i="12"/>
  <c r="AM246" i="12"/>
  <c r="AM374" i="12" s="1"/>
  <c r="AV20" i="22"/>
  <c r="AB20" i="22"/>
  <c r="EK14" i="20"/>
  <c r="DH14" i="20"/>
  <c r="DF14" i="20"/>
  <c r="DJ14" i="20"/>
  <c r="DI14" i="20"/>
  <c r="DG14" i="20"/>
  <c r="EJ14" i="20"/>
  <c r="EI14" i="20"/>
  <c r="EH14" i="20"/>
  <c r="AD7" i="22"/>
  <c r="AX7" i="22"/>
  <c r="J17" i="21"/>
  <c r="J16" i="21"/>
  <c r="R41" i="20"/>
  <c r="R37" i="20"/>
  <c r="U37" i="20" s="1"/>
  <c r="X357" i="11"/>
  <c r="BF65" i="22"/>
  <c r="AL65" i="22"/>
  <c r="BH60" i="22"/>
  <c r="AN60" i="22"/>
  <c r="L431" i="16"/>
  <c r="W294" i="11"/>
  <c r="X313" i="11"/>
  <c r="Y302" i="11"/>
  <c r="P269" i="11"/>
  <c r="ES16" i="20"/>
  <c r="ER16" i="20"/>
  <c r="DT16" i="20"/>
  <c r="EQ16" i="20"/>
  <c r="DS16" i="20"/>
  <c r="DR16" i="20"/>
  <c r="DQ16" i="20"/>
  <c r="EP16" i="20"/>
  <c r="DP16" i="20"/>
  <c r="X251" i="11"/>
  <c r="Q262" i="11"/>
  <c r="AJ61" i="22"/>
  <c r="BD61" i="22"/>
  <c r="AY15" i="22"/>
  <c r="AE15" i="22"/>
  <c r="AF15" i="22"/>
  <c r="AZ15" i="22"/>
  <c r="Q331" i="11"/>
  <c r="Y244" i="11"/>
  <c r="AE4" i="22"/>
  <c r="AY4" i="22"/>
  <c r="P248" i="11"/>
  <c r="EG26" i="20"/>
  <c r="EF26" i="20"/>
  <c r="EE26" i="20"/>
  <c r="DE26" i="20"/>
  <c r="DB26" i="20"/>
  <c r="DD26" i="20"/>
  <c r="DC26" i="20"/>
  <c r="DA26" i="20"/>
  <c r="ED26" i="20"/>
  <c r="BA7" i="22"/>
  <c r="AG7" i="22"/>
  <c r="P350" i="11"/>
  <c r="W241" i="11"/>
  <c r="AB12" i="22"/>
  <c r="AV12" i="22"/>
  <c r="D231" i="11"/>
  <c r="F260" i="11"/>
  <c r="H299" i="11"/>
  <c r="J318" i="11"/>
  <c r="I337" i="11"/>
  <c r="F248" i="11"/>
  <c r="G276" i="11"/>
  <c r="K358" i="11"/>
  <c r="I349" i="11"/>
  <c r="E272" i="11"/>
  <c r="I288" i="11"/>
  <c r="H246" i="11"/>
  <c r="F347" i="11"/>
  <c r="H232" i="11"/>
  <c r="F351" i="11"/>
  <c r="G260" i="11"/>
  <c r="AI8" i="22"/>
  <c r="BC8" i="22"/>
  <c r="F346" i="11"/>
  <c r="EA20" i="20"/>
  <c r="DZ20" i="20"/>
  <c r="CV20" i="20"/>
  <c r="CX20" i="20"/>
  <c r="CW20" i="20"/>
  <c r="EB20" i="20"/>
  <c r="CZ20" i="20"/>
  <c r="CY20" i="20"/>
  <c r="EC20" i="20"/>
  <c r="Q374" i="12"/>
  <c r="AL246" i="12"/>
  <c r="AL374" i="12" s="1"/>
  <c r="W239" i="11"/>
  <c r="DC11" i="20"/>
  <c r="DB11" i="20"/>
  <c r="DA11" i="20"/>
  <c r="EF11" i="20"/>
  <c r="DD11" i="20"/>
  <c r="EG11" i="20"/>
  <c r="EE11" i="20"/>
  <c r="ED11" i="20"/>
  <c r="DE11" i="20"/>
  <c r="O306" i="11"/>
  <c r="AH57" i="22"/>
  <c r="BB57" i="22"/>
  <c r="P232" i="11"/>
  <c r="R351" i="11"/>
  <c r="P355" i="11"/>
  <c r="AW11" i="22"/>
  <c r="AC11" i="22"/>
  <c r="AF5" i="22"/>
  <c r="O323" i="11"/>
  <c r="N16" i="21"/>
  <c r="N17" i="21"/>
  <c r="R57" i="20"/>
  <c r="U57" i="20" s="1"/>
  <c r="R61" i="20"/>
  <c r="V298" i="11"/>
  <c r="Q236" i="11"/>
  <c r="BC65" i="22"/>
  <c r="AI65" i="22"/>
  <c r="AJ65" i="22"/>
  <c r="BD65" i="22"/>
  <c r="AV66" i="22"/>
  <c r="AB66" i="22"/>
  <c r="AE60" i="22"/>
  <c r="AY60" i="22"/>
  <c r="AV60" i="22"/>
  <c r="AB60" i="22"/>
  <c r="AU60" i="22"/>
  <c r="AA60" i="22"/>
  <c r="AP49" i="22"/>
  <c r="BJ49" i="22"/>
  <c r="AI23" i="22"/>
  <c r="BC23" i="22"/>
  <c r="BB22" i="22"/>
  <c r="AH22" i="22"/>
  <c r="F431" i="16"/>
  <c r="Z431" i="16"/>
  <c r="AL431" i="16"/>
  <c r="AQ431" i="16"/>
  <c r="EW28" i="20"/>
  <c r="DY28" i="20"/>
  <c r="ET28" i="20"/>
  <c r="DV28" i="20"/>
  <c r="EV28" i="20"/>
  <c r="DW28" i="20"/>
  <c r="EU28" i="20"/>
  <c r="DU28" i="20"/>
  <c r="DX28" i="20"/>
  <c r="Y297" i="11"/>
  <c r="R281" i="11"/>
  <c r="O265" i="11"/>
  <c r="V235" i="11"/>
  <c r="AE19" i="21"/>
  <c r="AE20" i="21"/>
  <c r="BA146" i="20"/>
  <c r="BA142" i="20"/>
  <c r="BD142" i="20" s="1"/>
  <c r="W312" i="11"/>
  <c r="R330" i="11"/>
  <c r="X233" i="11"/>
  <c r="W355" i="11"/>
  <c r="Q333" i="11"/>
  <c r="Q283" i="11"/>
  <c r="W317" i="11"/>
  <c r="CW31" i="20"/>
  <c r="EA31" i="20"/>
  <c r="EC31" i="20"/>
  <c r="DZ31" i="20"/>
  <c r="CY31" i="20"/>
  <c r="EB31" i="20"/>
  <c r="CX31" i="20"/>
  <c r="CV31" i="20"/>
  <c r="CZ31" i="20"/>
  <c r="DI34" i="20"/>
  <c r="EK34" i="20"/>
  <c r="DH34" i="20"/>
  <c r="DF34" i="20"/>
  <c r="EJ34" i="20"/>
  <c r="EI34" i="20"/>
  <c r="EH34" i="20"/>
  <c r="DG34" i="20"/>
  <c r="DJ34" i="20"/>
  <c r="AD62" i="22"/>
  <c r="AX62" i="22"/>
  <c r="BH19" i="22"/>
  <c r="AN19" i="22"/>
  <c r="D38" i="27"/>
  <c r="C44" i="27"/>
  <c r="C136" i="27"/>
  <c r="C76" i="27"/>
  <c r="EU33" i="20"/>
  <c r="DU33" i="20"/>
  <c r="ET33" i="20"/>
  <c r="EV33" i="20"/>
  <c r="DX33" i="20"/>
  <c r="DV33" i="20"/>
  <c r="DY33" i="20"/>
  <c r="DW33" i="20"/>
  <c r="EW33" i="20"/>
  <c r="P309" i="11"/>
  <c r="X329" i="11"/>
  <c r="Q231" i="11"/>
  <c r="R354" i="11"/>
  <c r="P328" i="11"/>
  <c r="X280" i="11"/>
  <c r="W301" i="11"/>
  <c r="AC19" i="21"/>
  <c r="BA136" i="20"/>
  <c r="AC20" i="21"/>
  <c r="BA132" i="20"/>
  <c r="BD132" i="20" s="1"/>
  <c r="BF4" i="22"/>
  <c r="AL4" i="22"/>
  <c r="AH5" i="22"/>
  <c r="BB5" i="22"/>
  <c r="W231" i="11"/>
  <c r="W359" i="11" s="1"/>
  <c r="R252" i="11"/>
  <c r="P273" i="11"/>
  <c r="Y345" i="11"/>
  <c r="P323" i="11"/>
  <c r="X267" i="11"/>
  <c r="R319" i="11"/>
  <c r="DT35" i="20"/>
  <c r="ES35" i="20"/>
  <c r="DS35" i="20"/>
  <c r="ER35" i="20"/>
  <c r="DR35" i="20"/>
  <c r="EP35" i="20"/>
  <c r="DP35" i="20"/>
  <c r="DQ35" i="20"/>
  <c r="EQ35" i="20"/>
  <c r="AD6" i="22"/>
  <c r="AX6" i="22"/>
  <c r="BC6" i="22"/>
  <c r="AI6" i="22"/>
  <c r="AG14" i="22"/>
  <c r="BA14" i="22"/>
  <c r="AE14" i="22"/>
  <c r="AY14" i="22"/>
  <c r="AW6" i="22"/>
  <c r="AC6" i="22"/>
  <c r="I20" i="21"/>
  <c r="I19" i="21"/>
  <c r="BA36" i="20"/>
  <c r="BA32" i="20"/>
  <c r="BD32" i="20" s="1"/>
  <c r="W303" i="11"/>
  <c r="O322" i="11"/>
  <c r="X355" i="11"/>
  <c r="X344" i="11"/>
  <c r="R313" i="11"/>
  <c r="X271" i="11"/>
  <c r="R238" i="11"/>
  <c r="EI23" i="20"/>
  <c r="EH23" i="20"/>
  <c r="DJ23" i="20"/>
  <c r="DI23" i="20"/>
  <c r="DH23" i="20"/>
  <c r="DG23" i="20"/>
  <c r="DF23" i="20"/>
  <c r="EK23" i="20"/>
  <c r="EJ23" i="20"/>
  <c r="EC5" i="20"/>
  <c r="EB5" i="20"/>
  <c r="EA5" i="20"/>
  <c r="DZ5" i="20"/>
  <c r="CZ5" i="20"/>
  <c r="CY5" i="20"/>
  <c r="CX5" i="20"/>
  <c r="CW5" i="20"/>
  <c r="CV5" i="20"/>
  <c r="BD15" i="22"/>
  <c r="AJ15" i="22"/>
  <c r="BG52" i="20"/>
  <c r="BG53" i="20" s="1"/>
  <c r="BG55" i="20" s="1"/>
  <c r="BP51" i="20" s="1"/>
  <c r="BP55" i="20" s="1"/>
  <c r="CQ14" i="20" s="1"/>
  <c r="BA53" i="20"/>
  <c r="BD51" i="20"/>
  <c r="AF13" i="22"/>
  <c r="AZ13" i="22"/>
  <c r="X338" i="11"/>
  <c r="Y291" i="11"/>
  <c r="Y286" i="11"/>
  <c r="BB12" i="22"/>
  <c r="AH12" i="22"/>
  <c r="A167" i="20"/>
  <c r="B102" i="2"/>
  <c r="B103" i="2" s="1"/>
  <c r="G26" i="3"/>
  <c r="BH14" i="22"/>
  <c r="I306" i="11"/>
  <c r="G268" i="11"/>
  <c r="J315" i="11"/>
  <c r="E312" i="11"/>
  <c r="F278" i="11"/>
  <c r="D288" i="11"/>
  <c r="K303" i="11"/>
  <c r="G309" i="11"/>
  <c r="D335" i="11"/>
  <c r="G238" i="11"/>
  <c r="F349" i="11"/>
  <c r="J244" i="11"/>
  <c r="E338" i="11"/>
  <c r="K332" i="11"/>
  <c r="H258" i="11"/>
  <c r="F356" i="11"/>
  <c r="H303" i="11"/>
  <c r="K273" i="11"/>
  <c r="K294" i="11"/>
  <c r="F266" i="11"/>
  <c r="E246" i="11"/>
  <c r="K243" i="11"/>
  <c r="I302" i="11"/>
  <c r="I298" i="11"/>
  <c r="H253" i="11"/>
  <c r="I289" i="11"/>
  <c r="K247" i="11"/>
  <c r="I248" i="11"/>
  <c r="K316" i="11"/>
  <c r="D314" i="11"/>
  <c r="K302" i="11"/>
  <c r="D256" i="11"/>
  <c r="E290" i="11"/>
  <c r="G248" i="11"/>
  <c r="E249" i="11"/>
  <c r="I243" i="11"/>
  <c r="H256" i="11"/>
  <c r="I231" i="11"/>
  <c r="D275" i="11"/>
  <c r="I238" i="11"/>
  <c r="E324" i="11"/>
  <c r="H278" i="11"/>
  <c r="G349" i="11"/>
  <c r="K293" i="11"/>
  <c r="G259" i="11"/>
  <c r="E304" i="11"/>
  <c r="K352" i="11"/>
  <c r="F272" i="11"/>
  <c r="D276" i="11"/>
  <c r="K297" i="11"/>
  <c r="R314" i="11"/>
  <c r="P240" i="11"/>
  <c r="Y327" i="11"/>
  <c r="D347" i="11"/>
  <c r="I267" i="11"/>
  <c r="K279" i="11"/>
  <c r="AU8" i="22"/>
  <c r="AA8" i="22"/>
  <c r="BE9" i="22"/>
  <c r="AK9" i="22"/>
  <c r="AF9" i="22"/>
  <c r="AZ9" i="22"/>
  <c r="Q301" i="11"/>
  <c r="I300" i="11"/>
  <c r="J299" i="11"/>
  <c r="AC66" i="22"/>
  <c r="AE66" i="22"/>
  <c r="BA13" i="22"/>
  <c r="V308" i="11"/>
  <c r="V314" i="11"/>
  <c r="D297" i="11"/>
  <c r="EW11" i="20"/>
  <c r="DY11" i="20"/>
  <c r="DU11" i="20"/>
  <c r="DX11" i="20"/>
  <c r="EV11" i="20"/>
  <c r="EU11" i="20"/>
  <c r="ET11" i="20"/>
  <c r="DW11" i="20"/>
  <c r="DV11" i="20"/>
  <c r="V325" i="11"/>
  <c r="P263" i="11"/>
  <c r="O244" i="11"/>
  <c r="F297" i="11"/>
  <c r="D293" i="11"/>
  <c r="G283" i="11"/>
  <c r="AP66" i="22"/>
  <c r="AW57" i="22"/>
  <c r="AC57" i="22"/>
  <c r="X320" i="11"/>
  <c r="V259" i="11"/>
  <c r="Y249" i="11"/>
  <c r="R267" i="11"/>
  <c r="R339" i="11"/>
  <c r="AP8" i="22"/>
  <c r="AG58" i="22"/>
  <c r="BA58" i="22"/>
  <c r="BD58" i="22"/>
  <c r="AJ58" i="22"/>
  <c r="BC19" i="22"/>
  <c r="DQ6" i="20"/>
  <c r="DT6" i="20"/>
  <c r="ES6" i="20"/>
  <c r="DS6" i="20"/>
  <c r="ER6" i="20"/>
  <c r="DR6" i="20"/>
  <c r="EQ6" i="20"/>
  <c r="EP6" i="20"/>
  <c r="DP6" i="20"/>
  <c r="G374" i="12"/>
  <c r="AD246" i="12"/>
  <c r="AD374" i="12" s="1"/>
  <c r="D374" i="12"/>
  <c r="AA246" i="12"/>
  <c r="AA374" i="12" s="1"/>
  <c r="V267" i="11"/>
  <c r="W286" i="11"/>
  <c r="X259" i="11"/>
  <c r="ES26" i="20"/>
  <c r="ER26" i="20"/>
  <c r="DT26" i="20"/>
  <c r="EQ26" i="20"/>
  <c r="DS26" i="20"/>
  <c r="DQ26" i="20"/>
  <c r="DP26" i="20"/>
  <c r="EP26" i="20"/>
  <c r="DR26" i="20"/>
  <c r="AF64" i="22"/>
  <c r="AZ64" i="22"/>
  <c r="BE64" i="22"/>
  <c r="AK64" i="22"/>
  <c r="BC64" i="22"/>
  <c r="AI64" i="22"/>
  <c r="AA11" i="22"/>
  <c r="AU11" i="22"/>
  <c r="BE10" i="22"/>
  <c r="AK10" i="22"/>
  <c r="BI11" i="22"/>
  <c r="AO11" i="22"/>
  <c r="EK11" i="20"/>
  <c r="DH11" i="20"/>
  <c r="EJ11" i="20"/>
  <c r="EI11" i="20"/>
  <c r="EH11" i="20"/>
  <c r="DF11" i="20"/>
  <c r="DI11" i="20"/>
  <c r="DG11" i="20"/>
  <c r="DJ11" i="20"/>
  <c r="Q307" i="11"/>
  <c r="O243" i="11"/>
  <c r="AG20" i="22"/>
  <c r="BA20" i="22"/>
  <c r="AO21" i="22"/>
  <c r="BI21" i="22"/>
  <c r="D19" i="21"/>
  <c r="BA6" i="20"/>
  <c r="DU19" i="20"/>
  <c r="DY19" i="20"/>
  <c r="DW19" i="20"/>
  <c r="DV19" i="20"/>
  <c r="DX19" i="20"/>
  <c r="EW19" i="20"/>
  <c r="EV19" i="20"/>
  <c r="EU19" i="20"/>
  <c r="ET19" i="20"/>
  <c r="AF59" i="22"/>
  <c r="AZ59" i="22"/>
  <c r="AY22" i="22"/>
  <c r="AE22" i="22"/>
  <c r="X333" i="11"/>
  <c r="Q336" i="11"/>
  <c r="Y278" i="11"/>
  <c r="N374" i="12"/>
  <c r="AI246" i="12"/>
  <c r="AI374" i="12" s="1"/>
  <c r="AB19" i="21"/>
  <c r="BA127" i="20"/>
  <c r="BD127" i="20" s="1"/>
  <c r="BA131" i="20"/>
  <c r="AB20" i="21"/>
  <c r="V339" i="11"/>
  <c r="Y300" i="11"/>
  <c r="AC5" i="22"/>
  <c r="AW5" i="22"/>
  <c r="X281" i="11"/>
  <c r="Y252" i="11"/>
  <c r="AV6" i="22"/>
  <c r="AB6" i="22"/>
  <c r="BE7" i="22"/>
  <c r="AK7" i="22"/>
  <c r="AP15" i="22"/>
  <c r="BJ15" i="22"/>
  <c r="BJ14" i="22"/>
  <c r="AP14" i="22"/>
  <c r="O301" i="11"/>
  <c r="ER20" i="20"/>
  <c r="DT20" i="20"/>
  <c r="EQ20" i="20"/>
  <c r="DS20" i="20"/>
  <c r="ES20" i="20"/>
  <c r="DR20" i="20"/>
  <c r="EP20" i="20"/>
  <c r="DQ20" i="20"/>
  <c r="DP20" i="20"/>
  <c r="W274" i="11"/>
  <c r="AD12" i="22"/>
  <c r="AX12" i="22"/>
  <c r="E275" i="11"/>
  <c r="R122" i="20"/>
  <c r="U122" i="20" s="1"/>
  <c r="AA17" i="21"/>
  <c r="R126" i="20"/>
  <c r="AA16" i="21"/>
  <c r="P351" i="11"/>
  <c r="AE49" i="22"/>
  <c r="AY49" i="22"/>
  <c r="AN49" i="22"/>
  <c r="BH49" i="22"/>
  <c r="AA22" i="22"/>
  <c r="AU22" i="22"/>
  <c r="AR431" i="16"/>
  <c r="EW7" i="20"/>
  <c r="DY7" i="20"/>
  <c r="DX7" i="20"/>
  <c r="DW7" i="20"/>
  <c r="DV7" i="20"/>
  <c r="DU7" i="20"/>
  <c r="EV7" i="20"/>
  <c r="EU7" i="20"/>
  <c r="ET7" i="20"/>
  <c r="V348" i="11"/>
  <c r="Y270" i="11"/>
  <c r="X258" i="11"/>
  <c r="P243" i="11"/>
  <c r="BI61" i="22"/>
  <c r="AO61" i="22"/>
  <c r="DU8" i="20"/>
  <c r="EW8" i="20"/>
  <c r="EV8" i="20"/>
  <c r="EU8" i="20"/>
  <c r="DY8" i="20"/>
  <c r="ET8" i="20"/>
  <c r="DX8" i="20"/>
  <c r="DW8" i="20"/>
  <c r="DV8" i="20"/>
  <c r="EI32" i="20"/>
  <c r="DF32" i="20"/>
  <c r="EJ32" i="20"/>
  <c r="EH32" i="20"/>
  <c r="EK32" i="20"/>
  <c r="DJ32" i="20"/>
  <c r="DH32" i="20"/>
  <c r="DG32" i="20"/>
  <c r="DI32" i="20"/>
  <c r="Q348" i="11"/>
  <c r="V277" i="11"/>
  <c r="Y354" i="11"/>
  <c r="P307" i="11"/>
  <c r="AP59" i="22"/>
  <c r="BJ59" i="22"/>
  <c r="AN23" i="22"/>
  <c r="BH23" i="22"/>
  <c r="Y431" i="16"/>
  <c r="T431" i="16"/>
  <c r="H17" i="21"/>
  <c r="R31" i="20"/>
  <c r="H16" i="21"/>
  <c r="R27" i="20"/>
  <c r="U27" i="20" s="1"/>
  <c r="Y337" i="11"/>
  <c r="V233" i="11"/>
  <c r="P329" i="11"/>
  <c r="BF12" i="22"/>
  <c r="AL12" i="22"/>
  <c r="J248" i="11"/>
  <c r="G275" i="11"/>
  <c r="J290" i="11"/>
  <c r="K241" i="11"/>
  <c r="F292" i="11"/>
  <c r="H238" i="11"/>
  <c r="K345" i="11"/>
  <c r="E323" i="11"/>
  <c r="G310" i="11"/>
  <c r="E326" i="11"/>
  <c r="K312" i="11"/>
  <c r="J351" i="11"/>
  <c r="H328" i="11"/>
  <c r="F331" i="11"/>
  <c r="H280" i="11"/>
  <c r="Q357" i="11"/>
  <c r="Q332" i="11"/>
  <c r="BE60" i="22"/>
  <c r="AK60" i="22"/>
  <c r="Q328" i="11"/>
  <c r="AM65" i="22"/>
  <c r="BG65" i="22"/>
  <c r="V334" i="11"/>
  <c r="V340" i="11"/>
  <c r="X270" i="11"/>
  <c r="BF59" i="22"/>
  <c r="AL59" i="22"/>
  <c r="AV50" i="22"/>
  <c r="AB50" i="22"/>
  <c r="AM22" i="22"/>
  <c r="BG22" i="22"/>
  <c r="AK431" i="16"/>
  <c r="AV431" i="16"/>
  <c r="Y333" i="11"/>
  <c r="X354" i="11"/>
  <c r="O261" i="11"/>
  <c r="EF32" i="20"/>
  <c r="EE32" i="20"/>
  <c r="DE32" i="20"/>
  <c r="ED32" i="20"/>
  <c r="DD32" i="20"/>
  <c r="DB32" i="20"/>
  <c r="DA32" i="20"/>
  <c r="EG32" i="20"/>
  <c r="DC32" i="20"/>
  <c r="O345" i="11"/>
  <c r="O308" i="11"/>
  <c r="P306" i="11"/>
  <c r="P332" i="11"/>
  <c r="P354" i="11"/>
  <c r="O234" i="11"/>
  <c r="AZ61" i="22"/>
  <c r="AF61" i="22"/>
  <c r="BH62" i="22"/>
  <c r="AN62" i="22"/>
  <c r="BJ23" i="22"/>
  <c r="AP23" i="22"/>
  <c r="Q267" i="11"/>
  <c r="R346" i="11"/>
  <c r="AB5" i="22"/>
  <c r="AV5" i="22"/>
  <c r="EM35" i="20"/>
  <c r="DO35" i="20"/>
  <c r="EL35" i="20"/>
  <c r="DL35" i="20"/>
  <c r="DN35" i="20"/>
  <c r="DM35" i="20"/>
  <c r="DK35" i="20"/>
  <c r="EO35" i="20"/>
  <c r="EN35" i="20"/>
  <c r="P345" i="11"/>
  <c r="Q261" i="11"/>
  <c r="R310" i="11"/>
  <c r="W325" i="11"/>
  <c r="O266" i="11"/>
  <c r="G237" i="11"/>
  <c r="F242" i="11"/>
  <c r="K252" i="11"/>
  <c r="H285" i="11"/>
  <c r="I296" i="11"/>
  <c r="J306" i="11"/>
  <c r="H338" i="11"/>
  <c r="H269" i="11"/>
  <c r="J254" i="11"/>
  <c r="K340" i="11"/>
  <c r="J347" i="11"/>
  <c r="E254" i="11"/>
  <c r="K246" i="11"/>
  <c r="F285" i="11"/>
  <c r="J289" i="11"/>
  <c r="I264" i="11"/>
  <c r="E354" i="11"/>
  <c r="E329" i="11"/>
  <c r="O250" i="11"/>
  <c r="H310" i="11"/>
  <c r="E345" i="11"/>
  <c r="BB9" i="22"/>
  <c r="AH9" i="22"/>
  <c r="V310" i="11"/>
  <c r="EW20" i="20"/>
  <c r="DY20" i="20"/>
  <c r="DX20" i="20"/>
  <c r="DV20" i="20"/>
  <c r="DU20" i="20"/>
  <c r="EU20" i="20"/>
  <c r="DW20" i="20"/>
  <c r="ET20" i="20"/>
  <c r="EV20" i="20"/>
  <c r="P285" i="11"/>
  <c r="AA16" i="22"/>
  <c r="AU16" i="22"/>
  <c r="V303" i="11"/>
  <c r="Q296" i="11"/>
  <c r="J323" i="11"/>
  <c r="F334" i="11"/>
  <c r="EC18" i="20"/>
  <c r="EB18" i="20"/>
  <c r="EA18" i="20"/>
  <c r="CX18" i="20"/>
  <c r="CZ18" i="20"/>
  <c r="CW18" i="20"/>
  <c r="CV18" i="20"/>
  <c r="DZ18" i="20"/>
  <c r="CY18" i="20"/>
  <c r="EG16" i="20"/>
  <c r="EF16" i="20"/>
  <c r="EE16" i="20"/>
  <c r="DB16" i="20"/>
  <c r="DD16" i="20"/>
  <c r="DA16" i="20"/>
  <c r="DE16" i="20"/>
  <c r="DC16" i="20"/>
  <c r="ED16" i="20"/>
  <c r="Q339" i="11"/>
  <c r="AZ58" i="22"/>
  <c r="AF58" i="22"/>
  <c r="EI6" i="20"/>
  <c r="DI6" i="20"/>
  <c r="EH6" i="20"/>
  <c r="DH6" i="20"/>
  <c r="DG6" i="20"/>
  <c r="DF6" i="20"/>
  <c r="DJ6" i="20"/>
  <c r="EJ6" i="20"/>
  <c r="EK6" i="20"/>
  <c r="P286" i="11"/>
  <c r="AE64" i="22"/>
  <c r="AY64" i="22"/>
  <c r="AC10" i="22"/>
  <c r="AW10" i="22"/>
  <c r="ER11" i="20"/>
  <c r="DT11" i="20"/>
  <c r="DR11" i="20"/>
  <c r="DQ11" i="20"/>
  <c r="DP11" i="20"/>
  <c r="ES11" i="20"/>
  <c r="EQ11" i="20"/>
  <c r="EP11" i="20"/>
  <c r="DS11" i="20"/>
  <c r="W299" i="11"/>
  <c r="BG20" i="22"/>
  <c r="AM20" i="22"/>
  <c r="AH20" i="22"/>
  <c r="BB20" i="22"/>
  <c r="X262" i="11"/>
  <c r="DE28" i="20"/>
  <c r="DD28" i="20"/>
  <c r="DC28" i="20"/>
  <c r="DA28" i="20"/>
  <c r="ED28" i="20"/>
  <c r="DB28" i="20"/>
  <c r="EG28" i="20"/>
  <c r="EF28" i="20"/>
  <c r="EE28" i="20"/>
  <c r="Y315" i="11"/>
  <c r="X346" i="11"/>
  <c r="X274" i="11"/>
  <c r="Q235" i="11"/>
  <c r="X241" i="11"/>
  <c r="EU32" i="20"/>
  <c r="DW32" i="20"/>
  <c r="DY32" i="20"/>
  <c r="EV32" i="20"/>
  <c r="DX32" i="20"/>
  <c r="DU32" i="20"/>
  <c r="DV32" i="20"/>
  <c r="EW32" i="20"/>
  <c r="ET32" i="20"/>
  <c r="U27" i="27"/>
  <c r="P27" i="27"/>
  <c r="Y310" i="11"/>
  <c r="Q288" i="11"/>
  <c r="Y353" i="11"/>
  <c r="V295" i="11"/>
  <c r="Y289" i="11"/>
  <c r="X334" i="11"/>
  <c r="R348" i="11"/>
  <c r="W337" i="11"/>
  <c r="R250" i="11"/>
  <c r="P314" i="11"/>
  <c r="EG31" i="20"/>
  <c r="EF31" i="20"/>
  <c r="ED31" i="20"/>
  <c r="DD31" i="20"/>
  <c r="DA31" i="20"/>
  <c r="DC31" i="20"/>
  <c r="DB31" i="20"/>
  <c r="EE31" i="20"/>
  <c r="DE31" i="20"/>
  <c r="ES34" i="20"/>
  <c r="ER34" i="20"/>
  <c r="DR34" i="20"/>
  <c r="EQ34" i="20"/>
  <c r="DQ34" i="20"/>
  <c r="EP34" i="20"/>
  <c r="DP34" i="20"/>
  <c r="DT34" i="20"/>
  <c r="DS34" i="20"/>
  <c r="AW62" i="22"/>
  <c r="AC62" i="22"/>
  <c r="AV61" i="22"/>
  <c r="AB61" i="22"/>
  <c r="BA61" i="22"/>
  <c r="AG61" i="22"/>
  <c r="BJ19" i="22"/>
  <c r="AP19" i="22"/>
  <c r="D23" i="27"/>
  <c r="C51" i="27" s="1"/>
  <c r="C55" i="27" s="1"/>
  <c r="D22" i="27"/>
  <c r="I21" i="27" s="1"/>
  <c r="DE33" i="20"/>
  <c r="EG33" i="20"/>
  <c r="EF33" i="20"/>
  <c r="ED33" i="20"/>
  <c r="DC33" i="20"/>
  <c r="DA33" i="20"/>
  <c r="EE33" i="20"/>
  <c r="DD33" i="20"/>
  <c r="DB33" i="20"/>
  <c r="X347" i="11"/>
  <c r="Q249" i="11"/>
  <c r="R336" i="11"/>
  <c r="Y312" i="11"/>
  <c r="X252" i="11"/>
  <c r="BA4" i="22"/>
  <c r="AG4" i="22"/>
  <c r="DQ18" i="20"/>
  <c r="DP18" i="20"/>
  <c r="DS18" i="20"/>
  <c r="ES18" i="20"/>
  <c r="ER18" i="20"/>
  <c r="EQ18" i="20"/>
  <c r="EP18" i="20"/>
  <c r="DT18" i="20"/>
  <c r="DR18" i="20"/>
  <c r="EG9" i="20"/>
  <c r="EF9" i="20"/>
  <c r="EE9" i="20"/>
  <c r="DB9" i="20"/>
  <c r="DE9" i="20"/>
  <c r="DD9" i="20"/>
  <c r="DC9" i="20"/>
  <c r="DA9" i="20"/>
  <c r="ED9" i="20"/>
  <c r="W249" i="11"/>
  <c r="R270" i="11"/>
  <c r="P291" i="11"/>
  <c r="Q233" i="11"/>
  <c r="V253" i="11"/>
  <c r="O235" i="11"/>
  <c r="DG35" i="20"/>
  <c r="DF35" i="20"/>
  <c r="DH35" i="20"/>
  <c r="EH35" i="20"/>
  <c r="EK35" i="20"/>
  <c r="EJ35" i="20"/>
  <c r="EI35" i="20"/>
  <c r="DJ35" i="20"/>
  <c r="DI35" i="20"/>
  <c r="BD56" i="20"/>
  <c r="X325" i="11"/>
  <c r="O340" i="11"/>
  <c r="Q243" i="11"/>
  <c r="Y235" i="11"/>
  <c r="V297" i="11"/>
  <c r="Y238" i="11"/>
  <c r="V312" i="11"/>
  <c r="Y247" i="11"/>
  <c r="AO13" i="22"/>
  <c r="BI13" i="22"/>
  <c r="H241" i="11"/>
  <c r="F271" i="11"/>
  <c r="F327" i="11"/>
  <c r="H251" i="11"/>
  <c r="D348" i="11"/>
  <c r="G326" i="11"/>
  <c r="I325" i="11"/>
  <c r="I357" i="11"/>
  <c r="H354" i="11"/>
  <c r="K314" i="11"/>
  <c r="F348" i="11"/>
  <c r="J339" i="11"/>
  <c r="D253" i="11"/>
  <c r="D274" i="11"/>
  <c r="D307" i="11"/>
  <c r="I312" i="11"/>
  <c r="F336" i="11"/>
  <c r="I340" i="11"/>
  <c r="I271" i="11"/>
  <c r="I230" i="11"/>
  <c r="H235" i="11"/>
  <c r="H277" i="11"/>
  <c r="I343" i="11"/>
  <c r="G230" i="11"/>
  <c r="E231" i="11"/>
  <c r="D331" i="11"/>
  <c r="E313" i="11"/>
  <c r="I344" i="11"/>
  <c r="E306" i="11"/>
  <c r="G331" i="11"/>
  <c r="E265" i="11"/>
  <c r="F253" i="11"/>
  <c r="I317" i="11"/>
  <c r="F254" i="11"/>
  <c r="H342" i="11"/>
  <c r="W287" i="11"/>
  <c r="V283" i="11"/>
  <c r="H237" i="11"/>
  <c r="G299" i="11"/>
  <c r="BG8" i="22"/>
  <c r="AM8" i="22"/>
  <c r="AE9" i="22"/>
  <c r="AY9" i="22"/>
  <c r="X261" i="11"/>
  <c r="D262" i="11"/>
  <c r="R305" i="11"/>
  <c r="K256" i="11"/>
  <c r="AW16" i="22"/>
  <c r="AC16" i="22"/>
  <c r="O289" i="11"/>
  <c r="Q351" i="11"/>
  <c r="J354" i="11"/>
  <c r="H262" i="11"/>
  <c r="F259" i="11"/>
  <c r="L17" i="21"/>
  <c r="L16" i="21"/>
  <c r="R51" i="20"/>
  <c r="R47" i="20"/>
  <c r="U47" i="20" s="1"/>
  <c r="DE18" i="20"/>
  <c r="DD18" i="20"/>
  <c r="DC18" i="20"/>
  <c r="EG18" i="20"/>
  <c r="EF18" i="20"/>
  <c r="DB18" i="20"/>
  <c r="DA18" i="20"/>
  <c r="EE18" i="20"/>
  <c r="ED18" i="20"/>
  <c r="O277" i="11"/>
  <c r="Y348" i="11"/>
  <c r="O236" i="11"/>
  <c r="R231" i="11"/>
  <c r="R285" i="11"/>
  <c r="AW58" i="22"/>
  <c r="AC58" i="22"/>
  <c r="AG11" i="22"/>
  <c r="BA11" i="22"/>
  <c r="EO6" i="20"/>
  <c r="DM6" i="20"/>
  <c r="DL6" i="20"/>
  <c r="DK6" i="20"/>
  <c r="EN6" i="20"/>
  <c r="EM6" i="20"/>
  <c r="EL6" i="20"/>
  <c r="DO6" i="20"/>
  <c r="DN6" i="20"/>
  <c r="AN64" i="22"/>
  <c r="BH64" i="22"/>
  <c r="BG11" i="22"/>
  <c r="AM11" i="22"/>
  <c r="AE11" i="22"/>
  <c r="AY11" i="22"/>
  <c r="AP17" i="22"/>
  <c r="BJ17" i="22"/>
  <c r="AY16" i="22"/>
  <c r="AE16" i="22"/>
  <c r="EM11" i="20"/>
  <c r="DO11" i="20"/>
  <c r="EL11" i="20"/>
  <c r="DN11" i="20"/>
  <c r="DM11" i="20"/>
  <c r="EN11" i="20"/>
  <c r="DL11" i="20"/>
  <c r="EO11" i="20"/>
  <c r="DK11" i="20"/>
  <c r="P357" i="11"/>
  <c r="R78" i="20"/>
  <c r="U76" i="20"/>
  <c r="X77" i="20"/>
  <c r="X78" i="20" s="1"/>
  <c r="X80" i="20" s="1"/>
  <c r="AG76" i="20" s="1"/>
  <c r="AG80" i="20" s="1"/>
  <c r="CN19" i="20" s="1"/>
  <c r="BJ21" i="22"/>
  <c r="AP21" i="22"/>
  <c r="D16" i="21"/>
  <c r="R6" i="20"/>
  <c r="AF60" i="22"/>
  <c r="AZ60" i="22"/>
  <c r="P277" i="11"/>
  <c r="Q325" i="11"/>
  <c r="P315" i="11"/>
  <c r="Q277" i="11"/>
  <c r="Y246" i="11"/>
  <c r="AE431" i="16"/>
  <c r="E431" i="16"/>
  <c r="EI27" i="20"/>
  <c r="EH27" i="20"/>
  <c r="DJ27" i="20"/>
  <c r="DI27" i="20"/>
  <c r="DG27" i="20"/>
  <c r="DF27" i="20"/>
  <c r="EK27" i="20"/>
  <c r="EJ27" i="20"/>
  <c r="DH27" i="20"/>
  <c r="W276" i="11"/>
  <c r="W324" i="11"/>
  <c r="W268" i="11"/>
  <c r="X244" i="11"/>
  <c r="X288" i="11"/>
  <c r="W357" i="11"/>
  <c r="Q270" i="11"/>
  <c r="O321" i="11"/>
  <c r="X273" i="11"/>
  <c r="X305" i="11"/>
  <c r="DI16" i="20"/>
  <c r="DH16" i="20"/>
  <c r="DG16" i="20"/>
  <c r="EK16" i="20"/>
  <c r="EJ16" i="20"/>
  <c r="DJ16" i="20"/>
  <c r="DF16" i="20"/>
  <c r="EI16" i="20"/>
  <c r="EH16" i="20"/>
  <c r="BG18" i="22"/>
  <c r="AM18" i="22"/>
  <c r="Z19" i="21"/>
  <c r="BA121" i="20"/>
  <c r="Z20" i="21"/>
  <c r="BA117" i="20"/>
  <c r="BD117" i="20" s="1"/>
  <c r="P259" i="11"/>
  <c r="Y281" i="11"/>
  <c r="P303" i="11"/>
  <c r="Q272" i="11"/>
  <c r="Q250" i="11"/>
  <c r="P284" i="11"/>
  <c r="V301" i="11"/>
  <c r="EG17" i="20"/>
  <c r="DD17" i="20"/>
  <c r="DA17" i="20"/>
  <c r="EF17" i="20"/>
  <c r="EE17" i="20"/>
  <c r="ED17" i="20"/>
  <c r="DE17" i="20"/>
  <c r="DC17" i="20"/>
  <c r="DB17" i="20"/>
  <c r="BH66" i="22"/>
  <c r="AN66" i="22"/>
  <c r="BG59" i="22"/>
  <c r="AM59" i="22"/>
  <c r="BC60" i="22"/>
  <c r="AI60" i="22"/>
  <c r="BH59" i="22"/>
  <c r="AN59" i="22"/>
  <c r="AE50" i="22"/>
  <c r="AY50" i="22"/>
  <c r="AW49" i="22"/>
  <c r="AC49" i="22"/>
  <c r="BD22" i="22"/>
  <c r="AJ22" i="22"/>
  <c r="AU431" i="16"/>
  <c r="R431" i="16"/>
  <c r="AO7" i="22"/>
  <c r="BI7" i="22"/>
  <c r="DK27" i="20"/>
  <c r="EN27" i="20"/>
  <c r="EL27" i="20"/>
  <c r="DO27" i="20"/>
  <c r="DN27" i="20"/>
  <c r="DM27" i="20"/>
  <c r="DL27" i="20"/>
  <c r="EO27" i="20"/>
  <c r="EM27" i="20"/>
  <c r="W258" i="11"/>
  <c r="R279" i="11"/>
  <c r="V302" i="11"/>
  <c r="W232" i="11"/>
  <c r="X339" i="11"/>
  <c r="Y267" i="11"/>
  <c r="V275" i="11"/>
  <c r="AK14" i="22"/>
  <c r="BE14" i="22"/>
  <c r="V335" i="11"/>
  <c r="O349" i="11"/>
  <c r="Q252" i="11"/>
  <c r="W340" i="11"/>
  <c r="V251" i="11"/>
  <c r="Q319" i="11"/>
  <c r="R271" i="11"/>
  <c r="EL16" i="20"/>
  <c r="DN16" i="20"/>
  <c r="EN16" i="20"/>
  <c r="EO16" i="20"/>
  <c r="DO16" i="20"/>
  <c r="DM16" i="20"/>
  <c r="DL16" i="20"/>
  <c r="DK16" i="20"/>
  <c r="EM16" i="20"/>
  <c r="AH60" i="22"/>
  <c r="BB60" i="22"/>
  <c r="AF17" i="21"/>
  <c r="R147" i="20"/>
  <c r="U147" i="20" s="1"/>
  <c r="R151" i="20"/>
  <c r="AF16" i="21"/>
  <c r="W291" i="11"/>
  <c r="R312" i="11"/>
  <c r="W342" i="11"/>
  <c r="P343" i="11"/>
  <c r="X296" i="11"/>
  <c r="Q256" i="11"/>
  <c r="Y305" i="11"/>
  <c r="R91" i="20"/>
  <c r="T16" i="21"/>
  <c r="T17" i="21"/>
  <c r="R87" i="20"/>
  <c r="U87" i="20" s="1"/>
  <c r="EN34" i="20"/>
  <c r="DN34" i="20"/>
  <c r="DK34" i="20"/>
  <c r="DO34" i="20"/>
  <c r="EO34" i="20"/>
  <c r="EM34" i="20"/>
  <c r="DM34" i="20"/>
  <c r="DL34" i="20"/>
  <c r="EL34" i="20"/>
  <c r="AJ62" i="22"/>
  <c r="BD62" i="22"/>
  <c r="BE62" i="22"/>
  <c r="AK62" i="22"/>
  <c r="AY18" i="22"/>
  <c r="AE18" i="22"/>
  <c r="AZ19" i="22"/>
  <c r="AF19" i="22"/>
  <c r="EC33" i="20"/>
  <c r="DZ33" i="20"/>
  <c r="CZ33" i="20"/>
  <c r="CX33" i="20"/>
  <c r="CW33" i="20"/>
  <c r="EB33" i="20"/>
  <c r="EA33" i="20"/>
  <c r="CY33" i="20"/>
  <c r="CV33" i="20"/>
  <c r="P289" i="11"/>
  <c r="X311" i="11"/>
  <c r="P339" i="11"/>
  <c r="X340" i="11"/>
  <c r="R295" i="11"/>
  <c r="X253" i="11"/>
  <c r="R292" i="11"/>
  <c r="EM21" i="20"/>
  <c r="DO21" i="20"/>
  <c r="EL21" i="20"/>
  <c r="DN21" i="20"/>
  <c r="DM21" i="20"/>
  <c r="DL21" i="20"/>
  <c r="EO21" i="20"/>
  <c r="EN21" i="20"/>
  <c r="DK21" i="20"/>
  <c r="AX5" i="22"/>
  <c r="AD5" i="22"/>
  <c r="BG66" i="22"/>
  <c r="AM66" i="22"/>
  <c r="N20" i="21"/>
  <c r="N19" i="21"/>
  <c r="BA61" i="20"/>
  <c r="BA57" i="20"/>
  <c r="BD57" i="20" s="1"/>
  <c r="P331" i="11"/>
  <c r="R234" i="11"/>
  <c r="P255" i="11"/>
  <c r="Q302" i="11"/>
  <c r="W292" i="11"/>
  <c r="V281" i="11"/>
  <c r="Y357" i="11"/>
  <c r="ET35" i="20"/>
  <c r="DY35" i="20"/>
  <c r="EV35" i="20"/>
  <c r="DX35" i="20"/>
  <c r="EU35" i="20"/>
  <c r="DW35" i="20"/>
  <c r="DV35" i="20"/>
  <c r="DU35" i="20"/>
  <c r="EW35" i="20"/>
  <c r="BB6" i="22"/>
  <c r="AH6" i="22"/>
  <c r="BB15" i="22"/>
  <c r="AH15" i="22"/>
  <c r="BE15" i="22"/>
  <c r="AK15" i="22"/>
  <c r="BB59" i="22"/>
  <c r="AH59" i="22"/>
  <c r="AH62" i="22"/>
  <c r="BB62" i="22"/>
  <c r="P283" i="11"/>
  <c r="O304" i="11"/>
  <c r="W333" i="11"/>
  <c r="O325" i="11"/>
  <c r="Q286" i="11"/>
  <c r="Q245" i="11"/>
  <c r="Q271" i="11"/>
  <c r="DK23" i="20"/>
  <c r="EN23" i="20"/>
  <c r="DM23" i="20"/>
  <c r="EO23" i="20"/>
  <c r="DN23" i="20"/>
  <c r="DL23" i="20"/>
  <c r="EM23" i="20"/>
  <c r="EL23" i="20"/>
  <c r="DO23" i="20"/>
  <c r="DE5" i="20"/>
  <c r="DB5" i="20"/>
  <c r="DA5" i="20"/>
  <c r="EG5" i="20"/>
  <c r="EF5" i="20"/>
  <c r="DD5" i="20"/>
  <c r="EE5" i="20"/>
  <c r="DC5" i="20"/>
  <c r="ED5" i="20"/>
  <c r="AA4" i="22"/>
  <c r="AU4" i="22"/>
  <c r="BA60" i="22"/>
  <c r="AW22" i="22"/>
  <c r="EG30" i="20"/>
  <c r="EE30" i="20"/>
  <c r="DE30" i="20"/>
  <c r="EF30" i="20"/>
  <c r="ED30" i="20"/>
  <c r="DD30" i="20"/>
  <c r="DB30" i="20"/>
  <c r="DA30" i="20"/>
  <c r="DC30" i="20"/>
  <c r="Y284" i="11"/>
  <c r="V323" i="11"/>
  <c r="V289" i="11"/>
  <c r="AZ12" i="22"/>
  <c r="AF12" i="22"/>
  <c r="AC13" i="22"/>
  <c r="AW13" i="22"/>
  <c r="BH12" i="22"/>
  <c r="AN12" i="22"/>
  <c r="AC12" i="22"/>
  <c r="AW12" i="22"/>
  <c r="H265" i="11"/>
  <c r="H295" i="11"/>
  <c r="G357" i="11"/>
  <c r="G344" i="11"/>
  <c r="H296" i="11"/>
  <c r="D325" i="11"/>
  <c r="K321" i="11"/>
  <c r="F234" i="11"/>
  <c r="D247" i="11"/>
  <c r="I276" i="11"/>
  <c r="F330" i="11"/>
  <c r="J262" i="11"/>
  <c r="H254" i="11"/>
  <c r="K350" i="11"/>
  <c r="J325" i="11"/>
  <c r="J301" i="11"/>
  <c r="H242" i="11"/>
  <c r="I295" i="11"/>
  <c r="I338" i="11"/>
  <c r="D302" i="11"/>
  <c r="E264" i="11"/>
  <c r="D295" i="11"/>
  <c r="J307" i="11"/>
  <c r="J231" i="11"/>
  <c r="J275" i="11"/>
  <c r="D306" i="11"/>
  <c r="K265" i="11"/>
  <c r="I266" i="11"/>
  <c r="J342" i="11"/>
  <c r="H311" i="11"/>
  <c r="F237" i="11"/>
  <c r="K276" i="11"/>
  <c r="K308" i="11"/>
  <c r="G266" i="11"/>
  <c r="E267" i="11"/>
  <c r="E321" i="11"/>
  <c r="D232" i="11"/>
  <c r="G258" i="11"/>
  <c r="F304" i="11"/>
  <c r="I256" i="11"/>
  <c r="E342" i="11"/>
  <c r="F320" i="11"/>
  <c r="K261" i="11"/>
  <c r="D242" i="11"/>
  <c r="G286" i="11"/>
  <c r="J335" i="11"/>
  <c r="G330" i="11"/>
  <c r="F290" i="11"/>
  <c r="J314" i="11"/>
  <c r="K315" i="11"/>
  <c r="P318" i="11"/>
  <c r="X318" i="11"/>
  <c r="X247" i="11"/>
  <c r="F301" i="11"/>
  <c r="I315" i="11"/>
  <c r="E350" i="11"/>
  <c r="AZ8" i="22"/>
  <c r="AF8" i="22"/>
  <c r="X323" i="11"/>
  <c r="V266" i="11"/>
  <c r="P17" i="21"/>
  <c r="P16" i="21"/>
  <c r="R67" i="20"/>
  <c r="U67" i="20" s="1"/>
  <c r="R71" i="20"/>
  <c r="F257" i="11"/>
  <c r="E268" i="11"/>
  <c r="AJ66" i="22"/>
  <c r="AO63" i="22"/>
  <c r="BI63" i="22"/>
  <c r="W252" i="11"/>
  <c r="X358" i="11"/>
  <c r="D265" i="11"/>
  <c r="Y272" i="11"/>
  <c r="P302" i="11"/>
  <c r="Y258" i="11"/>
  <c r="G254" i="11"/>
  <c r="G354" i="11"/>
  <c r="E256" i="11"/>
  <c r="BF60" i="22"/>
  <c r="AP13" i="22"/>
  <c r="BJ13" i="22"/>
  <c r="Y266" i="11"/>
  <c r="O290" i="11"/>
  <c r="X327" i="11"/>
  <c r="R303" i="11"/>
  <c r="Q317" i="11"/>
  <c r="BA13" i="20"/>
  <c r="BG12" i="20"/>
  <c r="BG13" i="20" s="1"/>
  <c r="BG15" i="20" s="1"/>
  <c r="BP11" i="20" s="1"/>
  <c r="BP15" i="20" s="1"/>
  <c r="CQ6" i="20" s="1"/>
  <c r="BD11" i="20"/>
  <c r="AV57" i="22"/>
  <c r="AB57" i="22"/>
  <c r="AI57" i="22"/>
  <c r="BC57" i="22"/>
  <c r="BD41" i="20"/>
  <c r="BA43" i="20"/>
  <c r="BG42" i="20"/>
  <c r="BG43" i="20" s="1"/>
  <c r="BG45" i="20" s="1"/>
  <c r="BP41" i="20" s="1"/>
  <c r="BP45" i="20" s="1"/>
  <c r="CQ12" i="20" s="1"/>
  <c r="I374" i="12"/>
  <c r="AF246" i="12"/>
  <c r="AF374" i="12" s="1"/>
  <c r="V255" i="11"/>
  <c r="W328" i="11"/>
  <c r="R247" i="11"/>
  <c r="DI26" i="20"/>
  <c r="DH26" i="20"/>
  <c r="DG26" i="20"/>
  <c r="EK26" i="20"/>
  <c r="EJ26" i="20"/>
  <c r="EI26" i="20"/>
  <c r="DJ26" i="20"/>
  <c r="DF26" i="20"/>
  <c r="EH26" i="20"/>
  <c r="AH63" i="22"/>
  <c r="BB63" i="22"/>
  <c r="AA63" i="22"/>
  <c r="AU63" i="22"/>
  <c r="AN11" i="22"/>
  <c r="BH11" i="22"/>
  <c r="BF10" i="22"/>
  <c r="AL10" i="22"/>
  <c r="AP11" i="22"/>
  <c r="BJ11" i="22"/>
  <c r="BF17" i="22"/>
  <c r="AL17" i="22"/>
  <c r="AZ17" i="22"/>
  <c r="AF17" i="22"/>
  <c r="AY17" i="22"/>
  <c r="AE17" i="22"/>
  <c r="Y334" i="11"/>
  <c r="P258" i="11"/>
  <c r="R275" i="11"/>
  <c r="AN20" i="22"/>
  <c r="BH20" i="22"/>
  <c r="AD21" i="22"/>
  <c r="AX21" i="22"/>
  <c r="R48" i="20"/>
  <c r="U46" i="20"/>
  <c r="E6" i="21"/>
  <c r="D7" i="21"/>
  <c r="D9" i="21" s="1"/>
  <c r="EC7" i="20"/>
  <c r="EB7" i="20"/>
  <c r="CW7" i="20"/>
  <c r="CV7" i="20"/>
  <c r="EA7" i="20"/>
  <c r="CZ7" i="20"/>
  <c r="DZ7" i="20"/>
  <c r="CY7" i="20"/>
  <c r="CX7" i="20"/>
  <c r="EW21" i="20"/>
  <c r="DY21" i="20"/>
  <c r="EV21" i="20"/>
  <c r="DV21" i="20"/>
  <c r="DU21" i="20"/>
  <c r="EU21" i="20"/>
  <c r="ET21" i="20"/>
  <c r="DW21" i="20"/>
  <c r="DX21" i="20"/>
  <c r="R240" i="11"/>
  <c r="D277" i="11"/>
  <c r="AR246" i="12"/>
  <c r="AR374" i="12" s="1"/>
  <c r="W374" i="12"/>
  <c r="W311" i="11"/>
  <c r="W281" i="11"/>
  <c r="X351" i="11"/>
  <c r="AN61" i="22"/>
  <c r="BH61" i="22"/>
  <c r="Q291" i="11"/>
  <c r="AC60" i="22"/>
  <c r="AW60" i="22"/>
  <c r="F20" i="21"/>
  <c r="F19" i="21"/>
  <c r="BA21" i="20"/>
  <c r="BA17" i="20"/>
  <c r="BD17" i="20" s="1"/>
  <c r="BA5" i="22"/>
  <c r="AG5" i="22"/>
  <c r="P304" i="11"/>
  <c r="Y242" i="11"/>
  <c r="O257" i="11"/>
  <c r="Y268" i="11"/>
  <c r="BI18" i="22"/>
  <c r="AO18" i="22"/>
  <c r="V242" i="11"/>
  <c r="W326" i="11"/>
  <c r="P249" i="11"/>
  <c r="I316" i="11"/>
  <c r="F284" i="11"/>
  <c r="D281" i="11"/>
  <c r="F287" i="11"/>
  <c r="K323" i="11"/>
  <c r="O271" i="11"/>
  <c r="Q239" i="11"/>
  <c r="BI65" i="22"/>
  <c r="AO65" i="22"/>
  <c r="BF22" i="22"/>
  <c r="AL22" i="22"/>
  <c r="AI431" i="16"/>
  <c r="O17" i="21"/>
  <c r="R66" i="20"/>
  <c r="O16" i="21"/>
  <c r="R62" i="20"/>
  <c r="U62" i="20" s="1"/>
  <c r="V345" i="11"/>
  <c r="BH65" i="22"/>
  <c r="AN65" i="22"/>
  <c r="BA50" i="22"/>
  <c r="AG50" i="22"/>
  <c r="X316" i="11"/>
  <c r="O302" i="11"/>
  <c r="Y328" i="11"/>
  <c r="R289" i="11"/>
  <c r="W318" i="11"/>
  <c r="DU31" i="20"/>
  <c r="EV31" i="20"/>
  <c r="DV31" i="20"/>
  <c r="EU31" i="20"/>
  <c r="ET31" i="20"/>
  <c r="EW31" i="20"/>
  <c r="DY31" i="20"/>
  <c r="DX31" i="20"/>
  <c r="DW31" i="20"/>
  <c r="AU18" i="22"/>
  <c r="AA18" i="22"/>
  <c r="V353" i="11"/>
  <c r="O233" i="11"/>
  <c r="EH18" i="20"/>
  <c r="DJ18" i="20"/>
  <c r="EJ18" i="20"/>
  <c r="DF18" i="20"/>
  <c r="DI18" i="20"/>
  <c r="DH18" i="20"/>
  <c r="DG18" i="20"/>
  <c r="EK18" i="20"/>
  <c r="EI18" i="20"/>
  <c r="W267" i="11"/>
  <c r="P312" i="11"/>
  <c r="R260" i="11"/>
  <c r="W327" i="11"/>
  <c r="BF6" i="22"/>
  <c r="AL6" i="22"/>
  <c r="EL15" i="20"/>
  <c r="DN15" i="20"/>
  <c r="EO15" i="20"/>
  <c r="DM15" i="20"/>
  <c r="DL15" i="20"/>
  <c r="DK15" i="20"/>
  <c r="DO15" i="20"/>
  <c r="EN15" i="20"/>
  <c r="EM15" i="20"/>
  <c r="O358" i="11"/>
  <c r="O263" i="11"/>
  <c r="O332" i="11"/>
  <c r="AO12" i="22"/>
  <c r="BI12" i="22"/>
  <c r="I333" i="11"/>
  <c r="D330" i="11"/>
  <c r="H336" i="11"/>
  <c r="J344" i="11"/>
  <c r="F298" i="11"/>
  <c r="I253" i="11"/>
  <c r="K255" i="11"/>
  <c r="G315" i="11"/>
  <c r="G327" i="11"/>
  <c r="D318" i="11"/>
  <c r="X337" i="11"/>
  <c r="AK17" i="22"/>
  <c r="BE17" i="22"/>
  <c r="EM30" i="20"/>
  <c r="DM30" i="20"/>
  <c r="EL30" i="20"/>
  <c r="DL30" i="20"/>
  <c r="DK30" i="20"/>
  <c r="EN30" i="20"/>
  <c r="DO30" i="20"/>
  <c r="DN30" i="20"/>
  <c r="EO30" i="20"/>
  <c r="E331" i="11"/>
  <c r="Y318" i="11"/>
  <c r="AB63" i="22"/>
  <c r="AV63" i="22"/>
  <c r="BD21" i="22"/>
  <c r="AJ21" i="22"/>
  <c r="F16" i="21"/>
  <c r="F17" i="21"/>
  <c r="R17" i="20"/>
  <c r="U17" i="20" s="1"/>
  <c r="R21" i="20"/>
  <c r="Q295" i="11"/>
  <c r="O305" i="11"/>
  <c r="BE23" i="22"/>
  <c r="AK23" i="22"/>
  <c r="S431" i="16"/>
  <c r="AM7" i="22"/>
  <c r="BG7" i="22"/>
  <c r="P241" i="11"/>
  <c r="Y263" i="11"/>
  <c r="W284" i="11"/>
  <c r="O238" i="11"/>
  <c r="P342" i="11"/>
  <c r="Q280" i="11"/>
  <c r="X294" i="11"/>
  <c r="CY17" i="20"/>
  <c r="CX17" i="20"/>
  <c r="CW17" i="20"/>
  <c r="EB17" i="20"/>
  <c r="CV17" i="20"/>
  <c r="CZ17" i="20"/>
  <c r="EC17" i="20"/>
  <c r="EA17" i="20"/>
  <c r="DZ17" i="20"/>
  <c r="BA65" i="22"/>
  <c r="AG65" i="22"/>
  <c r="AE59" i="22"/>
  <c r="AY59" i="22"/>
  <c r="BE59" i="22"/>
  <c r="AK59" i="22"/>
  <c r="AU23" i="22"/>
  <c r="AA23" i="22"/>
  <c r="BF5" i="22"/>
  <c r="AL5" i="22"/>
  <c r="G431" i="16"/>
  <c r="AH431" i="16"/>
  <c r="ES27" i="20"/>
  <c r="EQ27" i="20"/>
  <c r="DS27" i="20"/>
  <c r="DP27" i="20"/>
  <c r="ER27" i="20"/>
  <c r="EP27" i="20"/>
  <c r="DT27" i="20"/>
  <c r="DR27" i="20"/>
  <c r="DQ27" i="20"/>
  <c r="W240" i="11"/>
  <c r="R261" i="11"/>
  <c r="P282" i="11"/>
  <c r="O320" i="11"/>
  <c r="X309" i="11"/>
  <c r="Y323" i="11"/>
  <c r="P266" i="11"/>
  <c r="BG6" i="22"/>
  <c r="AM6" i="22"/>
  <c r="Q313" i="11"/>
  <c r="O331" i="11"/>
  <c r="Q234" i="11"/>
  <c r="W358" i="11"/>
  <c r="P337" i="11"/>
  <c r="R284" i="11"/>
  <c r="P338" i="11"/>
  <c r="EH22" i="20"/>
  <c r="DJ22" i="20"/>
  <c r="DI22" i="20"/>
  <c r="EK22" i="20"/>
  <c r="EJ22" i="20"/>
  <c r="EI22" i="20"/>
  <c r="DH22" i="20"/>
  <c r="DG22" i="20"/>
  <c r="DF22" i="20"/>
  <c r="AB4" i="22"/>
  <c r="AV4" i="22"/>
  <c r="BB7" i="22"/>
  <c r="AH7" i="22"/>
  <c r="W273" i="11"/>
  <c r="R294" i="11"/>
  <c r="V320" i="11"/>
  <c r="X308" i="11"/>
  <c r="R269" i="11"/>
  <c r="V327" i="11"/>
  <c r="V230" i="11"/>
  <c r="U17" i="21"/>
  <c r="U16" i="21"/>
  <c r="R92" i="20"/>
  <c r="U92" i="20" s="1"/>
  <c r="R96" i="20"/>
  <c r="AI61" i="22"/>
  <c r="BC61" i="22"/>
  <c r="AA61" i="22"/>
  <c r="AU61" i="22"/>
  <c r="AH61" i="22"/>
  <c r="BB61" i="22"/>
  <c r="AA19" i="22"/>
  <c r="AU19" i="22"/>
  <c r="BI19" i="22"/>
  <c r="AO19" i="22"/>
  <c r="AD19" i="22"/>
  <c r="AX19" i="22"/>
  <c r="P271" i="11"/>
  <c r="Y293" i="11"/>
  <c r="X319" i="11"/>
  <c r="V305" i="11"/>
  <c r="Q268" i="11"/>
  <c r="O319" i="11"/>
  <c r="R358" i="11"/>
  <c r="ER21" i="20"/>
  <c r="DT21" i="20"/>
  <c r="DR21" i="20"/>
  <c r="DP21" i="20"/>
  <c r="EP21" i="20"/>
  <c r="DS21" i="20"/>
  <c r="DQ21" i="20"/>
  <c r="ES21" i="20"/>
  <c r="EQ21" i="20"/>
  <c r="AI5" i="22"/>
  <c r="BC5" i="22"/>
  <c r="AM4" i="22"/>
  <c r="BG4" i="22"/>
  <c r="BH5" i="22"/>
  <c r="AN5" i="22"/>
  <c r="BG61" i="22"/>
  <c r="AM61" i="22"/>
  <c r="AD65" i="22"/>
  <c r="AX65" i="22"/>
  <c r="R356" i="11"/>
  <c r="O300" i="11"/>
  <c r="R343" i="11"/>
  <c r="P237" i="11"/>
  <c r="V268" i="11"/>
  <c r="V243" i="11"/>
  <c r="W314" i="11"/>
  <c r="Q257" i="11"/>
  <c r="DC35" i="20"/>
  <c r="EG35" i="20"/>
  <c r="EF35" i="20"/>
  <c r="EE35" i="20"/>
  <c r="DE35" i="20"/>
  <c r="DB35" i="20"/>
  <c r="DA35" i="20"/>
  <c r="ED35" i="20"/>
  <c r="DD35" i="20"/>
  <c r="AF7" i="22"/>
  <c r="AZ7" i="22"/>
  <c r="AO15" i="22"/>
  <c r="BI15" i="22"/>
  <c r="BH15" i="22"/>
  <c r="AN15" i="22"/>
  <c r="BJ61" i="22"/>
  <c r="AP61" i="22"/>
  <c r="U36" i="20"/>
  <c r="X37" i="20"/>
  <c r="X38" i="20" s="1"/>
  <c r="X40" i="20" s="1"/>
  <c r="AG36" i="20" s="1"/>
  <c r="AG40" i="20" s="1"/>
  <c r="CN11" i="20" s="1"/>
  <c r="P265" i="11"/>
  <c r="Y287" i="11"/>
  <c r="V311" i="11"/>
  <c r="Q290" i="11"/>
  <c r="Q259" i="11"/>
  <c r="O297" i="11"/>
  <c r="V350" i="11"/>
  <c r="ES23" i="20"/>
  <c r="DP23" i="20"/>
  <c r="ER23" i="20"/>
  <c r="EQ23" i="20"/>
  <c r="DT23" i="20"/>
  <c r="EP23" i="20"/>
  <c r="DS23" i="20"/>
  <c r="DR23" i="20"/>
  <c r="DQ23" i="20"/>
  <c r="DY5" i="20"/>
  <c r="EW5" i="20"/>
  <c r="EV5" i="20"/>
  <c r="EU5" i="20"/>
  <c r="EU36" i="20" s="1"/>
  <c r="ET5" i="20"/>
  <c r="DW5" i="20"/>
  <c r="DV5" i="20"/>
  <c r="DU5" i="20"/>
  <c r="DX5" i="20"/>
  <c r="AE19" i="22"/>
  <c r="CW30" i="20"/>
  <c r="DZ30" i="20"/>
  <c r="CZ30" i="20"/>
  <c r="CY30" i="20"/>
  <c r="CX30" i="20"/>
  <c r="CV30" i="20"/>
  <c r="EB30" i="20"/>
  <c r="EA30" i="20"/>
  <c r="EC30" i="20"/>
  <c r="Y230" i="11"/>
  <c r="R259" i="11"/>
  <c r="X349" i="11"/>
  <c r="BE12" i="22"/>
  <c r="AK12" i="22"/>
  <c r="BF13" i="22"/>
  <c r="AL13" i="22"/>
  <c r="AY12" i="22"/>
  <c r="AE12" i="22"/>
  <c r="F273" i="11"/>
  <c r="G244" i="11"/>
  <c r="E330" i="11"/>
  <c r="J258" i="11"/>
  <c r="F357" i="11"/>
  <c r="H314" i="11"/>
  <c r="D258" i="11"/>
  <c r="K339" i="11"/>
  <c r="F314" i="11"/>
  <c r="D272" i="11"/>
  <c r="E317" i="11"/>
  <c r="H313" i="11"/>
  <c r="J280" i="11"/>
  <c r="D291" i="11"/>
  <c r="G304" i="11"/>
  <c r="G252" i="11"/>
  <c r="K309" i="11"/>
  <c r="E335" i="11"/>
  <c r="J230" i="11"/>
  <c r="K346" i="11"/>
  <c r="D320" i="11"/>
  <c r="E282" i="11"/>
  <c r="J236" i="11"/>
  <c r="F241" i="11"/>
  <c r="E262" i="11"/>
  <c r="J297" i="11"/>
  <c r="D324" i="11"/>
  <c r="K283" i="11"/>
  <c r="I284" i="11"/>
  <c r="D299" i="11"/>
  <c r="J242" i="11"/>
  <c r="K263" i="11"/>
  <c r="E300" i="11"/>
  <c r="K326" i="11"/>
  <c r="G284" i="11"/>
  <c r="E285" i="11"/>
  <c r="G235" i="11"/>
  <c r="E241" i="11"/>
  <c r="D280" i="11"/>
  <c r="H357" i="11"/>
  <c r="I274" i="11"/>
  <c r="K232" i="11"/>
  <c r="I233" i="11"/>
  <c r="D308" i="11"/>
  <c r="D341" i="11"/>
  <c r="F318" i="11"/>
  <c r="H247" i="11"/>
  <c r="I347" i="11"/>
  <c r="I309" i="11"/>
  <c r="J350" i="11"/>
  <c r="K333" i="11"/>
  <c r="W261" i="11"/>
  <c r="Q347" i="11"/>
  <c r="V239" i="11"/>
  <c r="J259" i="11"/>
  <c r="G345" i="11"/>
  <c r="E232" i="11"/>
  <c r="AX8" i="22"/>
  <c r="AD8" i="22"/>
  <c r="AG9" i="22"/>
  <c r="BA9" i="22"/>
  <c r="AU9" i="22"/>
  <c r="AA9" i="22"/>
  <c r="P305" i="11"/>
  <c r="EC22" i="20"/>
  <c r="EB22" i="20"/>
  <c r="EA22" i="20"/>
  <c r="CX22" i="20"/>
  <c r="CV22" i="20"/>
  <c r="DZ22" i="20"/>
  <c r="CW22" i="20"/>
  <c r="CZ22" i="20"/>
  <c r="CY22" i="20"/>
  <c r="J340" i="11"/>
  <c r="J237" i="11"/>
  <c r="BE58" i="22"/>
  <c r="AK58" i="22"/>
  <c r="AX66" i="22"/>
  <c r="Q308" i="11"/>
  <c r="P239" i="11"/>
  <c r="K290" i="11"/>
  <c r="AP10" i="25"/>
  <c r="BA113" i="20"/>
  <c r="BD111" i="20"/>
  <c r="BG112" i="20"/>
  <c r="BG113" i="20" s="1"/>
  <c r="BG115" i="20" s="1"/>
  <c r="BP111" i="20" s="1"/>
  <c r="BP115" i="20" s="1"/>
  <c r="CQ26" i="20" s="1"/>
  <c r="O344" i="11"/>
  <c r="R242" i="11"/>
  <c r="X240" i="11"/>
  <c r="EG34" i="20"/>
  <c r="EE34" i="20"/>
  <c r="DE34" i="20"/>
  <c r="ED34" i="20"/>
  <c r="DD34" i="20"/>
  <c r="DC34" i="20"/>
  <c r="DA34" i="20"/>
  <c r="EF34" i="20"/>
  <c r="DB34" i="20"/>
  <c r="F337" i="11"/>
  <c r="I258" i="11"/>
  <c r="R329" i="11"/>
  <c r="AS246" i="12"/>
  <c r="AS374" i="12" s="1"/>
  <c r="X374" i="12"/>
  <c r="W338" i="11"/>
  <c r="R278" i="11"/>
  <c r="V248" i="11"/>
  <c r="R357" i="11"/>
  <c r="O327" i="11"/>
  <c r="CW15" i="20"/>
  <c r="CV15" i="20"/>
  <c r="DZ15" i="20"/>
  <c r="EC15" i="20"/>
  <c r="EB15" i="20"/>
  <c r="CX15" i="20"/>
  <c r="EA15" i="20"/>
  <c r="CZ15" i="20"/>
  <c r="CY15" i="20"/>
  <c r="AY57" i="22"/>
  <c r="AE57" i="22"/>
  <c r="BG57" i="22"/>
  <c r="AM57" i="22"/>
  <c r="AF57" i="22"/>
  <c r="AZ57" i="22"/>
  <c r="BC58" i="22"/>
  <c r="AI58" i="22"/>
  <c r="H374" i="12"/>
  <c r="AE246" i="12"/>
  <c r="AE374" i="12" s="1"/>
  <c r="V307" i="11"/>
  <c r="O240" i="11"/>
  <c r="Q289" i="11"/>
  <c r="EO26" i="20"/>
  <c r="EL26" i="20"/>
  <c r="DN26" i="20"/>
  <c r="EN26" i="20"/>
  <c r="DO26" i="20"/>
  <c r="DM26" i="20"/>
  <c r="DL26" i="20"/>
  <c r="EM26" i="20"/>
  <c r="DK26" i="20"/>
  <c r="AB64" i="22"/>
  <c r="AV64" i="22"/>
  <c r="BD63" i="22"/>
  <c r="AJ63" i="22"/>
  <c r="BA10" i="22"/>
  <c r="AG10" i="22"/>
  <c r="AN17" i="22"/>
  <c r="BH17" i="22"/>
  <c r="AO17" i="22"/>
  <c r="BI17" i="22"/>
  <c r="BC62" i="22"/>
  <c r="X343" i="11"/>
  <c r="W349" i="11"/>
  <c r="V290" i="11"/>
  <c r="AI20" i="22"/>
  <c r="BC20" i="22"/>
  <c r="BB23" i="22"/>
  <c r="AH23" i="22"/>
  <c r="K20" i="21"/>
  <c r="K19" i="21"/>
  <c r="BA42" i="20"/>
  <c r="BD42" i="20" s="1"/>
  <c r="BA46" i="20"/>
  <c r="Q263" i="11"/>
  <c r="Y303" i="11"/>
  <c r="AZ62" i="22"/>
  <c r="AF62" i="22"/>
  <c r="DE6" i="20"/>
  <c r="EG6" i="20"/>
  <c r="EF6" i="20"/>
  <c r="EE6" i="20"/>
  <c r="ED6" i="20"/>
  <c r="DD6" i="20"/>
  <c r="DC6" i="20"/>
  <c r="DA6" i="20"/>
  <c r="DB6" i="20"/>
  <c r="BG60" i="22"/>
  <c r="AM60" i="22"/>
  <c r="R286" i="11"/>
  <c r="X336" i="11"/>
  <c r="G255" i="11"/>
  <c r="W352" i="11"/>
  <c r="EG19" i="20"/>
  <c r="EF19" i="20"/>
  <c r="EE19" i="20"/>
  <c r="DB19" i="20"/>
  <c r="DD19" i="20"/>
  <c r="DC19" i="20"/>
  <c r="ED19" i="20"/>
  <c r="DE19" i="20"/>
  <c r="DA19" i="20"/>
  <c r="AC23" i="22"/>
  <c r="AW23" i="22"/>
  <c r="V231" i="11"/>
  <c r="Y294" i="11"/>
  <c r="P356" i="11"/>
  <c r="R123" i="20"/>
  <c r="X122" i="20"/>
  <c r="X123" i="20" s="1"/>
  <c r="X125" i="20" s="1"/>
  <c r="AG121" i="20" s="1"/>
  <c r="AG125" i="20" s="1"/>
  <c r="CN28" i="20" s="1"/>
  <c r="U121" i="20"/>
  <c r="V276" i="11"/>
  <c r="AJ19" i="22"/>
  <c r="BD19" i="22"/>
  <c r="Y343" i="11"/>
  <c r="V304" i="11"/>
  <c r="AC4" i="22"/>
  <c r="AW4" i="22"/>
  <c r="DU25" i="20"/>
  <c r="DY25" i="20"/>
  <c r="DX25" i="20"/>
  <c r="DW25" i="20"/>
  <c r="DV25" i="20"/>
  <c r="EU25" i="20"/>
  <c r="ET25" i="20"/>
  <c r="EW25" i="20"/>
  <c r="EV25" i="20"/>
  <c r="Y342" i="11"/>
  <c r="Y241" i="11"/>
  <c r="AO22" i="22"/>
  <c r="BI22" i="22"/>
  <c r="O352" i="11"/>
  <c r="Y316" i="11"/>
  <c r="E276" i="11"/>
  <c r="K329" i="11"/>
  <c r="E353" i="11"/>
  <c r="J330" i="11"/>
  <c r="J235" i="11"/>
  <c r="Y295" i="11"/>
  <c r="O242" i="11"/>
  <c r="X147" i="20"/>
  <c r="X148" i="20" s="1"/>
  <c r="X150" i="20" s="1"/>
  <c r="AG146" i="20" s="1"/>
  <c r="AG150" i="20" s="1"/>
  <c r="CN33" i="20" s="1"/>
  <c r="U146" i="20"/>
  <c r="R148" i="20"/>
  <c r="BJ65" i="22"/>
  <c r="AP65" i="22"/>
  <c r="AA59" i="22"/>
  <c r="AU59" i="22"/>
  <c r="V317" i="11"/>
  <c r="X289" i="11"/>
  <c r="AK66" i="22"/>
  <c r="BE66" i="22"/>
  <c r="AV59" i="22"/>
  <c r="AB59" i="22"/>
  <c r="G334" i="11"/>
  <c r="H351" i="11"/>
  <c r="J310" i="11"/>
  <c r="I263" i="11"/>
  <c r="F338" i="11"/>
  <c r="I355" i="11"/>
  <c r="H257" i="11"/>
  <c r="E311" i="11"/>
  <c r="K262" i="11"/>
  <c r="K349" i="11"/>
  <c r="F310" i="11"/>
  <c r="F263" i="11"/>
  <c r="G350" i="11"/>
  <c r="J304" i="11"/>
  <c r="I262" i="11"/>
  <c r="D350" i="11"/>
  <c r="I331" i="11"/>
  <c r="D346" i="11"/>
  <c r="H271" i="11"/>
  <c r="F317" i="11"/>
  <c r="F252" i="11"/>
  <c r="F280" i="11"/>
  <c r="D317" i="11"/>
  <c r="G348" i="11"/>
  <c r="K264" i="11"/>
  <c r="J321" i="11"/>
  <c r="D248" i="11"/>
  <c r="K287" i="11"/>
  <c r="D269" i="11"/>
  <c r="K257" i="11"/>
  <c r="H347" i="11"/>
  <c r="D250" i="11"/>
  <c r="F303" i="11"/>
  <c r="E283" i="11"/>
  <c r="I304" i="11"/>
  <c r="I324" i="11"/>
  <c r="H333" i="11"/>
  <c r="K244" i="11"/>
  <c r="I244" i="11"/>
  <c r="H340" i="11"/>
  <c r="F339" i="11"/>
  <c r="K233" i="11"/>
  <c r="G307" i="11"/>
  <c r="E243" i="11"/>
  <c r="J336" i="11"/>
  <c r="J331" i="11"/>
  <c r="H245" i="11"/>
  <c r="H239" i="11"/>
  <c r="G292" i="11"/>
  <c r="K300" i="11"/>
  <c r="I318" i="11"/>
  <c r="K285" i="11"/>
  <c r="J264" i="11"/>
  <c r="I291" i="11"/>
  <c r="H315" i="11"/>
  <c r="K313" i="11"/>
  <c r="J284" i="11"/>
  <c r="D263" i="11"/>
  <c r="H243" i="11"/>
  <c r="D351" i="11"/>
  <c r="F325" i="11"/>
  <c r="J260" i="11"/>
  <c r="K318" i="11"/>
  <c r="G355" i="11"/>
  <c r="I245" i="11"/>
  <c r="D316" i="11"/>
  <c r="K331" i="11"/>
  <c r="G332" i="11"/>
  <c r="J334" i="11"/>
  <c r="I246" i="11"/>
  <c r="K239" i="11"/>
  <c r="I240" i="11"/>
  <c r="K251" i="11"/>
  <c r="E250" i="11"/>
  <c r="D344" i="11"/>
  <c r="G329" i="11"/>
  <c r="J296" i="11"/>
  <c r="G242" i="11"/>
  <c r="J241" i="11"/>
  <c r="E284" i="11"/>
  <c r="I342" i="11"/>
  <c r="G280" i="11"/>
  <c r="K231" i="11"/>
  <c r="F276" i="11"/>
  <c r="F250" i="11"/>
  <c r="J287" i="11"/>
  <c r="F326" i="11"/>
  <c r="K342" i="11"/>
  <c r="I275" i="11"/>
  <c r="H263" i="11"/>
  <c r="K274" i="11"/>
  <c r="F275" i="11"/>
  <c r="J358" i="11"/>
  <c r="E230" i="11"/>
  <c r="E359" i="11" s="1"/>
  <c r="G262" i="11"/>
  <c r="D332" i="11"/>
  <c r="J303" i="11"/>
  <c r="F274" i="11"/>
  <c r="J329" i="11"/>
  <c r="G298" i="11"/>
  <c r="G272" i="11"/>
  <c r="J274" i="11"/>
  <c r="I268" i="11"/>
  <c r="F332" i="11"/>
  <c r="J308" i="11"/>
  <c r="H302" i="11"/>
  <c r="H233" i="11"/>
  <c r="F321" i="11"/>
  <c r="I272" i="11"/>
  <c r="K271" i="11"/>
  <c r="E266" i="11"/>
  <c r="D283" i="11"/>
  <c r="H320" i="11"/>
  <c r="H249" i="11"/>
  <c r="J353" i="11"/>
  <c r="H317" i="11"/>
  <c r="I293" i="11"/>
  <c r="H255" i="11"/>
  <c r="K307" i="11"/>
  <c r="I254" i="11"/>
  <c r="F302" i="11"/>
  <c r="F342" i="11"/>
  <c r="K292" i="11"/>
  <c r="K253" i="11"/>
  <c r="F293" i="11"/>
  <c r="J247" i="11"/>
  <c r="D333" i="11"/>
  <c r="E248" i="11"/>
  <c r="D337" i="11"/>
  <c r="G317" i="11"/>
  <c r="G261" i="11"/>
  <c r="G289" i="11"/>
  <c r="K240" i="11"/>
  <c r="E280" i="11"/>
  <c r="H248" i="11"/>
  <c r="J291" i="11"/>
  <c r="K347" i="11"/>
  <c r="K319" i="11"/>
  <c r="G256" i="11"/>
  <c r="J333" i="11"/>
  <c r="F255" i="11"/>
  <c r="I282" i="11"/>
  <c r="G316" i="11"/>
  <c r="H290" i="11"/>
  <c r="G290" i="11"/>
  <c r="J292" i="11"/>
  <c r="I286" i="11"/>
  <c r="F352" i="11"/>
  <c r="D284" i="11"/>
  <c r="H276" i="11"/>
  <c r="D290" i="11"/>
  <c r="F286" i="11"/>
  <c r="D313" i="11"/>
  <c r="I270" i="11"/>
  <c r="I290" i="11"/>
  <c r="K289" i="11"/>
  <c r="J283" i="11"/>
  <c r="E242" i="11"/>
  <c r="H307" i="11"/>
  <c r="E322" i="11"/>
  <c r="K291" i="11"/>
  <c r="H331" i="11"/>
  <c r="H326" i="11"/>
  <c r="J324" i="11"/>
  <c r="E316" i="11"/>
  <c r="K235" i="11"/>
  <c r="D315" i="11"/>
  <c r="E235" i="11"/>
  <c r="D310" i="11"/>
  <c r="K337" i="11"/>
  <c r="D355" i="11"/>
  <c r="I299" i="11"/>
  <c r="G337" i="11"/>
  <c r="D352" i="11"/>
  <c r="H319" i="11"/>
  <c r="F355" i="11"/>
  <c r="E355" i="11"/>
  <c r="K355" i="11"/>
  <c r="D257" i="11"/>
  <c r="I330" i="11"/>
  <c r="E348" i="11"/>
  <c r="F296" i="11"/>
  <c r="K336" i="11"/>
  <c r="G311" i="11"/>
  <c r="G351" i="11"/>
  <c r="D261" i="11"/>
  <c r="I314" i="11"/>
  <c r="I354" i="11"/>
  <c r="J265" i="11"/>
  <c r="D353" i="11"/>
  <c r="I334" i="11"/>
  <c r="E327" i="11"/>
  <c r="I285" i="11"/>
  <c r="J240" i="11"/>
  <c r="H291" i="11"/>
  <c r="F291" i="11"/>
  <c r="E314" i="11"/>
  <c r="E334" i="11"/>
  <c r="I319" i="11"/>
  <c r="I336" i="11"/>
  <c r="J295" i="11"/>
  <c r="I353" i="11"/>
  <c r="H343" i="11"/>
  <c r="I313" i="11"/>
  <c r="J352" i="11"/>
  <c r="K236" i="11"/>
  <c r="E291" i="11"/>
  <c r="I341" i="11"/>
  <c r="F245" i="11"/>
  <c r="H312" i="11"/>
  <c r="G294" i="11"/>
  <c r="G300" i="11"/>
  <c r="K354" i="11"/>
  <c r="H287" i="11"/>
  <c r="D329" i="11"/>
  <c r="J317" i="11"/>
  <c r="K272" i="11"/>
  <c r="I352" i="11"/>
  <c r="F264" i="11"/>
  <c r="D282" i="11"/>
  <c r="I277" i="11"/>
  <c r="F247" i="11"/>
  <c r="E339" i="11"/>
  <c r="D279" i="11"/>
  <c r="H339" i="11"/>
  <c r="K328" i="11"/>
  <c r="H279" i="11"/>
  <c r="E352" i="11"/>
  <c r="D311" i="11"/>
  <c r="D349" i="11"/>
  <c r="D271" i="11"/>
  <c r="F256" i="11"/>
  <c r="G352" i="11"/>
  <c r="K306" i="11"/>
  <c r="J328" i="11"/>
  <c r="I281" i="11"/>
  <c r="I239" i="11"/>
  <c r="H284" i="11"/>
  <c r="H293" i="11"/>
  <c r="F333" i="11"/>
  <c r="K280" i="11"/>
  <c r="K238" i="11"/>
  <c r="F328" i="11"/>
  <c r="F281" i="11"/>
  <c r="F239" i="11"/>
  <c r="J322" i="11"/>
  <c r="I280" i="11"/>
  <c r="I241" i="11"/>
  <c r="H316" i="11"/>
  <c r="I339" i="11"/>
  <c r="J293" i="11"/>
  <c r="I237" i="11"/>
  <c r="F279" i="11"/>
  <c r="K320" i="11"/>
  <c r="K230" i="11"/>
  <c r="K254" i="11"/>
  <c r="H286" i="11"/>
  <c r="E238" i="11"/>
  <c r="J273" i="11"/>
  <c r="I326" i="11"/>
  <c r="J234" i="11"/>
  <c r="D286" i="11"/>
  <c r="D278" i="11"/>
  <c r="E318" i="11"/>
  <c r="F283" i="11"/>
  <c r="D240" i="11"/>
  <c r="J288" i="11"/>
  <c r="H261" i="11"/>
  <c r="D358" i="11"/>
  <c r="E320" i="11"/>
  <c r="E358" i="11"/>
  <c r="K282" i="11"/>
  <c r="H270" i="11"/>
  <c r="D255" i="11"/>
  <c r="F354" i="11"/>
  <c r="F246" i="11"/>
  <c r="K334" i="11"/>
  <c r="D252" i="11"/>
  <c r="J313" i="11"/>
  <c r="G253" i="11"/>
  <c r="E336" i="11"/>
  <c r="G232" i="11"/>
  <c r="G343" i="11"/>
  <c r="G301" i="11"/>
  <c r="E325" i="11"/>
  <c r="E279" i="11"/>
  <c r="E237" i="11"/>
  <c r="H266" i="11"/>
  <c r="D285" i="11"/>
  <c r="I332" i="11"/>
  <c r="G278" i="11"/>
  <c r="G236" i="11"/>
  <c r="F319" i="11"/>
  <c r="J277" i="11"/>
  <c r="J238" i="11"/>
  <c r="E319" i="11"/>
  <c r="E278" i="11"/>
  <c r="I232" i="11"/>
  <c r="E309" i="11"/>
  <c r="G335" i="11"/>
  <c r="D292" i="11"/>
  <c r="H236" i="11"/>
  <c r="D266" i="11"/>
  <c r="F312" i="11"/>
  <c r="E357" i="11"/>
  <c r="E253" i="11"/>
  <c r="G285" i="11"/>
  <c r="F345" i="11"/>
  <c r="F267" i="11"/>
  <c r="H321" i="11"/>
  <c r="J233" i="11"/>
  <c r="E274" i="11"/>
  <c r="H234" i="11"/>
  <c r="G303" i="11"/>
  <c r="K270" i="11"/>
  <c r="G282" i="11"/>
  <c r="J312" i="11"/>
  <c r="I236" i="11"/>
  <c r="K343" i="11"/>
  <c r="J261" i="11"/>
  <c r="E273" i="11"/>
  <c r="G314" i="11"/>
  <c r="J272" i="11"/>
  <c r="O338" i="11"/>
  <c r="R18" i="20"/>
  <c r="U16" i="20"/>
  <c r="X269" i="11"/>
  <c r="P297" i="11"/>
  <c r="AV62" i="22"/>
  <c r="AB62" i="22"/>
  <c r="AB18" i="22"/>
  <c r="AV18" i="22"/>
  <c r="Q314" i="11"/>
  <c r="DU9" i="20"/>
  <c r="EU9" i="20"/>
  <c r="EW9" i="20"/>
  <c r="EV9" i="20"/>
  <c r="ET9" i="20"/>
  <c r="DY9" i="20"/>
  <c r="DX9" i="20"/>
  <c r="DV9" i="20"/>
  <c r="DW9" i="20"/>
  <c r="W341" i="11"/>
  <c r="BH13" i="22"/>
  <c r="AN13" i="22"/>
  <c r="E299" i="11"/>
  <c r="H337" i="11"/>
  <c r="H329" i="11"/>
  <c r="J345" i="11"/>
  <c r="G341" i="11"/>
  <c r="I297" i="11"/>
  <c r="F282" i="11"/>
  <c r="H341" i="11"/>
  <c r="E332" i="11"/>
  <c r="G313" i="11"/>
  <c r="J357" i="11"/>
  <c r="H324" i="11"/>
  <c r="H325" i="11"/>
  <c r="P320" i="11"/>
  <c r="F374" i="12"/>
  <c r="AC246" i="12"/>
  <c r="AC374" i="12" s="1"/>
  <c r="Q293" i="11"/>
  <c r="BC63" i="22"/>
  <c r="AI63" i="22"/>
  <c r="BF11" i="22"/>
  <c r="AL11" i="22"/>
  <c r="BC17" i="22"/>
  <c r="AI17" i="22"/>
  <c r="BF21" i="22"/>
  <c r="AL21" i="22"/>
  <c r="V347" i="11"/>
  <c r="O19" i="21"/>
  <c r="O20" i="21"/>
  <c r="BA66" i="20"/>
  <c r="BA62" i="20"/>
  <c r="BD62" i="20" s="1"/>
  <c r="AL66" i="22"/>
  <c r="BF66" i="22"/>
  <c r="BA23" i="22"/>
  <c r="AG23" i="22"/>
  <c r="P349" i="11"/>
  <c r="Y245" i="11"/>
  <c r="W266" i="11"/>
  <c r="W323" i="11"/>
  <c r="O311" i="11"/>
  <c r="V331" i="11"/>
  <c r="O269" i="11"/>
  <c r="EU17" i="20"/>
  <c r="DW17" i="20"/>
  <c r="ET17" i="20"/>
  <c r="DV17" i="20"/>
  <c r="DU17" i="20"/>
  <c r="DX17" i="20"/>
  <c r="DY17" i="20"/>
  <c r="EV17" i="20"/>
  <c r="EW17" i="20"/>
  <c r="BD26" i="20"/>
  <c r="BG27" i="20"/>
  <c r="BG28" i="20" s="1"/>
  <c r="BG30" i="20" s="1"/>
  <c r="BP26" i="20" s="1"/>
  <c r="BP30" i="20" s="1"/>
  <c r="CQ9" i="20" s="1"/>
  <c r="BA28" i="20"/>
  <c r="AU65" i="22"/>
  <c r="AA65" i="22"/>
  <c r="AH65" i="22"/>
  <c r="BB65" i="22"/>
  <c r="AD59" i="22"/>
  <c r="AX59" i="22"/>
  <c r="AD50" i="22"/>
  <c r="AX50" i="22"/>
  <c r="BC49" i="22"/>
  <c r="AI49" i="22"/>
  <c r="AL23" i="22"/>
  <c r="BF23" i="22"/>
  <c r="AA7" i="22"/>
  <c r="AU7" i="22"/>
  <c r="J431" i="16"/>
  <c r="AS431" i="16"/>
  <c r="AA431" i="16"/>
  <c r="AD431" i="16"/>
  <c r="Y347" i="11"/>
  <c r="R243" i="11"/>
  <c r="P264" i="11"/>
  <c r="V286" i="11"/>
  <c r="W265" i="11"/>
  <c r="W253" i="11"/>
  <c r="W304" i="11"/>
  <c r="EO28" i="20"/>
  <c r="EN28" i="20"/>
  <c r="EM28" i="20"/>
  <c r="DO28" i="20"/>
  <c r="DM28" i="20"/>
  <c r="DN28" i="20"/>
  <c r="DL28" i="20"/>
  <c r="DK28" i="20"/>
  <c r="EL28" i="20"/>
  <c r="P292" i="11"/>
  <c r="O313" i="11"/>
  <c r="Q343" i="11"/>
  <c r="P346" i="11"/>
  <c r="X299" i="11"/>
  <c r="R257" i="11"/>
  <c r="V309" i="11"/>
  <c r="EO22" i="20"/>
  <c r="EN22" i="20"/>
  <c r="EM22" i="20"/>
  <c r="DO22" i="20"/>
  <c r="DM22" i="20"/>
  <c r="DK22" i="20"/>
  <c r="EL22" i="20"/>
  <c r="DN22" i="20"/>
  <c r="DL22" i="20"/>
  <c r="AO50" i="22"/>
  <c r="BI50" i="22"/>
  <c r="W255" i="11"/>
  <c r="R276" i="11"/>
  <c r="Q298" i="11"/>
  <c r="W259" i="11"/>
  <c r="Q242" i="11"/>
  <c r="Y271" i="11"/>
  <c r="X276" i="11"/>
  <c r="BD31" i="20"/>
  <c r="BA33" i="20"/>
  <c r="BJ62" i="22"/>
  <c r="AP62" i="22"/>
  <c r="AL62" i="22"/>
  <c r="BF62" i="22"/>
  <c r="AC18" i="22"/>
  <c r="AW18" i="22"/>
  <c r="BG19" i="22"/>
  <c r="AM19" i="22"/>
  <c r="AZ18" i="22"/>
  <c r="AF18" i="22"/>
  <c r="EV6" i="20"/>
  <c r="DV6" i="20"/>
  <c r="EU6" i="20"/>
  <c r="DU6" i="20"/>
  <c r="ET6" i="20"/>
  <c r="EW6" i="20"/>
  <c r="DY6" i="20"/>
  <c r="DX6" i="20"/>
  <c r="DW6" i="20"/>
  <c r="P253" i="11"/>
  <c r="Y275" i="11"/>
  <c r="W297" i="11"/>
  <c r="Q254" i="11"/>
  <c r="Q241" i="11"/>
  <c r="W262" i="11"/>
  <c r="O267" i="11"/>
  <c r="EK21" i="20"/>
  <c r="DH21" i="20"/>
  <c r="EI21" i="20"/>
  <c r="EJ21" i="20"/>
  <c r="DJ21" i="20"/>
  <c r="DI21" i="20"/>
  <c r="DG21" i="20"/>
  <c r="DF21" i="20"/>
  <c r="EH21" i="20"/>
  <c r="X107" i="20"/>
  <c r="X108" i="20" s="1"/>
  <c r="X110" i="20" s="1"/>
  <c r="AG106" i="20" s="1"/>
  <c r="AG110" i="20" s="1"/>
  <c r="CN25" i="20" s="1"/>
  <c r="U106" i="20"/>
  <c r="R108" i="20"/>
  <c r="BJ5" i="22"/>
  <c r="AP5" i="22"/>
  <c r="U101" i="20"/>
  <c r="X102" i="20"/>
  <c r="X103" i="20" s="1"/>
  <c r="X105" i="20" s="1"/>
  <c r="AG101" i="20" s="1"/>
  <c r="AG105" i="20" s="1"/>
  <c r="CN24" i="20" s="1"/>
  <c r="R103" i="20"/>
  <c r="R338" i="11"/>
  <c r="V264" i="11"/>
  <c r="Q321" i="11"/>
  <c r="O355" i="11"/>
  <c r="O239" i="11"/>
  <c r="W331" i="11"/>
  <c r="R253" i="11"/>
  <c r="Q266" i="11"/>
  <c r="EA35" i="20"/>
  <c r="EC35" i="20"/>
  <c r="CY35" i="20"/>
  <c r="EB35" i="20"/>
  <c r="CZ35" i="20"/>
  <c r="DZ35" i="20"/>
  <c r="CV35" i="20"/>
  <c r="CX35" i="20"/>
  <c r="CW35" i="20"/>
  <c r="AD15" i="22"/>
  <c r="AX15" i="22"/>
  <c r="AV15" i="22"/>
  <c r="AB15" i="22"/>
  <c r="BI14" i="22"/>
  <c r="AO14" i="22"/>
  <c r="AI14" i="22"/>
  <c r="BC14" i="22"/>
  <c r="BC50" i="22"/>
  <c r="AI50" i="22"/>
  <c r="P247" i="11"/>
  <c r="Y269" i="11"/>
  <c r="W290" i="11"/>
  <c r="O247" i="11"/>
  <c r="Q232" i="11"/>
  <c r="X250" i="11"/>
  <c r="Y232" i="11"/>
  <c r="Y17" i="21"/>
  <c r="Y16" i="21"/>
  <c r="R112" i="20"/>
  <c r="U112" i="20" s="1"/>
  <c r="R116" i="20"/>
  <c r="ER24" i="20"/>
  <c r="DT24" i="20"/>
  <c r="ES24" i="20"/>
  <c r="EP24" i="20"/>
  <c r="DS24" i="20"/>
  <c r="EQ24" i="20"/>
  <c r="DP24" i="20"/>
  <c r="DR24" i="20"/>
  <c r="DQ24" i="20"/>
  <c r="EM10" i="20"/>
  <c r="DO10" i="20"/>
  <c r="EL10" i="20"/>
  <c r="DN10" i="20"/>
  <c r="DM10" i="20"/>
  <c r="DL10" i="20"/>
  <c r="DK10" i="20"/>
  <c r="EO10" i="20"/>
  <c r="EN10" i="20"/>
  <c r="AZ63" i="22"/>
  <c r="AF63" i="22"/>
  <c r="AO5" i="22"/>
  <c r="DU30" i="20"/>
  <c r="DY30" i="20"/>
  <c r="DX30" i="20"/>
  <c r="EV30" i="20"/>
  <c r="DV30" i="20"/>
  <c r="EW30" i="20"/>
  <c r="EU30" i="20"/>
  <c r="ET30" i="20"/>
  <c r="DW30" i="20"/>
  <c r="W302" i="11"/>
  <c r="X292" i="11"/>
  <c r="O312" i="11"/>
  <c r="DI31" i="20"/>
  <c r="EI31" i="20"/>
  <c r="DH31" i="20"/>
  <c r="EH31" i="20"/>
  <c r="DG31" i="20"/>
  <c r="DF31" i="20"/>
  <c r="DJ31" i="20"/>
  <c r="EK31" i="20"/>
  <c r="EJ31" i="20"/>
  <c r="BC13" i="22"/>
  <c r="AI13" i="22"/>
  <c r="BD81" i="20"/>
  <c r="BA83" i="20"/>
  <c r="BG82" i="20"/>
  <c r="BG83" i="20" s="1"/>
  <c r="BG85" i="20" s="1"/>
  <c r="BP81" i="20" s="1"/>
  <c r="BP85" i="20" s="1"/>
  <c r="CQ20" i="20" s="1"/>
  <c r="G273" i="11"/>
  <c r="I303" i="11"/>
  <c r="D246" i="11"/>
  <c r="J285" i="11"/>
  <c r="E245" i="11"/>
  <c r="H332" i="11"/>
  <c r="D294" i="11"/>
  <c r="K357" i="11"/>
  <c r="K284" i="11"/>
  <c r="H298" i="11"/>
  <c r="D235" i="11"/>
  <c r="I348" i="11"/>
  <c r="E297" i="11"/>
  <c r="I328" i="11"/>
  <c r="G322" i="11"/>
  <c r="I356" i="11"/>
  <c r="G240" i="11"/>
  <c r="H292" i="11"/>
  <c r="H294" i="11"/>
  <c r="K338" i="11"/>
  <c r="D356" i="11"/>
  <c r="J319" i="11"/>
  <c r="G274" i="11"/>
  <c r="H273" i="11"/>
  <c r="J298" i="11"/>
  <c r="H349" i="11"/>
  <c r="D342" i="11"/>
  <c r="E302" i="11"/>
  <c r="G302" i="11"/>
  <c r="F277" i="11"/>
  <c r="E277" i="11"/>
  <c r="D301" i="11"/>
  <c r="H352" i="11"/>
  <c r="K344" i="11"/>
  <c r="I305" i="11"/>
  <c r="D303" i="11"/>
  <c r="D249" i="11"/>
  <c r="I321" i="11"/>
  <c r="F305" i="11"/>
  <c r="J257" i="11"/>
  <c r="I292" i="11"/>
  <c r="K250" i="11"/>
  <c r="I251" i="11"/>
  <c r="J246" i="11"/>
  <c r="K275" i="11"/>
  <c r="D237" i="11"/>
  <c r="J276" i="11"/>
  <c r="E239" i="11"/>
  <c r="I327" i="11"/>
  <c r="H281" i="11"/>
  <c r="K351" i="11"/>
  <c r="P322" i="11"/>
  <c r="X330" i="11"/>
  <c r="R327" i="11"/>
  <c r="J349" i="11"/>
  <c r="J263" i="11"/>
  <c r="P19" i="21"/>
  <c r="BA71" i="20"/>
  <c r="BA67" i="20"/>
  <c r="BD67" i="20" s="1"/>
  <c r="P20" i="21"/>
  <c r="AY8" i="22"/>
  <c r="AE8" i="22"/>
  <c r="BF8" i="22"/>
  <c r="AL8" i="22"/>
  <c r="Y243" i="11"/>
  <c r="DE22" i="20"/>
  <c r="DD22" i="20"/>
  <c r="DC22" i="20"/>
  <c r="EF22" i="20"/>
  <c r="ED22" i="20"/>
  <c r="EG22" i="20"/>
  <c r="EE22" i="20"/>
  <c r="DB22" i="20"/>
  <c r="DA22" i="20"/>
  <c r="I259" i="11"/>
  <c r="K237" i="11"/>
  <c r="O292" i="11"/>
  <c r="P272" i="11"/>
  <c r="D239" i="11"/>
  <c r="AL57" i="22"/>
  <c r="BF57" i="22"/>
  <c r="EA10" i="20"/>
  <c r="DZ10" i="20"/>
  <c r="CV10" i="20"/>
  <c r="EC10" i="20"/>
  <c r="CX10" i="20"/>
  <c r="CW10" i="20"/>
  <c r="CZ10" i="20"/>
  <c r="CY10" i="20"/>
  <c r="EB10" i="20"/>
  <c r="X293" i="11"/>
  <c r="O282" i="11"/>
  <c r="O251" i="11"/>
  <c r="DU34" i="20"/>
  <c r="DX34" i="20"/>
  <c r="EW34" i="20"/>
  <c r="EV34" i="20"/>
  <c r="DY34" i="20"/>
  <c r="DW34" i="20"/>
  <c r="DV34" i="20"/>
  <c r="EU34" i="20"/>
  <c r="ET34" i="20"/>
  <c r="K295" i="11"/>
  <c r="E289" i="11"/>
  <c r="K288" i="11"/>
  <c r="AJ9" i="22"/>
  <c r="ES25" i="20"/>
  <c r="ER25" i="20"/>
  <c r="DT25" i="20"/>
  <c r="EQ25" i="20"/>
  <c r="DS25" i="20"/>
  <c r="DQ25" i="20"/>
  <c r="DP25" i="20"/>
  <c r="EP25" i="20"/>
  <c r="DR25" i="20"/>
  <c r="X284" i="11"/>
  <c r="X326" i="11"/>
  <c r="O256" i="11"/>
  <c r="W282" i="11"/>
  <c r="DU15" i="20"/>
  <c r="DX15" i="20"/>
  <c r="EW15" i="20"/>
  <c r="EV15" i="20"/>
  <c r="DW15" i="20"/>
  <c r="DV15" i="20"/>
  <c r="EU15" i="20"/>
  <c r="ET15" i="20"/>
  <c r="DY15" i="20"/>
  <c r="BI16" i="22"/>
  <c r="AO16" i="22"/>
  <c r="AB58" i="22"/>
  <c r="AV58" i="22"/>
  <c r="AK57" i="22"/>
  <c r="BE57" i="22"/>
  <c r="AX58" i="22"/>
  <c r="AD58" i="22"/>
  <c r="BB16" i="22"/>
  <c r="AH16" i="22"/>
  <c r="Z246" i="12"/>
  <c r="Z374" i="12" s="1"/>
  <c r="C374" i="12"/>
  <c r="Y254" i="11"/>
  <c r="O281" i="11"/>
  <c r="Y332" i="11"/>
  <c r="AW63" i="22"/>
  <c r="AC63" i="22"/>
  <c r="AA64" i="22"/>
  <c r="AU64" i="22"/>
  <c r="AE10" i="22"/>
  <c r="AY10" i="22"/>
  <c r="AF11" i="22"/>
  <c r="AZ11" i="22"/>
  <c r="BD10" i="22"/>
  <c r="AJ10" i="22"/>
  <c r="AI9" i="22"/>
  <c r="AM17" i="22"/>
  <c r="BG17" i="22"/>
  <c r="AN16" i="22"/>
  <c r="BH16" i="22"/>
  <c r="AP16" i="22"/>
  <c r="BJ16" i="22"/>
  <c r="P280" i="11"/>
  <c r="W332" i="11"/>
  <c r="V293" i="11"/>
  <c r="BJ20" i="22"/>
  <c r="AP20" i="22"/>
  <c r="AU21" i="22"/>
  <c r="AA21" i="22"/>
  <c r="BF20" i="22"/>
  <c r="AL20" i="22"/>
  <c r="Q19" i="21"/>
  <c r="Q20" i="21"/>
  <c r="BA72" i="20"/>
  <c r="BD72" i="20" s="1"/>
  <c r="BA76" i="20"/>
  <c r="Y340" i="11"/>
  <c r="AZ66" i="22"/>
  <c r="AF66" i="22"/>
  <c r="Y253" i="11"/>
  <c r="X268" i="11"/>
  <c r="O278" i="11"/>
  <c r="O337" i="11"/>
  <c r="P313" i="11"/>
  <c r="BE19" i="22"/>
  <c r="AK19" i="22"/>
  <c r="O296" i="11"/>
  <c r="BI49" i="22"/>
  <c r="AO49" i="22"/>
  <c r="O374" i="12"/>
  <c r="AJ246" i="12"/>
  <c r="AJ374" i="12" s="1"/>
  <c r="V236" i="11"/>
  <c r="AI18" i="22"/>
  <c r="BC18" i="22"/>
  <c r="BA156" i="20"/>
  <c r="BA152" i="20"/>
  <c r="BD152" i="20" s="1"/>
  <c r="AG20" i="21"/>
  <c r="AG19" i="21"/>
  <c r="EB8" i="20"/>
  <c r="EA8" i="20"/>
  <c r="DZ8" i="20"/>
  <c r="CZ8" i="20"/>
  <c r="CY8" i="20"/>
  <c r="CX8" i="20"/>
  <c r="CW8" i="20"/>
  <c r="EC8" i="20"/>
  <c r="CV8" i="20"/>
  <c r="V273" i="11"/>
  <c r="R265" i="11"/>
  <c r="X245" i="11"/>
  <c r="V247" i="11"/>
  <c r="R335" i="11"/>
  <c r="BG58" i="22"/>
  <c r="AM58" i="22"/>
  <c r="BA16" i="22"/>
  <c r="AG16" i="22"/>
  <c r="X275" i="11"/>
  <c r="B49" i="4"/>
  <c r="B51" i="4"/>
  <c r="V316" i="11"/>
  <c r="Q329" i="11"/>
  <c r="AG66" i="22"/>
  <c r="BA66" i="22"/>
  <c r="BH50" i="22"/>
  <c r="AN50" i="22"/>
  <c r="AP22" i="22"/>
  <c r="BJ22" i="22"/>
  <c r="I431" i="16"/>
  <c r="AB431" i="16"/>
  <c r="M431" i="16"/>
  <c r="O431" i="16"/>
  <c r="AO4" i="22"/>
  <c r="BI4" i="22"/>
  <c r="V321" i="11"/>
  <c r="W356" i="11"/>
  <c r="W248" i="11"/>
  <c r="P290" i="11"/>
  <c r="Q269" i="11"/>
  <c r="Y262" i="11"/>
  <c r="Y308" i="11"/>
  <c r="BA143" i="20"/>
  <c r="BD141" i="20"/>
  <c r="BG142" i="20"/>
  <c r="BG143" i="20" s="1"/>
  <c r="BG145" i="20" s="1"/>
  <c r="BP141" i="20" s="1"/>
  <c r="BP145" i="20" s="1"/>
  <c r="CQ32" i="20" s="1"/>
  <c r="CW19" i="20"/>
  <c r="CV19" i="20"/>
  <c r="DZ19" i="20"/>
  <c r="CY19" i="20"/>
  <c r="EC19" i="20"/>
  <c r="CX19" i="20"/>
  <c r="EB19" i="20"/>
  <c r="EA19" i="20"/>
  <c r="CZ19" i="20"/>
  <c r="AI66" i="22"/>
  <c r="BC66" i="22"/>
  <c r="BD59" i="22"/>
  <c r="AJ59" i="22"/>
  <c r="AD49" i="22"/>
  <c r="AX49" i="22"/>
  <c r="AC50" i="22"/>
  <c r="AW50" i="22"/>
  <c r="AB49" i="22"/>
  <c r="AV49" i="22"/>
  <c r="AB23" i="22"/>
  <c r="AV23" i="22"/>
  <c r="AT431" i="16"/>
  <c r="Q431" i="16"/>
  <c r="BG127" i="20"/>
  <c r="BG128" i="20" s="1"/>
  <c r="BG130" i="20" s="1"/>
  <c r="BP126" i="20" s="1"/>
  <c r="BP130" i="20" s="1"/>
  <c r="CQ29" i="20" s="1"/>
  <c r="BD126" i="20"/>
  <c r="BA128" i="20"/>
  <c r="O318" i="11"/>
  <c r="O353" i="11"/>
  <c r="P246" i="11"/>
  <c r="V250" i="11"/>
  <c r="O232" i="11"/>
  <c r="Y280" i="11"/>
  <c r="X232" i="11"/>
  <c r="DC21" i="20"/>
  <c r="DB21" i="20"/>
  <c r="DA21" i="20"/>
  <c r="EF21" i="20"/>
  <c r="EG21" i="20"/>
  <c r="EE21" i="20"/>
  <c r="DE21" i="20"/>
  <c r="DD21" i="20"/>
  <c r="ED21" i="20"/>
  <c r="EK28" i="20"/>
  <c r="EH28" i="20"/>
  <c r="DJ28" i="20"/>
  <c r="EJ28" i="20"/>
  <c r="EI28" i="20"/>
  <c r="DI28" i="20"/>
  <c r="DF28" i="20"/>
  <c r="DG28" i="20"/>
  <c r="DH28" i="20"/>
  <c r="P274" i="11"/>
  <c r="O295" i="11"/>
  <c r="P321" i="11"/>
  <c r="Q310" i="11"/>
  <c r="O273" i="11"/>
  <c r="P341" i="11"/>
  <c r="W238" i="11"/>
  <c r="X142" i="20"/>
  <c r="X143" i="20" s="1"/>
  <c r="X145" i="20" s="1"/>
  <c r="AG141" i="20" s="1"/>
  <c r="AG145" i="20" s="1"/>
  <c r="CN32" i="20" s="1"/>
  <c r="R143" i="20"/>
  <c r="U141" i="20"/>
  <c r="DQ22" i="20"/>
  <c r="DP22" i="20"/>
  <c r="ES22" i="20"/>
  <c r="EQ22" i="20"/>
  <c r="DT22" i="20"/>
  <c r="EP22" i="20"/>
  <c r="DS22" i="20"/>
  <c r="DR22" i="20"/>
  <c r="ER22" i="20"/>
  <c r="BC59" i="22"/>
  <c r="AI59" i="22"/>
  <c r="AP4" i="22"/>
  <c r="BJ4" i="22"/>
  <c r="EO12" i="20"/>
  <c r="EN12" i="20"/>
  <c r="EM12" i="20"/>
  <c r="DO12" i="20"/>
  <c r="EL12" i="20"/>
  <c r="DN12" i="20"/>
  <c r="DM12" i="20"/>
  <c r="DL12" i="20"/>
  <c r="DK12" i="20"/>
  <c r="W237" i="11"/>
  <c r="R258" i="11"/>
  <c r="P279" i="11"/>
  <c r="P230" i="11"/>
  <c r="P359" i="11" s="1"/>
  <c r="P333" i="11"/>
  <c r="X249" i="11"/>
  <c r="P257" i="11"/>
  <c r="AU62" i="22"/>
  <c r="AA62" i="22"/>
  <c r="BJ18" i="22"/>
  <c r="AP18" i="22"/>
  <c r="AX18" i="22"/>
  <c r="AD18" i="22"/>
  <c r="CY27" i="20"/>
  <c r="CX27" i="20"/>
  <c r="CW27" i="20"/>
  <c r="EB27" i="20"/>
  <c r="EA27" i="20"/>
  <c r="EC27" i="20"/>
  <c r="CZ27" i="20"/>
  <c r="DZ27" i="20"/>
  <c r="CV27" i="20"/>
  <c r="EC6" i="20"/>
  <c r="CV6" i="20"/>
  <c r="EB6" i="20"/>
  <c r="EA6" i="20"/>
  <c r="DZ6" i="20"/>
  <c r="CY6" i="20"/>
  <c r="CX6" i="20"/>
  <c r="CW6" i="20"/>
  <c r="CZ6" i="20"/>
  <c r="P235" i="11"/>
  <c r="Y257" i="11"/>
  <c r="W278" i="11"/>
  <c r="Q354" i="11"/>
  <c r="X331" i="11"/>
  <c r="V238" i="11"/>
  <c r="R245" i="11"/>
  <c r="AF4" i="22"/>
  <c r="AZ4" i="22"/>
  <c r="BG5" i="22"/>
  <c r="AM5" i="22"/>
  <c r="R320" i="11"/>
  <c r="Q326" i="11"/>
  <c r="O299" i="11"/>
  <c r="P324" i="11"/>
  <c r="R318" i="11"/>
  <c r="Y288" i="11"/>
  <c r="P334" i="11"/>
  <c r="W19" i="21"/>
  <c r="BA102" i="20"/>
  <c r="BD102" i="20" s="1"/>
  <c r="W20" i="21"/>
  <c r="BA106" i="20"/>
  <c r="EK5" i="20"/>
  <c r="EJ5" i="20"/>
  <c r="EI5" i="20"/>
  <c r="EH5" i="20"/>
  <c r="DG5" i="20"/>
  <c r="DF5" i="20"/>
  <c r="DF36" i="20" s="1"/>
  <c r="DI5" i="20"/>
  <c r="DH5" i="20"/>
  <c r="DH36" i="20" s="1"/>
  <c r="DJ5" i="20"/>
  <c r="BE6" i="22"/>
  <c r="AK6" i="22"/>
  <c r="AU14" i="22"/>
  <c r="AA14" i="22"/>
  <c r="EI13" i="20"/>
  <c r="EH13" i="20"/>
  <c r="DJ13" i="20"/>
  <c r="DI13" i="20"/>
  <c r="DG13" i="20"/>
  <c r="DF13" i="20"/>
  <c r="DH13" i="20"/>
  <c r="EK13" i="20"/>
  <c r="EJ13" i="20"/>
  <c r="V357" i="11"/>
  <c r="Y251" i="11"/>
  <c r="W272" i="11"/>
  <c r="Y335" i="11"/>
  <c r="Y321" i="11"/>
  <c r="O246" i="11"/>
  <c r="R304" i="11"/>
  <c r="EM20" i="20"/>
  <c r="DO20" i="20"/>
  <c r="EL20" i="20"/>
  <c r="DN20" i="20"/>
  <c r="DM20" i="20"/>
  <c r="EO20" i="20"/>
  <c r="EN20" i="20"/>
  <c r="DL20" i="20"/>
  <c r="DK20" i="20"/>
  <c r="EM24" i="20"/>
  <c r="DO24" i="20"/>
  <c r="EL24" i="20"/>
  <c r="DN24" i="20"/>
  <c r="DM24" i="20"/>
  <c r="DK24" i="20"/>
  <c r="EO24" i="20"/>
  <c r="EN24" i="20"/>
  <c r="DL24" i="20"/>
  <c r="ER10" i="20"/>
  <c r="DT10" i="20"/>
  <c r="DR10" i="20"/>
  <c r="DQ10" i="20"/>
  <c r="DP10" i="20"/>
  <c r="ES10" i="20"/>
  <c r="DS10" i="20"/>
  <c r="EQ10" i="20"/>
  <c r="EP10" i="20"/>
  <c r="ES19" i="20"/>
  <c r="ER19" i="20"/>
  <c r="DT19" i="20"/>
  <c r="EQ19" i="20"/>
  <c r="DS19" i="20"/>
  <c r="EP19" i="20"/>
  <c r="DP19" i="20"/>
  <c r="DR19" i="20"/>
  <c r="DQ19" i="20"/>
  <c r="Q258" i="11"/>
  <c r="O356" i="11"/>
  <c r="R88" i="20"/>
  <c r="U86" i="20"/>
  <c r="X87" i="20"/>
  <c r="X88" i="20" s="1"/>
  <c r="X90" i="20" s="1"/>
  <c r="AG86" i="20" s="1"/>
  <c r="AG90" i="20" s="1"/>
  <c r="CN21" i="20" s="1"/>
  <c r="ES31" i="20"/>
  <c r="DT31" i="20"/>
  <c r="DS31" i="20"/>
  <c r="EQ31" i="20"/>
  <c r="DQ31" i="20"/>
  <c r="EP31" i="20"/>
  <c r="ER31" i="20"/>
  <c r="DR31" i="20"/>
  <c r="DP31" i="20"/>
  <c r="BD13" i="22"/>
  <c r="AJ13" i="22"/>
  <c r="F235" i="11"/>
  <c r="D260" i="11"/>
  <c r="G267" i="11"/>
  <c r="F322" i="11"/>
  <c r="E263" i="11"/>
  <c r="H350" i="11"/>
  <c r="D343" i="11"/>
  <c r="I279" i="11"/>
  <c r="I255" i="11"/>
  <c r="F335" i="11"/>
  <c r="F261" i="11"/>
  <c r="I358" i="11"/>
  <c r="E315" i="11"/>
  <c r="H260" i="11"/>
  <c r="G340" i="11"/>
  <c r="E233" i="11"/>
  <c r="D328" i="11"/>
  <c r="J278" i="11"/>
  <c r="I335" i="11"/>
  <c r="J320" i="11"/>
  <c r="G245" i="11"/>
  <c r="J337" i="11"/>
  <c r="F244" i="11"/>
  <c r="E308" i="11"/>
  <c r="E340" i="11"/>
  <c r="E349" i="11"/>
  <c r="J232" i="11"/>
  <c r="F324" i="11"/>
  <c r="G320" i="11"/>
  <c r="G249" i="11"/>
  <c r="I311" i="11"/>
  <c r="J348" i="11"/>
  <c r="H353" i="11"/>
  <c r="F233" i="11"/>
  <c r="J327" i="11"/>
  <c r="D321" i="11"/>
  <c r="D305" i="11"/>
  <c r="F323" i="11"/>
  <c r="F238" i="11"/>
  <c r="G279" i="11"/>
  <c r="H309" i="11"/>
  <c r="K268" i="11"/>
  <c r="I269" i="11"/>
  <c r="I329" i="11"/>
  <c r="K234" i="11"/>
  <c r="H259" i="11"/>
  <c r="F307" i="11"/>
  <c r="E257" i="11"/>
  <c r="I345" i="11"/>
  <c r="G324" i="11"/>
  <c r="O309" i="11"/>
  <c r="V240" i="11"/>
  <c r="O314" i="11"/>
  <c r="G347" i="11"/>
  <c r="E301" i="11"/>
  <c r="J302" i="11"/>
  <c r="BH8" i="22"/>
  <c r="AN8" i="22"/>
  <c r="AH8" i="22"/>
  <c r="BB8" i="22"/>
  <c r="AJ8" i="22"/>
  <c r="BD8" i="22"/>
  <c r="AD9" i="22"/>
  <c r="AX9" i="22"/>
  <c r="X350" i="11"/>
  <c r="ET22" i="20"/>
  <c r="DV22" i="20"/>
  <c r="EW22" i="20"/>
  <c r="EU22" i="20"/>
  <c r="DY22" i="20"/>
  <c r="DX22" i="20"/>
  <c r="DW22" i="20"/>
  <c r="DU22" i="20"/>
  <c r="EV22" i="20"/>
  <c r="I351" i="11"/>
  <c r="F299" i="11"/>
  <c r="BA21" i="22"/>
  <c r="AG21" i="22"/>
  <c r="DT29" i="20"/>
  <c r="EQ29" i="20"/>
  <c r="DQ29" i="20"/>
  <c r="EP29" i="20"/>
  <c r="DS29" i="20"/>
  <c r="DP29" i="20"/>
  <c r="DR29" i="20"/>
  <c r="ES29" i="20"/>
  <c r="ER29" i="20"/>
  <c r="P326" i="11"/>
  <c r="X283" i="11"/>
  <c r="D287" i="11"/>
  <c r="DC10" i="20"/>
  <c r="DB10" i="20"/>
  <c r="DA10" i="20"/>
  <c r="EF10" i="20"/>
  <c r="EG10" i="20"/>
  <c r="DE10" i="20"/>
  <c r="DD10" i="20"/>
  <c r="EE10" i="20"/>
  <c r="ED10" i="20"/>
  <c r="Q246" i="11"/>
  <c r="O328" i="11"/>
  <c r="CW34" i="20"/>
  <c r="EC34" i="20"/>
  <c r="EA34" i="20"/>
  <c r="CX34" i="20"/>
  <c r="DZ34" i="20"/>
  <c r="EB34" i="20"/>
  <c r="CV34" i="20"/>
  <c r="CZ34" i="20"/>
  <c r="CY34" i="20"/>
  <c r="J256" i="11"/>
  <c r="G318" i="11"/>
  <c r="Y234" i="11"/>
  <c r="CY23" i="20"/>
  <c r="CX23" i="20"/>
  <c r="CW23" i="20"/>
  <c r="EB23" i="20"/>
  <c r="EA23" i="20"/>
  <c r="DZ23" i="20"/>
  <c r="CZ23" i="20"/>
  <c r="CV23" i="20"/>
  <c r="EC23" i="20"/>
  <c r="DI25" i="20"/>
  <c r="DH25" i="20"/>
  <c r="DG25" i="20"/>
  <c r="EK25" i="20"/>
  <c r="EI25" i="20"/>
  <c r="EH25" i="20"/>
  <c r="EJ25" i="20"/>
  <c r="DF25" i="20"/>
  <c r="DJ25" i="20"/>
  <c r="X242" i="11"/>
  <c r="W235" i="11"/>
  <c r="R249" i="11"/>
  <c r="Y356" i="11"/>
  <c r="R299" i="11"/>
  <c r="EG15" i="20"/>
  <c r="EF15" i="20"/>
  <c r="EE15" i="20"/>
  <c r="DB15" i="20"/>
  <c r="DE15" i="20"/>
  <c r="ED15" i="20"/>
  <c r="DA15" i="20"/>
  <c r="DD15" i="20"/>
  <c r="DC15" i="20"/>
  <c r="BI58" i="22"/>
  <c r="AO58" i="22"/>
  <c r="AU58" i="22"/>
  <c r="AA58" i="22"/>
  <c r="BD57" i="22"/>
  <c r="AJ57" i="22"/>
  <c r="AU57" i="22"/>
  <c r="AA57" i="22"/>
  <c r="BE20" i="22"/>
  <c r="AK20" i="22"/>
  <c r="AD16" i="22"/>
  <c r="AX16" i="22"/>
  <c r="X324" i="11"/>
  <c r="Y326" i="11"/>
  <c r="V272" i="11"/>
  <c r="AD64" i="22"/>
  <c r="AX64" i="22"/>
  <c r="AJ64" i="22"/>
  <c r="BD64" i="22"/>
  <c r="AH11" i="22"/>
  <c r="BB11" i="22"/>
  <c r="BD151" i="20"/>
  <c r="BG152" i="20"/>
  <c r="BG153" i="20" s="1"/>
  <c r="BG155" i="20" s="1"/>
  <c r="BP151" i="20" s="1"/>
  <c r="BP155" i="20" s="1"/>
  <c r="CQ34" i="20" s="1"/>
  <c r="AZ16" i="22"/>
  <c r="AF16" i="22"/>
  <c r="BD17" i="22"/>
  <c r="AJ17" i="22"/>
  <c r="BC16" i="22"/>
  <c r="AI16" i="22"/>
  <c r="AB16" i="22"/>
  <c r="AV16" i="22"/>
  <c r="AA17" i="22"/>
  <c r="AU17" i="22"/>
  <c r="O354" i="11"/>
  <c r="O350" i="11"/>
  <c r="R239" i="11"/>
  <c r="AF21" i="22"/>
  <c r="AZ21" i="22"/>
  <c r="AC21" i="22"/>
  <c r="AW21" i="22"/>
  <c r="Y349" i="11"/>
  <c r="G325" i="11"/>
  <c r="W33" i="21" l="1"/>
  <c r="AM32" i="21"/>
  <c r="AA32" i="21"/>
  <c r="W25" i="21"/>
  <c r="W22" i="21"/>
  <c r="AM33" i="21"/>
  <c r="Z33" i="21"/>
  <c r="AD25" i="21"/>
  <c r="AE24" i="21"/>
  <c r="AJ35" i="21"/>
  <c r="W35" i="21"/>
  <c r="Y32" i="21"/>
  <c r="AD24" i="21"/>
  <c r="AD23" i="21"/>
  <c r="B2" i="21"/>
  <c r="AG34" i="21"/>
  <c r="T34" i="21"/>
  <c r="Y25" i="21"/>
  <c r="AN22" i="21"/>
  <c r="AA22" i="21"/>
  <c r="W34" i="21"/>
  <c r="AG32" i="21"/>
  <c r="AH35" i="21"/>
  <c r="AN34" i="21"/>
  <c r="AB33" i="21"/>
  <c r="AN25" i="21"/>
  <c r="V25" i="21"/>
  <c r="AB24" i="21"/>
  <c r="AB35" i="21"/>
  <c r="AQ32" i="21"/>
  <c r="AG35" i="21"/>
  <c r="AB34" i="21"/>
  <c r="AQ33" i="21"/>
  <c r="U33" i="21"/>
  <c r="AO23" i="21"/>
  <c r="W23" i="21"/>
  <c r="Y22" i="21"/>
  <c r="AG25" i="21"/>
  <c r="T23" i="21"/>
  <c r="AM22" i="21"/>
  <c r="T22" i="21"/>
  <c r="AG24" i="21"/>
  <c r="AJ22" i="21"/>
  <c r="AO32" i="21"/>
  <c r="Z25" i="21"/>
  <c r="AB23" i="21"/>
  <c r="AO35" i="21"/>
  <c r="AA33" i="21"/>
  <c r="AJ32" i="21"/>
  <c r="AN35" i="21"/>
  <c r="U25" i="21"/>
  <c r="AJ24" i="21"/>
  <c r="Y23" i="21"/>
  <c r="AO22" i="21"/>
  <c r="V23" i="21"/>
  <c r="V35" i="21"/>
  <c r="AH34" i="21"/>
  <c r="AD34" i="21"/>
  <c r="AO33" i="21"/>
  <c r="AH25" i="21"/>
  <c r="W24" i="21"/>
  <c r="AJ33" i="21"/>
  <c r="AJ23" i="21"/>
  <c r="Z34" i="21"/>
  <c r="W32" i="21"/>
  <c r="AQ35" i="21"/>
  <c r="AD35" i="21"/>
  <c r="AF33" i="21"/>
  <c r="AA34" i="21"/>
  <c r="T25" i="21"/>
  <c r="AH24" i="21"/>
  <c r="V33" i="21"/>
  <c r="AP32" i="21"/>
  <c r="V22" i="21"/>
  <c r="Z35" i="21"/>
  <c r="G53" i="3"/>
  <c r="J22" i="21"/>
  <c r="R23" i="21"/>
  <c r="O32" i="21"/>
  <c r="O35" i="21"/>
  <c r="N22" i="21"/>
  <c r="R32" i="21"/>
  <c r="O25" i="21"/>
  <c r="Q34" i="21"/>
  <c r="H35" i="21"/>
  <c r="K32" i="21"/>
  <c r="I23" i="21"/>
  <c r="H25" i="21"/>
  <c r="S23" i="21"/>
  <c r="L32" i="21"/>
  <c r="J23" i="21"/>
  <c r="G32" i="21"/>
  <c r="E35" i="21"/>
  <c r="F24" i="21"/>
  <c r="L33" i="21"/>
  <c r="J34" i="21"/>
  <c r="H22" i="21"/>
  <c r="J24" i="21"/>
  <c r="R24" i="21"/>
  <c r="O33" i="21"/>
  <c r="P23" i="21"/>
  <c r="R35" i="21"/>
  <c r="G23" i="21"/>
  <c r="K34" i="21"/>
  <c r="L24" i="21"/>
  <c r="I22" i="21"/>
  <c r="K35" i="21"/>
  <c r="Q23" i="21"/>
  <c r="Q22" i="21"/>
  <c r="F33" i="21"/>
  <c r="J25" i="21"/>
  <c r="O24" i="21"/>
  <c r="G22" i="21"/>
  <c r="H33" i="21"/>
  <c r="M24" i="21"/>
  <c r="H24" i="21"/>
  <c r="R33" i="21"/>
  <c r="O22" i="21"/>
  <c r="M25" i="21"/>
  <c r="P34" i="21"/>
  <c r="I25" i="21"/>
  <c r="L22" i="21"/>
  <c r="O23" i="21"/>
  <c r="M32" i="21"/>
  <c r="H32" i="21"/>
  <c r="J35" i="21"/>
  <c r="K33" i="21"/>
  <c r="F34" i="21"/>
  <c r="G34" i="21"/>
  <c r="H23" i="21"/>
  <c r="I33" i="21"/>
  <c r="R34" i="21"/>
  <c r="S34" i="21"/>
  <c r="F32" i="21"/>
  <c r="S24" i="21"/>
  <c r="M33" i="21"/>
  <c r="F23" i="21"/>
  <c r="AB21" i="21"/>
  <c r="AB25" i="21" s="1"/>
  <c r="J21" i="21"/>
  <c r="K21" i="21"/>
  <c r="K25" i="21" s="1"/>
  <c r="N21" i="21"/>
  <c r="N34" i="21" s="1"/>
  <c r="AE21" i="21"/>
  <c r="AE35" i="21" s="1"/>
  <c r="AJ21" i="21"/>
  <c r="AM21" i="21"/>
  <c r="AQ21" i="21"/>
  <c r="E21" i="21"/>
  <c r="E23" i="21" s="1"/>
  <c r="AC21" i="21"/>
  <c r="AA21" i="21"/>
  <c r="AA24" i="21" s="1"/>
  <c r="Y21" i="21"/>
  <c r="Y34" i="21" s="1"/>
  <c r="AD21" i="21"/>
  <c r="AD33" i="21" s="1"/>
  <c r="W21" i="21"/>
  <c r="O21" i="21"/>
  <c r="O34" i="21" s="1"/>
  <c r="I21" i="21"/>
  <c r="I35" i="21" s="1"/>
  <c r="D21" i="21"/>
  <c r="D115" i="21" s="1"/>
  <c r="U21" i="21"/>
  <c r="AG21" i="21"/>
  <c r="Z21" i="21"/>
  <c r="Z32" i="21" s="1"/>
  <c r="X21" i="21"/>
  <c r="AI21" i="21"/>
  <c r="T21" i="21"/>
  <c r="T33" i="21" s="1"/>
  <c r="H21" i="21"/>
  <c r="H34" i="21" s="1"/>
  <c r="Q21" i="21"/>
  <c r="Q24" i="21" s="1"/>
  <c r="G21" i="21"/>
  <c r="AN21" i="21"/>
  <c r="AN32" i="21" s="1"/>
  <c r="AP21" i="21"/>
  <c r="AP35" i="21" s="1"/>
  <c r="AF21" i="21"/>
  <c r="AF35" i="21" s="1"/>
  <c r="V21" i="21"/>
  <c r="P21" i="21"/>
  <c r="S21" i="21"/>
  <c r="AK21" i="21"/>
  <c r="AK25" i="21" s="1"/>
  <c r="AL21" i="21"/>
  <c r="F21" i="21"/>
  <c r="F22" i="21" s="1"/>
  <c r="R21" i="21"/>
  <c r="R22" i="21" s="1"/>
  <c r="M21" i="21"/>
  <c r="M34" i="21" s="1"/>
  <c r="AO21" i="21"/>
  <c r="AO34" i="21" s="1"/>
  <c r="AH21" i="21"/>
  <c r="AH22" i="21" s="1"/>
  <c r="L21" i="21"/>
  <c r="L25" i="21" s="1"/>
  <c r="R98" i="20"/>
  <c r="U96" i="20"/>
  <c r="X97" i="20"/>
  <c r="X98" i="20" s="1"/>
  <c r="X100" i="20" s="1"/>
  <c r="AG96" i="20" s="1"/>
  <c r="AG100" i="20" s="1"/>
  <c r="CN23" i="20" s="1"/>
  <c r="U21" i="20"/>
  <c r="R23" i="20"/>
  <c r="X22" i="20"/>
  <c r="X23" i="20" s="1"/>
  <c r="X25" i="20" s="1"/>
  <c r="AG21" i="20" s="1"/>
  <c r="AG25" i="20" s="1"/>
  <c r="CN8" i="20" s="1"/>
  <c r="EE36" i="20"/>
  <c r="R33" i="20"/>
  <c r="U31" i="20"/>
  <c r="X32" i="20"/>
  <c r="X33" i="20" s="1"/>
  <c r="X35" i="20" s="1"/>
  <c r="AG31" i="20" s="1"/>
  <c r="AG35" i="20" s="1"/>
  <c r="CN10" i="20" s="1"/>
  <c r="CW36" i="20"/>
  <c r="BD136" i="20"/>
  <c r="BA138" i="20"/>
  <c r="BG137" i="20"/>
  <c r="BG138" i="20" s="1"/>
  <c r="BG140" i="20" s="1"/>
  <c r="BP136" i="20" s="1"/>
  <c r="BP140" i="20" s="1"/>
  <c r="CQ31" i="20" s="1"/>
  <c r="T22" i="7"/>
  <c r="S22" i="7"/>
  <c r="N22" i="7" s="1"/>
  <c r="T45" i="7"/>
  <c r="S45" i="7"/>
  <c r="N45" i="7" s="1"/>
  <c r="T27" i="7"/>
  <c r="S27" i="7"/>
  <c r="N27" i="7" s="1"/>
  <c r="S38" i="7"/>
  <c r="N38" i="7" s="1"/>
  <c r="T38" i="7"/>
  <c r="S14" i="7"/>
  <c r="N14" i="7" s="1"/>
  <c r="T14" i="7"/>
  <c r="S68" i="7"/>
  <c r="N68" i="7" s="1"/>
  <c r="T68" i="7"/>
  <c r="U131" i="20"/>
  <c r="R133" i="20"/>
  <c r="X132" i="20"/>
  <c r="X133" i="20" s="1"/>
  <c r="X135" i="20" s="1"/>
  <c r="AG131" i="20" s="1"/>
  <c r="AG135" i="20" s="1"/>
  <c r="CN30" i="20" s="1"/>
  <c r="X82" i="20"/>
  <c r="X83" i="20" s="1"/>
  <c r="X85" i="20" s="1"/>
  <c r="AG81" i="20" s="1"/>
  <c r="AG85" i="20" s="1"/>
  <c r="CN20" i="20" s="1"/>
  <c r="R83" i="20"/>
  <c r="U81" i="20"/>
  <c r="BN14" i="22"/>
  <c r="BN7" i="22"/>
  <c r="AH8" i="24"/>
  <c r="AO8" i="24" s="1"/>
  <c r="AH8" i="25"/>
  <c r="AH8" i="23"/>
  <c r="AO8" i="23" s="1"/>
  <c r="Z551" i="16"/>
  <c r="Z534" i="16"/>
  <c r="Z532" i="16"/>
  <c r="Z515" i="16"/>
  <c r="Z549" i="16"/>
  <c r="Z562" i="16"/>
  <c r="Z545" i="16"/>
  <c r="Z528" i="16"/>
  <c r="Z526" i="16"/>
  <c r="Z509" i="16"/>
  <c r="Z560" i="16"/>
  <c r="Z543" i="16"/>
  <c r="Z541" i="16"/>
  <c r="Z524" i="16"/>
  <c r="Z507" i="16"/>
  <c r="Z558" i="16"/>
  <c r="Z556" i="16"/>
  <c r="Z529" i="16"/>
  <c r="Z522" i="16"/>
  <c r="Z484" i="16"/>
  <c r="Z479" i="16"/>
  <c r="Z470" i="16"/>
  <c r="Z453" i="16"/>
  <c r="Z451" i="16"/>
  <c r="Z561" i="16"/>
  <c r="Z559" i="16"/>
  <c r="Z554" i="16"/>
  <c r="Z536" i="16"/>
  <c r="Z535" i="16"/>
  <c r="Z508" i="16"/>
  <c r="Z499" i="16"/>
  <c r="Z489" i="16"/>
  <c r="Z468" i="16"/>
  <c r="Z466" i="16"/>
  <c r="Z449" i="16"/>
  <c r="Z557" i="16"/>
  <c r="Z552" i="16"/>
  <c r="Z550" i="16"/>
  <c r="Z542" i="16"/>
  <c r="Z514" i="16"/>
  <c r="Z503" i="16"/>
  <c r="Z495" i="16"/>
  <c r="Z481" i="16"/>
  <c r="Z476" i="16"/>
  <c r="Z464" i="16"/>
  <c r="Z447" i="16"/>
  <c r="Z445" i="16"/>
  <c r="Z555" i="16"/>
  <c r="Z553" i="16"/>
  <c r="Z548" i="16"/>
  <c r="Z521" i="16"/>
  <c r="Z520" i="16"/>
  <c r="Z486" i="16"/>
  <c r="Z462" i="16"/>
  <c r="Z460" i="16"/>
  <c r="Z443" i="16"/>
  <c r="Z527" i="16"/>
  <c r="Z502" i="16"/>
  <c r="Z491" i="16"/>
  <c r="Z478" i="16"/>
  <c r="Z458" i="16"/>
  <c r="Z441" i="16"/>
  <c r="Z439" i="16"/>
  <c r="Z516" i="16"/>
  <c r="Z510" i="16"/>
  <c r="Z493" i="16"/>
  <c r="Z488" i="16"/>
  <c r="Z483" i="16"/>
  <c r="Z482" i="16"/>
  <c r="Z477" i="16"/>
  <c r="Z471" i="16"/>
  <c r="Z461" i="16"/>
  <c r="Z547" i="16"/>
  <c r="Z500" i="16"/>
  <c r="Z454" i="16"/>
  <c r="Z435" i="16"/>
  <c r="Z504" i="16"/>
  <c r="Z497" i="16"/>
  <c r="Z473" i="16"/>
  <c r="Z463" i="16"/>
  <c r="Z444" i="16"/>
  <c r="Z544" i="16"/>
  <c r="Z538" i="16"/>
  <c r="Z511" i="16"/>
  <c r="Z505" i="16"/>
  <c r="Z501" i="16"/>
  <c r="Z494" i="16"/>
  <c r="Z472" i="16"/>
  <c r="Z437" i="16"/>
  <c r="Z523" i="16"/>
  <c r="Z517" i="16"/>
  <c r="Z498" i="16"/>
  <c r="Z456" i="16"/>
  <c r="Z446" i="16"/>
  <c r="Z436" i="16"/>
  <c r="Z530" i="16"/>
  <c r="Z525" i="16"/>
  <c r="Z540" i="16"/>
  <c r="Z490" i="16"/>
  <c r="Z506" i="16"/>
  <c r="Z475" i="16"/>
  <c r="Z448" i="16"/>
  <c r="Z539" i="16"/>
  <c r="Z452" i="16"/>
  <c r="Z450" i="16"/>
  <c r="Z485" i="16"/>
  <c r="Z438" i="16"/>
  <c r="Z513" i="16"/>
  <c r="Z455" i="16"/>
  <c r="Z469" i="16"/>
  <c r="Z496" i="16"/>
  <c r="Z467" i="16"/>
  <c r="Z459" i="16"/>
  <c r="Z546" i="16"/>
  <c r="Z480" i="16"/>
  <c r="Z440" i="16"/>
  <c r="Z533" i="16"/>
  <c r="Z457" i="16"/>
  <c r="Z512" i="16"/>
  <c r="Z442" i="16"/>
  <c r="Z537" i="16"/>
  <c r="Z519" i="16"/>
  <c r="Z465" i="16"/>
  <c r="Z487" i="16"/>
  <c r="Z492" i="16"/>
  <c r="Z531" i="16"/>
  <c r="Z474" i="16"/>
  <c r="Z518" i="16"/>
  <c r="EW36" i="20"/>
  <c r="G556" i="16"/>
  <c r="G554" i="16"/>
  <c r="G537" i="16"/>
  <c r="G520" i="16"/>
  <c r="G518" i="16"/>
  <c r="G552" i="16"/>
  <c r="G550" i="16"/>
  <c r="G548" i="16"/>
  <c r="G531" i="16"/>
  <c r="G514" i="16"/>
  <c r="G512" i="16"/>
  <c r="G546" i="16"/>
  <c r="G529" i="16"/>
  <c r="G527" i="16"/>
  <c r="G510" i="16"/>
  <c r="G526" i="16"/>
  <c r="G525" i="16"/>
  <c r="G488" i="16"/>
  <c r="G483" i="16"/>
  <c r="G473" i="16"/>
  <c r="G456" i="16"/>
  <c r="G439" i="16"/>
  <c r="G437" i="16"/>
  <c r="G539" i="16"/>
  <c r="G532" i="16"/>
  <c r="G497" i="16"/>
  <c r="G475" i="16"/>
  <c r="G471" i="16"/>
  <c r="G454" i="16"/>
  <c r="G452" i="16"/>
  <c r="G435" i="16"/>
  <c r="G545" i="16"/>
  <c r="G538" i="16"/>
  <c r="G511" i="16"/>
  <c r="G505" i="16"/>
  <c r="G501" i="16"/>
  <c r="G493" i="16"/>
  <c r="G485" i="16"/>
  <c r="G480" i="16"/>
  <c r="G469" i="16"/>
  <c r="G467" i="16"/>
  <c r="G450" i="16"/>
  <c r="G544" i="16"/>
  <c r="G524" i="16"/>
  <c r="G517" i="16"/>
  <c r="G490" i="16"/>
  <c r="G465" i="16"/>
  <c r="G448" i="16"/>
  <c r="G446" i="16"/>
  <c r="G561" i="16"/>
  <c r="G530" i="16"/>
  <c r="G523" i="16"/>
  <c r="G500" i="16"/>
  <c r="G482" i="16"/>
  <c r="G477" i="16"/>
  <c r="G463" i="16"/>
  <c r="G461" i="16"/>
  <c r="G444" i="16"/>
  <c r="G503" i="16"/>
  <c r="G499" i="16"/>
  <c r="G491" i="16"/>
  <c r="G459" i="16"/>
  <c r="G449" i="16"/>
  <c r="G559" i="16"/>
  <c r="G543" i="16"/>
  <c r="G516" i="16"/>
  <c r="G496" i="16"/>
  <c r="G492" i="16"/>
  <c r="G487" i="16"/>
  <c r="G486" i="16"/>
  <c r="G481" i="16"/>
  <c r="G476" i="16"/>
  <c r="G468" i="16"/>
  <c r="G458" i="16"/>
  <c r="G549" i="16"/>
  <c r="G540" i="16"/>
  <c r="G534" i="16"/>
  <c r="G528" i="16"/>
  <c r="G522" i="16"/>
  <c r="G442" i="16"/>
  <c r="G557" i="16"/>
  <c r="G519" i="16"/>
  <c r="G513" i="16"/>
  <c r="G507" i="16"/>
  <c r="G504" i="16"/>
  <c r="G470" i="16"/>
  <c r="G451" i="16"/>
  <c r="G441" i="16"/>
  <c r="G460" i="16"/>
  <c r="G498" i="16"/>
  <c r="G443" i="16"/>
  <c r="G562" i="16"/>
  <c r="G551" i="16"/>
  <c r="G535" i="16"/>
  <c r="G533" i="16"/>
  <c r="G478" i="16"/>
  <c r="G447" i="16"/>
  <c r="G445" i="16"/>
  <c r="G484" i="16"/>
  <c r="G464" i="16"/>
  <c r="G462" i="16"/>
  <c r="G509" i="16"/>
  <c r="G495" i="16"/>
  <c r="G466" i="16"/>
  <c r="G541" i="16"/>
  <c r="G489" i="16"/>
  <c r="G479" i="16"/>
  <c r="G521" i="16"/>
  <c r="G506" i="16"/>
  <c r="G536" i="16"/>
  <c r="G502" i="16"/>
  <c r="G438" i="16"/>
  <c r="G455" i="16"/>
  <c r="G553" i="16"/>
  <c r="G494" i="16"/>
  <c r="G555" i="16"/>
  <c r="G547" i="16"/>
  <c r="G474" i="16"/>
  <c r="G440" i="16"/>
  <c r="G453" i="16"/>
  <c r="G515" i="16"/>
  <c r="G436" i="16"/>
  <c r="G558" i="16"/>
  <c r="G457" i="16"/>
  <c r="G542" i="16"/>
  <c r="G508" i="16"/>
  <c r="G560" i="16"/>
  <c r="G472" i="16"/>
  <c r="AG562" i="16"/>
  <c r="AG560" i="16"/>
  <c r="AG543" i="16"/>
  <c r="AG526" i="16"/>
  <c r="AG524" i="16"/>
  <c r="AG507" i="16"/>
  <c r="AG558" i="16"/>
  <c r="AG556" i="16"/>
  <c r="AG554" i="16"/>
  <c r="AG537" i="16"/>
  <c r="AG520" i="16"/>
  <c r="AG518" i="16"/>
  <c r="AG505" i="16"/>
  <c r="AG502" i="16"/>
  <c r="AG499" i="16"/>
  <c r="AG496" i="16"/>
  <c r="AG493" i="16"/>
  <c r="AG552" i="16"/>
  <c r="AG535" i="16"/>
  <c r="AG533" i="16"/>
  <c r="AG516" i="16"/>
  <c r="AG555" i="16"/>
  <c r="AG550" i="16"/>
  <c r="AG548" i="16"/>
  <c r="AG521" i="16"/>
  <c r="AG514" i="16"/>
  <c r="AG495" i="16"/>
  <c r="AG481" i="16"/>
  <c r="AG462" i="16"/>
  <c r="AG445" i="16"/>
  <c r="AG443" i="16"/>
  <c r="AG553" i="16"/>
  <c r="AG551" i="16"/>
  <c r="AG528" i="16"/>
  <c r="AG527" i="16"/>
  <c r="AG491" i="16"/>
  <c r="AG486" i="16"/>
  <c r="AG460" i="16"/>
  <c r="AG458" i="16"/>
  <c r="AG441" i="16"/>
  <c r="AG549" i="16"/>
  <c r="AG541" i="16"/>
  <c r="AG534" i="16"/>
  <c r="AG506" i="16"/>
  <c r="AG494" i="16"/>
  <c r="AG478" i="16"/>
  <c r="AG473" i="16"/>
  <c r="AG456" i="16"/>
  <c r="AG439" i="16"/>
  <c r="AG437" i="16"/>
  <c r="AG540" i="16"/>
  <c r="AG513" i="16"/>
  <c r="AG512" i="16"/>
  <c r="AG498" i="16"/>
  <c r="AG488" i="16"/>
  <c r="AG483" i="16"/>
  <c r="AG471" i="16"/>
  <c r="AG454" i="16"/>
  <c r="AG452" i="16"/>
  <c r="AG435" i="16"/>
  <c r="AG547" i="16"/>
  <c r="AG546" i="16"/>
  <c r="AG519" i="16"/>
  <c r="AG475" i="16"/>
  <c r="AG469" i="16"/>
  <c r="AG467" i="16"/>
  <c r="AG450" i="16"/>
  <c r="AG559" i="16"/>
  <c r="AG504" i="16"/>
  <c r="AG463" i="16"/>
  <c r="AG453" i="16"/>
  <c r="AG544" i="16"/>
  <c r="AG538" i="16"/>
  <c r="AG532" i="16"/>
  <c r="AG501" i="16"/>
  <c r="AG472" i="16"/>
  <c r="AG446" i="16"/>
  <c r="AG557" i="16"/>
  <c r="AG529" i="16"/>
  <c r="AG523" i="16"/>
  <c r="AG517" i="16"/>
  <c r="AG511" i="16"/>
  <c r="AG465" i="16"/>
  <c r="AG455" i="16"/>
  <c r="AG436" i="16"/>
  <c r="AG508" i="16"/>
  <c r="AG490" i="16"/>
  <c r="AG489" i="16"/>
  <c r="AG485" i="16"/>
  <c r="AG484" i="16"/>
  <c r="AG479" i="16"/>
  <c r="AG464" i="16"/>
  <c r="AG539" i="16"/>
  <c r="AG480" i="16"/>
  <c r="AG474" i="16"/>
  <c r="AG448" i="16"/>
  <c r="AG438" i="16"/>
  <c r="AG509" i="16"/>
  <c r="AG497" i="16"/>
  <c r="AG542" i="16"/>
  <c r="AG522" i="16"/>
  <c r="AG492" i="16"/>
  <c r="AG440" i="16"/>
  <c r="AG536" i="16"/>
  <c r="AG476" i="16"/>
  <c r="AG470" i="16"/>
  <c r="AG482" i="16"/>
  <c r="AG449" i="16"/>
  <c r="AG531" i="16"/>
  <c r="AG457" i="16"/>
  <c r="AG500" i="16"/>
  <c r="AG466" i="16"/>
  <c r="AG545" i="16"/>
  <c r="AG530" i="16"/>
  <c r="AG468" i="16"/>
  <c r="AG503" i="16"/>
  <c r="AG487" i="16"/>
  <c r="AG510" i="16"/>
  <c r="AG447" i="16"/>
  <c r="AG459" i="16"/>
  <c r="AG515" i="16"/>
  <c r="AG461" i="16"/>
  <c r="AG451" i="16"/>
  <c r="AG477" i="16"/>
  <c r="AG525" i="16"/>
  <c r="AG444" i="16"/>
  <c r="AG442" i="16"/>
  <c r="AG561" i="16"/>
  <c r="D12" i="21"/>
  <c r="D10" i="21"/>
  <c r="D11" i="21"/>
  <c r="D13" i="21"/>
  <c r="DD36" i="20"/>
  <c r="CX36" i="20"/>
  <c r="BG37" i="20"/>
  <c r="BG38" i="20" s="1"/>
  <c r="BG40" i="20" s="1"/>
  <c r="BP36" i="20" s="1"/>
  <c r="BP40" i="20" s="1"/>
  <c r="CQ11" i="20" s="1"/>
  <c r="BD36" i="20"/>
  <c r="BA38" i="20"/>
  <c r="Q359" i="11"/>
  <c r="T25" i="7"/>
  <c r="S25" i="7"/>
  <c r="N25" i="7" s="1"/>
  <c r="T54" i="7"/>
  <c r="S54" i="7"/>
  <c r="N54" i="7" s="1"/>
  <c r="S50" i="7"/>
  <c r="N50" i="7" s="1"/>
  <c r="T50" i="7"/>
  <c r="S17" i="7"/>
  <c r="N17" i="7" s="1"/>
  <c r="T17" i="7"/>
  <c r="S71" i="7"/>
  <c r="N71" i="7" s="1"/>
  <c r="T71" i="7"/>
  <c r="BD101" i="20"/>
  <c r="BA103" i="20"/>
  <c r="BG102" i="20"/>
  <c r="BG103" i="20" s="1"/>
  <c r="BG105" i="20" s="1"/>
  <c r="BP101" i="20" s="1"/>
  <c r="BP105" i="20" s="1"/>
  <c r="CQ24" i="20" s="1"/>
  <c r="X359" i="11"/>
  <c r="BQ14" i="22"/>
  <c r="BQ7" i="22"/>
  <c r="X157" i="20"/>
  <c r="X158" i="20" s="1"/>
  <c r="X160" i="20" s="1"/>
  <c r="AG156" i="20" s="1"/>
  <c r="AG160" i="20" s="1"/>
  <c r="CN35" i="20" s="1"/>
  <c r="U156" i="20"/>
  <c r="R158" i="20"/>
  <c r="AA7" i="25"/>
  <c r="AA7" i="23"/>
  <c r="AA7" i="24"/>
  <c r="E562" i="16"/>
  <c r="E560" i="16"/>
  <c r="E543" i="16"/>
  <c r="E526" i="16"/>
  <c r="E524" i="16"/>
  <c r="E507" i="16"/>
  <c r="E558" i="16"/>
  <c r="E556" i="16"/>
  <c r="E554" i="16"/>
  <c r="E537" i="16"/>
  <c r="E520" i="16"/>
  <c r="E518" i="16"/>
  <c r="E552" i="16"/>
  <c r="E535" i="16"/>
  <c r="E533" i="16"/>
  <c r="E516" i="16"/>
  <c r="E505" i="16"/>
  <c r="E502" i="16"/>
  <c r="E499" i="16"/>
  <c r="E496" i="16"/>
  <c r="E493" i="16"/>
  <c r="E490" i="16"/>
  <c r="E487" i="16"/>
  <c r="E484" i="16"/>
  <c r="E481" i="16"/>
  <c r="E478" i="16"/>
  <c r="E475" i="16"/>
  <c r="E472" i="16"/>
  <c r="E469" i="16"/>
  <c r="E466" i="16"/>
  <c r="E463" i="16"/>
  <c r="E460" i="16"/>
  <c r="E457" i="16"/>
  <c r="E454" i="16"/>
  <c r="E451" i="16"/>
  <c r="E448" i="16"/>
  <c r="E445" i="16"/>
  <c r="E442" i="16"/>
  <c r="E439" i="16"/>
  <c r="E436" i="16"/>
  <c r="E540" i="16"/>
  <c r="E513" i="16"/>
  <c r="E512" i="16"/>
  <c r="E506" i="16"/>
  <c r="E494" i="16"/>
  <c r="E491" i="16"/>
  <c r="E486" i="16"/>
  <c r="E462" i="16"/>
  <c r="E443" i="16"/>
  <c r="E547" i="16"/>
  <c r="E546" i="16"/>
  <c r="E519" i="16"/>
  <c r="E498" i="16"/>
  <c r="E458" i="16"/>
  <c r="E441" i="16"/>
  <c r="E539" i="16"/>
  <c r="E525" i="16"/>
  <c r="E488" i="16"/>
  <c r="E483" i="16"/>
  <c r="E473" i="16"/>
  <c r="E456" i="16"/>
  <c r="E437" i="16"/>
  <c r="E532" i="16"/>
  <c r="E531" i="16"/>
  <c r="E497" i="16"/>
  <c r="E471" i="16"/>
  <c r="E452" i="16"/>
  <c r="E435" i="16"/>
  <c r="E545" i="16"/>
  <c r="E538" i="16"/>
  <c r="E511" i="16"/>
  <c r="E510" i="16"/>
  <c r="E501" i="16"/>
  <c r="E485" i="16"/>
  <c r="E480" i="16"/>
  <c r="E467" i="16"/>
  <c r="E450" i="16"/>
  <c r="E561" i="16"/>
  <c r="E447" i="16"/>
  <c r="E551" i="16"/>
  <c r="E495" i="16"/>
  <c r="E440" i="16"/>
  <c r="E503" i="16"/>
  <c r="E459" i="16"/>
  <c r="E449" i="16"/>
  <c r="E559" i="16"/>
  <c r="E522" i="16"/>
  <c r="E500" i="16"/>
  <c r="E492" i="16"/>
  <c r="E482" i="16"/>
  <c r="E476" i="16"/>
  <c r="E468" i="16"/>
  <c r="E549" i="16"/>
  <c r="E534" i="16"/>
  <c r="E528" i="16"/>
  <c r="E477" i="16"/>
  <c r="E461" i="16"/>
  <c r="E489" i="16"/>
  <c r="E470" i="16"/>
  <c r="E517" i="16"/>
  <c r="E515" i="16"/>
  <c r="E474" i="16"/>
  <c r="E548" i="16"/>
  <c r="E530" i="16"/>
  <c r="E504" i="16"/>
  <c r="E557" i="16"/>
  <c r="E553" i="16"/>
  <c r="E544" i="16"/>
  <c r="E444" i="16"/>
  <c r="E541" i="16"/>
  <c r="E453" i="16"/>
  <c r="E479" i="16"/>
  <c r="E464" i="16"/>
  <c r="E521" i="16"/>
  <c r="E509" i="16"/>
  <c r="E529" i="16"/>
  <c r="E523" i="16"/>
  <c r="E455" i="16"/>
  <c r="E555" i="16"/>
  <c r="E527" i="16"/>
  <c r="E542" i="16"/>
  <c r="E550" i="16"/>
  <c r="E514" i="16"/>
  <c r="E508" i="16"/>
  <c r="E465" i="16"/>
  <c r="E438" i="16"/>
  <c r="E536" i="16"/>
  <c r="E446" i="16"/>
  <c r="BA58" i="20"/>
  <c r="BD131" i="20"/>
  <c r="BG132" i="20"/>
  <c r="BG133" i="20" s="1"/>
  <c r="BG135" i="20" s="1"/>
  <c r="BP131" i="20" s="1"/>
  <c r="BP135" i="20" s="1"/>
  <c r="CQ30" i="20" s="1"/>
  <c r="BA133" i="20"/>
  <c r="CY36" i="20"/>
  <c r="J506" i="12"/>
  <c r="J503" i="12"/>
  <c r="J500" i="12"/>
  <c r="J497" i="12"/>
  <c r="J494" i="12"/>
  <c r="J491" i="12"/>
  <c r="J488" i="12"/>
  <c r="J485" i="12"/>
  <c r="J482" i="12"/>
  <c r="J479" i="12"/>
  <c r="J476" i="12"/>
  <c r="J473" i="12"/>
  <c r="J470" i="12"/>
  <c r="J467" i="12"/>
  <c r="J464" i="12"/>
  <c r="J461" i="12"/>
  <c r="J458" i="12"/>
  <c r="J455" i="12"/>
  <c r="J452" i="12"/>
  <c r="J449" i="12"/>
  <c r="J446" i="12"/>
  <c r="J443" i="12"/>
  <c r="J440" i="12"/>
  <c r="J437" i="12"/>
  <c r="J434" i="12"/>
  <c r="J431" i="12"/>
  <c r="J428" i="12"/>
  <c r="J425" i="12"/>
  <c r="J422" i="12"/>
  <c r="J419" i="12"/>
  <c r="J416" i="12"/>
  <c r="J413" i="12"/>
  <c r="J410" i="12"/>
  <c r="J407" i="12"/>
  <c r="J404" i="12"/>
  <c r="J396" i="12"/>
  <c r="J502" i="12"/>
  <c r="J484" i="12"/>
  <c r="J466" i="12"/>
  <c r="J448" i="12"/>
  <c r="J430" i="12"/>
  <c r="J412" i="12"/>
  <c r="J400" i="12"/>
  <c r="J380" i="12"/>
  <c r="J492" i="12"/>
  <c r="J474" i="12"/>
  <c r="J456" i="12"/>
  <c r="J438" i="12"/>
  <c r="J420" i="12"/>
  <c r="J397" i="12"/>
  <c r="J505" i="12"/>
  <c r="J487" i="12"/>
  <c r="J469" i="12"/>
  <c r="J451" i="12"/>
  <c r="J433" i="12"/>
  <c r="J415" i="12"/>
  <c r="J395" i="12"/>
  <c r="J495" i="12"/>
  <c r="J477" i="12"/>
  <c r="J459" i="12"/>
  <c r="J441" i="12"/>
  <c r="J423" i="12"/>
  <c r="J394" i="12"/>
  <c r="J490" i="12"/>
  <c r="J472" i="12"/>
  <c r="J454" i="12"/>
  <c r="J436" i="12"/>
  <c r="J418" i="12"/>
  <c r="J398" i="12"/>
  <c r="J393" i="12"/>
  <c r="J501" i="12"/>
  <c r="J483" i="12"/>
  <c r="J465" i="12"/>
  <c r="J447" i="12"/>
  <c r="J429" i="12"/>
  <c r="J411" i="12"/>
  <c r="J388" i="12"/>
  <c r="J383" i="12"/>
  <c r="J489" i="12"/>
  <c r="J453" i="12"/>
  <c r="J417" i="12"/>
  <c r="J401" i="12"/>
  <c r="J498" i="12"/>
  <c r="J462" i="12"/>
  <c r="J426" i="12"/>
  <c r="J392" i="12"/>
  <c r="J475" i="12"/>
  <c r="J439" i="12"/>
  <c r="J390" i="12"/>
  <c r="J384" i="12"/>
  <c r="J478" i="12"/>
  <c r="J442" i="12"/>
  <c r="J406" i="12"/>
  <c r="J504" i="12"/>
  <c r="J468" i="12"/>
  <c r="J432" i="12"/>
  <c r="J386" i="12"/>
  <c r="J382" i="12"/>
  <c r="J480" i="12"/>
  <c r="J444" i="12"/>
  <c r="J408" i="12"/>
  <c r="J391" i="12"/>
  <c r="J385" i="12"/>
  <c r="J381" i="12"/>
  <c r="J493" i="12"/>
  <c r="J457" i="12"/>
  <c r="J421" i="12"/>
  <c r="J389" i="12"/>
  <c r="J460" i="12"/>
  <c r="J403" i="12"/>
  <c r="J507" i="12"/>
  <c r="J399" i="12"/>
  <c r="J499" i="12"/>
  <c r="J435" i="12"/>
  <c r="J402" i="12"/>
  <c r="J481" i="12"/>
  <c r="J450" i="12"/>
  <c r="J427" i="12"/>
  <c r="J405" i="12"/>
  <c r="J496" i="12"/>
  <c r="J463" i="12"/>
  <c r="J445" i="12"/>
  <c r="J414" i="12"/>
  <c r="J409" i="12"/>
  <c r="J424" i="12"/>
  <c r="J387" i="12"/>
  <c r="J471" i="12"/>
  <c r="J486" i="12"/>
  <c r="H560" i="16"/>
  <c r="H557" i="16"/>
  <c r="H554" i="16"/>
  <c r="H551" i="16"/>
  <c r="H548" i="16"/>
  <c r="H545" i="16"/>
  <c r="H542" i="16"/>
  <c r="H539" i="16"/>
  <c r="H536" i="16"/>
  <c r="H533" i="16"/>
  <c r="H530" i="16"/>
  <c r="H527" i="16"/>
  <c r="H524" i="16"/>
  <c r="H521" i="16"/>
  <c r="H518" i="16"/>
  <c r="H515" i="16"/>
  <c r="H512" i="16"/>
  <c r="H509" i="16"/>
  <c r="H552" i="16"/>
  <c r="H535" i="16"/>
  <c r="H516" i="16"/>
  <c r="H505" i="16"/>
  <c r="H502" i="16"/>
  <c r="H499" i="16"/>
  <c r="H496" i="16"/>
  <c r="H493" i="16"/>
  <c r="H490" i="16"/>
  <c r="H487" i="16"/>
  <c r="H484" i="16"/>
  <c r="H481" i="16"/>
  <c r="H478" i="16"/>
  <c r="H475" i="16"/>
  <c r="H550" i="16"/>
  <c r="H546" i="16"/>
  <c r="H529" i="16"/>
  <c r="H510" i="16"/>
  <c r="H561" i="16"/>
  <c r="H544" i="16"/>
  <c r="H525" i="16"/>
  <c r="H508" i="16"/>
  <c r="H532" i="16"/>
  <c r="H497" i="16"/>
  <c r="H471" i="16"/>
  <c r="H454" i="16"/>
  <c r="H452" i="16"/>
  <c r="H435" i="16"/>
  <c r="H538" i="16"/>
  <c r="H511" i="16"/>
  <c r="H501" i="16"/>
  <c r="H485" i="16"/>
  <c r="H480" i="16"/>
  <c r="H469" i="16"/>
  <c r="H467" i="16"/>
  <c r="H450" i="16"/>
  <c r="H531" i="16"/>
  <c r="H517" i="16"/>
  <c r="H465" i="16"/>
  <c r="H448" i="16"/>
  <c r="H446" i="16"/>
  <c r="H523" i="16"/>
  <c r="H500" i="16"/>
  <c r="H482" i="16"/>
  <c r="H477" i="16"/>
  <c r="H463" i="16"/>
  <c r="H461" i="16"/>
  <c r="H444" i="16"/>
  <c r="H559" i="16"/>
  <c r="H537" i="16"/>
  <c r="H504" i="16"/>
  <c r="H459" i="16"/>
  <c r="H442" i="16"/>
  <c r="H440" i="16"/>
  <c r="H556" i="16"/>
  <c r="H543" i="16"/>
  <c r="H492" i="16"/>
  <c r="H486" i="16"/>
  <c r="H476" i="16"/>
  <c r="H468" i="16"/>
  <c r="H458" i="16"/>
  <c r="H439" i="16"/>
  <c r="H549" i="16"/>
  <c r="H540" i="16"/>
  <c r="H534" i="16"/>
  <c r="H528" i="16"/>
  <c r="H522" i="16"/>
  <c r="H519" i="16"/>
  <c r="H513" i="16"/>
  <c r="H507" i="16"/>
  <c r="H470" i="16"/>
  <c r="H451" i="16"/>
  <c r="H441" i="16"/>
  <c r="H460" i="16"/>
  <c r="H562" i="16"/>
  <c r="H453" i="16"/>
  <c r="H443" i="16"/>
  <c r="H520" i="16"/>
  <c r="H491" i="16"/>
  <c r="H449" i="16"/>
  <c r="H447" i="16"/>
  <c r="H445" i="16"/>
  <c r="H464" i="16"/>
  <c r="H462" i="16"/>
  <c r="H495" i="16"/>
  <c r="H466" i="16"/>
  <c r="H553" i="16"/>
  <c r="H514" i="16"/>
  <c r="H488" i="16"/>
  <c r="H437" i="16"/>
  <c r="H506" i="16"/>
  <c r="H473" i="16"/>
  <c r="H438" i="16"/>
  <c r="H455" i="16"/>
  <c r="H555" i="16"/>
  <c r="H547" i="16"/>
  <c r="H541" i="16"/>
  <c r="H494" i="16"/>
  <c r="H558" i="16"/>
  <c r="H436" i="16"/>
  <c r="H474" i="16"/>
  <c r="H503" i="16"/>
  <c r="H479" i="16"/>
  <c r="H526" i="16"/>
  <c r="H489" i="16"/>
  <c r="H457" i="16"/>
  <c r="H483" i="16"/>
  <c r="H498" i="16"/>
  <c r="H456" i="16"/>
  <c r="H472" i="16"/>
  <c r="O359" i="11"/>
  <c r="T37" i="7"/>
  <c r="S37" i="7"/>
  <c r="N37" i="7" s="1"/>
  <c r="T28" i="7"/>
  <c r="S28" i="7"/>
  <c r="N28" i="7" s="1"/>
  <c r="S56" i="7"/>
  <c r="N56" i="7" s="1"/>
  <c r="T56" i="7"/>
  <c r="S20" i="7"/>
  <c r="N20" i="7" s="1"/>
  <c r="T20" i="7"/>
  <c r="BD91" i="20"/>
  <c r="BA93" i="20"/>
  <c r="BG92" i="20"/>
  <c r="BG93" i="20" s="1"/>
  <c r="BG95" i="20" s="1"/>
  <c r="BP91" i="20" s="1"/>
  <c r="BP95" i="20" s="1"/>
  <c r="CQ22" i="20" s="1"/>
  <c r="F505" i="12"/>
  <c r="AB299" i="7" s="1"/>
  <c r="F502" i="12"/>
  <c r="AB296" i="7" s="1"/>
  <c r="F499" i="12"/>
  <c r="AB293" i="7" s="1"/>
  <c r="F496" i="12"/>
  <c r="AB290" i="7" s="1"/>
  <c r="F493" i="12"/>
  <c r="AB287" i="7" s="1"/>
  <c r="F490" i="12"/>
  <c r="AB284" i="7" s="1"/>
  <c r="F487" i="12"/>
  <c r="AB281" i="7" s="1"/>
  <c r="F484" i="12"/>
  <c r="AB278" i="7" s="1"/>
  <c r="F481" i="12"/>
  <c r="AB275" i="7" s="1"/>
  <c r="F478" i="12"/>
  <c r="AB272" i="7" s="1"/>
  <c r="F475" i="12"/>
  <c r="AB269" i="7" s="1"/>
  <c r="F472" i="12"/>
  <c r="AB266" i="7" s="1"/>
  <c r="F469" i="12"/>
  <c r="AB263" i="7" s="1"/>
  <c r="F466" i="12"/>
  <c r="AB260" i="7" s="1"/>
  <c r="F463" i="12"/>
  <c r="AB257" i="7" s="1"/>
  <c r="F460" i="12"/>
  <c r="AB254" i="7" s="1"/>
  <c r="F457" i="12"/>
  <c r="AB251" i="7" s="1"/>
  <c r="F454" i="12"/>
  <c r="AB248" i="7" s="1"/>
  <c r="F451" i="12"/>
  <c r="AB245" i="7" s="1"/>
  <c r="F448" i="12"/>
  <c r="AB242" i="7" s="1"/>
  <c r="F445" i="12"/>
  <c r="AB239" i="7" s="1"/>
  <c r="F442" i="12"/>
  <c r="AB236" i="7" s="1"/>
  <c r="F439" i="12"/>
  <c r="AB233" i="7" s="1"/>
  <c r="F436" i="12"/>
  <c r="AB230" i="7" s="1"/>
  <c r="F433" i="12"/>
  <c r="AB227" i="7" s="1"/>
  <c r="F430" i="12"/>
  <c r="AB224" i="7" s="1"/>
  <c r="F427" i="12"/>
  <c r="AB221" i="7" s="1"/>
  <c r="F424" i="12"/>
  <c r="AB218" i="7" s="1"/>
  <c r="F421" i="12"/>
  <c r="AB215" i="7" s="1"/>
  <c r="F418" i="12"/>
  <c r="AB212" i="7" s="1"/>
  <c r="F415" i="12"/>
  <c r="AB209" i="7" s="1"/>
  <c r="F412" i="12"/>
  <c r="AB206" i="7" s="1"/>
  <c r="F409" i="12"/>
  <c r="AB203" i="7" s="1"/>
  <c r="F406" i="12"/>
  <c r="AB200" i="7" s="1"/>
  <c r="F392" i="12"/>
  <c r="AB186" i="7" s="1"/>
  <c r="F383" i="12"/>
  <c r="AB177" i="7" s="1"/>
  <c r="F381" i="12"/>
  <c r="AB175" i="7" s="1"/>
  <c r="F491" i="12"/>
  <c r="AB285" i="7" s="1"/>
  <c r="F473" i="12"/>
  <c r="AB267" i="7" s="1"/>
  <c r="F455" i="12"/>
  <c r="AB249" i="7" s="1"/>
  <c r="F437" i="12"/>
  <c r="AB231" i="7" s="1"/>
  <c r="F419" i="12"/>
  <c r="AB213" i="7" s="1"/>
  <c r="F405" i="12"/>
  <c r="AB199" i="7" s="1"/>
  <c r="F399" i="12"/>
  <c r="AB193" i="7" s="1"/>
  <c r="F387" i="12"/>
  <c r="AB181" i="7" s="1"/>
  <c r="F382" i="12"/>
  <c r="AB176" i="7" s="1"/>
  <c r="F504" i="12"/>
  <c r="AB298" i="7" s="1"/>
  <c r="F486" i="12"/>
  <c r="AB280" i="7" s="1"/>
  <c r="F468" i="12"/>
  <c r="AB262" i="7" s="1"/>
  <c r="F450" i="12"/>
  <c r="AB244" i="7" s="1"/>
  <c r="F432" i="12"/>
  <c r="AB226" i="7" s="1"/>
  <c r="F414" i="12"/>
  <c r="AB208" i="7" s="1"/>
  <c r="F404" i="12"/>
  <c r="AB198" i="7" s="1"/>
  <c r="F403" i="12"/>
  <c r="AB197" i="7" s="1"/>
  <c r="F386" i="12"/>
  <c r="AB180" i="7" s="1"/>
  <c r="F494" i="12"/>
  <c r="AB288" i="7" s="1"/>
  <c r="F476" i="12"/>
  <c r="AB270" i="7" s="1"/>
  <c r="F458" i="12"/>
  <c r="AB252" i="7" s="1"/>
  <c r="F440" i="12"/>
  <c r="AB234" i="7" s="1"/>
  <c r="F422" i="12"/>
  <c r="AB216" i="7" s="1"/>
  <c r="F402" i="12"/>
  <c r="AB196" i="7" s="1"/>
  <c r="F507" i="12"/>
  <c r="AB301" i="7" s="1"/>
  <c r="F489" i="12"/>
  <c r="AB283" i="7" s="1"/>
  <c r="F471" i="12"/>
  <c r="AB265" i="7" s="1"/>
  <c r="F453" i="12"/>
  <c r="AB247" i="7" s="1"/>
  <c r="F435" i="12"/>
  <c r="AB229" i="7" s="1"/>
  <c r="F417" i="12"/>
  <c r="AB211" i="7" s="1"/>
  <c r="F401" i="12"/>
  <c r="AB195" i="7" s="1"/>
  <c r="F497" i="12"/>
  <c r="AB291" i="7" s="1"/>
  <c r="F479" i="12"/>
  <c r="AB273" i="7" s="1"/>
  <c r="F461" i="12"/>
  <c r="AB255" i="7" s="1"/>
  <c r="F443" i="12"/>
  <c r="AB237" i="7" s="1"/>
  <c r="F425" i="12"/>
  <c r="AB219" i="7" s="1"/>
  <c r="F407" i="12"/>
  <c r="AB201" i="7" s="1"/>
  <c r="F400" i="12"/>
  <c r="AB194" i="7" s="1"/>
  <c r="F397" i="12"/>
  <c r="AB191" i="7" s="1"/>
  <c r="F380" i="12"/>
  <c r="AB174" i="7" s="1"/>
  <c r="F495" i="12"/>
  <c r="AB289" i="7" s="1"/>
  <c r="F477" i="12"/>
  <c r="AB271" i="7" s="1"/>
  <c r="F459" i="12"/>
  <c r="AB253" i="7" s="1"/>
  <c r="F441" i="12"/>
  <c r="AB235" i="7" s="1"/>
  <c r="F423" i="12"/>
  <c r="AB217" i="7" s="1"/>
  <c r="F394" i="12"/>
  <c r="AB188" i="7" s="1"/>
  <c r="F483" i="12"/>
  <c r="AB277" i="7" s="1"/>
  <c r="F447" i="12"/>
  <c r="AB241" i="7" s="1"/>
  <c r="F411" i="12"/>
  <c r="AB205" i="7" s="1"/>
  <c r="F492" i="12"/>
  <c r="AB286" i="7" s="1"/>
  <c r="F456" i="12"/>
  <c r="AB250" i="7" s="1"/>
  <c r="F420" i="12"/>
  <c r="AB214" i="7" s="1"/>
  <c r="F396" i="12"/>
  <c r="AB190" i="7" s="1"/>
  <c r="F482" i="12"/>
  <c r="AB276" i="7" s="1"/>
  <c r="F446" i="12"/>
  <c r="AB240" i="7" s="1"/>
  <c r="F410" i="12"/>
  <c r="AB204" i="7" s="1"/>
  <c r="F485" i="12"/>
  <c r="AB279" i="7" s="1"/>
  <c r="F449" i="12"/>
  <c r="AB243" i="7" s="1"/>
  <c r="F413" i="12"/>
  <c r="AB207" i="7" s="1"/>
  <c r="F398" i="12"/>
  <c r="AB192" i="7" s="1"/>
  <c r="F498" i="12"/>
  <c r="AB292" i="7" s="1"/>
  <c r="F462" i="12"/>
  <c r="AB256" i="7" s="1"/>
  <c r="F426" i="12"/>
  <c r="AB220" i="7" s="1"/>
  <c r="F390" i="12"/>
  <c r="AB184" i="7" s="1"/>
  <c r="F474" i="12"/>
  <c r="AB268" i="7" s="1"/>
  <c r="F438" i="12"/>
  <c r="AB232" i="7" s="1"/>
  <c r="F500" i="12"/>
  <c r="AB294" i="7" s="1"/>
  <c r="F464" i="12"/>
  <c r="AB258" i="7" s="1"/>
  <c r="F428" i="12"/>
  <c r="AB222" i="7" s="1"/>
  <c r="F395" i="12"/>
  <c r="AB189" i="7" s="1"/>
  <c r="F452" i="12"/>
  <c r="AB246" i="7" s="1"/>
  <c r="F429" i="12"/>
  <c r="AB223" i="7" s="1"/>
  <c r="F467" i="12"/>
  <c r="AB261" i="7" s="1"/>
  <c r="F444" i="12"/>
  <c r="AB238" i="7" s="1"/>
  <c r="F506" i="12"/>
  <c r="AB300" i="7" s="1"/>
  <c r="F385" i="12"/>
  <c r="AB179" i="7" s="1"/>
  <c r="F393" i="12"/>
  <c r="AB187" i="7" s="1"/>
  <c r="F389" i="12"/>
  <c r="AB183" i="7" s="1"/>
  <c r="F431" i="12"/>
  <c r="AB225" i="7" s="1"/>
  <c r="F384" i="12"/>
  <c r="AB178" i="7" s="1"/>
  <c r="F488" i="12"/>
  <c r="AB282" i="7" s="1"/>
  <c r="F391" i="12"/>
  <c r="AB185" i="7" s="1"/>
  <c r="F503" i="12"/>
  <c r="AB297" i="7" s="1"/>
  <c r="F501" i="12"/>
  <c r="AB295" i="7" s="1"/>
  <c r="F470" i="12"/>
  <c r="AB264" i="7" s="1"/>
  <c r="F465" i="12"/>
  <c r="AB259" i="7" s="1"/>
  <c r="F434" i="12"/>
  <c r="AB228" i="7" s="1"/>
  <c r="F416" i="12"/>
  <c r="AB210" i="7" s="1"/>
  <c r="F408" i="12"/>
  <c r="AB202" i="7" s="1"/>
  <c r="F388" i="12"/>
  <c r="AB182" i="7" s="1"/>
  <c r="F480" i="12"/>
  <c r="AB274" i="7" s="1"/>
  <c r="E400" i="12"/>
  <c r="T194" i="7" s="1"/>
  <c r="E386" i="12"/>
  <c r="T180" i="7" s="1"/>
  <c r="E501" i="12"/>
  <c r="T295" i="7" s="1"/>
  <c r="E496" i="12"/>
  <c r="T290" i="7" s="1"/>
  <c r="E483" i="12"/>
  <c r="T277" i="7" s="1"/>
  <c r="E478" i="12"/>
  <c r="T272" i="7" s="1"/>
  <c r="E465" i="12"/>
  <c r="T259" i="7" s="1"/>
  <c r="E460" i="12"/>
  <c r="T254" i="7" s="1"/>
  <c r="E447" i="12"/>
  <c r="T241" i="7" s="1"/>
  <c r="E442" i="12"/>
  <c r="T236" i="7" s="1"/>
  <c r="E429" i="12"/>
  <c r="T223" i="7" s="1"/>
  <c r="E424" i="12"/>
  <c r="T218" i="7" s="1"/>
  <c r="E411" i="12"/>
  <c r="T205" i="7" s="1"/>
  <c r="E406" i="12"/>
  <c r="T200" i="7" s="1"/>
  <c r="E388" i="12"/>
  <c r="T182" i="7" s="1"/>
  <c r="E491" i="12"/>
  <c r="T285" i="7" s="1"/>
  <c r="E473" i="12"/>
  <c r="T267" i="7" s="1"/>
  <c r="E455" i="12"/>
  <c r="T249" i="7" s="1"/>
  <c r="E437" i="12"/>
  <c r="T231" i="7" s="1"/>
  <c r="E419" i="12"/>
  <c r="T213" i="7" s="1"/>
  <c r="E405" i="12"/>
  <c r="T199" i="7" s="1"/>
  <c r="E399" i="12"/>
  <c r="T193" i="7" s="1"/>
  <c r="E387" i="12"/>
  <c r="T181" i="7" s="1"/>
  <c r="E382" i="12"/>
  <c r="T176" i="7" s="1"/>
  <c r="E504" i="12"/>
  <c r="T298" i="7" s="1"/>
  <c r="E499" i="12"/>
  <c r="T293" i="7" s="1"/>
  <c r="E486" i="12"/>
  <c r="T280" i="7" s="1"/>
  <c r="E481" i="12"/>
  <c r="T275" i="7" s="1"/>
  <c r="E468" i="12"/>
  <c r="T262" i="7" s="1"/>
  <c r="E463" i="12"/>
  <c r="T257" i="7" s="1"/>
  <c r="E450" i="12"/>
  <c r="T244" i="7" s="1"/>
  <c r="E445" i="12"/>
  <c r="T239" i="7" s="1"/>
  <c r="E432" i="12"/>
  <c r="T226" i="7" s="1"/>
  <c r="E427" i="12"/>
  <c r="T221" i="7" s="1"/>
  <c r="E414" i="12"/>
  <c r="T208" i="7" s="1"/>
  <c r="E409" i="12"/>
  <c r="T203" i="7" s="1"/>
  <c r="E404" i="12"/>
  <c r="T198" i="7" s="1"/>
  <c r="E403" i="12"/>
  <c r="T197" i="7" s="1"/>
  <c r="E494" i="12"/>
  <c r="T288" i="7" s="1"/>
  <c r="E476" i="12"/>
  <c r="T270" i="7" s="1"/>
  <c r="E458" i="12"/>
  <c r="T252" i="7" s="1"/>
  <c r="E440" i="12"/>
  <c r="T234" i="7" s="1"/>
  <c r="E422" i="12"/>
  <c r="T216" i="7" s="1"/>
  <c r="E402" i="12"/>
  <c r="T196" i="7" s="1"/>
  <c r="E507" i="12"/>
  <c r="T301" i="7" s="1"/>
  <c r="E502" i="12"/>
  <c r="T296" i="7" s="1"/>
  <c r="E489" i="12"/>
  <c r="T283" i="7" s="1"/>
  <c r="E484" i="12"/>
  <c r="T278" i="7" s="1"/>
  <c r="E471" i="12"/>
  <c r="T265" i="7" s="1"/>
  <c r="E466" i="12"/>
  <c r="T260" i="7" s="1"/>
  <c r="E453" i="12"/>
  <c r="T247" i="7" s="1"/>
  <c r="E448" i="12"/>
  <c r="T242" i="7" s="1"/>
  <c r="E435" i="12"/>
  <c r="T229" i="7" s="1"/>
  <c r="E430" i="12"/>
  <c r="T224" i="7" s="1"/>
  <c r="E417" i="12"/>
  <c r="T211" i="7" s="1"/>
  <c r="E412" i="12"/>
  <c r="T206" i="7" s="1"/>
  <c r="E401" i="12"/>
  <c r="T195" i="7" s="1"/>
  <c r="E500" i="12"/>
  <c r="T294" i="7" s="1"/>
  <c r="E482" i="12"/>
  <c r="T276" i="7" s="1"/>
  <c r="E464" i="12"/>
  <c r="T258" i="7" s="1"/>
  <c r="E446" i="12"/>
  <c r="T240" i="7" s="1"/>
  <c r="E428" i="12"/>
  <c r="T222" i="7" s="1"/>
  <c r="E410" i="12"/>
  <c r="T204" i="7" s="1"/>
  <c r="E395" i="12"/>
  <c r="T189" i="7" s="1"/>
  <c r="E506" i="12"/>
  <c r="T300" i="7" s="1"/>
  <c r="E470" i="12"/>
  <c r="T264" i="7" s="1"/>
  <c r="E434" i="12"/>
  <c r="T228" i="7" s="1"/>
  <c r="E389" i="12"/>
  <c r="T183" i="7" s="1"/>
  <c r="E383" i="12"/>
  <c r="T177" i="7" s="1"/>
  <c r="E479" i="12"/>
  <c r="T273" i="7" s="1"/>
  <c r="E443" i="12"/>
  <c r="T237" i="7" s="1"/>
  <c r="E407" i="12"/>
  <c r="T201" i="7" s="1"/>
  <c r="E380" i="12"/>
  <c r="T174" i="7" s="1"/>
  <c r="E505" i="12"/>
  <c r="T299" i="7" s="1"/>
  <c r="E492" i="12"/>
  <c r="T286" i="7" s="1"/>
  <c r="E469" i="12"/>
  <c r="T263" i="7" s="1"/>
  <c r="E456" i="12"/>
  <c r="T250" i="7" s="1"/>
  <c r="E433" i="12"/>
  <c r="T227" i="7" s="1"/>
  <c r="E420" i="12"/>
  <c r="T214" i="7" s="1"/>
  <c r="E396" i="12"/>
  <c r="T190" i="7" s="1"/>
  <c r="E495" i="12"/>
  <c r="T289" i="7" s="1"/>
  <c r="E472" i="12"/>
  <c r="T266" i="7" s="1"/>
  <c r="E459" i="12"/>
  <c r="T253" i="7" s="1"/>
  <c r="E436" i="12"/>
  <c r="T230" i="7" s="1"/>
  <c r="E423" i="12"/>
  <c r="T217" i="7" s="1"/>
  <c r="E394" i="12"/>
  <c r="T188" i="7" s="1"/>
  <c r="E485" i="12"/>
  <c r="T279" i="7" s="1"/>
  <c r="E449" i="12"/>
  <c r="T243" i="7" s="1"/>
  <c r="E413" i="12"/>
  <c r="T207" i="7" s="1"/>
  <c r="E398" i="12"/>
  <c r="T192" i="7" s="1"/>
  <c r="E392" i="12"/>
  <c r="T186" i="7" s="1"/>
  <c r="E497" i="12"/>
  <c r="T291" i="7" s="1"/>
  <c r="E461" i="12"/>
  <c r="T255" i="7" s="1"/>
  <c r="E425" i="12"/>
  <c r="T219" i="7" s="1"/>
  <c r="E397" i="12"/>
  <c r="T191" i="7" s="1"/>
  <c r="E487" i="12"/>
  <c r="T281" i="7" s="1"/>
  <c r="E474" i="12"/>
  <c r="T268" i="7" s="1"/>
  <c r="E451" i="12"/>
  <c r="T245" i="7" s="1"/>
  <c r="E438" i="12"/>
  <c r="T232" i="7" s="1"/>
  <c r="E415" i="12"/>
  <c r="T209" i="7" s="1"/>
  <c r="E493" i="12"/>
  <c r="T287" i="7" s="1"/>
  <c r="E390" i="12"/>
  <c r="T184" i="7" s="1"/>
  <c r="E475" i="12"/>
  <c r="T269" i="7" s="1"/>
  <c r="E452" i="12"/>
  <c r="T246" i="7" s="1"/>
  <c r="E421" i="12"/>
  <c r="T215" i="7" s="1"/>
  <c r="E498" i="12"/>
  <c r="T292" i="7" s="1"/>
  <c r="E490" i="12"/>
  <c r="T284" i="7" s="1"/>
  <c r="E467" i="12"/>
  <c r="T261" i="7" s="1"/>
  <c r="E444" i="12"/>
  <c r="T238" i="7" s="1"/>
  <c r="E381" i="12"/>
  <c r="T175" i="7" s="1"/>
  <c r="E426" i="12"/>
  <c r="T220" i="7" s="1"/>
  <c r="E418" i="12"/>
  <c r="T212" i="7" s="1"/>
  <c r="E385" i="12"/>
  <c r="T179" i="7" s="1"/>
  <c r="E416" i="12"/>
  <c r="T210" i="7" s="1"/>
  <c r="E462" i="12"/>
  <c r="T256" i="7" s="1"/>
  <c r="E431" i="12"/>
  <c r="T225" i="7" s="1"/>
  <c r="E384" i="12"/>
  <c r="T178" i="7" s="1"/>
  <c r="E477" i="12"/>
  <c r="T271" i="7" s="1"/>
  <c r="E441" i="12"/>
  <c r="T235" i="7" s="1"/>
  <c r="E488" i="12"/>
  <c r="T282" i="7" s="1"/>
  <c r="E457" i="12"/>
  <c r="T251" i="7" s="1"/>
  <c r="E391" i="12"/>
  <c r="T185" i="7" s="1"/>
  <c r="E454" i="12"/>
  <c r="T248" i="7" s="1"/>
  <c r="E408" i="12"/>
  <c r="T202" i="7" s="1"/>
  <c r="E480" i="12"/>
  <c r="T274" i="7" s="1"/>
  <c r="E393" i="12"/>
  <c r="T187" i="7" s="1"/>
  <c r="E503" i="12"/>
  <c r="T297" i="7" s="1"/>
  <c r="E439" i="12"/>
  <c r="T233" i="7" s="1"/>
  <c r="J359" i="11"/>
  <c r="X47" i="20"/>
  <c r="X48" i="20" s="1"/>
  <c r="X50" i="20" s="1"/>
  <c r="AG46" i="20" s="1"/>
  <c r="AG50" i="20" s="1"/>
  <c r="CN13" i="20" s="1"/>
  <c r="EG36" i="20"/>
  <c r="X152" i="20"/>
  <c r="X153" i="20" s="1"/>
  <c r="X155" i="20" s="1"/>
  <c r="AG151" i="20" s="1"/>
  <c r="AG155" i="20" s="1"/>
  <c r="CN34" i="20" s="1"/>
  <c r="U151" i="20"/>
  <c r="R153" i="20"/>
  <c r="CU19" i="20"/>
  <c r="CT19" i="20"/>
  <c r="G359" i="11"/>
  <c r="BG57" i="20"/>
  <c r="BG58" i="20" s="1"/>
  <c r="BG60" i="20" s="1"/>
  <c r="BP56" i="20" s="1"/>
  <c r="BP60" i="20" s="1"/>
  <c r="CQ15" i="20" s="1"/>
  <c r="CZ36" i="20"/>
  <c r="X42" i="20"/>
  <c r="X43" i="20" s="1"/>
  <c r="X45" i="20" s="1"/>
  <c r="AG41" i="20" s="1"/>
  <c r="AG45" i="20" s="1"/>
  <c r="CN12" i="20" s="1"/>
  <c r="R43" i="20"/>
  <c r="U41" i="20"/>
  <c r="DK36" i="20"/>
  <c r="T40" i="7"/>
  <c r="S40" i="7"/>
  <c r="N40" i="7" s="1"/>
  <c r="T31" i="7"/>
  <c r="S31" i="7"/>
  <c r="N31" i="7" s="1"/>
  <c r="T18" i="7"/>
  <c r="S18" i="7"/>
  <c r="N18" i="7" s="1"/>
  <c r="S26" i="7"/>
  <c r="N26" i="7" s="1"/>
  <c r="T26" i="7"/>
  <c r="ES36" i="20"/>
  <c r="F558" i="16"/>
  <c r="F541" i="16"/>
  <c r="F539" i="16"/>
  <c r="F522" i="16"/>
  <c r="F556" i="16"/>
  <c r="F554" i="16"/>
  <c r="F552" i="16"/>
  <c r="F535" i="16"/>
  <c r="F533" i="16"/>
  <c r="F516" i="16"/>
  <c r="F505" i="16"/>
  <c r="F502" i="16"/>
  <c r="F499" i="16"/>
  <c r="F496" i="16"/>
  <c r="F493" i="16"/>
  <c r="F550" i="16"/>
  <c r="F548" i="16"/>
  <c r="F531" i="16"/>
  <c r="F514" i="16"/>
  <c r="F512" i="16"/>
  <c r="F547" i="16"/>
  <c r="F546" i="16"/>
  <c r="F519" i="16"/>
  <c r="F498" i="16"/>
  <c r="F478" i="16"/>
  <c r="F460" i="16"/>
  <c r="F458" i="16"/>
  <c r="F441" i="16"/>
  <c r="F526" i="16"/>
  <c r="F525" i="16"/>
  <c r="F488" i="16"/>
  <c r="F483" i="16"/>
  <c r="F473" i="16"/>
  <c r="F456" i="16"/>
  <c r="F439" i="16"/>
  <c r="F437" i="16"/>
  <c r="F532" i="16"/>
  <c r="F518" i="16"/>
  <c r="F497" i="16"/>
  <c r="F475" i="16"/>
  <c r="F471" i="16"/>
  <c r="F454" i="16"/>
  <c r="F452" i="16"/>
  <c r="F435" i="16"/>
  <c r="F545" i="16"/>
  <c r="F538" i="16"/>
  <c r="F511" i="16"/>
  <c r="F510" i="16"/>
  <c r="F501" i="16"/>
  <c r="F485" i="16"/>
  <c r="F480" i="16"/>
  <c r="F469" i="16"/>
  <c r="F467" i="16"/>
  <c r="F450" i="16"/>
  <c r="F544" i="16"/>
  <c r="F524" i="16"/>
  <c r="F517" i="16"/>
  <c r="F490" i="16"/>
  <c r="F465" i="16"/>
  <c r="F448" i="16"/>
  <c r="F446" i="16"/>
  <c r="F551" i="16"/>
  <c r="F506" i="16"/>
  <c r="F495" i="16"/>
  <c r="F466" i="16"/>
  <c r="F440" i="16"/>
  <c r="F537" i="16"/>
  <c r="F503" i="16"/>
  <c r="F491" i="16"/>
  <c r="F459" i="16"/>
  <c r="F449" i="16"/>
  <c r="F559" i="16"/>
  <c r="F543" i="16"/>
  <c r="F500" i="16"/>
  <c r="F492" i="16"/>
  <c r="F487" i="16"/>
  <c r="F486" i="16"/>
  <c r="F482" i="16"/>
  <c r="F481" i="16"/>
  <c r="F476" i="16"/>
  <c r="F468" i="16"/>
  <c r="F549" i="16"/>
  <c r="F540" i="16"/>
  <c r="F534" i="16"/>
  <c r="F528" i="16"/>
  <c r="F477" i="16"/>
  <c r="F461" i="16"/>
  <c r="F442" i="16"/>
  <c r="F557" i="16"/>
  <c r="F513" i="16"/>
  <c r="F507" i="16"/>
  <c r="F504" i="16"/>
  <c r="F470" i="16"/>
  <c r="F451" i="16"/>
  <c r="F515" i="16"/>
  <c r="F474" i="16"/>
  <c r="F472" i="16"/>
  <c r="F530" i="16"/>
  <c r="F520" i="16"/>
  <c r="F443" i="16"/>
  <c r="F562" i="16"/>
  <c r="F447" i="16"/>
  <c r="F445" i="16"/>
  <c r="F484" i="16"/>
  <c r="F464" i="16"/>
  <c r="F462" i="16"/>
  <c r="F453" i="16"/>
  <c r="F561" i="16"/>
  <c r="F489" i="16"/>
  <c r="F479" i="16"/>
  <c r="F521" i="16"/>
  <c r="F509" i="16"/>
  <c r="F536" i="16"/>
  <c r="F438" i="16"/>
  <c r="F529" i="16"/>
  <c r="F523" i="16"/>
  <c r="F553" i="16"/>
  <c r="F455" i="16"/>
  <c r="F555" i="16"/>
  <c r="F527" i="16"/>
  <c r="F494" i="16"/>
  <c r="F542" i="16"/>
  <c r="F560" i="16"/>
  <c r="F463" i="16"/>
  <c r="F457" i="16"/>
  <c r="F436" i="16"/>
  <c r="F508" i="16"/>
  <c r="F444" i="16"/>
  <c r="U66" i="20"/>
  <c r="R68" i="20"/>
  <c r="X67" i="20"/>
  <c r="X68" i="20" s="1"/>
  <c r="X70" i="20" s="1"/>
  <c r="AG66" i="20" s="1"/>
  <c r="AG70" i="20" s="1"/>
  <c r="CN17" i="20" s="1"/>
  <c r="EJ36" i="20"/>
  <c r="AR550" i="16"/>
  <c r="AR533" i="16"/>
  <c r="AR531" i="16"/>
  <c r="AR514" i="16"/>
  <c r="AR548" i="16"/>
  <c r="AR561" i="16"/>
  <c r="AR544" i="16"/>
  <c r="AR527" i="16"/>
  <c r="AR525" i="16"/>
  <c r="AR508" i="16"/>
  <c r="AR503" i="16"/>
  <c r="AR500" i="16"/>
  <c r="AR497" i="16"/>
  <c r="AR494" i="16"/>
  <c r="AR559" i="16"/>
  <c r="AR542" i="16"/>
  <c r="AR540" i="16"/>
  <c r="AR523" i="16"/>
  <c r="AR506" i="16"/>
  <c r="AR547" i="16"/>
  <c r="AR520" i="16"/>
  <c r="AR519" i="16"/>
  <c r="AR502" i="16"/>
  <c r="AR488" i="16"/>
  <c r="AR469" i="16"/>
  <c r="AR452" i="16"/>
  <c r="AR450" i="16"/>
  <c r="AR526" i="16"/>
  <c r="AR480" i="16"/>
  <c r="AR475" i="16"/>
  <c r="AR467" i="16"/>
  <c r="AR465" i="16"/>
  <c r="AR448" i="16"/>
  <c r="AR546" i="16"/>
  <c r="AR532" i="16"/>
  <c r="AR512" i="16"/>
  <c r="AR501" i="16"/>
  <c r="AR485" i="16"/>
  <c r="AR463" i="16"/>
  <c r="AR446" i="16"/>
  <c r="AR444" i="16"/>
  <c r="AR539" i="16"/>
  <c r="AR538" i="16"/>
  <c r="AR511" i="16"/>
  <c r="AR505" i="16"/>
  <c r="AR493" i="16"/>
  <c r="AR490" i="16"/>
  <c r="AR477" i="16"/>
  <c r="AR461" i="16"/>
  <c r="AR459" i="16"/>
  <c r="AR442" i="16"/>
  <c r="AR545" i="16"/>
  <c r="AR518" i="16"/>
  <c r="AR517" i="16"/>
  <c r="AR482" i="16"/>
  <c r="AR457" i="16"/>
  <c r="AR440" i="16"/>
  <c r="AR438" i="16"/>
  <c r="AR562" i="16"/>
  <c r="AR529" i="16"/>
  <c r="AR484" i="16"/>
  <c r="AR479" i="16"/>
  <c r="AR478" i="16"/>
  <c r="AR474" i="16"/>
  <c r="AR464" i="16"/>
  <c r="AR454" i="16"/>
  <c r="AR555" i="16"/>
  <c r="AR552" i="16"/>
  <c r="AR541" i="16"/>
  <c r="AR535" i="16"/>
  <c r="AR473" i="16"/>
  <c r="AR447" i="16"/>
  <c r="AR466" i="16"/>
  <c r="AR456" i="16"/>
  <c r="AR437" i="16"/>
  <c r="AR560" i="16"/>
  <c r="AR536" i="16"/>
  <c r="AR530" i="16"/>
  <c r="AR524" i="16"/>
  <c r="AR498" i="16"/>
  <c r="AR553" i="16"/>
  <c r="AR521" i="16"/>
  <c r="AR515" i="16"/>
  <c r="AR509" i="16"/>
  <c r="AR495" i="16"/>
  <c r="AR468" i="16"/>
  <c r="AR449" i="16"/>
  <c r="AR439" i="16"/>
  <c r="AR537" i="16"/>
  <c r="AR435" i="16"/>
  <c r="AR556" i="16"/>
  <c r="AR499" i="16"/>
  <c r="AR558" i="16"/>
  <c r="AR534" i="16"/>
  <c r="AR516" i="16"/>
  <c r="AR481" i="16"/>
  <c r="AR471" i="16"/>
  <c r="AR513" i="16"/>
  <c r="AR491" i="16"/>
  <c r="AR458" i="16"/>
  <c r="AR455" i="16"/>
  <c r="AR528" i="16"/>
  <c r="AR472" i="16"/>
  <c r="AR543" i="16"/>
  <c r="AR487" i="16"/>
  <c r="AR551" i="16"/>
  <c r="AR451" i="16"/>
  <c r="AR443" i="16"/>
  <c r="AR441" i="16"/>
  <c r="AR436" i="16"/>
  <c r="AR453" i="16"/>
  <c r="AR445" i="16"/>
  <c r="AR510" i="16"/>
  <c r="AR462" i="16"/>
  <c r="AR522" i="16"/>
  <c r="AR504" i="16"/>
  <c r="AR489" i="16"/>
  <c r="AR470" i="16"/>
  <c r="AR460" i="16"/>
  <c r="AR557" i="16"/>
  <c r="AR554" i="16"/>
  <c r="AR496" i="16"/>
  <c r="AR549" i="16"/>
  <c r="AR476" i="16"/>
  <c r="AR486" i="16"/>
  <c r="AR507" i="16"/>
  <c r="AR483" i="16"/>
  <c r="AR492" i="16"/>
  <c r="V359" i="11"/>
  <c r="BA23" i="20"/>
  <c r="BG22" i="20"/>
  <c r="BG23" i="20" s="1"/>
  <c r="BG25" i="20" s="1"/>
  <c r="BP21" i="20" s="1"/>
  <c r="BP25" i="20" s="1"/>
  <c r="CQ8" i="20" s="1"/>
  <c r="BD21" i="20"/>
  <c r="L395" i="12"/>
  <c r="L505" i="12"/>
  <c r="L487" i="12"/>
  <c r="L469" i="12"/>
  <c r="L451" i="12"/>
  <c r="L433" i="12"/>
  <c r="L415" i="12"/>
  <c r="L396" i="12"/>
  <c r="L500" i="12"/>
  <c r="L495" i="12"/>
  <c r="L482" i="12"/>
  <c r="L477" i="12"/>
  <c r="L464" i="12"/>
  <c r="L459" i="12"/>
  <c r="L446" i="12"/>
  <c r="L441" i="12"/>
  <c r="L428" i="12"/>
  <c r="L423" i="12"/>
  <c r="L410" i="12"/>
  <c r="L394" i="12"/>
  <c r="L490" i="12"/>
  <c r="L472" i="12"/>
  <c r="L454" i="12"/>
  <c r="L436" i="12"/>
  <c r="L418" i="12"/>
  <c r="L393" i="12"/>
  <c r="L503" i="12"/>
  <c r="L498" i="12"/>
  <c r="L485" i="12"/>
  <c r="L480" i="12"/>
  <c r="L467" i="12"/>
  <c r="L462" i="12"/>
  <c r="L449" i="12"/>
  <c r="L444" i="12"/>
  <c r="L431" i="12"/>
  <c r="L426" i="12"/>
  <c r="L413" i="12"/>
  <c r="L408" i="12"/>
  <c r="L398" i="12"/>
  <c r="L392" i="12"/>
  <c r="L391" i="12"/>
  <c r="L385" i="12"/>
  <c r="L381" i="12"/>
  <c r="L493" i="12"/>
  <c r="L475" i="12"/>
  <c r="L457" i="12"/>
  <c r="L439" i="12"/>
  <c r="L421" i="12"/>
  <c r="L390" i="12"/>
  <c r="L384" i="12"/>
  <c r="L504" i="12"/>
  <c r="L491" i="12"/>
  <c r="L486" i="12"/>
  <c r="L473" i="12"/>
  <c r="L468" i="12"/>
  <c r="L455" i="12"/>
  <c r="L450" i="12"/>
  <c r="L437" i="12"/>
  <c r="L432" i="12"/>
  <c r="L419" i="12"/>
  <c r="L414" i="12"/>
  <c r="L405" i="12"/>
  <c r="L386" i="12"/>
  <c r="L382" i="12"/>
  <c r="L492" i="12"/>
  <c r="L479" i="12"/>
  <c r="L456" i="12"/>
  <c r="L443" i="12"/>
  <c r="L420" i="12"/>
  <c r="L407" i="12"/>
  <c r="L501" i="12"/>
  <c r="L488" i="12"/>
  <c r="L465" i="12"/>
  <c r="L452" i="12"/>
  <c r="L429" i="12"/>
  <c r="L416" i="12"/>
  <c r="L388" i="12"/>
  <c r="L478" i="12"/>
  <c r="L442" i="12"/>
  <c r="L406" i="12"/>
  <c r="L481" i="12"/>
  <c r="L445" i="12"/>
  <c r="L409" i="12"/>
  <c r="L404" i="12"/>
  <c r="L402" i="12"/>
  <c r="L507" i="12"/>
  <c r="L494" i="12"/>
  <c r="L471" i="12"/>
  <c r="L458" i="12"/>
  <c r="L435" i="12"/>
  <c r="L422" i="12"/>
  <c r="L506" i="12"/>
  <c r="L483" i="12"/>
  <c r="L470" i="12"/>
  <c r="L447" i="12"/>
  <c r="L434" i="12"/>
  <c r="L411" i="12"/>
  <c r="L389" i="12"/>
  <c r="L383" i="12"/>
  <c r="L496" i="12"/>
  <c r="L460" i="12"/>
  <c r="L424" i="12"/>
  <c r="L399" i="12"/>
  <c r="L387" i="12"/>
  <c r="L499" i="12"/>
  <c r="L476" i="12"/>
  <c r="L412" i="12"/>
  <c r="L427" i="12"/>
  <c r="L474" i="12"/>
  <c r="L497" i="12"/>
  <c r="L489" i="12"/>
  <c r="L466" i="12"/>
  <c r="L397" i="12"/>
  <c r="L380" i="12"/>
  <c r="L400" i="12"/>
  <c r="L461" i="12"/>
  <c r="L430" i="12"/>
  <c r="L425" i="12"/>
  <c r="L440" i="12"/>
  <c r="L403" i="12"/>
  <c r="L438" i="12"/>
  <c r="L484" i="12"/>
  <c r="L453" i="12"/>
  <c r="L448" i="12"/>
  <c r="L417" i="12"/>
  <c r="L401" i="12"/>
  <c r="L463" i="12"/>
  <c r="L502" i="12"/>
  <c r="BD13" i="20"/>
  <c r="BA15" i="20"/>
  <c r="BD15" i="20" s="1"/>
  <c r="DA36" i="20"/>
  <c r="DZ36" i="20"/>
  <c r="DL36" i="20"/>
  <c r="T43" i="7"/>
  <c r="S43" i="7"/>
  <c r="N43" i="7" s="1"/>
  <c r="T34" i="7"/>
  <c r="S34" i="7"/>
  <c r="N34" i="7" s="1"/>
  <c r="T15" i="7"/>
  <c r="S15" i="7"/>
  <c r="N15" i="7" s="1"/>
  <c r="T30" i="7"/>
  <c r="S30" i="7"/>
  <c r="N30" i="7" s="1"/>
  <c r="S29" i="7"/>
  <c r="N29" i="7" s="1"/>
  <c r="T29" i="7"/>
  <c r="R140" i="20"/>
  <c r="U140" i="20" s="1"/>
  <c r="U138" i="20"/>
  <c r="BN4" i="22"/>
  <c r="BN11" i="22"/>
  <c r="EQ36" i="20"/>
  <c r="U88" i="20"/>
  <c r="R90" i="20"/>
  <c r="U90" i="20" s="1"/>
  <c r="N548" i="16"/>
  <c r="N546" i="16"/>
  <c r="N529" i="16"/>
  <c r="N512" i="16"/>
  <c r="N510" i="16"/>
  <c r="N561" i="16"/>
  <c r="N559" i="16"/>
  <c r="N542" i="16"/>
  <c r="N540" i="16"/>
  <c r="N523" i="16"/>
  <c r="N506" i="16"/>
  <c r="N503" i="16"/>
  <c r="N500" i="16"/>
  <c r="N497" i="16"/>
  <c r="N494" i="16"/>
  <c r="N557" i="16"/>
  <c r="N555" i="16"/>
  <c r="N538" i="16"/>
  <c r="N521" i="16"/>
  <c r="N519" i="16"/>
  <c r="N545" i="16"/>
  <c r="N518" i="16"/>
  <c r="N517" i="16"/>
  <c r="N505" i="16"/>
  <c r="N493" i="16"/>
  <c r="N485" i="16"/>
  <c r="N467" i="16"/>
  <c r="N465" i="16"/>
  <c r="N448" i="16"/>
  <c r="N531" i="16"/>
  <c r="N524" i="16"/>
  <c r="N490" i="16"/>
  <c r="N477" i="16"/>
  <c r="N463" i="16"/>
  <c r="N446" i="16"/>
  <c r="N444" i="16"/>
  <c r="N544" i="16"/>
  <c r="N537" i="16"/>
  <c r="N530" i="16"/>
  <c r="N504" i="16"/>
  <c r="N482" i="16"/>
  <c r="N461" i="16"/>
  <c r="N459" i="16"/>
  <c r="N442" i="16"/>
  <c r="N562" i="16"/>
  <c r="N543" i="16"/>
  <c r="N536" i="16"/>
  <c r="N516" i="16"/>
  <c r="N509" i="16"/>
  <c r="N496" i="16"/>
  <c r="N492" i="16"/>
  <c r="N487" i="16"/>
  <c r="N474" i="16"/>
  <c r="N457" i="16"/>
  <c r="N440" i="16"/>
  <c r="N438" i="16"/>
  <c r="N560" i="16"/>
  <c r="N558" i="16"/>
  <c r="N553" i="16"/>
  <c r="N522" i="16"/>
  <c r="N515" i="16"/>
  <c r="N479" i="16"/>
  <c r="N472" i="16"/>
  <c r="N455" i="16"/>
  <c r="N453" i="16"/>
  <c r="N436" i="16"/>
  <c r="N513" i="16"/>
  <c r="N507" i="16"/>
  <c r="N451" i="16"/>
  <c r="N441" i="16"/>
  <c r="N554" i="16"/>
  <c r="N470" i="16"/>
  <c r="N460" i="16"/>
  <c r="N450" i="16"/>
  <c r="N525" i="16"/>
  <c r="N469" i="16"/>
  <c r="N552" i="16"/>
  <c r="N462" i="16"/>
  <c r="N443" i="16"/>
  <c r="N547" i="16"/>
  <c r="N541" i="16"/>
  <c r="N535" i="16"/>
  <c r="N508" i="16"/>
  <c r="N489" i="16"/>
  <c r="N488" i="16"/>
  <c r="N483" i="16"/>
  <c r="N471" i="16"/>
  <c r="N452" i="16"/>
  <c r="N533" i="16"/>
  <c r="N495" i="16"/>
  <c r="N484" i="16"/>
  <c r="N476" i="16"/>
  <c r="N468" i="16"/>
  <c r="N466" i="16"/>
  <c r="N464" i="16"/>
  <c r="N435" i="16"/>
  <c r="N532" i="16"/>
  <c r="N514" i="16"/>
  <c r="N502" i="16"/>
  <c r="N480" i="16"/>
  <c r="N439" i="16"/>
  <c r="N437" i="16"/>
  <c r="N556" i="16"/>
  <c r="N550" i="16"/>
  <c r="N527" i="16"/>
  <c r="N486" i="16"/>
  <c r="N456" i="16"/>
  <c r="N454" i="16"/>
  <c r="N447" i="16"/>
  <c r="N458" i="16"/>
  <c r="N498" i="16"/>
  <c r="N481" i="16"/>
  <c r="N511" i="16"/>
  <c r="N534" i="16"/>
  <c r="N528" i="16"/>
  <c r="N445" i="16"/>
  <c r="N551" i="16"/>
  <c r="N475" i="16"/>
  <c r="N449" i="16"/>
  <c r="N520" i="16"/>
  <c r="N473" i="16"/>
  <c r="N526" i="16"/>
  <c r="N501" i="16"/>
  <c r="N491" i="16"/>
  <c r="N478" i="16"/>
  <c r="N539" i="16"/>
  <c r="N499" i="16"/>
  <c r="N549" i="16"/>
  <c r="CU24" i="20"/>
  <c r="CT24" i="20"/>
  <c r="DG36" i="20"/>
  <c r="EF36" i="20"/>
  <c r="BG77" i="20"/>
  <c r="BG78" i="20" s="1"/>
  <c r="BG80" i="20" s="1"/>
  <c r="BP76" i="20" s="1"/>
  <c r="BP80" i="20" s="1"/>
  <c r="CQ19" i="20" s="1"/>
  <c r="BD76" i="20"/>
  <c r="BA78" i="20"/>
  <c r="DX36" i="20"/>
  <c r="R50" i="20"/>
  <c r="U50" i="20" s="1"/>
  <c r="U48" i="20"/>
  <c r="DB36" i="20"/>
  <c r="C92" i="27"/>
  <c r="C94" i="27"/>
  <c r="I390" i="12"/>
  <c r="I382" i="12"/>
  <c r="I507" i="12"/>
  <c r="I489" i="12"/>
  <c r="I471" i="12"/>
  <c r="I453" i="12"/>
  <c r="I435" i="12"/>
  <c r="I417" i="12"/>
  <c r="I401" i="12"/>
  <c r="I502" i="12"/>
  <c r="I497" i="12"/>
  <c r="I484" i="12"/>
  <c r="I479" i="12"/>
  <c r="I466" i="12"/>
  <c r="I461" i="12"/>
  <c r="I448" i="12"/>
  <c r="I443" i="12"/>
  <c r="I430" i="12"/>
  <c r="I425" i="12"/>
  <c r="I412" i="12"/>
  <c r="I407" i="12"/>
  <c r="I400" i="12"/>
  <c r="I380" i="12"/>
  <c r="I492" i="12"/>
  <c r="I474" i="12"/>
  <c r="I456" i="12"/>
  <c r="I438" i="12"/>
  <c r="I420" i="12"/>
  <c r="I397" i="12"/>
  <c r="I396" i="12"/>
  <c r="I505" i="12"/>
  <c r="I500" i="12"/>
  <c r="I487" i="12"/>
  <c r="I482" i="12"/>
  <c r="I469" i="12"/>
  <c r="I464" i="12"/>
  <c r="I451" i="12"/>
  <c r="I446" i="12"/>
  <c r="I433" i="12"/>
  <c r="I428" i="12"/>
  <c r="I415" i="12"/>
  <c r="I410" i="12"/>
  <c r="I395" i="12"/>
  <c r="I495" i="12"/>
  <c r="I477" i="12"/>
  <c r="I459" i="12"/>
  <c r="I441" i="12"/>
  <c r="I423" i="12"/>
  <c r="I394" i="12"/>
  <c r="I506" i="12"/>
  <c r="I493" i="12"/>
  <c r="I488" i="12"/>
  <c r="I475" i="12"/>
  <c r="I470" i="12"/>
  <c r="I457" i="12"/>
  <c r="I452" i="12"/>
  <c r="I439" i="12"/>
  <c r="I434" i="12"/>
  <c r="I421" i="12"/>
  <c r="I416" i="12"/>
  <c r="I389" i="12"/>
  <c r="I384" i="12"/>
  <c r="I499" i="12"/>
  <c r="I476" i="12"/>
  <c r="I463" i="12"/>
  <c r="I440" i="12"/>
  <c r="I427" i="12"/>
  <c r="I485" i="12"/>
  <c r="I472" i="12"/>
  <c r="I449" i="12"/>
  <c r="I436" i="12"/>
  <c r="I413" i="12"/>
  <c r="I398" i="12"/>
  <c r="I498" i="12"/>
  <c r="I462" i="12"/>
  <c r="I426" i="12"/>
  <c r="I392" i="12"/>
  <c r="I501" i="12"/>
  <c r="I465" i="12"/>
  <c r="I429" i="12"/>
  <c r="I388" i="12"/>
  <c r="I491" i="12"/>
  <c r="I478" i="12"/>
  <c r="I455" i="12"/>
  <c r="I442" i="12"/>
  <c r="I419" i="12"/>
  <c r="I406" i="12"/>
  <c r="I503" i="12"/>
  <c r="I490" i="12"/>
  <c r="I467" i="12"/>
  <c r="I454" i="12"/>
  <c r="I431" i="12"/>
  <c r="I418" i="12"/>
  <c r="I393" i="12"/>
  <c r="I480" i="12"/>
  <c r="I444" i="12"/>
  <c r="I408" i="12"/>
  <c r="I391" i="12"/>
  <c r="I385" i="12"/>
  <c r="I381" i="12"/>
  <c r="I468" i="12"/>
  <c r="I445" i="12"/>
  <c r="I437" i="12"/>
  <c r="I414" i="12"/>
  <c r="I483" i="12"/>
  <c r="I460" i="12"/>
  <c r="I403" i="12"/>
  <c r="I386" i="12"/>
  <c r="I399" i="12"/>
  <c r="I411" i="12"/>
  <c r="I458" i="12"/>
  <c r="I402" i="12"/>
  <c r="I504" i="12"/>
  <c r="I481" i="12"/>
  <c r="I473" i="12"/>
  <c r="I450" i="12"/>
  <c r="I405" i="12"/>
  <c r="I494" i="12"/>
  <c r="I404" i="12"/>
  <c r="I383" i="12"/>
  <c r="I409" i="12"/>
  <c r="I486" i="12"/>
  <c r="I422" i="12"/>
  <c r="I496" i="12"/>
  <c r="I387" i="12"/>
  <c r="I424" i="12"/>
  <c r="I447" i="12"/>
  <c r="I432" i="12"/>
  <c r="EA36" i="20"/>
  <c r="BA148" i="20"/>
  <c r="BD146" i="20"/>
  <c r="BG147" i="20"/>
  <c r="BG148" i="20" s="1"/>
  <c r="BG150" i="20" s="1"/>
  <c r="BP146" i="20" s="1"/>
  <c r="BP150" i="20" s="1"/>
  <c r="CQ33" i="20" s="1"/>
  <c r="EL36" i="20"/>
  <c r="T46" i="7"/>
  <c r="S46" i="7"/>
  <c r="N46" i="7" s="1"/>
  <c r="T64" i="7"/>
  <c r="S64" i="7"/>
  <c r="N64" i="7" s="1"/>
  <c r="T48" i="7"/>
  <c r="S48" i="7"/>
  <c r="N48" i="7" s="1"/>
  <c r="T42" i="7"/>
  <c r="S42" i="7"/>
  <c r="N42" i="7" s="1"/>
  <c r="T24" i="7"/>
  <c r="S24" i="7"/>
  <c r="N24" i="7" s="1"/>
  <c r="S41" i="7"/>
  <c r="N41" i="7" s="1"/>
  <c r="T41" i="7"/>
  <c r="H359" i="11"/>
  <c r="U111" i="20"/>
  <c r="X112" i="20"/>
  <c r="X113" i="20" s="1"/>
  <c r="X115" i="20" s="1"/>
  <c r="AG111" i="20" s="1"/>
  <c r="AG115" i="20" s="1"/>
  <c r="CN26" i="20" s="1"/>
  <c r="R113" i="20"/>
  <c r="AF547" i="16"/>
  <c r="AF545" i="16"/>
  <c r="AF528" i="16"/>
  <c r="AF511" i="16"/>
  <c r="AF509" i="16"/>
  <c r="AF562" i="16"/>
  <c r="AF560" i="16"/>
  <c r="AF558" i="16"/>
  <c r="AF541" i="16"/>
  <c r="AF539" i="16"/>
  <c r="AF522" i="16"/>
  <c r="AF556" i="16"/>
  <c r="AF554" i="16"/>
  <c r="AF537" i="16"/>
  <c r="AF520" i="16"/>
  <c r="AF518" i="16"/>
  <c r="AF505" i="16"/>
  <c r="AF502" i="16"/>
  <c r="AF499" i="16"/>
  <c r="AF496" i="16"/>
  <c r="AF493" i="16"/>
  <c r="AF490" i="16"/>
  <c r="AF487" i="16"/>
  <c r="AF484" i="16"/>
  <c r="AF481" i="16"/>
  <c r="AF478" i="16"/>
  <c r="AF475" i="16"/>
  <c r="AF472" i="16"/>
  <c r="AF469" i="16"/>
  <c r="AF466" i="16"/>
  <c r="AF463" i="16"/>
  <c r="AF460" i="16"/>
  <c r="AF457" i="16"/>
  <c r="AF454" i="16"/>
  <c r="AF451" i="16"/>
  <c r="AF448" i="16"/>
  <c r="AF445" i="16"/>
  <c r="AF442" i="16"/>
  <c r="AF439" i="16"/>
  <c r="AF436" i="16"/>
  <c r="AF559" i="16"/>
  <c r="AF557" i="16"/>
  <c r="AF552" i="16"/>
  <c r="AF542" i="16"/>
  <c r="AF535" i="16"/>
  <c r="AF515" i="16"/>
  <c r="AF508" i="16"/>
  <c r="AF503" i="16"/>
  <c r="AF489" i="16"/>
  <c r="AF476" i="16"/>
  <c r="AF464" i="16"/>
  <c r="AF447" i="16"/>
  <c r="AF555" i="16"/>
  <c r="AF550" i="16"/>
  <c r="AF548" i="16"/>
  <c r="AF521" i="16"/>
  <c r="AF514" i="16"/>
  <c r="AF495" i="16"/>
  <c r="AF462" i="16"/>
  <c r="AF443" i="16"/>
  <c r="AF553" i="16"/>
  <c r="AF551" i="16"/>
  <c r="AF527" i="16"/>
  <c r="AF507" i="16"/>
  <c r="AF491" i="16"/>
  <c r="AF486" i="16"/>
  <c r="AF458" i="16"/>
  <c r="AF441" i="16"/>
  <c r="AF549" i="16"/>
  <c r="AF534" i="16"/>
  <c r="AF533" i="16"/>
  <c r="AF506" i="16"/>
  <c r="AF494" i="16"/>
  <c r="AF473" i="16"/>
  <c r="AF456" i="16"/>
  <c r="AF437" i="16"/>
  <c r="AF540" i="16"/>
  <c r="AF513" i="16"/>
  <c r="AF512" i="16"/>
  <c r="AF498" i="16"/>
  <c r="AF488" i="16"/>
  <c r="AF483" i="16"/>
  <c r="AF471" i="16"/>
  <c r="AF452" i="16"/>
  <c r="AF435" i="16"/>
  <c r="AF497" i="16"/>
  <c r="AF444" i="16"/>
  <c r="AF526" i="16"/>
  <c r="AF504" i="16"/>
  <c r="AF453" i="16"/>
  <c r="AF544" i="16"/>
  <c r="AF538" i="16"/>
  <c r="AF532" i="16"/>
  <c r="AF501" i="16"/>
  <c r="AF446" i="16"/>
  <c r="AF529" i="16"/>
  <c r="AF523" i="16"/>
  <c r="AF517" i="16"/>
  <c r="AF465" i="16"/>
  <c r="AF455" i="16"/>
  <c r="AF485" i="16"/>
  <c r="AF479" i="16"/>
  <c r="AF543" i="16"/>
  <c r="AF482" i="16"/>
  <c r="AF450" i="16"/>
  <c r="AF524" i="16"/>
  <c r="AF519" i="16"/>
  <c r="AF467" i="16"/>
  <c r="AF561" i="16"/>
  <c r="AF525" i="16"/>
  <c r="AF461" i="16"/>
  <c r="AF536" i="16"/>
  <c r="AF470" i="16"/>
  <c r="AF440" i="16"/>
  <c r="AF516" i="16"/>
  <c r="AF449" i="16"/>
  <c r="AF480" i="16"/>
  <c r="AF500" i="16"/>
  <c r="AF546" i="16"/>
  <c r="AF530" i="16"/>
  <c r="AF468" i="16"/>
  <c r="AF510" i="16"/>
  <c r="AF459" i="16"/>
  <c r="AF438" i="16"/>
  <c r="AF477" i="16"/>
  <c r="AF474" i="16"/>
  <c r="AF492" i="16"/>
  <c r="AF531" i="16"/>
  <c r="CU31" i="20"/>
  <c r="CT31" i="20"/>
  <c r="BQ4" i="22"/>
  <c r="BQ11" i="22"/>
  <c r="ER36" i="20"/>
  <c r="Y7" i="25"/>
  <c r="Y7" i="24"/>
  <c r="Y7" i="23"/>
  <c r="DY36" i="20"/>
  <c r="BA63" i="20"/>
  <c r="BD61" i="20"/>
  <c r="BG62" i="20"/>
  <c r="BG63" i="20" s="1"/>
  <c r="BG65" i="20" s="1"/>
  <c r="BP61" i="20" s="1"/>
  <c r="BP65" i="20" s="1"/>
  <c r="CQ16" i="20" s="1"/>
  <c r="EI36" i="20"/>
  <c r="R110" i="20"/>
  <c r="U110" i="20" s="1"/>
  <c r="U108" i="20"/>
  <c r="EK36" i="20"/>
  <c r="BA48" i="20"/>
  <c r="BD46" i="20"/>
  <c r="BG47" i="20"/>
  <c r="BG48" i="20" s="1"/>
  <c r="BG50" i="20" s="1"/>
  <c r="BP46" i="20" s="1"/>
  <c r="BP50" i="20" s="1"/>
  <c r="CQ13" i="20" s="1"/>
  <c r="H405" i="12"/>
  <c r="AR199" i="7" s="1"/>
  <c r="H397" i="12"/>
  <c r="AR191" i="7" s="1"/>
  <c r="H499" i="12"/>
  <c r="AR293" i="7" s="1"/>
  <c r="H494" i="12"/>
  <c r="AR288" i="7" s="1"/>
  <c r="H481" i="12"/>
  <c r="AR275" i="7" s="1"/>
  <c r="H476" i="12"/>
  <c r="AR270" i="7" s="1"/>
  <c r="H463" i="12"/>
  <c r="AR257" i="7" s="1"/>
  <c r="H458" i="12"/>
  <c r="AR252" i="7" s="1"/>
  <c r="H445" i="12"/>
  <c r="AR239" i="7" s="1"/>
  <c r="H440" i="12"/>
  <c r="AR234" i="7" s="1"/>
  <c r="H427" i="12"/>
  <c r="AR221" i="7" s="1"/>
  <c r="H422" i="12"/>
  <c r="AR216" i="7" s="1"/>
  <c r="H409" i="12"/>
  <c r="AR203" i="7" s="1"/>
  <c r="H402" i="12"/>
  <c r="AR196" i="7" s="1"/>
  <c r="H507" i="12"/>
  <c r="AR301" i="7" s="1"/>
  <c r="H489" i="12"/>
  <c r="AR283" i="7" s="1"/>
  <c r="H471" i="12"/>
  <c r="AR265" i="7" s="1"/>
  <c r="H453" i="12"/>
  <c r="AR247" i="7" s="1"/>
  <c r="H435" i="12"/>
  <c r="AR229" i="7" s="1"/>
  <c r="H417" i="12"/>
  <c r="AR211" i="7" s="1"/>
  <c r="H401" i="12"/>
  <c r="AR195" i="7" s="1"/>
  <c r="H502" i="12"/>
  <c r="AR296" i="7" s="1"/>
  <c r="H497" i="12"/>
  <c r="AR291" i="7" s="1"/>
  <c r="H484" i="12"/>
  <c r="AR278" i="7" s="1"/>
  <c r="H479" i="12"/>
  <c r="AR273" i="7" s="1"/>
  <c r="H466" i="12"/>
  <c r="AR260" i="7" s="1"/>
  <c r="H461" i="12"/>
  <c r="AR255" i="7" s="1"/>
  <c r="H448" i="12"/>
  <c r="AR242" i="7" s="1"/>
  <c r="H443" i="12"/>
  <c r="AR237" i="7" s="1"/>
  <c r="H430" i="12"/>
  <c r="AR224" i="7" s="1"/>
  <c r="H425" i="12"/>
  <c r="AR219" i="7" s="1"/>
  <c r="H412" i="12"/>
  <c r="AR206" i="7" s="1"/>
  <c r="H407" i="12"/>
  <c r="AR201" i="7" s="1"/>
  <c r="H400" i="12"/>
  <c r="AR194" i="7" s="1"/>
  <c r="H380" i="12"/>
  <c r="AR174" i="7" s="1"/>
  <c r="H492" i="12"/>
  <c r="AR286" i="7" s="1"/>
  <c r="H474" i="12"/>
  <c r="AR268" i="7" s="1"/>
  <c r="H456" i="12"/>
  <c r="AR250" i="7" s="1"/>
  <c r="H438" i="12"/>
  <c r="AR232" i="7" s="1"/>
  <c r="H420" i="12"/>
  <c r="AR214" i="7" s="1"/>
  <c r="H396" i="12"/>
  <c r="AR190" i="7" s="1"/>
  <c r="H505" i="12"/>
  <c r="AR299" i="7" s="1"/>
  <c r="H500" i="12"/>
  <c r="AR294" i="7" s="1"/>
  <c r="H487" i="12"/>
  <c r="AR281" i="7" s="1"/>
  <c r="H482" i="12"/>
  <c r="AR276" i="7" s="1"/>
  <c r="H469" i="12"/>
  <c r="AR263" i="7" s="1"/>
  <c r="H464" i="12"/>
  <c r="AR258" i="7" s="1"/>
  <c r="H451" i="12"/>
  <c r="AR245" i="7" s="1"/>
  <c r="H446" i="12"/>
  <c r="AR240" i="7" s="1"/>
  <c r="H433" i="12"/>
  <c r="AR227" i="7" s="1"/>
  <c r="H428" i="12"/>
  <c r="AR222" i="7" s="1"/>
  <c r="H415" i="12"/>
  <c r="AR209" i="7" s="1"/>
  <c r="H410" i="12"/>
  <c r="AR204" i="7" s="1"/>
  <c r="H395" i="12"/>
  <c r="AR189" i="7" s="1"/>
  <c r="H498" i="12"/>
  <c r="AR292" i="7" s="1"/>
  <c r="H480" i="12"/>
  <c r="AR274" i="7" s="1"/>
  <c r="H462" i="12"/>
  <c r="AR256" i="7" s="1"/>
  <c r="H444" i="12"/>
  <c r="AR238" i="7" s="1"/>
  <c r="H426" i="12"/>
  <c r="AR220" i="7" s="1"/>
  <c r="H408" i="12"/>
  <c r="AR202" i="7" s="1"/>
  <c r="H392" i="12"/>
  <c r="AR186" i="7" s="1"/>
  <c r="H391" i="12"/>
  <c r="AR185" i="7" s="1"/>
  <c r="H390" i="12"/>
  <c r="AR184" i="7" s="1"/>
  <c r="H385" i="12"/>
  <c r="AR179" i="7" s="1"/>
  <c r="H381" i="12"/>
  <c r="AR175" i="7" s="1"/>
  <c r="H486" i="12"/>
  <c r="AR280" i="7" s="1"/>
  <c r="H450" i="12"/>
  <c r="AR244" i="7" s="1"/>
  <c r="H414" i="12"/>
  <c r="AR208" i="7" s="1"/>
  <c r="H403" i="12"/>
  <c r="AR197" i="7" s="1"/>
  <c r="H495" i="12"/>
  <c r="AR289" i="7" s="1"/>
  <c r="H459" i="12"/>
  <c r="AR253" i="7" s="1"/>
  <c r="H423" i="12"/>
  <c r="AR217" i="7" s="1"/>
  <c r="H394" i="12"/>
  <c r="AR188" i="7" s="1"/>
  <c r="H485" i="12"/>
  <c r="AR279" i="7" s="1"/>
  <c r="H472" i="12"/>
  <c r="AR266" i="7" s="1"/>
  <c r="H449" i="12"/>
  <c r="AR243" i="7" s="1"/>
  <c r="H436" i="12"/>
  <c r="AR230" i="7" s="1"/>
  <c r="H413" i="12"/>
  <c r="AR207" i="7" s="1"/>
  <c r="H398" i="12"/>
  <c r="AR192" i="7" s="1"/>
  <c r="H488" i="12"/>
  <c r="AR282" i="7" s="1"/>
  <c r="H475" i="12"/>
  <c r="AR269" i="7" s="1"/>
  <c r="H452" i="12"/>
  <c r="AR246" i="7" s="1"/>
  <c r="H439" i="12"/>
  <c r="AR233" i="7" s="1"/>
  <c r="H416" i="12"/>
  <c r="AR210" i="7" s="1"/>
  <c r="H384" i="12"/>
  <c r="AR178" i="7" s="1"/>
  <c r="H501" i="12"/>
  <c r="AR295" i="7" s="1"/>
  <c r="H465" i="12"/>
  <c r="AR259" i="7" s="1"/>
  <c r="H429" i="12"/>
  <c r="AR223" i="7" s="1"/>
  <c r="H388" i="12"/>
  <c r="AR182" i="7" s="1"/>
  <c r="H477" i="12"/>
  <c r="AR271" i="7" s="1"/>
  <c r="H441" i="12"/>
  <c r="AR235" i="7" s="1"/>
  <c r="H503" i="12"/>
  <c r="AR297" i="7" s="1"/>
  <c r="H490" i="12"/>
  <c r="AR284" i="7" s="1"/>
  <c r="H467" i="12"/>
  <c r="AR261" i="7" s="1"/>
  <c r="H454" i="12"/>
  <c r="AR248" i="7" s="1"/>
  <c r="H431" i="12"/>
  <c r="AR225" i="7" s="1"/>
  <c r="H418" i="12"/>
  <c r="AR212" i="7" s="1"/>
  <c r="H393" i="12"/>
  <c r="AR187" i="7" s="1"/>
  <c r="H421" i="12"/>
  <c r="AR215" i="7" s="1"/>
  <c r="H491" i="12"/>
  <c r="AR285" i="7" s="1"/>
  <c r="H468" i="12"/>
  <c r="AR262" i="7" s="1"/>
  <c r="H437" i="12"/>
  <c r="AR231" i="7" s="1"/>
  <c r="H382" i="12"/>
  <c r="AR176" i="7" s="1"/>
  <c r="H506" i="12"/>
  <c r="AR300" i="7" s="1"/>
  <c r="H483" i="12"/>
  <c r="AR277" i="7" s="1"/>
  <c r="H460" i="12"/>
  <c r="AR254" i="7" s="1"/>
  <c r="H386" i="12"/>
  <c r="AR180" i="7" s="1"/>
  <c r="H419" i="12"/>
  <c r="AR213" i="7" s="1"/>
  <c r="H399" i="12"/>
  <c r="AR193" i="7" s="1"/>
  <c r="H389" i="12"/>
  <c r="AR183" i="7" s="1"/>
  <c r="H442" i="12"/>
  <c r="AR236" i="7" s="1"/>
  <c r="H434" i="12"/>
  <c r="AR228" i="7" s="1"/>
  <c r="H411" i="12"/>
  <c r="AR205" i="7" s="1"/>
  <c r="H457" i="12"/>
  <c r="AR251" i="7" s="1"/>
  <c r="H478" i="12"/>
  <c r="AR272" i="7" s="1"/>
  <c r="H447" i="12"/>
  <c r="AR241" i="7" s="1"/>
  <c r="H493" i="12"/>
  <c r="AR287" i="7" s="1"/>
  <c r="H404" i="12"/>
  <c r="AR198" i="7" s="1"/>
  <c r="H504" i="12"/>
  <c r="AR298" i="7" s="1"/>
  <c r="H473" i="12"/>
  <c r="AR267" i="7" s="1"/>
  <c r="H383" i="12"/>
  <c r="AR177" i="7" s="1"/>
  <c r="H406" i="12"/>
  <c r="AR200" i="7" s="1"/>
  <c r="H432" i="12"/>
  <c r="AR226" i="7" s="1"/>
  <c r="H470" i="12"/>
  <c r="AR264" i="7" s="1"/>
  <c r="H424" i="12"/>
  <c r="AR218" i="7" s="1"/>
  <c r="H455" i="12"/>
  <c r="AR249" i="7" s="1"/>
  <c r="H496" i="12"/>
  <c r="AR290" i="7" s="1"/>
  <c r="H387" i="12"/>
  <c r="AR181" i="7" s="1"/>
  <c r="U78" i="20"/>
  <c r="R80" i="20"/>
  <c r="U80" i="20" s="1"/>
  <c r="BG107" i="20"/>
  <c r="BG108" i="20" s="1"/>
  <c r="BG110" i="20" s="1"/>
  <c r="BP106" i="20" s="1"/>
  <c r="BP110" i="20" s="1"/>
  <c r="CQ25" i="20" s="1"/>
  <c r="BA108" i="20"/>
  <c r="BD106" i="20"/>
  <c r="CU25" i="20"/>
  <c r="CT25" i="20"/>
  <c r="BG32" i="20"/>
  <c r="BG33" i="20" s="1"/>
  <c r="BG35" i="20" s="1"/>
  <c r="BP31" i="20" s="1"/>
  <c r="BP35" i="20" s="1"/>
  <c r="CQ10" i="20" s="1"/>
  <c r="CU28" i="20"/>
  <c r="CT28" i="20"/>
  <c r="Y359" i="11"/>
  <c r="DU36" i="20"/>
  <c r="R38" i="20"/>
  <c r="X72" i="20"/>
  <c r="X73" i="20" s="1"/>
  <c r="X75" i="20" s="1"/>
  <c r="AG71" i="20" s="1"/>
  <c r="AG75" i="20" s="1"/>
  <c r="CN18" i="20" s="1"/>
  <c r="U71" i="20"/>
  <c r="R73" i="20"/>
  <c r="DE36" i="20"/>
  <c r="R93" i="20"/>
  <c r="X92" i="20"/>
  <c r="X93" i="20" s="1"/>
  <c r="X95" i="20" s="1"/>
  <c r="AG91" i="20" s="1"/>
  <c r="AG95" i="20" s="1"/>
  <c r="CN22" i="20" s="1"/>
  <c r="U91" i="20"/>
  <c r="BG122" i="20"/>
  <c r="BG123" i="20" s="1"/>
  <c r="BG125" i="20" s="1"/>
  <c r="BP121" i="20" s="1"/>
  <c r="BP125" i="20" s="1"/>
  <c r="CQ28" i="20" s="1"/>
  <c r="BD121" i="20"/>
  <c r="BA123" i="20"/>
  <c r="R53" i="20"/>
  <c r="X52" i="20"/>
  <c r="X53" i="20" s="1"/>
  <c r="X55" i="20" s="1"/>
  <c r="AG51" i="20" s="1"/>
  <c r="AG55" i="20" s="1"/>
  <c r="CN14" i="20" s="1"/>
  <c r="U51" i="20"/>
  <c r="C57" i="27"/>
  <c r="C61" i="27"/>
  <c r="U126" i="20"/>
  <c r="R128" i="20"/>
  <c r="X127" i="20"/>
  <c r="X128" i="20" s="1"/>
  <c r="X130" i="20" s="1"/>
  <c r="AG126" i="20" s="1"/>
  <c r="AG130" i="20" s="1"/>
  <c r="CN29" i="20" s="1"/>
  <c r="G391" i="12"/>
  <c r="AJ185" i="7" s="1"/>
  <c r="G504" i="12"/>
  <c r="AJ298" i="7" s="1"/>
  <c r="G486" i="12"/>
  <c r="AJ280" i="7" s="1"/>
  <c r="G468" i="12"/>
  <c r="AJ262" i="7" s="1"/>
  <c r="G450" i="12"/>
  <c r="AJ244" i="7" s="1"/>
  <c r="G432" i="12"/>
  <c r="AJ226" i="7" s="1"/>
  <c r="G414" i="12"/>
  <c r="AJ208" i="7" s="1"/>
  <c r="G404" i="12"/>
  <c r="AJ198" i="7" s="1"/>
  <c r="G403" i="12"/>
  <c r="AJ197" i="7" s="1"/>
  <c r="G386" i="12"/>
  <c r="AJ180" i="7" s="1"/>
  <c r="G499" i="12"/>
  <c r="AJ293" i="7" s="1"/>
  <c r="G494" i="12"/>
  <c r="AJ288" i="7" s="1"/>
  <c r="G481" i="12"/>
  <c r="AJ275" i="7" s="1"/>
  <c r="G476" i="12"/>
  <c r="AJ270" i="7" s="1"/>
  <c r="G463" i="12"/>
  <c r="AJ257" i="7" s="1"/>
  <c r="G458" i="12"/>
  <c r="AJ252" i="7" s="1"/>
  <c r="G445" i="12"/>
  <c r="AJ239" i="7" s="1"/>
  <c r="G440" i="12"/>
  <c r="AJ234" i="7" s="1"/>
  <c r="G427" i="12"/>
  <c r="AJ221" i="7" s="1"/>
  <c r="G422" i="12"/>
  <c r="AJ216" i="7" s="1"/>
  <c r="G409" i="12"/>
  <c r="AJ203" i="7" s="1"/>
  <c r="G402" i="12"/>
  <c r="AJ196" i="7" s="1"/>
  <c r="G507" i="12"/>
  <c r="AJ301" i="7" s="1"/>
  <c r="G489" i="12"/>
  <c r="AJ283" i="7" s="1"/>
  <c r="G471" i="12"/>
  <c r="AJ265" i="7" s="1"/>
  <c r="G453" i="12"/>
  <c r="AJ247" i="7" s="1"/>
  <c r="G435" i="12"/>
  <c r="AJ229" i="7" s="1"/>
  <c r="G417" i="12"/>
  <c r="AJ211" i="7" s="1"/>
  <c r="G401" i="12"/>
  <c r="AJ195" i="7" s="1"/>
  <c r="G502" i="12"/>
  <c r="AJ296" i="7" s="1"/>
  <c r="G497" i="12"/>
  <c r="AJ291" i="7" s="1"/>
  <c r="G484" i="12"/>
  <c r="AJ278" i="7" s="1"/>
  <c r="G479" i="12"/>
  <c r="AJ273" i="7" s="1"/>
  <c r="G466" i="12"/>
  <c r="AJ260" i="7" s="1"/>
  <c r="G461" i="12"/>
  <c r="AJ255" i="7" s="1"/>
  <c r="G448" i="12"/>
  <c r="AJ242" i="7" s="1"/>
  <c r="G443" i="12"/>
  <c r="AJ237" i="7" s="1"/>
  <c r="G430" i="12"/>
  <c r="AJ224" i="7" s="1"/>
  <c r="G425" i="12"/>
  <c r="AJ219" i="7" s="1"/>
  <c r="G412" i="12"/>
  <c r="AJ206" i="7" s="1"/>
  <c r="G407" i="12"/>
  <c r="AJ201" i="7" s="1"/>
  <c r="G400" i="12"/>
  <c r="AJ194" i="7" s="1"/>
  <c r="G397" i="12"/>
  <c r="AJ191" i="7" s="1"/>
  <c r="G380" i="12"/>
  <c r="AJ174" i="7" s="1"/>
  <c r="G492" i="12"/>
  <c r="AJ286" i="7" s="1"/>
  <c r="G474" i="12"/>
  <c r="AJ268" i="7" s="1"/>
  <c r="G456" i="12"/>
  <c r="AJ250" i="7" s="1"/>
  <c r="G438" i="12"/>
  <c r="AJ232" i="7" s="1"/>
  <c r="G420" i="12"/>
  <c r="AJ214" i="7" s="1"/>
  <c r="G396" i="12"/>
  <c r="AJ190" i="7" s="1"/>
  <c r="G503" i="12"/>
  <c r="AJ297" i="7" s="1"/>
  <c r="G490" i="12"/>
  <c r="AJ284" i="7" s="1"/>
  <c r="G485" i="12"/>
  <c r="AJ279" i="7" s="1"/>
  <c r="G472" i="12"/>
  <c r="AJ266" i="7" s="1"/>
  <c r="G467" i="12"/>
  <c r="AJ261" i="7" s="1"/>
  <c r="G454" i="12"/>
  <c r="AJ248" i="7" s="1"/>
  <c r="G449" i="12"/>
  <c r="AJ243" i="7" s="1"/>
  <c r="G436" i="12"/>
  <c r="AJ230" i="7" s="1"/>
  <c r="G431" i="12"/>
  <c r="AJ225" i="7" s="1"/>
  <c r="G418" i="12"/>
  <c r="AJ212" i="7" s="1"/>
  <c r="G413" i="12"/>
  <c r="AJ207" i="7" s="1"/>
  <c r="G398" i="12"/>
  <c r="AJ192" i="7" s="1"/>
  <c r="G393" i="12"/>
  <c r="AJ187" i="7" s="1"/>
  <c r="G496" i="12"/>
  <c r="AJ290" i="7" s="1"/>
  <c r="G473" i="12"/>
  <c r="AJ267" i="7" s="1"/>
  <c r="G460" i="12"/>
  <c r="AJ254" i="7" s="1"/>
  <c r="G437" i="12"/>
  <c r="AJ231" i="7" s="1"/>
  <c r="G424" i="12"/>
  <c r="AJ218" i="7" s="1"/>
  <c r="G405" i="12"/>
  <c r="AJ199" i="7" s="1"/>
  <c r="G399" i="12"/>
  <c r="AJ193" i="7" s="1"/>
  <c r="G387" i="12"/>
  <c r="AJ181" i="7" s="1"/>
  <c r="G505" i="12"/>
  <c r="AJ299" i="7" s="1"/>
  <c r="G482" i="12"/>
  <c r="AJ276" i="7" s="1"/>
  <c r="G469" i="12"/>
  <c r="AJ263" i="7" s="1"/>
  <c r="G446" i="12"/>
  <c r="AJ240" i="7" s="1"/>
  <c r="G433" i="12"/>
  <c r="AJ227" i="7" s="1"/>
  <c r="G410" i="12"/>
  <c r="AJ204" i="7" s="1"/>
  <c r="G495" i="12"/>
  <c r="AJ289" i="7" s="1"/>
  <c r="G459" i="12"/>
  <c r="AJ253" i="7" s="1"/>
  <c r="G423" i="12"/>
  <c r="AJ217" i="7" s="1"/>
  <c r="G394" i="12"/>
  <c r="AJ188" i="7" s="1"/>
  <c r="G498" i="12"/>
  <c r="AJ292" i="7" s="1"/>
  <c r="G462" i="12"/>
  <c r="AJ256" i="7" s="1"/>
  <c r="G426" i="12"/>
  <c r="AJ220" i="7" s="1"/>
  <c r="G392" i="12"/>
  <c r="AJ186" i="7" s="1"/>
  <c r="G390" i="12"/>
  <c r="AJ184" i="7" s="1"/>
  <c r="G488" i="12"/>
  <c r="AJ282" i="7" s="1"/>
  <c r="G475" i="12"/>
  <c r="AJ269" i="7" s="1"/>
  <c r="G452" i="12"/>
  <c r="AJ246" i="7" s="1"/>
  <c r="G439" i="12"/>
  <c r="AJ233" i="7" s="1"/>
  <c r="G416" i="12"/>
  <c r="AJ210" i="7" s="1"/>
  <c r="G384" i="12"/>
  <c r="AJ178" i="7" s="1"/>
  <c r="G500" i="12"/>
  <c r="AJ294" i="7" s="1"/>
  <c r="G487" i="12"/>
  <c r="AJ281" i="7" s="1"/>
  <c r="G464" i="12"/>
  <c r="AJ258" i="7" s="1"/>
  <c r="G451" i="12"/>
  <c r="AJ245" i="7" s="1"/>
  <c r="G428" i="12"/>
  <c r="AJ222" i="7" s="1"/>
  <c r="G415" i="12"/>
  <c r="AJ209" i="7" s="1"/>
  <c r="G395" i="12"/>
  <c r="AJ189" i="7" s="1"/>
  <c r="G477" i="12"/>
  <c r="AJ271" i="7" s="1"/>
  <c r="G441" i="12"/>
  <c r="AJ235" i="7" s="1"/>
  <c r="G429" i="12"/>
  <c r="AJ223" i="7" s="1"/>
  <c r="G406" i="12"/>
  <c r="AJ200" i="7" s="1"/>
  <c r="G444" i="12"/>
  <c r="AJ238" i="7" s="1"/>
  <c r="G421" i="12"/>
  <c r="AJ215" i="7" s="1"/>
  <c r="G491" i="12"/>
  <c r="AJ285" i="7" s="1"/>
  <c r="G382" i="12"/>
  <c r="AJ176" i="7" s="1"/>
  <c r="G506" i="12"/>
  <c r="AJ300" i="7" s="1"/>
  <c r="G483" i="12"/>
  <c r="AJ277" i="7" s="1"/>
  <c r="G385" i="12"/>
  <c r="AJ179" i="7" s="1"/>
  <c r="G381" i="12"/>
  <c r="AJ175" i="7" s="1"/>
  <c r="G419" i="12"/>
  <c r="AJ213" i="7" s="1"/>
  <c r="G389" i="12"/>
  <c r="AJ183" i="7" s="1"/>
  <c r="G465" i="12"/>
  <c r="AJ259" i="7" s="1"/>
  <c r="G442" i="12"/>
  <c r="AJ236" i="7" s="1"/>
  <c r="G434" i="12"/>
  <c r="AJ228" i="7" s="1"/>
  <c r="G411" i="12"/>
  <c r="AJ205" i="7" s="1"/>
  <c r="G478" i="12"/>
  <c r="AJ272" i="7" s="1"/>
  <c r="G447" i="12"/>
  <c r="AJ241" i="7" s="1"/>
  <c r="G493" i="12"/>
  <c r="AJ287" i="7" s="1"/>
  <c r="G457" i="12"/>
  <c r="AJ251" i="7" s="1"/>
  <c r="G383" i="12"/>
  <c r="AJ177" i="7" s="1"/>
  <c r="G501" i="12"/>
  <c r="AJ295" i="7" s="1"/>
  <c r="G470" i="12"/>
  <c r="AJ264" i="7" s="1"/>
  <c r="G480" i="12"/>
  <c r="AJ274" i="7" s="1"/>
  <c r="G408" i="12"/>
  <c r="AJ202" i="7" s="1"/>
  <c r="G388" i="12"/>
  <c r="AJ182" i="7" s="1"/>
  <c r="G455" i="12"/>
  <c r="AJ249" i="7" s="1"/>
  <c r="EB36" i="20"/>
  <c r="DM36" i="20"/>
  <c r="T49" i="7"/>
  <c r="S49" i="7"/>
  <c r="N49" i="7" s="1"/>
  <c r="T70" i="7"/>
  <c r="S70" i="7"/>
  <c r="N70" i="7" s="1"/>
  <c r="T57" i="7"/>
  <c r="S57" i="7"/>
  <c r="N57" i="7" s="1"/>
  <c r="T51" i="7"/>
  <c r="S51" i="7"/>
  <c r="N51" i="7" s="1"/>
  <c r="T36" i="7"/>
  <c r="S36" i="7"/>
  <c r="N36" i="7" s="1"/>
  <c r="S44" i="7"/>
  <c r="N44" i="7" s="1"/>
  <c r="T44" i="7"/>
  <c r="BN6" i="22"/>
  <c r="BN13" i="22"/>
  <c r="BA98" i="20"/>
  <c r="F359" i="11"/>
  <c r="DP36" i="20"/>
  <c r="U143" i="20"/>
  <c r="R145" i="20"/>
  <c r="U145" i="20" s="1"/>
  <c r="BD33" i="20"/>
  <c r="BA35" i="20"/>
  <c r="BD35" i="20" s="1"/>
  <c r="U123" i="20"/>
  <c r="R125" i="20"/>
  <c r="U125" i="20" s="1"/>
  <c r="DV36" i="20"/>
  <c r="CU11" i="20"/>
  <c r="CT11" i="20"/>
  <c r="P561" i="16"/>
  <c r="P558" i="16"/>
  <c r="P555" i="16"/>
  <c r="P552" i="16"/>
  <c r="P549" i="16"/>
  <c r="P546" i="16"/>
  <c r="P543" i="16"/>
  <c r="P540" i="16"/>
  <c r="P537" i="16"/>
  <c r="P534" i="16"/>
  <c r="P531" i="16"/>
  <c r="P528" i="16"/>
  <c r="P525" i="16"/>
  <c r="P522" i="16"/>
  <c r="P519" i="16"/>
  <c r="P516" i="16"/>
  <c r="P513" i="16"/>
  <c r="P510" i="16"/>
  <c r="P507" i="16"/>
  <c r="P559" i="16"/>
  <c r="P542" i="16"/>
  <c r="P523" i="16"/>
  <c r="P506" i="16"/>
  <c r="P503" i="16"/>
  <c r="P500" i="16"/>
  <c r="P497" i="16"/>
  <c r="P494" i="16"/>
  <c r="P491" i="16"/>
  <c r="P488" i="16"/>
  <c r="P485" i="16"/>
  <c r="P482" i="16"/>
  <c r="P479" i="16"/>
  <c r="P476" i="16"/>
  <c r="P557" i="16"/>
  <c r="P553" i="16"/>
  <c r="P536" i="16"/>
  <c r="P517" i="16"/>
  <c r="P551" i="16"/>
  <c r="P532" i="16"/>
  <c r="P515" i="16"/>
  <c r="P530" i="16"/>
  <c r="P504" i="16"/>
  <c r="P461" i="16"/>
  <c r="P459" i="16"/>
  <c r="P442" i="16"/>
  <c r="P562" i="16"/>
  <c r="P544" i="16"/>
  <c r="P509" i="16"/>
  <c r="P496" i="16"/>
  <c r="P492" i="16"/>
  <c r="P487" i="16"/>
  <c r="P474" i="16"/>
  <c r="P457" i="16"/>
  <c r="P440" i="16"/>
  <c r="P438" i="16"/>
  <c r="P560" i="16"/>
  <c r="P472" i="16"/>
  <c r="P455" i="16"/>
  <c r="P453" i="16"/>
  <c r="P436" i="16"/>
  <c r="P556" i="16"/>
  <c r="P529" i="16"/>
  <c r="P495" i="16"/>
  <c r="P489" i="16"/>
  <c r="P484" i="16"/>
  <c r="P470" i="16"/>
  <c r="P468" i="16"/>
  <c r="P451" i="16"/>
  <c r="P554" i="16"/>
  <c r="P535" i="16"/>
  <c r="P508" i="16"/>
  <c r="P499" i="16"/>
  <c r="P466" i="16"/>
  <c r="P449" i="16"/>
  <c r="P447" i="16"/>
  <c r="P469" i="16"/>
  <c r="P462" i="16"/>
  <c r="P443" i="16"/>
  <c r="P547" i="16"/>
  <c r="P541" i="16"/>
  <c r="P483" i="16"/>
  <c r="P477" i="16"/>
  <c r="P471" i="16"/>
  <c r="P452" i="16"/>
  <c r="P526" i="16"/>
  <c r="P520" i="16"/>
  <c r="P514" i="16"/>
  <c r="P493" i="16"/>
  <c r="P478" i="16"/>
  <c r="P445" i="16"/>
  <c r="P435" i="16"/>
  <c r="P550" i="16"/>
  <c r="P511" i="16"/>
  <c r="P501" i="16"/>
  <c r="P464" i="16"/>
  <c r="P454" i="16"/>
  <c r="P444" i="16"/>
  <c r="P502" i="16"/>
  <c r="P480" i="16"/>
  <c r="P441" i="16"/>
  <c r="P439" i="16"/>
  <c r="P437" i="16"/>
  <c r="P512" i="16"/>
  <c r="P486" i="16"/>
  <c r="P456" i="16"/>
  <c r="P545" i="16"/>
  <c r="P527" i="16"/>
  <c r="P460" i="16"/>
  <c r="P458" i="16"/>
  <c r="P473" i="16"/>
  <c r="P533" i="16"/>
  <c r="P548" i="16"/>
  <c r="P498" i="16"/>
  <c r="P467" i="16"/>
  <c r="P524" i="16"/>
  <c r="P505" i="16"/>
  <c r="P475" i="16"/>
  <c r="P446" i="16"/>
  <c r="P490" i="16"/>
  <c r="P518" i="16"/>
  <c r="P450" i="16"/>
  <c r="P539" i="16"/>
  <c r="P538" i="16"/>
  <c r="P481" i="16"/>
  <c r="P448" i="16"/>
  <c r="P521" i="16"/>
  <c r="P465" i="16"/>
  <c r="P463" i="16"/>
  <c r="I359" i="11"/>
  <c r="BA55" i="20"/>
  <c r="BD55" i="20" s="1"/>
  <c r="BD53" i="20"/>
  <c r="EC36" i="20"/>
  <c r="C139" i="27"/>
  <c r="C141" i="27" s="1"/>
  <c r="C143" i="27" s="1"/>
  <c r="C149" i="27"/>
  <c r="C151" i="27" s="1"/>
  <c r="K403" i="12"/>
  <c r="K398" i="12"/>
  <c r="K389" i="12"/>
  <c r="K497" i="12"/>
  <c r="K492" i="12"/>
  <c r="K479" i="12"/>
  <c r="K474" i="12"/>
  <c r="K461" i="12"/>
  <c r="K456" i="12"/>
  <c r="K443" i="12"/>
  <c r="K438" i="12"/>
  <c r="K425" i="12"/>
  <c r="K420" i="12"/>
  <c r="K407" i="12"/>
  <c r="K397" i="12"/>
  <c r="K505" i="12"/>
  <c r="K487" i="12"/>
  <c r="K469" i="12"/>
  <c r="K451" i="12"/>
  <c r="K433" i="12"/>
  <c r="K415" i="12"/>
  <c r="K396" i="12"/>
  <c r="K395" i="12"/>
  <c r="K500" i="12"/>
  <c r="K495" i="12"/>
  <c r="K482" i="12"/>
  <c r="K477" i="12"/>
  <c r="K464" i="12"/>
  <c r="K459" i="12"/>
  <c r="K446" i="12"/>
  <c r="K441" i="12"/>
  <c r="K428" i="12"/>
  <c r="K423" i="12"/>
  <c r="K410" i="12"/>
  <c r="K394" i="12"/>
  <c r="K490" i="12"/>
  <c r="K472" i="12"/>
  <c r="K454" i="12"/>
  <c r="K436" i="12"/>
  <c r="K418" i="12"/>
  <c r="K393" i="12"/>
  <c r="K503" i="12"/>
  <c r="K498" i="12"/>
  <c r="K485" i="12"/>
  <c r="K480" i="12"/>
  <c r="K467" i="12"/>
  <c r="K462" i="12"/>
  <c r="K449" i="12"/>
  <c r="K444" i="12"/>
  <c r="K431" i="12"/>
  <c r="K426" i="12"/>
  <c r="K413" i="12"/>
  <c r="K408" i="12"/>
  <c r="K392" i="12"/>
  <c r="K391" i="12"/>
  <c r="K385" i="12"/>
  <c r="K381" i="12"/>
  <c r="K496" i="12"/>
  <c r="K478" i="12"/>
  <c r="K460" i="12"/>
  <c r="K442" i="12"/>
  <c r="K424" i="12"/>
  <c r="K406" i="12"/>
  <c r="K399" i="12"/>
  <c r="K387" i="12"/>
  <c r="K502" i="12"/>
  <c r="K466" i="12"/>
  <c r="K430" i="12"/>
  <c r="K380" i="12"/>
  <c r="K475" i="12"/>
  <c r="K439" i="12"/>
  <c r="K390" i="12"/>
  <c r="K384" i="12"/>
  <c r="K501" i="12"/>
  <c r="K488" i="12"/>
  <c r="K465" i="12"/>
  <c r="K452" i="12"/>
  <c r="K429" i="12"/>
  <c r="K416" i="12"/>
  <c r="K388" i="12"/>
  <c r="K504" i="12"/>
  <c r="K491" i="12"/>
  <c r="K468" i="12"/>
  <c r="K455" i="12"/>
  <c r="K432" i="12"/>
  <c r="K419" i="12"/>
  <c r="K386" i="12"/>
  <c r="K382" i="12"/>
  <c r="K481" i="12"/>
  <c r="K445" i="12"/>
  <c r="K409" i="12"/>
  <c r="K404" i="12"/>
  <c r="K402" i="12"/>
  <c r="K493" i="12"/>
  <c r="K457" i="12"/>
  <c r="K421" i="12"/>
  <c r="K506" i="12"/>
  <c r="K483" i="12"/>
  <c r="K470" i="12"/>
  <c r="K447" i="12"/>
  <c r="K434" i="12"/>
  <c r="K411" i="12"/>
  <c r="K383" i="12"/>
  <c r="K507" i="12"/>
  <c r="K484" i="12"/>
  <c r="K453" i="12"/>
  <c r="K400" i="12"/>
  <c r="K499" i="12"/>
  <c r="K476" i="12"/>
  <c r="K435" i="12"/>
  <c r="K412" i="12"/>
  <c r="K458" i="12"/>
  <c r="K450" i="12"/>
  <c r="K427" i="12"/>
  <c r="K405" i="12"/>
  <c r="K473" i="12"/>
  <c r="K489" i="12"/>
  <c r="K414" i="12"/>
  <c r="K471" i="12"/>
  <c r="K422" i="12"/>
  <c r="K437" i="12"/>
  <c r="K417" i="12"/>
  <c r="K463" i="12"/>
  <c r="K401" i="12"/>
  <c r="K448" i="12"/>
  <c r="K494" i="12"/>
  <c r="K486" i="12"/>
  <c r="K440" i="12"/>
  <c r="EM36" i="20"/>
  <c r="T52" i="7"/>
  <c r="S52" i="7"/>
  <c r="N52" i="7" s="1"/>
  <c r="T60" i="7"/>
  <c r="S60" i="7"/>
  <c r="N60" i="7" s="1"/>
  <c r="T39" i="7"/>
  <c r="S39" i="7"/>
  <c r="N39" i="7" s="1"/>
  <c r="S47" i="7"/>
  <c r="N47" i="7" s="1"/>
  <c r="T47" i="7"/>
  <c r="BQ6" i="22"/>
  <c r="BQ13" i="22"/>
  <c r="BG87" i="20"/>
  <c r="BG88" i="20" s="1"/>
  <c r="BG90" i="20" s="1"/>
  <c r="BP86" i="20" s="1"/>
  <c r="BP90" i="20" s="1"/>
  <c r="CQ21" i="20" s="1"/>
  <c r="R15" i="20"/>
  <c r="U15" i="20" s="1"/>
  <c r="U13" i="20"/>
  <c r="C102" i="27" a="1"/>
  <c r="C102" i="27" s="1"/>
  <c r="U26" i="20"/>
  <c r="X27" i="20"/>
  <c r="X28" i="20" s="1"/>
  <c r="X30" i="20" s="1"/>
  <c r="AG26" i="20" s="1"/>
  <c r="AG30" i="20" s="1"/>
  <c r="CN9" i="20" s="1"/>
  <c r="R28" i="20"/>
  <c r="DR36" i="20"/>
  <c r="EH36" i="20"/>
  <c r="AA562" i="16"/>
  <c r="AA559" i="16"/>
  <c r="AA556" i="16"/>
  <c r="AA553" i="16"/>
  <c r="AA550" i="16"/>
  <c r="AA547" i="16"/>
  <c r="AA544" i="16"/>
  <c r="AA541" i="16"/>
  <c r="AA538" i="16"/>
  <c r="AA535" i="16"/>
  <c r="AA532" i="16"/>
  <c r="AA529" i="16"/>
  <c r="AA526" i="16"/>
  <c r="AA523" i="16"/>
  <c r="AA520" i="16"/>
  <c r="AA517" i="16"/>
  <c r="AA514" i="16"/>
  <c r="AA511" i="16"/>
  <c r="AA508" i="16"/>
  <c r="AA549" i="16"/>
  <c r="AA530" i="16"/>
  <c r="AA513" i="16"/>
  <c r="AA504" i="16"/>
  <c r="AA501" i="16"/>
  <c r="AA498" i="16"/>
  <c r="AA495" i="16"/>
  <c r="AA492" i="16"/>
  <c r="AA489" i="16"/>
  <c r="AA486" i="16"/>
  <c r="AA483" i="16"/>
  <c r="AA480" i="16"/>
  <c r="AA477" i="16"/>
  <c r="AA474" i="16"/>
  <c r="AA560" i="16"/>
  <c r="AA543" i="16"/>
  <c r="AA524" i="16"/>
  <c r="AA507" i="16"/>
  <c r="AA558" i="16"/>
  <c r="AA539" i="16"/>
  <c r="AA522" i="16"/>
  <c r="AA561" i="16"/>
  <c r="AA554" i="16"/>
  <c r="AA536" i="16"/>
  <c r="AA499" i="16"/>
  <c r="AA468" i="16"/>
  <c r="AA466" i="16"/>
  <c r="AA449" i="16"/>
  <c r="AA557" i="16"/>
  <c r="AA552" i="16"/>
  <c r="AA542" i="16"/>
  <c r="AA515" i="16"/>
  <c r="AA503" i="16"/>
  <c r="AA481" i="16"/>
  <c r="AA476" i="16"/>
  <c r="AA464" i="16"/>
  <c r="AA447" i="16"/>
  <c r="AA445" i="16"/>
  <c r="AA555" i="16"/>
  <c r="AA548" i="16"/>
  <c r="AA528" i="16"/>
  <c r="AA521" i="16"/>
  <c r="AA462" i="16"/>
  <c r="AA460" i="16"/>
  <c r="AA443" i="16"/>
  <c r="AA551" i="16"/>
  <c r="AA527" i="16"/>
  <c r="AA502" i="16"/>
  <c r="AA491" i="16"/>
  <c r="AA478" i="16"/>
  <c r="AA458" i="16"/>
  <c r="AA441" i="16"/>
  <c r="AA439" i="16"/>
  <c r="AA534" i="16"/>
  <c r="AA533" i="16"/>
  <c r="AA506" i="16"/>
  <c r="AA494" i="16"/>
  <c r="AA473" i="16"/>
  <c r="AA456" i="16"/>
  <c r="AA454" i="16"/>
  <c r="AA437" i="16"/>
  <c r="AA500" i="16"/>
  <c r="AA470" i="16"/>
  <c r="AA435" i="16"/>
  <c r="AA497" i="16"/>
  <c r="AA463" i="16"/>
  <c r="AA444" i="16"/>
  <c r="AA505" i="16"/>
  <c r="AA472" i="16"/>
  <c r="AA453" i="16"/>
  <c r="AA446" i="16"/>
  <c r="AA436" i="16"/>
  <c r="AA490" i="16"/>
  <c r="AA484" i="16"/>
  <c r="AA465" i="16"/>
  <c r="AA455" i="16"/>
  <c r="AA545" i="16"/>
  <c r="AA540" i="16"/>
  <c r="AA482" i="16"/>
  <c r="AA475" i="16"/>
  <c r="AA448" i="16"/>
  <c r="AA509" i="16"/>
  <c r="AA488" i="16"/>
  <c r="AA452" i="16"/>
  <c r="AA450" i="16"/>
  <c r="AA537" i="16"/>
  <c r="AA519" i="16"/>
  <c r="AA469" i="16"/>
  <c r="AA467" i="16"/>
  <c r="AA510" i="16"/>
  <c r="AA525" i="16"/>
  <c r="AA461" i="16"/>
  <c r="AA512" i="16"/>
  <c r="AA440" i="16"/>
  <c r="AA546" i="16"/>
  <c r="AA471" i="16"/>
  <c r="AA485" i="16"/>
  <c r="AA516" i="16"/>
  <c r="AA457" i="16"/>
  <c r="AA496" i="16"/>
  <c r="AA487" i="16"/>
  <c r="AA479" i="16"/>
  <c r="AA518" i="16"/>
  <c r="AA442" i="16"/>
  <c r="AA451" i="16"/>
  <c r="AA459" i="16"/>
  <c r="AA438" i="16"/>
  <c r="AA531" i="16"/>
  <c r="AA493" i="16"/>
  <c r="E7" i="21"/>
  <c r="E9" i="21" s="1"/>
  <c r="F6" i="21"/>
  <c r="BA153" i="20"/>
  <c r="CU21" i="20"/>
  <c r="CT21" i="20"/>
  <c r="BD128" i="20"/>
  <c r="BA130" i="20"/>
  <c r="BD130" i="20" s="1"/>
  <c r="BA30" i="20"/>
  <c r="BD30" i="20" s="1"/>
  <c r="BD28" i="20"/>
  <c r="BA68" i="20"/>
  <c r="BD66" i="20"/>
  <c r="BG67" i="20"/>
  <c r="BG68" i="20" s="1"/>
  <c r="BG70" i="20" s="1"/>
  <c r="BP66" i="20" s="1"/>
  <c r="BP70" i="20" s="1"/>
  <c r="CQ17" i="20" s="1"/>
  <c r="K359" i="11"/>
  <c r="DW36" i="20"/>
  <c r="BA45" i="20"/>
  <c r="BD45" i="20" s="1"/>
  <c r="BD43" i="20"/>
  <c r="BQ3" i="22"/>
  <c r="BQ10" i="22"/>
  <c r="C105" i="27"/>
  <c r="C106" i="27" s="1"/>
  <c r="C101" i="27"/>
  <c r="D45" i="27"/>
  <c r="DN36" i="20"/>
  <c r="T55" i="7"/>
  <c r="S55" i="7"/>
  <c r="N55" i="7" s="1"/>
  <c r="T66" i="7"/>
  <c r="S66" i="7"/>
  <c r="N66" i="7" s="1"/>
  <c r="T63" i="7"/>
  <c r="S63" i="7"/>
  <c r="N63" i="7" s="1"/>
  <c r="S53" i="7"/>
  <c r="N53" i="7" s="1"/>
  <c r="T53" i="7"/>
  <c r="BG97" i="20"/>
  <c r="BG98" i="20" s="1"/>
  <c r="BG100" i="20" s="1"/>
  <c r="BP96" i="20" s="1"/>
  <c r="BP100" i="20" s="1"/>
  <c r="CQ23" i="20" s="1"/>
  <c r="BG117" i="20"/>
  <c r="BG118" i="20" s="1"/>
  <c r="BG120" i="20" s="1"/>
  <c r="BP116" i="20" s="1"/>
  <c r="BP120" i="20" s="1"/>
  <c r="CQ27" i="20" s="1"/>
  <c r="BA88" i="20"/>
  <c r="CU6" i="20"/>
  <c r="CT6" i="20"/>
  <c r="BA18" i="20"/>
  <c r="DS36" i="20"/>
  <c r="R58" i="20"/>
  <c r="BG157" i="20"/>
  <c r="BG158" i="20" s="1"/>
  <c r="BG160" i="20" s="1"/>
  <c r="BP156" i="20" s="1"/>
  <c r="BP160" i="20" s="1"/>
  <c r="CQ35" i="20" s="1"/>
  <c r="BA158" i="20"/>
  <c r="BD156" i="20"/>
  <c r="BA145" i="20"/>
  <c r="BD145" i="20" s="1"/>
  <c r="BD143" i="20"/>
  <c r="BA73" i="20"/>
  <c r="BG72" i="20"/>
  <c r="BG73" i="20" s="1"/>
  <c r="BG75" i="20" s="1"/>
  <c r="BP71" i="20" s="1"/>
  <c r="BP75" i="20" s="1"/>
  <c r="CQ18" i="20" s="1"/>
  <c r="BD71" i="20"/>
  <c r="DJ36" i="20"/>
  <c r="R118" i="20"/>
  <c r="U116" i="20"/>
  <c r="X117" i="20"/>
  <c r="X118" i="20" s="1"/>
  <c r="X120" i="20" s="1"/>
  <c r="AG116" i="20" s="1"/>
  <c r="AG120" i="20" s="1"/>
  <c r="CN27" i="20" s="1"/>
  <c r="X17" i="20"/>
  <c r="X18" i="20" s="1"/>
  <c r="X20" i="20" s="1"/>
  <c r="AG16" i="20" s="1"/>
  <c r="AG20" i="20" s="1"/>
  <c r="CN7" i="20" s="1"/>
  <c r="R150" i="20"/>
  <c r="U150" i="20" s="1"/>
  <c r="U148" i="20"/>
  <c r="ET36" i="20"/>
  <c r="BN3" i="22"/>
  <c r="BN10" i="22"/>
  <c r="AS548" i="16"/>
  <c r="AS546" i="16"/>
  <c r="AS529" i="16"/>
  <c r="AS512" i="16"/>
  <c r="AS510" i="16"/>
  <c r="AS561" i="16"/>
  <c r="AS559" i="16"/>
  <c r="AS542" i="16"/>
  <c r="AS540" i="16"/>
  <c r="AS523" i="16"/>
  <c r="AS506" i="16"/>
  <c r="AS557" i="16"/>
  <c r="AS555" i="16"/>
  <c r="AS538" i="16"/>
  <c r="AS521" i="16"/>
  <c r="AS519" i="16"/>
  <c r="AS526" i="16"/>
  <c r="AS480" i="16"/>
  <c r="AS475" i="16"/>
  <c r="AS467" i="16"/>
  <c r="AS465" i="16"/>
  <c r="AS448" i="16"/>
  <c r="AS533" i="16"/>
  <c r="AS532" i="16"/>
  <c r="AS501" i="16"/>
  <c r="AS485" i="16"/>
  <c r="AS463" i="16"/>
  <c r="AS446" i="16"/>
  <c r="AS444" i="16"/>
  <c r="AS539" i="16"/>
  <c r="AS525" i="16"/>
  <c r="AS511" i="16"/>
  <c r="AS505" i="16"/>
  <c r="AS497" i="16"/>
  <c r="AS493" i="16"/>
  <c r="AS490" i="16"/>
  <c r="AS477" i="16"/>
  <c r="AS461" i="16"/>
  <c r="AS459" i="16"/>
  <c r="AS442" i="16"/>
  <c r="AS545" i="16"/>
  <c r="AS518" i="16"/>
  <c r="AS517" i="16"/>
  <c r="AS482" i="16"/>
  <c r="AS457" i="16"/>
  <c r="AS440" i="16"/>
  <c r="AS438" i="16"/>
  <c r="AS531" i="16"/>
  <c r="AS524" i="16"/>
  <c r="AS504" i="16"/>
  <c r="AS492" i="16"/>
  <c r="AS487" i="16"/>
  <c r="AS474" i="16"/>
  <c r="AS472" i="16"/>
  <c r="AS455" i="16"/>
  <c r="AS453" i="16"/>
  <c r="AS436" i="16"/>
  <c r="AS552" i="16"/>
  <c r="AS547" i="16"/>
  <c r="AS541" i="16"/>
  <c r="AS535" i="16"/>
  <c r="AS508" i="16"/>
  <c r="AS473" i="16"/>
  <c r="AS447" i="16"/>
  <c r="AS520" i="16"/>
  <c r="AS514" i="16"/>
  <c r="AS466" i="16"/>
  <c r="AS456" i="16"/>
  <c r="AS437" i="16"/>
  <c r="AS560" i="16"/>
  <c r="AS536" i="16"/>
  <c r="AS530" i="16"/>
  <c r="AS498" i="16"/>
  <c r="AS494" i="16"/>
  <c r="AS553" i="16"/>
  <c r="AS550" i="16"/>
  <c r="AS515" i="16"/>
  <c r="AS509" i="16"/>
  <c r="AS495" i="16"/>
  <c r="AS468" i="16"/>
  <c r="AS449" i="16"/>
  <c r="AS439" i="16"/>
  <c r="AS558" i="16"/>
  <c r="AS502" i="16"/>
  <c r="AS491" i="16"/>
  <c r="AS486" i="16"/>
  <c r="AS458" i="16"/>
  <c r="AS562" i="16"/>
  <c r="AS556" i="16"/>
  <c r="AS499" i="16"/>
  <c r="AS450" i="16"/>
  <c r="AS488" i="16"/>
  <c r="AS454" i="16"/>
  <c r="AS452" i="16"/>
  <c r="AS534" i="16"/>
  <c r="AS516" i="16"/>
  <c r="AS481" i="16"/>
  <c r="AS471" i="16"/>
  <c r="AS469" i="16"/>
  <c r="AS496" i="16"/>
  <c r="AS479" i="16"/>
  <c r="AS528" i="16"/>
  <c r="AS464" i="16"/>
  <c r="AS543" i="16"/>
  <c r="AS435" i="16"/>
  <c r="AS551" i="16"/>
  <c r="AS451" i="16"/>
  <c r="AS443" i="16"/>
  <c r="AS460" i="16"/>
  <c r="AS445" i="16"/>
  <c r="AS462" i="16"/>
  <c r="AS522" i="16"/>
  <c r="AS489" i="16"/>
  <c r="AS470" i="16"/>
  <c r="AS527" i="16"/>
  <c r="AS484" i="16"/>
  <c r="AS537" i="16"/>
  <c r="AS441" i="16"/>
  <c r="AS544" i="16"/>
  <c r="AS554" i="16"/>
  <c r="AS478" i="16"/>
  <c r="AS500" i="16"/>
  <c r="AS549" i="16"/>
  <c r="AS513" i="16"/>
  <c r="AS503" i="16"/>
  <c r="AS476" i="16"/>
  <c r="AS507" i="16"/>
  <c r="AS483" i="16"/>
  <c r="BN5" i="22"/>
  <c r="BN12" i="22"/>
  <c r="J168" i="7"/>
  <c r="J165" i="7"/>
  <c r="J162" i="7"/>
  <c r="J159" i="7"/>
  <c r="J156" i="7"/>
  <c r="H155" i="7"/>
  <c r="R152" i="7"/>
  <c r="J150" i="7"/>
  <c r="H149" i="7"/>
  <c r="R146" i="7"/>
  <c r="J144" i="7"/>
  <c r="H143" i="7"/>
  <c r="R140" i="7"/>
  <c r="P139" i="7"/>
  <c r="J138" i="7"/>
  <c r="H137" i="7"/>
  <c r="R134" i="7"/>
  <c r="P133" i="7"/>
  <c r="J132" i="7"/>
  <c r="H131" i="7"/>
  <c r="R128" i="7"/>
  <c r="P127" i="7"/>
  <c r="J126" i="7"/>
  <c r="H125" i="7"/>
  <c r="R122" i="7"/>
  <c r="P121" i="7"/>
  <c r="J120" i="7"/>
  <c r="H119" i="7"/>
  <c r="R116" i="7"/>
  <c r="P115" i="7"/>
  <c r="J114" i="7"/>
  <c r="H113" i="7"/>
  <c r="R110" i="7"/>
  <c r="P109" i="7"/>
  <c r="J108" i="7"/>
  <c r="H107" i="7"/>
  <c r="R104" i="7"/>
  <c r="P103" i="7"/>
  <c r="J102" i="7"/>
  <c r="H101" i="7"/>
  <c r="R98" i="7"/>
  <c r="P97" i="7"/>
  <c r="J96" i="7"/>
  <c r="H95" i="7"/>
  <c r="R92" i="7"/>
  <c r="J87" i="7"/>
  <c r="H85" i="7"/>
  <c r="C85" i="7" s="1"/>
  <c r="J83" i="7"/>
  <c r="J80" i="7"/>
  <c r="J77" i="7"/>
  <c r="J74" i="7"/>
  <c r="Q71" i="7"/>
  <c r="Q70" i="7"/>
  <c r="Q69" i="7"/>
  <c r="Q68" i="7"/>
  <c r="Q67" i="7"/>
  <c r="Q66" i="7"/>
  <c r="Q65" i="7"/>
  <c r="Q64" i="7"/>
  <c r="Q63" i="7"/>
  <c r="Q62" i="7"/>
  <c r="Q61" i="7"/>
  <c r="Q60" i="7"/>
  <c r="Q59" i="7"/>
  <c r="Q58" i="7"/>
  <c r="Q57" i="7"/>
  <c r="Q56" i="7"/>
  <c r="Q55" i="7"/>
  <c r="Q54" i="7"/>
  <c r="Q53" i="7"/>
  <c r="Q52" i="7"/>
  <c r="Q51" i="7"/>
  <c r="Q50" i="7"/>
  <c r="Q49" i="7"/>
  <c r="Q48" i="7"/>
  <c r="Q47" i="7"/>
  <c r="Q46" i="7"/>
  <c r="Q45" i="7"/>
  <c r="Q44" i="7"/>
  <c r="Q43" i="7"/>
  <c r="Q42" i="7"/>
  <c r="Q41" i="7"/>
  <c r="Q40" i="7"/>
  <c r="Q39" i="7"/>
  <c r="Q38" i="7"/>
  <c r="Q37" i="7"/>
  <c r="Q36" i="7"/>
  <c r="Q35" i="7"/>
  <c r="Q34" i="7"/>
  <c r="Q33" i="7"/>
  <c r="Q32" i="7"/>
  <c r="Q31" i="7"/>
  <c r="Q30" i="7"/>
  <c r="Q29" i="7"/>
  <c r="Q28" i="7"/>
  <c r="Q27" i="7"/>
  <c r="Q26" i="7"/>
  <c r="Q25" i="7"/>
  <c r="Q24" i="7"/>
  <c r="Q23" i="7"/>
  <c r="Q22" i="7"/>
  <c r="Q21" i="7"/>
  <c r="Q20" i="7"/>
  <c r="Q19" i="7"/>
  <c r="Q18" i="7"/>
  <c r="Q17" i="7"/>
  <c r="Q16" i="7"/>
  <c r="Q15" i="7"/>
  <c r="Q14" i="7"/>
  <c r="Q13" i="7"/>
  <c r="Q12" i="7"/>
  <c r="Q11" i="7"/>
  <c r="Q10" i="7"/>
  <c r="Q9" i="7"/>
  <c r="Q8" i="7"/>
  <c r="H168" i="7"/>
  <c r="H165" i="7"/>
  <c r="H162" i="7"/>
  <c r="H159" i="7"/>
  <c r="H156" i="7"/>
  <c r="R153" i="7"/>
  <c r="J151" i="7"/>
  <c r="H150" i="7"/>
  <c r="R147" i="7"/>
  <c r="J145" i="7"/>
  <c r="H144" i="7"/>
  <c r="R141" i="7"/>
  <c r="J139" i="7"/>
  <c r="H138" i="7"/>
  <c r="R135" i="7"/>
  <c r="P134" i="7"/>
  <c r="J133" i="7"/>
  <c r="H132" i="7"/>
  <c r="R129" i="7"/>
  <c r="P128" i="7"/>
  <c r="J127" i="7"/>
  <c r="H126" i="7"/>
  <c r="R123" i="7"/>
  <c r="P122" i="7"/>
  <c r="J121" i="7"/>
  <c r="H120" i="7"/>
  <c r="R117" i="7"/>
  <c r="P116" i="7"/>
  <c r="J115" i="7"/>
  <c r="H114" i="7"/>
  <c r="R111" i="7"/>
  <c r="P110" i="7"/>
  <c r="J109" i="7"/>
  <c r="H108" i="7"/>
  <c r="R105" i="7"/>
  <c r="P104" i="7"/>
  <c r="J103" i="7"/>
  <c r="H102" i="7"/>
  <c r="R99" i="7"/>
  <c r="P98" i="7"/>
  <c r="J97" i="7"/>
  <c r="H96" i="7"/>
  <c r="R93" i="7"/>
  <c r="H87" i="7"/>
  <c r="C87" i="7" s="1"/>
  <c r="H83" i="7"/>
  <c r="C83" i="7" s="1"/>
  <c r="H80" i="7"/>
  <c r="C80" i="7" s="1"/>
  <c r="H77" i="7"/>
  <c r="C77" i="7" s="1"/>
  <c r="H74" i="7"/>
  <c r="C74" i="7" s="1"/>
  <c r="G50" i="3"/>
  <c r="G168" i="7"/>
  <c r="G165" i="7"/>
  <c r="G162" i="7"/>
  <c r="G159" i="7"/>
  <c r="G156" i="7"/>
  <c r="Q153" i="7"/>
  <c r="I151" i="7"/>
  <c r="G150" i="7"/>
  <c r="Q147" i="7"/>
  <c r="I145" i="7"/>
  <c r="G144" i="7"/>
  <c r="Q141" i="7"/>
  <c r="I139" i="7"/>
  <c r="G138" i="7"/>
  <c r="Q135" i="7"/>
  <c r="O134" i="7"/>
  <c r="I133" i="7"/>
  <c r="G132" i="7"/>
  <c r="Q129" i="7"/>
  <c r="O128" i="7"/>
  <c r="I127" i="7"/>
  <c r="G126" i="7"/>
  <c r="Q123" i="7"/>
  <c r="O122" i="7"/>
  <c r="I121" i="7"/>
  <c r="G120" i="7"/>
  <c r="Q117" i="7"/>
  <c r="O116" i="7"/>
  <c r="I115" i="7"/>
  <c r="G114" i="7"/>
  <c r="Q111" i="7"/>
  <c r="O110" i="7"/>
  <c r="I109" i="7"/>
  <c r="G108" i="7"/>
  <c r="Q105" i="7"/>
  <c r="O104" i="7"/>
  <c r="I103" i="7"/>
  <c r="G102" i="7"/>
  <c r="Q99" i="7"/>
  <c r="O98" i="7"/>
  <c r="I97" i="7"/>
  <c r="G96" i="7"/>
  <c r="Q93" i="7"/>
  <c r="G87" i="7"/>
  <c r="G83" i="7"/>
  <c r="G80" i="7"/>
  <c r="G77" i="7"/>
  <c r="G74" i="7"/>
  <c r="H151" i="7"/>
  <c r="J146" i="7"/>
  <c r="J140" i="7"/>
  <c r="P135" i="7"/>
  <c r="H133" i="7"/>
  <c r="P129" i="7"/>
  <c r="J128" i="7"/>
  <c r="R124" i="7"/>
  <c r="P123" i="7"/>
  <c r="H121" i="7"/>
  <c r="J116" i="7"/>
  <c r="P111" i="7"/>
  <c r="H109" i="7"/>
  <c r="R106" i="7"/>
  <c r="J104" i="7"/>
  <c r="H103" i="7"/>
  <c r="R100" i="7"/>
  <c r="J98" i="7"/>
  <c r="H97" i="7"/>
  <c r="J84" i="7"/>
  <c r="J78" i="7"/>
  <c r="J75" i="7"/>
  <c r="J71" i="7"/>
  <c r="J69" i="7"/>
  <c r="J68" i="7"/>
  <c r="J67" i="7"/>
  <c r="J65" i="7"/>
  <c r="J64" i="7"/>
  <c r="J62" i="7"/>
  <c r="J61" i="7"/>
  <c r="J60" i="7"/>
  <c r="J58" i="7"/>
  <c r="J57" i="7"/>
  <c r="J55" i="7"/>
  <c r="J54" i="7"/>
  <c r="J52" i="7"/>
  <c r="J51" i="7"/>
  <c r="J49" i="7"/>
  <c r="J47" i="7"/>
  <c r="J46" i="7"/>
  <c r="J44" i="7"/>
  <c r="J43" i="7"/>
  <c r="J42" i="7"/>
  <c r="J40" i="7"/>
  <c r="J39" i="7"/>
  <c r="J38" i="7"/>
  <c r="J36" i="7"/>
  <c r="J35" i="7"/>
  <c r="J34" i="7"/>
  <c r="J32" i="7"/>
  <c r="J31" i="7"/>
  <c r="J29" i="7"/>
  <c r="J28" i="7"/>
  <c r="J26" i="7"/>
  <c r="J25" i="7"/>
  <c r="J24" i="7"/>
  <c r="J22" i="7"/>
  <c r="J18" i="7"/>
  <c r="J15" i="7"/>
  <c r="J13" i="7"/>
  <c r="J11" i="7"/>
  <c r="J10" i="7"/>
  <c r="J8" i="7"/>
  <c r="J170" i="7"/>
  <c r="J167" i="7"/>
  <c r="J164" i="7"/>
  <c r="J161" i="7"/>
  <c r="J158" i="7"/>
  <c r="R154" i="7"/>
  <c r="J152" i="7"/>
  <c r="R148" i="7"/>
  <c r="H145" i="7"/>
  <c r="R142" i="7"/>
  <c r="H139" i="7"/>
  <c r="R136" i="7"/>
  <c r="J134" i="7"/>
  <c r="R130" i="7"/>
  <c r="H127" i="7"/>
  <c r="J122" i="7"/>
  <c r="R118" i="7"/>
  <c r="P117" i="7"/>
  <c r="H115" i="7"/>
  <c r="R112" i="7"/>
  <c r="J110" i="7"/>
  <c r="P105" i="7"/>
  <c r="P99" i="7"/>
  <c r="R94" i="7"/>
  <c r="J92" i="7"/>
  <c r="J81" i="7"/>
  <c r="J72" i="7"/>
  <c r="J70" i="7"/>
  <c r="J66" i="7"/>
  <c r="J63" i="7"/>
  <c r="J59" i="7"/>
  <c r="J56" i="7"/>
  <c r="J53" i="7"/>
  <c r="J50" i="7"/>
  <c r="J48" i="7"/>
  <c r="J45" i="7"/>
  <c r="J41" i="7"/>
  <c r="J37" i="7"/>
  <c r="J33" i="7"/>
  <c r="J30" i="7"/>
  <c r="J27" i="7"/>
  <c r="J23" i="7"/>
  <c r="J21" i="7"/>
  <c r="J20" i="7"/>
  <c r="J19" i="7"/>
  <c r="J17" i="7"/>
  <c r="J16" i="7"/>
  <c r="J14" i="7"/>
  <c r="J12" i="7"/>
  <c r="J9" i="7"/>
  <c r="H169" i="7"/>
  <c r="H164" i="7"/>
  <c r="H160" i="7"/>
  <c r="R155" i="7"/>
  <c r="H154" i="7"/>
  <c r="H152" i="7"/>
  <c r="J143" i="7"/>
  <c r="J141" i="7"/>
  <c r="R139" i="7"/>
  <c r="R137" i="7"/>
  <c r="H136" i="7"/>
  <c r="H134" i="7"/>
  <c r="P132" i="7"/>
  <c r="P130" i="7"/>
  <c r="J125" i="7"/>
  <c r="J123" i="7"/>
  <c r="R121" i="7"/>
  <c r="R119" i="7"/>
  <c r="H118" i="7"/>
  <c r="H116" i="7"/>
  <c r="P114" i="7"/>
  <c r="P112" i="7"/>
  <c r="J107" i="7"/>
  <c r="J105" i="7"/>
  <c r="R103" i="7"/>
  <c r="R101" i="7"/>
  <c r="H100" i="7"/>
  <c r="H98" i="7"/>
  <c r="P96" i="7"/>
  <c r="G93" i="7"/>
  <c r="G91" i="7"/>
  <c r="H84" i="7"/>
  <c r="C84" i="7" s="1"/>
  <c r="H82" i="7"/>
  <c r="C82" i="7" s="1"/>
  <c r="H70" i="7"/>
  <c r="C70" i="7" s="1"/>
  <c r="H67" i="7"/>
  <c r="C67" i="7" s="1"/>
  <c r="H64" i="7"/>
  <c r="C64" i="7" s="1"/>
  <c r="H61" i="7"/>
  <c r="C61" i="7" s="1"/>
  <c r="H58" i="7"/>
  <c r="C58" i="7" s="1"/>
  <c r="H55" i="7"/>
  <c r="C55" i="7" s="1"/>
  <c r="H52" i="7"/>
  <c r="C52" i="7" s="1"/>
  <c r="H49" i="7"/>
  <c r="C49" i="7" s="1"/>
  <c r="H46" i="7"/>
  <c r="C46" i="7" s="1"/>
  <c r="H43" i="7"/>
  <c r="C43" i="7" s="1"/>
  <c r="H40" i="7"/>
  <c r="C40" i="7" s="1"/>
  <c r="H37" i="7"/>
  <c r="C37" i="7" s="1"/>
  <c r="H34" i="7"/>
  <c r="C34" i="7" s="1"/>
  <c r="H31" i="7"/>
  <c r="C31" i="7" s="1"/>
  <c r="H28" i="7"/>
  <c r="C28" i="7" s="1"/>
  <c r="H25" i="7"/>
  <c r="C25" i="7" s="1"/>
  <c r="H22" i="7"/>
  <c r="C22" i="7" s="1"/>
  <c r="H19" i="7"/>
  <c r="C19" i="7" s="1"/>
  <c r="H16" i="7"/>
  <c r="C16" i="7" s="1"/>
  <c r="H13" i="7"/>
  <c r="C13" i="7" s="1"/>
  <c r="G9" i="7"/>
  <c r="G164" i="7"/>
  <c r="G160" i="7"/>
  <c r="G154" i="7"/>
  <c r="G152" i="7"/>
  <c r="I143" i="7"/>
  <c r="Q139" i="7"/>
  <c r="Q137" i="7"/>
  <c r="G136" i="7"/>
  <c r="G134" i="7"/>
  <c r="O130" i="7"/>
  <c r="I123" i="7"/>
  <c r="Q121" i="7"/>
  <c r="Q119" i="7"/>
  <c r="G118" i="7"/>
  <c r="O114" i="7"/>
  <c r="O112" i="7"/>
  <c r="I107" i="7"/>
  <c r="Q103" i="7"/>
  <c r="Q101" i="7"/>
  <c r="G100" i="7"/>
  <c r="G98" i="7"/>
  <c r="G84" i="7"/>
  <c r="G82" i="7"/>
  <c r="J73" i="7"/>
  <c r="G70" i="7"/>
  <c r="G64" i="7"/>
  <c r="G58" i="7"/>
  <c r="G55" i="7"/>
  <c r="G52" i="7"/>
  <c r="G49" i="7"/>
  <c r="G46" i="7"/>
  <c r="G40" i="7"/>
  <c r="G37" i="7"/>
  <c r="G34" i="7"/>
  <c r="G31" i="7"/>
  <c r="G25" i="7"/>
  <c r="G22" i="7"/>
  <c r="I168" i="7"/>
  <c r="J163" i="7"/>
  <c r="I150" i="7"/>
  <c r="J148" i="7"/>
  <c r="R144" i="7"/>
  <c r="G143" i="7"/>
  <c r="H141" i="7"/>
  <c r="O139" i="7"/>
  <c r="P137" i="7"/>
  <c r="I132" i="7"/>
  <c r="J130" i="7"/>
  <c r="R126" i="7"/>
  <c r="G125" i="7"/>
  <c r="O121" i="7"/>
  <c r="P119" i="7"/>
  <c r="I114" i="7"/>
  <c r="Q110" i="7"/>
  <c r="R108" i="7"/>
  <c r="H105" i="7"/>
  <c r="O103" i="7"/>
  <c r="P101" i="7"/>
  <c r="I96" i="7"/>
  <c r="J94" i="7"/>
  <c r="P71" i="7"/>
  <c r="P68" i="7"/>
  <c r="P59" i="7"/>
  <c r="P53" i="7"/>
  <c r="P47" i="7"/>
  <c r="P38" i="7"/>
  <c r="P35" i="7"/>
  <c r="P32" i="7"/>
  <c r="P29" i="7"/>
  <c r="P26" i="7"/>
  <c r="P20" i="7"/>
  <c r="P17" i="7"/>
  <c r="G163" i="7"/>
  <c r="I155" i="7"/>
  <c r="Q149" i="7"/>
  <c r="I137" i="7"/>
  <c r="G130" i="7"/>
  <c r="Q115" i="7"/>
  <c r="O108" i="7"/>
  <c r="I99" i="7"/>
  <c r="H81" i="7"/>
  <c r="C81" i="7" s="1"/>
  <c r="G71" i="7"/>
  <c r="G59" i="7"/>
  <c r="G53" i="7"/>
  <c r="G50" i="7"/>
  <c r="G47" i="7"/>
  <c r="G44" i="7"/>
  <c r="G35" i="7"/>
  <c r="G32" i="7"/>
  <c r="G29" i="7"/>
  <c r="G23" i="7"/>
  <c r="G20" i="7"/>
  <c r="G17" i="7"/>
  <c r="G14" i="7"/>
  <c r="H11" i="7"/>
  <c r="C11" i="7" s="1"/>
  <c r="G155" i="7"/>
  <c r="J142" i="7"/>
  <c r="H135" i="7"/>
  <c r="P131" i="7"/>
  <c r="J124" i="7"/>
  <c r="Q122" i="7"/>
  <c r="H117" i="7"/>
  <c r="O115" i="7"/>
  <c r="Q104" i="7"/>
  <c r="R102" i="7"/>
  <c r="G79" i="7"/>
  <c r="P66" i="7"/>
  <c r="P63" i="7"/>
  <c r="P57" i="7"/>
  <c r="P48" i="7"/>
  <c r="P30" i="7"/>
  <c r="P21" i="7"/>
  <c r="P15" i="7"/>
  <c r="I156" i="7"/>
  <c r="G149" i="7"/>
  <c r="J136" i="7"/>
  <c r="P125" i="7"/>
  <c r="Q116" i="7"/>
  <c r="P107" i="7"/>
  <c r="Q98" i="7"/>
  <c r="P58" i="7"/>
  <c r="P49" i="7"/>
  <c r="P43" i="7"/>
  <c r="P37" i="7"/>
  <c r="P25" i="7"/>
  <c r="P19" i="7"/>
  <c r="I154" i="7"/>
  <c r="G147" i="7"/>
  <c r="I136" i="7"/>
  <c r="O125" i="7"/>
  <c r="I116" i="7"/>
  <c r="O107" i="7"/>
  <c r="I100" i="7"/>
  <c r="I84" i="7"/>
  <c r="G76" i="7"/>
  <c r="I49" i="7"/>
  <c r="I40" i="7"/>
  <c r="I37" i="7"/>
  <c r="I16" i="7"/>
  <c r="G169" i="7"/>
  <c r="Q155" i="7"/>
  <c r="I141" i="7"/>
  <c r="O132" i="7"/>
  <c r="I125" i="7"/>
  <c r="G116" i="7"/>
  <c r="I105" i="7"/>
  <c r="O96" i="7"/>
  <c r="I87" i="7"/>
  <c r="G67" i="7"/>
  <c r="G61" i="7"/>
  <c r="G43" i="7"/>
  <c r="G28" i="7"/>
  <c r="G19" i="7"/>
  <c r="G16" i="7"/>
  <c r="G13" i="7"/>
  <c r="I10" i="7"/>
  <c r="Q128" i="7"/>
  <c r="G107" i="7"/>
  <c r="I75" i="7"/>
  <c r="P65" i="7"/>
  <c r="P41" i="7"/>
  <c r="P23" i="7"/>
  <c r="H10" i="7"/>
  <c r="C10" i="7" s="1"/>
  <c r="I153" i="7"/>
  <c r="Q131" i="7"/>
  <c r="G112" i="7"/>
  <c r="Q95" i="7"/>
  <c r="H79" i="7"/>
  <c r="C79" i="7" s="1"/>
  <c r="I162" i="7"/>
  <c r="G137" i="7"/>
  <c r="I126" i="7"/>
  <c r="P113" i="7"/>
  <c r="G101" i="7"/>
  <c r="P51" i="7"/>
  <c r="J160" i="7"/>
  <c r="O127" i="7"/>
  <c r="R114" i="7"/>
  <c r="I102" i="7"/>
  <c r="I91" i="7"/>
  <c r="Q150" i="7"/>
  <c r="G127" i="7"/>
  <c r="Q114" i="7"/>
  <c r="H93" i="7"/>
  <c r="I58" i="7"/>
  <c r="I28" i="7"/>
  <c r="I19" i="7"/>
  <c r="P10" i="7"/>
  <c r="I159" i="7"/>
  <c r="Q146" i="7"/>
  <c r="H123" i="7"/>
  <c r="J112" i="7"/>
  <c r="J86" i="7"/>
  <c r="I73" i="7"/>
  <c r="P62" i="7"/>
  <c r="P56" i="7"/>
  <c r="P50" i="7"/>
  <c r="P44" i="7"/>
  <c r="P14" i="7"/>
  <c r="P11" i="7"/>
  <c r="I119" i="7"/>
  <c r="I101" i="7"/>
  <c r="G86" i="7"/>
  <c r="G56" i="7"/>
  <c r="G41" i="7"/>
  <c r="R138" i="7"/>
  <c r="P69" i="7"/>
  <c r="P45" i="7"/>
  <c r="P36" i="7"/>
  <c r="G11" i="7"/>
  <c r="J154" i="7"/>
  <c r="I138" i="7"/>
  <c r="O109" i="7"/>
  <c r="I93" i="7"/>
  <c r="P55" i="7"/>
  <c r="P28" i="7"/>
  <c r="P16" i="7"/>
  <c r="I160" i="7"/>
  <c r="Q148" i="7"/>
  <c r="G129" i="7"/>
  <c r="G109" i="7"/>
  <c r="Q96" i="7"/>
  <c r="I64" i="7"/>
  <c r="I55" i="7"/>
  <c r="I34" i="7"/>
  <c r="I25" i="7"/>
  <c r="I13" i="7"/>
  <c r="I167" i="7"/>
  <c r="I163" i="7"/>
  <c r="I158" i="7"/>
  <c r="I148" i="7"/>
  <c r="I146" i="7"/>
  <c r="Q144" i="7"/>
  <c r="Q142" i="7"/>
  <c r="G141" i="7"/>
  <c r="G139" i="7"/>
  <c r="O137" i="7"/>
  <c r="O135" i="7"/>
  <c r="I130" i="7"/>
  <c r="I128" i="7"/>
  <c r="Q126" i="7"/>
  <c r="Q124" i="7"/>
  <c r="G123" i="7"/>
  <c r="G121" i="7"/>
  <c r="O119" i="7"/>
  <c r="O117" i="7"/>
  <c r="I112" i="7"/>
  <c r="I110" i="7"/>
  <c r="Q108" i="7"/>
  <c r="Q106" i="7"/>
  <c r="G105" i="7"/>
  <c r="G103" i="7"/>
  <c r="O101" i="7"/>
  <c r="O99" i="7"/>
  <c r="I94" i="7"/>
  <c r="Q92" i="7"/>
  <c r="I86" i="7"/>
  <c r="J79" i="7"/>
  <c r="H75" i="7"/>
  <c r="C75" i="7" s="1"/>
  <c r="H73" i="7"/>
  <c r="C73" i="7" s="1"/>
  <c r="I71" i="7"/>
  <c r="I68" i="7"/>
  <c r="I65" i="7"/>
  <c r="I62" i="7"/>
  <c r="I59" i="7"/>
  <c r="I56" i="7"/>
  <c r="I53" i="7"/>
  <c r="I50" i="7"/>
  <c r="I47" i="7"/>
  <c r="I44" i="7"/>
  <c r="I41" i="7"/>
  <c r="I38" i="7"/>
  <c r="I35" i="7"/>
  <c r="I32" i="7"/>
  <c r="I29" i="7"/>
  <c r="I26" i="7"/>
  <c r="I23" i="7"/>
  <c r="I20" i="7"/>
  <c r="I17" i="7"/>
  <c r="I14" i="7"/>
  <c r="G10" i="7"/>
  <c r="H163" i="7"/>
  <c r="J155" i="7"/>
  <c r="R151" i="7"/>
  <c r="H148" i="7"/>
  <c r="J137" i="7"/>
  <c r="J135" i="7"/>
  <c r="R131" i="7"/>
  <c r="H130" i="7"/>
  <c r="P126" i="7"/>
  <c r="P124" i="7"/>
  <c r="J119" i="7"/>
  <c r="R115" i="7"/>
  <c r="H112" i="7"/>
  <c r="P108" i="7"/>
  <c r="J99" i="7"/>
  <c r="R95" i="7"/>
  <c r="H94" i="7"/>
  <c r="H86" i="7"/>
  <c r="C86" i="7" s="1"/>
  <c r="I81" i="7"/>
  <c r="I79" i="7"/>
  <c r="I77" i="7"/>
  <c r="G75" i="7"/>
  <c r="G73" i="7"/>
  <c r="H71" i="7"/>
  <c r="C71" i="7" s="1"/>
  <c r="H68" i="7"/>
  <c r="C68" i="7" s="1"/>
  <c r="H65" i="7"/>
  <c r="C65" i="7" s="1"/>
  <c r="H62" i="7"/>
  <c r="C62" i="7" s="1"/>
  <c r="H59" i="7"/>
  <c r="C59" i="7" s="1"/>
  <c r="H53" i="7"/>
  <c r="C53" i="7" s="1"/>
  <c r="H50" i="7"/>
  <c r="C50" i="7" s="1"/>
  <c r="H47" i="7"/>
  <c r="C47" i="7" s="1"/>
  <c r="H44" i="7"/>
  <c r="C44" i="7" s="1"/>
  <c r="H41" i="7"/>
  <c r="C41" i="7" s="1"/>
  <c r="H38" i="7"/>
  <c r="C38" i="7" s="1"/>
  <c r="H35" i="7"/>
  <c r="C35" i="7" s="1"/>
  <c r="H32" i="7"/>
  <c r="C32" i="7" s="1"/>
  <c r="H29" i="7"/>
  <c r="C29" i="7" s="1"/>
  <c r="H26" i="7"/>
  <c r="C26" i="7" s="1"/>
  <c r="H23" i="7"/>
  <c r="C23" i="7" s="1"/>
  <c r="H20" i="7"/>
  <c r="C20" i="7" s="1"/>
  <c r="H17" i="7"/>
  <c r="C17" i="7" s="1"/>
  <c r="H14" i="7"/>
  <c r="C14" i="7" s="1"/>
  <c r="I11" i="7"/>
  <c r="G167" i="7"/>
  <c r="Q151" i="7"/>
  <c r="G148" i="7"/>
  <c r="Q133" i="7"/>
  <c r="G128" i="7"/>
  <c r="O124" i="7"/>
  <c r="I117" i="7"/>
  <c r="G110" i="7"/>
  <c r="G94" i="7"/>
  <c r="G68" i="7"/>
  <c r="G62" i="7"/>
  <c r="G38" i="7"/>
  <c r="G26" i="7"/>
  <c r="J166" i="7"/>
  <c r="H153" i="7"/>
  <c r="Q140" i="7"/>
  <c r="G119" i="7"/>
  <c r="J106" i="7"/>
  <c r="H99" i="7"/>
  <c r="I92" i="7"/>
  <c r="G81" i="7"/>
  <c r="P60" i="7"/>
  <c r="P54" i="7"/>
  <c r="P39" i="7"/>
  <c r="P33" i="7"/>
  <c r="P27" i="7"/>
  <c r="P24" i="7"/>
  <c r="P12" i="7"/>
  <c r="J169" i="7"/>
  <c r="Q152" i="7"/>
  <c r="H129" i="7"/>
  <c r="I120" i="7"/>
  <c r="H111" i="7"/>
  <c r="J100" i="7"/>
  <c r="J82" i="7"/>
  <c r="H76" i="7"/>
  <c r="C76" i="7" s="1"/>
  <c r="P67" i="7"/>
  <c r="P61" i="7"/>
  <c r="P46" i="7"/>
  <c r="P34" i="7"/>
  <c r="P22" i="7"/>
  <c r="H167" i="7"/>
  <c r="H158" i="7"/>
  <c r="J153" i="7"/>
  <c r="R149" i="7"/>
  <c r="H146" i="7"/>
  <c r="R133" i="7"/>
  <c r="H128" i="7"/>
  <c r="J117" i="7"/>
  <c r="R113" i="7"/>
  <c r="H110" i="7"/>
  <c r="P106" i="7"/>
  <c r="J101" i="7"/>
  <c r="R97" i="7"/>
  <c r="H56" i="7"/>
  <c r="C56" i="7" s="1"/>
  <c r="G158" i="7"/>
  <c r="G146" i="7"/>
  <c r="I135" i="7"/>
  <c r="O126" i="7"/>
  <c r="Q113" i="7"/>
  <c r="O106" i="7"/>
  <c r="Q97" i="7"/>
  <c r="G65" i="7"/>
  <c r="P8" i="7"/>
  <c r="J157" i="7"/>
  <c r="I144" i="7"/>
  <c r="O133" i="7"/>
  <c r="R120" i="7"/>
  <c r="I108" i="7"/>
  <c r="O97" i="7"/>
  <c r="I83" i="7"/>
  <c r="P42" i="7"/>
  <c r="P18" i="7"/>
  <c r="R132" i="7"/>
  <c r="G113" i="7"/>
  <c r="R96" i="7"/>
  <c r="I9" i="7"/>
  <c r="I164" i="7"/>
  <c r="I152" i="7"/>
  <c r="G145" i="7"/>
  <c r="I134" i="7"/>
  <c r="I118" i="7"/>
  <c r="O105" i="7"/>
  <c r="Q94" i="7"/>
  <c r="I80" i="7"/>
  <c r="I61" i="7"/>
  <c r="I52" i="7"/>
  <c r="I46" i="7"/>
  <c r="H9" i="7"/>
  <c r="C9" i="7" s="1"/>
  <c r="I170" i="7"/>
  <c r="I166" i="7"/>
  <c r="I161" i="7"/>
  <c r="I157" i="7"/>
  <c r="Q154" i="7"/>
  <c r="G153" i="7"/>
  <c r="G151" i="7"/>
  <c r="I142" i="7"/>
  <c r="I140" i="7"/>
  <c r="Q138" i="7"/>
  <c r="Q136" i="7"/>
  <c r="G135" i="7"/>
  <c r="G133" i="7"/>
  <c r="O131" i="7"/>
  <c r="O129" i="7"/>
  <c r="I124" i="7"/>
  <c r="I122" i="7"/>
  <c r="Q120" i="7"/>
  <c r="Q118" i="7"/>
  <c r="G117" i="7"/>
  <c r="G115" i="7"/>
  <c r="O113" i="7"/>
  <c r="O111" i="7"/>
  <c r="I106" i="7"/>
  <c r="I104" i="7"/>
  <c r="Q102" i="7"/>
  <c r="Q100" i="7"/>
  <c r="G99" i="7"/>
  <c r="G97" i="7"/>
  <c r="H92" i="7"/>
  <c r="J85" i="7"/>
  <c r="I72" i="7"/>
  <c r="I69" i="7"/>
  <c r="I66" i="7"/>
  <c r="I63" i="7"/>
  <c r="I60" i="7"/>
  <c r="I57" i="7"/>
  <c r="I54" i="7"/>
  <c r="I51" i="7"/>
  <c r="I48" i="7"/>
  <c r="I45" i="7"/>
  <c r="I42" i="7"/>
  <c r="I39" i="7"/>
  <c r="I36" i="7"/>
  <c r="I33" i="7"/>
  <c r="I30" i="7"/>
  <c r="I27" i="7"/>
  <c r="I24" i="7"/>
  <c r="I21" i="7"/>
  <c r="I18" i="7"/>
  <c r="I15" i="7"/>
  <c r="I12" i="7"/>
  <c r="I8" i="7"/>
  <c r="I85" i="7"/>
  <c r="H63" i="7"/>
  <c r="C63" i="7" s="1"/>
  <c r="H60" i="7"/>
  <c r="C60" i="7" s="1"/>
  <c r="H57" i="7"/>
  <c r="C57" i="7" s="1"/>
  <c r="H54" i="7"/>
  <c r="C54" i="7" s="1"/>
  <c r="H51" i="7"/>
  <c r="C51" i="7" s="1"/>
  <c r="H48" i="7"/>
  <c r="C48" i="7" s="1"/>
  <c r="H45" i="7"/>
  <c r="C45" i="7" s="1"/>
  <c r="H42" i="7"/>
  <c r="C42" i="7" s="1"/>
  <c r="H39" i="7"/>
  <c r="C39" i="7" s="1"/>
  <c r="H36" i="7"/>
  <c r="C36" i="7" s="1"/>
  <c r="H33" i="7"/>
  <c r="C33" i="7" s="1"/>
  <c r="H30" i="7"/>
  <c r="C30" i="7" s="1"/>
  <c r="H27" i="7"/>
  <c r="C27" i="7" s="1"/>
  <c r="H24" i="7"/>
  <c r="C24" i="7" s="1"/>
  <c r="H21" i="7"/>
  <c r="C21" i="7" s="1"/>
  <c r="H8" i="7"/>
  <c r="C8" i="7" s="1"/>
  <c r="G166" i="7"/>
  <c r="G161" i="7"/>
  <c r="I111" i="7"/>
  <c r="J91" i="7"/>
  <c r="G60" i="7"/>
  <c r="G57" i="7"/>
  <c r="G54" i="7"/>
  <c r="G51" i="7"/>
  <c r="G48" i="7"/>
  <c r="G45" i="7"/>
  <c r="G42" i="7"/>
  <c r="G39" i="7"/>
  <c r="G36" i="7"/>
  <c r="G27" i="7"/>
  <c r="G24" i="7"/>
  <c r="G21" i="7"/>
  <c r="G18" i="7"/>
  <c r="G15" i="7"/>
  <c r="G12" i="7"/>
  <c r="G8" i="7"/>
  <c r="I165" i="7"/>
  <c r="H147" i="7"/>
  <c r="Q134" i="7"/>
  <c r="P70" i="7"/>
  <c r="P31" i="7"/>
  <c r="Q130" i="7"/>
  <c r="G111" i="7"/>
  <c r="I98" i="7"/>
  <c r="I82" i="7"/>
  <c r="I70" i="7"/>
  <c r="I43" i="7"/>
  <c r="H170" i="7"/>
  <c r="H166" i="7"/>
  <c r="H161" i="7"/>
  <c r="H157" i="7"/>
  <c r="J149" i="7"/>
  <c r="J147" i="7"/>
  <c r="R145" i="7"/>
  <c r="R143" i="7"/>
  <c r="H142" i="7"/>
  <c r="H140" i="7"/>
  <c r="P138" i="7"/>
  <c r="P136" i="7"/>
  <c r="J131" i="7"/>
  <c r="J129" i="7"/>
  <c r="R127" i="7"/>
  <c r="R125" i="7"/>
  <c r="H124" i="7"/>
  <c r="H122" i="7"/>
  <c r="P120" i="7"/>
  <c r="P118" i="7"/>
  <c r="J113" i="7"/>
  <c r="J111" i="7"/>
  <c r="R109" i="7"/>
  <c r="R107" i="7"/>
  <c r="H106" i="7"/>
  <c r="H104" i="7"/>
  <c r="P102" i="7"/>
  <c r="P100" i="7"/>
  <c r="J95" i="7"/>
  <c r="G92" i="7"/>
  <c r="J76" i="7"/>
  <c r="H72" i="7"/>
  <c r="C72" i="7" s="1"/>
  <c r="H69" i="7"/>
  <c r="C69" i="7" s="1"/>
  <c r="H66" i="7"/>
  <c r="C66" i="7" s="1"/>
  <c r="H18" i="7"/>
  <c r="C18" i="7" s="1"/>
  <c r="H15" i="7"/>
  <c r="C15" i="7" s="1"/>
  <c r="H12" i="7"/>
  <c r="C12" i="7" s="1"/>
  <c r="P9" i="7"/>
  <c r="G170" i="7"/>
  <c r="G157" i="7"/>
  <c r="I149" i="7"/>
  <c r="I147" i="7"/>
  <c r="Q145" i="7"/>
  <c r="Q143" i="7"/>
  <c r="G142" i="7"/>
  <c r="G140" i="7"/>
  <c r="O138" i="7"/>
  <c r="O136" i="7"/>
  <c r="I131" i="7"/>
  <c r="I129" i="7"/>
  <c r="Q127" i="7"/>
  <c r="Q125" i="7"/>
  <c r="G124" i="7"/>
  <c r="G122" i="7"/>
  <c r="O120" i="7"/>
  <c r="O118" i="7"/>
  <c r="I113" i="7"/>
  <c r="Q109" i="7"/>
  <c r="Q107" i="7"/>
  <c r="G106" i="7"/>
  <c r="G104" i="7"/>
  <c r="O102" i="7"/>
  <c r="O100" i="7"/>
  <c r="I95" i="7"/>
  <c r="J93" i="7"/>
  <c r="G85" i="7"/>
  <c r="I78" i="7"/>
  <c r="I76" i="7"/>
  <c r="I74" i="7"/>
  <c r="G72" i="7"/>
  <c r="G69" i="7"/>
  <c r="G66" i="7"/>
  <c r="G63" i="7"/>
  <c r="G33" i="7"/>
  <c r="G30" i="7"/>
  <c r="R150" i="7"/>
  <c r="G131" i="7"/>
  <c r="J118" i="7"/>
  <c r="G95" i="7"/>
  <c r="H78" i="7"/>
  <c r="C78" i="7" s="1"/>
  <c r="P64" i="7"/>
  <c r="P52" i="7"/>
  <c r="P40" i="7"/>
  <c r="P13" i="7"/>
  <c r="I169" i="7"/>
  <c r="Q132" i="7"/>
  <c r="O123" i="7"/>
  <c r="Q112" i="7"/>
  <c r="H91" i="7"/>
  <c r="G78" i="7"/>
  <c r="I67" i="7"/>
  <c r="I31" i="7"/>
  <c r="I22" i="7"/>
  <c r="AQ554" i="16"/>
  <c r="AQ552" i="16"/>
  <c r="AQ535" i="16"/>
  <c r="AQ518" i="16"/>
  <c r="AQ516" i="16"/>
  <c r="AQ550" i="16"/>
  <c r="AQ548" i="16"/>
  <c r="AQ546" i="16"/>
  <c r="AQ529" i="16"/>
  <c r="AQ512" i="16"/>
  <c r="AQ510" i="16"/>
  <c r="AQ561" i="16"/>
  <c r="AQ544" i="16"/>
  <c r="AQ527" i="16"/>
  <c r="AQ525" i="16"/>
  <c r="AQ508" i="16"/>
  <c r="AQ503" i="16"/>
  <c r="AQ500" i="16"/>
  <c r="AQ497" i="16"/>
  <c r="AQ494" i="16"/>
  <c r="AQ491" i="16"/>
  <c r="AQ488" i="16"/>
  <c r="AQ485" i="16"/>
  <c r="AQ482" i="16"/>
  <c r="AQ479" i="16"/>
  <c r="AQ476" i="16"/>
  <c r="AQ473" i="16"/>
  <c r="AQ470" i="16"/>
  <c r="AQ467" i="16"/>
  <c r="AQ464" i="16"/>
  <c r="AQ461" i="16"/>
  <c r="AQ458" i="16"/>
  <c r="AQ455" i="16"/>
  <c r="AQ452" i="16"/>
  <c r="AQ449" i="16"/>
  <c r="AQ446" i="16"/>
  <c r="AQ443" i="16"/>
  <c r="AQ440" i="16"/>
  <c r="AQ437" i="16"/>
  <c r="AQ541" i="16"/>
  <c r="AQ540" i="16"/>
  <c r="AQ513" i="16"/>
  <c r="AQ506" i="16"/>
  <c r="AQ498" i="16"/>
  <c r="AQ483" i="16"/>
  <c r="AQ478" i="16"/>
  <c r="AQ471" i="16"/>
  <c r="AQ454" i="16"/>
  <c r="AQ435" i="16"/>
  <c r="AQ547" i="16"/>
  <c r="AQ520" i="16"/>
  <c r="AQ519" i="16"/>
  <c r="AQ502" i="16"/>
  <c r="AQ469" i="16"/>
  <c r="AQ450" i="16"/>
  <c r="AQ533" i="16"/>
  <c r="AQ526" i="16"/>
  <c r="AQ480" i="16"/>
  <c r="AQ475" i="16"/>
  <c r="AQ465" i="16"/>
  <c r="AQ448" i="16"/>
  <c r="AQ532" i="16"/>
  <c r="AQ501" i="16"/>
  <c r="AQ463" i="16"/>
  <c r="AQ444" i="16"/>
  <c r="AQ539" i="16"/>
  <c r="AQ538" i="16"/>
  <c r="AQ511" i="16"/>
  <c r="AQ505" i="16"/>
  <c r="AQ493" i="16"/>
  <c r="AQ490" i="16"/>
  <c r="AQ477" i="16"/>
  <c r="AQ459" i="16"/>
  <c r="AQ442" i="16"/>
  <c r="AQ557" i="16"/>
  <c r="AQ489" i="16"/>
  <c r="AQ445" i="16"/>
  <c r="AQ562" i="16"/>
  <c r="AQ484" i="16"/>
  <c r="AQ474" i="16"/>
  <c r="AQ438" i="16"/>
  <c r="AQ555" i="16"/>
  <c r="AQ514" i="16"/>
  <c r="AQ457" i="16"/>
  <c r="AQ447" i="16"/>
  <c r="AQ545" i="16"/>
  <c r="AQ466" i="16"/>
  <c r="AQ456" i="16"/>
  <c r="AQ560" i="16"/>
  <c r="AQ542" i="16"/>
  <c r="AQ536" i="16"/>
  <c r="AQ530" i="16"/>
  <c r="AQ524" i="16"/>
  <c r="AQ559" i="16"/>
  <c r="AQ553" i="16"/>
  <c r="AQ522" i="16"/>
  <c r="AQ504" i="16"/>
  <c r="AQ492" i="16"/>
  <c r="AQ537" i="16"/>
  <c r="AQ556" i="16"/>
  <c r="AQ499" i="16"/>
  <c r="AQ521" i="16"/>
  <c r="AQ517" i="16"/>
  <c r="AQ509" i="16"/>
  <c r="AQ531" i="16"/>
  <c r="AQ528" i="16"/>
  <c r="AQ481" i="16"/>
  <c r="AQ472" i="16"/>
  <c r="AQ543" i="16"/>
  <c r="AQ487" i="16"/>
  <c r="AQ558" i="16"/>
  <c r="AQ534" i="16"/>
  <c r="AQ495" i="16"/>
  <c r="AQ441" i="16"/>
  <c r="AQ436" i="16"/>
  <c r="AQ551" i="16"/>
  <c r="AQ453" i="16"/>
  <c r="AQ515" i="16"/>
  <c r="AQ462" i="16"/>
  <c r="AQ460" i="16"/>
  <c r="AQ439" i="16"/>
  <c r="AQ468" i="16"/>
  <c r="AQ507" i="16"/>
  <c r="AQ549" i="16"/>
  <c r="AQ523" i="16"/>
  <c r="AQ496" i="16"/>
  <c r="AQ486" i="16"/>
  <c r="AQ451" i="16"/>
  <c r="U61" i="20"/>
  <c r="R63" i="20"/>
  <c r="X62" i="20"/>
  <c r="X63" i="20" s="1"/>
  <c r="X65" i="20" s="1"/>
  <c r="AG61" i="20" s="1"/>
  <c r="AG65" i="20" s="1"/>
  <c r="CN16" i="20" s="1"/>
  <c r="EN36" i="20"/>
  <c r="AH558" i="16"/>
  <c r="AH541" i="16"/>
  <c r="AH539" i="16"/>
  <c r="AH522" i="16"/>
  <c r="AH556" i="16"/>
  <c r="AH554" i="16"/>
  <c r="AH552" i="16"/>
  <c r="AH535" i="16"/>
  <c r="AH533" i="16"/>
  <c r="AH516" i="16"/>
  <c r="AH550" i="16"/>
  <c r="AH548" i="16"/>
  <c r="AH531" i="16"/>
  <c r="AH514" i="16"/>
  <c r="AH512" i="16"/>
  <c r="AH553" i="16"/>
  <c r="AH551" i="16"/>
  <c r="AH528" i="16"/>
  <c r="AH527" i="16"/>
  <c r="AH491" i="16"/>
  <c r="AH486" i="16"/>
  <c r="AH460" i="16"/>
  <c r="AH458" i="16"/>
  <c r="AH441" i="16"/>
  <c r="AH549" i="16"/>
  <c r="AH534" i="16"/>
  <c r="AH507" i="16"/>
  <c r="AH506" i="16"/>
  <c r="AH494" i="16"/>
  <c r="AH478" i="16"/>
  <c r="AH473" i="16"/>
  <c r="AH456" i="16"/>
  <c r="AH439" i="16"/>
  <c r="AH437" i="16"/>
  <c r="AH540" i="16"/>
  <c r="AH520" i="16"/>
  <c r="AH513" i="16"/>
  <c r="AH502" i="16"/>
  <c r="AH498" i="16"/>
  <c r="AH488" i="16"/>
  <c r="AH483" i="16"/>
  <c r="AH471" i="16"/>
  <c r="AH454" i="16"/>
  <c r="AH452" i="16"/>
  <c r="AH435" i="16"/>
  <c r="AH547" i="16"/>
  <c r="AH546" i="16"/>
  <c r="AH519" i="16"/>
  <c r="AH475" i="16"/>
  <c r="AH469" i="16"/>
  <c r="AH467" i="16"/>
  <c r="AH450" i="16"/>
  <c r="AH526" i="16"/>
  <c r="AH525" i="16"/>
  <c r="AH497" i="16"/>
  <c r="AH485" i="16"/>
  <c r="AH480" i="16"/>
  <c r="AH465" i="16"/>
  <c r="AH448" i="16"/>
  <c r="AH446" i="16"/>
  <c r="AH544" i="16"/>
  <c r="AH538" i="16"/>
  <c r="AH532" i="16"/>
  <c r="AH501" i="16"/>
  <c r="AH472" i="16"/>
  <c r="AH462" i="16"/>
  <c r="AH557" i="16"/>
  <c r="AH529" i="16"/>
  <c r="AH523" i="16"/>
  <c r="AH517" i="16"/>
  <c r="AH511" i="16"/>
  <c r="AH505" i="16"/>
  <c r="AH455" i="16"/>
  <c r="AH436" i="16"/>
  <c r="AH508" i="16"/>
  <c r="AH490" i="16"/>
  <c r="AH489" i="16"/>
  <c r="AH484" i="16"/>
  <c r="AH479" i="16"/>
  <c r="AH464" i="16"/>
  <c r="AH445" i="16"/>
  <c r="AH562" i="16"/>
  <c r="AH474" i="16"/>
  <c r="AH438" i="16"/>
  <c r="AH555" i="16"/>
  <c r="AH545" i="16"/>
  <c r="AH518" i="16"/>
  <c r="AH457" i="16"/>
  <c r="AH447" i="16"/>
  <c r="AH509" i="16"/>
  <c r="AH542" i="16"/>
  <c r="AH524" i="16"/>
  <c r="AH559" i="16"/>
  <c r="AH537" i="16"/>
  <c r="AH504" i="16"/>
  <c r="AH492" i="16"/>
  <c r="AH440" i="16"/>
  <c r="AH499" i="16"/>
  <c r="AH477" i="16"/>
  <c r="AH444" i="16"/>
  <c r="AH442" i="16"/>
  <c r="AH482" i="16"/>
  <c r="AH495" i="16"/>
  <c r="AH449" i="16"/>
  <c r="AH560" i="16"/>
  <c r="AH481" i="16"/>
  <c r="AH466" i="16"/>
  <c r="AH463" i="16"/>
  <c r="AH500" i="16"/>
  <c r="AH476" i="16"/>
  <c r="AH510" i="16"/>
  <c r="AH503" i="16"/>
  <c r="AH496" i="16"/>
  <c r="AH487" i="16"/>
  <c r="AH459" i="16"/>
  <c r="AH453" i="16"/>
  <c r="AH536" i="16"/>
  <c r="AH493" i="16"/>
  <c r="AH530" i="16"/>
  <c r="AH470" i="16"/>
  <c r="AH468" i="16"/>
  <c r="AH561" i="16"/>
  <c r="AH521" i="16"/>
  <c r="AH443" i="16"/>
  <c r="AH461" i="16"/>
  <c r="AH515" i="16"/>
  <c r="AH451" i="16"/>
  <c r="AH543" i="16"/>
  <c r="T13" i="7"/>
  <c r="S13" i="7"/>
  <c r="N13" i="7" s="1"/>
  <c r="T58" i="7"/>
  <c r="S58" i="7"/>
  <c r="N58" i="7" s="1"/>
  <c r="S23" i="7"/>
  <c r="N23" i="7" s="1"/>
  <c r="T23" i="7"/>
  <c r="T69" i="7"/>
  <c r="S69" i="7"/>
  <c r="N69" i="7" s="1"/>
  <c r="S59" i="7"/>
  <c r="N59" i="7" s="1"/>
  <c r="T59" i="7"/>
  <c r="R359" i="11"/>
  <c r="BA118" i="20"/>
  <c r="BG17" i="20"/>
  <c r="BG18" i="20" s="1"/>
  <c r="BG20" i="20" s="1"/>
  <c r="BP16" i="20" s="1"/>
  <c r="BP20" i="20" s="1"/>
  <c r="CQ7" i="20" s="1"/>
  <c r="DT36" i="20"/>
  <c r="X57" i="20"/>
  <c r="X58" i="20" s="1"/>
  <c r="X60" i="20" s="1"/>
  <c r="AG56" i="20" s="1"/>
  <c r="AG60" i="20" s="1"/>
  <c r="CN15" i="20" s="1"/>
  <c r="R20" i="20"/>
  <c r="U20" i="20" s="1"/>
  <c r="U18" i="20"/>
  <c r="BA115" i="20"/>
  <c r="BD115" i="20" s="1"/>
  <c r="BD113" i="20"/>
  <c r="ED36" i="20"/>
  <c r="BQ5" i="22"/>
  <c r="BQ12" i="22"/>
  <c r="AI560" i="16"/>
  <c r="AI557" i="16"/>
  <c r="AI554" i="16"/>
  <c r="AI551" i="16"/>
  <c r="AI548" i="16"/>
  <c r="AI545" i="16"/>
  <c r="AI542" i="16"/>
  <c r="AI539" i="16"/>
  <c r="AI536" i="16"/>
  <c r="AI533" i="16"/>
  <c r="AI530" i="16"/>
  <c r="AI527" i="16"/>
  <c r="AI524" i="16"/>
  <c r="AI521" i="16"/>
  <c r="AI518" i="16"/>
  <c r="AI515" i="16"/>
  <c r="AI512" i="16"/>
  <c r="AI509" i="16"/>
  <c r="AI506" i="16"/>
  <c r="AI556" i="16"/>
  <c r="AI537" i="16"/>
  <c r="AI520" i="16"/>
  <c r="AI505" i="16"/>
  <c r="AI502" i="16"/>
  <c r="AI499" i="16"/>
  <c r="AI496" i="16"/>
  <c r="AI493" i="16"/>
  <c r="AI490" i="16"/>
  <c r="AI487" i="16"/>
  <c r="AI484" i="16"/>
  <c r="AI481" i="16"/>
  <c r="AI478" i="16"/>
  <c r="AI475" i="16"/>
  <c r="AI552" i="16"/>
  <c r="AI550" i="16"/>
  <c r="AI531" i="16"/>
  <c r="AI514" i="16"/>
  <c r="AI546" i="16"/>
  <c r="AI529" i="16"/>
  <c r="AI510" i="16"/>
  <c r="AI549" i="16"/>
  <c r="AI534" i="16"/>
  <c r="AI507" i="16"/>
  <c r="AI494" i="16"/>
  <c r="AI473" i="16"/>
  <c r="AI456" i="16"/>
  <c r="AI439" i="16"/>
  <c r="AI437" i="16"/>
  <c r="AI541" i="16"/>
  <c r="AI540" i="16"/>
  <c r="AI513" i="16"/>
  <c r="AI498" i="16"/>
  <c r="AI488" i="16"/>
  <c r="AI483" i="16"/>
  <c r="AI471" i="16"/>
  <c r="AI454" i="16"/>
  <c r="AI452" i="16"/>
  <c r="AI435" i="16"/>
  <c r="AI547" i="16"/>
  <c r="AI519" i="16"/>
  <c r="AI469" i="16"/>
  <c r="AI467" i="16"/>
  <c r="AI450" i="16"/>
  <c r="AI526" i="16"/>
  <c r="AI525" i="16"/>
  <c r="AI497" i="16"/>
  <c r="AI485" i="16"/>
  <c r="AI480" i="16"/>
  <c r="AI465" i="16"/>
  <c r="AI448" i="16"/>
  <c r="AI446" i="16"/>
  <c r="AI532" i="16"/>
  <c r="AI501" i="16"/>
  <c r="AI463" i="16"/>
  <c r="AI461" i="16"/>
  <c r="AI444" i="16"/>
  <c r="AI523" i="16"/>
  <c r="AI517" i="16"/>
  <c r="AI511" i="16"/>
  <c r="AI455" i="16"/>
  <c r="AI436" i="16"/>
  <c r="AI508" i="16"/>
  <c r="AI489" i="16"/>
  <c r="AI479" i="16"/>
  <c r="AI464" i="16"/>
  <c r="AI445" i="16"/>
  <c r="AI562" i="16"/>
  <c r="AI535" i="16"/>
  <c r="AI474" i="16"/>
  <c r="AI438" i="16"/>
  <c r="AI555" i="16"/>
  <c r="AI457" i="16"/>
  <c r="AI447" i="16"/>
  <c r="AI466" i="16"/>
  <c r="AI440" i="16"/>
  <c r="AI486" i="16"/>
  <c r="AI462" i="16"/>
  <c r="AI460" i="16"/>
  <c r="AI559" i="16"/>
  <c r="AI553" i="16"/>
  <c r="AI522" i="16"/>
  <c r="AI504" i="16"/>
  <c r="AI492" i="16"/>
  <c r="AI477" i="16"/>
  <c r="AI442" i="16"/>
  <c r="AI561" i="16"/>
  <c r="AI459" i="16"/>
  <c r="AI495" i="16"/>
  <c r="AI449" i="16"/>
  <c r="AI441" i="16"/>
  <c r="AI491" i="16"/>
  <c r="AI458" i="16"/>
  <c r="AI516" i="16"/>
  <c r="AI528" i="16"/>
  <c r="AI472" i="16"/>
  <c r="AI500" i="16"/>
  <c r="AI476" i="16"/>
  <c r="AI558" i="16"/>
  <c r="AI453" i="16"/>
  <c r="AI544" i="16"/>
  <c r="AI503" i="16"/>
  <c r="AI482" i="16"/>
  <c r="AI468" i="16"/>
  <c r="AI538" i="16"/>
  <c r="AI470" i="16"/>
  <c r="AI443" i="16"/>
  <c r="AI451" i="16"/>
  <c r="AI543" i="16"/>
  <c r="DO36" i="20"/>
  <c r="T16" i="7"/>
  <c r="S16" i="7"/>
  <c r="N16" i="7" s="1"/>
  <c r="T61" i="7"/>
  <c r="S61" i="7"/>
  <c r="N61" i="7" s="1"/>
  <c r="T21" i="7"/>
  <c r="S21" i="7"/>
  <c r="N21" i="7" s="1"/>
  <c r="S32" i="7"/>
  <c r="N32" i="7" s="1"/>
  <c r="T32" i="7"/>
  <c r="S62" i="7"/>
  <c r="N62" i="7" s="1"/>
  <c r="T62" i="7"/>
  <c r="EP36" i="20"/>
  <c r="AT561" i="16"/>
  <c r="AT558" i="16"/>
  <c r="AT555" i="16"/>
  <c r="AT552" i="16"/>
  <c r="AT549" i="16"/>
  <c r="AT546" i="16"/>
  <c r="AT543" i="16"/>
  <c r="AT540" i="16"/>
  <c r="AT537" i="16"/>
  <c r="AT534" i="16"/>
  <c r="AT531" i="16"/>
  <c r="AT528" i="16"/>
  <c r="AT525" i="16"/>
  <c r="AT522" i="16"/>
  <c r="AT519" i="16"/>
  <c r="AT516" i="16"/>
  <c r="AT513" i="16"/>
  <c r="AT510" i="16"/>
  <c r="AT507" i="16"/>
  <c r="AT544" i="16"/>
  <c r="AT527" i="16"/>
  <c r="AT508" i="16"/>
  <c r="AT503" i="16"/>
  <c r="AT500" i="16"/>
  <c r="AT497" i="16"/>
  <c r="AT494" i="16"/>
  <c r="AT491" i="16"/>
  <c r="AT488" i="16"/>
  <c r="AT485" i="16"/>
  <c r="AT482" i="16"/>
  <c r="AT479" i="16"/>
  <c r="AT476" i="16"/>
  <c r="AT559" i="16"/>
  <c r="AT557" i="16"/>
  <c r="AT538" i="16"/>
  <c r="AT521" i="16"/>
  <c r="AT553" i="16"/>
  <c r="AT536" i="16"/>
  <c r="AT517" i="16"/>
  <c r="AT533" i="16"/>
  <c r="AT532" i="16"/>
  <c r="AT501" i="16"/>
  <c r="AT463" i="16"/>
  <c r="AT446" i="16"/>
  <c r="AT444" i="16"/>
  <c r="AT539" i="16"/>
  <c r="AT512" i="16"/>
  <c r="AT511" i="16"/>
  <c r="AT505" i="16"/>
  <c r="AT493" i="16"/>
  <c r="AT490" i="16"/>
  <c r="AT477" i="16"/>
  <c r="AT461" i="16"/>
  <c r="AT459" i="16"/>
  <c r="AT442" i="16"/>
  <c r="AT545" i="16"/>
  <c r="AT518" i="16"/>
  <c r="AT457" i="16"/>
  <c r="AT440" i="16"/>
  <c r="AT438" i="16"/>
  <c r="AT524" i="16"/>
  <c r="AT504" i="16"/>
  <c r="AT492" i="16"/>
  <c r="AT487" i="16"/>
  <c r="AT474" i="16"/>
  <c r="AT472" i="16"/>
  <c r="AT455" i="16"/>
  <c r="AT453" i="16"/>
  <c r="AT436" i="16"/>
  <c r="AT530" i="16"/>
  <c r="AT496" i="16"/>
  <c r="AT470" i="16"/>
  <c r="AT468" i="16"/>
  <c r="AT451" i="16"/>
  <c r="AT526" i="16"/>
  <c r="AT520" i="16"/>
  <c r="AT514" i="16"/>
  <c r="AT466" i="16"/>
  <c r="AT456" i="16"/>
  <c r="AT437" i="16"/>
  <c r="AT560" i="16"/>
  <c r="AT498" i="16"/>
  <c r="AT465" i="16"/>
  <c r="AT550" i="16"/>
  <c r="AT515" i="16"/>
  <c r="AT509" i="16"/>
  <c r="AT495" i="16"/>
  <c r="AT449" i="16"/>
  <c r="AT439" i="16"/>
  <c r="AT542" i="16"/>
  <c r="AT502" i="16"/>
  <c r="AT486" i="16"/>
  <c r="AT480" i="16"/>
  <c r="AT458" i="16"/>
  <c r="AT448" i="16"/>
  <c r="AT499" i="16"/>
  <c r="AT481" i="16"/>
  <c r="AT475" i="16"/>
  <c r="AT467" i="16"/>
  <c r="AT441" i="16"/>
  <c r="AT454" i="16"/>
  <c r="AT452" i="16"/>
  <c r="AT506" i="16"/>
  <c r="AT471" i="16"/>
  <c r="AT469" i="16"/>
  <c r="AT473" i="16"/>
  <c r="AT547" i="16"/>
  <c r="AT529" i="16"/>
  <c r="AT435" i="16"/>
  <c r="AT556" i="16"/>
  <c r="AT551" i="16"/>
  <c r="AT443" i="16"/>
  <c r="AT460" i="16"/>
  <c r="AT478" i="16"/>
  <c r="AT462" i="16"/>
  <c r="AT489" i="16"/>
  <c r="AT484" i="16"/>
  <c r="AT447" i="16"/>
  <c r="AT554" i="16"/>
  <c r="AT541" i="16"/>
  <c r="AT450" i="16"/>
  <c r="AT483" i="16"/>
  <c r="AT523" i="16"/>
  <c r="AT548" i="16"/>
  <c r="AT562" i="16"/>
  <c r="AT535" i="16"/>
  <c r="AT445" i="16"/>
  <c r="AT464" i="16"/>
  <c r="AF10" i="23"/>
  <c r="AM10" i="23" s="1"/>
  <c r="AF10" i="24"/>
  <c r="AM10" i="24" s="1"/>
  <c r="AD10" i="23"/>
  <c r="AK10" i="23" s="1"/>
  <c r="AF10" i="25"/>
  <c r="AM10" i="25" s="1"/>
  <c r="AD10" i="25"/>
  <c r="AD10" i="24"/>
  <c r="AK10" i="24" s="1"/>
  <c r="DI36" i="20"/>
  <c r="CT32" i="20"/>
  <c r="CU32" i="20"/>
  <c r="O561" i="16"/>
  <c r="O544" i="16"/>
  <c r="O527" i="16"/>
  <c r="O525" i="16"/>
  <c r="O508" i="16"/>
  <c r="O559" i="16"/>
  <c r="O557" i="16"/>
  <c r="O555" i="16"/>
  <c r="O538" i="16"/>
  <c r="O521" i="16"/>
  <c r="O519" i="16"/>
  <c r="O553" i="16"/>
  <c r="O536" i="16"/>
  <c r="O534" i="16"/>
  <c r="O517" i="16"/>
  <c r="O531" i="16"/>
  <c r="O524" i="16"/>
  <c r="O490" i="16"/>
  <c r="O477" i="16"/>
  <c r="O463" i="16"/>
  <c r="O446" i="16"/>
  <c r="O444" i="16"/>
  <c r="O537" i="16"/>
  <c r="O530" i="16"/>
  <c r="O510" i="16"/>
  <c r="O504" i="16"/>
  <c r="O482" i="16"/>
  <c r="O461" i="16"/>
  <c r="O459" i="16"/>
  <c r="O442" i="16"/>
  <c r="O562" i="16"/>
  <c r="O543" i="16"/>
  <c r="O523" i="16"/>
  <c r="O516" i="16"/>
  <c r="O509" i="16"/>
  <c r="O500" i="16"/>
  <c r="O496" i="16"/>
  <c r="O492" i="16"/>
  <c r="O487" i="16"/>
  <c r="O474" i="16"/>
  <c r="O457" i="16"/>
  <c r="O440" i="16"/>
  <c r="O438" i="16"/>
  <c r="O560" i="16"/>
  <c r="O558" i="16"/>
  <c r="O522" i="16"/>
  <c r="O515" i="16"/>
  <c r="O479" i="16"/>
  <c r="O472" i="16"/>
  <c r="O455" i="16"/>
  <c r="O453" i="16"/>
  <c r="O436" i="16"/>
  <c r="O556" i="16"/>
  <c r="O551" i="16"/>
  <c r="O549" i="16"/>
  <c r="O529" i="16"/>
  <c r="O528" i="16"/>
  <c r="O495" i="16"/>
  <c r="O489" i="16"/>
  <c r="O484" i="16"/>
  <c r="O470" i="16"/>
  <c r="O468" i="16"/>
  <c r="O451" i="16"/>
  <c r="O554" i="16"/>
  <c r="O540" i="16"/>
  <c r="O460" i="16"/>
  <c r="O450" i="16"/>
  <c r="O546" i="16"/>
  <c r="O469" i="16"/>
  <c r="O552" i="16"/>
  <c r="O462" i="16"/>
  <c r="O443" i="16"/>
  <c r="O547" i="16"/>
  <c r="O541" i="16"/>
  <c r="O535" i="16"/>
  <c r="O488" i="16"/>
  <c r="O483" i="16"/>
  <c r="O471" i="16"/>
  <c r="O452" i="16"/>
  <c r="O532" i="16"/>
  <c r="O526" i="16"/>
  <c r="O520" i="16"/>
  <c r="O514" i="16"/>
  <c r="O493" i="16"/>
  <c r="O478" i="16"/>
  <c r="O445" i="16"/>
  <c r="O435" i="16"/>
  <c r="O548" i="16"/>
  <c r="O507" i="16"/>
  <c r="O502" i="16"/>
  <c r="O480" i="16"/>
  <c r="O441" i="16"/>
  <c r="O439" i="16"/>
  <c r="O437" i="16"/>
  <c r="O550" i="16"/>
  <c r="O512" i="16"/>
  <c r="O497" i="16"/>
  <c r="O486" i="16"/>
  <c r="O456" i="16"/>
  <c r="O454" i="16"/>
  <c r="O545" i="16"/>
  <c r="O542" i="16"/>
  <c r="O458" i="16"/>
  <c r="O518" i="16"/>
  <c r="O533" i="16"/>
  <c r="O476" i="16"/>
  <c r="O464" i="16"/>
  <c r="O513" i="16"/>
  <c r="O498" i="16"/>
  <c r="O467" i="16"/>
  <c r="O501" i="16"/>
  <c r="O494" i="16"/>
  <c r="O485" i="16"/>
  <c r="O511" i="16"/>
  <c r="O506" i="16"/>
  <c r="O505" i="16"/>
  <c r="O475" i="16"/>
  <c r="O449" i="16"/>
  <c r="O539" i="16"/>
  <c r="O466" i="16"/>
  <c r="O448" i="16"/>
  <c r="O481" i="16"/>
  <c r="O503" i="16"/>
  <c r="O473" i="16"/>
  <c r="O447" i="16"/>
  <c r="O491" i="16"/>
  <c r="O499" i="16"/>
  <c r="O465" i="16"/>
  <c r="M550" i="16"/>
  <c r="M533" i="16"/>
  <c r="M531" i="16"/>
  <c r="M514" i="16"/>
  <c r="M561" i="16"/>
  <c r="M544" i="16"/>
  <c r="M527" i="16"/>
  <c r="M525" i="16"/>
  <c r="M508" i="16"/>
  <c r="M559" i="16"/>
  <c r="M542" i="16"/>
  <c r="M540" i="16"/>
  <c r="M523" i="16"/>
  <c r="M506" i="16"/>
  <c r="M503" i="16"/>
  <c r="M500" i="16"/>
  <c r="M497" i="16"/>
  <c r="M494" i="16"/>
  <c r="M491" i="16"/>
  <c r="M488" i="16"/>
  <c r="M485" i="16"/>
  <c r="M482" i="16"/>
  <c r="M479" i="16"/>
  <c r="M476" i="16"/>
  <c r="M473" i="16"/>
  <c r="M470" i="16"/>
  <c r="M467" i="16"/>
  <c r="M464" i="16"/>
  <c r="M461" i="16"/>
  <c r="M458" i="16"/>
  <c r="M455" i="16"/>
  <c r="M452" i="16"/>
  <c r="M449" i="16"/>
  <c r="M446" i="16"/>
  <c r="M443" i="16"/>
  <c r="M440" i="16"/>
  <c r="M437" i="16"/>
  <c r="M539" i="16"/>
  <c r="M538" i="16"/>
  <c r="M511" i="16"/>
  <c r="M501" i="16"/>
  <c r="M480" i="16"/>
  <c r="M475" i="16"/>
  <c r="M469" i="16"/>
  <c r="M450" i="16"/>
  <c r="M545" i="16"/>
  <c r="M518" i="16"/>
  <c r="M517" i="16"/>
  <c r="M505" i="16"/>
  <c r="M493" i="16"/>
  <c r="M465" i="16"/>
  <c r="M448" i="16"/>
  <c r="M524" i="16"/>
  <c r="M510" i="16"/>
  <c r="M490" i="16"/>
  <c r="M477" i="16"/>
  <c r="M463" i="16"/>
  <c r="M444" i="16"/>
  <c r="M537" i="16"/>
  <c r="M530" i="16"/>
  <c r="M504" i="16"/>
  <c r="M459" i="16"/>
  <c r="M442" i="16"/>
  <c r="M562" i="16"/>
  <c r="M557" i="16"/>
  <c r="M555" i="16"/>
  <c r="M543" i="16"/>
  <c r="M536" i="16"/>
  <c r="M516" i="16"/>
  <c r="M509" i="16"/>
  <c r="M496" i="16"/>
  <c r="M492" i="16"/>
  <c r="M487" i="16"/>
  <c r="M474" i="16"/>
  <c r="M457" i="16"/>
  <c r="M438" i="16"/>
  <c r="M549" i="16"/>
  <c r="M534" i="16"/>
  <c r="M528" i="16"/>
  <c r="M522" i="16"/>
  <c r="M481" i="16"/>
  <c r="M519" i="16"/>
  <c r="M513" i="16"/>
  <c r="M507" i="16"/>
  <c r="M451" i="16"/>
  <c r="M441" i="16"/>
  <c r="M554" i="16"/>
  <c r="M546" i="16"/>
  <c r="M460" i="16"/>
  <c r="M453" i="16"/>
  <c r="M552" i="16"/>
  <c r="M529" i="16"/>
  <c r="M472" i="16"/>
  <c r="M462" i="16"/>
  <c r="M551" i="16"/>
  <c r="M535" i="16"/>
  <c r="M478" i="16"/>
  <c r="M548" i="16"/>
  <c r="M495" i="16"/>
  <c r="M484" i="16"/>
  <c r="M468" i="16"/>
  <c r="M466" i="16"/>
  <c r="M553" i="16"/>
  <c r="M435" i="16"/>
  <c r="M532" i="16"/>
  <c r="M512" i="16"/>
  <c r="M502" i="16"/>
  <c r="M439" i="16"/>
  <c r="M521" i="16"/>
  <c r="M499" i="16"/>
  <c r="M447" i="16"/>
  <c r="M556" i="16"/>
  <c r="M547" i="16"/>
  <c r="M560" i="16"/>
  <c r="M541" i="16"/>
  <c r="M486" i="16"/>
  <c r="M454" i="16"/>
  <c r="M471" i="16"/>
  <c r="M558" i="16"/>
  <c r="M436" i="16"/>
  <c r="M445" i="16"/>
  <c r="M520" i="16"/>
  <c r="M515" i="16"/>
  <c r="M526" i="16"/>
  <c r="M489" i="16"/>
  <c r="M456" i="16"/>
  <c r="M483" i="16"/>
  <c r="M498" i="16"/>
  <c r="AH10" i="25"/>
  <c r="AH10" i="24"/>
  <c r="AO10" i="24" s="1"/>
  <c r="AH10" i="23"/>
  <c r="AO10" i="23" s="1"/>
  <c r="BA85" i="20"/>
  <c r="BD85" i="20" s="1"/>
  <c r="BD83" i="20"/>
  <c r="R105" i="20"/>
  <c r="U105" i="20" s="1"/>
  <c r="U103" i="20"/>
  <c r="CU33" i="20"/>
  <c r="CT33" i="20"/>
  <c r="EV36" i="20"/>
  <c r="DC36" i="20"/>
  <c r="R8" i="20"/>
  <c r="X7" i="20"/>
  <c r="X8" i="20" s="1"/>
  <c r="X10" i="20" s="1"/>
  <c r="AG6" i="20" s="1"/>
  <c r="AG10" i="20" s="1"/>
  <c r="CN5" i="20" s="1"/>
  <c r="U6" i="20"/>
  <c r="BG7" i="20"/>
  <c r="BG8" i="20" s="1"/>
  <c r="BG10" i="20" s="1"/>
  <c r="BP6" i="20" s="1"/>
  <c r="BP10" i="20" s="1"/>
  <c r="CQ5" i="20" s="1"/>
  <c r="BD6" i="20"/>
  <c r="BA8" i="20"/>
  <c r="CV36" i="20"/>
  <c r="Y555" i="16"/>
  <c r="Y553" i="16"/>
  <c r="Y536" i="16"/>
  <c r="Y519" i="16"/>
  <c r="Y517" i="16"/>
  <c r="Y551" i="16"/>
  <c r="Y549" i="16"/>
  <c r="Y547" i="16"/>
  <c r="Y530" i="16"/>
  <c r="Y513" i="16"/>
  <c r="Y511" i="16"/>
  <c r="Y504" i="16"/>
  <c r="Y501" i="16"/>
  <c r="Y498" i="16"/>
  <c r="Y495" i="16"/>
  <c r="Y562" i="16"/>
  <c r="Y545" i="16"/>
  <c r="Y528" i="16"/>
  <c r="Y526" i="16"/>
  <c r="Y509" i="16"/>
  <c r="Y560" i="16"/>
  <c r="Y543" i="16"/>
  <c r="Y523" i="16"/>
  <c r="Y516" i="16"/>
  <c r="Y500" i="16"/>
  <c r="Y492" i="16"/>
  <c r="Y474" i="16"/>
  <c r="Y472" i="16"/>
  <c r="Y455" i="16"/>
  <c r="Y438" i="16"/>
  <c r="Y436" i="16"/>
  <c r="Y558" i="16"/>
  <c r="Y556" i="16"/>
  <c r="Y529" i="16"/>
  <c r="Y522" i="16"/>
  <c r="Y484" i="16"/>
  <c r="Y479" i="16"/>
  <c r="Y470" i="16"/>
  <c r="Y453" i="16"/>
  <c r="Y451" i="16"/>
  <c r="Y561" i="16"/>
  <c r="Y559" i="16"/>
  <c r="Y554" i="16"/>
  <c r="Y535" i="16"/>
  <c r="Y515" i="16"/>
  <c r="Y508" i="16"/>
  <c r="Y499" i="16"/>
  <c r="Y489" i="16"/>
  <c r="Y468" i="16"/>
  <c r="Y466" i="16"/>
  <c r="Y449" i="16"/>
  <c r="Y557" i="16"/>
  <c r="Y552" i="16"/>
  <c r="Y550" i="16"/>
  <c r="Y542" i="16"/>
  <c r="Y541" i="16"/>
  <c r="Y514" i="16"/>
  <c r="Y507" i="16"/>
  <c r="Y503" i="16"/>
  <c r="Y481" i="16"/>
  <c r="Y476" i="16"/>
  <c r="Y464" i="16"/>
  <c r="Y447" i="16"/>
  <c r="Y445" i="16"/>
  <c r="Y548" i="16"/>
  <c r="Y521" i="16"/>
  <c r="Y520" i="16"/>
  <c r="Y486" i="16"/>
  <c r="Y462" i="16"/>
  <c r="Y460" i="16"/>
  <c r="Y443" i="16"/>
  <c r="Y537" i="16"/>
  <c r="Y531" i="16"/>
  <c r="Y525" i="16"/>
  <c r="Y496" i="16"/>
  <c r="Y487" i="16"/>
  <c r="Y452" i="16"/>
  <c r="Y442" i="16"/>
  <c r="Y510" i="16"/>
  <c r="Y493" i="16"/>
  <c r="Y488" i="16"/>
  <c r="Y483" i="16"/>
  <c r="Y482" i="16"/>
  <c r="Y478" i="16"/>
  <c r="Y477" i="16"/>
  <c r="Y471" i="16"/>
  <c r="Y461" i="16"/>
  <c r="Y454" i="16"/>
  <c r="Y435" i="16"/>
  <c r="Y532" i="16"/>
  <c r="Y497" i="16"/>
  <c r="Y473" i="16"/>
  <c r="Y463" i="16"/>
  <c r="Y444" i="16"/>
  <c r="Y544" i="16"/>
  <c r="Y538" i="16"/>
  <c r="Y505" i="16"/>
  <c r="Y494" i="16"/>
  <c r="Y437" i="16"/>
  <c r="Y527" i="16"/>
  <c r="Y458" i="16"/>
  <c r="Y456" i="16"/>
  <c r="Y540" i="16"/>
  <c r="Y490" i="16"/>
  <c r="Y524" i="16"/>
  <c r="Y506" i="16"/>
  <c r="Y475" i="16"/>
  <c r="Y448" i="16"/>
  <c r="Y446" i="16"/>
  <c r="Y502" i="16"/>
  <c r="Y485" i="16"/>
  <c r="Y441" i="16"/>
  <c r="Y539" i="16"/>
  <c r="Y491" i="16"/>
  <c r="Y469" i="16"/>
  <c r="Y450" i="16"/>
  <c r="Y534" i="16"/>
  <c r="Y467" i="16"/>
  <c r="Y459" i="16"/>
  <c r="Y546" i="16"/>
  <c r="Y480" i="16"/>
  <c r="Y440" i="16"/>
  <c r="Y512" i="16"/>
  <c r="Y465" i="16"/>
  <c r="Y439" i="16"/>
  <c r="Y457" i="16"/>
  <c r="Y533" i="16"/>
  <c r="Y518" i="16"/>
  <c r="EO36" i="20"/>
  <c r="T19" i="7"/>
  <c r="S19" i="7"/>
  <c r="N19" i="7" s="1"/>
  <c r="T67" i="7"/>
  <c r="S67" i="7"/>
  <c r="N67" i="7" s="1"/>
  <c r="T33" i="7"/>
  <c r="S33" i="7"/>
  <c r="N33" i="7" s="1"/>
  <c r="T12" i="7"/>
  <c r="S12" i="7"/>
  <c r="N12" i="7" s="1"/>
  <c r="S35" i="7"/>
  <c r="N35" i="7" s="1"/>
  <c r="T35" i="7"/>
  <c r="S65" i="7"/>
  <c r="N65" i="7" s="1"/>
  <c r="T65" i="7"/>
  <c r="DQ36" i="20"/>
  <c r="D359" i="11"/>
  <c r="X557" i="16"/>
  <c r="X540" i="16"/>
  <c r="X538" i="16"/>
  <c r="X521" i="16"/>
  <c r="X555" i="16"/>
  <c r="X553" i="16"/>
  <c r="X551" i="16"/>
  <c r="X534" i="16"/>
  <c r="X532" i="16"/>
  <c r="X515" i="16"/>
  <c r="X549" i="16"/>
  <c r="X547" i="16"/>
  <c r="X530" i="16"/>
  <c r="X513" i="16"/>
  <c r="X511" i="16"/>
  <c r="X504" i="16"/>
  <c r="X501" i="16"/>
  <c r="X498" i="16"/>
  <c r="X495" i="16"/>
  <c r="X492" i="16"/>
  <c r="X489" i="16"/>
  <c r="X486" i="16"/>
  <c r="X483" i="16"/>
  <c r="X480" i="16"/>
  <c r="X477" i="16"/>
  <c r="X474" i="16"/>
  <c r="X471" i="16"/>
  <c r="X468" i="16"/>
  <c r="X465" i="16"/>
  <c r="X462" i="16"/>
  <c r="X459" i="16"/>
  <c r="X456" i="16"/>
  <c r="X453" i="16"/>
  <c r="X450" i="16"/>
  <c r="X447" i="16"/>
  <c r="X444" i="16"/>
  <c r="X441" i="16"/>
  <c r="X438" i="16"/>
  <c r="X435" i="16"/>
  <c r="X562" i="16"/>
  <c r="X544" i="16"/>
  <c r="X537" i="16"/>
  <c r="X510" i="16"/>
  <c r="X509" i="16"/>
  <c r="X496" i="16"/>
  <c r="X487" i="16"/>
  <c r="X482" i="16"/>
  <c r="X457" i="16"/>
  <c r="X440" i="16"/>
  <c r="X560" i="16"/>
  <c r="X543" i="16"/>
  <c r="X523" i="16"/>
  <c r="X516" i="16"/>
  <c r="X500" i="16"/>
  <c r="X472" i="16"/>
  <c r="X455" i="16"/>
  <c r="X436" i="16"/>
  <c r="X558" i="16"/>
  <c r="X556" i="16"/>
  <c r="X536" i="16"/>
  <c r="X529" i="16"/>
  <c r="X522" i="16"/>
  <c r="X484" i="16"/>
  <c r="X479" i="16"/>
  <c r="X470" i="16"/>
  <c r="X451" i="16"/>
  <c r="X561" i="16"/>
  <c r="X559" i="16"/>
  <c r="X554" i="16"/>
  <c r="X535" i="16"/>
  <c r="X528" i="16"/>
  <c r="X508" i="16"/>
  <c r="X499" i="16"/>
  <c r="X466" i="16"/>
  <c r="X449" i="16"/>
  <c r="X552" i="16"/>
  <c r="X550" i="16"/>
  <c r="X542" i="16"/>
  <c r="X541" i="16"/>
  <c r="X514" i="16"/>
  <c r="X507" i="16"/>
  <c r="X503" i="16"/>
  <c r="X481" i="16"/>
  <c r="X476" i="16"/>
  <c r="X464" i="16"/>
  <c r="X445" i="16"/>
  <c r="X546" i="16"/>
  <c r="X519" i="16"/>
  <c r="X443" i="16"/>
  <c r="X531" i="16"/>
  <c r="X525" i="16"/>
  <c r="X452" i="16"/>
  <c r="X442" i="16"/>
  <c r="X526" i="16"/>
  <c r="X520" i="16"/>
  <c r="X493" i="16"/>
  <c r="X488" i="16"/>
  <c r="X478" i="16"/>
  <c r="X461" i="16"/>
  <c r="X454" i="16"/>
  <c r="X497" i="16"/>
  <c r="X473" i="16"/>
  <c r="X463" i="16"/>
  <c r="X517" i="16"/>
  <c r="X512" i="16"/>
  <c r="X545" i="16"/>
  <c r="X527" i="16"/>
  <c r="X460" i="16"/>
  <c r="X458" i="16"/>
  <c r="X490" i="16"/>
  <c r="X548" i="16"/>
  <c r="X467" i="16"/>
  <c r="X502" i="16"/>
  <c r="X524" i="16"/>
  <c r="X505" i="16"/>
  <c r="X494" i="16"/>
  <c r="X485" i="16"/>
  <c r="X475" i="16"/>
  <c r="X446" i="16"/>
  <c r="X539" i="16"/>
  <c r="X491" i="16"/>
  <c r="X518" i="16"/>
  <c r="X506" i="16"/>
  <c r="X469" i="16"/>
  <c r="X439" i="16"/>
  <c r="X448" i="16"/>
  <c r="X437" i="16"/>
  <c r="X533" i="16"/>
  <c r="R70" i="20" l="1"/>
  <c r="U70" i="20" s="1"/>
  <c r="U68" i="20"/>
  <c r="CT35" i="20"/>
  <c r="CU35" i="20"/>
  <c r="CU30" i="20"/>
  <c r="CT30" i="20"/>
  <c r="R25" i="20"/>
  <c r="U25" i="20" s="1"/>
  <c r="U23" i="20"/>
  <c r="AL44" i="21"/>
  <c r="AL115" i="21"/>
  <c r="AL40" i="21"/>
  <c r="AL45" i="21"/>
  <c r="AL43" i="21"/>
  <c r="AL39" i="21"/>
  <c r="AL30" i="21"/>
  <c r="AL38" i="21"/>
  <c r="AL27" i="21"/>
  <c r="AL28" i="21"/>
  <c r="AL29" i="21"/>
  <c r="AL42" i="21"/>
  <c r="AL37" i="21"/>
  <c r="AI115" i="21"/>
  <c r="AI44" i="21"/>
  <c r="AI40" i="21"/>
  <c r="AI37" i="21"/>
  <c r="AI29" i="21"/>
  <c r="AI39" i="21"/>
  <c r="AI38" i="21"/>
  <c r="AI30" i="21"/>
  <c r="AI42" i="21"/>
  <c r="AI27" i="21"/>
  <c r="AI45" i="21"/>
  <c r="AI43" i="21"/>
  <c r="AI28" i="21"/>
  <c r="AC43" i="21"/>
  <c r="AC28" i="21"/>
  <c r="AC27" i="21"/>
  <c r="AC115" i="21"/>
  <c r="AC37" i="21"/>
  <c r="AC39" i="21"/>
  <c r="AC29" i="21"/>
  <c r="AC40" i="21"/>
  <c r="AC30" i="21"/>
  <c r="AC45" i="21"/>
  <c r="AC44" i="21"/>
  <c r="AC38" i="21"/>
  <c r="AC42" i="21"/>
  <c r="AI25" i="21"/>
  <c r="BT42" i="20"/>
  <c r="BT43" i="20" s="1"/>
  <c r="BZ41" i="20" s="1"/>
  <c r="BZ43" i="20" s="1"/>
  <c r="BZ45" i="20" s="1"/>
  <c r="CS12" i="20" s="1"/>
  <c r="BJ42" i="20"/>
  <c r="BD23" i="20"/>
  <c r="BA25" i="20"/>
  <c r="BD25" i="20" s="1"/>
  <c r="CU7" i="20"/>
  <c r="CT7" i="20"/>
  <c r="AI9" i="25"/>
  <c r="AI9" i="24"/>
  <c r="AP9" i="24" s="1"/>
  <c r="AI9" i="23"/>
  <c r="AP9" i="23" s="1"/>
  <c r="BD78" i="20"/>
  <c r="BA80" i="20"/>
  <c r="BD80" i="20" s="1"/>
  <c r="X115" i="21"/>
  <c r="X40" i="21"/>
  <c r="X37" i="21"/>
  <c r="X43" i="21"/>
  <c r="X27" i="21"/>
  <c r="X44" i="21"/>
  <c r="X38" i="21"/>
  <c r="X30" i="21"/>
  <c r="X29" i="21"/>
  <c r="X45" i="21"/>
  <c r="X42" i="21"/>
  <c r="X39" i="21"/>
  <c r="X28" i="21"/>
  <c r="AK33" i="21"/>
  <c r="H109" i="19"/>
  <c r="H91" i="19"/>
  <c r="H104" i="19"/>
  <c r="H99" i="19"/>
  <c r="H112" i="19"/>
  <c r="H94" i="19"/>
  <c r="H107" i="19"/>
  <c r="H102" i="19"/>
  <c r="H89" i="19"/>
  <c r="H103" i="19"/>
  <c r="H110" i="19"/>
  <c r="H105" i="19"/>
  <c r="H98" i="19"/>
  <c r="H93" i="19"/>
  <c r="H100" i="19"/>
  <c r="H88" i="19"/>
  <c r="H95" i="19"/>
  <c r="H90" i="19"/>
  <c r="H97" i="19"/>
  <c r="H108" i="19"/>
  <c r="H111" i="19"/>
  <c r="H101" i="19"/>
  <c r="H92" i="19"/>
  <c r="H106" i="19"/>
  <c r="H96" i="19"/>
  <c r="H87" i="19"/>
  <c r="F459" i="11"/>
  <c r="F441" i="11"/>
  <c r="F467" i="11"/>
  <c r="F454" i="11"/>
  <c r="F449" i="11"/>
  <c r="F462" i="11"/>
  <c r="F444" i="11"/>
  <c r="F426" i="11"/>
  <c r="F408" i="11"/>
  <c r="F457" i="11"/>
  <c r="F452" i="11"/>
  <c r="F468" i="11"/>
  <c r="F463" i="11"/>
  <c r="F458" i="11"/>
  <c r="F451" i="11"/>
  <c r="F446" i="11"/>
  <c r="F439" i="11"/>
  <c r="F437" i="11"/>
  <c r="F410" i="11"/>
  <c r="F395" i="11"/>
  <c r="F377" i="11"/>
  <c r="F385" i="11"/>
  <c r="F367" i="11"/>
  <c r="F465" i="11"/>
  <c r="F453" i="11"/>
  <c r="F435" i="11"/>
  <c r="F417" i="11"/>
  <c r="F403" i="11"/>
  <c r="F390" i="11"/>
  <c r="F372" i="11"/>
  <c r="F460" i="11"/>
  <c r="F455" i="11"/>
  <c r="F448" i="11"/>
  <c r="F443" i="11"/>
  <c r="F433" i="11"/>
  <c r="F424" i="11"/>
  <c r="F398" i="11"/>
  <c r="F380" i="11"/>
  <c r="F450" i="11"/>
  <c r="F431" i="11"/>
  <c r="F422" i="11"/>
  <c r="F415" i="11"/>
  <c r="F406" i="11"/>
  <c r="F393" i="11"/>
  <c r="F388" i="11"/>
  <c r="F375" i="11"/>
  <c r="F370" i="11"/>
  <c r="F445" i="11"/>
  <c r="F429" i="11"/>
  <c r="F413" i="11"/>
  <c r="F401" i="11"/>
  <c r="F383" i="11"/>
  <c r="F365" i="11"/>
  <c r="F434" i="11"/>
  <c r="F425" i="11"/>
  <c r="F419" i="11"/>
  <c r="F466" i="11"/>
  <c r="F428" i="11"/>
  <c r="F387" i="11"/>
  <c r="F384" i="11"/>
  <c r="F381" i="11"/>
  <c r="F378" i="11"/>
  <c r="F440" i="11"/>
  <c r="F409" i="11"/>
  <c r="F464" i="11"/>
  <c r="F456" i="11"/>
  <c r="F420" i="11"/>
  <c r="F369" i="11"/>
  <c r="F366" i="11"/>
  <c r="F442" i="11"/>
  <c r="F414" i="11"/>
  <c r="F432" i="11"/>
  <c r="F423" i="11"/>
  <c r="F405" i="11"/>
  <c r="F402" i="11"/>
  <c r="F399" i="11"/>
  <c r="F396" i="11"/>
  <c r="F374" i="11"/>
  <c r="F371" i="11"/>
  <c r="F368" i="11"/>
  <c r="F412" i="11"/>
  <c r="F400" i="11"/>
  <c r="F394" i="11"/>
  <c r="F461" i="11"/>
  <c r="F418" i="11"/>
  <c r="F411" i="11"/>
  <c r="F404" i="11"/>
  <c r="F382" i="11"/>
  <c r="F376" i="11"/>
  <c r="F392" i="11"/>
  <c r="F386" i="11"/>
  <c r="F447" i="11"/>
  <c r="F416" i="11"/>
  <c r="F430" i="11"/>
  <c r="F427" i="11"/>
  <c r="F397" i="11"/>
  <c r="F407" i="11"/>
  <c r="F379" i="11"/>
  <c r="F391" i="11"/>
  <c r="F436" i="11"/>
  <c r="F389" i="11"/>
  <c r="F438" i="11"/>
  <c r="F421" i="11"/>
  <c r="F373" i="11"/>
  <c r="BA10" i="20"/>
  <c r="BD10" i="20" s="1"/>
  <c r="BD8" i="20"/>
  <c r="T125" i="7"/>
  <c r="S125" i="7"/>
  <c r="T132" i="7"/>
  <c r="S132" i="7"/>
  <c r="T113" i="7"/>
  <c r="S113" i="7"/>
  <c r="S138" i="7"/>
  <c r="T138" i="7"/>
  <c r="R60" i="20"/>
  <c r="U60" i="20" s="1"/>
  <c r="U58" i="20"/>
  <c r="AA10" i="25"/>
  <c r="AA10" i="24"/>
  <c r="AA10" i="23"/>
  <c r="CU14" i="20"/>
  <c r="CT14" i="20"/>
  <c r="AK77" i="20"/>
  <c r="AK78" i="20" s="1"/>
  <c r="AQ76" i="20" s="1"/>
  <c r="AQ78" i="20" s="1"/>
  <c r="AQ80" i="20" s="1"/>
  <c r="CP19" i="20" s="1"/>
  <c r="AA77" i="20"/>
  <c r="AH7" i="25"/>
  <c r="AH7" i="24"/>
  <c r="AO7" i="24" s="1"/>
  <c r="AH7" i="23"/>
  <c r="AO7" i="23" s="1"/>
  <c r="R115" i="20"/>
  <c r="U115" i="20" s="1"/>
  <c r="U113" i="20"/>
  <c r="AU148" i="20"/>
  <c r="AU150" i="20" s="1"/>
  <c r="CO33" i="20" s="1"/>
  <c r="AD147" i="20"/>
  <c r="AD150" i="20" s="1"/>
  <c r="AG148" i="20" s="1"/>
  <c r="S45" i="21"/>
  <c r="S42" i="21"/>
  <c r="S38" i="21"/>
  <c r="S30" i="21"/>
  <c r="S27" i="21"/>
  <c r="S44" i="21"/>
  <c r="S115" i="21"/>
  <c r="S39" i="21"/>
  <c r="S28" i="21"/>
  <c r="S40" i="21"/>
  <c r="S37" i="21"/>
  <c r="S29" i="21"/>
  <c r="S43" i="21"/>
  <c r="AQ45" i="21"/>
  <c r="AQ42" i="21"/>
  <c r="AQ38" i="21"/>
  <c r="AQ30" i="21"/>
  <c r="AQ27" i="21"/>
  <c r="AQ115" i="21"/>
  <c r="AQ29" i="21"/>
  <c r="AQ43" i="21"/>
  <c r="AQ40" i="21"/>
  <c r="AQ39" i="21"/>
  <c r="AQ28" i="21"/>
  <c r="AQ37" i="21"/>
  <c r="AQ44" i="21"/>
  <c r="S33" i="21"/>
  <c r="X23" i="21"/>
  <c r="AC33" i="21"/>
  <c r="Z23" i="21"/>
  <c r="AQ24" i="21"/>
  <c r="AK102" i="20"/>
  <c r="AK103" i="20" s="1"/>
  <c r="AQ101" i="20" s="1"/>
  <c r="AQ103" i="20" s="1"/>
  <c r="AQ105" i="20" s="1"/>
  <c r="CP24" i="20" s="1"/>
  <c r="AA102" i="20"/>
  <c r="T127" i="7"/>
  <c r="S127" i="7"/>
  <c r="T119" i="7"/>
  <c r="S119" i="7"/>
  <c r="T112" i="7"/>
  <c r="S112" i="7"/>
  <c r="T148" i="7"/>
  <c r="S148" i="7"/>
  <c r="T141" i="7"/>
  <c r="S141" i="7"/>
  <c r="T152" i="7"/>
  <c r="S152" i="7"/>
  <c r="AB9" i="25"/>
  <c r="AB9" i="23"/>
  <c r="AQ9" i="23" s="1"/>
  <c r="AB9" i="24"/>
  <c r="E12" i="21"/>
  <c r="E13" i="21"/>
  <c r="E10" i="21"/>
  <c r="E11" i="21"/>
  <c r="CU9" i="20"/>
  <c r="CT9" i="20"/>
  <c r="Y9" i="25"/>
  <c r="Y9" i="23"/>
  <c r="Y9" i="24"/>
  <c r="R55" i="20"/>
  <c r="U55" i="20" s="1"/>
  <c r="U53" i="20"/>
  <c r="Y10" i="25"/>
  <c r="Y10" i="24"/>
  <c r="Y10" i="23"/>
  <c r="AA107" i="20"/>
  <c r="AK107" i="20"/>
  <c r="AK108" i="20" s="1"/>
  <c r="AQ106" i="20" s="1"/>
  <c r="AQ108" i="20" s="1"/>
  <c r="AQ110" i="20" s="1"/>
  <c r="CP25" i="20" s="1"/>
  <c r="CU26" i="20"/>
  <c r="CT26" i="20"/>
  <c r="BA95" i="20"/>
  <c r="BD95" i="20" s="1"/>
  <c r="BD93" i="20"/>
  <c r="O112" i="19"/>
  <c r="O109" i="19"/>
  <c r="O106" i="19"/>
  <c r="O103" i="19"/>
  <c r="O100" i="19"/>
  <c r="O97" i="19"/>
  <c r="O94" i="19"/>
  <c r="O91" i="19"/>
  <c r="O88" i="19"/>
  <c r="O95" i="19"/>
  <c r="O108" i="19"/>
  <c r="O90" i="19"/>
  <c r="O98" i="19"/>
  <c r="O111" i="19"/>
  <c r="O93" i="19"/>
  <c r="O107" i="19"/>
  <c r="O102" i="19"/>
  <c r="O104" i="19"/>
  <c r="O92" i="19"/>
  <c r="O99" i="19"/>
  <c r="O87" i="19"/>
  <c r="O101" i="19"/>
  <c r="O89" i="19"/>
  <c r="O110" i="19"/>
  <c r="O96" i="19"/>
  <c r="O105" i="19"/>
  <c r="M468" i="11"/>
  <c r="M463" i="11"/>
  <c r="M450" i="11"/>
  <c r="M445" i="11"/>
  <c r="M458" i="11"/>
  <c r="M466" i="11"/>
  <c r="M453" i="11"/>
  <c r="M448" i="11"/>
  <c r="M435" i="11"/>
  <c r="M430" i="11"/>
  <c r="M417" i="11"/>
  <c r="M412" i="11"/>
  <c r="M404" i="11"/>
  <c r="M401" i="11"/>
  <c r="M398" i="11"/>
  <c r="M395" i="11"/>
  <c r="M392" i="11"/>
  <c r="M389" i="11"/>
  <c r="M386" i="11"/>
  <c r="M383" i="11"/>
  <c r="M380" i="11"/>
  <c r="M377" i="11"/>
  <c r="M374" i="11"/>
  <c r="M371" i="11"/>
  <c r="M368" i="11"/>
  <c r="M365" i="11"/>
  <c r="M461" i="11"/>
  <c r="M443" i="11"/>
  <c r="M467" i="11"/>
  <c r="M455" i="11"/>
  <c r="M427" i="11"/>
  <c r="M418" i="11"/>
  <c r="M411" i="11"/>
  <c r="M399" i="11"/>
  <c r="M381" i="11"/>
  <c r="M425" i="11"/>
  <c r="M394" i="11"/>
  <c r="M376" i="11"/>
  <c r="M462" i="11"/>
  <c r="M457" i="11"/>
  <c r="M440" i="11"/>
  <c r="M438" i="11"/>
  <c r="M436" i="11"/>
  <c r="M409" i="11"/>
  <c r="M464" i="11"/>
  <c r="M452" i="11"/>
  <c r="M434" i="11"/>
  <c r="M416" i="11"/>
  <c r="M407" i="11"/>
  <c r="M402" i="11"/>
  <c r="M384" i="11"/>
  <c r="M366" i="11"/>
  <c r="M459" i="11"/>
  <c r="M454" i="11"/>
  <c r="M447" i="11"/>
  <c r="M442" i="11"/>
  <c r="M432" i="11"/>
  <c r="M423" i="11"/>
  <c r="M397" i="11"/>
  <c r="M379" i="11"/>
  <c r="M449" i="11"/>
  <c r="M421" i="11"/>
  <c r="M414" i="11"/>
  <c r="M405" i="11"/>
  <c r="M387" i="11"/>
  <c r="M369" i="11"/>
  <c r="M444" i="11"/>
  <c r="M437" i="11"/>
  <c r="M415" i="11"/>
  <c r="M406" i="11"/>
  <c r="M403" i="11"/>
  <c r="M400" i="11"/>
  <c r="M378" i="11"/>
  <c r="M375" i="11"/>
  <c r="M372" i="11"/>
  <c r="M456" i="11"/>
  <c r="M433" i="11"/>
  <c r="M424" i="11"/>
  <c r="M465" i="11"/>
  <c r="M451" i="11"/>
  <c r="M429" i="11"/>
  <c r="M410" i="11"/>
  <c r="M396" i="11"/>
  <c r="M393" i="11"/>
  <c r="M390" i="11"/>
  <c r="M428" i="11"/>
  <c r="M419" i="11"/>
  <c r="M441" i="11"/>
  <c r="M413" i="11"/>
  <c r="M370" i="11"/>
  <c r="M460" i="11"/>
  <c r="M439" i="11"/>
  <c r="M431" i="11"/>
  <c r="M408" i="11"/>
  <c r="M391" i="11"/>
  <c r="M385" i="11"/>
  <c r="M373" i="11"/>
  <c r="M367" i="11"/>
  <c r="M382" i="11"/>
  <c r="M420" i="11"/>
  <c r="M446" i="11"/>
  <c r="M426" i="11"/>
  <c r="M422" i="11"/>
  <c r="M388" i="11"/>
  <c r="P43" i="21"/>
  <c r="P28" i="21"/>
  <c r="P27" i="21"/>
  <c r="P45" i="21"/>
  <c r="P42" i="21"/>
  <c r="P40" i="21"/>
  <c r="P38" i="21"/>
  <c r="P44" i="21"/>
  <c r="P115" i="21"/>
  <c r="P30" i="21"/>
  <c r="P37" i="21"/>
  <c r="P29" i="21"/>
  <c r="P39" i="21"/>
  <c r="AG45" i="21"/>
  <c r="AG42" i="21"/>
  <c r="AG44" i="21"/>
  <c r="AG115" i="21"/>
  <c r="AG43" i="21"/>
  <c r="AG40" i="21"/>
  <c r="AG37" i="21"/>
  <c r="AG29" i="21"/>
  <c r="AG27" i="21"/>
  <c r="AG28" i="21"/>
  <c r="AG38" i="21"/>
  <c r="AG39" i="21"/>
  <c r="AG30" i="21"/>
  <c r="AM115" i="21"/>
  <c r="AM43" i="21"/>
  <c r="AM39" i="21"/>
  <c r="AM28" i="21"/>
  <c r="AM40" i="21"/>
  <c r="AM30" i="21"/>
  <c r="AM45" i="21"/>
  <c r="AM29" i="21"/>
  <c r="AM44" i="21"/>
  <c r="AM38" i="21"/>
  <c r="AM27" i="21"/>
  <c r="AM42" i="21"/>
  <c r="AM37" i="21"/>
  <c r="L34" i="21"/>
  <c r="P25" i="21"/>
  <c r="E24" i="21"/>
  <c r="N33" i="21"/>
  <c r="AC23" i="21"/>
  <c r="X22" i="21"/>
  <c r="AK23" i="21"/>
  <c r="AM23" i="21"/>
  <c r="AC25" i="21"/>
  <c r="T135" i="7"/>
  <c r="S135" i="7"/>
  <c r="T146" i="7"/>
  <c r="S146" i="7"/>
  <c r="T142" i="7"/>
  <c r="S142" i="7"/>
  <c r="T128" i="7"/>
  <c r="S128" i="7"/>
  <c r="AU78" i="20"/>
  <c r="AU80" i="20" s="1"/>
  <c r="CO19" i="20" s="1"/>
  <c r="AD77" i="20"/>
  <c r="AD80" i="20" s="1"/>
  <c r="AG78" i="20" s="1"/>
  <c r="AK22" i="21"/>
  <c r="S150" i="7"/>
  <c r="T150" i="7"/>
  <c r="T126" i="7"/>
  <c r="S126" i="7"/>
  <c r="CU27" i="20"/>
  <c r="CT27" i="20"/>
  <c r="G6" i="21"/>
  <c r="F7" i="21"/>
  <c r="F9" i="21" s="1"/>
  <c r="U28" i="20"/>
  <c r="R30" i="20"/>
  <c r="U30" i="20" s="1"/>
  <c r="AK142" i="20"/>
  <c r="AK143" i="20" s="1"/>
  <c r="AQ141" i="20" s="1"/>
  <c r="AQ143" i="20" s="1"/>
  <c r="AQ145" i="20" s="1"/>
  <c r="CP32" i="20" s="1"/>
  <c r="AA142" i="20"/>
  <c r="R40" i="20"/>
  <c r="U40" i="20" s="1"/>
  <c r="U38" i="20"/>
  <c r="CT23" i="20"/>
  <c r="CU23" i="20"/>
  <c r="Z44" i="21"/>
  <c r="Z42" i="21"/>
  <c r="Z30" i="21"/>
  <c r="Z38" i="21"/>
  <c r="Z45" i="21"/>
  <c r="Z43" i="21"/>
  <c r="Z115" i="21"/>
  <c r="Z27" i="21"/>
  <c r="Z39" i="21"/>
  <c r="Z28" i="21"/>
  <c r="Z29" i="21"/>
  <c r="Z40" i="21"/>
  <c r="Z37" i="21"/>
  <c r="AE33" i="21"/>
  <c r="Z22" i="21"/>
  <c r="AF34" i="21"/>
  <c r="AF32" i="21"/>
  <c r="AQ25" i="21"/>
  <c r="Z9" i="25"/>
  <c r="AS9" i="25" s="1"/>
  <c r="Z9" i="23"/>
  <c r="AS9" i="23" s="1"/>
  <c r="Z9" i="24"/>
  <c r="AS9" i="24" s="1"/>
  <c r="AR8" i="25"/>
  <c r="AR8" i="24"/>
  <c r="AR8" i="23"/>
  <c r="CQ36" i="20"/>
  <c r="AU103" i="20"/>
  <c r="AU105" i="20" s="1"/>
  <c r="CO24" i="20" s="1"/>
  <c r="AD102" i="20"/>
  <c r="AD105" i="20" s="1"/>
  <c r="AG103" i="20" s="1"/>
  <c r="AB7" i="25"/>
  <c r="AB7" i="23"/>
  <c r="AQ7" i="23" s="1"/>
  <c r="AB7" i="24"/>
  <c r="T131" i="7"/>
  <c r="S131" i="7"/>
  <c r="T121" i="7"/>
  <c r="S121" i="7"/>
  <c r="T105" i="7"/>
  <c r="S105" i="7"/>
  <c r="T123" i="7"/>
  <c r="S123" i="7"/>
  <c r="R120" i="20"/>
  <c r="U120" i="20" s="1"/>
  <c r="U118" i="20"/>
  <c r="BA20" i="20"/>
  <c r="BD20" i="20" s="1"/>
  <c r="BD18" i="20"/>
  <c r="I104" i="19"/>
  <c r="I99" i="19"/>
  <c r="I112" i="19"/>
  <c r="I94" i="19"/>
  <c r="I107" i="19"/>
  <c r="I102" i="19"/>
  <c r="I89" i="19"/>
  <c r="I97" i="19"/>
  <c r="I110" i="19"/>
  <c r="I105" i="19"/>
  <c r="I98" i="19"/>
  <c r="I93" i="19"/>
  <c r="I100" i="19"/>
  <c r="I88" i="19"/>
  <c r="I95" i="19"/>
  <c r="I90" i="19"/>
  <c r="I92" i="19"/>
  <c r="I87" i="19"/>
  <c r="I91" i="19"/>
  <c r="I111" i="19"/>
  <c r="I103" i="19"/>
  <c r="I101" i="19"/>
  <c r="I108" i="19"/>
  <c r="I106" i="19"/>
  <c r="I96" i="19"/>
  <c r="I109" i="19"/>
  <c r="G467" i="11"/>
  <c r="G454" i="11"/>
  <c r="G449" i="11"/>
  <c r="G436" i="11"/>
  <c r="G462" i="11"/>
  <c r="G444" i="11"/>
  <c r="G457" i="11"/>
  <c r="G452" i="11"/>
  <c r="G439" i="11"/>
  <c r="G434" i="11"/>
  <c r="G421" i="11"/>
  <c r="G416" i="11"/>
  <c r="G465" i="11"/>
  <c r="G447" i="11"/>
  <c r="G453" i="11"/>
  <c r="G441" i="11"/>
  <c r="G435" i="11"/>
  <c r="G426" i="11"/>
  <c r="G417" i="11"/>
  <c r="G403" i="11"/>
  <c r="G390" i="11"/>
  <c r="G385" i="11"/>
  <c r="G372" i="11"/>
  <c r="G367" i="11"/>
  <c r="G443" i="11"/>
  <c r="G433" i="11"/>
  <c r="G408" i="11"/>
  <c r="G398" i="11"/>
  <c r="G460" i="11"/>
  <c r="G455" i="11"/>
  <c r="G448" i="11"/>
  <c r="G424" i="11"/>
  <c r="G380" i="11"/>
  <c r="G450" i="11"/>
  <c r="G431" i="11"/>
  <c r="G422" i="11"/>
  <c r="G415" i="11"/>
  <c r="G406" i="11"/>
  <c r="G393" i="11"/>
  <c r="G388" i="11"/>
  <c r="G375" i="11"/>
  <c r="G370" i="11"/>
  <c r="G445" i="11"/>
  <c r="G429" i="11"/>
  <c r="G413" i="11"/>
  <c r="G401" i="11"/>
  <c r="G383" i="11"/>
  <c r="G365" i="11"/>
  <c r="G420" i="11"/>
  <c r="G411" i="11"/>
  <c r="G396" i="11"/>
  <c r="G391" i="11"/>
  <c r="G378" i="11"/>
  <c r="G373" i="11"/>
  <c r="G458" i="11"/>
  <c r="G419" i="11"/>
  <c r="G410" i="11"/>
  <c r="G466" i="11"/>
  <c r="G428" i="11"/>
  <c r="G440" i="11"/>
  <c r="G409" i="11"/>
  <c r="G461" i="11"/>
  <c r="G437" i="11"/>
  <c r="G427" i="11"/>
  <c r="G418" i="11"/>
  <c r="G395" i="11"/>
  <c r="G392" i="11"/>
  <c r="G389" i="11"/>
  <c r="G386" i="11"/>
  <c r="G442" i="11"/>
  <c r="G414" i="11"/>
  <c r="G468" i="11"/>
  <c r="G432" i="11"/>
  <c r="G423" i="11"/>
  <c r="G405" i="11"/>
  <c r="G402" i="11"/>
  <c r="G399" i="11"/>
  <c r="G377" i="11"/>
  <c r="G374" i="11"/>
  <c r="G371" i="11"/>
  <c r="G368" i="11"/>
  <c r="G459" i="11"/>
  <c r="G451" i="11"/>
  <c r="G366" i="11"/>
  <c r="G404" i="11"/>
  <c r="G382" i="11"/>
  <c r="G376" i="11"/>
  <c r="G425" i="11"/>
  <c r="G387" i="11"/>
  <c r="G381" i="11"/>
  <c r="G438" i="11"/>
  <c r="G397" i="11"/>
  <c r="G407" i="11"/>
  <c r="G379" i="11"/>
  <c r="G446" i="11"/>
  <c r="G463" i="11"/>
  <c r="G412" i="11"/>
  <c r="G369" i="11"/>
  <c r="G394" i="11"/>
  <c r="G464" i="11"/>
  <c r="G456" i="11"/>
  <c r="G430" i="11"/>
  <c r="G400" i="11"/>
  <c r="G384" i="11"/>
  <c r="BA125" i="20"/>
  <c r="BD125" i="20" s="1"/>
  <c r="BD123" i="20"/>
  <c r="AU108" i="20"/>
  <c r="AU110" i="20" s="1"/>
  <c r="CO25" i="20" s="1"/>
  <c r="AD107" i="20"/>
  <c r="AD110" i="20" s="1"/>
  <c r="AG108" i="20" s="1"/>
  <c r="AI6" i="25"/>
  <c r="AI6" i="24"/>
  <c r="AP6" i="24" s="1"/>
  <c r="AI6" i="23"/>
  <c r="AP6" i="23" s="1"/>
  <c r="AU88" i="20"/>
  <c r="AU90" i="20" s="1"/>
  <c r="CO21" i="20" s="1"/>
  <c r="AD87" i="20"/>
  <c r="AD90" i="20" s="1"/>
  <c r="AG88" i="20" s="1"/>
  <c r="R155" i="20"/>
  <c r="U155" i="20" s="1"/>
  <c r="U153" i="20"/>
  <c r="BD138" i="20"/>
  <c r="BA140" i="20"/>
  <c r="BD140" i="20" s="1"/>
  <c r="U98" i="20"/>
  <c r="R100" i="20"/>
  <c r="U100" i="20" s="1"/>
  <c r="V45" i="21"/>
  <c r="V115" i="21"/>
  <c r="V39" i="21"/>
  <c r="V40" i="21"/>
  <c r="V38" i="21"/>
  <c r="V37" i="21"/>
  <c r="V42" i="21"/>
  <c r="V30" i="21"/>
  <c r="V29" i="21"/>
  <c r="V44" i="21"/>
  <c r="V43" i="21"/>
  <c r="V27" i="21"/>
  <c r="V28" i="21"/>
  <c r="U45" i="21"/>
  <c r="U42" i="21"/>
  <c r="U115" i="21"/>
  <c r="U39" i="21"/>
  <c r="U30" i="21"/>
  <c r="U37" i="21"/>
  <c r="U28" i="21"/>
  <c r="U38" i="21"/>
  <c r="U44" i="21"/>
  <c r="U29" i="21"/>
  <c r="U40" i="21"/>
  <c r="U27" i="21"/>
  <c r="U43" i="21"/>
  <c r="AJ115" i="21"/>
  <c r="AJ44" i="21"/>
  <c r="AJ38" i="21"/>
  <c r="AJ37" i="21"/>
  <c r="AJ42" i="21"/>
  <c r="AJ29" i="21"/>
  <c r="AJ28" i="21"/>
  <c r="AJ40" i="21"/>
  <c r="AJ45" i="21"/>
  <c r="AJ27" i="21"/>
  <c r="AJ39" i="21"/>
  <c r="AJ30" i="21"/>
  <c r="AJ43" i="21"/>
  <c r="P24" i="21"/>
  <c r="K24" i="21"/>
  <c r="E25" i="21"/>
  <c r="L35" i="21"/>
  <c r="M22" i="21"/>
  <c r="S35" i="21"/>
  <c r="P32" i="21"/>
  <c r="AD32" i="21"/>
  <c r="AO25" i="21"/>
  <c r="AA25" i="21"/>
  <c r="V24" i="21"/>
  <c r="U35" i="21"/>
  <c r="AI32" i="21"/>
  <c r="AO24" i="21"/>
  <c r="AI23" i="21"/>
  <c r="AI24" i="21"/>
  <c r="AQ22" i="21"/>
  <c r="V34" i="21"/>
  <c r="Y24" i="21"/>
  <c r="AP25" i="21"/>
  <c r="AI33" i="21"/>
  <c r="T96" i="7"/>
  <c r="S96" i="7"/>
  <c r="T117" i="7"/>
  <c r="S117" i="7"/>
  <c r="BA160" i="20"/>
  <c r="BD160" i="20" s="1"/>
  <c r="BD158" i="20"/>
  <c r="AB10" i="25"/>
  <c r="AB10" i="24"/>
  <c r="AB10" i="23"/>
  <c r="AQ10" i="23" s="1"/>
  <c r="Y5" i="25"/>
  <c r="Y5" i="24"/>
  <c r="Y5" i="23"/>
  <c r="BA120" i="20"/>
  <c r="BD120" i="20" s="1"/>
  <c r="BD118" i="20"/>
  <c r="BA155" i="20"/>
  <c r="BD155" i="20" s="1"/>
  <c r="BD153" i="20"/>
  <c r="AA9" i="25"/>
  <c r="AA9" i="23"/>
  <c r="AA9" i="24"/>
  <c r="AU143" i="20"/>
  <c r="AU145" i="20" s="1"/>
  <c r="CO32" i="20" s="1"/>
  <c r="AD142" i="20"/>
  <c r="AD145" i="20" s="1"/>
  <c r="AG143" i="20" s="1"/>
  <c r="CU18" i="20"/>
  <c r="CT18" i="20"/>
  <c r="N105" i="19"/>
  <c r="N100" i="19"/>
  <c r="N87" i="19"/>
  <c r="N95" i="19"/>
  <c r="N108" i="19"/>
  <c r="N103" i="19"/>
  <c r="N90" i="19"/>
  <c r="N98" i="19"/>
  <c r="N112" i="19"/>
  <c r="N107" i="19"/>
  <c r="N109" i="19"/>
  <c r="N102" i="19"/>
  <c r="N97" i="19"/>
  <c r="N104" i="19"/>
  <c r="N92" i="19"/>
  <c r="N111" i="19"/>
  <c r="N106" i="19"/>
  <c r="N99" i="19"/>
  <c r="N94" i="19"/>
  <c r="N89" i="19"/>
  <c r="N101" i="19"/>
  <c r="N93" i="19"/>
  <c r="N91" i="19"/>
  <c r="N88" i="19"/>
  <c r="N96" i="19"/>
  <c r="N110" i="19"/>
  <c r="L468" i="11"/>
  <c r="L465" i="11"/>
  <c r="L462" i="11"/>
  <c r="L459" i="11"/>
  <c r="L456" i="11"/>
  <c r="L453" i="11"/>
  <c r="L450" i="11"/>
  <c r="L447" i="11"/>
  <c r="L444" i="11"/>
  <c r="L441" i="11"/>
  <c r="L438" i="11"/>
  <c r="L435" i="11"/>
  <c r="L432" i="11"/>
  <c r="L429" i="11"/>
  <c r="L426" i="11"/>
  <c r="L423" i="11"/>
  <c r="L420" i="11"/>
  <c r="L417" i="11"/>
  <c r="L414" i="11"/>
  <c r="L411" i="11"/>
  <c r="L408" i="11"/>
  <c r="L455" i="11"/>
  <c r="L437" i="11"/>
  <c r="L463" i="11"/>
  <c r="L445" i="11"/>
  <c r="L458" i="11"/>
  <c r="L440" i="11"/>
  <c r="L422" i="11"/>
  <c r="L466" i="11"/>
  <c r="L448" i="11"/>
  <c r="L460" i="11"/>
  <c r="L404" i="11"/>
  <c r="L391" i="11"/>
  <c r="L386" i="11"/>
  <c r="L373" i="11"/>
  <c r="L368" i="11"/>
  <c r="L467" i="11"/>
  <c r="L381" i="11"/>
  <c r="L427" i="11"/>
  <c r="L418" i="11"/>
  <c r="L399" i="11"/>
  <c r="L457" i="11"/>
  <c r="L436" i="11"/>
  <c r="L425" i="11"/>
  <c r="L409" i="11"/>
  <c r="L394" i="11"/>
  <c r="L389" i="11"/>
  <c r="L376" i="11"/>
  <c r="L371" i="11"/>
  <c r="L464" i="11"/>
  <c r="L452" i="11"/>
  <c r="L434" i="11"/>
  <c r="L416" i="11"/>
  <c r="L407" i="11"/>
  <c r="L402" i="11"/>
  <c r="L384" i="11"/>
  <c r="L366" i="11"/>
  <c r="L454" i="11"/>
  <c r="L442" i="11"/>
  <c r="L430" i="11"/>
  <c r="L397" i="11"/>
  <c r="L392" i="11"/>
  <c r="L379" i="11"/>
  <c r="L374" i="11"/>
  <c r="L421" i="11"/>
  <c r="L415" i="11"/>
  <c r="L433" i="11"/>
  <c r="L424" i="11"/>
  <c r="L405" i="11"/>
  <c r="L383" i="11"/>
  <c r="L380" i="11"/>
  <c r="L377" i="11"/>
  <c r="L446" i="11"/>
  <c r="L410" i="11"/>
  <c r="L396" i="11"/>
  <c r="L393" i="11"/>
  <c r="L390" i="11"/>
  <c r="L387" i="11"/>
  <c r="L365" i="11"/>
  <c r="L428" i="11"/>
  <c r="L419" i="11"/>
  <c r="L461" i="11"/>
  <c r="L388" i="11"/>
  <c r="L382" i="11"/>
  <c r="L398" i="11"/>
  <c r="L449" i="11"/>
  <c r="L370" i="11"/>
  <c r="L439" i="11"/>
  <c r="L403" i="11"/>
  <c r="L375" i="11"/>
  <c r="L369" i="11"/>
  <c r="L431" i="11"/>
  <c r="L401" i="11"/>
  <c r="L395" i="11"/>
  <c r="L367" i="11"/>
  <c r="L443" i="11"/>
  <c r="L406" i="11"/>
  <c r="L378" i="11"/>
  <c r="L400" i="11"/>
  <c r="L385" i="11"/>
  <c r="L372" i="11"/>
  <c r="L413" i="11"/>
  <c r="L451" i="11"/>
  <c r="L412" i="11"/>
  <c r="E43" i="21"/>
  <c r="E44" i="21"/>
  <c r="E115" i="21"/>
  <c r="E45" i="21"/>
  <c r="E37" i="21"/>
  <c r="E42" i="21"/>
  <c r="E40" i="21"/>
  <c r="E29" i="21"/>
  <c r="E38" i="21"/>
  <c r="E28" i="21"/>
  <c r="E39" i="21"/>
  <c r="E27" i="21"/>
  <c r="E30" i="21"/>
  <c r="AG7" i="24"/>
  <c r="AN7" i="24" s="1"/>
  <c r="AE7" i="23"/>
  <c r="AL7" i="23" s="1"/>
  <c r="AE7" i="24"/>
  <c r="AL7" i="24" s="1"/>
  <c r="AE7" i="25"/>
  <c r="AG7" i="23"/>
  <c r="AN7" i="23" s="1"/>
  <c r="AG7" i="25"/>
  <c r="AN7" i="25" s="1"/>
  <c r="Q15" i="25" s="1"/>
  <c r="AE6" i="23"/>
  <c r="AL6" i="23" s="1"/>
  <c r="AG6" i="23"/>
  <c r="AN6" i="23" s="1"/>
  <c r="AG6" i="25"/>
  <c r="AN6" i="25" s="1"/>
  <c r="AE6" i="25"/>
  <c r="AG6" i="24"/>
  <c r="AN6" i="24" s="1"/>
  <c r="AE6" i="24"/>
  <c r="AL6" i="24" s="1"/>
  <c r="T154" i="7"/>
  <c r="S154" i="7"/>
  <c r="T116" i="7"/>
  <c r="S116" i="7"/>
  <c r="Z7" i="25"/>
  <c r="AS7" i="25" s="1"/>
  <c r="Z7" i="23"/>
  <c r="AS7" i="23" s="1"/>
  <c r="Z7" i="24"/>
  <c r="AS7" i="24" s="1"/>
  <c r="AF40" i="21"/>
  <c r="AF44" i="21"/>
  <c r="AF30" i="21"/>
  <c r="AF29" i="21"/>
  <c r="AF43" i="21"/>
  <c r="AF27" i="21"/>
  <c r="AF115" i="21"/>
  <c r="AF37" i="21"/>
  <c r="AF42" i="21"/>
  <c r="AF28" i="21"/>
  <c r="AF45" i="21"/>
  <c r="AF38" i="21"/>
  <c r="AF39" i="21"/>
  <c r="AB8" i="23"/>
  <c r="AQ8" i="23" s="1"/>
  <c r="AB8" i="25"/>
  <c r="AB8" i="24"/>
  <c r="I115" i="21"/>
  <c r="I45" i="21"/>
  <c r="I42" i="21"/>
  <c r="I40" i="21"/>
  <c r="I39" i="21"/>
  <c r="I38" i="21"/>
  <c r="I37" i="21"/>
  <c r="I30" i="21"/>
  <c r="I29" i="21"/>
  <c r="I28" i="21"/>
  <c r="I27" i="21"/>
  <c r="I44" i="21"/>
  <c r="I43" i="21"/>
  <c r="E22" i="21"/>
  <c r="AE25" i="21"/>
  <c r="R10" i="20"/>
  <c r="U10" i="20" s="1"/>
  <c r="U8" i="20"/>
  <c r="BM112" i="20"/>
  <c r="BM115" i="20" s="1"/>
  <c r="BP113" i="20" s="1"/>
  <c r="CD113" i="20"/>
  <c r="CD115" i="20" s="1"/>
  <c r="CR26" i="20" s="1"/>
  <c r="T149" i="7"/>
  <c r="S149" i="7"/>
  <c r="T101" i="7"/>
  <c r="S101" i="7"/>
  <c r="BD88" i="20"/>
  <c r="BA90" i="20"/>
  <c r="BD90" i="20" s="1"/>
  <c r="C110" i="27"/>
  <c r="C118" i="27"/>
  <c r="C119" i="27" s="1"/>
  <c r="C115" i="27"/>
  <c r="C121" i="27" s="1"/>
  <c r="BJ27" i="20"/>
  <c r="BT27" i="20"/>
  <c r="BT28" i="20" s="1"/>
  <c r="BZ26" i="20" s="1"/>
  <c r="BZ28" i="20" s="1"/>
  <c r="BZ30" i="20" s="1"/>
  <c r="CS9" i="20" s="1"/>
  <c r="AU13" i="20"/>
  <c r="AU15" i="20" s="1"/>
  <c r="CO6" i="20" s="1"/>
  <c r="AD12" i="20"/>
  <c r="AD15" i="20" s="1"/>
  <c r="AG13" i="20" s="1"/>
  <c r="AF8" i="24"/>
  <c r="AM8" i="24" s="1"/>
  <c r="AD8" i="24"/>
  <c r="AK8" i="24" s="1"/>
  <c r="AF8" i="25"/>
  <c r="AM8" i="25" s="1"/>
  <c r="AD8" i="25"/>
  <c r="AD8" i="23"/>
  <c r="AK8" i="23" s="1"/>
  <c r="AF8" i="23"/>
  <c r="AM8" i="23" s="1"/>
  <c r="BT52" i="20"/>
  <c r="BT53" i="20" s="1"/>
  <c r="BZ51" i="20" s="1"/>
  <c r="BZ53" i="20" s="1"/>
  <c r="BZ55" i="20" s="1"/>
  <c r="CS14" i="20" s="1"/>
  <c r="BJ52" i="20"/>
  <c r="BD98" i="20"/>
  <c r="BA100" i="20"/>
  <c r="BD100" i="20" s="1"/>
  <c r="Y8" i="25"/>
  <c r="Y8" i="24"/>
  <c r="Y8" i="23"/>
  <c r="AH6" i="23"/>
  <c r="AO6" i="23" s="1"/>
  <c r="AH6" i="25"/>
  <c r="AH6" i="24"/>
  <c r="AO6" i="24" s="1"/>
  <c r="BD133" i="20"/>
  <c r="BA135" i="20"/>
  <c r="BD135" i="20" s="1"/>
  <c r="P21" i="24"/>
  <c r="CU10" i="20"/>
  <c r="CT10" i="20"/>
  <c r="AH45" i="21"/>
  <c r="AH44" i="21"/>
  <c r="AH39" i="21"/>
  <c r="AH115" i="21"/>
  <c r="AH43" i="21"/>
  <c r="AH42" i="21"/>
  <c r="AH40" i="21"/>
  <c r="AH38" i="21"/>
  <c r="AH28" i="21"/>
  <c r="AH37" i="21"/>
  <c r="AH27" i="21"/>
  <c r="AH29" i="21"/>
  <c r="AH30" i="21"/>
  <c r="AN115" i="21"/>
  <c r="AN30" i="21"/>
  <c r="AN42" i="21"/>
  <c r="AN29" i="21"/>
  <c r="AN37" i="21"/>
  <c r="AN38" i="21"/>
  <c r="AN40" i="21"/>
  <c r="AN45" i="21"/>
  <c r="AN44" i="21"/>
  <c r="AN43" i="21"/>
  <c r="AN39" i="21"/>
  <c r="AN28" i="21"/>
  <c r="AN27" i="21"/>
  <c r="O115" i="21"/>
  <c r="O43" i="21"/>
  <c r="O39" i="21"/>
  <c r="O28" i="21"/>
  <c r="O29" i="21"/>
  <c r="O27" i="21"/>
  <c r="O44" i="21"/>
  <c r="O45" i="21"/>
  <c r="O42" i="21"/>
  <c r="O40" i="21"/>
  <c r="O30" i="21"/>
  <c r="O37" i="21"/>
  <c r="O38" i="21"/>
  <c r="K44" i="21"/>
  <c r="K40" i="21"/>
  <c r="K37" i="21"/>
  <c r="K29" i="21"/>
  <c r="K115" i="21"/>
  <c r="K27" i="21"/>
  <c r="K43" i="21"/>
  <c r="K30" i="21"/>
  <c r="K39" i="21"/>
  <c r="K45" i="21"/>
  <c r="K42" i="21"/>
  <c r="K28" i="21"/>
  <c r="K38" i="21"/>
  <c r="Q32" i="21"/>
  <c r="N24" i="21"/>
  <c r="P35" i="21"/>
  <c r="F35" i="21"/>
  <c r="N23" i="21"/>
  <c r="R25" i="21"/>
  <c r="N35" i="21"/>
  <c r="AJ34" i="21"/>
  <c r="AI34" i="21"/>
  <c r="AD22" i="21"/>
  <c r="AC34" i="21"/>
  <c r="AN23" i="21"/>
  <c r="AB32" i="21"/>
  <c r="AC32" i="21"/>
  <c r="AN33" i="21"/>
  <c r="U24" i="21"/>
  <c r="AL25" i="21"/>
  <c r="Y33" i="21"/>
  <c r="AE23" i="21"/>
  <c r="AA35" i="21"/>
  <c r="BD103" i="20"/>
  <c r="BA105" i="20"/>
  <c r="BD105" i="20" s="1"/>
  <c r="AF25" i="21"/>
  <c r="X33" i="21"/>
  <c r="CD83" i="20"/>
  <c r="CD85" i="20" s="1"/>
  <c r="CR20" i="20" s="1"/>
  <c r="BM82" i="20"/>
  <c r="BM85" i="20" s="1"/>
  <c r="BP83" i="20" s="1"/>
  <c r="T107" i="7"/>
  <c r="S107" i="7"/>
  <c r="T114" i="7"/>
  <c r="S114" i="7"/>
  <c r="T102" i="7"/>
  <c r="S102" i="7"/>
  <c r="AG8" i="25"/>
  <c r="AN8" i="25" s="1"/>
  <c r="AE8" i="23"/>
  <c r="AL8" i="23" s="1"/>
  <c r="AE8" i="25"/>
  <c r="AG8" i="24"/>
  <c r="AN8" i="24" s="1"/>
  <c r="AE8" i="24"/>
  <c r="AL8" i="24" s="1"/>
  <c r="AG8" i="23"/>
  <c r="AN8" i="23" s="1"/>
  <c r="CU34" i="20"/>
  <c r="CT34" i="20"/>
  <c r="AB5" i="24"/>
  <c r="AB5" i="23"/>
  <c r="AQ5" i="23" s="1"/>
  <c r="AB5" i="25"/>
  <c r="BD38" i="20"/>
  <c r="BA40" i="20"/>
  <c r="BD40" i="20" s="1"/>
  <c r="Z5" i="25"/>
  <c r="AS5" i="25" s="1"/>
  <c r="Z5" i="24"/>
  <c r="AS5" i="24" s="1"/>
  <c r="Z5" i="23"/>
  <c r="AS5" i="23" s="1"/>
  <c r="L45" i="21"/>
  <c r="L42" i="21"/>
  <c r="L115" i="21"/>
  <c r="L44" i="21"/>
  <c r="L43" i="21"/>
  <c r="L28" i="21"/>
  <c r="L39" i="21"/>
  <c r="L37" i="21"/>
  <c r="L27" i="21"/>
  <c r="L29" i="21"/>
  <c r="L38" i="21"/>
  <c r="L30" i="21"/>
  <c r="L40" i="21"/>
  <c r="N44" i="21"/>
  <c r="N30" i="21"/>
  <c r="N43" i="21"/>
  <c r="N29" i="21"/>
  <c r="N28" i="21"/>
  <c r="N37" i="21"/>
  <c r="N45" i="21"/>
  <c r="N38" i="21"/>
  <c r="N115" i="21"/>
  <c r="N39" i="21"/>
  <c r="N42" i="21"/>
  <c r="N27" i="21"/>
  <c r="N40" i="21"/>
  <c r="N32" i="21"/>
  <c r="AF24" i="21"/>
  <c r="AE32" i="21"/>
  <c r="AL32" i="21"/>
  <c r="AI22" i="21"/>
  <c r="AQ34" i="21"/>
  <c r="AE9" i="25"/>
  <c r="AG9" i="23"/>
  <c r="AN9" i="23" s="1"/>
  <c r="AG9" i="25"/>
  <c r="AN9" i="25" s="1"/>
  <c r="AE9" i="23"/>
  <c r="AL9" i="23" s="1"/>
  <c r="AG9" i="24"/>
  <c r="AN9" i="24" s="1"/>
  <c r="AE9" i="24"/>
  <c r="AL9" i="24" s="1"/>
  <c r="T109" i="7"/>
  <c r="S109" i="7"/>
  <c r="T95" i="7"/>
  <c r="S95" i="7"/>
  <c r="AM182" i="7"/>
  <c r="AG280" i="7"/>
  <c r="S214" i="7"/>
  <c r="W255" i="7"/>
  <c r="N204" i="7"/>
  <c r="N273" i="7"/>
  <c r="AA204" i="7"/>
  <c r="AQ248" i="7"/>
  <c r="AQ203" i="7"/>
  <c r="AD300" i="7"/>
  <c r="AE289" i="7"/>
  <c r="Z279" i="7"/>
  <c r="AQ269" i="7"/>
  <c r="V260" i="7"/>
  <c r="AM250" i="7"/>
  <c r="Q241" i="7"/>
  <c r="AD230" i="7"/>
  <c r="Y220" i="7"/>
  <c r="AN210" i="7"/>
  <c r="AI200" i="7"/>
  <c r="P191" i="7"/>
  <c r="AE181" i="7"/>
  <c r="AA298" i="7"/>
  <c r="AG281" i="7"/>
  <c r="AG263" i="7"/>
  <c r="AG241" i="7"/>
  <c r="AG227" i="7"/>
  <c r="O205" i="7"/>
  <c r="X185" i="7"/>
  <c r="AI299" i="7"/>
  <c r="AO202" i="7"/>
  <c r="P269" i="7"/>
  <c r="V185" i="7"/>
  <c r="Y293" i="7"/>
  <c r="AQ283" i="7"/>
  <c r="AM273" i="7"/>
  <c r="P264" i="7"/>
  <c r="AH254" i="7"/>
  <c r="AH245" i="7"/>
  <c r="AH236" i="7"/>
  <c r="AH227" i="7"/>
  <c r="AH218" i="7"/>
  <c r="AH209" i="7"/>
  <c r="AH200" i="7"/>
  <c r="AH191" i="7"/>
  <c r="AH182" i="7"/>
  <c r="X296" i="7"/>
  <c r="X279" i="7"/>
  <c r="AL260" i="7"/>
  <c r="AL242" i="7"/>
  <c r="AP220" i="7"/>
  <c r="AP202" i="7"/>
  <c r="S184" i="7"/>
  <c r="N232" i="7"/>
  <c r="Z210" i="7"/>
  <c r="AQ200" i="7"/>
  <c r="V191" i="7"/>
  <c r="AM181" i="7"/>
  <c r="AH244" i="7"/>
  <c r="AQ232" i="7"/>
  <c r="AQ219" i="7"/>
  <c r="P204" i="7"/>
  <c r="AQ192" i="7"/>
  <c r="AQ174" i="7"/>
  <c r="X269" i="7"/>
  <c r="AP241" i="7"/>
  <c r="AG199" i="7"/>
  <c r="R290" i="7"/>
  <c r="AA252" i="7"/>
  <c r="AA202" i="7"/>
  <c r="AA285" i="7"/>
  <c r="AA240" i="7"/>
  <c r="AL300" i="7"/>
  <c r="P289" i="7"/>
  <c r="AD279" i="7"/>
  <c r="Y269" i="7"/>
  <c r="AQ259" i="7"/>
  <c r="P249" i="7"/>
  <c r="AM213" i="7"/>
  <c r="AH181" i="7"/>
  <c r="S277" i="7"/>
  <c r="AP210" i="7"/>
  <c r="N253" i="7"/>
  <c r="AF194" i="7"/>
  <c r="AO261" i="7"/>
  <c r="AF200" i="7"/>
  <c r="AD245" i="7"/>
  <c r="AD200" i="7"/>
  <c r="R299" i="7"/>
  <c r="Z288" i="7"/>
  <c r="AQ278" i="7"/>
  <c r="V269" i="7"/>
  <c r="AM259" i="7"/>
  <c r="Q250" i="7"/>
  <c r="AD239" i="7"/>
  <c r="Y229" i="7"/>
  <c r="AN219" i="7"/>
  <c r="AI209" i="7"/>
  <c r="P200" i="7"/>
  <c r="AE190" i="7"/>
  <c r="Z180" i="7"/>
  <c r="AM297" i="7"/>
  <c r="AL278" i="7"/>
  <c r="S260" i="7"/>
  <c r="X239" i="7"/>
  <c r="O223" i="7"/>
  <c r="AH272" i="7"/>
  <c r="AQ261" i="7"/>
  <c r="AQ252" i="7"/>
  <c r="AQ243" i="7"/>
  <c r="AQ234" i="7"/>
  <c r="AQ225" i="7"/>
  <c r="AQ216" i="7"/>
  <c r="AQ207" i="7"/>
  <c r="AQ198" i="7"/>
  <c r="AQ189" i="7"/>
  <c r="AQ180" i="7"/>
  <c r="X293" i="7"/>
  <c r="O277" i="7"/>
  <c r="AP256" i="7"/>
  <c r="O241" i="7"/>
  <c r="AP216" i="7"/>
  <c r="AP198" i="7"/>
  <c r="S179" i="7"/>
  <c r="N223" i="7"/>
  <c r="AI287" i="7"/>
  <c r="AQ230" i="7"/>
  <c r="Q272" i="7"/>
  <c r="Q254" i="7"/>
  <c r="Q236" i="7"/>
  <c r="Q218" i="7"/>
  <c r="Q200" i="7"/>
  <c r="Q182" i="7"/>
  <c r="X292" i="7"/>
  <c r="X274" i="7"/>
  <c r="X256" i="7"/>
  <c r="X238" i="7"/>
  <c r="X220" i="7"/>
  <c r="S204" i="7"/>
  <c r="AG189" i="7"/>
  <c r="O176" i="7"/>
  <c r="AO287" i="7"/>
  <c r="N275" i="7"/>
  <c r="N260" i="7"/>
  <c r="AA245" i="7"/>
  <c r="AF231" i="7"/>
  <c r="AO215" i="7"/>
  <c r="N203" i="7"/>
  <c r="N188" i="7"/>
  <c r="AN242" i="7"/>
  <c r="Z215" i="7"/>
  <c r="AN293" i="7"/>
  <c r="AI280" i="7"/>
  <c r="AI265" i="7"/>
  <c r="AI250" i="7"/>
  <c r="Q231" i="7"/>
  <c r="Z200" i="7"/>
  <c r="V187" i="7"/>
  <c r="AM298" i="7"/>
  <c r="AD291" i="7"/>
  <c r="AD273" i="7"/>
  <c r="AD255" i="7"/>
  <c r="P238" i="7"/>
  <c r="AD223" i="7"/>
  <c r="P207" i="7"/>
  <c r="AD192" i="7"/>
  <c r="Y177" i="7"/>
  <c r="S244" i="7"/>
  <c r="AG224" i="7"/>
  <c r="X204" i="7"/>
  <c r="S185" i="7"/>
  <c r="O267" i="7"/>
  <c r="X215" i="7"/>
  <c r="AF289" i="7"/>
  <c r="R236" i="7"/>
  <c r="W192" i="7"/>
  <c r="AO274" i="7"/>
  <c r="AO220" i="7"/>
  <c r="P287" i="7"/>
  <c r="AH199" i="7"/>
  <c r="AF298" i="7"/>
  <c r="S250" i="7"/>
  <c r="AL177" i="7"/>
  <c r="N226" i="7"/>
  <c r="R178" i="7"/>
  <c r="AF232" i="7"/>
  <c r="AF182" i="7"/>
  <c r="Q229" i="7"/>
  <c r="Z186" i="7"/>
  <c r="AQ295" i="7"/>
  <c r="AD284" i="7"/>
  <c r="Y274" i="7"/>
  <c r="AN264" i="7"/>
  <c r="AI254" i="7"/>
  <c r="P245" i="7"/>
  <c r="AE235" i="7"/>
  <c r="Z225" i="7"/>
  <c r="AQ215" i="7"/>
  <c r="V206" i="7"/>
  <c r="AM196" i="7"/>
  <c r="Q187" i="7"/>
  <c r="AD176" i="7"/>
  <c r="AG290" i="7"/>
  <c r="AL269" i="7"/>
  <c r="S251" i="7"/>
  <c r="AL233" i="7"/>
  <c r="S215" i="7"/>
  <c r="S193" i="7"/>
  <c r="AL179" i="7"/>
  <c r="W239" i="7"/>
  <c r="O295" i="7"/>
  <c r="AH246" i="7"/>
  <c r="AN297" i="7"/>
  <c r="Y288" i="7"/>
  <c r="AM278" i="7"/>
  <c r="AH268" i="7"/>
  <c r="P259" i="7"/>
  <c r="P250" i="7"/>
  <c r="P241" i="7"/>
  <c r="P232" i="7"/>
  <c r="P223" i="7"/>
  <c r="P214" i="7"/>
  <c r="P205" i="7"/>
  <c r="P196" i="7"/>
  <c r="P187" i="7"/>
  <c r="P178" i="7"/>
  <c r="X288" i="7"/>
  <c r="AG272" i="7"/>
  <c r="AL251" i="7"/>
  <c r="AP229" i="7"/>
  <c r="AP211" i="7"/>
  <c r="O196" i="7"/>
  <c r="N282" i="7"/>
  <c r="AA195" i="7"/>
  <c r="AD206" i="7"/>
  <c r="AN195" i="7"/>
  <c r="AI185" i="7"/>
  <c r="P176" i="7"/>
  <c r="AQ237" i="7"/>
  <c r="AD225" i="7"/>
  <c r="AM209" i="7"/>
  <c r="AD198" i="7"/>
  <c r="AQ187" i="7"/>
  <c r="S286" i="7"/>
  <c r="AG257" i="7"/>
  <c r="AP223" i="7"/>
  <c r="AG176" i="7"/>
  <c r="AO268" i="7"/>
  <c r="AA225" i="7"/>
  <c r="AO178" i="7"/>
  <c r="AO265" i="7"/>
  <c r="AF205" i="7"/>
  <c r="P294" i="7"/>
  <c r="AH284" i="7"/>
  <c r="AD274" i="7"/>
  <c r="AQ264" i="7"/>
  <c r="Y255" i="7"/>
  <c r="Y228" i="7"/>
  <c r="AM191" i="7"/>
  <c r="W297" i="7"/>
  <c r="AP246" i="7"/>
  <c r="AF275" i="7"/>
  <c r="AF221" i="7"/>
  <c r="AA175" i="7"/>
  <c r="R229" i="7"/>
  <c r="AF178" i="7"/>
  <c r="AN225" i="7"/>
  <c r="AH183" i="7"/>
  <c r="AD293" i="7"/>
  <c r="Y283" i="7"/>
  <c r="AN273" i="7"/>
  <c r="AI263" i="7"/>
  <c r="P254" i="7"/>
  <c r="AE244" i="7"/>
  <c r="Z234" i="7"/>
  <c r="AQ224" i="7"/>
  <c r="V215" i="7"/>
  <c r="AM205" i="7"/>
  <c r="Q196" i="7"/>
  <c r="AD185" i="7"/>
  <c r="Y175" i="7"/>
  <c r="AG286" i="7"/>
  <c r="AG268" i="7"/>
  <c r="O250" i="7"/>
  <c r="AG232" i="7"/>
  <c r="O214" i="7"/>
  <c r="AM186" i="7"/>
  <c r="AG293" i="7"/>
  <c r="X237" i="7"/>
  <c r="N271" i="7"/>
  <c r="R218" i="7"/>
  <c r="AM295" i="7"/>
  <c r="W225" i="7"/>
  <c r="AI269" i="7"/>
  <c r="Z222" i="7"/>
  <c r="AE178" i="7"/>
  <c r="Y292" i="7"/>
  <c r="AN282" i="7"/>
  <c r="AI272" i="7"/>
  <c r="P263" i="7"/>
  <c r="AE253" i="7"/>
  <c r="Z243" i="7"/>
  <c r="AQ233" i="7"/>
  <c r="V224" i="7"/>
  <c r="AM214" i="7"/>
  <c r="Q205" i="7"/>
  <c r="AD194" i="7"/>
  <c r="Y184" i="7"/>
  <c r="AN174" i="7"/>
  <c r="X284" i="7"/>
  <c r="O268" i="7"/>
  <c r="X248" i="7"/>
  <c r="O232" i="7"/>
  <c r="X212" i="7"/>
  <c r="AP189" i="7"/>
  <c r="O178" i="7"/>
  <c r="R224" i="7"/>
  <c r="AN288" i="7"/>
  <c r="V230" i="7"/>
  <c r="Y296" i="7"/>
  <c r="AH286" i="7"/>
  <c r="P277" i="7"/>
  <c r="AD267" i="7"/>
  <c r="Y257" i="7"/>
  <c r="Y248" i="7"/>
  <c r="Y239" i="7"/>
  <c r="Y230" i="7"/>
  <c r="Y221" i="7"/>
  <c r="Y212" i="7"/>
  <c r="Y203" i="7"/>
  <c r="Y194" i="7"/>
  <c r="Y185" i="7"/>
  <c r="Y176" i="7"/>
  <c r="S287" i="7"/>
  <c r="S265" i="7"/>
  <c r="AP247" i="7"/>
  <c r="AP225" i="7"/>
  <c r="AP207" i="7"/>
  <c r="AP193" i="7"/>
  <c r="AO256" i="7"/>
  <c r="AI301" i="7"/>
  <c r="Z287" i="7"/>
  <c r="AE273" i="7"/>
  <c r="AN257" i="7"/>
  <c r="V244" i="7"/>
  <c r="AN215" i="7"/>
  <c r="AI193" i="7"/>
  <c r="Q180" i="7"/>
  <c r="AG301" i="7"/>
  <c r="AD282" i="7"/>
  <c r="AD264" i="7"/>
  <c r="AD246" i="7"/>
  <c r="Y231" i="7"/>
  <c r="AH215" i="7"/>
  <c r="Y200" i="7"/>
  <c r="P184" i="7"/>
  <c r="AL257" i="7"/>
  <c r="S235" i="7"/>
  <c r="O216" i="7"/>
  <c r="X195" i="7"/>
  <c r="R176" i="7"/>
  <c r="S241" i="7"/>
  <c r="O186" i="7"/>
  <c r="AF266" i="7"/>
  <c r="AO210" i="7"/>
  <c r="AO292" i="7"/>
  <c r="AA258" i="7"/>
  <c r="N183" i="7"/>
  <c r="AD272" i="7"/>
  <c r="AD218" i="7"/>
  <c r="P197" i="7"/>
  <c r="Y294" i="7"/>
  <c r="O283" i="7"/>
  <c r="AL270" i="7"/>
  <c r="O252" i="7"/>
  <c r="AP195" i="7"/>
  <c r="X260" i="7"/>
  <c r="X183" i="7"/>
  <c r="W237" i="7"/>
  <c r="AA271" i="7"/>
  <c r="N192" i="7"/>
  <c r="AM211" i="7"/>
  <c r="AQ294" i="7"/>
  <c r="N283" i="7"/>
  <c r="R271" i="7"/>
  <c r="AO258" i="7"/>
  <c r="N247" i="7"/>
  <c r="R235" i="7"/>
  <c r="AO222" i="7"/>
  <c r="N211" i="7"/>
  <c r="R199" i="7"/>
  <c r="W186" i="7"/>
  <c r="O276" i="7"/>
  <c r="S191" i="7"/>
  <c r="W246" i="7"/>
  <c r="W174" i="7"/>
  <c r="AH299" i="7"/>
  <c r="P224" i="7"/>
  <c r="Y299" i="7"/>
  <c r="AM289" i="7"/>
  <c r="Z226" i="7"/>
  <c r="Z208" i="7"/>
  <c r="Z190" i="7"/>
  <c r="S300" i="7"/>
  <c r="S282" i="7"/>
  <c r="S264" i="7"/>
  <c r="S246" i="7"/>
  <c r="S228" i="7"/>
  <c r="S210" i="7"/>
  <c r="AG195" i="7"/>
  <c r="O182" i="7"/>
  <c r="AO293" i="7"/>
  <c r="N281" i="7"/>
  <c r="N266" i="7"/>
  <c r="AA251" i="7"/>
  <c r="AF237" i="7"/>
  <c r="AO221" i="7"/>
  <c r="N209" i="7"/>
  <c r="N194" i="7"/>
  <c r="AA179" i="7"/>
  <c r="AN227" i="7"/>
  <c r="AN299" i="7"/>
  <c r="AI286" i="7"/>
  <c r="AI271" i="7"/>
  <c r="Z257" i="7"/>
  <c r="Q243" i="7"/>
  <c r="AE207" i="7"/>
  <c r="V193" i="7"/>
  <c r="V178" i="7"/>
  <c r="AQ300" i="7"/>
  <c r="Y281" i="7"/>
  <c r="Y263" i="7"/>
  <c r="Y245" i="7"/>
  <c r="P229" i="7"/>
  <c r="AD214" i="7"/>
  <c r="P198" i="7"/>
  <c r="AD183" i="7"/>
  <c r="AP253" i="7"/>
  <c r="AL234" i="7"/>
  <c r="AG215" i="7"/>
  <c r="X191" i="7"/>
  <c r="N175" i="7"/>
  <c r="S236" i="7"/>
  <c r="AP183" i="7"/>
  <c r="N262" i="7"/>
  <c r="R209" i="7"/>
  <c r="R292" i="7"/>
  <c r="W257" i="7"/>
  <c r="R179" i="7"/>
  <c r="AN270" i="7"/>
  <c r="AN216" i="7"/>
  <c r="Z195" i="7"/>
  <c r="AL293" i="7"/>
  <c r="X281" i="7"/>
  <c r="O270" i="7"/>
  <c r="AN253" i="7"/>
  <c r="AG273" i="7"/>
  <c r="S174" i="7"/>
  <c r="AA215" i="7"/>
  <c r="AE279" i="7"/>
  <c r="Q298" i="7"/>
  <c r="AH206" i="7"/>
  <c r="AP181" i="7"/>
  <c r="W270" i="7"/>
  <c r="P300" i="7"/>
  <c r="O247" i="7"/>
  <c r="AP178" i="7"/>
  <c r="R188" i="7"/>
  <c r="AA282" i="7"/>
  <c r="AA246" i="7"/>
  <c r="AA210" i="7"/>
  <c r="S272" i="7"/>
  <c r="R238" i="7"/>
  <c r="AO298" i="7"/>
  <c r="AM271" i="7"/>
  <c r="V245" i="7"/>
  <c r="V218" i="7"/>
  <c r="P194" i="7"/>
  <c r="AD243" i="7"/>
  <c r="Y215" i="7"/>
  <c r="P181" i="7"/>
  <c r="X233" i="7"/>
  <c r="AA265" i="7"/>
  <c r="W279" i="7"/>
  <c r="AI296" i="7"/>
  <c r="AH271" i="7"/>
  <c r="Y246" i="7"/>
  <c r="S290" i="7"/>
  <c r="AF244" i="7"/>
  <c r="AF245" i="7"/>
  <c r="V212" i="7"/>
  <c r="AM286" i="7"/>
  <c r="AE262" i="7"/>
  <c r="AN237" i="7"/>
  <c r="Z216" i="7"/>
  <c r="AN192" i="7"/>
  <c r="Q295" i="7"/>
  <c r="S247" i="7"/>
  <c r="X203" i="7"/>
  <c r="X176" i="7"/>
  <c r="W300" i="7"/>
  <c r="AP301" i="7"/>
  <c r="AD285" i="7"/>
  <c r="P268" i="7"/>
  <c r="AM251" i="7"/>
  <c r="AD235" i="7"/>
  <c r="AQ220" i="7"/>
  <c r="AH205" i="7"/>
  <c r="Y189" i="7"/>
  <c r="P174" i="7"/>
  <c r="S269" i="7"/>
  <c r="AG236" i="7"/>
  <c r="O201" i="7"/>
  <c r="R251" i="7"/>
  <c r="AQ284" i="7"/>
  <c r="Q184" i="7"/>
  <c r="Z253" i="7"/>
  <c r="S273" i="7"/>
  <c r="AO299" i="7"/>
  <c r="N215" i="7"/>
  <c r="AI277" i="7"/>
  <c r="Y295" i="7"/>
  <c r="AD205" i="7"/>
  <c r="AP177" i="7"/>
  <c r="W266" i="7"/>
  <c r="AF299" i="7"/>
  <c r="S226" i="7"/>
  <c r="AA274" i="7"/>
  <c r="Z249" i="7"/>
  <c r="AO276" i="7"/>
  <c r="AO240" i="7"/>
  <c r="AO204" i="7"/>
  <c r="X228" i="7"/>
  <c r="W207" i="7"/>
  <c r="AI293" i="7"/>
  <c r="AI266" i="7"/>
  <c r="AI239" i="7"/>
  <c r="AM217" i="7"/>
  <c r="AE193" i="7"/>
  <c r="P240" i="7"/>
  <c r="P208" i="7"/>
  <c r="AM294" i="7"/>
  <c r="AG230" i="7"/>
  <c r="AF262" i="7"/>
  <c r="N277" i="7"/>
  <c r="AD292" i="7"/>
  <c r="AM267" i="7"/>
  <c r="AQ241" i="7"/>
  <c r="AL285" i="7"/>
  <c r="AO241" i="7"/>
  <c r="AA222" i="7"/>
  <c r="AM193" i="7"/>
  <c r="Q286" i="7"/>
  <c r="Z261" i="7"/>
  <c r="AI236" i="7"/>
  <c r="Q214" i="7"/>
  <c r="AQ188" i="7"/>
  <c r="AL291" i="7"/>
  <c r="AL246" i="7"/>
  <c r="AL201" i="7"/>
  <c r="AL174" i="7"/>
  <c r="AQ293" i="7"/>
  <c r="Q301" i="7"/>
  <c r="AM282" i="7"/>
  <c r="Y266" i="7"/>
  <c r="AH250" i="7"/>
  <c r="Y234" i="7"/>
  <c r="AM219" i="7"/>
  <c r="AD204" i="7"/>
  <c r="AM188" i="7"/>
  <c r="AD294" i="7"/>
  <c r="O264" i="7"/>
  <c r="S233" i="7"/>
  <c r="X198" i="7"/>
  <c r="N241" i="7"/>
  <c r="AD281" i="7"/>
  <c r="AI179" i="7"/>
  <c r="AN235" i="7"/>
  <c r="AG255" i="7"/>
  <c r="AA287" i="7"/>
  <c r="AF201" i="7"/>
  <c r="AN263" i="7"/>
  <c r="Y290" i="7"/>
  <c r="Y191" i="7"/>
  <c r="AL263" i="7"/>
  <c r="AA217" i="7"/>
  <c r="AQ298" i="7"/>
  <c r="O225" i="7"/>
  <c r="AF271" i="7"/>
  <c r="AI242" i="7"/>
  <c r="W276" i="7"/>
  <c r="W240" i="7"/>
  <c r="W204" i="7"/>
  <c r="X219" i="7"/>
  <c r="R202" i="7"/>
  <c r="P293" i="7"/>
  <c r="P266" i="7"/>
  <c r="P239" i="7"/>
  <c r="AN213" i="7"/>
  <c r="Q190" i="7"/>
  <c r="AH239" i="7"/>
  <c r="AD207" i="7"/>
  <c r="X291" i="7"/>
  <c r="AL213" i="7"/>
  <c r="R245" i="7"/>
  <c r="R274" i="7"/>
  <c r="AQ291" i="7"/>
  <c r="P267" i="7"/>
  <c r="P226" i="7"/>
  <c r="O271" i="7"/>
  <c r="AF235" i="7"/>
  <c r="AF218" i="7"/>
  <c r="Y190" i="7"/>
  <c r="AI281" i="7"/>
  <c r="AD257" i="7"/>
  <c r="P236" i="7"/>
  <c r="AD212" i="7"/>
  <c r="V188" i="7"/>
  <c r="AP283" i="7"/>
  <c r="O237" i="7"/>
  <c r="AG200" i="7"/>
  <c r="AF286" i="7"/>
  <c r="AE286" i="7"/>
  <c r="AM299" i="7"/>
  <c r="AH281" i="7"/>
  <c r="AQ265" i="7"/>
  <c r="AD249" i="7"/>
  <c r="AM233" i="7"/>
  <c r="AD217" i="7"/>
  <c r="AQ202" i="7"/>
  <c r="AH187" i="7"/>
  <c r="S292" i="7"/>
  <c r="AP261" i="7"/>
  <c r="O228" i="7"/>
  <c r="AL197" i="7"/>
  <c r="AA226" i="7"/>
  <c r="AI278" i="7"/>
  <c r="AQ176" i="7"/>
  <c r="Z235" i="7"/>
  <c r="S255" i="7"/>
  <c r="N287" i="7"/>
  <c r="N200" i="7"/>
  <c r="Z263" i="7"/>
  <c r="P288" i="7"/>
  <c r="P189" i="7"/>
  <c r="O262" i="7"/>
  <c r="R211" i="7"/>
  <c r="AL288" i="7"/>
  <c r="S212" i="7"/>
  <c r="R263" i="7"/>
  <c r="AD236" i="7"/>
  <c r="AF274" i="7"/>
  <c r="AF238" i="7"/>
  <c r="AF202" i="7"/>
  <c r="AG212" i="7"/>
  <c r="W198" i="7"/>
  <c r="AE292" i="7"/>
  <c r="AM262" i="7"/>
  <c r="AE238" i="7"/>
  <c r="AI212" i="7"/>
  <c r="AH189" i="7"/>
  <c r="AH235" i="7"/>
  <c r="AD202" i="7"/>
  <c r="O289" i="7"/>
  <c r="X206" i="7"/>
  <c r="W242" i="7"/>
  <c r="R256" i="7"/>
  <c r="Y287" i="7"/>
  <c r="AH266" i="7"/>
  <c r="Y224" i="7"/>
  <c r="X264" i="7"/>
  <c r="W215" i="7"/>
  <c r="AF191" i="7"/>
  <c r="AE187" i="7"/>
  <c r="P281" i="7"/>
  <c r="Y256" i="7"/>
  <c r="V233" i="7"/>
  <c r="AE208" i="7"/>
  <c r="AM187" i="7"/>
  <c r="S283" i="7"/>
  <c r="AP234" i="7"/>
  <c r="S197" i="7"/>
  <c r="W252" i="7"/>
  <c r="AM283" i="7"/>
  <c r="O297" i="7"/>
  <c r="AQ279" i="7"/>
  <c r="AH263" i="7"/>
  <c r="AQ247" i="7"/>
  <c r="AH232" i="7"/>
  <c r="Y216" i="7"/>
  <c r="AM201" i="7"/>
  <c r="AD186" i="7"/>
  <c r="O291" i="7"/>
  <c r="AG259" i="7"/>
  <c r="X225" i="7"/>
  <c r="AG196" i="7"/>
  <c r="N219" i="7"/>
  <c r="Z276" i="7"/>
  <c r="AN217" i="7"/>
  <c r="AG237" i="7"/>
  <c r="AF273" i="7"/>
  <c r="AO185" i="7"/>
  <c r="V250" i="7"/>
  <c r="Y272" i="7"/>
  <c r="P175" i="7"/>
  <c r="O213" i="7"/>
  <c r="Z285" i="7"/>
  <c r="O288" i="7"/>
  <c r="AL194" i="7"/>
  <c r="AF226" i="7"/>
  <c r="Y199" i="7"/>
  <c r="N270" i="7"/>
  <c r="N234" i="7"/>
  <c r="N198" i="7"/>
  <c r="X188" i="7"/>
  <c r="Q292" i="7"/>
  <c r="AH288" i="7"/>
  <c r="AH261" i="7"/>
  <c r="AM235" i="7"/>
  <c r="V209" i="7"/>
  <c r="AD188" i="7"/>
  <c r="P235" i="7"/>
  <c r="AQ201" i="7"/>
  <c r="O280" i="7"/>
  <c r="AL195" i="7"/>
  <c r="AA229" i="7"/>
  <c r="AA253" i="7"/>
  <c r="AQ286" i="7"/>
  <c r="AH262" i="7"/>
  <c r="AH212" i="7"/>
  <c r="S254" i="7"/>
  <c r="AF212" i="7"/>
  <c r="AF187" i="7"/>
  <c r="AM175" i="7"/>
  <c r="AM277" i="7"/>
  <c r="AN255" i="7"/>
  <c r="AM232" i="7"/>
  <c r="Z207" i="7"/>
  <c r="AN183" i="7"/>
  <c r="S274" i="7"/>
  <c r="X234" i="7"/>
  <c r="O192" i="7"/>
  <c r="AO247" i="7"/>
  <c r="Q265" i="7"/>
  <c r="AP295" i="7"/>
  <c r="Y279" i="7"/>
  <c r="Y261" i="7"/>
  <c r="AM246" i="7"/>
  <c r="AD231" i="7"/>
  <c r="AM215" i="7"/>
  <c r="AD199" i="7"/>
  <c r="AQ184" i="7"/>
  <c r="AP288" i="7"/>
  <c r="AL255" i="7"/>
  <c r="S224" i="7"/>
  <c r="X194" i="7"/>
  <c r="R206" i="7"/>
  <c r="Y271" i="7"/>
  <c r="Z217" i="7"/>
  <c r="S237" i="7"/>
  <c r="N272" i="7"/>
  <c r="AA185" i="7"/>
  <c r="Q249" i="7"/>
  <c r="P270" i="7"/>
  <c r="AD174" i="7"/>
  <c r="AL204" i="7"/>
  <c r="V284" i="7"/>
  <c r="AP285" i="7"/>
  <c r="AG179" i="7"/>
  <c r="N190" i="7"/>
  <c r="O300" i="7"/>
  <c r="N265" i="7"/>
  <c r="N229" i="7"/>
  <c r="N193" i="7"/>
  <c r="R286" i="7"/>
  <c r="AN261" i="7"/>
  <c r="AE283" i="7"/>
  <c r="AD260" i="7"/>
  <c r="AH234" i="7"/>
  <c r="AM208" i="7"/>
  <c r="AE184" i="7"/>
  <c r="AH230" i="7"/>
  <c r="Y201" i="7"/>
  <c r="AL276" i="7"/>
  <c r="AL191" i="7"/>
  <c r="W219" i="7"/>
  <c r="AO234" i="7"/>
  <c r="AM285" i="7"/>
  <c r="P262" i="7"/>
  <c r="AD211" i="7"/>
  <c r="AP232" i="7"/>
  <c r="N186" i="7"/>
  <c r="AO184" i="7"/>
  <c r="AQ301" i="7"/>
  <c r="Q277" i="7"/>
  <c r="Z252" i="7"/>
  <c r="AI227" i="7"/>
  <c r="AQ206" i="7"/>
  <c r="AI182" i="7"/>
  <c r="AP270" i="7"/>
  <c r="X230" i="7"/>
  <c r="X189" i="7"/>
  <c r="AO243" i="7"/>
  <c r="V257" i="7"/>
  <c r="R295" i="7"/>
  <c r="AH277" i="7"/>
  <c r="AM260" i="7"/>
  <c r="AD244" i="7"/>
  <c r="AQ229" i="7"/>
  <c r="AH214" i="7"/>
  <c r="Y198" i="7"/>
  <c r="AM183" i="7"/>
  <c r="AL287" i="7"/>
  <c r="AP252" i="7"/>
  <c r="O219" i="7"/>
  <c r="AL192" i="7"/>
  <c r="AA199" i="7"/>
  <c r="AH264" i="7"/>
  <c r="Z199" i="7"/>
  <c r="S219" i="7"/>
  <c r="AA257" i="7"/>
  <c r="AI238" i="7"/>
  <c r="AE222" i="7"/>
  <c r="P252" i="7"/>
  <c r="AP240" i="7"/>
  <c r="AO282" i="7"/>
  <c r="Q256" i="7"/>
  <c r="AL275" i="7"/>
  <c r="AL290" i="7"/>
  <c r="W179" i="7"/>
  <c r="P298" i="7"/>
  <c r="AO262" i="7"/>
  <c r="AO226" i="7"/>
  <c r="AO190" i="7"/>
  <c r="N280" i="7"/>
  <c r="Y244" i="7"/>
  <c r="AQ281" i="7"/>
  <c r="Z255" i="7"/>
  <c r="Z228" i="7"/>
  <c r="AI203" i="7"/>
  <c r="AH180" i="7"/>
  <c r="AQ228" i="7"/>
  <c r="AM195" i="7"/>
  <c r="AP264" i="7"/>
  <c r="AG296" i="7"/>
  <c r="AA198" i="7"/>
  <c r="N228" i="7"/>
  <c r="Y282" i="7"/>
  <c r="AH257" i="7"/>
  <c r="P186" i="7"/>
  <c r="AP201" i="7"/>
  <c r="AF181" i="7"/>
  <c r="AH255" i="7"/>
  <c r="P297" i="7"/>
  <c r="P272" i="7"/>
  <c r="Y247" i="7"/>
  <c r="AE226" i="7"/>
  <c r="Y202" i="7"/>
  <c r="AM178" i="7"/>
  <c r="X266" i="7"/>
  <c r="S220" i="7"/>
  <c r="AP184" i="7"/>
  <c r="W216" i="7"/>
  <c r="AE250" i="7"/>
  <c r="P291" i="7"/>
  <c r="Y275" i="7"/>
  <c r="AD258" i="7"/>
  <c r="AM242" i="7"/>
  <c r="AD226" i="7"/>
  <c r="AQ211" i="7"/>
  <c r="AH196" i="7"/>
  <c r="Y180" i="7"/>
  <c r="O282" i="7"/>
  <c r="AG250" i="7"/>
  <c r="AL215" i="7"/>
  <c r="AG182" i="7"/>
  <c r="N178" i="7"/>
  <c r="AM247" i="7"/>
  <c r="AN289" i="7"/>
  <c r="AN181" i="7"/>
  <c r="X202" i="7"/>
  <c r="N245" i="7"/>
  <c r="Q213" i="7"/>
  <c r="AI199" i="7"/>
  <c r="AD237" i="7"/>
  <c r="AL221" i="7"/>
  <c r="N235" i="7"/>
  <c r="Q247" i="7"/>
  <c r="AG274" i="7"/>
  <c r="AL254" i="7"/>
  <c r="N268" i="7"/>
  <c r="X294" i="7"/>
  <c r="W258" i="7"/>
  <c r="W222" i="7"/>
  <c r="R185" i="7"/>
  <c r="R241" i="7"/>
  <c r="V221" i="7"/>
  <c r="AD278" i="7"/>
  <c r="AD251" i="7"/>
  <c r="AQ227" i="7"/>
  <c r="P203" i="7"/>
  <c r="AD179" i="7"/>
  <c r="AM222" i="7"/>
  <c r="AH190" i="7"/>
  <c r="AG262" i="7"/>
  <c r="AL294" i="7"/>
  <c r="N195" i="7"/>
  <c r="R193" i="7"/>
  <c r="AQ277" i="7"/>
  <c r="AD256" i="7"/>
  <c r="AH185" i="7"/>
  <c r="X192" i="7"/>
  <c r="R287" i="7"/>
  <c r="V239" i="7"/>
  <c r="AF296" i="7"/>
  <c r="AE271" i="7"/>
  <c r="AN246" i="7"/>
  <c r="AM223" i="7"/>
  <c r="Z198" i="7"/>
  <c r="Q178" i="7"/>
  <c r="AP265" i="7"/>
  <c r="AL219" i="7"/>
  <c r="O183" i="7"/>
  <c r="W212" i="7"/>
  <c r="AI233" i="7"/>
  <c r="AH290" i="7"/>
  <c r="P273" i="7"/>
  <c r="AQ256" i="7"/>
  <c r="AH241" i="7"/>
  <c r="Y225" i="7"/>
  <c r="AM210" i="7"/>
  <c r="AD195" i="7"/>
  <c r="AM179" i="7"/>
  <c r="S278" i="7"/>
  <c r="O246" i="7"/>
  <c r="AG214" i="7"/>
  <c r="S175" i="7"/>
  <c r="N174" i="7"/>
  <c r="Z240" i="7"/>
  <c r="Z289" i="7"/>
  <c r="Z181" i="7"/>
  <c r="AG201" i="7"/>
  <c r="AF243" i="7"/>
  <c r="V211" i="7"/>
  <c r="V199" i="7"/>
  <c r="Y236" i="7"/>
  <c r="S221" i="7"/>
  <c r="R232" i="7"/>
  <c r="AI206" i="7"/>
  <c r="S262" i="7"/>
  <c r="AL227" i="7"/>
  <c r="AA244" i="7"/>
  <c r="R289" i="7"/>
  <c r="R253" i="7"/>
  <c r="R217" i="7"/>
  <c r="N180" i="7"/>
  <c r="AA211" i="7"/>
  <c r="AI188" i="7"/>
  <c r="AN276" i="7"/>
  <c r="AN249" i="7"/>
  <c r="AD224" i="7"/>
  <c r="AM199" i="7"/>
  <c r="AN177" i="7"/>
  <c r="P222" i="7"/>
  <c r="P190" i="7"/>
  <c r="AP250" i="7"/>
  <c r="W282" i="7"/>
  <c r="AA193" i="7"/>
  <c r="W189" i="7"/>
  <c r="AM276" i="7"/>
  <c r="P253" i="7"/>
  <c r="Y179" i="7"/>
  <c r="AG181" i="7"/>
  <c r="W284" i="7"/>
  <c r="Y235" i="7"/>
  <c r="AN291" i="7"/>
  <c r="Q268" i="7"/>
  <c r="AI245" i="7"/>
  <c r="Q223" i="7"/>
  <c r="AQ197" i="7"/>
  <c r="AM174" i="7"/>
  <c r="S256" i="7"/>
  <c r="AG218" i="7"/>
  <c r="AP180" i="7"/>
  <c r="AO198" i="7"/>
  <c r="Y226" i="7"/>
  <c r="AQ288" i="7"/>
  <c r="AQ270" i="7"/>
  <c r="AM255" i="7"/>
  <c r="AD240" i="7"/>
  <c r="AM224" i="7"/>
  <c r="AD208" i="7"/>
  <c r="AQ193" i="7"/>
  <c r="AH178" i="7"/>
  <c r="X275" i="7"/>
  <c r="AP243" i="7"/>
  <c r="O210" i="7"/>
  <c r="AM301" i="7"/>
  <c r="AH301" i="7"/>
  <c r="P233" i="7"/>
  <c r="AN271" i="7"/>
  <c r="AG291" i="7"/>
  <c r="S189" i="7"/>
  <c r="N230" i="7"/>
  <c r="Z293" i="7"/>
  <c r="Q186" i="7"/>
  <c r="Y222" i="7"/>
  <c r="AL203" i="7"/>
  <c r="W188" i="7"/>
  <c r="AE205" i="7"/>
  <c r="O261" i="7"/>
  <c r="X224" i="7"/>
  <c r="AF241" i="7"/>
  <c r="N288" i="7"/>
  <c r="N252" i="7"/>
  <c r="N216" i="7"/>
  <c r="AF179" i="7"/>
  <c r="AA207" i="7"/>
  <c r="P179" i="7"/>
  <c r="AQ272" i="7"/>
  <c r="AI248" i="7"/>
  <c r="AN222" i="7"/>
  <c r="Q199" i="7"/>
  <c r="Z174" i="7"/>
  <c r="P217" i="7"/>
  <c r="AD189" i="7"/>
  <c r="O249" i="7"/>
  <c r="N276" i="7"/>
  <c r="AO174" i="7"/>
  <c r="AH298" i="7"/>
  <c r="P276" i="7"/>
  <c r="AD252" i="7"/>
  <c r="AM177" i="7"/>
  <c r="W264" i="7"/>
  <c r="AF250" i="7"/>
  <c r="AE232" i="7"/>
  <c r="AI290" i="7"/>
  <c r="AD266" i="7"/>
  <c r="AQ242" i="7"/>
  <c r="P218" i="7"/>
  <c r="V197" i="7"/>
  <c r="AO301" i="7"/>
  <c r="O255" i="7"/>
  <c r="S211" i="7"/>
  <c r="X180" i="7"/>
  <c r="AA181" i="7"/>
  <c r="Q220" i="7"/>
  <c r="AM287" i="7"/>
  <c r="Y270" i="7"/>
  <c r="AD253" i="7"/>
  <c r="AQ238" i="7"/>
  <c r="AH223" i="7"/>
  <c r="Y207" i="7"/>
  <c r="AM192" i="7"/>
  <c r="AD177" i="7"/>
  <c r="AP274" i="7"/>
  <c r="S242" i="7"/>
  <c r="X207" i="7"/>
  <c r="AA289" i="7"/>
  <c r="V293" i="7"/>
  <c r="AD227" i="7"/>
  <c r="Z271" i="7"/>
  <c r="S291" i="7"/>
  <c r="O188" i="7"/>
  <c r="AO227" i="7"/>
  <c r="AI292" i="7"/>
  <c r="V184" i="7"/>
  <c r="P220" i="7"/>
  <c r="AG202" i="7"/>
  <c r="AF185" i="7"/>
  <c r="V203" i="7"/>
  <c r="AP258" i="7"/>
  <c r="O222" i="7"/>
  <c r="AA231" i="7"/>
  <c r="AF287" i="7"/>
  <c r="AF251" i="7"/>
  <c r="AF215" i="7"/>
  <c r="AA178" i="7"/>
  <c r="AF203" i="7"/>
  <c r="V176" i="7"/>
  <c r="V272" i="7"/>
  <c r="AQ245" i="7"/>
  <c r="AQ218" i="7"/>
  <c r="AH198" i="7"/>
  <c r="AM249" i="7"/>
  <c r="AD216" i="7"/>
  <c r="Y183" i="7"/>
  <c r="AG235" i="7"/>
  <c r="AO273" i="7"/>
  <c r="Y298" i="7"/>
  <c r="X297" i="7"/>
  <c r="Y273" i="7"/>
  <c r="AD247" i="7"/>
  <c r="Y174" i="7"/>
  <c r="AA261" i="7"/>
  <c r="W248" i="7"/>
  <c r="AI215" i="7"/>
  <c r="V287" i="7"/>
  <c r="Y265" i="7"/>
  <c r="V242" i="7"/>
  <c r="AE217" i="7"/>
  <c r="Y193" i="7"/>
  <c r="AO295" i="7"/>
  <c r="AG254" i="7"/>
  <c r="AL210" i="7"/>
  <c r="AG178" i="7"/>
  <c r="AA177" i="7"/>
  <c r="AN180" i="7"/>
  <c r="P286" i="7"/>
  <c r="AM269" i="7"/>
  <c r="Y252" i="7"/>
  <c r="AM237" i="7"/>
  <c r="AD222" i="7"/>
  <c r="AM206" i="7"/>
  <c r="AD190" i="7"/>
  <c r="AQ175" i="7"/>
  <c r="AL273" i="7"/>
  <c r="S238" i="7"/>
  <c r="AL206" i="7"/>
  <c r="AO270" i="7"/>
  <c r="AD290" i="7"/>
  <c r="Q193" i="7"/>
  <c r="AI226" i="7"/>
  <c r="AA283" i="7"/>
  <c r="W230" i="7"/>
  <c r="V179" i="7"/>
  <c r="AM197" i="7"/>
  <c r="AO183" i="7"/>
  <c r="Y254" i="7"/>
  <c r="V248" i="7"/>
  <c r="AQ282" i="7"/>
  <c r="X270" i="7"/>
  <c r="AD181" i="7"/>
  <c r="AL243" i="7"/>
  <c r="Z282" i="7"/>
  <c r="P258" i="7"/>
  <c r="S229" i="7"/>
  <c r="O286" i="7"/>
  <c r="Q208" i="7"/>
  <c r="AD263" i="7"/>
  <c r="N285" i="7"/>
  <c r="AE256" i="7"/>
  <c r="Y210" i="7"/>
  <c r="AL188" i="7"/>
  <c r="X252" i="7"/>
  <c r="AG191" i="7"/>
  <c r="AA186" i="7"/>
  <c r="Z258" i="7"/>
  <c r="AE229" i="7"/>
  <c r="AG226" i="7"/>
  <c r="W234" i="7"/>
  <c r="X216" i="7"/>
  <c r="X276" i="7"/>
  <c r="AG175" i="7"/>
  <c r="R187" i="7"/>
  <c r="AD229" i="7"/>
  <c r="AO297" i="7"/>
  <c r="AD276" i="7"/>
  <c r="AN252" i="7"/>
  <c r="AN199" i="7"/>
  <c r="AD299" i="7"/>
  <c r="AQ196" i="7"/>
  <c r="AD275" i="7"/>
  <c r="AH259" i="7"/>
  <c r="AG219" i="7"/>
  <c r="AA264" i="7"/>
  <c r="AG266" i="7"/>
  <c r="AQ251" i="7"/>
  <c r="Y243" i="7"/>
  <c r="AO257" i="7"/>
  <c r="AA228" i="7"/>
  <c r="O190" i="7"/>
  <c r="P227" i="7"/>
  <c r="AM228" i="7"/>
  <c r="AQ292" i="7"/>
  <c r="AI241" i="7"/>
  <c r="AA192" i="7"/>
  <c r="AA216" i="7"/>
  <c r="AD203" i="7"/>
  <c r="AD213" i="7"/>
  <c r="Y253" i="7"/>
  <c r="Z183" i="7"/>
  <c r="AO179" i="7"/>
  <c r="S231" i="7"/>
  <c r="AH226" i="7"/>
  <c r="O217" i="7"/>
  <c r="AD215" i="7"/>
  <c r="AF248" i="7"/>
  <c r="R296" i="7"/>
  <c r="AN198" i="7"/>
  <c r="AL216" i="7"/>
  <c r="Z194" i="7"/>
  <c r="AA239" i="7"/>
  <c r="AN175" i="7"/>
  <c r="AI257" i="7"/>
  <c r="AA201" i="7"/>
  <c r="AF257" i="7"/>
  <c r="AF263" i="7"/>
  <c r="P202" i="7"/>
  <c r="Z275" i="7"/>
  <c r="N299" i="7"/>
  <c r="Q248" i="7"/>
  <c r="R227" i="7"/>
  <c r="AN186" i="7"/>
  <c r="Q238" i="7"/>
  <c r="R262" i="7"/>
  <c r="O274" i="7"/>
  <c r="O258" i="7"/>
  <c r="AH287" i="7"/>
  <c r="AO197" i="7"/>
  <c r="S252" i="7"/>
  <c r="AA190" i="7"/>
  <c r="P209" i="7"/>
  <c r="N196" i="7"/>
  <c r="AD288" i="7"/>
  <c r="AH203" i="7"/>
  <c r="V263" i="7"/>
  <c r="AF206" i="7"/>
  <c r="AF280" i="7"/>
  <c r="R278" i="7"/>
  <c r="Y209" i="7"/>
  <c r="Z281" i="7"/>
  <c r="S177" i="7"/>
  <c r="Z256" i="7"/>
  <c r="V275" i="7"/>
  <c r="W267" i="7"/>
  <c r="O279" i="7"/>
  <c r="AP286" i="7"/>
  <c r="AG295" i="7"/>
  <c r="AO203" i="7"/>
  <c r="S261" i="7"/>
  <c r="Y260" i="7"/>
  <c r="AG271" i="7"/>
  <c r="AN231" i="7"/>
  <c r="AP255" i="7"/>
  <c r="AN279" i="7"/>
  <c r="AQ266" i="7"/>
  <c r="X249" i="7"/>
  <c r="Q234" i="7"/>
  <c r="AA263" i="7"/>
  <c r="AN205" i="7"/>
  <c r="AI258" i="7"/>
  <c r="AI186" i="7"/>
  <c r="AP242" i="7"/>
  <c r="W298" i="7"/>
  <c r="W226" i="7"/>
  <c r="AI208" i="7"/>
  <c r="V220" i="7"/>
  <c r="AQ258" i="7"/>
  <c r="AP231" i="7"/>
  <c r="W206" i="7"/>
  <c r="S271" i="7"/>
  <c r="AE295" i="7"/>
  <c r="AO186" i="7"/>
  <c r="Q271" i="7"/>
  <c r="V264" i="7"/>
  <c r="V192" i="7"/>
  <c r="O248" i="7"/>
  <c r="AE269" i="7"/>
  <c r="AE197" i="7"/>
  <c r="AL253" i="7"/>
  <c r="AL181" i="7"/>
  <c r="R237" i="7"/>
  <c r="Z227" i="7"/>
  <c r="Z242" i="7"/>
  <c r="AM275" i="7"/>
  <c r="AL252" i="7"/>
  <c r="AO259" i="7"/>
  <c r="Q257" i="7"/>
  <c r="Q185" i="7"/>
  <c r="X241" i="7"/>
  <c r="AO296" i="7"/>
  <c r="AO224" i="7"/>
  <c r="V205" i="7"/>
  <c r="AI217" i="7"/>
  <c r="AH256" i="7"/>
  <c r="O229" i="7"/>
  <c r="W201" i="7"/>
  <c r="AG269" i="7"/>
  <c r="R293" i="7"/>
  <c r="AF184" i="7"/>
  <c r="Y268" i="7"/>
  <c r="P231" i="7"/>
  <c r="AF281" i="7"/>
  <c r="S205" i="7"/>
  <c r="AH258" i="7"/>
  <c r="X257" i="7"/>
  <c r="AD271" i="7"/>
  <c r="AN238" i="7"/>
  <c r="AG294" i="7"/>
  <c r="AG222" i="7"/>
  <c r="AA278" i="7"/>
  <c r="AA206" i="7"/>
  <c r="Z284" i="7"/>
  <c r="AI190" i="7"/>
  <c r="AI291" i="7"/>
  <c r="AI219" i="7"/>
  <c r="AP275" i="7"/>
  <c r="AP203" i="7"/>
  <c r="W259" i="7"/>
  <c r="W187" i="7"/>
  <c r="V265" i="7"/>
  <c r="V297" i="7"/>
  <c r="V225" i="7"/>
  <c r="O281" i="7"/>
  <c r="O209" i="7"/>
  <c r="AF264" i="7"/>
  <c r="AF192" i="7"/>
  <c r="AE270" i="7"/>
  <c r="Q177" i="7"/>
  <c r="AQ208" i="7"/>
  <c r="AP282" i="7"/>
  <c r="AE268" i="7"/>
  <c r="AP174" i="7"/>
  <c r="W245" i="7"/>
  <c r="AE284" i="7"/>
  <c r="AE212" i="7"/>
  <c r="AL268" i="7"/>
  <c r="AL196" i="7"/>
  <c r="R252" i="7"/>
  <c r="R180" i="7"/>
  <c r="Q258" i="7"/>
  <c r="S298" i="7"/>
  <c r="AM189" i="7"/>
  <c r="S209" i="7"/>
  <c r="S188" i="7"/>
  <c r="P228" i="7"/>
  <c r="O187" i="7"/>
  <c r="Q232" i="7"/>
  <c r="W210" i="7"/>
  <c r="R247" i="7"/>
  <c r="AD234" i="7"/>
  <c r="AD287" i="7"/>
  <c r="AF233" i="7"/>
  <c r="O193" i="7"/>
  <c r="AF253" i="7"/>
  <c r="P243" i="7"/>
  <c r="Z224" i="7"/>
  <c r="X208" i="7"/>
  <c r="Q296" i="7"/>
  <c r="Q266" i="7"/>
  <c r="O231" i="7"/>
  <c r="AI295" i="7"/>
  <c r="Z274" i="7"/>
  <c r="N279" i="7"/>
  <c r="X290" i="7"/>
  <c r="V175" i="7"/>
  <c r="AF219" i="7"/>
  <c r="AD270" i="7"/>
  <c r="AD175" i="7"/>
  <c r="AH243" i="7"/>
  <c r="N255" i="7"/>
  <c r="V296" i="7"/>
  <c r="P180" i="7"/>
  <c r="N278" i="7"/>
  <c r="AN223" i="7"/>
  <c r="AI180" i="7"/>
  <c r="W292" i="7"/>
  <c r="W220" i="7"/>
  <c r="AE204" i="7"/>
  <c r="AQ249" i="7"/>
  <c r="O220" i="7"/>
  <c r="X258" i="7"/>
  <c r="AA286" i="7"/>
  <c r="AO177" i="7"/>
  <c r="V258" i="7"/>
  <c r="V186" i="7"/>
  <c r="O242" i="7"/>
  <c r="AE191" i="7"/>
  <c r="AL247" i="7"/>
  <c r="AL175" i="7"/>
  <c r="AI214" i="7"/>
  <c r="AN230" i="7"/>
  <c r="AM266" i="7"/>
  <c r="AF230" i="7"/>
  <c r="Q251" i="7"/>
  <c r="Q179" i="7"/>
  <c r="AO290" i="7"/>
  <c r="AO218" i="7"/>
  <c r="Z203" i="7"/>
  <c r="AH247" i="7"/>
  <c r="P295" i="7"/>
  <c r="X254" i="7"/>
  <c r="R284" i="7"/>
  <c r="Y259" i="7"/>
  <c r="AM218" i="7"/>
  <c r="R250" i="7"/>
  <c r="AH249" i="7"/>
  <c r="AD262" i="7"/>
  <c r="AN232" i="7"/>
  <c r="AG216" i="7"/>
  <c r="AA272" i="7"/>
  <c r="AA200" i="7"/>
  <c r="AI184" i="7"/>
  <c r="AI285" i="7"/>
  <c r="AP269" i="7"/>
  <c r="AP197" i="7"/>
  <c r="W181" i="7"/>
  <c r="V259" i="7"/>
  <c r="V219" i="7"/>
  <c r="O275" i="7"/>
  <c r="AF258" i="7"/>
  <c r="AF186" i="7"/>
  <c r="AH297" i="7"/>
  <c r="AQ199" i="7"/>
  <c r="AG239" i="7"/>
  <c r="N244" i="7"/>
  <c r="W236" i="7"/>
  <c r="AE206" i="7"/>
  <c r="AL262" i="7"/>
  <c r="R246" i="7"/>
  <c r="R174" i="7"/>
  <c r="AM288" i="7"/>
  <c r="AM180" i="7"/>
  <c r="S178" i="7"/>
  <c r="P237" i="7"/>
  <c r="AG209" i="7"/>
  <c r="AM241" i="7"/>
  <c r="W293" i="7"/>
  <c r="AQ246" i="7"/>
  <c r="N298" i="7"/>
  <c r="O243" i="7"/>
  <c r="S182" i="7"/>
  <c r="N179" i="7"/>
  <c r="X226" i="7"/>
  <c r="N225" i="7"/>
  <c r="AH233" i="7"/>
  <c r="O200" i="7"/>
  <c r="Q284" i="7"/>
  <c r="AP187" i="7"/>
  <c r="AO187" i="7"/>
  <c r="AO285" i="7"/>
  <c r="AA297" i="7"/>
  <c r="AP199" i="7"/>
  <c r="Z182" i="7"/>
  <c r="S288" i="7"/>
  <c r="AL183" i="7"/>
  <c r="AN228" i="7"/>
  <c r="N237" i="7"/>
  <c r="AM231" i="7"/>
  <c r="P284" i="7"/>
  <c r="AF229" i="7"/>
  <c r="S181" i="7"/>
  <c r="AO237" i="7"/>
  <c r="V217" i="7"/>
  <c r="O206" i="7"/>
  <c r="Z292" i="7"/>
  <c r="W228" i="7"/>
  <c r="AA291" i="7"/>
  <c r="AH174" i="7"/>
  <c r="Z188" i="7"/>
  <c r="S297" i="7"/>
  <c r="P280" i="7"/>
  <c r="AD193" i="7"/>
  <c r="V254" i="7"/>
  <c r="AO195" i="7"/>
  <c r="AF236" i="7"/>
  <c r="AD196" i="7"/>
  <c r="Z269" i="7"/>
  <c r="N293" i="7"/>
  <c r="AN241" i="7"/>
  <c r="AP230" i="7"/>
  <c r="W286" i="7"/>
  <c r="W214" i="7"/>
  <c r="V292" i="7"/>
  <c r="AQ240" i="7"/>
  <c r="AP208" i="7"/>
  <c r="X227" i="7"/>
  <c r="AA277" i="7"/>
  <c r="S232" i="7"/>
  <c r="V252" i="7"/>
  <c r="O236" i="7"/>
  <c r="AE257" i="7"/>
  <c r="AE185" i="7"/>
  <c r="AL241" i="7"/>
  <c r="Z206" i="7"/>
  <c r="AN218" i="7"/>
  <c r="S230" i="7"/>
  <c r="AO201" i="7"/>
  <c r="X301" i="7"/>
  <c r="AO284" i="7"/>
  <c r="AO212" i="7"/>
  <c r="AN290" i="7"/>
  <c r="AG206" i="7"/>
  <c r="AA267" i="7"/>
  <c r="R275" i="7"/>
  <c r="AP214" i="7"/>
  <c r="AM204" i="7"/>
  <c r="AF199" i="7"/>
  <c r="AH240" i="7"/>
  <c r="AN298" i="7"/>
  <c r="AG282" i="7"/>
  <c r="AG210" i="7"/>
  <c r="AA194" i="7"/>
  <c r="Z272" i="7"/>
  <c r="AI279" i="7"/>
  <c r="AP263" i="7"/>
  <c r="AP191" i="7"/>
  <c r="W247" i="7"/>
  <c r="V285" i="7"/>
  <c r="V213" i="7"/>
  <c r="O197" i="7"/>
  <c r="AF180" i="7"/>
  <c r="AG299" i="7"/>
  <c r="AQ190" i="7"/>
  <c r="R182" i="7"/>
  <c r="AE272" i="7"/>
  <c r="AE200" i="7"/>
  <c r="R240" i="7"/>
  <c r="Z233" i="7"/>
  <c r="AM279" i="7"/>
  <c r="W278" i="7"/>
  <c r="P246" i="7"/>
  <c r="V251" i="7"/>
  <c r="R214" i="7"/>
  <c r="AQ182" i="7"/>
  <c r="AF256" i="7"/>
  <c r="AL231" i="7"/>
  <c r="AO191" i="7"/>
  <c r="X244" i="7"/>
  <c r="AF195" i="7"/>
  <c r="S249" i="7"/>
  <c r="AH253" i="7"/>
  <c r="X255" i="7"/>
  <c r="AH225" i="7"/>
  <c r="O195" i="7"/>
  <c r="P215" i="7"/>
  <c r="AM220" i="7"/>
  <c r="O238" i="7"/>
  <c r="AE219" i="7"/>
  <c r="N254" i="7"/>
  <c r="AN193" i="7"/>
  <c r="AD269" i="7"/>
  <c r="W213" i="7"/>
  <c r="AP205" i="7"/>
  <c r="AA180" i="7"/>
  <c r="Y218" i="7"/>
  <c r="AI289" i="7"/>
  <c r="X184" i="7"/>
  <c r="AA270" i="7"/>
  <c r="AD197" i="7"/>
  <c r="AO189" i="7"/>
  <c r="N274" i="7"/>
  <c r="X285" i="7"/>
  <c r="X177" i="7"/>
  <c r="AN294" i="7"/>
  <c r="AF213" i="7"/>
  <c r="S270" i="7"/>
  <c r="AF277" i="7"/>
  <c r="AI218" i="7"/>
  <c r="AF254" i="7"/>
  <c r="X299" i="7"/>
  <c r="AH217" i="7"/>
  <c r="Z273" i="7"/>
  <c r="AO217" i="7"/>
  <c r="AO196" i="7"/>
  <c r="AH224" i="7"/>
  <c r="X190" i="7"/>
  <c r="AO216" i="7"/>
  <c r="X186" i="7"/>
  <c r="S279" i="7"/>
  <c r="AA183" i="7"/>
  <c r="Q255" i="7"/>
  <c r="AI252" i="7"/>
  <c r="AP236" i="7"/>
  <c r="V298" i="7"/>
  <c r="Y300" i="7"/>
  <c r="Q262" i="7"/>
  <c r="AE263" i="7"/>
  <c r="R231" i="7"/>
  <c r="X240" i="7"/>
  <c r="X235" i="7"/>
  <c r="AN296" i="7"/>
  <c r="S217" i="7"/>
  <c r="W299" i="7"/>
  <c r="AO238" i="7"/>
  <c r="AP238" i="7"/>
  <c r="AG288" i="7"/>
  <c r="Z278" i="7"/>
  <c r="AI213" i="7"/>
  <c r="W253" i="7"/>
  <c r="V291" i="7"/>
  <c r="O203" i="7"/>
  <c r="AE264" i="7"/>
  <c r="AE223" i="7"/>
  <c r="AE278" i="7"/>
  <c r="AL190" i="7"/>
  <c r="AN251" i="7"/>
  <c r="AG205" i="7"/>
  <c r="N258" i="7"/>
  <c r="AO244" i="7"/>
  <c r="P261" i="7"/>
  <c r="AA233" i="7"/>
  <c r="AI174" i="7"/>
  <c r="AF272" i="7"/>
  <c r="V180" i="7"/>
  <c r="R297" i="7"/>
  <c r="AM257" i="7"/>
  <c r="X229" i="7"/>
  <c r="Z197" i="7"/>
  <c r="AP213" i="7"/>
  <c r="Y301" i="7"/>
  <c r="AL224" i="7"/>
  <c r="AA266" i="7"/>
  <c r="AI207" i="7"/>
  <c r="W175" i="7"/>
  <c r="O269" i="7"/>
  <c r="AE258" i="7"/>
  <c r="X210" i="7"/>
  <c r="W227" i="7"/>
  <c r="AL184" i="7"/>
  <c r="AN245" i="7"/>
  <c r="AL228" i="7"/>
  <c r="Y217" i="7"/>
  <c r="P279" i="7"/>
  <c r="AA209" i="7"/>
  <c r="S267" i="7"/>
  <c r="Y264" i="7"/>
  <c r="AL281" i="7"/>
  <c r="V236" i="7"/>
  <c r="AG284" i="7"/>
  <c r="AF196" i="7"/>
  <c r="Q274" i="7"/>
  <c r="AG260" i="7"/>
  <c r="AI244" i="7"/>
  <c r="N269" i="7"/>
  <c r="AN211" i="7"/>
  <c r="AM280" i="7"/>
  <c r="AG275" i="7"/>
  <c r="AO219" i="7"/>
  <c r="AN209" i="7"/>
  <c r="AH207" i="7"/>
  <c r="AA227" i="7"/>
  <c r="R191" i="7"/>
  <c r="Y240" i="7"/>
  <c r="X209" i="7"/>
  <c r="N217" i="7"/>
  <c r="AI246" i="7"/>
  <c r="AE198" i="7"/>
  <c r="Q253" i="7"/>
  <c r="R225" i="7"/>
  <c r="Q245" i="7"/>
  <c r="AH238" i="7"/>
  <c r="Y250" i="7"/>
  <c r="AN226" i="7"/>
  <c r="AI178" i="7"/>
  <c r="AE252" i="7"/>
  <c r="AF252" i="7"/>
  <c r="Z204" i="7"/>
  <c r="AL256" i="7"/>
  <c r="AP262" i="7"/>
  <c r="AG223" i="7"/>
  <c r="S223" i="7"/>
  <c r="X267" i="7"/>
  <c r="N224" i="7"/>
  <c r="S285" i="7"/>
  <c r="AQ273" i="7"/>
  <c r="AQ183" i="7"/>
  <c r="Z246" i="7"/>
  <c r="AA187" i="7"/>
  <c r="N286" i="7"/>
  <c r="R197" i="7"/>
  <c r="Y186" i="7"/>
  <c r="AI259" i="7"/>
  <c r="AO281" i="7"/>
  <c r="AN229" i="7"/>
  <c r="AQ290" i="7"/>
  <c r="AA237" i="7"/>
  <c r="AP204" i="7"/>
  <c r="R277" i="7"/>
  <c r="AD250" i="7"/>
  <c r="AI232" i="7"/>
  <c r="X214" i="7"/>
  <c r="AM240" i="7"/>
  <c r="O226" i="7"/>
  <c r="Q217" i="7"/>
  <c r="R268" i="7"/>
  <c r="Z297" i="7"/>
  <c r="Q202" i="7"/>
  <c r="AG220" i="7"/>
  <c r="Q198" i="7"/>
  <c r="N242" i="7"/>
  <c r="Z178" i="7"/>
  <c r="S202" i="7"/>
  <c r="Y238" i="7"/>
  <c r="AA247" i="7"/>
  <c r="AO283" i="7"/>
  <c r="P244" i="7"/>
  <c r="W294" i="7"/>
  <c r="AF242" i="7"/>
  <c r="AG229" i="7"/>
  <c r="S301" i="7"/>
  <c r="Y258" i="7"/>
  <c r="AE255" i="7"/>
  <c r="S222" i="7"/>
  <c r="AE220" i="7"/>
  <c r="AH300" i="7"/>
  <c r="AM184" i="7"/>
  <c r="Q211" i="7"/>
  <c r="AP226" i="7"/>
  <c r="Q204" i="7"/>
  <c r="N248" i="7"/>
  <c r="Z187" i="7"/>
  <c r="AH289" i="7"/>
  <c r="AQ205" i="7"/>
  <c r="Z264" i="7"/>
  <c r="R208" i="7"/>
  <c r="N294" i="7"/>
  <c r="R283" i="7"/>
  <c r="P211" i="7"/>
  <c r="AI283" i="7"/>
  <c r="X178" i="7"/>
  <c r="AN259" i="7"/>
  <c r="AI240" i="7"/>
  <c r="AP296" i="7"/>
  <c r="AP224" i="7"/>
  <c r="W280" i="7"/>
  <c r="W208" i="7"/>
  <c r="V286" i="7"/>
  <c r="AE192" i="7"/>
  <c r="AQ231" i="7"/>
  <c r="AG197" i="7"/>
  <c r="W243" i="7"/>
  <c r="S190" i="7"/>
  <c r="AA268" i="7"/>
  <c r="AL182" i="7"/>
  <c r="Q244" i="7"/>
  <c r="V246" i="7"/>
  <c r="V174" i="7"/>
  <c r="O230" i="7"/>
  <c r="AE251" i="7"/>
  <c r="AE179" i="7"/>
  <c r="AL235" i="7"/>
  <c r="R291" i="7"/>
  <c r="R219" i="7"/>
  <c r="Q297" i="7"/>
  <c r="AN203" i="7"/>
  <c r="AM248" i="7"/>
  <c r="AP217" i="7"/>
  <c r="W296" i="7"/>
  <c r="Q239" i="7"/>
  <c r="X295" i="7"/>
  <c r="X223" i="7"/>
  <c r="AO278" i="7"/>
  <c r="AO206" i="7"/>
  <c r="AN284" i="7"/>
  <c r="Z191" i="7"/>
  <c r="AH229" i="7"/>
  <c r="AG193" i="7"/>
  <c r="AO229" i="7"/>
  <c r="X182" i="7"/>
  <c r="R266" i="7"/>
  <c r="AF293" i="7"/>
  <c r="Y241" i="7"/>
  <c r="AH194" i="7"/>
  <c r="AM290" i="7"/>
  <c r="AA276" i="7"/>
  <c r="AH231" i="7"/>
  <c r="S206" i="7"/>
  <c r="AN292" i="7"/>
  <c r="AN220" i="7"/>
  <c r="AG276" i="7"/>
  <c r="AG204" i="7"/>
  <c r="AA260" i="7"/>
  <c r="AA188" i="7"/>
  <c r="Z266" i="7"/>
  <c r="V299" i="7"/>
  <c r="AI273" i="7"/>
  <c r="AI201" i="7"/>
  <c r="AP257" i="7"/>
  <c r="AP185" i="7"/>
  <c r="W241" i="7"/>
  <c r="Z236" i="7"/>
  <c r="AE246" i="7"/>
  <c r="V279" i="7"/>
  <c r="V207" i="7"/>
  <c r="O263" i="7"/>
  <c r="O191" i="7"/>
  <c r="AF246" i="7"/>
  <c r="AF174" i="7"/>
  <c r="Q252" i="7"/>
  <c r="AQ289" i="7"/>
  <c r="AQ181" i="7"/>
  <c r="O181" i="7"/>
  <c r="AF301" i="7"/>
  <c r="AA249" i="7"/>
  <c r="W218" i="7"/>
  <c r="AE266" i="7"/>
  <c r="AE194" i="7"/>
  <c r="AL250" i="7"/>
  <c r="AL178" i="7"/>
  <c r="R234" i="7"/>
  <c r="AI220" i="7"/>
  <c r="AE234" i="7"/>
  <c r="AM270" i="7"/>
  <c r="AG247" i="7"/>
  <c r="AF239" i="7"/>
  <c r="X243" i="7"/>
  <c r="P255" i="7"/>
  <c r="AG245" i="7"/>
  <c r="AQ260" i="7"/>
  <c r="X282" i="7"/>
  <c r="R259" i="7"/>
  <c r="Z192" i="7"/>
  <c r="AH282" i="7"/>
  <c r="AF269" i="7"/>
  <c r="AP280" i="7"/>
  <c r="AQ297" i="7"/>
  <c r="AD297" i="7"/>
  <c r="AF207" i="7"/>
  <c r="X262" i="7"/>
  <c r="N239" i="7"/>
  <c r="Z175" i="7"/>
  <c r="Y197" i="7"/>
  <c r="P257" i="7"/>
  <c r="AO199" i="7"/>
  <c r="N240" i="7"/>
  <c r="W261" i="7"/>
  <c r="AI274" i="7"/>
  <c r="AF297" i="7"/>
  <c r="AN247" i="7"/>
  <c r="AM300" i="7"/>
  <c r="W249" i="7"/>
  <c r="O199" i="7"/>
  <c r="AD268" i="7"/>
  <c r="AF183" i="7"/>
  <c r="X232" i="7"/>
  <c r="AL258" i="7"/>
  <c r="V227" i="7"/>
  <c r="AL209" i="7"/>
  <c r="AH228" i="7"/>
  <c r="S239" i="7"/>
  <c r="Q222" i="7"/>
  <c r="Z196" i="7"/>
  <c r="X221" i="7"/>
  <c r="AD248" i="7"/>
  <c r="O208" i="7"/>
  <c r="R200" i="7"/>
  <c r="Q181" i="7"/>
  <c r="AH192" i="7"/>
  <c r="AO253" i="7"/>
  <c r="AG217" i="7"/>
  <c r="Y276" i="7"/>
  <c r="AF189" i="7"/>
  <c r="S240" i="7"/>
  <c r="AI230" i="7"/>
  <c r="O240" i="7"/>
  <c r="AM274" i="7"/>
  <c r="AL248" i="7"/>
  <c r="AN233" i="7"/>
  <c r="N263" i="7"/>
  <c r="Z205" i="7"/>
  <c r="R175" i="7"/>
  <c r="P275" i="7"/>
  <c r="N220" i="7"/>
  <c r="S245" i="7"/>
  <c r="R205" i="7"/>
  <c r="AI298" i="7"/>
  <c r="O194" i="7"/>
  <c r="AN277" i="7"/>
  <c r="AP290" i="7"/>
  <c r="AP218" i="7"/>
  <c r="W202" i="7"/>
  <c r="V280" i="7"/>
  <c r="AQ222" i="7"/>
  <c r="O184" i="7"/>
  <c r="S263" i="7"/>
  <c r="AA259" i="7"/>
  <c r="Q235" i="7"/>
  <c r="V240" i="7"/>
  <c r="O224" i="7"/>
  <c r="AE245" i="7"/>
  <c r="AL229" i="7"/>
  <c r="R285" i="7"/>
  <c r="R213" i="7"/>
  <c r="AN197" i="7"/>
  <c r="AM239" i="7"/>
  <c r="AF268" i="7"/>
  <c r="Q233" i="7"/>
  <c r="X289" i="7"/>
  <c r="AO272" i="7"/>
  <c r="AO200" i="7"/>
  <c r="Z185" i="7"/>
  <c r="AH220" i="7"/>
  <c r="O180" i="7"/>
  <c r="X251" i="7"/>
  <c r="R257" i="7"/>
  <c r="AA234" i="7"/>
  <c r="AQ178" i="7"/>
  <c r="AM281" i="7"/>
  <c r="N214" i="7"/>
  <c r="AG187" i="7"/>
  <c r="AN286" i="7"/>
  <c r="AN214" i="7"/>
  <c r="AG198" i="7"/>
  <c r="AA254" i="7"/>
  <c r="Z260" i="7"/>
  <c r="O298" i="7"/>
  <c r="AI267" i="7"/>
  <c r="AP251" i="7"/>
  <c r="AP179" i="7"/>
  <c r="V223" i="7"/>
  <c r="AN239" i="7"/>
  <c r="V201" i="7"/>
  <c r="O257" i="7"/>
  <c r="O185" i="7"/>
  <c r="V235" i="7"/>
  <c r="Q246" i="7"/>
  <c r="AQ280" i="7"/>
  <c r="AA279" i="7"/>
  <c r="S293" i="7"/>
  <c r="R184" i="7"/>
  <c r="AE260" i="7"/>
  <c r="AE188" i="7"/>
  <c r="R300" i="7"/>
  <c r="R228" i="7"/>
  <c r="AI211" i="7"/>
  <c r="AM261" i="7"/>
  <c r="AP235" i="7"/>
  <c r="X261" i="7"/>
  <c r="AM264" i="7"/>
  <c r="AL264" i="7"/>
  <c r="Z270" i="7"/>
  <c r="AD184" i="7"/>
  <c r="AE202" i="7"/>
  <c r="AF227" i="7"/>
  <c r="AO280" i="7"/>
  <c r="AG292" i="7"/>
  <c r="AP190" i="7"/>
  <c r="AA221" i="7"/>
  <c r="X280" i="7"/>
  <c r="AD283" i="7"/>
  <c r="AD201" i="7"/>
  <c r="O256" i="7"/>
  <c r="AQ255" i="7"/>
  <c r="AM238" i="7"/>
  <c r="N257" i="7"/>
  <c r="X263" i="7"/>
  <c r="AM265" i="7"/>
  <c r="AD220" i="7"/>
  <c r="Y227" i="7"/>
  <c r="AI234" i="7"/>
  <c r="W274" i="7"/>
  <c r="AE186" i="7"/>
  <c r="W194" i="7"/>
  <c r="AA243" i="7"/>
  <c r="O296" i="7"/>
  <c r="AL301" i="7"/>
  <c r="Q291" i="7"/>
  <c r="AL207" i="7"/>
  <c r="X217" i="7"/>
  <c r="AN278" i="7"/>
  <c r="AO175" i="7"/>
  <c r="Y232" i="7"/>
  <c r="AH222" i="7"/>
  <c r="AG270" i="7"/>
  <c r="AA182" i="7"/>
  <c r="AI195" i="7"/>
  <c r="W235" i="7"/>
  <c r="V273" i="7"/>
  <c r="AF240" i="7"/>
  <c r="AG265" i="7"/>
  <c r="W209" i="7"/>
  <c r="AL244" i="7"/>
  <c r="AI223" i="7"/>
  <c r="N213" i="7"/>
  <c r="AA292" i="7"/>
  <c r="Z176" i="7"/>
  <c r="Z244" i="7"/>
  <c r="AA281" i="7"/>
  <c r="Z229" i="7"/>
  <c r="R260" i="7"/>
  <c r="AM236" i="7"/>
  <c r="V290" i="7"/>
  <c r="AO235" i="7"/>
  <c r="AL198" i="7"/>
  <c r="W273" i="7"/>
  <c r="Y249" i="7"/>
  <c r="V229" i="7"/>
  <c r="AG213" i="7"/>
  <c r="AN301" i="7"/>
  <c r="AA184" i="7"/>
  <c r="W285" i="7"/>
  <c r="AM296" i="7"/>
  <c r="S199" i="7"/>
  <c r="AI181" i="7"/>
  <c r="N227" i="7"/>
  <c r="X286" i="7"/>
  <c r="P285" i="7"/>
  <c r="P199" i="7"/>
  <c r="AN258" i="7"/>
  <c r="N202" i="7"/>
  <c r="W260" i="7"/>
  <c r="R265" i="7"/>
  <c r="Y204" i="7"/>
  <c r="AN275" i="7"/>
  <c r="AA299" i="7"/>
  <c r="Z250" i="7"/>
  <c r="AG277" i="7"/>
  <c r="V278" i="7"/>
  <c r="P213" i="7"/>
  <c r="X197" i="7"/>
  <c r="AQ209" i="7"/>
  <c r="N222" i="7"/>
  <c r="AO289" i="7"/>
  <c r="AO300" i="7"/>
  <c r="S208" i="7"/>
  <c r="AI187" i="7"/>
  <c r="N233" i="7"/>
  <c r="S294" i="7"/>
  <c r="AQ263" i="7"/>
  <c r="N207" i="7"/>
  <c r="AF284" i="7"/>
  <c r="AA280" i="7"/>
  <c r="AD210" i="7"/>
  <c r="AN281" i="7"/>
  <c r="AG177" i="7"/>
  <c r="Z259" i="7"/>
  <c r="AO205" i="7"/>
  <c r="V182" i="7"/>
  <c r="AH210" i="7"/>
  <c r="N256" i="7"/>
  <c r="AL266" i="7"/>
  <c r="AP228" i="7"/>
  <c r="AH278" i="7"/>
  <c r="AA191" i="7"/>
  <c r="AG243" i="7"/>
  <c r="AI288" i="7"/>
  <c r="AI216" i="7"/>
  <c r="AP272" i="7"/>
  <c r="AP200" i="7"/>
  <c r="W256" i="7"/>
  <c r="W184" i="7"/>
  <c r="V262" i="7"/>
  <c r="X300" i="7"/>
  <c r="AQ195" i="7"/>
  <c r="S227" i="7"/>
  <c r="Z213" i="7"/>
  <c r="AA220" i="7"/>
  <c r="AA232" i="7"/>
  <c r="AQ257" i="7"/>
  <c r="V294" i="7"/>
  <c r="V222" i="7"/>
  <c r="O278" i="7"/>
  <c r="AE299" i="7"/>
  <c r="AE227" i="7"/>
  <c r="AL283" i="7"/>
  <c r="AL211" i="7"/>
  <c r="R267" i="7"/>
  <c r="R195" i="7"/>
  <c r="Q273" i="7"/>
  <c r="AN179" i="7"/>
  <c r="AM212" i="7"/>
  <c r="O294" i="7"/>
  <c r="Q287" i="7"/>
  <c r="Q215" i="7"/>
  <c r="X271" i="7"/>
  <c r="X199" i="7"/>
  <c r="AO254" i="7"/>
  <c r="AO182" i="7"/>
  <c r="AN260" i="7"/>
  <c r="AG298" i="7"/>
  <c r="AH193" i="7"/>
  <c r="AP219" i="7"/>
  <c r="AD209" i="7"/>
  <c r="W197" i="7"/>
  <c r="R230" i="7"/>
  <c r="AE241" i="7"/>
  <c r="Y205" i="7"/>
  <c r="AL218" i="7"/>
  <c r="AM254" i="7"/>
  <c r="Y181" i="7"/>
  <c r="AH195" i="7"/>
  <c r="AH291" i="7"/>
  <c r="AN268" i="7"/>
  <c r="AN196" i="7"/>
  <c r="AG252" i="7"/>
  <c r="AG180" i="7"/>
  <c r="AA236" i="7"/>
  <c r="Q225" i="7"/>
  <c r="AE240" i="7"/>
  <c r="P274" i="7"/>
  <c r="AI249" i="7"/>
  <c r="AI177" i="7"/>
  <c r="AP233" i="7"/>
  <c r="W289" i="7"/>
  <c r="W217" i="7"/>
  <c r="V295" i="7"/>
  <c r="AE201" i="7"/>
  <c r="V255" i="7"/>
  <c r="V183" i="7"/>
  <c r="O239" i="7"/>
  <c r="AF294" i="7"/>
  <c r="AF222" i="7"/>
  <c r="AE300" i="7"/>
  <c r="Z209" i="7"/>
  <c r="AQ253" i="7"/>
  <c r="AP222" i="7"/>
  <c r="AF190" i="7"/>
  <c r="O265" i="7"/>
  <c r="W290" i="7"/>
  <c r="AO181" i="7"/>
  <c r="AE242" i="7"/>
  <c r="AL298" i="7"/>
  <c r="AL226" i="7"/>
  <c r="R282" i="7"/>
  <c r="R210" i="7"/>
  <c r="Q288" i="7"/>
  <c r="AN194" i="7"/>
  <c r="AM234" i="7"/>
  <c r="X200" i="7"/>
  <c r="P183" i="7"/>
  <c r="AH294" i="7"/>
  <c r="P182" i="7"/>
  <c r="R301" i="7"/>
  <c r="AD261" i="7"/>
  <c r="X273" i="7"/>
  <c r="AD233" i="7"/>
  <c r="S259" i="7"/>
  <c r="W180" i="7"/>
  <c r="Z267" i="7"/>
  <c r="AP249" i="7"/>
  <c r="Q240" i="7"/>
  <c r="AO263" i="7"/>
  <c r="Q206" i="7"/>
  <c r="AQ296" i="7"/>
  <c r="AL277" i="7"/>
  <c r="Z300" i="7"/>
  <c r="Q281" i="7"/>
  <c r="X265" i="7"/>
  <c r="AO248" i="7"/>
  <c r="Z254" i="7"/>
  <c r="AH184" i="7"/>
  <c r="P188" i="7"/>
  <c r="R221" i="7"/>
  <c r="Y196" i="7"/>
  <c r="Y237" i="7"/>
  <c r="AH186" i="7"/>
  <c r="AN262" i="7"/>
  <c r="AG246" i="7"/>
  <c r="AA230" i="7"/>
  <c r="AI229" i="7"/>
  <c r="AI243" i="7"/>
  <c r="AP227" i="7"/>
  <c r="W211" i="7"/>
  <c r="AE195" i="7"/>
  <c r="V177" i="7"/>
  <c r="AF288" i="7"/>
  <c r="AE294" i="7"/>
  <c r="AQ244" i="7"/>
  <c r="AO288" i="7"/>
  <c r="W281" i="7"/>
  <c r="AE236" i="7"/>
  <c r="AL292" i="7"/>
  <c r="AL220" i="7"/>
  <c r="R276" i="7"/>
  <c r="R204" i="7"/>
  <c r="Q282" i="7"/>
  <c r="AN188" i="7"/>
  <c r="AM225" i="7"/>
  <c r="AP186" i="7"/>
  <c r="P192" i="7"/>
  <c r="AQ194" i="7"/>
  <c r="AI191" i="7"/>
  <c r="AN207" i="7"/>
  <c r="AH176" i="7"/>
  <c r="AM244" i="7"/>
  <c r="N184" i="7"/>
  <c r="AF259" i="7"/>
  <c r="Y182" i="7"/>
  <c r="AI256" i="7"/>
  <c r="Q224" i="7"/>
  <c r="Z262" i="7"/>
  <c r="N296" i="7"/>
  <c r="Z247" i="7"/>
  <c r="AF176" i="7"/>
  <c r="AE175" i="7"/>
  <c r="N300" i="7"/>
  <c r="AF247" i="7"/>
  <c r="S253" i="7"/>
  <c r="AG194" i="7"/>
  <c r="Y267" i="7"/>
  <c r="N182" i="7"/>
  <c r="AG231" i="7"/>
  <c r="AH216" i="7"/>
  <c r="AA256" i="7"/>
  <c r="AL296" i="7"/>
  <c r="AH201" i="7"/>
  <c r="X218" i="7"/>
  <c r="V196" i="7"/>
  <c r="AO239" i="7"/>
  <c r="Q176" i="7"/>
  <c r="AO294" i="7"/>
  <c r="AQ210" i="7"/>
  <c r="AH270" i="7"/>
  <c r="AO213" i="7"/>
  <c r="AG208" i="7"/>
  <c r="W183" i="7"/>
  <c r="AD219" i="7"/>
  <c r="AE291" i="7"/>
  <c r="S186" i="7"/>
  <c r="Z268" i="7"/>
  <c r="P282" i="7"/>
  <c r="N297" i="7"/>
  <c r="AQ287" i="7"/>
  <c r="AH248" i="7"/>
  <c r="AL240" i="7"/>
  <c r="Z219" i="7"/>
  <c r="N289" i="7"/>
  <c r="AN300" i="7"/>
  <c r="Y208" i="7"/>
  <c r="AL225" i="7"/>
  <c r="V202" i="7"/>
  <c r="AO245" i="7"/>
  <c r="Z184" i="7"/>
  <c r="AE274" i="7"/>
  <c r="AA219" i="7"/>
  <c r="X242" i="7"/>
  <c r="N199" i="7"/>
  <c r="P225" i="7"/>
  <c r="AE297" i="7"/>
  <c r="S192" i="7"/>
  <c r="Z277" i="7"/>
  <c r="R254" i="7"/>
  <c r="AQ191" i="7"/>
  <c r="AE277" i="7"/>
  <c r="AO267" i="7"/>
  <c r="AL279" i="7"/>
  <c r="AG289" i="7"/>
  <c r="N206" i="7"/>
  <c r="AG261" i="7"/>
  <c r="AI282" i="7"/>
  <c r="AI210" i="7"/>
  <c r="AP266" i="7"/>
  <c r="AP194" i="7"/>
  <c r="W250" i="7"/>
  <c r="W178" i="7"/>
  <c r="V256" i="7"/>
  <c r="N295" i="7"/>
  <c r="AQ186" i="7"/>
  <c r="S196" i="7"/>
  <c r="AI197" i="7"/>
  <c r="W275" i="7"/>
  <c r="AA223" i="7"/>
  <c r="AM202" i="7"/>
  <c r="V288" i="7"/>
  <c r="V216" i="7"/>
  <c r="O272" i="7"/>
  <c r="AE293" i="7"/>
  <c r="AE221" i="7"/>
  <c r="AL205" i="7"/>
  <c r="R261" i="7"/>
  <c r="R189" i="7"/>
  <c r="Q267" i="7"/>
  <c r="AM203" i="7"/>
  <c r="AG253" i="7"/>
  <c r="Q209" i="7"/>
  <c r="X193" i="7"/>
  <c r="AO176" i="7"/>
  <c r="AH292" i="7"/>
  <c r="AG190" i="7"/>
  <c r="N264" i="7"/>
  <c r="AD182" i="7"/>
  <c r="AL186" i="7"/>
  <c r="S295" i="7"/>
  <c r="AH237" i="7"/>
  <c r="AN190" i="7"/>
  <c r="AG174" i="7"/>
  <c r="AE213" i="7"/>
  <c r="P265" i="7"/>
  <c r="AP299" i="7"/>
  <c r="W283" i="7"/>
  <c r="V289" i="7"/>
  <c r="V249" i="7"/>
  <c r="O233" i="7"/>
  <c r="AF216" i="7"/>
  <c r="Q201" i="7"/>
  <c r="X213" i="7"/>
  <c r="AP244" i="7"/>
  <c r="AP268" i="7"/>
  <c r="P271" i="7"/>
  <c r="N301" i="7"/>
  <c r="AF279" i="7"/>
  <c r="Z280" i="7"/>
  <c r="Z301" i="7"/>
  <c r="AH279" i="7"/>
  <c r="AG283" i="7"/>
  <c r="AN287" i="7"/>
  <c r="AM226" i="7"/>
  <c r="N291" i="7"/>
  <c r="AP300" i="7"/>
  <c r="Q212" i="7"/>
  <c r="Z237" i="7"/>
  <c r="X278" i="7"/>
  <c r="AH269" i="7"/>
  <c r="Z232" i="7"/>
  <c r="O259" i="7"/>
  <c r="AQ268" i="7"/>
  <c r="V266" i="7"/>
  <c r="Y262" i="7"/>
  <c r="AE267" i="7"/>
  <c r="AM253" i="7"/>
  <c r="AL230" i="7"/>
  <c r="V253" i="7"/>
  <c r="Z295" i="7"/>
  <c r="P221" i="7"/>
  <c r="O234" i="7"/>
  <c r="V190" i="7"/>
  <c r="AI228" i="7"/>
  <c r="AP188" i="7"/>
  <c r="Q216" i="7"/>
  <c r="AQ204" i="7"/>
  <c r="S289" i="7"/>
  <c r="N181" i="7"/>
  <c r="V210" i="7"/>
  <c r="AE275" i="7"/>
  <c r="AL217" i="7"/>
  <c r="R177" i="7"/>
  <c r="AM230" i="7"/>
  <c r="Q275" i="7"/>
  <c r="X247" i="7"/>
  <c r="AO188" i="7"/>
  <c r="AH274" i="7"/>
  <c r="AQ275" i="7"/>
  <c r="R212" i="7"/>
  <c r="Y242" i="7"/>
  <c r="AH219" i="7"/>
  <c r="AD289" i="7"/>
  <c r="AG264" i="7"/>
  <c r="AA224" i="7"/>
  <c r="AI196" i="7"/>
  <c r="AI183" i="7"/>
  <c r="W271" i="7"/>
  <c r="AE225" i="7"/>
  <c r="O299" i="7"/>
  <c r="AF270" i="7"/>
  <c r="AN224" i="7"/>
  <c r="AG188" i="7"/>
  <c r="AQ221" i="7"/>
  <c r="AE230" i="7"/>
  <c r="AL202" i="7"/>
  <c r="Q294" i="7"/>
  <c r="AM207" i="7"/>
  <c r="AH295" i="7"/>
  <c r="AL282" i="7"/>
  <c r="AH280" i="7"/>
  <c r="AI275" i="7"/>
  <c r="AE214" i="7"/>
  <c r="AE285" i="7"/>
  <c r="S183" i="7"/>
  <c r="O204" i="7"/>
  <c r="W177" i="7"/>
  <c r="AF265" i="7"/>
  <c r="AO291" i="7"/>
  <c r="AP284" i="7"/>
  <c r="AI251" i="7"/>
  <c r="R273" i="7"/>
  <c r="Q203" i="7"/>
  <c r="AP294" i="7"/>
  <c r="AG192" i="7"/>
  <c r="AP239" i="7"/>
  <c r="AQ262" i="7"/>
  <c r="R258" i="7"/>
  <c r="P210" i="7"/>
  <c r="AF220" i="7"/>
  <c r="S180" i="7"/>
  <c r="X196" i="7"/>
  <c r="S198" i="7"/>
  <c r="R190" i="7"/>
  <c r="AD298" i="7"/>
  <c r="AD178" i="7"/>
  <c r="AF291" i="7"/>
  <c r="AF249" i="7"/>
  <c r="AE180" i="7"/>
  <c r="O260" i="7"/>
  <c r="AL180" i="7"/>
  <c r="W269" i="7"/>
  <c r="AN244" i="7"/>
  <c r="V261" i="7"/>
  <c r="AL280" i="7"/>
  <c r="P219" i="7"/>
  <c r="AH197" i="7"/>
  <c r="AM227" i="7"/>
  <c r="AE301" i="7"/>
  <c r="AI276" i="7"/>
  <c r="AL265" i="7"/>
  <c r="Y214" i="7"/>
  <c r="V283" i="7"/>
  <c r="R192" i="7"/>
  <c r="AE298" i="7"/>
  <c r="AD187" i="7"/>
  <c r="V232" i="7"/>
  <c r="AI270" i="7"/>
  <c r="AM293" i="7"/>
  <c r="R220" i="7"/>
  <c r="X236" i="7"/>
  <c r="Y219" i="7"/>
  <c r="AP271" i="7"/>
  <c r="O301" i="7"/>
  <c r="AP289" i="7"/>
  <c r="AE211" i="7"/>
  <c r="AP206" i="7"/>
  <c r="AL223" i="7"/>
  <c r="AO194" i="7"/>
  <c r="P299" i="7"/>
  <c r="V189" i="7"/>
  <c r="AL208" i="7"/>
  <c r="O174" i="7"/>
  <c r="AN269" i="7"/>
  <c r="Z298" i="7"/>
  <c r="AH293" i="7"/>
  <c r="Z231" i="7"/>
  <c r="AF295" i="7"/>
  <c r="Q207" i="7"/>
  <c r="AQ236" i="7"/>
  <c r="X272" i="7"/>
  <c r="Z221" i="7"/>
  <c r="Q230" i="7"/>
  <c r="P248" i="7"/>
  <c r="O207" i="7"/>
  <c r="V247" i="7"/>
  <c r="Z286" i="7"/>
  <c r="AQ179" i="7"/>
  <c r="Y278" i="7"/>
  <c r="AO211" i="7"/>
  <c r="Y289" i="7"/>
  <c r="AA203" i="7"/>
  <c r="AI284" i="7"/>
  <c r="S266" i="7"/>
  <c r="AI268" i="7"/>
  <c r="AQ214" i="7"/>
  <c r="AN285" i="7"/>
  <c r="O292" i="7"/>
  <c r="AI205" i="7"/>
  <c r="AI222" i="7"/>
  <c r="AP182" i="7"/>
  <c r="V274" i="7"/>
  <c r="AQ177" i="7"/>
  <c r="S280" i="7"/>
  <c r="AO193" i="7"/>
  <c r="V204" i="7"/>
  <c r="AE239" i="7"/>
  <c r="AL199" i="7"/>
  <c r="V238" i="7"/>
  <c r="AM221" i="7"/>
  <c r="Q269" i="7"/>
  <c r="X211" i="7"/>
  <c r="AE237" i="7"/>
  <c r="AH265" i="7"/>
  <c r="AD254" i="7"/>
  <c r="R203" i="7"/>
  <c r="AP277" i="7"/>
  <c r="AH285" i="7"/>
  <c r="AD280" i="7"/>
  <c r="AG258" i="7"/>
  <c r="AA218" i="7"/>
  <c r="P292" i="7"/>
  <c r="AP293" i="7"/>
  <c r="W265" i="7"/>
  <c r="AE210" i="7"/>
  <c r="O293" i="7"/>
  <c r="AF234" i="7"/>
  <c r="Q195" i="7"/>
  <c r="S176" i="7"/>
  <c r="AP298" i="7"/>
  <c r="AE224" i="7"/>
  <c r="R294" i="7"/>
  <c r="Q276" i="7"/>
  <c r="AM198" i="7"/>
  <c r="AA235" i="7"/>
  <c r="AA300" i="7"/>
  <c r="Y291" i="7"/>
  <c r="AA238" i="7"/>
  <c r="N250" i="7"/>
  <c r="Z299" i="7"/>
  <c r="W203" i="7"/>
  <c r="W176" i="7"/>
  <c r="N197" i="7"/>
  <c r="AE247" i="7"/>
  <c r="AL284" i="7"/>
  <c r="AD265" i="7"/>
  <c r="V281" i="7"/>
  <c r="S257" i="7"/>
  <c r="Q290" i="7"/>
  <c r="Z189" i="7"/>
  <c r="AO250" i="7"/>
  <c r="AF223" i="7"/>
  <c r="N218" i="7"/>
  <c r="AD295" i="7"/>
  <c r="Z218" i="7"/>
  <c r="AQ250" i="7"/>
  <c r="P296" i="7"/>
  <c r="Q219" i="7"/>
  <c r="AI204" i="7"/>
  <c r="V268" i="7"/>
  <c r="AG256" i="7"/>
  <c r="Y297" i="7"/>
  <c r="V198" i="7"/>
  <c r="AL193" i="7"/>
  <c r="Q285" i="7"/>
  <c r="Q263" i="7"/>
  <c r="X205" i="7"/>
  <c r="AH211" i="7"/>
  <c r="S296" i="7"/>
  <c r="O253" i="7"/>
  <c r="AH276" i="7"/>
  <c r="AG240" i="7"/>
  <c r="AA212" i="7"/>
  <c r="AP287" i="7"/>
  <c r="W229" i="7"/>
  <c r="O287" i="7"/>
  <c r="AF228" i="7"/>
  <c r="AO246" i="7"/>
  <c r="W272" i="7"/>
  <c r="R288" i="7"/>
  <c r="Q270" i="7"/>
  <c r="AP279" i="7"/>
  <c r="AN201" i="7"/>
  <c r="N187" i="7"/>
  <c r="AG185" i="7"/>
  <c r="AF290" i="7"/>
  <c r="N236" i="7"/>
  <c r="AF193" i="7"/>
  <c r="W262" i="7"/>
  <c r="Q280" i="7"/>
  <c r="R279" i="7"/>
  <c r="Q221" i="7"/>
  <c r="AH175" i="7"/>
  <c r="AO180" i="7"/>
  <c r="AH213" i="7"/>
  <c r="AG228" i="7"/>
  <c r="AP245" i="7"/>
  <c r="AE177" i="7"/>
  <c r="AQ271" i="7"/>
  <c r="W254" i="7"/>
  <c r="V208" i="7"/>
  <c r="AG211" i="7"/>
  <c r="N212" i="7"/>
  <c r="AM268" i="7"/>
  <c r="W195" i="7"/>
  <c r="O177" i="7"/>
  <c r="W244" i="7"/>
  <c r="AP259" i="7"/>
  <c r="Q226" i="7"/>
  <c r="AE203" i="7"/>
  <c r="S194" i="7"/>
  <c r="AN266" i="7"/>
  <c r="R196" i="7"/>
  <c r="AN250" i="7"/>
  <c r="AI297" i="7"/>
  <c r="V267" i="7"/>
  <c r="R215" i="7"/>
  <c r="AL286" i="7"/>
  <c r="AH208" i="7"/>
  <c r="AA189" i="7"/>
  <c r="Y192" i="7"/>
  <c r="AF278" i="7"/>
  <c r="S258" i="7"/>
  <c r="W231" i="7"/>
  <c r="X201" i="7"/>
  <c r="AO231" i="7"/>
  <c r="AL189" i="7"/>
  <c r="AD191" i="7"/>
  <c r="R255" i="7"/>
  <c r="Q197" i="7"/>
  <c r="AL239" i="7"/>
  <c r="AM272" i="7"/>
  <c r="AG186" i="7"/>
  <c r="AP221" i="7"/>
  <c r="O221" i="7"/>
  <c r="AQ235" i="7"/>
  <c r="R222" i="7"/>
  <c r="AP237" i="7"/>
  <c r="P290" i="7"/>
  <c r="AF292" i="7"/>
  <c r="AI194" i="7"/>
  <c r="AG285" i="7"/>
  <c r="AO249" i="7"/>
  <c r="S216" i="7"/>
  <c r="Q175" i="7"/>
  <c r="P230" i="7"/>
  <c r="AO192" i="7"/>
  <c r="Z220" i="7"/>
  <c r="S243" i="7"/>
  <c r="AM245" i="7"/>
  <c r="AG279" i="7"/>
  <c r="W190" i="7"/>
  <c r="Q283" i="7"/>
  <c r="V270" i="7"/>
  <c r="S299" i="7"/>
  <c r="AO236" i="7"/>
  <c r="AO286" i="7"/>
  <c r="AP175" i="7"/>
  <c r="AI231" i="7"/>
  <c r="AF300" i="7"/>
  <c r="S248" i="7"/>
  <c r="AL232" i="7"/>
  <c r="AH273" i="7"/>
  <c r="Q192" i="7"/>
  <c r="Z265" i="7"/>
  <c r="AN265" i="7"/>
  <c r="AD238" i="7"/>
  <c r="P234" i="7"/>
  <c r="AD259" i="7"/>
  <c r="Z239" i="7"/>
  <c r="AE287" i="7"/>
  <c r="Q299" i="7"/>
  <c r="R248" i="7"/>
  <c r="AA248" i="7"/>
  <c r="V277" i="7"/>
  <c r="AA295" i="7"/>
  <c r="R186" i="7"/>
  <c r="AQ254" i="7"/>
  <c r="N205" i="7"/>
  <c r="Z241" i="7"/>
  <c r="AA196" i="7"/>
  <c r="AO228" i="7"/>
  <c r="W277" i="7"/>
  <c r="Q300" i="7"/>
  <c r="Y251" i="7"/>
  <c r="AE228" i="7"/>
  <c r="AL297" i="7"/>
  <c r="Z245" i="7"/>
  <c r="AI262" i="7"/>
  <c r="O235" i="7"/>
  <c r="AA294" i="7"/>
  <c r="Z177" i="7"/>
  <c r="AP176" i="7"/>
  <c r="S218" i="7"/>
  <c r="AE233" i="7"/>
  <c r="AM194" i="7"/>
  <c r="V226" i="7"/>
  <c r="R194" i="7"/>
  <c r="AN280" i="7"/>
  <c r="P283" i="7"/>
  <c r="AE189" i="7"/>
  <c r="Q189" i="7"/>
  <c r="AE218" i="7"/>
  <c r="X222" i="7"/>
  <c r="AG244" i="7"/>
  <c r="AA197" i="7"/>
  <c r="AN236" i="7"/>
  <c r="AL267" i="7"/>
  <c r="W182" i="7"/>
  <c r="N231" i="7"/>
  <c r="AI192" i="7"/>
  <c r="AA174" i="7"/>
  <c r="AO225" i="7"/>
  <c r="AE209" i="7"/>
  <c r="AM176" i="7"/>
  <c r="AG278" i="7"/>
  <c r="Q237" i="7"/>
  <c r="O245" i="7"/>
  <c r="R264" i="7"/>
  <c r="AD221" i="7"/>
  <c r="AE216" i="7"/>
  <c r="AO251" i="7"/>
  <c r="AO223" i="7"/>
  <c r="N177" i="7"/>
  <c r="AF217" i="7"/>
  <c r="AO209" i="7"/>
  <c r="AN234" i="7"/>
  <c r="AM229" i="7"/>
  <c r="AE261" i="7"/>
  <c r="AH275" i="7"/>
  <c r="Z291" i="7"/>
  <c r="Y280" i="7"/>
  <c r="Q210" i="7"/>
  <c r="AE199" i="7"/>
  <c r="W287" i="7"/>
  <c r="R181" i="7"/>
  <c r="O285" i="7"/>
  <c r="AF261" i="7"/>
  <c r="P206" i="7"/>
  <c r="R233" i="7"/>
  <c r="N176" i="7"/>
  <c r="R242" i="7"/>
  <c r="W221" i="7"/>
  <c r="AQ212" i="7"/>
  <c r="AF177" i="7"/>
  <c r="AI198" i="7"/>
  <c r="W268" i="7"/>
  <c r="AE249" i="7"/>
  <c r="AG242" i="7"/>
  <c r="AO277" i="7"/>
  <c r="Q289" i="7"/>
  <c r="O290" i="7"/>
  <c r="AE215" i="7"/>
  <c r="AL187" i="7"/>
  <c r="Q279" i="7"/>
  <c r="AM185" i="7"/>
  <c r="Q227" i="7"/>
  <c r="X187" i="7"/>
  <c r="V214" i="7"/>
  <c r="AH202" i="7"/>
  <c r="AG287" i="7"/>
  <c r="N259" i="7"/>
  <c r="R272" i="7"/>
  <c r="AH267" i="7"/>
  <c r="AN274" i="7"/>
  <c r="AG234" i="7"/>
  <c r="AA176" i="7"/>
  <c r="P256" i="7"/>
  <c r="AP281" i="7"/>
  <c r="W223" i="7"/>
  <c r="AE183" i="7"/>
  <c r="O251" i="7"/>
  <c r="AF210" i="7"/>
  <c r="Q183" i="7"/>
  <c r="AO214" i="7"/>
  <c r="W263" i="7"/>
  <c r="AE182" i="7"/>
  <c r="R270" i="7"/>
  <c r="Q264" i="7"/>
  <c r="AL212" i="7"/>
  <c r="P301" i="7"/>
  <c r="Y211" i="7"/>
  <c r="AG203" i="7"/>
  <c r="AF197" i="7"/>
  <c r="N208" i="7"/>
  <c r="N251" i="7"/>
  <c r="AF267" i="7"/>
  <c r="AF211" i="7"/>
  <c r="AF225" i="7"/>
  <c r="W185" i="7"/>
  <c r="P278" i="7"/>
  <c r="AF214" i="7"/>
  <c r="AA301" i="7"/>
  <c r="N210" i="7"/>
  <c r="Q259" i="7"/>
  <c r="AL185" i="7"/>
  <c r="AA275" i="7"/>
  <c r="N249" i="7"/>
  <c r="N191" i="7"/>
  <c r="W288" i="7"/>
  <c r="W251" i="7"/>
  <c r="AE243" i="7"/>
  <c r="O284" i="7"/>
  <c r="Q261" i="7"/>
  <c r="AN272" i="7"/>
  <c r="AO232" i="7"/>
  <c r="AN256" i="7"/>
  <c r="P247" i="7"/>
  <c r="W205" i="7"/>
  <c r="AF204" i="7"/>
  <c r="AE176" i="7"/>
  <c r="O175" i="7"/>
  <c r="P201" i="7"/>
  <c r="X246" i="7"/>
  <c r="AO208" i="7"/>
  <c r="AA293" i="7"/>
  <c r="AP297" i="7"/>
  <c r="AF224" i="7"/>
  <c r="N189" i="7"/>
  <c r="AG183" i="7"/>
  <c r="AA208" i="7"/>
  <c r="R269" i="7"/>
  <c r="W224" i="7"/>
  <c r="N185" i="7"/>
  <c r="AH296" i="7"/>
  <c r="X245" i="7"/>
  <c r="N290" i="7"/>
  <c r="X174" i="7"/>
  <c r="AO275" i="7"/>
  <c r="AO233" i="7"/>
  <c r="AE231" i="7"/>
  <c r="O266" i="7"/>
  <c r="AN254" i="7"/>
  <c r="X175" i="7"/>
  <c r="AP196" i="7"/>
  <c r="AH204" i="7"/>
  <c r="Q174" i="7"/>
  <c r="W199" i="7"/>
  <c r="AF198" i="7"/>
  <c r="W200" i="7"/>
  <c r="AN200" i="7"/>
  <c r="P195" i="7"/>
  <c r="O198" i="7"/>
  <c r="AF175" i="7"/>
  <c r="AF255" i="7"/>
  <c r="R281" i="7"/>
  <c r="AO269" i="7"/>
  <c r="AL222" i="7"/>
  <c r="AP278" i="7"/>
  <c r="W291" i="7"/>
  <c r="V300" i="7"/>
  <c r="AL295" i="7"/>
  <c r="AN248" i="7"/>
  <c r="AO266" i="7"/>
  <c r="Y286" i="7"/>
  <c r="AH177" i="7"/>
  <c r="Z296" i="7"/>
  <c r="W193" i="7"/>
  <c r="AN221" i="7"/>
  <c r="W191" i="7"/>
  <c r="AN182" i="7"/>
  <c r="S195" i="7"/>
  <c r="Z211" i="7"/>
  <c r="S187" i="7"/>
  <c r="AL261" i="7"/>
  <c r="AH188" i="7"/>
  <c r="AD241" i="7"/>
  <c r="AP248" i="7"/>
  <c r="AA214" i="7"/>
  <c r="R207" i="7"/>
  <c r="AA288" i="7"/>
  <c r="Z179" i="7"/>
  <c r="P177" i="7"/>
  <c r="AI247" i="7"/>
  <c r="W301" i="7"/>
  <c r="AE282" i="7"/>
  <c r="AE290" i="7"/>
  <c r="AM252" i="7"/>
  <c r="AI221" i="7"/>
  <c r="Q242" i="7"/>
  <c r="AN204" i="7"/>
  <c r="X268" i="7"/>
  <c r="AA213" i="7"/>
  <c r="AI260" i="7"/>
  <c r="AN240" i="7"/>
  <c r="Z238" i="7"/>
  <c r="Z223" i="7"/>
  <c r="Z201" i="7"/>
  <c r="AH260" i="7"/>
  <c r="AP212" i="7"/>
  <c r="P260" i="7"/>
  <c r="AA205" i="7"/>
  <c r="R201" i="7"/>
  <c r="AO230" i="7"/>
  <c r="AQ299" i="7"/>
  <c r="Y187" i="7"/>
  <c r="AN178" i="7"/>
  <c r="W295" i="7"/>
  <c r="AE276" i="7"/>
  <c r="AE254" i="7"/>
  <c r="AM243" i="7"/>
  <c r="AO207" i="7"/>
  <c r="AN206" i="7"/>
  <c r="Z283" i="7"/>
  <c r="AN283" i="7"/>
  <c r="AD286" i="7"/>
  <c r="AI176" i="7"/>
  <c r="Z214" i="7"/>
  <c r="AL237" i="7"/>
  <c r="AH252" i="7"/>
  <c r="AD242" i="7"/>
  <c r="AD277" i="7"/>
  <c r="O189" i="7"/>
  <c r="AI264" i="7"/>
  <c r="Q228" i="7"/>
  <c r="R298" i="7"/>
  <c r="AE281" i="7"/>
  <c r="R183" i="7"/>
  <c r="Q293" i="7"/>
  <c r="AH283" i="7"/>
  <c r="Y178" i="7"/>
  <c r="AG300" i="7"/>
  <c r="AI202" i="7"/>
  <c r="AI189" i="7"/>
  <c r="AF276" i="7"/>
  <c r="O202" i="7"/>
  <c r="AE248" i="7"/>
  <c r="AM216" i="7"/>
  <c r="AN243" i="7"/>
  <c r="AE265" i="7"/>
  <c r="AQ185" i="7"/>
  <c r="Q278" i="7"/>
  <c r="N267" i="7"/>
  <c r="N221" i="7"/>
  <c r="X181" i="7"/>
  <c r="AA262" i="7"/>
  <c r="X179" i="7"/>
  <c r="AG251" i="7"/>
  <c r="O227" i="7"/>
  <c r="S281" i="7"/>
  <c r="AE280" i="7"/>
  <c r="AG233" i="7"/>
  <c r="AF260" i="7"/>
  <c r="AL245" i="7"/>
  <c r="W238" i="7"/>
  <c r="Z248" i="7"/>
  <c r="AI261" i="7"/>
  <c r="AM292" i="7"/>
  <c r="Y206" i="7"/>
  <c r="Y285" i="7"/>
  <c r="AP273" i="7"/>
  <c r="AH242" i="7"/>
  <c r="O212" i="7"/>
  <c r="AD301" i="7"/>
  <c r="V231" i="7"/>
  <c r="AI224" i="7"/>
  <c r="AP276" i="7"/>
  <c r="AG297" i="7"/>
  <c r="AL259" i="7"/>
  <c r="S268" i="7"/>
  <c r="AF282" i="7"/>
  <c r="Q260" i="7"/>
  <c r="AN267" i="7"/>
  <c r="Q194" i="7"/>
  <c r="AM258" i="7"/>
  <c r="AG184" i="7"/>
  <c r="AN187" i="7"/>
  <c r="V228" i="7"/>
  <c r="X253" i="7"/>
  <c r="AE259" i="7"/>
  <c r="V271" i="7"/>
  <c r="AL236" i="7"/>
  <c r="AN295" i="7"/>
  <c r="S213" i="7"/>
  <c r="AQ223" i="7"/>
  <c r="AO271" i="7"/>
  <c r="P216" i="7"/>
  <c r="AG249" i="7"/>
  <c r="AF188" i="7"/>
  <c r="AL176" i="7"/>
  <c r="AA269" i="7"/>
  <c r="X287" i="7"/>
  <c r="R226" i="7"/>
  <c r="AL200" i="7"/>
  <c r="AF285" i="7"/>
  <c r="AE196" i="7"/>
  <c r="AM190" i="7"/>
  <c r="AM256" i="7"/>
  <c r="P193" i="7"/>
  <c r="S276" i="7"/>
  <c r="N243" i="7"/>
  <c r="AH179" i="7"/>
  <c r="S207" i="7"/>
  <c r="O244" i="7"/>
  <c r="R244" i="7"/>
  <c r="O211" i="7"/>
  <c r="AG207" i="7"/>
  <c r="AI300" i="7"/>
  <c r="AP260" i="7"/>
  <c r="W232" i="7"/>
  <c r="AE174" i="7"/>
  <c r="AO264" i="7"/>
  <c r="AA250" i="7"/>
  <c r="V282" i="7"/>
  <c r="O254" i="7"/>
  <c r="AL289" i="7"/>
  <c r="R249" i="7"/>
  <c r="AN191" i="7"/>
  <c r="AG221" i="7"/>
  <c r="Q191" i="7"/>
  <c r="AO260" i="7"/>
  <c r="V241" i="7"/>
  <c r="AP291" i="7"/>
  <c r="N201" i="7"/>
  <c r="Y277" i="7"/>
  <c r="AM263" i="7"/>
  <c r="AP292" i="7"/>
  <c r="AN208" i="7"/>
  <c r="AA296" i="7"/>
  <c r="Z290" i="7"/>
  <c r="AI255" i="7"/>
  <c r="AP215" i="7"/>
  <c r="AN212" i="7"/>
  <c r="V243" i="7"/>
  <c r="O215" i="7"/>
  <c r="Z212" i="7"/>
  <c r="AQ226" i="7"/>
  <c r="S284" i="7"/>
  <c r="S200" i="7"/>
  <c r="AL274" i="7"/>
  <c r="R216" i="7"/>
  <c r="AN176" i="7"/>
  <c r="AQ274" i="7"/>
  <c r="P251" i="7"/>
  <c r="AH221" i="7"/>
  <c r="V194" i="7"/>
  <c r="Y213" i="7"/>
  <c r="X298" i="7"/>
  <c r="Y188" i="7"/>
  <c r="P242" i="7"/>
  <c r="N246" i="7"/>
  <c r="Z202" i="7"/>
  <c r="Y195" i="7"/>
  <c r="S225" i="7"/>
  <c r="R280" i="7"/>
  <c r="X231" i="7"/>
  <c r="AI294" i="7"/>
  <c r="AP254" i="7"/>
  <c r="AQ285" i="7"/>
  <c r="AA241" i="7"/>
  <c r="O218" i="7"/>
  <c r="R243" i="7"/>
  <c r="AN185" i="7"/>
  <c r="X283" i="7"/>
  <c r="Z230" i="7"/>
  <c r="AQ239" i="7"/>
  <c r="Y223" i="7"/>
  <c r="O273" i="7"/>
  <c r="AA290" i="7"/>
  <c r="AI237" i="7"/>
  <c r="V301" i="7"/>
  <c r="V237" i="7"/>
  <c r="AE288" i="7"/>
  <c r="S275" i="7"/>
  <c r="AL238" i="7"/>
  <c r="R198" i="7"/>
  <c r="Y284" i="7"/>
  <c r="AF209" i="7"/>
  <c r="P212" i="7"/>
  <c r="AD228" i="7"/>
  <c r="Q188" i="7"/>
  <c r="X250" i="7"/>
  <c r="AO252" i="7"/>
  <c r="AQ276" i="7"/>
  <c r="X277" i="7"/>
  <c r="AA284" i="7"/>
  <c r="S203" i="7"/>
  <c r="AO279" i="7"/>
  <c r="AL299" i="7"/>
  <c r="AD180" i="7"/>
  <c r="AN189" i="7"/>
  <c r="V234" i="7"/>
  <c r="AO255" i="7"/>
  <c r="V195" i="7"/>
  <c r="V181" i="7"/>
  <c r="AH251" i="7"/>
  <c r="Z251" i="7"/>
  <c r="AI175" i="7"/>
  <c r="AQ213" i="7"/>
  <c r="AM284" i="7"/>
  <c r="R239" i="7"/>
  <c r="AA242" i="7"/>
  <c r="AI235" i="7"/>
  <c r="Z193" i="7"/>
  <c r="P185" i="7"/>
  <c r="AF283" i="7"/>
  <c r="AD232" i="7"/>
  <c r="AG267" i="7"/>
  <c r="N261" i="7"/>
  <c r="AG238" i="7"/>
  <c r="N284" i="7"/>
  <c r="N238" i="7"/>
  <c r="AP267" i="7"/>
  <c r="S201" i="7"/>
  <c r="AM291" i="7"/>
  <c r="V200" i="7"/>
  <c r="Z294" i="7"/>
  <c r="AA255" i="7"/>
  <c r="Y233" i="7"/>
  <c r="AG225" i="7"/>
  <c r="W196" i="7"/>
  <c r="W233" i="7"/>
  <c r="V276" i="7"/>
  <c r="AL271" i="7"/>
  <c r="AP192" i="7"/>
  <c r="AO242" i="7"/>
  <c r="AL249" i="7"/>
  <c r="AM200" i="7"/>
  <c r="AN202" i="7"/>
  <c r="AI253" i="7"/>
  <c r="AP209" i="7"/>
  <c r="O179" i="7"/>
  <c r="AQ217" i="7"/>
  <c r="AE296" i="7"/>
  <c r="AD296" i="7"/>
  <c r="R223" i="7"/>
  <c r="AA273" i="7"/>
  <c r="N292" i="7"/>
  <c r="AN184" i="7"/>
  <c r="AL272" i="7"/>
  <c r="S234" i="7"/>
  <c r="AF208" i="7"/>
  <c r="AQ267" i="7"/>
  <c r="X259" i="7"/>
  <c r="AI225" i="7"/>
  <c r="AL214" i="7"/>
  <c r="AG248" i="7"/>
  <c r="AA6" i="25"/>
  <c r="AA6" i="24"/>
  <c r="AA6" i="23"/>
  <c r="E39" i="23"/>
  <c r="E31" i="23"/>
  <c r="E25" i="23"/>
  <c r="E37" i="23"/>
  <c r="E35" i="23"/>
  <c r="E23" i="23"/>
  <c r="E41" i="23"/>
  <c r="E27" i="23"/>
  <c r="E33" i="23"/>
  <c r="E29" i="23"/>
  <c r="AK17" i="20"/>
  <c r="AK18" i="20" s="1"/>
  <c r="AQ16" i="20" s="1"/>
  <c r="AQ18" i="20" s="1"/>
  <c r="AQ20" i="20" s="1"/>
  <c r="CP7" i="20" s="1"/>
  <c r="AA17" i="20"/>
  <c r="S120" i="7"/>
  <c r="T120" i="7"/>
  <c r="T151" i="7"/>
  <c r="S151" i="7"/>
  <c r="T108" i="7"/>
  <c r="S108" i="7"/>
  <c r="S103" i="7"/>
  <c r="T103" i="7"/>
  <c r="T93" i="7"/>
  <c r="S93" i="7"/>
  <c r="T111" i="7"/>
  <c r="S111" i="7"/>
  <c r="T129" i="7"/>
  <c r="S129" i="7"/>
  <c r="BA75" i="20"/>
  <c r="BD75" i="20" s="1"/>
  <c r="BD73" i="20"/>
  <c r="CD28" i="20"/>
  <c r="CD30" i="20" s="1"/>
  <c r="CR9" i="20" s="1"/>
  <c r="BM27" i="20"/>
  <c r="BM30" i="20" s="1"/>
  <c r="BP28" i="20" s="1"/>
  <c r="BM52" i="20"/>
  <c r="BM55" i="20" s="1"/>
  <c r="BP53" i="20" s="1"/>
  <c r="CD53" i="20"/>
  <c r="CD55" i="20" s="1"/>
  <c r="CR14" i="20" s="1"/>
  <c r="Z10" i="25"/>
  <c r="AS10" i="25" s="1"/>
  <c r="Z10" i="24"/>
  <c r="AS10" i="24" s="1"/>
  <c r="Z10" i="23"/>
  <c r="AS10" i="23" s="1"/>
  <c r="CT29" i="20"/>
  <c r="CU29" i="20"/>
  <c r="CT22" i="20"/>
  <c r="CU22" i="20"/>
  <c r="BA65" i="20"/>
  <c r="BD65" i="20" s="1"/>
  <c r="BD63" i="20"/>
  <c r="CU13" i="20"/>
  <c r="CT13" i="20"/>
  <c r="AO43" i="21"/>
  <c r="AO39" i="21"/>
  <c r="AO42" i="21"/>
  <c r="AO29" i="21"/>
  <c r="AO28" i="21"/>
  <c r="AO27" i="21"/>
  <c r="AO115" i="21"/>
  <c r="AO38" i="21"/>
  <c r="AO45" i="21"/>
  <c r="AO37" i="21"/>
  <c r="AO40" i="21"/>
  <c r="AO44" i="21"/>
  <c r="AO30" i="21"/>
  <c r="G115" i="21"/>
  <c r="G45" i="21"/>
  <c r="G42" i="21"/>
  <c r="G38" i="21"/>
  <c r="G30" i="21"/>
  <c r="G27" i="21"/>
  <c r="G29" i="21"/>
  <c r="G40" i="21"/>
  <c r="G39" i="21"/>
  <c r="G43" i="21"/>
  <c r="G37" i="21"/>
  <c r="G28" i="21"/>
  <c r="G44" i="21"/>
  <c r="W115" i="21"/>
  <c r="W44" i="21"/>
  <c r="W40" i="21"/>
  <c r="W37" i="21"/>
  <c r="W29" i="21"/>
  <c r="W38" i="21"/>
  <c r="W45" i="21"/>
  <c r="W28" i="21"/>
  <c r="W43" i="21"/>
  <c r="W39" i="21"/>
  <c r="W30" i="21"/>
  <c r="W27" i="21"/>
  <c r="W42" i="21"/>
  <c r="J115" i="21"/>
  <c r="J45" i="21"/>
  <c r="J38" i="21"/>
  <c r="J37" i="21"/>
  <c r="J43" i="21"/>
  <c r="J28" i="21"/>
  <c r="J44" i="21"/>
  <c r="J40" i="21"/>
  <c r="J27" i="21"/>
  <c r="J30" i="21"/>
  <c r="J42" i="21"/>
  <c r="J39" i="21"/>
  <c r="J29" i="21"/>
  <c r="G25" i="21"/>
  <c r="G24" i="21"/>
  <c r="J33" i="21"/>
  <c r="S22" i="21"/>
  <c r="J32" i="21"/>
  <c r="K22" i="21"/>
  <c r="N25" i="21"/>
  <c r="S25" i="21"/>
  <c r="T24" i="21"/>
  <c r="T35" i="21"/>
  <c r="X24" i="21"/>
  <c r="AM34" i="21"/>
  <c r="AP22" i="21"/>
  <c r="AH33" i="21"/>
  <c r="U34" i="21"/>
  <c r="AN24" i="21"/>
  <c r="U22" i="21"/>
  <c r="U32" i="21"/>
  <c r="AL33" i="21"/>
  <c r="AL34" i="21"/>
  <c r="AQ23" i="21"/>
  <c r="AM35" i="21"/>
  <c r="T155" i="7"/>
  <c r="S155" i="7"/>
  <c r="M110" i="19"/>
  <c r="M92" i="19"/>
  <c r="M105" i="19"/>
  <c r="M100" i="19"/>
  <c r="M87" i="19"/>
  <c r="M95" i="19"/>
  <c r="M108" i="19"/>
  <c r="M103" i="19"/>
  <c r="M90" i="19"/>
  <c r="M112" i="19"/>
  <c r="M107" i="19"/>
  <c r="M109" i="19"/>
  <c r="M102" i="19"/>
  <c r="M97" i="19"/>
  <c r="M104" i="19"/>
  <c r="M94" i="19"/>
  <c r="M106" i="19"/>
  <c r="M98" i="19"/>
  <c r="M89" i="19"/>
  <c r="M101" i="19"/>
  <c r="M93" i="19"/>
  <c r="M99" i="19"/>
  <c r="M91" i="19"/>
  <c r="M88" i="19"/>
  <c r="M96" i="19"/>
  <c r="M111" i="19"/>
  <c r="K460" i="11"/>
  <c r="K442" i="11"/>
  <c r="K468" i="11"/>
  <c r="K455" i="11"/>
  <c r="K450" i="11"/>
  <c r="K463" i="11"/>
  <c r="K445" i="11"/>
  <c r="K427" i="11"/>
  <c r="K409" i="11"/>
  <c r="K458" i="11"/>
  <c r="K453" i="11"/>
  <c r="K465" i="11"/>
  <c r="K429" i="11"/>
  <c r="K420" i="11"/>
  <c r="K413" i="11"/>
  <c r="K396" i="11"/>
  <c r="K378" i="11"/>
  <c r="K411" i="11"/>
  <c r="K404" i="11"/>
  <c r="K391" i="11"/>
  <c r="K373" i="11"/>
  <c r="K386" i="11"/>
  <c r="K368" i="11"/>
  <c r="K467" i="11"/>
  <c r="K462" i="11"/>
  <c r="K440" i="11"/>
  <c r="K438" i="11"/>
  <c r="K418" i="11"/>
  <c r="K399" i="11"/>
  <c r="K381" i="11"/>
  <c r="K457" i="11"/>
  <c r="K436" i="11"/>
  <c r="K425" i="11"/>
  <c r="K394" i="11"/>
  <c r="K389" i="11"/>
  <c r="K376" i="11"/>
  <c r="K371" i="11"/>
  <c r="K464" i="11"/>
  <c r="K459" i="11"/>
  <c r="K452" i="11"/>
  <c r="K447" i="11"/>
  <c r="K434" i="11"/>
  <c r="K432" i="11"/>
  <c r="K423" i="11"/>
  <c r="K416" i="11"/>
  <c r="K407" i="11"/>
  <c r="K402" i="11"/>
  <c r="K384" i="11"/>
  <c r="K366" i="11"/>
  <c r="K461" i="11"/>
  <c r="K431" i="11"/>
  <c r="K412" i="11"/>
  <c r="K370" i="11"/>
  <c r="K367" i="11"/>
  <c r="K444" i="11"/>
  <c r="K437" i="11"/>
  <c r="K430" i="11"/>
  <c r="K421" i="11"/>
  <c r="K456" i="11"/>
  <c r="K448" i="11"/>
  <c r="K415" i="11"/>
  <c r="K406" i="11"/>
  <c r="K403" i="11"/>
  <c r="K400" i="11"/>
  <c r="K397" i="11"/>
  <c r="K375" i="11"/>
  <c r="K372" i="11"/>
  <c r="K369" i="11"/>
  <c r="K433" i="11"/>
  <c r="K424" i="11"/>
  <c r="K435" i="11"/>
  <c r="K388" i="11"/>
  <c r="K385" i="11"/>
  <c r="K382" i="11"/>
  <c r="K379" i="11"/>
  <c r="K454" i="11"/>
  <c r="K446" i="11"/>
  <c r="K466" i="11"/>
  <c r="K410" i="11"/>
  <c r="K393" i="11"/>
  <c r="K390" i="11"/>
  <c r="K387" i="11"/>
  <c r="K365" i="11"/>
  <c r="K451" i="11"/>
  <c r="K441" i="11"/>
  <c r="K426" i="11"/>
  <c r="K417" i="11"/>
  <c r="K398" i="11"/>
  <c r="K392" i="11"/>
  <c r="K449" i="11"/>
  <c r="K439" i="11"/>
  <c r="K380" i="11"/>
  <c r="K374" i="11"/>
  <c r="K408" i="11"/>
  <c r="K422" i="11"/>
  <c r="K395" i="11"/>
  <c r="K383" i="11"/>
  <c r="K443" i="11"/>
  <c r="K405" i="11"/>
  <c r="K419" i="11"/>
  <c r="K401" i="11"/>
  <c r="K377" i="11"/>
  <c r="K414" i="11"/>
  <c r="K428" i="11"/>
  <c r="AO8" i="25"/>
  <c r="AC8" i="25"/>
  <c r="AC8" i="24"/>
  <c r="AC8" i="23"/>
  <c r="AJ8" i="23" s="1"/>
  <c r="AP28" i="21"/>
  <c r="AP27" i="21"/>
  <c r="AP45" i="21"/>
  <c r="AP115" i="21"/>
  <c r="AP38" i="21"/>
  <c r="AP40" i="21"/>
  <c r="AP44" i="21"/>
  <c r="AP42" i="21"/>
  <c r="AP39" i="21"/>
  <c r="AP30" i="21"/>
  <c r="AP29" i="21"/>
  <c r="AP43" i="21"/>
  <c r="AP37" i="21"/>
  <c r="AC22" i="21"/>
  <c r="AO10" i="25"/>
  <c r="AU18" i="20"/>
  <c r="AU20" i="20" s="1"/>
  <c r="CO7" i="20" s="1"/>
  <c r="AD17" i="20"/>
  <c r="AD20" i="20" s="1"/>
  <c r="AG18" i="20" s="1"/>
  <c r="T144" i="7"/>
  <c r="S144" i="7"/>
  <c r="T130" i="7"/>
  <c r="S130" i="7"/>
  <c r="T100" i="7"/>
  <c r="S100" i="7"/>
  <c r="T153" i="7"/>
  <c r="S153" i="7"/>
  <c r="S104" i="7"/>
  <c r="T104" i="7"/>
  <c r="S122" i="7"/>
  <c r="T122" i="7"/>
  <c r="T140" i="7"/>
  <c r="S140" i="7"/>
  <c r="BJ142" i="20"/>
  <c r="BT142" i="20"/>
  <c r="BT143" i="20" s="1"/>
  <c r="BZ141" i="20" s="1"/>
  <c r="BZ143" i="20" s="1"/>
  <c r="BZ145" i="20" s="1"/>
  <c r="CS32" i="20" s="1"/>
  <c r="C107" i="27"/>
  <c r="C108" i="27" s="1"/>
  <c r="C113" i="27"/>
  <c r="CD128" i="20"/>
  <c r="CD130" i="20" s="1"/>
  <c r="CR29" i="20" s="1"/>
  <c r="BM127" i="20"/>
  <c r="BM130" i="20" s="1"/>
  <c r="BP128" i="20" s="1"/>
  <c r="AD122" i="20"/>
  <c r="AD125" i="20" s="1"/>
  <c r="AG123" i="20" s="1"/>
  <c r="AU123" i="20"/>
  <c r="AU125" i="20" s="1"/>
  <c r="CO28" i="20" s="1"/>
  <c r="U128" i="20"/>
  <c r="R130" i="20"/>
  <c r="U130" i="20" s="1"/>
  <c r="U93" i="20"/>
  <c r="R95" i="20"/>
  <c r="U95" i="20" s="1"/>
  <c r="AC10" i="25"/>
  <c r="AC10" i="24"/>
  <c r="AC10" i="23"/>
  <c r="AJ10" i="23" s="1"/>
  <c r="BD148" i="20"/>
  <c r="BA150" i="20"/>
  <c r="BD150" i="20" s="1"/>
  <c r="Z6" i="25"/>
  <c r="AS6" i="25" s="1"/>
  <c r="Z6" i="24"/>
  <c r="AS6" i="24" s="1"/>
  <c r="Z6" i="23"/>
  <c r="AS6" i="23" s="1"/>
  <c r="AK137" i="20"/>
  <c r="AK138" i="20" s="1"/>
  <c r="AQ136" i="20" s="1"/>
  <c r="AQ138" i="20" s="1"/>
  <c r="AQ140" i="20" s="1"/>
  <c r="CP31" i="20" s="1"/>
  <c r="AA137" i="20"/>
  <c r="Z8" i="25"/>
  <c r="AS8" i="25" s="1"/>
  <c r="Z8" i="24"/>
  <c r="AS8" i="24" s="1"/>
  <c r="Z8" i="23"/>
  <c r="AS8" i="23" s="1"/>
  <c r="U43" i="20"/>
  <c r="R45" i="20"/>
  <c r="U45" i="20" s="1"/>
  <c r="K111" i="19"/>
  <c r="K108" i="19"/>
  <c r="K105" i="19"/>
  <c r="K102" i="19"/>
  <c r="K99" i="19"/>
  <c r="K96" i="19"/>
  <c r="K93" i="19"/>
  <c r="K90" i="19"/>
  <c r="K87" i="19"/>
  <c r="K107" i="19"/>
  <c r="K89" i="19"/>
  <c r="K97" i="19"/>
  <c r="K110" i="19"/>
  <c r="K92" i="19"/>
  <c r="K100" i="19"/>
  <c r="K95" i="19"/>
  <c r="K112" i="19"/>
  <c r="K103" i="19"/>
  <c r="K94" i="19"/>
  <c r="K106" i="19"/>
  <c r="K98" i="19"/>
  <c r="K104" i="19"/>
  <c r="K91" i="19"/>
  <c r="K109" i="19"/>
  <c r="K88" i="19"/>
  <c r="K101" i="19"/>
  <c r="I457" i="11"/>
  <c r="I439" i="11"/>
  <c r="I465" i="11"/>
  <c r="I452" i="11"/>
  <c r="I447" i="11"/>
  <c r="I460" i="11"/>
  <c r="I442" i="11"/>
  <c r="I424" i="11"/>
  <c r="I406" i="11"/>
  <c r="I403" i="11"/>
  <c r="I400" i="11"/>
  <c r="I397" i="11"/>
  <c r="I394" i="11"/>
  <c r="I391" i="11"/>
  <c r="I388" i="11"/>
  <c r="I385" i="11"/>
  <c r="I382" i="11"/>
  <c r="I379" i="11"/>
  <c r="I376" i="11"/>
  <c r="I373" i="11"/>
  <c r="I370" i="11"/>
  <c r="I367" i="11"/>
  <c r="I468" i="11"/>
  <c r="I455" i="11"/>
  <c r="I450" i="11"/>
  <c r="I443" i="11"/>
  <c r="I415" i="11"/>
  <c r="I393" i="11"/>
  <c r="I375" i="11"/>
  <c r="I401" i="11"/>
  <c r="I445" i="11"/>
  <c r="I431" i="11"/>
  <c r="I422" i="11"/>
  <c r="I383" i="11"/>
  <c r="I365" i="11"/>
  <c r="I429" i="11"/>
  <c r="I420" i="11"/>
  <c r="I413" i="11"/>
  <c r="I396" i="11"/>
  <c r="I378" i="11"/>
  <c r="I427" i="11"/>
  <c r="I411" i="11"/>
  <c r="I404" i="11"/>
  <c r="I386" i="11"/>
  <c r="I368" i="11"/>
  <c r="I467" i="11"/>
  <c r="I462" i="11"/>
  <c r="I440" i="11"/>
  <c r="I438" i="11"/>
  <c r="I418" i="11"/>
  <c r="I409" i="11"/>
  <c r="I399" i="11"/>
  <c r="I381" i="11"/>
  <c r="I441" i="11"/>
  <c r="I428" i="11"/>
  <c r="I453" i="11"/>
  <c r="I449" i="11"/>
  <c r="I461" i="11"/>
  <c r="I437" i="11"/>
  <c r="I412" i="11"/>
  <c r="I444" i="11"/>
  <c r="I430" i="11"/>
  <c r="I421" i="11"/>
  <c r="I459" i="11"/>
  <c r="I451" i="11"/>
  <c r="I417" i="11"/>
  <c r="I408" i="11"/>
  <c r="I463" i="11"/>
  <c r="I426" i="11"/>
  <c r="I435" i="11"/>
  <c r="I407" i="11"/>
  <c r="I419" i="11"/>
  <c r="I405" i="11"/>
  <c r="I377" i="11"/>
  <c r="I371" i="11"/>
  <c r="I433" i="11"/>
  <c r="I425" i="11"/>
  <c r="I432" i="11"/>
  <c r="I387" i="11"/>
  <c r="I410" i="11"/>
  <c r="I398" i="11"/>
  <c r="I392" i="11"/>
  <c r="I448" i="11"/>
  <c r="I416" i="11"/>
  <c r="I369" i="11"/>
  <c r="I458" i="11"/>
  <c r="I423" i="11"/>
  <c r="I466" i="11"/>
  <c r="I446" i="11"/>
  <c r="I436" i="11"/>
  <c r="I414" i="11"/>
  <c r="I395" i="11"/>
  <c r="I456" i="11"/>
  <c r="I380" i="11"/>
  <c r="I389" i="11"/>
  <c r="I366" i="11"/>
  <c r="I464" i="11"/>
  <c r="I402" i="11"/>
  <c r="I374" i="11"/>
  <c r="I390" i="11"/>
  <c r="I372" i="11"/>
  <c r="I454" i="11"/>
  <c r="I434" i="11"/>
  <c r="I384" i="11"/>
  <c r="AA5" i="25"/>
  <c r="AA5" i="24"/>
  <c r="AA5" i="23"/>
  <c r="R35" i="20"/>
  <c r="U35" i="20" s="1"/>
  <c r="U33" i="20"/>
  <c r="M115" i="21"/>
  <c r="M44" i="21"/>
  <c r="M40" i="21"/>
  <c r="M45" i="21"/>
  <c r="M42" i="21"/>
  <c r="M30" i="21"/>
  <c r="M43" i="21"/>
  <c r="M37" i="21"/>
  <c r="M29" i="21"/>
  <c r="M39" i="21"/>
  <c r="M38" i="21"/>
  <c r="M28" i="21"/>
  <c r="M27" i="21"/>
  <c r="Q43" i="21"/>
  <c r="Q39" i="21"/>
  <c r="Q38" i="21"/>
  <c r="Q40" i="21"/>
  <c r="Q115" i="21"/>
  <c r="Q37" i="21"/>
  <c r="Q28" i="21"/>
  <c r="Q27" i="21"/>
  <c r="Q42" i="21"/>
  <c r="Q30" i="21"/>
  <c r="Q29" i="21"/>
  <c r="Q44" i="21"/>
  <c r="Q45" i="21"/>
  <c r="AD115" i="21"/>
  <c r="AD43" i="21"/>
  <c r="AD44" i="21"/>
  <c r="AD39" i="21"/>
  <c r="AD38" i="21"/>
  <c r="AD37" i="21"/>
  <c r="AD28" i="21"/>
  <c r="AD45" i="21"/>
  <c r="AD40" i="21"/>
  <c r="AD42" i="21"/>
  <c r="AD29" i="21"/>
  <c r="AD30" i="21"/>
  <c r="AD27" i="21"/>
  <c r="AB45" i="21"/>
  <c r="AB29" i="21"/>
  <c r="AB28" i="21"/>
  <c r="AB27" i="21"/>
  <c r="AB115" i="21"/>
  <c r="AB40" i="21"/>
  <c r="AB42" i="21"/>
  <c r="AB30" i="21"/>
  <c r="AB44" i="21"/>
  <c r="AB43" i="21"/>
  <c r="AB37" i="21"/>
  <c r="AB39" i="21"/>
  <c r="AB38" i="21"/>
  <c r="Q25" i="21"/>
  <c r="E32" i="21"/>
  <c r="M23" i="21"/>
  <c r="P22" i="21"/>
  <c r="G35" i="21"/>
  <c r="Q35" i="21"/>
  <c r="G33" i="21"/>
  <c r="Q33" i="21"/>
  <c r="AL35" i="21"/>
  <c r="U23" i="21"/>
  <c r="V32" i="21"/>
  <c r="AJ25" i="21"/>
  <c r="AA23" i="21"/>
  <c r="AP34" i="21"/>
  <c r="AC35" i="21"/>
  <c r="AL22" i="21"/>
  <c r="AH32" i="21"/>
  <c r="X34" i="21"/>
  <c r="X35" i="21"/>
  <c r="S139" i="7"/>
  <c r="T139" i="7"/>
  <c r="T106" i="7"/>
  <c r="S106" i="7"/>
  <c r="T99" i="7"/>
  <c r="S99" i="7"/>
  <c r="BJ32" i="20"/>
  <c r="BT32" i="20"/>
  <c r="BT33" i="20" s="1"/>
  <c r="BZ31" i="20" s="1"/>
  <c r="BZ33" i="20" s="1"/>
  <c r="BZ35" i="20" s="1"/>
  <c r="CS10" i="20" s="1"/>
  <c r="Q21" i="25"/>
  <c r="Q19" i="25"/>
  <c r="Q13" i="25"/>
  <c r="T13" i="25" s="1"/>
  <c r="Q14" i="25"/>
  <c r="T14" i="25" s="1"/>
  <c r="AR7" i="25"/>
  <c r="Q18" i="25"/>
  <c r="CD13" i="20"/>
  <c r="CD15" i="20" s="1"/>
  <c r="CR6" i="20" s="1"/>
  <c r="BM12" i="20"/>
  <c r="BM15" i="20" s="1"/>
  <c r="BP13" i="20" s="1"/>
  <c r="J333" i="7"/>
  <c r="J330" i="7"/>
  <c r="J327" i="7"/>
  <c r="J324" i="7"/>
  <c r="J321" i="7"/>
  <c r="J318" i="7"/>
  <c r="J315" i="7"/>
  <c r="J312" i="7"/>
  <c r="J309" i="7"/>
  <c r="J306" i="7"/>
  <c r="J303" i="7"/>
  <c r="J301" i="7"/>
  <c r="J298" i="7"/>
  <c r="J295" i="7"/>
  <c r="J292" i="7"/>
  <c r="J289" i="7"/>
  <c r="J286" i="7"/>
  <c r="J283" i="7"/>
  <c r="J280" i="7"/>
  <c r="J277" i="7"/>
  <c r="J274" i="7"/>
  <c r="J271" i="7"/>
  <c r="J268" i="7"/>
  <c r="J265" i="7"/>
  <c r="J262" i="7"/>
  <c r="J259" i="7"/>
  <c r="J256" i="7"/>
  <c r="J253" i="7"/>
  <c r="J250" i="7"/>
  <c r="J247" i="7"/>
  <c r="J244" i="7"/>
  <c r="J241" i="7"/>
  <c r="J238" i="7"/>
  <c r="J235" i="7"/>
  <c r="J232" i="7"/>
  <c r="J229" i="7"/>
  <c r="J226" i="7"/>
  <c r="J223" i="7"/>
  <c r="J220" i="7"/>
  <c r="J217" i="7"/>
  <c r="J214" i="7"/>
  <c r="J211" i="7"/>
  <c r="J208" i="7"/>
  <c r="J205" i="7"/>
  <c r="J202" i="7"/>
  <c r="J199" i="7"/>
  <c r="J196" i="7"/>
  <c r="J193" i="7"/>
  <c r="J190" i="7"/>
  <c r="J187" i="7"/>
  <c r="J184" i="7"/>
  <c r="J181" i="7"/>
  <c r="J178" i="7"/>
  <c r="J175" i="7"/>
  <c r="H333" i="7"/>
  <c r="H330" i="7"/>
  <c r="H327" i="7"/>
  <c r="H324" i="7"/>
  <c r="H321" i="7"/>
  <c r="H318" i="7"/>
  <c r="H315" i="7"/>
  <c r="H312" i="7"/>
  <c r="H309" i="7"/>
  <c r="H306" i="7"/>
  <c r="H303" i="7"/>
  <c r="H301" i="7"/>
  <c r="H298" i="7"/>
  <c r="H295" i="7"/>
  <c r="H292" i="7"/>
  <c r="H289" i="7"/>
  <c r="H286" i="7"/>
  <c r="H283" i="7"/>
  <c r="H280" i="7"/>
  <c r="H277" i="7"/>
  <c r="H274" i="7"/>
  <c r="H271" i="7"/>
  <c r="H268" i="7"/>
  <c r="H265" i="7"/>
  <c r="H262" i="7"/>
  <c r="H259" i="7"/>
  <c r="H256" i="7"/>
  <c r="H253" i="7"/>
  <c r="H250" i="7"/>
  <c r="H247" i="7"/>
  <c r="H244" i="7"/>
  <c r="H241" i="7"/>
  <c r="H238" i="7"/>
  <c r="H235" i="7"/>
  <c r="H232" i="7"/>
  <c r="H229" i="7"/>
  <c r="H226" i="7"/>
  <c r="H223" i="7"/>
  <c r="H220" i="7"/>
  <c r="H217" i="7"/>
  <c r="H214" i="7"/>
  <c r="H211" i="7"/>
  <c r="H208" i="7"/>
  <c r="H205" i="7"/>
  <c r="H202" i="7"/>
  <c r="H199" i="7"/>
  <c r="H196" i="7"/>
  <c r="H193" i="7"/>
  <c r="H190" i="7"/>
  <c r="H187" i="7"/>
  <c r="H184" i="7"/>
  <c r="H181" i="7"/>
  <c r="H178" i="7"/>
  <c r="H175" i="7"/>
  <c r="G333" i="7"/>
  <c r="G330" i="7"/>
  <c r="G327" i="7"/>
  <c r="G324" i="7"/>
  <c r="G321" i="7"/>
  <c r="G318" i="7"/>
  <c r="G315" i="7"/>
  <c r="G312" i="7"/>
  <c r="G309" i="7"/>
  <c r="G306" i="7"/>
  <c r="G303" i="7"/>
  <c r="G301" i="7"/>
  <c r="G298" i="7"/>
  <c r="G295" i="7"/>
  <c r="G292" i="7"/>
  <c r="G289" i="7"/>
  <c r="G286" i="7"/>
  <c r="G283" i="7"/>
  <c r="G280" i="7"/>
  <c r="G277" i="7"/>
  <c r="G274" i="7"/>
  <c r="G271" i="7"/>
  <c r="G268" i="7"/>
  <c r="G265" i="7"/>
  <c r="G262" i="7"/>
  <c r="G259" i="7"/>
  <c r="G256" i="7"/>
  <c r="G253" i="7"/>
  <c r="G250" i="7"/>
  <c r="G247" i="7"/>
  <c r="G244" i="7"/>
  <c r="G241" i="7"/>
  <c r="G238" i="7"/>
  <c r="G235" i="7"/>
  <c r="G232" i="7"/>
  <c r="G229" i="7"/>
  <c r="G226" i="7"/>
  <c r="G223" i="7"/>
  <c r="G220" i="7"/>
  <c r="G217" i="7"/>
  <c r="G214" i="7"/>
  <c r="G211" i="7"/>
  <c r="G208" i="7"/>
  <c r="G205" i="7"/>
  <c r="G202" i="7"/>
  <c r="G199" i="7"/>
  <c r="G196" i="7"/>
  <c r="G193" i="7"/>
  <c r="G190" i="7"/>
  <c r="G187" i="7"/>
  <c r="G184" i="7"/>
  <c r="G181" i="7"/>
  <c r="G178" i="7"/>
  <c r="G175" i="7"/>
  <c r="J236" i="7"/>
  <c r="J230" i="7"/>
  <c r="J227" i="7"/>
  <c r="J224" i="7"/>
  <c r="J221" i="7"/>
  <c r="J218" i="7"/>
  <c r="J215" i="7"/>
  <c r="J212" i="7"/>
  <c r="J209" i="7"/>
  <c r="J206" i="7"/>
  <c r="J332" i="7"/>
  <c r="J329" i="7"/>
  <c r="J326" i="7"/>
  <c r="J323" i="7"/>
  <c r="J320" i="7"/>
  <c r="J317" i="7"/>
  <c r="J314" i="7"/>
  <c r="J311" i="7"/>
  <c r="J308" i="7"/>
  <c r="J305" i="7"/>
  <c r="J302" i="7"/>
  <c r="J299" i="7"/>
  <c r="J296" i="7"/>
  <c r="J293" i="7"/>
  <c r="J290" i="7"/>
  <c r="J287" i="7"/>
  <c r="J284" i="7"/>
  <c r="J281" i="7"/>
  <c r="J278" i="7"/>
  <c r="J275" i="7"/>
  <c r="J272" i="7"/>
  <c r="J269" i="7"/>
  <c r="J266" i="7"/>
  <c r="J263" i="7"/>
  <c r="J260" i="7"/>
  <c r="J257" i="7"/>
  <c r="J254" i="7"/>
  <c r="J251" i="7"/>
  <c r="J248" i="7"/>
  <c r="J245" i="7"/>
  <c r="J242" i="7"/>
  <c r="J239" i="7"/>
  <c r="J233" i="7"/>
  <c r="J203" i="7"/>
  <c r="J200" i="7"/>
  <c r="J197" i="7"/>
  <c r="J194" i="7"/>
  <c r="J191" i="7"/>
  <c r="J188" i="7"/>
  <c r="J185" i="7"/>
  <c r="J182" i="7"/>
  <c r="J179" i="7"/>
  <c r="J176" i="7"/>
  <c r="I330" i="7"/>
  <c r="J325" i="7"/>
  <c r="I321" i="7"/>
  <c r="J316" i="7"/>
  <c r="I312" i="7"/>
  <c r="J307" i="7"/>
  <c r="I303" i="7"/>
  <c r="I301" i="7"/>
  <c r="J297" i="7"/>
  <c r="H329" i="7"/>
  <c r="H325" i="7"/>
  <c r="H320" i="7"/>
  <c r="H316" i="7"/>
  <c r="H311" i="7"/>
  <c r="H307" i="7"/>
  <c r="H302" i="7"/>
  <c r="H297" i="7"/>
  <c r="J331" i="7"/>
  <c r="H326" i="7"/>
  <c r="I320" i="7"/>
  <c r="I315" i="7"/>
  <c r="H310" i="7"/>
  <c r="J304" i="7"/>
  <c r="I291" i="7"/>
  <c r="I287" i="7"/>
  <c r="I282" i="7"/>
  <c r="I278" i="7"/>
  <c r="I273" i="7"/>
  <c r="I269" i="7"/>
  <c r="I264" i="7"/>
  <c r="I260" i="7"/>
  <c r="I255" i="7"/>
  <c r="I251" i="7"/>
  <c r="I246" i="7"/>
  <c r="I242" i="7"/>
  <c r="I237" i="7"/>
  <c r="I233" i="7"/>
  <c r="I228" i="7"/>
  <c r="I224" i="7"/>
  <c r="I219" i="7"/>
  <c r="I215" i="7"/>
  <c r="I210" i="7"/>
  <c r="I206" i="7"/>
  <c r="I201" i="7"/>
  <c r="I197" i="7"/>
  <c r="I192" i="7"/>
  <c r="I188" i="7"/>
  <c r="I183" i="7"/>
  <c r="I179" i="7"/>
  <c r="I174" i="7"/>
  <c r="I295" i="7"/>
  <c r="H251" i="7"/>
  <c r="H242" i="7"/>
  <c r="H237" i="7"/>
  <c r="H233" i="7"/>
  <c r="H224" i="7"/>
  <c r="H219" i="7"/>
  <c r="H210" i="7"/>
  <c r="H206" i="7"/>
  <c r="H201" i="7"/>
  <c r="H188" i="7"/>
  <c r="H179" i="7"/>
  <c r="I323" i="7"/>
  <c r="H252" i="7"/>
  <c r="H248" i="7"/>
  <c r="H243" i="7"/>
  <c r="H225" i="7"/>
  <c r="H203" i="7"/>
  <c r="H180" i="7"/>
  <c r="H176" i="7"/>
  <c r="J328" i="7"/>
  <c r="I307" i="7"/>
  <c r="G293" i="7"/>
  <c r="G275" i="7"/>
  <c r="G270" i="7"/>
  <c r="G243" i="7"/>
  <c r="G221" i="7"/>
  <c r="G216" i="7"/>
  <c r="G203" i="7"/>
  <c r="G194" i="7"/>
  <c r="H322" i="7"/>
  <c r="H305" i="7"/>
  <c r="H299" i="7"/>
  <c r="I297" i="7"/>
  <c r="G276" i="7"/>
  <c r="G240" i="7"/>
  <c r="G213" i="7"/>
  <c r="G204" i="7"/>
  <c r="J291" i="7"/>
  <c r="J282" i="7"/>
  <c r="I277" i="7"/>
  <c r="J264" i="7"/>
  <c r="I259" i="7"/>
  <c r="J255" i="7"/>
  <c r="I250" i="7"/>
  <c r="I241" i="7"/>
  <c r="I232" i="7"/>
  <c r="I196" i="7"/>
  <c r="J183" i="7"/>
  <c r="I331" i="7"/>
  <c r="G326" i="7"/>
  <c r="G320" i="7"/>
  <c r="I314" i="7"/>
  <c r="G310" i="7"/>
  <c r="I304" i="7"/>
  <c r="H291" i="7"/>
  <c r="H287" i="7"/>
  <c r="H282" i="7"/>
  <c r="H278" i="7"/>
  <c r="H273" i="7"/>
  <c r="H269" i="7"/>
  <c r="H264" i="7"/>
  <c r="H260" i="7"/>
  <c r="H255" i="7"/>
  <c r="H246" i="7"/>
  <c r="H228" i="7"/>
  <c r="H215" i="7"/>
  <c r="H197" i="7"/>
  <c r="H192" i="7"/>
  <c r="H183" i="7"/>
  <c r="H174" i="7"/>
  <c r="I313" i="7"/>
  <c r="H270" i="7"/>
  <c r="H266" i="7"/>
  <c r="H257" i="7"/>
  <c r="H239" i="7"/>
  <c r="H234" i="7"/>
  <c r="H212" i="7"/>
  <c r="H313" i="7"/>
  <c r="G266" i="7"/>
  <c r="G234" i="7"/>
  <c r="G230" i="7"/>
  <c r="G185" i="7"/>
  <c r="G176" i="7"/>
  <c r="G249" i="7"/>
  <c r="G222" i="7"/>
  <c r="G218" i="7"/>
  <c r="G209" i="7"/>
  <c r="G177" i="7"/>
  <c r="G297" i="7"/>
  <c r="J246" i="7"/>
  <c r="J219" i="7"/>
  <c r="J174" i="7"/>
  <c r="H331" i="7"/>
  <c r="I325" i="7"/>
  <c r="J319" i="7"/>
  <c r="H314" i="7"/>
  <c r="I309" i="7"/>
  <c r="H304" i="7"/>
  <c r="G291" i="7"/>
  <c r="G287" i="7"/>
  <c r="G282" i="7"/>
  <c r="G278" i="7"/>
  <c r="G273" i="7"/>
  <c r="G269" i="7"/>
  <c r="G264" i="7"/>
  <c r="G260" i="7"/>
  <c r="G255" i="7"/>
  <c r="G251" i="7"/>
  <c r="G246" i="7"/>
  <c r="G242" i="7"/>
  <c r="G237" i="7"/>
  <c r="G233" i="7"/>
  <c r="G228" i="7"/>
  <c r="G224" i="7"/>
  <c r="G219" i="7"/>
  <c r="G215" i="7"/>
  <c r="G210" i="7"/>
  <c r="G206" i="7"/>
  <c r="G201" i="7"/>
  <c r="G197" i="7"/>
  <c r="G192" i="7"/>
  <c r="G188" i="7"/>
  <c r="G183" i="7"/>
  <c r="G179" i="7"/>
  <c r="G174" i="7"/>
  <c r="H279" i="7"/>
  <c r="H207" i="7"/>
  <c r="H198" i="7"/>
  <c r="G252" i="7"/>
  <c r="G225" i="7"/>
  <c r="J310" i="7"/>
  <c r="G332" i="7"/>
  <c r="G322" i="7"/>
  <c r="I310" i="7"/>
  <c r="G305" i="7"/>
  <c r="J228" i="7"/>
  <c r="I214" i="7"/>
  <c r="I187" i="7"/>
  <c r="G331" i="7"/>
  <c r="G325" i="7"/>
  <c r="I319" i="7"/>
  <c r="G314" i="7"/>
  <c r="I308" i="7"/>
  <c r="G304" i="7"/>
  <c r="I292" i="7"/>
  <c r="J288" i="7"/>
  <c r="I283" i="7"/>
  <c r="J279" i="7"/>
  <c r="I274" i="7"/>
  <c r="J270" i="7"/>
  <c r="I265" i="7"/>
  <c r="J261" i="7"/>
  <c r="I256" i="7"/>
  <c r="J252" i="7"/>
  <c r="I247" i="7"/>
  <c r="J243" i="7"/>
  <c r="I238" i="7"/>
  <c r="J234" i="7"/>
  <c r="I229" i="7"/>
  <c r="J225" i="7"/>
  <c r="I220" i="7"/>
  <c r="J216" i="7"/>
  <c r="I211" i="7"/>
  <c r="J207" i="7"/>
  <c r="I202" i="7"/>
  <c r="J198" i="7"/>
  <c r="I193" i="7"/>
  <c r="J189" i="7"/>
  <c r="I184" i="7"/>
  <c r="J180" i="7"/>
  <c r="I175" i="7"/>
  <c r="I248" i="7"/>
  <c r="I243" i="7"/>
  <c r="I212" i="7"/>
  <c r="I207" i="7"/>
  <c r="I203" i="7"/>
  <c r="I194" i="7"/>
  <c r="I185" i="7"/>
  <c r="I180" i="7"/>
  <c r="G319" i="7"/>
  <c r="H293" i="7"/>
  <c r="H284" i="7"/>
  <c r="H275" i="7"/>
  <c r="H261" i="7"/>
  <c r="H221" i="7"/>
  <c r="H216" i="7"/>
  <c r="H194" i="7"/>
  <c r="I318" i="7"/>
  <c r="H300" i="7"/>
  <c r="G296" i="7"/>
  <c r="G279" i="7"/>
  <c r="G261" i="7"/>
  <c r="G257" i="7"/>
  <c r="G248" i="7"/>
  <c r="G212" i="7"/>
  <c r="H332" i="7"/>
  <c r="G272" i="7"/>
  <c r="G263" i="7"/>
  <c r="G258" i="7"/>
  <c r="G254" i="7"/>
  <c r="G245" i="7"/>
  <c r="G200" i="7"/>
  <c r="I329" i="7"/>
  <c r="I324" i="7"/>
  <c r="H319" i="7"/>
  <c r="J313" i="7"/>
  <c r="H308" i="7"/>
  <c r="I302" i="7"/>
  <c r="J300" i="7"/>
  <c r="I298" i="7"/>
  <c r="I296" i="7"/>
  <c r="I293" i="7"/>
  <c r="I288" i="7"/>
  <c r="I284" i="7"/>
  <c r="I279" i="7"/>
  <c r="I275" i="7"/>
  <c r="I270" i="7"/>
  <c r="I266" i="7"/>
  <c r="I261" i="7"/>
  <c r="I257" i="7"/>
  <c r="I252" i="7"/>
  <c r="I239" i="7"/>
  <c r="I234" i="7"/>
  <c r="I230" i="7"/>
  <c r="I225" i="7"/>
  <c r="I221" i="7"/>
  <c r="I216" i="7"/>
  <c r="I198" i="7"/>
  <c r="I189" i="7"/>
  <c r="I176" i="7"/>
  <c r="G329" i="7"/>
  <c r="G308" i="7"/>
  <c r="G302" i="7"/>
  <c r="I300" i="7"/>
  <c r="H296" i="7"/>
  <c r="H288" i="7"/>
  <c r="H230" i="7"/>
  <c r="H189" i="7"/>
  <c r="H185" i="7"/>
  <c r="H323" i="7"/>
  <c r="G288" i="7"/>
  <c r="G284" i="7"/>
  <c r="G239" i="7"/>
  <c r="G207" i="7"/>
  <c r="G198" i="7"/>
  <c r="G189" i="7"/>
  <c r="G180" i="7"/>
  <c r="I316" i="7"/>
  <c r="G290" i="7"/>
  <c r="G236" i="7"/>
  <c r="I326" i="7"/>
  <c r="I286" i="7"/>
  <c r="J192" i="7"/>
  <c r="I328" i="7"/>
  <c r="G323" i="7"/>
  <c r="I317" i="7"/>
  <c r="G313" i="7"/>
  <c r="G307" i="7"/>
  <c r="G300" i="7"/>
  <c r="J294" i="7"/>
  <c r="I289" i="7"/>
  <c r="J285" i="7"/>
  <c r="I280" i="7"/>
  <c r="J276" i="7"/>
  <c r="I271" i="7"/>
  <c r="J267" i="7"/>
  <c r="I262" i="7"/>
  <c r="J258" i="7"/>
  <c r="I253" i="7"/>
  <c r="J249" i="7"/>
  <c r="I244" i="7"/>
  <c r="J240" i="7"/>
  <c r="I235" i="7"/>
  <c r="J231" i="7"/>
  <c r="I226" i="7"/>
  <c r="J222" i="7"/>
  <c r="I217" i="7"/>
  <c r="J213" i="7"/>
  <c r="I208" i="7"/>
  <c r="J204" i="7"/>
  <c r="I199" i="7"/>
  <c r="J195" i="7"/>
  <c r="I190" i="7"/>
  <c r="J186" i="7"/>
  <c r="I181" i="7"/>
  <c r="J177" i="7"/>
  <c r="I332" i="7"/>
  <c r="I322" i="7"/>
  <c r="G311" i="7"/>
  <c r="I299" i="7"/>
  <c r="H294" i="7"/>
  <c r="H285" i="7"/>
  <c r="H272" i="7"/>
  <c r="H267" i="7"/>
  <c r="H258" i="7"/>
  <c r="H249" i="7"/>
  <c r="H240" i="7"/>
  <c r="H236" i="7"/>
  <c r="H231" i="7"/>
  <c r="H222" i="7"/>
  <c r="H213" i="7"/>
  <c r="H204" i="7"/>
  <c r="H191" i="7"/>
  <c r="H186" i="7"/>
  <c r="H182" i="7"/>
  <c r="H177" i="7"/>
  <c r="I327" i="7"/>
  <c r="G281" i="7"/>
  <c r="G267" i="7"/>
  <c r="G231" i="7"/>
  <c r="G227" i="7"/>
  <c r="G195" i="7"/>
  <c r="G186" i="7"/>
  <c r="G316" i="7"/>
  <c r="G299" i="7"/>
  <c r="I223" i="7"/>
  <c r="J201" i="7"/>
  <c r="I178" i="7"/>
  <c r="I333" i="7"/>
  <c r="H328" i="7"/>
  <c r="J322" i="7"/>
  <c r="H317" i="7"/>
  <c r="I311" i="7"/>
  <c r="I306" i="7"/>
  <c r="I294" i="7"/>
  <c r="I290" i="7"/>
  <c r="I285" i="7"/>
  <c r="I281" i="7"/>
  <c r="I276" i="7"/>
  <c r="I272" i="7"/>
  <c r="I267" i="7"/>
  <c r="I263" i="7"/>
  <c r="I258" i="7"/>
  <c r="I254" i="7"/>
  <c r="I249" i="7"/>
  <c r="I245" i="7"/>
  <c r="I240" i="7"/>
  <c r="I236" i="7"/>
  <c r="I231" i="7"/>
  <c r="I227" i="7"/>
  <c r="I222" i="7"/>
  <c r="I218" i="7"/>
  <c r="I213" i="7"/>
  <c r="I209" i="7"/>
  <c r="I204" i="7"/>
  <c r="I200" i="7"/>
  <c r="I195" i="7"/>
  <c r="I191" i="7"/>
  <c r="I186" i="7"/>
  <c r="I182" i="7"/>
  <c r="I177" i="7"/>
  <c r="G328" i="7"/>
  <c r="G317" i="7"/>
  <c r="I305" i="7"/>
  <c r="H290" i="7"/>
  <c r="H281" i="7"/>
  <c r="H276" i="7"/>
  <c r="H263" i="7"/>
  <c r="H254" i="7"/>
  <c r="H245" i="7"/>
  <c r="H227" i="7"/>
  <c r="H218" i="7"/>
  <c r="H209" i="7"/>
  <c r="H200" i="7"/>
  <c r="H195" i="7"/>
  <c r="G294" i="7"/>
  <c r="G285" i="7"/>
  <c r="G191" i="7"/>
  <c r="G182" i="7"/>
  <c r="J273" i="7"/>
  <c r="I268" i="7"/>
  <c r="J237" i="7"/>
  <c r="J210" i="7"/>
  <c r="I205" i="7"/>
  <c r="T92" i="7"/>
  <c r="S92" i="7"/>
  <c r="T110" i="7"/>
  <c r="S110" i="7"/>
  <c r="CD43" i="20"/>
  <c r="CD45" i="20" s="1"/>
  <c r="CR12" i="20" s="1"/>
  <c r="BM42" i="20"/>
  <c r="BM45" i="20" s="1"/>
  <c r="BP43" i="20" s="1"/>
  <c r="BD48" i="20"/>
  <c r="BA50" i="20"/>
  <c r="BD50" i="20" s="1"/>
  <c r="BT12" i="20"/>
  <c r="BT13" i="20" s="1"/>
  <c r="BZ11" i="20" s="1"/>
  <c r="BZ13" i="20" s="1"/>
  <c r="BZ15" i="20" s="1"/>
  <c r="CS6" i="20" s="1"/>
  <c r="BJ12" i="20"/>
  <c r="L102" i="19"/>
  <c r="L97" i="19"/>
  <c r="L110" i="19"/>
  <c r="L92" i="19"/>
  <c r="L105" i="19"/>
  <c r="L100" i="19"/>
  <c r="L87" i="19"/>
  <c r="L95" i="19"/>
  <c r="L90" i="19"/>
  <c r="L112" i="19"/>
  <c r="L107" i="19"/>
  <c r="L109" i="19"/>
  <c r="L111" i="19"/>
  <c r="L94" i="19"/>
  <c r="L106" i="19"/>
  <c r="L98" i="19"/>
  <c r="L89" i="19"/>
  <c r="L99" i="19"/>
  <c r="L93" i="19"/>
  <c r="L103" i="19"/>
  <c r="L91" i="19"/>
  <c r="L101" i="19"/>
  <c r="L108" i="19"/>
  <c r="L96" i="19"/>
  <c r="L88" i="19"/>
  <c r="L104" i="19"/>
  <c r="J465" i="11"/>
  <c r="J452" i="11"/>
  <c r="J447" i="11"/>
  <c r="J434" i="11"/>
  <c r="J460" i="11"/>
  <c r="J442" i="11"/>
  <c r="J468" i="11"/>
  <c r="J455" i="11"/>
  <c r="J450" i="11"/>
  <c r="J437" i="11"/>
  <c r="J432" i="11"/>
  <c r="J419" i="11"/>
  <c r="J414" i="11"/>
  <c r="J463" i="11"/>
  <c r="J445" i="11"/>
  <c r="J431" i="11"/>
  <c r="J422" i="11"/>
  <c r="J406" i="11"/>
  <c r="J401" i="11"/>
  <c r="J388" i="11"/>
  <c r="J383" i="11"/>
  <c r="J370" i="11"/>
  <c r="J365" i="11"/>
  <c r="J420" i="11"/>
  <c r="J378" i="11"/>
  <c r="J429" i="11"/>
  <c r="J413" i="11"/>
  <c r="J396" i="11"/>
  <c r="J427" i="11"/>
  <c r="J411" i="11"/>
  <c r="J404" i="11"/>
  <c r="J391" i="11"/>
  <c r="J386" i="11"/>
  <c r="J373" i="11"/>
  <c r="J368" i="11"/>
  <c r="J467" i="11"/>
  <c r="J462" i="11"/>
  <c r="J440" i="11"/>
  <c r="J438" i="11"/>
  <c r="J418" i="11"/>
  <c r="J409" i="11"/>
  <c r="J399" i="11"/>
  <c r="J381" i="11"/>
  <c r="J457" i="11"/>
  <c r="J436" i="11"/>
  <c r="J425" i="11"/>
  <c r="J394" i="11"/>
  <c r="J389" i="11"/>
  <c r="J376" i="11"/>
  <c r="J371" i="11"/>
  <c r="J453" i="11"/>
  <c r="J449" i="11"/>
  <c r="J398" i="11"/>
  <c r="J395" i="11"/>
  <c r="J392" i="11"/>
  <c r="J461" i="11"/>
  <c r="J412" i="11"/>
  <c r="J444" i="11"/>
  <c r="J430" i="11"/>
  <c r="J421" i="11"/>
  <c r="J456" i="11"/>
  <c r="J448" i="11"/>
  <c r="J415" i="11"/>
  <c r="J403" i="11"/>
  <c r="J400" i="11"/>
  <c r="J397" i="11"/>
  <c r="J375" i="11"/>
  <c r="J372" i="11"/>
  <c r="J369" i="11"/>
  <c r="J366" i="11"/>
  <c r="J439" i="11"/>
  <c r="J426" i="11"/>
  <c r="J435" i="11"/>
  <c r="J407" i="11"/>
  <c r="J385" i="11"/>
  <c r="J382" i="11"/>
  <c r="J379" i="11"/>
  <c r="J454" i="11"/>
  <c r="J446" i="11"/>
  <c r="J416" i="11"/>
  <c r="J433" i="11"/>
  <c r="J451" i="11"/>
  <c r="J441" i="11"/>
  <c r="J393" i="11"/>
  <c r="J387" i="11"/>
  <c r="J410" i="11"/>
  <c r="J459" i="11"/>
  <c r="J424" i="11"/>
  <c r="J417" i="11"/>
  <c r="J458" i="11"/>
  <c r="J423" i="11"/>
  <c r="J402" i="11"/>
  <c r="J380" i="11"/>
  <c r="J374" i="11"/>
  <c r="J390" i="11"/>
  <c r="J384" i="11"/>
  <c r="J408" i="11"/>
  <c r="J377" i="11"/>
  <c r="J428" i="11"/>
  <c r="J466" i="11"/>
  <c r="J367" i="11"/>
  <c r="J464" i="11"/>
  <c r="J443" i="11"/>
  <c r="J405" i="11"/>
  <c r="R135" i="20"/>
  <c r="U135" i="20" s="1"/>
  <c r="U133" i="20"/>
  <c r="AK115" i="21"/>
  <c r="AK44" i="21"/>
  <c r="AK40" i="21"/>
  <c r="AK37" i="21"/>
  <c r="AK27" i="21"/>
  <c r="AK45" i="21"/>
  <c r="AK39" i="21"/>
  <c r="AK30" i="21"/>
  <c r="AK43" i="21"/>
  <c r="AK42" i="21"/>
  <c r="AK38" i="21"/>
  <c r="AK29" i="21"/>
  <c r="AK28" i="21"/>
  <c r="BJ82" i="20"/>
  <c r="BT82" i="20"/>
  <c r="BT83" i="20" s="1"/>
  <c r="BZ81" i="20" s="1"/>
  <c r="BZ83" i="20" s="1"/>
  <c r="BZ85" i="20" s="1"/>
  <c r="CS20" i="20" s="1"/>
  <c r="E18" i="24"/>
  <c r="T133" i="7"/>
  <c r="S133" i="7"/>
  <c r="T98" i="7"/>
  <c r="S98" i="7"/>
  <c r="T134" i="7"/>
  <c r="S134" i="7"/>
  <c r="AC7" i="25"/>
  <c r="AC7" i="24"/>
  <c r="AC7" i="23"/>
  <c r="AJ7" i="23" s="1"/>
  <c r="J112" i="19"/>
  <c r="J94" i="19"/>
  <c r="J107" i="19"/>
  <c r="J102" i="19"/>
  <c r="J89" i="19"/>
  <c r="J97" i="19"/>
  <c r="J110" i="19"/>
  <c r="J105" i="19"/>
  <c r="J92" i="19"/>
  <c r="J87" i="19"/>
  <c r="J100" i="19"/>
  <c r="J88" i="19"/>
  <c r="J95" i="19"/>
  <c r="J90" i="19"/>
  <c r="J99" i="19"/>
  <c r="J91" i="19"/>
  <c r="J111" i="19"/>
  <c r="J103" i="19"/>
  <c r="J106" i="19"/>
  <c r="J98" i="19"/>
  <c r="J108" i="19"/>
  <c r="J93" i="19"/>
  <c r="J104" i="19"/>
  <c r="J96" i="19"/>
  <c r="J109" i="19"/>
  <c r="J101" i="19"/>
  <c r="H467" i="11"/>
  <c r="H464" i="11"/>
  <c r="H461" i="11"/>
  <c r="H458" i="11"/>
  <c r="H455" i="11"/>
  <c r="H452" i="11"/>
  <c r="H449" i="11"/>
  <c r="H446" i="11"/>
  <c r="H443" i="11"/>
  <c r="H440" i="11"/>
  <c r="H437" i="11"/>
  <c r="H434" i="11"/>
  <c r="H431" i="11"/>
  <c r="H428" i="11"/>
  <c r="H425" i="11"/>
  <c r="H422" i="11"/>
  <c r="H419" i="11"/>
  <c r="H416" i="11"/>
  <c r="H413" i="11"/>
  <c r="H410" i="11"/>
  <c r="H407" i="11"/>
  <c r="H462" i="11"/>
  <c r="H444" i="11"/>
  <c r="H457" i="11"/>
  <c r="H465" i="11"/>
  <c r="H447" i="11"/>
  <c r="H429" i="11"/>
  <c r="H411" i="11"/>
  <c r="H460" i="11"/>
  <c r="H442" i="11"/>
  <c r="H448" i="11"/>
  <c r="H433" i="11"/>
  <c r="H424" i="11"/>
  <c r="H408" i="11"/>
  <c r="H398" i="11"/>
  <c r="H380" i="11"/>
  <c r="H415" i="11"/>
  <c r="H388" i="11"/>
  <c r="H370" i="11"/>
  <c r="H450" i="11"/>
  <c r="H406" i="11"/>
  <c r="H393" i="11"/>
  <c r="H375" i="11"/>
  <c r="H445" i="11"/>
  <c r="H401" i="11"/>
  <c r="H383" i="11"/>
  <c r="H365" i="11"/>
  <c r="H420" i="11"/>
  <c r="H396" i="11"/>
  <c r="H391" i="11"/>
  <c r="H378" i="11"/>
  <c r="H373" i="11"/>
  <c r="H427" i="11"/>
  <c r="H404" i="11"/>
  <c r="H386" i="11"/>
  <c r="H368" i="11"/>
  <c r="H466" i="11"/>
  <c r="H390" i="11"/>
  <c r="H387" i="11"/>
  <c r="H384" i="11"/>
  <c r="H381" i="11"/>
  <c r="H441" i="11"/>
  <c r="H409" i="11"/>
  <c r="H453" i="11"/>
  <c r="H418" i="11"/>
  <c r="H395" i="11"/>
  <c r="H392" i="11"/>
  <c r="H389" i="11"/>
  <c r="H367" i="11"/>
  <c r="H412" i="11"/>
  <c r="H468" i="11"/>
  <c r="H432" i="11"/>
  <c r="H423" i="11"/>
  <c r="H405" i="11"/>
  <c r="H402" i="11"/>
  <c r="H399" i="11"/>
  <c r="H377" i="11"/>
  <c r="H374" i="11"/>
  <c r="H371" i="11"/>
  <c r="H459" i="11"/>
  <c r="H451" i="11"/>
  <c r="H439" i="11"/>
  <c r="H417" i="11"/>
  <c r="H463" i="11"/>
  <c r="H438" i="11"/>
  <c r="H426" i="11"/>
  <c r="H385" i="11"/>
  <c r="H382" i="11"/>
  <c r="H379" i="11"/>
  <c r="H376" i="11"/>
  <c r="H403" i="11"/>
  <c r="H397" i="11"/>
  <c r="H430" i="11"/>
  <c r="H369" i="11"/>
  <c r="H456" i="11"/>
  <c r="H394" i="11"/>
  <c r="H421" i="11"/>
  <c r="H366" i="11"/>
  <c r="H436" i="11"/>
  <c r="H435" i="11"/>
  <c r="H372" i="11"/>
  <c r="H414" i="11"/>
  <c r="H400" i="11"/>
  <c r="H454" i="11"/>
  <c r="AK87" i="20"/>
  <c r="AK88" i="20" s="1"/>
  <c r="AQ86" i="20" s="1"/>
  <c r="AQ88" i="20" s="1"/>
  <c r="AQ90" i="20" s="1"/>
  <c r="CP21" i="20" s="1"/>
  <c r="AA87" i="20"/>
  <c r="AE45" i="21"/>
  <c r="AE42" i="21"/>
  <c r="AE38" i="21"/>
  <c r="AE30" i="21"/>
  <c r="AE27" i="21"/>
  <c r="AE115" i="21"/>
  <c r="AE43" i="21"/>
  <c r="AE37" i="21"/>
  <c r="AE28" i="21"/>
  <c r="AE39" i="21"/>
  <c r="AE29" i="21"/>
  <c r="AE40" i="21"/>
  <c r="AE44" i="21"/>
  <c r="E34" i="21"/>
  <c r="AI35" i="21"/>
  <c r="AL24" i="21"/>
  <c r="AE34" i="21"/>
  <c r="AR10" i="24"/>
  <c r="AR10" i="25"/>
  <c r="AR10" i="23"/>
  <c r="CN36" i="20"/>
  <c r="CU5" i="20"/>
  <c r="CT5" i="20"/>
  <c r="BT112" i="20"/>
  <c r="BT113" i="20" s="1"/>
  <c r="BZ111" i="20" s="1"/>
  <c r="BZ113" i="20" s="1"/>
  <c r="BZ115" i="20" s="1"/>
  <c r="CS26" i="20" s="1"/>
  <c r="BJ112" i="20"/>
  <c r="T118" i="7"/>
  <c r="S118" i="7"/>
  <c r="T124" i="7"/>
  <c r="S124" i="7"/>
  <c r="T147" i="7"/>
  <c r="S147" i="7"/>
  <c r="BA70" i="20"/>
  <c r="BD70" i="20" s="1"/>
  <c r="BD68" i="20"/>
  <c r="AH5" i="25"/>
  <c r="AH5" i="24"/>
  <c r="AO5" i="24" s="1"/>
  <c r="AH5" i="23"/>
  <c r="AO5" i="23" s="1"/>
  <c r="AD9" i="23"/>
  <c r="AK9" i="23" s="1"/>
  <c r="AF9" i="23"/>
  <c r="AM9" i="23" s="1"/>
  <c r="AD9" i="24"/>
  <c r="AK9" i="24" s="1"/>
  <c r="P116" i="24" s="1"/>
  <c r="AF9" i="25"/>
  <c r="AM9" i="25" s="1"/>
  <c r="AF9" i="24"/>
  <c r="AM9" i="24" s="1"/>
  <c r="AD9" i="25"/>
  <c r="CU15" i="20"/>
  <c r="CT15" i="20"/>
  <c r="CU16" i="20"/>
  <c r="CT16" i="20"/>
  <c r="T143" i="7"/>
  <c r="S143" i="7"/>
  <c r="T97" i="7"/>
  <c r="S97" i="7"/>
  <c r="AE10" i="25"/>
  <c r="AG10" i="24"/>
  <c r="AN10" i="24" s="1"/>
  <c r="AE10" i="24"/>
  <c r="AL10" i="24" s="1"/>
  <c r="AE10" i="23"/>
  <c r="AL10" i="23" s="1"/>
  <c r="AG10" i="25"/>
  <c r="AN10" i="25" s="1"/>
  <c r="AG10" i="23"/>
  <c r="AN10" i="23" s="1"/>
  <c r="BM142" i="20"/>
  <c r="BM145" i="20" s="1"/>
  <c r="BP143" i="20" s="1"/>
  <c r="CD143" i="20"/>
  <c r="CD145" i="20" s="1"/>
  <c r="CR32" i="20" s="1"/>
  <c r="BJ127" i="20"/>
  <c r="BT127" i="20"/>
  <c r="BT128" i="20" s="1"/>
  <c r="BZ126" i="20" s="1"/>
  <c r="BZ128" i="20" s="1"/>
  <c r="BZ130" i="20" s="1"/>
  <c r="CS29" i="20" s="1"/>
  <c r="AA122" i="20"/>
  <c r="AK122" i="20"/>
  <c r="AK123" i="20" s="1"/>
  <c r="AQ121" i="20" s="1"/>
  <c r="AQ123" i="20" s="1"/>
  <c r="AQ125" i="20" s="1"/>
  <c r="CP28" i="20" s="1"/>
  <c r="AA8" i="25"/>
  <c r="AA8" i="23"/>
  <c r="AA8" i="24"/>
  <c r="AC6" i="25"/>
  <c r="AC6" i="24"/>
  <c r="AC6" i="23"/>
  <c r="AJ6" i="23" s="1"/>
  <c r="Q39" i="23"/>
  <c r="Q33" i="23"/>
  <c r="Q27" i="23"/>
  <c r="Q38" i="23"/>
  <c r="Q34" i="23"/>
  <c r="Q16" i="23"/>
  <c r="T16" i="23" s="1"/>
  <c r="Q26" i="23"/>
  <c r="Q13" i="23"/>
  <c r="T13" i="23" s="1"/>
  <c r="Q35" i="23"/>
  <c r="Q32" i="23"/>
  <c r="Q23" i="23"/>
  <c r="AR7" i="23"/>
  <c r="Q41" i="23"/>
  <c r="Q25" i="23"/>
  <c r="Q36" i="23"/>
  <c r="Q14" i="23"/>
  <c r="T14" i="23" s="1"/>
  <c r="Q30" i="23"/>
  <c r="Q24" i="23"/>
  <c r="Q22" i="23"/>
  <c r="Q31" i="23"/>
  <c r="AF5" i="25"/>
  <c r="AM5" i="25" s="1"/>
  <c r="AF5" i="24"/>
  <c r="AM5" i="24" s="1"/>
  <c r="AF5" i="23"/>
  <c r="AM5" i="23" s="1"/>
  <c r="AD5" i="23"/>
  <c r="AK5" i="23" s="1"/>
  <c r="AD5" i="25"/>
  <c r="AD5" i="24"/>
  <c r="AK5" i="24" s="1"/>
  <c r="E68" i="24" s="1"/>
  <c r="AA47" i="20"/>
  <c r="AK47" i="20"/>
  <c r="AK48" i="20" s="1"/>
  <c r="AQ46" i="20" s="1"/>
  <c r="AQ48" i="20" s="1"/>
  <c r="AQ50" i="20" s="1"/>
  <c r="CP13" i="20" s="1"/>
  <c r="AU138" i="20"/>
  <c r="AU140" i="20" s="1"/>
  <c r="CO31" i="20" s="1"/>
  <c r="AD137" i="20"/>
  <c r="AD140" i="20" s="1"/>
  <c r="AG138" i="20" s="1"/>
  <c r="AG5" i="24"/>
  <c r="AN5" i="24" s="1"/>
  <c r="AE5" i="23"/>
  <c r="AL5" i="23" s="1"/>
  <c r="AG5" i="23"/>
  <c r="AN5" i="23" s="1"/>
  <c r="AE5" i="25"/>
  <c r="AE5" i="24"/>
  <c r="AL5" i="24" s="1"/>
  <c r="AG5" i="25"/>
  <c r="AN5" i="25" s="1"/>
  <c r="AI7" i="25"/>
  <c r="AI7" i="24"/>
  <c r="AP7" i="24" s="1"/>
  <c r="AI7" i="23"/>
  <c r="AP7" i="23" s="1"/>
  <c r="AH9" i="25"/>
  <c r="AH9" i="24"/>
  <c r="AO9" i="24" s="1"/>
  <c r="AH9" i="23"/>
  <c r="AO9" i="23" s="1"/>
  <c r="CU12" i="20"/>
  <c r="CT12" i="20"/>
  <c r="BA60" i="20"/>
  <c r="BD60" i="20" s="1"/>
  <c r="BD58" i="20"/>
  <c r="U158" i="20"/>
  <c r="R160" i="20"/>
  <c r="U160" i="20" s="1"/>
  <c r="AB6" i="25"/>
  <c r="AB6" i="24"/>
  <c r="AB6" i="23"/>
  <c r="AQ6" i="23" s="1"/>
  <c r="U83" i="20"/>
  <c r="R85" i="20"/>
  <c r="U85" i="20" s="1"/>
  <c r="AD6" i="25"/>
  <c r="AF6" i="23"/>
  <c r="AM6" i="23" s="1"/>
  <c r="AF6" i="25"/>
  <c r="AM6" i="25" s="1"/>
  <c r="AD6" i="24"/>
  <c r="AK6" i="24" s="1"/>
  <c r="E116" i="24" s="1"/>
  <c r="AF6" i="24"/>
  <c r="AM6" i="24" s="1"/>
  <c r="AD6" i="23"/>
  <c r="AK6" i="23" s="1"/>
  <c r="R40" i="21"/>
  <c r="R37" i="21"/>
  <c r="R27" i="21"/>
  <c r="R115" i="21"/>
  <c r="R44" i="21"/>
  <c r="R38" i="21"/>
  <c r="R45" i="21"/>
  <c r="R29" i="21"/>
  <c r="R28" i="21"/>
  <c r="R30" i="21"/>
  <c r="R39" i="21"/>
  <c r="R43" i="21"/>
  <c r="R42" i="21"/>
  <c r="H115" i="21"/>
  <c r="H40" i="21"/>
  <c r="H39" i="21"/>
  <c r="H38" i="21"/>
  <c r="H29" i="21"/>
  <c r="H27" i="21"/>
  <c r="H43" i="21"/>
  <c r="H37" i="21"/>
  <c r="H44" i="21"/>
  <c r="H42" i="21"/>
  <c r="H28" i="21"/>
  <c r="H45" i="21"/>
  <c r="H30" i="21"/>
  <c r="Y115" i="21"/>
  <c r="Y44" i="21"/>
  <c r="Y40" i="21"/>
  <c r="Y38" i="21"/>
  <c r="Y29" i="21"/>
  <c r="Y42" i="21"/>
  <c r="Y39" i="21"/>
  <c r="Y28" i="21"/>
  <c r="Y43" i="21"/>
  <c r="Y37" i="21"/>
  <c r="Y30" i="21"/>
  <c r="Y45" i="21"/>
  <c r="Y27" i="21"/>
  <c r="K23" i="21"/>
  <c r="E33" i="21"/>
  <c r="M35" i="21"/>
  <c r="I32" i="21"/>
  <c r="Z24" i="21"/>
  <c r="AP24" i="21"/>
  <c r="AG22" i="21"/>
  <c r="AB22" i="21"/>
  <c r="T32" i="21"/>
  <c r="AK24" i="21"/>
  <c r="Y35" i="21"/>
  <c r="AK32" i="21"/>
  <c r="AH23" i="21"/>
  <c r="AK34" i="21"/>
  <c r="AF22" i="21"/>
  <c r="AK35" i="21"/>
  <c r="AM24" i="21"/>
  <c r="AD7" i="24"/>
  <c r="AK7" i="24" s="1"/>
  <c r="P18" i="24" s="1"/>
  <c r="AD7" i="25"/>
  <c r="AD7" i="23"/>
  <c r="AK7" i="23" s="1"/>
  <c r="AF7" i="24"/>
  <c r="AM7" i="24" s="1"/>
  <c r="Q22" i="24" s="1"/>
  <c r="AF7" i="25"/>
  <c r="AM7" i="25" s="1"/>
  <c r="Q16" i="25" s="1"/>
  <c r="AF7" i="23"/>
  <c r="AM7" i="23" s="1"/>
  <c r="Q37" i="23" s="1"/>
  <c r="E18" i="25"/>
  <c r="AK10" i="25"/>
  <c r="E16" i="25" s="1"/>
  <c r="AA12" i="20"/>
  <c r="AK12" i="20"/>
  <c r="AK13" i="20" s="1"/>
  <c r="AQ11" i="20" s="1"/>
  <c r="AQ13" i="20" s="1"/>
  <c r="AQ15" i="20" s="1"/>
  <c r="CP6" i="20" s="1"/>
  <c r="AC9" i="25"/>
  <c r="AC9" i="24"/>
  <c r="AC9" i="23"/>
  <c r="AJ9" i="23" s="1"/>
  <c r="U63" i="20"/>
  <c r="R65" i="20"/>
  <c r="U65" i="20" s="1"/>
  <c r="T145" i="7"/>
  <c r="S145" i="7"/>
  <c r="T115" i="7"/>
  <c r="S115" i="7"/>
  <c r="T137" i="7"/>
  <c r="S137" i="7"/>
  <c r="T94" i="7"/>
  <c r="S94" i="7"/>
  <c r="T136" i="7"/>
  <c r="S136" i="7"/>
  <c r="AK147" i="20"/>
  <c r="AK148" i="20" s="1"/>
  <c r="AQ146" i="20" s="1"/>
  <c r="AQ148" i="20" s="1"/>
  <c r="AQ150" i="20" s="1"/>
  <c r="CP33" i="20" s="1"/>
  <c r="AA147" i="20"/>
  <c r="CD33" i="20"/>
  <c r="CD35" i="20" s="1"/>
  <c r="CR10" i="20" s="1"/>
  <c r="BM32" i="20"/>
  <c r="BM35" i="20" s="1"/>
  <c r="BP33" i="20" s="1"/>
  <c r="AI5" i="24"/>
  <c r="AP5" i="24" s="1"/>
  <c r="AI5" i="23"/>
  <c r="AP5" i="23" s="1"/>
  <c r="AI5" i="25"/>
  <c r="C75" i="27"/>
  <c r="C77" i="27" s="1"/>
  <c r="C63" i="27"/>
  <c r="C68" i="27"/>
  <c r="C72" i="27" s="1" a="1"/>
  <c r="C72" i="27" s="1"/>
  <c r="R75" i="20"/>
  <c r="U75" i="20" s="1"/>
  <c r="U73" i="20"/>
  <c r="BA110" i="20"/>
  <c r="BD110" i="20" s="1"/>
  <c r="BD108" i="20"/>
  <c r="Q18" i="24"/>
  <c r="Q14" i="24"/>
  <c r="T14" i="24" s="1"/>
  <c r="AR7" i="24"/>
  <c r="Q19" i="24"/>
  <c r="Q13" i="24"/>
  <c r="T13" i="24" s="1"/>
  <c r="Q16" i="24"/>
  <c r="T16" i="24" s="1"/>
  <c r="Q15" i="24"/>
  <c r="T15" i="24" s="1"/>
  <c r="Q21" i="24"/>
  <c r="Q20" i="24"/>
  <c r="Q17" i="24"/>
  <c r="AD47" i="20"/>
  <c r="AD50" i="20" s="1"/>
  <c r="AG48" i="20" s="1"/>
  <c r="AU48" i="20"/>
  <c r="AU50" i="20" s="1"/>
  <c r="CO13" i="20" s="1"/>
  <c r="Y6" i="25"/>
  <c r="Y6" i="23"/>
  <c r="Y6" i="24"/>
  <c r="CU17" i="20"/>
  <c r="CT17" i="20"/>
  <c r="AC5" i="25"/>
  <c r="AC5" i="24"/>
  <c r="AC5" i="23"/>
  <c r="AJ5" i="23" s="1"/>
  <c r="CU20" i="20"/>
  <c r="CT20" i="20"/>
  <c r="CT8" i="20"/>
  <c r="CU8" i="20"/>
  <c r="F115" i="21"/>
  <c r="F42" i="21"/>
  <c r="F38" i="21"/>
  <c r="F43" i="21"/>
  <c r="F45" i="21"/>
  <c r="F30" i="21"/>
  <c r="F40" i="21"/>
  <c r="F29" i="21"/>
  <c r="F27" i="21"/>
  <c r="F39" i="21"/>
  <c r="F44" i="21"/>
  <c r="F28" i="21"/>
  <c r="F37" i="21"/>
  <c r="T44" i="21"/>
  <c r="T39" i="21"/>
  <c r="T30" i="21"/>
  <c r="T115" i="21"/>
  <c r="T42" i="21"/>
  <c r="T45" i="21"/>
  <c r="T28" i="21"/>
  <c r="T38" i="21"/>
  <c r="T43" i="21"/>
  <c r="T40" i="21"/>
  <c r="T27" i="21"/>
  <c r="T29" i="21"/>
  <c r="T37" i="21"/>
  <c r="AA115" i="21"/>
  <c r="AA43" i="21"/>
  <c r="AA39" i="21"/>
  <c r="AA28" i="21"/>
  <c r="AA42" i="21"/>
  <c r="AA30" i="21"/>
  <c r="AA45" i="21"/>
  <c r="AA29" i="21"/>
  <c r="AA44" i="21"/>
  <c r="AA27" i="21"/>
  <c r="AA38" i="21"/>
  <c r="AA37" i="21"/>
  <c r="AA40" i="21"/>
  <c r="P33" i="21"/>
  <c r="I24" i="21"/>
  <c r="F25" i="21"/>
  <c r="S32" i="21"/>
  <c r="L23" i="21"/>
  <c r="I34" i="21"/>
  <c r="AP23" i="21"/>
  <c r="AC24" i="21"/>
  <c r="AG23" i="21"/>
  <c r="AM25" i="21"/>
  <c r="AL23" i="21"/>
  <c r="AP33" i="21"/>
  <c r="X25" i="21"/>
  <c r="X32" i="21"/>
  <c r="AG33" i="21"/>
  <c r="AE22" i="21"/>
  <c r="AF23" i="21"/>
  <c r="P81" i="24" l="1"/>
  <c r="AT8" i="24"/>
  <c r="P78" i="24"/>
  <c r="P74" i="24"/>
  <c r="P82" i="24"/>
  <c r="P73" i="24"/>
  <c r="P77" i="24"/>
  <c r="AQ8" i="24"/>
  <c r="BT137" i="20"/>
  <c r="BT138" i="20" s="1"/>
  <c r="BZ136" i="20" s="1"/>
  <c r="BZ138" i="20" s="1"/>
  <c r="BZ140" i="20" s="1"/>
  <c r="CS31" i="20" s="1"/>
  <c r="BJ137" i="20"/>
  <c r="AA72" i="20"/>
  <c r="AK72" i="20"/>
  <c r="AK73" i="20" s="1"/>
  <c r="AQ71" i="20" s="1"/>
  <c r="AQ73" i="20" s="1"/>
  <c r="AQ75" i="20" s="1"/>
  <c r="CP18" i="20" s="1"/>
  <c r="AK7" i="25"/>
  <c r="P18" i="25"/>
  <c r="AL10" i="25"/>
  <c r="E17" i="25"/>
  <c r="AA92" i="20"/>
  <c r="AK92" i="20"/>
  <c r="AK93" i="20" s="1"/>
  <c r="AQ91" i="20" s="1"/>
  <c r="AQ93" i="20" s="1"/>
  <c r="AQ95" i="20" s="1"/>
  <c r="CP22" i="20" s="1"/>
  <c r="AO6" i="25"/>
  <c r="E93" i="23"/>
  <c r="E87" i="23"/>
  <c r="E81" i="23"/>
  <c r="E85" i="23"/>
  <c r="E97" i="23"/>
  <c r="E79" i="23"/>
  <c r="E89" i="23"/>
  <c r="E91" i="23"/>
  <c r="E95" i="23"/>
  <c r="E83" i="23"/>
  <c r="Q20" i="23"/>
  <c r="T20" i="23" s="1"/>
  <c r="Q15" i="23"/>
  <c r="T15" i="23" s="1"/>
  <c r="Q20" i="25"/>
  <c r="M138" i="21"/>
  <c r="M122" i="21"/>
  <c r="M136" i="21"/>
  <c r="M133" i="21"/>
  <c r="M131" i="21"/>
  <c r="M134" i="21"/>
  <c r="M124" i="21"/>
  <c r="M139" i="21"/>
  <c r="M123" i="21"/>
  <c r="M121" i="21"/>
  <c r="M137" i="21"/>
  <c r="M132" i="21"/>
  <c r="M128" i="21"/>
  <c r="M117" i="21"/>
  <c r="M119" i="21"/>
  <c r="M129" i="21"/>
  <c r="M116" i="21"/>
  <c r="M126" i="21"/>
  <c r="M118" i="21"/>
  <c r="M127" i="21"/>
  <c r="AN137" i="20"/>
  <c r="AN138" i="20" s="1"/>
  <c r="AQ137" i="20" s="1"/>
  <c r="AA140" i="20"/>
  <c r="AG137" i="20" s="1"/>
  <c r="AU128" i="20"/>
  <c r="AU130" i="20" s="1"/>
  <c r="CO29" i="20" s="1"/>
  <c r="AD127" i="20"/>
  <c r="AD130" i="20" s="1"/>
  <c r="AG128" i="20" s="1"/>
  <c r="W123" i="21"/>
  <c r="W134" i="21"/>
  <c r="W132" i="21"/>
  <c r="W121" i="21"/>
  <c r="W122" i="21"/>
  <c r="W137" i="21"/>
  <c r="W136" i="21"/>
  <c r="W133" i="21"/>
  <c r="W124" i="21"/>
  <c r="W139" i="21"/>
  <c r="W138" i="21"/>
  <c r="W131" i="21"/>
  <c r="W119" i="21"/>
  <c r="W126" i="21"/>
  <c r="W129" i="21"/>
  <c r="W128" i="21"/>
  <c r="W116" i="21"/>
  <c r="W127" i="21"/>
  <c r="W117" i="21"/>
  <c r="W118" i="21"/>
  <c r="P67" i="25"/>
  <c r="AL8" i="25"/>
  <c r="O138" i="21"/>
  <c r="O122" i="21"/>
  <c r="O134" i="21"/>
  <c r="O133" i="21"/>
  <c r="O131" i="21"/>
  <c r="O123" i="21"/>
  <c r="O139" i="21"/>
  <c r="O137" i="21"/>
  <c r="O121" i="21"/>
  <c r="O136" i="21"/>
  <c r="O132" i="21"/>
  <c r="O124" i="21"/>
  <c r="O127" i="21"/>
  <c r="O119" i="21"/>
  <c r="O128" i="21"/>
  <c r="O117" i="21"/>
  <c r="O116" i="21"/>
  <c r="O118" i="21"/>
  <c r="O126" i="21"/>
  <c r="O129" i="21"/>
  <c r="P68" i="24"/>
  <c r="P119" i="24"/>
  <c r="P120" i="24"/>
  <c r="P118" i="24"/>
  <c r="AQ10" i="25"/>
  <c r="E32" i="25"/>
  <c r="E28" i="25"/>
  <c r="E24" i="25"/>
  <c r="AT10" i="25"/>
  <c r="E27" i="25"/>
  <c r="E31" i="25"/>
  <c r="E23" i="25"/>
  <c r="AG131" i="21"/>
  <c r="AG123" i="21"/>
  <c r="AG139" i="21"/>
  <c r="AG137" i="21"/>
  <c r="AG124" i="21"/>
  <c r="AG133" i="21"/>
  <c r="AG138" i="21"/>
  <c r="AG134" i="21"/>
  <c r="AG136" i="21"/>
  <c r="AG121" i="21"/>
  <c r="AG132" i="21"/>
  <c r="AG122" i="21"/>
  <c r="AG119" i="21"/>
  <c r="AG128" i="21"/>
  <c r="AG126" i="21"/>
  <c r="AG129" i="21"/>
  <c r="AG118" i="21"/>
  <c r="AG116" i="21"/>
  <c r="AG127" i="21"/>
  <c r="AG117" i="21"/>
  <c r="AK52" i="20"/>
  <c r="AK53" i="20" s="1"/>
  <c r="AQ51" i="20" s="1"/>
  <c r="AQ53" i="20" s="1"/>
  <c r="AQ55" i="20" s="1"/>
  <c r="CP14" i="20" s="1"/>
  <c r="AA52" i="20"/>
  <c r="E22" i="25"/>
  <c r="E20" i="25"/>
  <c r="CD8" i="20"/>
  <c r="CD10" i="20" s="1"/>
  <c r="CR5" i="20" s="1"/>
  <c r="BM7" i="20"/>
  <c r="BM10" i="20" s="1"/>
  <c r="BP8" i="20" s="1"/>
  <c r="X137" i="21"/>
  <c r="X133" i="21"/>
  <c r="X132" i="21"/>
  <c r="X121" i="21"/>
  <c r="X138" i="21"/>
  <c r="X122" i="21"/>
  <c r="X136" i="21"/>
  <c r="X134" i="21"/>
  <c r="X124" i="21"/>
  <c r="X131" i="21"/>
  <c r="X123" i="21"/>
  <c r="X139" i="21"/>
  <c r="X119" i="21"/>
  <c r="X129" i="21"/>
  <c r="X127" i="21"/>
  <c r="X118" i="21"/>
  <c r="X128" i="21"/>
  <c r="X126" i="21"/>
  <c r="X117" i="21"/>
  <c r="X116" i="21"/>
  <c r="AU93" i="20"/>
  <c r="AU95" i="20" s="1"/>
  <c r="CO22" i="20" s="1"/>
  <c r="AD92" i="20"/>
  <c r="AD95" i="20" s="1"/>
  <c r="AG93" i="20" s="1"/>
  <c r="P140" i="23"/>
  <c r="P150" i="23"/>
  <c r="P134" i="23"/>
  <c r="P148" i="23"/>
  <c r="P146" i="23"/>
  <c r="P152" i="23"/>
  <c r="P142" i="23"/>
  <c r="P138" i="23"/>
  <c r="P136" i="23"/>
  <c r="P144" i="23"/>
  <c r="AD152" i="20"/>
  <c r="AD155" i="20" s="1"/>
  <c r="AG153" i="20" s="1"/>
  <c r="AU153" i="20"/>
  <c r="AU155" i="20" s="1"/>
  <c r="CO34" i="20" s="1"/>
  <c r="AK62" i="20"/>
  <c r="AK63" i="20" s="1"/>
  <c r="AQ61" i="20" s="1"/>
  <c r="AQ63" i="20" s="1"/>
  <c r="AQ65" i="20" s="1"/>
  <c r="CP16" i="20" s="1"/>
  <c r="AA62" i="20"/>
  <c r="P82" i="25"/>
  <c r="P78" i="25"/>
  <c r="P74" i="25"/>
  <c r="P81" i="25"/>
  <c r="P73" i="25"/>
  <c r="AT8" i="25"/>
  <c r="P77" i="25"/>
  <c r="AQ8" i="25"/>
  <c r="AL6" i="25"/>
  <c r="E115" i="25"/>
  <c r="AU73" i="20"/>
  <c r="AU75" i="20" s="1"/>
  <c r="CO18" i="20" s="1"/>
  <c r="AD72" i="20"/>
  <c r="AD75" i="20" s="1"/>
  <c r="AG73" i="20" s="1"/>
  <c r="AJ5" i="24"/>
  <c r="C78" i="27"/>
  <c r="C80" i="27" s="1"/>
  <c r="C82" i="27" s="1"/>
  <c r="AJ9" i="24"/>
  <c r="Q18" i="23"/>
  <c r="T18" i="23" s="1"/>
  <c r="AN122" i="20"/>
  <c r="AN123" i="20" s="1"/>
  <c r="AQ122" i="20" s="1"/>
  <c r="AA125" i="20"/>
  <c r="AG122" i="20" s="1"/>
  <c r="P153" i="23"/>
  <c r="P143" i="23"/>
  <c r="P147" i="23"/>
  <c r="P137" i="23"/>
  <c r="P151" i="23"/>
  <c r="P141" i="23"/>
  <c r="P145" i="23"/>
  <c r="P135" i="23"/>
  <c r="P139" i="23"/>
  <c r="P149" i="23"/>
  <c r="BJ115" i="20"/>
  <c r="BP112" i="20" s="1"/>
  <c r="BW112" i="20"/>
  <c r="BW113" i="20" s="1"/>
  <c r="BZ112" i="20" s="1"/>
  <c r="BW82" i="20"/>
  <c r="BW83" i="20" s="1"/>
  <c r="BZ82" i="20" s="1"/>
  <c r="BJ85" i="20"/>
  <c r="BP82" i="20" s="1"/>
  <c r="AA32" i="20"/>
  <c r="AK32" i="20"/>
  <c r="AK33" i="20" s="1"/>
  <c r="AQ31" i="20" s="1"/>
  <c r="AQ33" i="20" s="1"/>
  <c r="AQ35" i="20" s="1"/>
  <c r="CP10" i="20" s="1"/>
  <c r="AK127" i="20"/>
  <c r="AK128" i="20" s="1"/>
  <c r="AQ126" i="20" s="1"/>
  <c r="AQ128" i="20" s="1"/>
  <c r="AQ130" i="20" s="1"/>
  <c r="CP29" i="20" s="1"/>
  <c r="AA127" i="20"/>
  <c r="G124" i="21"/>
  <c r="G121" i="21"/>
  <c r="G134" i="21"/>
  <c r="G132" i="21"/>
  <c r="G137" i="21"/>
  <c r="G133" i="21"/>
  <c r="G122" i="21"/>
  <c r="G138" i="21"/>
  <c r="G123" i="21"/>
  <c r="G131" i="21"/>
  <c r="G136" i="21"/>
  <c r="G139" i="21"/>
  <c r="G118" i="21"/>
  <c r="G129" i="21"/>
  <c r="G127" i="21"/>
  <c r="G119" i="21"/>
  <c r="G117" i="21"/>
  <c r="G116" i="21"/>
  <c r="G128" i="21"/>
  <c r="G126" i="21"/>
  <c r="AL9" i="25"/>
  <c r="P115" i="25"/>
  <c r="P91" i="23"/>
  <c r="P97" i="23"/>
  <c r="P95" i="23"/>
  <c r="P85" i="23"/>
  <c r="P93" i="23"/>
  <c r="P87" i="23"/>
  <c r="P89" i="23"/>
  <c r="P79" i="23"/>
  <c r="P81" i="23"/>
  <c r="P83" i="23"/>
  <c r="CD103" i="20"/>
  <c r="CD105" i="20" s="1"/>
  <c r="CR24" i="20" s="1"/>
  <c r="BM102" i="20"/>
  <c r="BM105" i="20" s="1"/>
  <c r="BP103" i="20" s="1"/>
  <c r="AN139" i="21"/>
  <c r="AN136" i="21"/>
  <c r="AN132" i="21"/>
  <c r="AN137" i="21"/>
  <c r="AN121" i="21"/>
  <c r="AN138" i="21"/>
  <c r="AN133" i="21"/>
  <c r="AN134" i="21"/>
  <c r="AN124" i="21"/>
  <c r="AN122" i="21"/>
  <c r="AN131" i="21"/>
  <c r="AN123" i="21"/>
  <c r="AN129" i="21"/>
  <c r="AN116" i="21"/>
  <c r="AN128" i="21"/>
  <c r="AN126" i="21"/>
  <c r="AN117" i="21"/>
  <c r="AN127" i="21"/>
  <c r="AN119" i="21"/>
  <c r="AN118" i="21"/>
  <c r="Q95" i="23"/>
  <c r="T95" i="23" s="1"/>
  <c r="Q96" i="23"/>
  <c r="T96" i="23" s="1"/>
  <c r="Q90" i="23"/>
  <c r="T90" i="23" s="1"/>
  <c r="Q84" i="23"/>
  <c r="T84" i="23" s="1"/>
  <c r="Q78" i="23"/>
  <c r="T78" i="23" s="1"/>
  <c r="Q75" i="23"/>
  <c r="T75" i="23" s="1"/>
  <c r="Q72" i="23"/>
  <c r="T72" i="23" s="1"/>
  <c r="Q87" i="23"/>
  <c r="T87" i="23" s="1"/>
  <c r="Q94" i="23"/>
  <c r="T94" i="23" s="1"/>
  <c r="Q82" i="23"/>
  <c r="T82" i="23" s="1"/>
  <c r="Q79" i="23"/>
  <c r="T79" i="23" s="1"/>
  <c r="Q74" i="23"/>
  <c r="T74" i="23" s="1"/>
  <c r="Q85" i="23"/>
  <c r="T85" i="23" s="1"/>
  <c r="Q77" i="23"/>
  <c r="T77" i="23" s="1"/>
  <c r="Q93" i="23"/>
  <c r="T93" i="23" s="1"/>
  <c r="Q88" i="23"/>
  <c r="T88" i="23" s="1"/>
  <c r="Q73" i="23"/>
  <c r="T73" i="23" s="1"/>
  <c r="Q71" i="23"/>
  <c r="T71" i="23" s="1"/>
  <c r="Q80" i="23"/>
  <c r="T80" i="23" s="1"/>
  <c r="Q91" i="23"/>
  <c r="T91" i="23" s="1"/>
  <c r="Q83" i="23"/>
  <c r="T83" i="23" s="1"/>
  <c r="Q89" i="23"/>
  <c r="T89" i="23" s="1"/>
  <c r="Q86" i="23"/>
  <c r="T86" i="23" s="1"/>
  <c r="Q70" i="23"/>
  <c r="T70" i="23" s="1"/>
  <c r="Q97" i="23"/>
  <c r="T97" i="23" s="1"/>
  <c r="Q98" i="23"/>
  <c r="T98" i="23" s="1"/>
  <c r="Q92" i="23"/>
  <c r="T92" i="23" s="1"/>
  <c r="Q76" i="23"/>
  <c r="T76" i="23" s="1"/>
  <c r="Q81" i="23"/>
  <c r="T81" i="23" s="1"/>
  <c r="BT157" i="20"/>
  <c r="BT158" i="20" s="1"/>
  <c r="BZ156" i="20" s="1"/>
  <c r="BZ158" i="20" s="1"/>
  <c r="BZ160" i="20" s="1"/>
  <c r="CS35" i="20" s="1"/>
  <c r="BJ157" i="20"/>
  <c r="I142" i="23"/>
  <c r="AD52" i="20"/>
  <c r="AD55" i="20" s="1"/>
  <c r="AG53" i="20" s="1"/>
  <c r="AU53" i="20"/>
  <c r="AU55" i="20" s="1"/>
  <c r="CO14" i="20" s="1"/>
  <c r="AQ9" i="25"/>
  <c r="AT9" i="25"/>
  <c r="P125" i="25"/>
  <c r="P121" i="25"/>
  <c r="P130" i="25"/>
  <c r="P129" i="25"/>
  <c r="P126" i="25"/>
  <c r="P122" i="25"/>
  <c r="AA112" i="20"/>
  <c r="AK112" i="20"/>
  <c r="AK113" i="20" s="1"/>
  <c r="AQ111" i="20" s="1"/>
  <c r="AQ113" i="20" s="1"/>
  <c r="AQ115" i="20" s="1"/>
  <c r="CP26" i="20" s="1"/>
  <c r="AA57" i="20"/>
  <c r="AK57" i="20"/>
  <c r="AK58" i="20" s="1"/>
  <c r="AQ56" i="20" s="1"/>
  <c r="AQ58" i="20" s="1"/>
  <c r="AQ60" i="20" s="1"/>
  <c r="CP15" i="20" s="1"/>
  <c r="BM77" i="20"/>
  <c r="BM80" i="20" s="1"/>
  <c r="BP78" i="20" s="1"/>
  <c r="CD78" i="20"/>
  <c r="CD80" i="20" s="1"/>
  <c r="CR19" i="20" s="1"/>
  <c r="AA20" i="20"/>
  <c r="AG17" i="20" s="1"/>
  <c r="AN17" i="20"/>
  <c r="AN18" i="20" s="1"/>
  <c r="AQ17" i="20" s="1"/>
  <c r="CD58" i="20"/>
  <c r="CD60" i="20" s="1"/>
  <c r="CR15" i="20" s="1"/>
  <c r="BM57" i="20"/>
  <c r="BM60" i="20" s="1"/>
  <c r="BP58" i="20" s="1"/>
  <c r="R30" i="23"/>
  <c r="S30" i="23" s="1"/>
  <c r="R41" i="23"/>
  <c r="S41" i="23" s="1"/>
  <c r="R31" i="23"/>
  <c r="S31" i="23" s="1"/>
  <c r="R29" i="23"/>
  <c r="S29" i="23" s="1"/>
  <c r="R26" i="23"/>
  <c r="S26" i="23" s="1"/>
  <c r="R13" i="23"/>
  <c r="S13" i="23" s="1"/>
  <c r="R35" i="23"/>
  <c r="S35" i="23" s="1"/>
  <c r="R32" i="23"/>
  <c r="S32" i="23" s="1"/>
  <c r="R23" i="23"/>
  <c r="S23" i="23" s="1"/>
  <c r="R20" i="23"/>
  <c r="S20" i="23" s="1"/>
  <c r="R38" i="23"/>
  <c r="S38" i="23" s="1"/>
  <c r="R18" i="23"/>
  <c r="S18" i="23" s="1"/>
  <c r="R39" i="23"/>
  <c r="S39" i="23" s="1"/>
  <c r="R37" i="23"/>
  <c r="S37" i="23" s="1"/>
  <c r="R21" i="23"/>
  <c r="S21" i="23" s="1"/>
  <c r="R27" i="23"/>
  <c r="S27" i="23" s="1"/>
  <c r="R36" i="23"/>
  <c r="S36" i="23" s="1"/>
  <c r="R34" i="23"/>
  <c r="S34" i="23" s="1"/>
  <c r="R15" i="23"/>
  <c r="S15" i="23" s="1"/>
  <c r="R22" i="23"/>
  <c r="S22" i="23" s="1"/>
  <c r="R14" i="23"/>
  <c r="S14" i="23" s="1"/>
  <c r="R28" i="23"/>
  <c r="S28" i="23" s="1"/>
  <c r="R25" i="23"/>
  <c r="S25" i="23" s="1"/>
  <c r="R24" i="23"/>
  <c r="S24" i="23" s="1"/>
  <c r="R40" i="23"/>
  <c r="S40" i="23" s="1"/>
  <c r="R19" i="23"/>
  <c r="S19" i="23" s="1"/>
  <c r="R17" i="23"/>
  <c r="S17" i="23" s="1"/>
  <c r="R33" i="23"/>
  <c r="S33" i="23" s="1"/>
  <c r="R16" i="23"/>
  <c r="S16" i="23" s="1"/>
  <c r="P71" i="25"/>
  <c r="R31" i="25"/>
  <c r="S31" i="25" s="1"/>
  <c r="R27" i="25"/>
  <c r="S27" i="25" s="1"/>
  <c r="R23" i="25"/>
  <c r="S23" i="25" s="1"/>
  <c r="R17" i="25"/>
  <c r="S17" i="25" s="1"/>
  <c r="R28" i="25"/>
  <c r="S28" i="25" s="1"/>
  <c r="R19" i="25"/>
  <c r="S19" i="25" s="1"/>
  <c r="R13" i="25"/>
  <c r="S13" i="25" s="1"/>
  <c r="R16" i="25"/>
  <c r="S16" i="25" s="1"/>
  <c r="R20" i="25"/>
  <c r="S20" i="25" s="1"/>
  <c r="R22" i="25"/>
  <c r="S22" i="25" s="1"/>
  <c r="R24" i="25"/>
  <c r="S24" i="25" s="1"/>
  <c r="R14" i="25"/>
  <c r="S14" i="25" s="1"/>
  <c r="R15" i="25"/>
  <c r="S15" i="25" s="1"/>
  <c r="R21" i="25"/>
  <c r="S21" i="25" s="1"/>
  <c r="R18" i="25"/>
  <c r="S18" i="25" s="1"/>
  <c r="R32" i="25"/>
  <c r="S32" i="25" s="1"/>
  <c r="J138" i="21"/>
  <c r="J121" i="21"/>
  <c r="J136" i="21"/>
  <c r="J123" i="21"/>
  <c r="J132" i="21"/>
  <c r="J131" i="21"/>
  <c r="J124" i="21"/>
  <c r="J139" i="21"/>
  <c r="J137" i="21"/>
  <c r="J134" i="21"/>
  <c r="J122" i="21"/>
  <c r="J133" i="21"/>
  <c r="J117" i="21"/>
  <c r="J118" i="21"/>
  <c r="J129" i="21"/>
  <c r="J119" i="21"/>
  <c r="J126" i="21"/>
  <c r="J128" i="21"/>
  <c r="J116" i="21"/>
  <c r="J127" i="21"/>
  <c r="AH131" i="21"/>
  <c r="AH139" i="21"/>
  <c r="AH137" i="21"/>
  <c r="AH124" i="21"/>
  <c r="AH123" i="21"/>
  <c r="AH138" i="21"/>
  <c r="AH134" i="21"/>
  <c r="AH136" i="21"/>
  <c r="AH132" i="21"/>
  <c r="AH121" i="21"/>
  <c r="AH122" i="21"/>
  <c r="AH133" i="21"/>
  <c r="AH127" i="21"/>
  <c r="AH129" i="21"/>
  <c r="AH117" i="21"/>
  <c r="AH128" i="21"/>
  <c r="AH116" i="21"/>
  <c r="AH118" i="21"/>
  <c r="AH119" i="21"/>
  <c r="AH126" i="21"/>
  <c r="AT10" i="24"/>
  <c r="F24" i="24" s="1"/>
  <c r="E31" i="24"/>
  <c r="E24" i="24"/>
  <c r="E27" i="24"/>
  <c r="AQ10" i="24"/>
  <c r="E23" i="24"/>
  <c r="E32" i="24"/>
  <c r="E28" i="24"/>
  <c r="AJ5" i="25"/>
  <c r="G83" i="25"/>
  <c r="R31" i="24"/>
  <c r="S31" i="24" s="1"/>
  <c r="R32" i="24"/>
  <c r="S32" i="24" s="1"/>
  <c r="R27" i="24"/>
  <c r="S27" i="24" s="1"/>
  <c r="R22" i="24"/>
  <c r="S22" i="24" s="1"/>
  <c r="R19" i="24"/>
  <c r="S19" i="24" s="1"/>
  <c r="R28" i="24"/>
  <c r="S28" i="24" s="1"/>
  <c r="R18" i="24"/>
  <c r="S18" i="24" s="1"/>
  <c r="R13" i="24"/>
  <c r="S13" i="24" s="1"/>
  <c r="R24" i="24"/>
  <c r="S24" i="24" s="1"/>
  <c r="R15" i="24"/>
  <c r="S15" i="24" s="1"/>
  <c r="R16" i="24"/>
  <c r="S16" i="24" s="1"/>
  <c r="R20" i="24"/>
  <c r="S20" i="24" s="1"/>
  <c r="R14" i="24"/>
  <c r="S14" i="24" s="1"/>
  <c r="R21" i="24"/>
  <c r="S21" i="24" s="1"/>
  <c r="R23" i="24"/>
  <c r="S23" i="24" s="1"/>
  <c r="R17" i="24"/>
  <c r="S17" i="24" s="1"/>
  <c r="R127" i="25"/>
  <c r="S127" i="25" s="1"/>
  <c r="AJ9" i="25"/>
  <c r="AK6" i="25"/>
  <c r="E114" i="25" s="1"/>
  <c r="E116" i="25"/>
  <c r="T153" i="23"/>
  <c r="T137" i="23"/>
  <c r="T147" i="23"/>
  <c r="T149" i="23"/>
  <c r="Q17" i="23"/>
  <c r="T17" i="23" s="1"/>
  <c r="Q21" i="23"/>
  <c r="T21" i="23" s="1"/>
  <c r="I92" i="23"/>
  <c r="I84" i="23"/>
  <c r="AN87" i="20"/>
  <c r="AN88" i="20" s="1"/>
  <c r="AQ87" i="20" s="1"/>
  <c r="AA90" i="20"/>
  <c r="AG87" i="20" s="1"/>
  <c r="AK122" i="21"/>
  <c r="AK137" i="21"/>
  <c r="AK134" i="21"/>
  <c r="AK132" i="21"/>
  <c r="AK121" i="21"/>
  <c r="AK124" i="21"/>
  <c r="AK131" i="21"/>
  <c r="AK133" i="21"/>
  <c r="AK139" i="21"/>
  <c r="AK138" i="21"/>
  <c r="AK123" i="21"/>
  <c r="AK136" i="21"/>
  <c r="AK126" i="21"/>
  <c r="AK117" i="21"/>
  <c r="AK127" i="21"/>
  <c r="AK118" i="21"/>
  <c r="AK128" i="21"/>
  <c r="AK119" i="21"/>
  <c r="AK116" i="21"/>
  <c r="AK129" i="21"/>
  <c r="Q22" i="25"/>
  <c r="AD32" i="20"/>
  <c r="AD35" i="20" s="1"/>
  <c r="AG33" i="20" s="1"/>
  <c r="AU33" i="20"/>
  <c r="AU35" i="20" s="1"/>
  <c r="CO10" i="20" s="1"/>
  <c r="AP137" i="21"/>
  <c r="AP133" i="21"/>
  <c r="AP138" i="21"/>
  <c r="AP122" i="21"/>
  <c r="AP136" i="21"/>
  <c r="AP139" i="21"/>
  <c r="AP132" i="21"/>
  <c r="AP124" i="21"/>
  <c r="AP131" i="21"/>
  <c r="AP123" i="21"/>
  <c r="AP121" i="21"/>
  <c r="AP134" i="21"/>
  <c r="AP127" i="21"/>
  <c r="AP116" i="21"/>
  <c r="AP126" i="21"/>
  <c r="AP128" i="21"/>
  <c r="AP129" i="21"/>
  <c r="AP119" i="21"/>
  <c r="AP118" i="21"/>
  <c r="AP117" i="21"/>
  <c r="E118" i="24"/>
  <c r="E119" i="24"/>
  <c r="E120" i="24"/>
  <c r="BM37" i="20"/>
  <c r="BM40" i="20" s="1"/>
  <c r="BP38" i="20" s="1"/>
  <c r="CD38" i="20"/>
  <c r="CD40" i="20" s="1"/>
  <c r="CR11" i="20" s="1"/>
  <c r="BJ102" i="20"/>
  <c r="BT102" i="20"/>
  <c r="BT103" i="20" s="1"/>
  <c r="BZ101" i="20" s="1"/>
  <c r="BZ103" i="20" s="1"/>
  <c r="BZ105" i="20" s="1"/>
  <c r="CS24" i="20" s="1"/>
  <c r="Q81" i="24"/>
  <c r="Q77" i="24"/>
  <c r="Q73" i="24"/>
  <c r="Q67" i="24"/>
  <c r="T67" i="24" s="1"/>
  <c r="Q82" i="24"/>
  <c r="Q78" i="24"/>
  <c r="Q74" i="24"/>
  <c r="Q68" i="24"/>
  <c r="T68" i="24" s="1"/>
  <c r="Q65" i="24"/>
  <c r="T65" i="24" s="1"/>
  <c r="Q83" i="24"/>
  <c r="T83" i="24" s="1"/>
  <c r="Q71" i="24"/>
  <c r="T71" i="24" s="1"/>
  <c r="Q66" i="24"/>
  <c r="T66" i="24" s="1"/>
  <c r="Q76" i="24"/>
  <c r="T76" i="24" s="1"/>
  <c r="Q79" i="24"/>
  <c r="T79" i="24" s="1"/>
  <c r="Q70" i="24"/>
  <c r="T70" i="24" s="1"/>
  <c r="Q84" i="24"/>
  <c r="T84" i="24" s="1"/>
  <c r="Q75" i="24"/>
  <c r="T75" i="24" s="1"/>
  <c r="Q69" i="24"/>
  <c r="T69" i="24" s="1"/>
  <c r="Q64" i="24"/>
  <c r="T64" i="24" s="1"/>
  <c r="Q80" i="24"/>
  <c r="T80" i="24" s="1"/>
  <c r="Q63" i="24"/>
  <c r="T63" i="24" s="1"/>
  <c r="Q72" i="24"/>
  <c r="T72" i="24" s="1"/>
  <c r="E148" i="23"/>
  <c r="E142" i="23"/>
  <c r="E136" i="23"/>
  <c r="E152" i="23"/>
  <c r="E146" i="23"/>
  <c r="E150" i="23"/>
  <c r="E138" i="23"/>
  <c r="E140" i="23"/>
  <c r="E134" i="23"/>
  <c r="E144" i="23"/>
  <c r="P119" i="25"/>
  <c r="BM157" i="20"/>
  <c r="BM160" i="20" s="1"/>
  <c r="BP158" i="20" s="1"/>
  <c r="CD158" i="20"/>
  <c r="CD160" i="20" s="1"/>
  <c r="CR35" i="20" s="1"/>
  <c r="R98" i="23"/>
  <c r="S98" i="23" s="1"/>
  <c r="R91" i="23"/>
  <c r="S91" i="23" s="1"/>
  <c r="R95" i="23"/>
  <c r="S95" i="23" s="1"/>
  <c r="R83" i="23"/>
  <c r="S83" i="23" s="1"/>
  <c r="R79" i="23"/>
  <c r="S79" i="23" s="1"/>
  <c r="R76" i="23"/>
  <c r="S76" i="23" s="1"/>
  <c r="R92" i="23"/>
  <c r="S92" i="23" s="1"/>
  <c r="R89" i="23"/>
  <c r="S89" i="23" s="1"/>
  <c r="R93" i="23"/>
  <c r="S93" i="23" s="1"/>
  <c r="R88" i="23"/>
  <c r="S88" i="23" s="1"/>
  <c r="R75" i="23"/>
  <c r="S75" i="23" s="1"/>
  <c r="R73" i="23"/>
  <c r="S73" i="23" s="1"/>
  <c r="R71" i="23"/>
  <c r="S71" i="23" s="1"/>
  <c r="R80" i="23"/>
  <c r="S80" i="23" s="1"/>
  <c r="R86" i="23"/>
  <c r="S86" i="23" s="1"/>
  <c r="R97" i="23"/>
  <c r="S97" i="23" s="1"/>
  <c r="R74" i="23"/>
  <c r="S74" i="23" s="1"/>
  <c r="R96" i="23"/>
  <c r="S96" i="23" s="1"/>
  <c r="R90" i="23"/>
  <c r="S90" i="23" s="1"/>
  <c r="R70" i="23"/>
  <c r="S70" i="23" s="1"/>
  <c r="R82" i="23"/>
  <c r="S82" i="23" s="1"/>
  <c r="R81" i="23"/>
  <c r="S81" i="23" s="1"/>
  <c r="R78" i="23"/>
  <c r="S78" i="23" s="1"/>
  <c r="R87" i="23"/>
  <c r="S87" i="23" s="1"/>
  <c r="R85" i="23"/>
  <c r="S85" i="23" s="1"/>
  <c r="R72" i="23"/>
  <c r="S72" i="23" s="1"/>
  <c r="R84" i="23"/>
  <c r="S84" i="23" s="1"/>
  <c r="R77" i="23"/>
  <c r="S77" i="23" s="1"/>
  <c r="R94" i="23"/>
  <c r="S94" i="23" s="1"/>
  <c r="AM122" i="21"/>
  <c r="AM138" i="21"/>
  <c r="AM132" i="21"/>
  <c r="AM121" i="21"/>
  <c r="AM134" i="21"/>
  <c r="AM131" i="21"/>
  <c r="AM136" i="21"/>
  <c r="AM139" i="21"/>
  <c r="AM133" i="21"/>
  <c r="AM124" i="21"/>
  <c r="AM123" i="21"/>
  <c r="AM137" i="21"/>
  <c r="AM129" i="21"/>
  <c r="AM116" i="21"/>
  <c r="AM118" i="21"/>
  <c r="AM117" i="21"/>
  <c r="AM119" i="21"/>
  <c r="AM127" i="21"/>
  <c r="AM126" i="21"/>
  <c r="AM128" i="21"/>
  <c r="Q115" i="24"/>
  <c r="Q116" i="24"/>
  <c r="T116" i="24" s="1"/>
  <c r="Q112" i="24"/>
  <c r="T112" i="24" s="1"/>
  <c r="Q117" i="24"/>
  <c r="Q119" i="24"/>
  <c r="T119" i="24" s="1"/>
  <c r="Q113" i="24"/>
  <c r="T113" i="24" s="1"/>
  <c r="Q111" i="24"/>
  <c r="T111" i="24" s="1"/>
  <c r="Q120" i="24"/>
  <c r="Q118" i="24"/>
  <c r="Q114" i="24"/>
  <c r="T114" i="24" s="1"/>
  <c r="AR9" i="24"/>
  <c r="AN102" i="20"/>
  <c r="AN103" i="20" s="1"/>
  <c r="AQ102" i="20" s="1"/>
  <c r="AA105" i="20"/>
  <c r="AG102" i="20" s="1"/>
  <c r="AD112" i="20"/>
  <c r="AD115" i="20" s="1"/>
  <c r="AG113" i="20" s="1"/>
  <c r="AU113" i="20"/>
  <c r="AU115" i="20" s="1"/>
  <c r="CO26" i="20" s="1"/>
  <c r="AD57" i="20"/>
  <c r="AD60" i="20" s="1"/>
  <c r="AG58" i="20" s="1"/>
  <c r="AU58" i="20"/>
  <c r="AU60" i="20" s="1"/>
  <c r="CO15" i="20" s="1"/>
  <c r="BJ77" i="20"/>
  <c r="BT77" i="20"/>
  <c r="BT78" i="20" s="1"/>
  <c r="BZ76" i="20" s="1"/>
  <c r="BZ78" i="20" s="1"/>
  <c r="BZ80" i="20" s="1"/>
  <c r="CS19" i="20" s="1"/>
  <c r="AI123" i="21"/>
  <c r="AI139" i="21"/>
  <c r="AI137" i="21"/>
  <c r="AI124" i="21"/>
  <c r="AI134" i="21"/>
  <c r="AI138" i="21"/>
  <c r="AI121" i="21"/>
  <c r="AI133" i="21"/>
  <c r="AI132" i="21"/>
  <c r="AI131" i="21"/>
  <c r="AI122" i="21"/>
  <c r="AI136" i="21"/>
  <c r="AI119" i="21"/>
  <c r="AI128" i="21"/>
  <c r="AI116" i="21"/>
  <c r="AI126" i="21"/>
  <c r="AI117" i="21"/>
  <c r="AI129" i="21"/>
  <c r="AI127" i="21"/>
  <c r="AI118" i="21"/>
  <c r="AL139" i="21"/>
  <c r="AL134" i="21"/>
  <c r="AL132" i="21"/>
  <c r="AL121" i="21"/>
  <c r="AL131" i="21"/>
  <c r="AL136" i="21"/>
  <c r="AL122" i="21"/>
  <c r="AL133" i="21"/>
  <c r="AL138" i="21"/>
  <c r="AL137" i="21"/>
  <c r="AL124" i="21"/>
  <c r="AL123" i="21"/>
  <c r="AL126" i="21"/>
  <c r="AL119" i="21"/>
  <c r="AL129" i="21"/>
  <c r="AL128" i="21"/>
  <c r="AL116" i="21"/>
  <c r="AL127" i="21"/>
  <c r="AL117" i="21"/>
  <c r="AL118" i="21"/>
  <c r="BJ152" i="20"/>
  <c r="BT152" i="20"/>
  <c r="BT153" i="20" s="1"/>
  <c r="BZ151" i="20" s="1"/>
  <c r="BZ153" i="20" s="1"/>
  <c r="BZ155" i="20" s="1"/>
  <c r="CS34" i="20" s="1"/>
  <c r="U123" i="21"/>
  <c r="U137" i="21"/>
  <c r="U124" i="21"/>
  <c r="U134" i="21"/>
  <c r="U132" i="21"/>
  <c r="U139" i="21"/>
  <c r="U136" i="21"/>
  <c r="U121" i="21"/>
  <c r="U138" i="21"/>
  <c r="U131" i="21"/>
  <c r="U122" i="21"/>
  <c r="U133" i="21"/>
  <c r="U118" i="21"/>
  <c r="U119" i="21"/>
  <c r="U117" i="21"/>
  <c r="U128" i="21"/>
  <c r="U116" i="21"/>
  <c r="U126" i="21"/>
  <c r="U127" i="21"/>
  <c r="U129" i="21"/>
  <c r="AP6" i="25"/>
  <c r="R82" i="24"/>
  <c r="S82" i="24" s="1"/>
  <c r="R78" i="24"/>
  <c r="S78" i="24" s="1"/>
  <c r="R81" i="24"/>
  <c r="S81" i="24" s="1"/>
  <c r="R77" i="24"/>
  <c r="S77" i="24" s="1"/>
  <c r="R72" i="24"/>
  <c r="S72" i="24" s="1"/>
  <c r="R69" i="24"/>
  <c r="S69" i="24" s="1"/>
  <c r="R74" i="24"/>
  <c r="S74" i="24" s="1"/>
  <c r="R70" i="24"/>
  <c r="S70" i="24" s="1"/>
  <c r="R65" i="24"/>
  <c r="S65" i="24" s="1"/>
  <c r="R63" i="24"/>
  <c r="S63" i="24" s="1"/>
  <c r="R71" i="24"/>
  <c r="S71" i="24" s="1"/>
  <c r="R66" i="24"/>
  <c r="S66" i="24" s="1"/>
  <c r="R68" i="24"/>
  <c r="S68" i="24" s="1"/>
  <c r="R73" i="24"/>
  <c r="S73" i="24" s="1"/>
  <c r="R64" i="24"/>
  <c r="S64" i="24" s="1"/>
  <c r="R67" i="24"/>
  <c r="S67" i="24" s="1"/>
  <c r="BJ92" i="20"/>
  <c r="BT92" i="20"/>
  <c r="BT93" i="20" s="1"/>
  <c r="BZ91" i="20" s="1"/>
  <c r="BZ93" i="20" s="1"/>
  <c r="BZ95" i="20" s="1"/>
  <c r="CS22" i="20" s="1"/>
  <c r="Q150" i="23"/>
  <c r="Q144" i="23"/>
  <c r="T144" i="23" s="1"/>
  <c r="Q138" i="23"/>
  <c r="T138" i="23" s="1"/>
  <c r="Q151" i="23"/>
  <c r="T151" i="23" s="1"/>
  <c r="Q145" i="23"/>
  <c r="T145" i="23" s="1"/>
  <c r="Q139" i="23"/>
  <c r="T139" i="23" s="1"/>
  <c r="Q133" i="23"/>
  <c r="T133" i="23" s="1"/>
  <c r="Q130" i="23"/>
  <c r="T130" i="23" s="1"/>
  <c r="Q127" i="23"/>
  <c r="T127" i="23" s="1"/>
  <c r="Q147" i="23"/>
  <c r="Q137" i="23"/>
  <c r="Q134" i="23"/>
  <c r="T134" i="23" s="1"/>
  <c r="Q132" i="23"/>
  <c r="T132" i="23" s="1"/>
  <c r="Q140" i="23"/>
  <c r="T140" i="23" s="1"/>
  <c r="Q135" i="23"/>
  <c r="T135" i="23" s="1"/>
  <c r="Q148" i="23"/>
  <c r="T148" i="23" s="1"/>
  <c r="Q142" i="23"/>
  <c r="AR9" i="23"/>
  <c r="Q146" i="23"/>
  <c r="T146" i="23" s="1"/>
  <c r="Q141" i="23"/>
  <c r="T141" i="23" s="1"/>
  <c r="Q153" i="23"/>
  <c r="Q149" i="23"/>
  <c r="Q129" i="23"/>
  <c r="T129" i="23" s="1"/>
  <c r="Q152" i="23"/>
  <c r="Q128" i="23"/>
  <c r="T128" i="23" s="1"/>
  <c r="Q125" i="23"/>
  <c r="T125" i="23" s="1"/>
  <c r="Q136" i="23"/>
  <c r="T136" i="23" s="1"/>
  <c r="Q143" i="23"/>
  <c r="T143" i="23" s="1"/>
  <c r="Q131" i="23"/>
  <c r="T131" i="23" s="1"/>
  <c r="Q126" i="23"/>
  <c r="T126" i="23" s="1"/>
  <c r="T39" i="23"/>
  <c r="T35" i="23"/>
  <c r="T41" i="23"/>
  <c r="T27" i="23"/>
  <c r="T25" i="23"/>
  <c r="T23" i="23"/>
  <c r="T31" i="23"/>
  <c r="T33" i="23"/>
  <c r="T37" i="23"/>
  <c r="T142" i="23"/>
  <c r="T150" i="23"/>
  <c r="T152" i="23"/>
  <c r="AD62" i="20"/>
  <c r="AD65" i="20" s="1"/>
  <c r="AG63" i="20" s="1"/>
  <c r="AU63" i="20"/>
  <c r="AU65" i="20" s="1"/>
  <c r="CO16" i="20" s="1"/>
  <c r="AD136" i="21"/>
  <c r="AD134" i="21"/>
  <c r="AD132" i="21"/>
  <c r="AD131" i="21"/>
  <c r="AD122" i="21"/>
  <c r="AD133" i="21"/>
  <c r="AD123" i="21"/>
  <c r="AD124" i="21"/>
  <c r="AD139" i="21"/>
  <c r="AD137" i="21"/>
  <c r="AD121" i="21"/>
  <c r="AD138" i="21"/>
  <c r="AD126" i="21"/>
  <c r="AD127" i="21"/>
  <c r="AD118" i="21"/>
  <c r="AD119" i="21"/>
  <c r="AD129" i="21"/>
  <c r="AD128" i="21"/>
  <c r="AD117" i="21"/>
  <c r="AD116" i="21"/>
  <c r="T66" i="25"/>
  <c r="T72" i="25"/>
  <c r="CT36" i="20"/>
  <c r="R34" i="24"/>
  <c r="S34" i="24" s="1"/>
  <c r="R25" i="24"/>
  <c r="S25" i="24" s="1"/>
  <c r="R29" i="24"/>
  <c r="S29" i="24" s="1"/>
  <c r="AJ7" i="24"/>
  <c r="R26" i="24"/>
  <c r="S26" i="24" s="1"/>
  <c r="R30" i="24"/>
  <c r="S30" i="24" s="1"/>
  <c r="R33" i="24"/>
  <c r="S33" i="24" s="1"/>
  <c r="E120" i="25"/>
  <c r="E119" i="25"/>
  <c r="BJ37" i="20"/>
  <c r="BT37" i="20"/>
  <c r="BT38" i="20" s="1"/>
  <c r="BZ36" i="20" s="1"/>
  <c r="BZ38" i="20" s="1"/>
  <c r="BZ40" i="20" s="1"/>
  <c r="CS11" i="20" s="1"/>
  <c r="Q81" i="25"/>
  <c r="Q77" i="25"/>
  <c r="Q73" i="25"/>
  <c r="Q67" i="25"/>
  <c r="T67" i="25" s="1"/>
  <c r="Q70" i="25"/>
  <c r="T70" i="25" s="1"/>
  <c r="Q84" i="25"/>
  <c r="T84" i="25" s="1"/>
  <c r="Q79" i="25"/>
  <c r="T79" i="25" s="1"/>
  <c r="Q76" i="25"/>
  <c r="T76" i="25" s="1"/>
  <c r="Q64" i="25"/>
  <c r="T64" i="25" s="1"/>
  <c r="Q71" i="25"/>
  <c r="T71" i="25" s="1"/>
  <c r="Q82" i="25"/>
  <c r="Q80" i="25"/>
  <c r="T80" i="25" s="1"/>
  <c r="Q75" i="25"/>
  <c r="T75" i="25" s="1"/>
  <c r="Q68" i="25"/>
  <c r="T68" i="25" s="1"/>
  <c r="Q63" i="25"/>
  <c r="T63" i="25" s="1"/>
  <c r="Q66" i="25"/>
  <c r="Q74" i="25"/>
  <c r="Q69" i="25"/>
  <c r="T69" i="25" s="1"/>
  <c r="Q72" i="25"/>
  <c r="Q65" i="25"/>
  <c r="T65" i="25" s="1"/>
  <c r="Q83" i="25"/>
  <c r="T83" i="25" s="1"/>
  <c r="Q78" i="25"/>
  <c r="AN12" i="20"/>
  <c r="AN13" i="20" s="1"/>
  <c r="AQ12" i="20" s="1"/>
  <c r="AA15" i="20"/>
  <c r="AG12" i="20" s="1"/>
  <c r="AA82" i="20"/>
  <c r="AK82" i="20"/>
  <c r="AK83" i="20" s="1"/>
  <c r="AQ81" i="20" s="1"/>
  <c r="AQ83" i="20" s="1"/>
  <c r="AQ85" i="20" s="1"/>
  <c r="CP20" i="20" s="1"/>
  <c r="T116" i="25"/>
  <c r="AO9" i="25"/>
  <c r="AO5" i="25"/>
  <c r="CU36" i="20"/>
  <c r="R33" i="25"/>
  <c r="S33" i="25" s="1"/>
  <c r="R25" i="25"/>
  <c r="S25" i="25" s="1"/>
  <c r="R26" i="25"/>
  <c r="S26" i="25" s="1"/>
  <c r="AJ7" i="25"/>
  <c r="R30" i="25"/>
  <c r="S30" i="25" s="1"/>
  <c r="R29" i="25"/>
  <c r="S29" i="25" s="1"/>
  <c r="R34" i="25"/>
  <c r="S34" i="25" s="1"/>
  <c r="AD132" i="20"/>
  <c r="AD135" i="20" s="1"/>
  <c r="AG133" i="20" s="1"/>
  <c r="AU133" i="20"/>
  <c r="AU135" i="20" s="1"/>
  <c r="CO30" i="20" s="1"/>
  <c r="Q17" i="25"/>
  <c r="E70" i="24"/>
  <c r="E71" i="24"/>
  <c r="E72" i="24"/>
  <c r="E78" i="25"/>
  <c r="P51" i="27" s="1"/>
  <c r="E81" i="25"/>
  <c r="P54" i="27" s="1"/>
  <c r="E73" i="25"/>
  <c r="P46" i="27" s="1"/>
  <c r="AQ5" i="25"/>
  <c r="E77" i="25"/>
  <c r="P50" i="27" s="1"/>
  <c r="AT5" i="25"/>
  <c r="E82" i="25"/>
  <c r="P55" i="27" s="1"/>
  <c r="E74" i="25"/>
  <c r="P47" i="27" s="1"/>
  <c r="CD98" i="20"/>
  <c r="CD100" i="20" s="1"/>
  <c r="CR23" i="20" s="1"/>
  <c r="BM97" i="20"/>
  <c r="BM100" i="20" s="1"/>
  <c r="BP98" i="20" s="1"/>
  <c r="CD153" i="20"/>
  <c r="CD155" i="20" s="1"/>
  <c r="CR34" i="20" s="1"/>
  <c r="BM152" i="20"/>
  <c r="BM155" i="20" s="1"/>
  <c r="BP153" i="20" s="1"/>
  <c r="AJ137" i="21"/>
  <c r="AJ133" i="21"/>
  <c r="AJ124" i="21"/>
  <c r="AJ134" i="21"/>
  <c r="AJ132" i="21"/>
  <c r="AJ131" i="21"/>
  <c r="AJ139" i="21"/>
  <c r="AJ138" i="21"/>
  <c r="AJ123" i="21"/>
  <c r="AJ122" i="21"/>
  <c r="AJ136" i="21"/>
  <c r="AJ121" i="21"/>
  <c r="AJ129" i="21"/>
  <c r="AJ126" i="21"/>
  <c r="AJ128" i="21"/>
  <c r="AJ127" i="21"/>
  <c r="AJ116" i="21"/>
  <c r="AJ119" i="21"/>
  <c r="AJ118" i="21"/>
  <c r="AJ117" i="21"/>
  <c r="R69" i="25"/>
  <c r="S69" i="25" s="1"/>
  <c r="R67" i="25"/>
  <c r="S67" i="25" s="1"/>
  <c r="R64" i="25"/>
  <c r="S64" i="25" s="1"/>
  <c r="R82" i="25"/>
  <c r="S82" i="25" s="1"/>
  <c r="R74" i="25"/>
  <c r="S74" i="25" s="1"/>
  <c r="R68" i="25"/>
  <c r="S68" i="25" s="1"/>
  <c r="R73" i="25"/>
  <c r="S73" i="25" s="1"/>
  <c r="R77" i="25"/>
  <c r="S77" i="25" s="1"/>
  <c r="R66" i="25"/>
  <c r="S66" i="25" s="1"/>
  <c r="R72" i="25"/>
  <c r="S72" i="25" s="1"/>
  <c r="R70" i="25"/>
  <c r="S70" i="25" s="1"/>
  <c r="R65" i="25"/>
  <c r="S65" i="25" s="1"/>
  <c r="R81" i="25"/>
  <c r="S81" i="25" s="1"/>
  <c r="R78" i="25"/>
  <c r="S78" i="25" s="1"/>
  <c r="R71" i="25"/>
  <c r="S71" i="25" s="1"/>
  <c r="R63" i="25"/>
  <c r="S63" i="25" s="1"/>
  <c r="AK37" i="20"/>
  <c r="AK38" i="20" s="1"/>
  <c r="AQ36" i="20" s="1"/>
  <c r="AQ38" i="20" s="1"/>
  <c r="AQ40" i="20" s="1"/>
  <c r="CP11" i="20" s="1"/>
  <c r="AA37" i="20"/>
  <c r="CD93" i="20"/>
  <c r="CD95" i="20" s="1"/>
  <c r="CR22" i="20" s="1"/>
  <c r="BM92" i="20"/>
  <c r="BM95" i="20" s="1"/>
  <c r="BP93" i="20" s="1"/>
  <c r="Q119" i="25"/>
  <c r="Q130" i="25"/>
  <c r="Q117" i="25"/>
  <c r="Q132" i="25"/>
  <c r="T132" i="25" s="1"/>
  <c r="Q127" i="25"/>
  <c r="T127" i="25" s="1"/>
  <c r="Q125" i="25"/>
  <c r="Q123" i="25"/>
  <c r="T123" i="25" s="1"/>
  <c r="Q121" i="25"/>
  <c r="Q116" i="25"/>
  <c r="Q113" i="25"/>
  <c r="Q129" i="25"/>
  <c r="AR9" i="25"/>
  <c r="R128" i="25" s="1"/>
  <c r="S128" i="25" s="1"/>
  <c r="Q126" i="25"/>
  <c r="Q120" i="25"/>
  <c r="Q131" i="25"/>
  <c r="T131" i="25" s="1"/>
  <c r="Q118" i="25"/>
  <c r="Q112" i="25"/>
  <c r="T112" i="25" s="1"/>
  <c r="Q128" i="25"/>
  <c r="T128" i="25" s="1"/>
  <c r="Q122" i="25"/>
  <c r="Q115" i="25"/>
  <c r="Q124" i="25"/>
  <c r="T124" i="25" s="1"/>
  <c r="Q114" i="25"/>
  <c r="Q111" i="25"/>
  <c r="T111" i="25" s="1"/>
  <c r="AQ136" i="21"/>
  <c r="AQ134" i="21"/>
  <c r="AQ124" i="21"/>
  <c r="AQ121" i="21"/>
  <c r="AQ132" i="21"/>
  <c r="AQ131" i="21"/>
  <c r="AQ138" i="21"/>
  <c r="AQ122" i="21"/>
  <c r="AQ133" i="21"/>
  <c r="AQ123" i="21"/>
  <c r="AQ139" i="21"/>
  <c r="AQ137" i="21"/>
  <c r="AQ126" i="21"/>
  <c r="AQ116" i="21"/>
  <c r="AQ118" i="21"/>
  <c r="AQ129" i="21"/>
  <c r="AQ128" i="21"/>
  <c r="AQ117" i="21"/>
  <c r="AQ127" i="21"/>
  <c r="AQ119" i="21"/>
  <c r="S132" i="21"/>
  <c r="S131" i="21"/>
  <c r="S124" i="21"/>
  <c r="S121" i="21"/>
  <c r="S139" i="21"/>
  <c r="S137" i="21"/>
  <c r="S134" i="21"/>
  <c r="S136" i="21"/>
  <c r="S122" i="21"/>
  <c r="S138" i="21"/>
  <c r="S123" i="21"/>
  <c r="S133" i="21"/>
  <c r="S126" i="21"/>
  <c r="S128" i="21"/>
  <c r="S116" i="21"/>
  <c r="S119" i="21"/>
  <c r="S127" i="21"/>
  <c r="S129" i="21"/>
  <c r="S118" i="21"/>
  <c r="S117" i="21"/>
  <c r="T20" i="24"/>
  <c r="T22" i="24"/>
  <c r="T18" i="24"/>
  <c r="T117" i="24"/>
  <c r="T115" i="24"/>
  <c r="AK22" i="20"/>
  <c r="AK23" i="20" s="1"/>
  <c r="AQ21" i="20" s="1"/>
  <c r="AQ23" i="20" s="1"/>
  <c r="AQ25" i="20" s="1"/>
  <c r="CP8" i="20" s="1"/>
  <c r="AA22" i="20"/>
  <c r="AN147" i="20"/>
  <c r="AN148" i="20" s="1"/>
  <c r="AQ147" i="20" s="1"/>
  <c r="AA150" i="20"/>
  <c r="AG147" i="20" s="1"/>
  <c r="BT57" i="20"/>
  <c r="BT58" i="20" s="1"/>
  <c r="BZ56" i="20" s="1"/>
  <c r="BZ58" i="20" s="1"/>
  <c r="BZ60" i="20" s="1"/>
  <c r="CS15" i="20" s="1"/>
  <c r="BJ57" i="20"/>
  <c r="BJ87" i="20"/>
  <c r="BT87" i="20"/>
  <c r="BT88" i="20" s="1"/>
  <c r="BZ86" i="20" s="1"/>
  <c r="BZ88" i="20" s="1"/>
  <c r="BZ90" i="20" s="1"/>
  <c r="CS21" i="20" s="1"/>
  <c r="T138" i="21"/>
  <c r="T134" i="21"/>
  <c r="T131" i="21"/>
  <c r="T139" i="21"/>
  <c r="T137" i="21"/>
  <c r="T124" i="21"/>
  <c r="T136" i="21"/>
  <c r="T132" i="21"/>
  <c r="T133" i="21"/>
  <c r="T123" i="21"/>
  <c r="T122" i="21"/>
  <c r="T121" i="21"/>
  <c r="T128" i="21"/>
  <c r="T127" i="21"/>
  <c r="T117" i="21"/>
  <c r="T129" i="21"/>
  <c r="T118" i="21"/>
  <c r="T126" i="21"/>
  <c r="T119" i="21"/>
  <c r="T116" i="21"/>
  <c r="T120" i="24"/>
  <c r="T118" i="24"/>
  <c r="BW127" i="20"/>
  <c r="BW128" i="20" s="1"/>
  <c r="BZ127" i="20" s="1"/>
  <c r="BJ130" i="20"/>
  <c r="BP127" i="20" s="1"/>
  <c r="AA132" i="20"/>
  <c r="AK132" i="20"/>
  <c r="AK133" i="20" s="1"/>
  <c r="AQ131" i="20" s="1"/>
  <c r="AQ133" i="20" s="1"/>
  <c r="AQ135" i="20" s="1"/>
  <c r="CP30" i="20" s="1"/>
  <c r="R133" i="21"/>
  <c r="R123" i="21"/>
  <c r="R139" i="21"/>
  <c r="R137" i="21"/>
  <c r="R124" i="21"/>
  <c r="R131" i="21"/>
  <c r="R132" i="21"/>
  <c r="R138" i="21"/>
  <c r="R136" i="21"/>
  <c r="R134" i="21"/>
  <c r="R122" i="21"/>
  <c r="R121" i="21"/>
  <c r="R118" i="21"/>
  <c r="R119" i="21"/>
  <c r="R128" i="21"/>
  <c r="R129" i="21"/>
  <c r="R117" i="21"/>
  <c r="R116" i="21"/>
  <c r="R127" i="21"/>
  <c r="R126" i="21"/>
  <c r="AN47" i="20"/>
  <c r="AN48" i="20" s="1"/>
  <c r="AQ47" i="20" s="1"/>
  <c r="AA50" i="20"/>
  <c r="AG47" i="20" s="1"/>
  <c r="BM147" i="20"/>
  <c r="BM150" i="20" s="1"/>
  <c r="BP148" i="20" s="1"/>
  <c r="CD148" i="20"/>
  <c r="CD150" i="20" s="1"/>
  <c r="CR33" i="20" s="1"/>
  <c r="BJ97" i="20"/>
  <c r="BT97" i="20"/>
  <c r="BT98" i="20" s="1"/>
  <c r="BZ96" i="20" s="1"/>
  <c r="BZ98" i="20" s="1"/>
  <c r="BZ100" i="20" s="1"/>
  <c r="CS23" i="20" s="1"/>
  <c r="BT117" i="20"/>
  <c r="BT118" i="20" s="1"/>
  <c r="BZ116" i="20" s="1"/>
  <c r="BZ118" i="20" s="1"/>
  <c r="BZ120" i="20" s="1"/>
  <c r="CS27" i="20" s="1"/>
  <c r="BJ117" i="20"/>
  <c r="V124" i="21"/>
  <c r="V134" i="21"/>
  <c r="V132" i="21"/>
  <c r="V121" i="21"/>
  <c r="V138" i="21"/>
  <c r="V123" i="21"/>
  <c r="V139" i="21"/>
  <c r="V122" i="21"/>
  <c r="V137" i="21"/>
  <c r="V133" i="21"/>
  <c r="V136" i="21"/>
  <c r="V131" i="21"/>
  <c r="V129" i="21"/>
  <c r="V118" i="21"/>
  <c r="V128" i="21"/>
  <c r="V117" i="21"/>
  <c r="V126" i="21"/>
  <c r="V119" i="21"/>
  <c r="V116" i="21"/>
  <c r="V127" i="21"/>
  <c r="AD37" i="20"/>
  <c r="AD40" i="20" s="1"/>
  <c r="AG38" i="20" s="1"/>
  <c r="AU38" i="20"/>
  <c r="AU40" i="20" s="1"/>
  <c r="CO11" i="20" s="1"/>
  <c r="T115" i="25"/>
  <c r="AP9" i="25"/>
  <c r="I95" i="23"/>
  <c r="I89" i="23"/>
  <c r="I81" i="23"/>
  <c r="T19" i="24"/>
  <c r="T17" i="24"/>
  <c r="T21" i="24"/>
  <c r="Q28" i="23"/>
  <c r="T28" i="23" s="1"/>
  <c r="G37" i="23"/>
  <c r="H37" i="23" s="1"/>
  <c r="G31" i="23"/>
  <c r="H31" i="23" s="1"/>
  <c r="G25" i="23"/>
  <c r="H25" i="23" s="1"/>
  <c r="G41" i="23"/>
  <c r="H41" i="23" s="1"/>
  <c r="G24" i="23"/>
  <c r="H24" i="23" s="1"/>
  <c r="G18" i="23"/>
  <c r="H18" i="23" s="1"/>
  <c r="G28" i="23"/>
  <c r="H28" i="23" s="1"/>
  <c r="G34" i="23"/>
  <c r="H34" i="23" s="1"/>
  <c r="G17" i="23"/>
  <c r="H17" i="23" s="1"/>
  <c r="G22" i="23"/>
  <c r="H22" i="23" s="1"/>
  <c r="G15" i="23"/>
  <c r="H15" i="23" s="1"/>
  <c r="G40" i="23"/>
  <c r="H40" i="23" s="1"/>
  <c r="G13" i="23"/>
  <c r="H13" i="23" s="1"/>
  <c r="G19" i="23"/>
  <c r="H19" i="23" s="1"/>
  <c r="G16" i="23"/>
  <c r="H16" i="23" s="1"/>
  <c r="G30" i="23"/>
  <c r="H30" i="23" s="1"/>
  <c r="G23" i="23"/>
  <c r="H23" i="23" s="1"/>
  <c r="G39" i="23"/>
  <c r="H39" i="23" s="1"/>
  <c r="G29" i="23"/>
  <c r="H29" i="23" s="1"/>
  <c r="G26" i="23"/>
  <c r="H26" i="23" s="1"/>
  <c r="G33" i="23"/>
  <c r="H33" i="23" s="1"/>
  <c r="G36" i="23"/>
  <c r="H36" i="23" s="1"/>
  <c r="G32" i="23"/>
  <c r="H32" i="23" s="1"/>
  <c r="G20" i="23"/>
  <c r="H20" i="23" s="1"/>
  <c r="G14" i="23"/>
  <c r="H14" i="23" s="1"/>
  <c r="G35" i="23"/>
  <c r="H35" i="23" s="1"/>
  <c r="G27" i="23"/>
  <c r="H27" i="23" s="1"/>
  <c r="G38" i="23"/>
  <c r="H38" i="23" s="1"/>
  <c r="G21" i="23"/>
  <c r="H21" i="23" s="1"/>
  <c r="BJ47" i="20"/>
  <c r="BT47" i="20"/>
  <c r="BT48" i="20" s="1"/>
  <c r="BZ46" i="20" s="1"/>
  <c r="BZ48" i="20" s="1"/>
  <c r="BZ50" i="20" s="1"/>
  <c r="CS13" i="20" s="1"/>
  <c r="BT147" i="20"/>
  <c r="BT148" i="20" s="1"/>
  <c r="BZ146" i="20" s="1"/>
  <c r="BZ148" i="20" s="1"/>
  <c r="BZ150" i="20" s="1"/>
  <c r="CS33" i="20" s="1"/>
  <c r="BJ147" i="20"/>
  <c r="CD63" i="20"/>
  <c r="CD65" i="20" s="1"/>
  <c r="CR16" i="20" s="1"/>
  <c r="BM62" i="20"/>
  <c r="BM65" i="20" s="1"/>
  <c r="BP63" i="20" s="1"/>
  <c r="P22" i="24"/>
  <c r="BW52" i="20"/>
  <c r="BW53" i="20" s="1"/>
  <c r="BZ52" i="20" s="1"/>
  <c r="BJ55" i="20"/>
  <c r="BP52" i="20" s="1"/>
  <c r="AD7" i="20"/>
  <c r="AD10" i="20" s="1"/>
  <c r="AG8" i="20" s="1"/>
  <c r="AU8" i="20"/>
  <c r="AU10" i="20" s="1"/>
  <c r="CO5" i="20" s="1"/>
  <c r="P19" i="24"/>
  <c r="P17" i="24"/>
  <c r="CD118" i="20"/>
  <c r="CD120" i="20" s="1"/>
  <c r="CR27" i="20" s="1"/>
  <c r="BM117" i="20"/>
  <c r="BM120" i="20" s="1"/>
  <c r="BP118" i="20" s="1"/>
  <c r="BJ122" i="20"/>
  <c r="BT122" i="20"/>
  <c r="BT123" i="20" s="1"/>
  <c r="BZ121" i="20" s="1"/>
  <c r="BZ123" i="20" s="1"/>
  <c r="BZ125" i="20" s="1"/>
  <c r="CS28" i="20" s="1"/>
  <c r="AN77" i="20"/>
  <c r="AN78" i="20" s="1"/>
  <c r="AQ77" i="20" s="1"/>
  <c r="AA80" i="20"/>
  <c r="AG77" i="20" s="1"/>
  <c r="E130" i="25"/>
  <c r="E126" i="25"/>
  <c r="E122" i="25"/>
  <c r="AQ6" i="25"/>
  <c r="E129" i="25"/>
  <c r="E125" i="25"/>
  <c r="E121" i="25"/>
  <c r="AT6" i="25"/>
  <c r="F132" i="25" s="1"/>
  <c r="I132" i="25" s="1"/>
  <c r="AK5" i="25"/>
  <c r="E66" i="25" s="1"/>
  <c r="P39" i="27" s="1"/>
  <c r="E68" i="25"/>
  <c r="P41" i="27" s="1"/>
  <c r="Q19" i="23"/>
  <c r="T19" i="23" s="1"/>
  <c r="G131" i="24"/>
  <c r="H131" i="24" s="1"/>
  <c r="G123" i="24"/>
  <c r="H123" i="24" s="1"/>
  <c r="AJ6" i="24"/>
  <c r="G19" i="25"/>
  <c r="H19" i="25" s="1"/>
  <c r="G27" i="25"/>
  <c r="H27" i="25" s="1"/>
  <c r="G18" i="25"/>
  <c r="H18" i="25" s="1"/>
  <c r="G15" i="25"/>
  <c r="H15" i="25" s="1"/>
  <c r="G13" i="25"/>
  <c r="H13" i="25" s="1"/>
  <c r="G32" i="25"/>
  <c r="H32" i="25" s="1"/>
  <c r="G22" i="25"/>
  <c r="H22" i="25" s="1"/>
  <c r="G20" i="25"/>
  <c r="H20" i="25" s="1"/>
  <c r="G31" i="25"/>
  <c r="H31" i="25" s="1"/>
  <c r="G24" i="25"/>
  <c r="H24" i="25" s="1"/>
  <c r="G21" i="25"/>
  <c r="H21" i="25" s="1"/>
  <c r="G16" i="25"/>
  <c r="H16" i="25" s="1"/>
  <c r="G14" i="25"/>
  <c r="H14" i="25" s="1"/>
  <c r="G28" i="25"/>
  <c r="H28" i="25" s="1"/>
  <c r="G23" i="25"/>
  <c r="H23" i="25" s="1"/>
  <c r="G17" i="25"/>
  <c r="H17" i="25" s="1"/>
  <c r="BW32" i="20"/>
  <c r="BW33" i="20" s="1"/>
  <c r="BZ32" i="20" s="1"/>
  <c r="BJ35" i="20"/>
  <c r="BP32" i="20" s="1"/>
  <c r="Q136" i="21"/>
  <c r="Q134" i="21"/>
  <c r="Q132" i="21"/>
  <c r="Q131" i="21"/>
  <c r="Q124" i="21"/>
  <c r="Q121" i="21"/>
  <c r="Q123" i="21"/>
  <c r="Q139" i="21"/>
  <c r="Q138" i="21"/>
  <c r="Q137" i="21"/>
  <c r="Q122" i="21"/>
  <c r="Q133" i="21"/>
  <c r="Q118" i="21"/>
  <c r="Q119" i="21"/>
  <c r="Q127" i="21"/>
  <c r="Q128" i="21"/>
  <c r="Q117" i="21"/>
  <c r="Q129" i="21"/>
  <c r="Q126" i="21"/>
  <c r="Q116" i="21"/>
  <c r="AU43" i="20"/>
  <c r="AU45" i="20" s="1"/>
  <c r="CO12" i="20" s="1"/>
  <c r="AD42" i="20"/>
  <c r="AD45" i="20" s="1"/>
  <c r="AG43" i="20" s="1"/>
  <c r="R75" i="24"/>
  <c r="S75" i="24" s="1"/>
  <c r="R83" i="24"/>
  <c r="S83" i="24" s="1"/>
  <c r="R76" i="24"/>
  <c r="S76" i="24" s="1"/>
  <c r="R80" i="24"/>
  <c r="S80" i="24" s="1"/>
  <c r="AJ8" i="24"/>
  <c r="R79" i="24"/>
  <c r="S79" i="24" s="1"/>
  <c r="R84" i="24"/>
  <c r="S84" i="24" s="1"/>
  <c r="CD73" i="20"/>
  <c r="CD75" i="20" s="1"/>
  <c r="CR18" i="20" s="1"/>
  <c r="BM72" i="20"/>
  <c r="BM75" i="20" s="1"/>
  <c r="BP73" i="20" s="1"/>
  <c r="K123" i="21"/>
  <c r="K138" i="21"/>
  <c r="K121" i="21"/>
  <c r="K136" i="21"/>
  <c r="K133" i="21"/>
  <c r="K122" i="21"/>
  <c r="K134" i="21"/>
  <c r="K131" i="21"/>
  <c r="K124" i="21"/>
  <c r="K132" i="21"/>
  <c r="K139" i="21"/>
  <c r="K137" i="21"/>
  <c r="K116" i="21"/>
  <c r="K127" i="21"/>
  <c r="K126" i="21"/>
  <c r="K117" i="21"/>
  <c r="K128" i="21"/>
  <c r="K119" i="21"/>
  <c r="K129" i="21"/>
  <c r="K118" i="21"/>
  <c r="P20" i="24"/>
  <c r="AF138" i="21"/>
  <c r="AF134" i="21"/>
  <c r="AF131" i="21"/>
  <c r="AF132" i="21"/>
  <c r="AF133" i="21"/>
  <c r="AF123" i="21"/>
  <c r="AF139" i="21"/>
  <c r="AF124" i="21"/>
  <c r="AF122" i="21"/>
  <c r="AF136" i="21"/>
  <c r="AF121" i="21"/>
  <c r="AF137" i="21"/>
  <c r="AF116" i="21"/>
  <c r="AF127" i="21"/>
  <c r="AF119" i="21"/>
  <c r="AF118" i="21"/>
  <c r="AF129" i="21"/>
  <c r="AF126" i="21"/>
  <c r="AF128" i="21"/>
  <c r="AF117" i="21"/>
  <c r="P34" i="23"/>
  <c r="P40" i="23"/>
  <c r="P26" i="23"/>
  <c r="P32" i="23"/>
  <c r="P36" i="23"/>
  <c r="P22" i="23"/>
  <c r="P38" i="23"/>
  <c r="P30" i="23"/>
  <c r="P24" i="23"/>
  <c r="P28" i="23"/>
  <c r="E133" i="21"/>
  <c r="E124" i="21"/>
  <c r="E121" i="21"/>
  <c r="E139" i="21"/>
  <c r="E137" i="21"/>
  <c r="E134" i="21"/>
  <c r="E132" i="21"/>
  <c r="E122" i="21"/>
  <c r="E131" i="21"/>
  <c r="E138" i="21"/>
  <c r="E123" i="21"/>
  <c r="E136" i="21"/>
  <c r="E127" i="21"/>
  <c r="E119" i="21"/>
  <c r="E116" i="21"/>
  <c r="E129" i="21"/>
  <c r="E118" i="21"/>
  <c r="E128" i="21"/>
  <c r="E126" i="21"/>
  <c r="E117" i="21"/>
  <c r="F77" i="23"/>
  <c r="I77" i="23" s="1"/>
  <c r="F74" i="23"/>
  <c r="I74" i="23" s="1"/>
  <c r="F71" i="23"/>
  <c r="I71" i="23" s="1"/>
  <c r="F93" i="23"/>
  <c r="I93" i="23" s="1"/>
  <c r="F97" i="23"/>
  <c r="I97" i="23" s="1"/>
  <c r="F94" i="23"/>
  <c r="I94" i="23" s="1"/>
  <c r="F81" i="23"/>
  <c r="F75" i="23"/>
  <c r="I75" i="23" s="1"/>
  <c r="F78" i="23"/>
  <c r="I78" i="23" s="1"/>
  <c r="F92" i="23"/>
  <c r="F84" i="23"/>
  <c r="F90" i="23"/>
  <c r="I90" i="23" s="1"/>
  <c r="F87" i="23"/>
  <c r="I87" i="23" s="1"/>
  <c r="F82" i="23"/>
  <c r="I82" i="23" s="1"/>
  <c r="F79" i="23"/>
  <c r="I79" i="23" s="1"/>
  <c r="F95" i="23"/>
  <c r="F98" i="23"/>
  <c r="I98" i="23" s="1"/>
  <c r="F72" i="23"/>
  <c r="I72" i="23" s="1"/>
  <c r="F89" i="23"/>
  <c r="F83" i="23"/>
  <c r="I83" i="23" s="1"/>
  <c r="AR5" i="23"/>
  <c r="F70" i="23"/>
  <c r="I70" i="23" s="1"/>
  <c r="F76" i="23"/>
  <c r="I76" i="23" s="1"/>
  <c r="F91" i="23"/>
  <c r="I91" i="23" s="1"/>
  <c r="F86" i="23"/>
  <c r="I86" i="23" s="1"/>
  <c r="F88" i="23"/>
  <c r="I88" i="23" s="1"/>
  <c r="F96" i="23"/>
  <c r="I96" i="23" s="1"/>
  <c r="F80" i="23"/>
  <c r="I80" i="23" s="1"/>
  <c r="F85" i="23"/>
  <c r="I85" i="23" s="1"/>
  <c r="F73" i="23"/>
  <c r="I73" i="23" s="1"/>
  <c r="AU98" i="20"/>
  <c r="AU100" i="20" s="1"/>
  <c r="CO23" i="20" s="1"/>
  <c r="AD97" i="20"/>
  <c r="AD100" i="20" s="1"/>
  <c r="AG98" i="20" s="1"/>
  <c r="CD123" i="20"/>
  <c r="CD125" i="20" s="1"/>
  <c r="CR28" i="20" s="1"/>
  <c r="BM122" i="20"/>
  <c r="BM125" i="20" s="1"/>
  <c r="BP123" i="20" s="1"/>
  <c r="Z138" i="21"/>
  <c r="Z121" i="21"/>
  <c r="Z136" i="21"/>
  <c r="Z122" i="21"/>
  <c r="Z137" i="21"/>
  <c r="Z133" i="21"/>
  <c r="Z134" i="21"/>
  <c r="Z131" i="21"/>
  <c r="Z124" i="21"/>
  <c r="Z132" i="21"/>
  <c r="Z139" i="21"/>
  <c r="Z123" i="21"/>
  <c r="Z128" i="21"/>
  <c r="Z116" i="21"/>
  <c r="Z117" i="21"/>
  <c r="Z127" i="21"/>
  <c r="Z119" i="21"/>
  <c r="Z126" i="21"/>
  <c r="Z118" i="21"/>
  <c r="Z129" i="21"/>
  <c r="CD108" i="20"/>
  <c r="CD110" i="20" s="1"/>
  <c r="CR25" i="20" s="1"/>
  <c r="BM107" i="20"/>
  <c r="BM110" i="20" s="1"/>
  <c r="BP108" i="20" s="1"/>
  <c r="P25" i="23"/>
  <c r="P37" i="23"/>
  <c r="P29" i="23"/>
  <c r="P35" i="23"/>
  <c r="P23" i="23"/>
  <c r="P39" i="23"/>
  <c r="P27" i="23"/>
  <c r="P41" i="23"/>
  <c r="P33" i="23"/>
  <c r="P31" i="23"/>
  <c r="AL5" i="25"/>
  <c r="E67" i="25"/>
  <c r="P40" i="27" s="1"/>
  <c r="N139" i="21"/>
  <c r="N137" i="21"/>
  <c r="N136" i="21"/>
  <c r="N133" i="21"/>
  <c r="N122" i="21"/>
  <c r="N131" i="21"/>
  <c r="N138" i="21"/>
  <c r="N124" i="21"/>
  <c r="N123" i="21"/>
  <c r="N134" i="21"/>
  <c r="N121" i="21"/>
  <c r="N132" i="21"/>
  <c r="N119" i="21"/>
  <c r="N117" i="21"/>
  <c r="N118" i="21"/>
  <c r="N116" i="21"/>
  <c r="N126" i="21"/>
  <c r="N129" i="21"/>
  <c r="N127" i="21"/>
  <c r="N128" i="21"/>
  <c r="P69" i="24"/>
  <c r="P67" i="24"/>
  <c r="P68" i="25"/>
  <c r="AK8" i="25"/>
  <c r="P66" i="25" s="1"/>
  <c r="AU83" i="20"/>
  <c r="AU85" i="20" s="1"/>
  <c r="CO20" i="20" s="1"/>
  <c r="AD82" i="20"/>
  <c r="AD85" i="20" s="1"/>
  <c r="AG83" i="20" s="1"/>
  <c r="AA139" i="21"/>
  <c r="AA122" i="21"/>
  <c r="AA137" i="21"/>
  <c r="AA136" i="21"/>
  <c r="AA138" i="21"/>
  <c r="AA133" i="21"/>
  <c r="AA121" i="21"/>
  <c r="AA123" i="21"/>
  <c r="AA134" i="21"/>
  <c r="AA132" i="21"/>
  <c r="AA131" i="21"/>
  <c r="AA124" i="21"/>
  <c r="AA116" i="21"/>
  <c r="AA117" i="21"/>
  <c r="AA119" i="21"/>
  <c r="AA118" i="21"/>
  <c r="AA127" i="21"/>
  <c r="AA128" i="21"/>
  <c r="AA129" i="21"/>
  <c r="AA126" i="21"/>
  <c r="F119" i="24"/>
  <c r="I119" i="24" s="1"/>
  <c r="F128" i="24"/>
  <c r="I128" i="24" s="1"/>
  <c r="F114" i="24"/>
  <c r="I114" i="24" s="1"/>
  <c r="F111" i="24"/>
  <c r="I111" i="24" s="1"/>
  <c r="F129" i="24"/>
  <c r="F113" i="24"/>
  <c r="I113" i="24" s="1"/>
  <c r="AR6" i="24"/>
  <c r="G124" i="24" s="1"/>
  <c r="H124" i="24" s="1"/>
  <c r="F120" i="24"/>
  <c r="I120" i="24" s="1"/>
  <c r="F118" i="24"/>
  <c r="I118" i="24" s="1"/>
  <c r="F115" i="24"/>
  <c r="I115" i="24" s="1"/>
  <c r="F130" i="24"/>
  <c r="F122" i="24"/>
  <c r="F112" i="24"/>
  <c r="I112" i="24" s="1"/>
  <c r="F117" i="24"/>
  <c r="I117" i="24" s="1"/>
  <c r="F116" i="24"/>
  <c r="I116" i="24" s="1"/>
  <c r="AP5" i="25"/>
  <c r="T22" i="23"/>
  <c r="T38" i="23"/>
  <c r="T30" i="23"/>
  <c r="T24" i="23"/>
  <c r="T32" i="23"/>
  <c r="T36" i="23"/>
  <c r="T34" i="23"/>
  <c r="T26" i="23"/>
  <c r="CD48" i="20"/>
  <c r="CD50" i="20" s="1"/>
  <c r="CR13" i="20" s="1"/>
  <c r="BM47" i="20"/>
  <c r="BM50" i="20" s="1"/>
  <c r="BP48" i="20" s="1"/>
  <c r="AB139" i="21"/>
  <c r="AB136" i="21"/>
  <c r="AB132" i="21"/>
  <c r="AB138" i="21"/>
  <c r="AB134" i="21"/>
  <c r="AB133" i="21"/>
  <c r="AB122" i="21"/>
  <c r="AB131" i="21"/>
  <c r="AB137" i="21"/>
  <c r="AB123" i="21"/>
  <c r="AB124" i="21"/>
  <c r="AB121" i="21"/>
  <c r="AB129" i="21"/>
  <c r="AB127" i="21"/>
  <c r="AB128" i="21"/>
  <c r="AB119" i="21"/>
  <c r="AB118" i="21"/>
  <c r="AB126" i="21"/>
  <c r="AB116" i="21"/>
  <c r="AB117" i="21"/>
  <c r="BJ62" i="20"/>
  <c r="BT62" i="20"/>
  <c r="BT63" i="20" s="1"/>
  <c r="BZ61" i="20" s="1"/>
  <c r="BZ63" i="20" s="1"/>
  <c r="BZ65" i="20" s="1"/>
  <c r="CS16" i="20" s="1"/>
  <c r="L137" i="21"/>
  <c r="L133" i="21"/>
  <c r="L139" i="21"/>
  <c r="L138" i="21"/>
  <c r="L121" i="21"/>
  <c r="L136" i="21"/>
  <c r="L122" i="21"/>
  <c r="L134" i="21"/>
  <c r="L131" i="21"/>
  <c r="L124" i="21"/>
  <c r="L132" i="21"/>
  <c r="L123" i="21"/>
  <c r="L119" i="21"/>
  <c r="L127" i="21"/>
  <c r="L117" i="21"/>
  <c r="L126" i="21"/>
  <c r="L118" i="21"/>
  <c r="L129" i="21"/>
  <c r="L116" i="21"/>
  <c r="L128" i="21"/>
  <c r="AA7" i="20"/>
  <c r="AK7" i="20"/>
  <c r="AK8" i="20" s="1"/>
  <c r="AQ6" i="20" s="1"/>
  <c r="AQ8" i="20" s="1"/>
  <c r="AQ10" i="20" s="1"/>
  <c r="CP5" i="20" s="1"/>
  <c r="AL7" i="25"/>
  <c r="P17" i="25"/>
  <c r="T18" i="25"/>
  <c r="AO7" i="25"/>
  <c r="AU23" i="20"/>
  <c r="AU25" i="20" s="1"/>
  <c r="CO8" i="20" s="1"/>
  <c r="AD22" i="20"/>
  <c r="AD25" i="20" s="1"/>
  <c r="AG23" i="20" s="1"/>
  <c r="F132" i="23"/>
  <c r="I132" i="23" s="1"/>
  <c r="F129" i="23"/>
  <c r="I129" i="23" s="1"/>
  <c r="F126" i="23"/>
  <c r="I126" i="23" s="1"/>
  <c r="F152" i="23"/>
  <c r="I152" i="23" s="1"/>
  <c r="F149" i="23"/>
  <c r="I149" i="23" s="1"/>
  <c r="F139" i="23"/>
  <c r="I139" i="23" s="1"/>
  <c r="F136" i="23"/>
  <c r="I136" i="23" s="1"/>
  <c r="F133" i="23"/>
  <c r="I133" i="23" s="1"/>
  <c r="F146" i="23"/>
  <c r="I146" i="23" s="1"/>
  <c r="F143" i="23"/>
  <c r="I143" i="23" s="1"/>
  <c r="F153" i="23"/>
  <c r="I153" i="23" s="1"/>
  <c r="F150" i="23"/>
  <c r="I150" i="23" s="1"/>
  <c r="F140" i="23"/>
  <c r="I140" i="23" s="1"/>
  <c r="F137" i="23"/>
  <c r="I137" i="23" s="1"/>
  <c r="F144" i="23"/>
  <c r="I144" i="23" s="1"/>
  <c r="F148" i="23"/>
  <c r="I148" i="23" s="1"/>
  <c r="F128" i="23"/>
  <c r="I128" i="23" s="1"/>
  <c r="F138" i="23"/>
  <c r="I138" i="23" s="1"/>
  <c r="F130" i="23"/>
  <c r="I130" i="23" s="1"/>
  <c r="F125" i="23"/>
  <c r="I125" i="23" s="1"/>
  <c r="F151" i="23"/>
  <c r="I151" i="23" s="1"/>
  <c r="F127" i="23"/>
  <c r="I127" i="23" s="1"/>
  <c r="F142" i="23"/>
  <c r="F131" i="23"/>
  <c r="I131" i="23" s="1"/>
  <c r="F145" i="23"/>
  <c r="I145" i="23" s="1"/>
  <c r="F134" i="23"/>
  <c r="I134" i="23" s="1"/>
  <c r="F141" i="23"/>
  <c r="I141" i="23" s="1"/>
  <c r="F135" i="23"/>
  <c r="I135" i="23" s="1"/>
  <c r="AR6" i="23"/>
  <c r="F147" i="23"/>
  <c r="I147" i="23" s="1"/>
  <c r="Q29" i="23"/>
  <c r="T29" i="23" s="1"/>
  <c r="BT72" i="20"/>
  <c r="BT73" i="20" s="1"/>
  <c r="BZ71" i="20" s="1"/>
  <c r="BZ73" i="20" s="1"/>
  <c r="BZ75" i="20" s="1"/>
  <c r="CS18" i="20" s="1"/>
  <c r="BJ72" i="20"/>
  <c r="AQ5" i="24"/>
  <c r="E81" i="24"/>
  <c r="E73" i="24"/>
  <c r="E77" i="24"/>
  <c r="E78" i="24"/>
  <c r="E74" i="24"/>
  <c r="AT5" i="24"/>
  <c r="F73" i="24" s="1"/>
  <c r="E82" i="24"/>
  <c r="AN142" i="20"/>
  <c r="AN143" i="20" s="1"/>
  <c r="AQ142" i="20" s="1"/>
  <c r="AA145" i="20"/>
  <c r="AG142" i="20" s="1"/>
  <c r="F132" i="21"/>
  <c r="F131" i="21"/>
  <c r="F137" i="21"/>
  <c r="F134" i="21"/>
  <c r="F124" i="21"/>
  <c r="F133" i="21"/>
  <c r="F122" i="21"/>
  <c r="F138" i="21"/>
  <c r="F139" i="21"/>
  <c r="F123" i="21"/>
  <c r="F136" i="21"/>
  <c r="F121" i="21"/>
  <c r="F119" i="21"/>
  <c r="F129" i="21"/>
  <c r="F116" i="21"/>
  <c r="F128" i="21"/>
  <c r="F126" i="21"/>
  <c r="F118" i="21"/>
  <c r="F127" i="21"/>
  <c r="F117" i="21"/>
  <c r="F122" i="25"/>
  <c r="F116" i="25"/>
  <c r="I116" i="25" s="1"/>
  <c r="F125" i="25"/>
  <c r="F120" i="25"/>
  <c r="F118" i="25"/>
  <c r="AR6" i="25"/>
  <c r="G127" i="25" s="1"/>
  <c r="H127" i="25" s="1"/>
  <c r="F115" i="25"/>
  <c r="I115" i="25" s="1"/>
  <c r="F112" i="25"/>
  <c r="I112" i="25" s="1"/>
  <c r="F114" i="25"/>
  <c r="F124" i="25"/>
  <c r="I124" i="25" s="1"/>
  <c r="F123" i="25"/>
  <c r="I123" i="25" s="1"/>
  <c r="F111" i="25"/>
  <c r="I111" i="25" s="1"/>
  <c r="F113" i="25"/>
  <c r="F131" i="25"/>
  <c r="I131" i="25" s="1"/>
  <c r="F117" i="25"/>
  <c r="F128" i="25"/>
  <c r="I128" i="25" s="1"/>
  <c r="F127" i="25"/>
  <c r="I127" i="25" s="1"/>
  <c r="F119" i="25"/>
  <c r="H138" i="21"/>
  <c r="H134" i="21"/>
  <c r="H131" i="21"/>
  <c r="H124" i="21"/>
  <c r="H132" i="21"/>
  <c r="H123" i="21"/>
  <c r="H139" i="21"/>
  <c r="H136" i="21"/>
  <c r="H133" i="21"/>
  <c r="H137" i="21"/>
  <c r="H122" i="21"/>
  <c r="H121" i="21"/>
  <c r="H116" i="21"/>
  <c r="H118" i="21"/>
  <c r="H127" i="21"/>
  <c r="H117" i="21"/>
  <c r="H129" i="21"/>
  <c r="H128" i="21"/>
  <c r="H119" i="21"/>
  <c r="H126" i="21"/>
  <c r="AP7" i="25"/>
  <c r="T17" i="25"/>
  <c r="AD157" i="20"/>
  <c r="AD160" i="20" s="1"/>
  <c r="AG158" i="20" s="1"/>
  <c r="AU158" i="20"/>
  <c r="AU160" i="20" s="1"/>
  <c r="CO35" i="20" s="1"/>
  <c r="E98" i="23"/>
  <c r="E84" i="23"/>
  <c r="E92" i="23"/>
  <c r="E90" i="23"/>
  <c r="E82" i="23"/>
  <c r="E80" i="23"/>
  <c r="E94" i="23"/>
  <c r="E86" i="23"/>
  <c r="E88" i="23"/>
  <c r="E96" i="23"/>
  <c r="Q40" i="23"/>
  <c r="T40" i="23" s="1"/>
  <c r="G131" i="25"/>
  <c r="H131" i="25" s="1"/>
  <c r="AJ6" i="25"/>
  <c r="E36" i="23"/>
  <c r="E30" i="23"/>
  <c r="E24" i="23"/>
  <c r="E32" i="23"/>
  <c r="E28" i="23"/>
  <c r="E34" i="23"/>
  <c r="E40" i="23"/>
  <c r="E22" i="23"/>
  <c r="E26" i="23"/>
  <c r="E38" i="23"/>
  <c r="P116" i="25"/>
  <c r="AK9" i="25"/>
  <c r="P114" i="25" s="1"/>
  <c r="G22" i="24"/>
  <c r="H22" i="24" s="1"/>
  <c r="G23" i="24"/>
  <c r="H23" i="24" s="1"/>
  <c r="G17" i="24"/>
  <c r="H17" i="24" s="1"/>
  <c r="G31" i="24"/>
  <c r="H31" i="24" s="1"/>
  <c r="G24" i="24"/>
  <c r="H24" i="24" s="1"/>
  <c r="G15" i="24"/>
  <c r="H15" i="24" s="1"/>
  <c r="G21" i="24"/>
  <c r="H21" i="24" s="1"/>
  <c r="G18" i="24"/>
  <c r="H18" i="24" s="1"/>
  <c r="G16" i="24"/>
  <c r="H16" i="24" s="1"/>
  <c r="G27" i="24"/>
  <c r="H27" i="24" s="1"/>
  <c r="G13" i="24"/>
  <c r="H13" i="24" s="1"/>
  <c r="G32" i="24"/>
  <c r="H32" i="24" s="1"/>
  <c r="G20" i="24"/>
  <c r="H20" i="24" s="1"/>
  <c r="G19" i="24"/>
  <c r="H19" i="24" s="1"/>
  <c r="G14" i="24"/>
  <c r="H14" i="24" s="1"/>
  <c r="G28" i="24"/>
  <c r="H28" i="24" s="1"/>
  <c r="AE133" i="21"/>
  <c r="AE124" i="21"/>
  <c r="AE121" i="21"/>
  <c r="AE136" i="21"/>
  <c r="AE131" i="21"/>
  <c r="AE123" i="21"/>
  <c r="AE122" i="21"/>
  <c r="AE134" i="21"/>
  <c r="AE132" i="21"/>
  <c r="AE139" i="21"/>
  <c r="AE138" i="21"/>
  <c r="AE137" i="21"/>
  <c r="AE118" i="21"/>
  <c r="AE126" i="21"/>
  <c r="AE117" i="21"/>
  <c r="AE128" i="21"/>
  <c r="AE127" i="21"/>
  <c r="AE119" i="21"/>
  <c r="AE129" i="21"/>
  <c r="AE116" i="21"/>
  <c r="AK42" i="20"/>
  <c r="AK43" i="20" s="1"/>
  <c r="AQ41" i="20" s="1"/>
  <c r="AQ43" i="20" s="1"/>
  <c r="AQ45" i="20" s="1"/>
  <c r="CP12" i="20" s="1"/>
  <c r="AA42" i="20"/>
  <c r="AJ10" i="24"/>
  <c r="G30" i="24"/>
  <c r="H30" i="24" s="1"/>
  <c r="G29" i="24"/>
  <c r="H29" i="24" s="1"/>
  <c r="G34" i="24"/>
  <c r="H34" i="24" s="1"/>
  <c r="G26" i="24"/>
  <c r="H26" i="24" s="1"/>
  <c r="G25" i="24"/>
  <c r="H25" i="24" s="1"/>
  <c r="G33" i="24"/>
  <c r="H33" i="24" s="1"/>
  <c r="R84" i="25"/>
  <c r="S84" i="25" s="1"/>
  <c r="R79" i="25"/>
  <c r="S79" i="25" s="1"/>
  <c r="R76" i="25"/>
  <c r="S76" i="25" s="1"/>
  <c r="R80" i="25"/>
  <c r="S80" i="25" s="1"/>
  <c r="R75" i="25"/>
  <c r="S75" i="25" s="1"/>
  <c r="AJ8" i="25"/>
  <c r="R83" i="25"/>
  <c r="S83" i="25" s="1"/>
  <c r="AO139" i="21"/>
  <c r="AO138" i="21"/>
  <c r="AO136" i="21"/>
  <c r="AO134" i="21"/>
  <c r="AO124" i="21"/>
  <c r="AO121" i="21"/>
  <c r="AO122" i="21"/>
  <c r="AO137" i="21"/>
  <c r="AO123" i="21"/>
  <c r="AO132" i="21"/>
  <c r="AO131" i="21"/>
  <c r="AO133" i="21"/>
  <c r="AO118" i="21"/>
  <c r="AO117" i="21"/>
  <c r="AO127" i="21"/>
  <c r="AO128" i="21"/>
  <c r="AO129" i="21"/>
  <c r="AO119" i="21"/>
  <c r="AO126" i="21"/>
  <c r="AO116" i="21"/>
  <c r="P115" i="24"/>
  <c r="P117" i="24"/>
  <c r="CD133" i="20"/>
  <c r="CD135" i="20" s="1"/>
  <c r="CR30" i="20" s="1"/>
  <c r="BM132" i="20"/>
  <c r="BM135" i="20" s="1"/>
  <c r="BP133" i="20" s="1"/>
  <c r="F84" i="24"/>
  <c r="I84" i="24" s="1"/>
  <c r="F80" i="24"/>
  <c r="I80" i="24" s="1"/>
  <c r="F70" i="24"/>
  <c r="F67" i="24"/>
  <c r="I67" i="24" s="1"/>
  <c r="F71" i="24"/>
  <c r="I71" i="24" s="1"/>
  <c r="F66" i="24"/>
  <c r="I66" i="24" s="1"/>
  <c r="F64" i="24"/>
  <c r="I64" i="24" s="1"/>
  <c r="F69" i="24"/>
  <c r="I69" i="24" s="1"/>
  <c r="F77" i="24"/>
  <c r="AR5" i="24"/>
  <c r="G80" i="24" s="1"/>
  <c r="H80" i="24" s="1"/>
  <c r="F63" i="24"/>
  <c r="I63" i="24" s="1"/>
  <c r="F65" i="24"/>
  <c r="I65" i="24" s="1"/>
  <c r="F72" i="24"/>
  <c r="F68" i="24"/>
  <c r="AK97" i="20"/>
  <c r="AK98" i="20" s="1"/>
  <c r="AQ96" i="20" s="1"/>
  <c r="AQ98" i="20" s="1"/>
  <c r="AQ100" i="20" s="1"/>
  <c r="CP23" i="20" s="1"/>
  <c r="AA97" i="20"/>
  <c r="BJ17" i="20"/>
  <c r="BT17" i="20"/>
  <c r="BT18" i="20" s="1"/>
  <c r="BZ16" i="20" s="1"/>
  <c r="BZ18" i="20" s="1"/>
  <c r="BZ20" i="20" s="1"/>
  <c r="CS7" i="20" s="1"/>
  <c r="P27" i="24"/>
  <c r="P32" i="24"/>
  <c r="P24" i="24"/>
  <c r="AT7" i="24"/>
  <c r="P31" i="24"/>
  <c r="AQ7" i="24"/>
  <c r="P23" i="24"/>
  <c r="P28" i="24"/>
  <c r="AD27" i="20"/>
  <c r="AD30" i="20" s="1"/>
  <c r="AG28" i="20" s="1"/>
  <c r="AU28" i="20"/>
  <c r="AU30" i="20" s="1"/>
  <c r="CO9" i="20" s="1"/>
  <c r="P139" i="21"/>
  <c r="P136" i="21"/>
  <c r="P132" i="21"/>
  <c r="P137" i="21"/>
  <c r="P133" i="21"/>
  <c r="P131" i="21"/>
  <c r="P122" i="21"/>
  <c r="P123" i="21"/>
  <c r="P134" i="21"/>
  <c r="P121" i="21"/>
  <c r="P124" i="21"/>
  <c r="P138" i="21"/>
  <c r="P128" i="21"/>
  <c r="P127" i="21"/>
  <c r="P118" i="21"/>
  <c r="P126" i="21"/>
  <c r="P116" i="21"/>
  <c r="P117" i="21"/>
  <c r="P129" i="21"/>
  <c r="P119" i="21"/>
  <c r="AN107" i="20"/>
  <c r="AN108" i="20" s="1"/>
  <c r="AQ107" i="20" s="1"/>
  <c r="AA110" i="20"/>
  <c r="AG107" i="20" s="1"/>
  <c r="CD23" i="20"/>
  <c r="CD25" i="20" s="1"/>
  <c r="CR8" i="20" s="1"/>
  <c r="BM22" i="20"/>
  <c r="BM25" i="20" s="1"/>
  <c r="BP23" i="20" s="1"/>
  <c r="I72" i="24"/>
  <c r="I68" i="24"/>
  <c r="I70" i="24"/>
  <c r="BW12" i="20"/>
  <c r="BW13" i="20" s="1"/>
  <c r="BZ12" i="20" s="1"/>
  <c r="BJ15" i="20"/>
  <c r="BP12" i="20" s="1"/>
  <c r="BT67" i="20"/>
  <c r="BT68" i="20" s="1"/>
  <c r="BZ66" i="20" s="1"/>
  <c r="BZ68" i="20" s="1"/>
  <c r="BZ70" i="20" s="1"/>
  <c r="CS17" i="20" s="1"/>
  <c r="BJ67" i="20"/>
  <c r="E70" i="25"/>
  <c r="P43" i="27" s="1"/>
  <c r="E72" i="25"/>
  <c r="P45" i="27" s="1"/>
  <c r="E71" i="25"/>
  <c r="P44" i="27" s="1"/>
  <c r="BW27" i="20"/>
  <c r="BW28" i="20" s="1"/>
  <c r="BZ27" i="20" s="1"/>
  <c r="BJ30" i="20"/>
  <c r="BP27" i="20" s="1"/>
  <c r="Y139" i="21"/>
  <c r="Y122" i="21"/>
  <c r="Y121" i="21"/>
  <c r="Y138" i="21"/>
  <c r="Y136" i="21"/>
  <c r="Y132" i="21"/>
  <c r="Y137" i="21"/>
  <c r="Y133" i="21"/>
  <c r="Y124" i="21"/>
  <c r="Y131" i="21"/>
  <c r="Y123" i="21"/>
  <c r="Y134" i="21"/>
  <c r="Y119" i="21"/>
  <c r="Y126" i="21"/>
  <c r="Y129" i="21"/>
  <c r="Y127" i="21"/>
  <c r="Y116" i="21"/>
  <c r="Y118" i="21"/>
  <c r="Y117" i="21"/>
  <c r="Y128" i="21"/>
  <c r="AQ6" i="24"/>
  <c r="E129" i="24"/>
  <c r="E125" i="24"/>
  <c r="E121" i="24"/>
  <c r="E130" i="24"/>
  <c r="E122" i="24"/>
  <c r="E126" i="24"/>
  <c r="AT6" i="24"/>
  <c r="F132" i="24" s="1"/>
  <c r="I132" i="24" s="1"/>
  <c r="CD68" i="20"/>
  <c r="CD70" i="20" s="1"/>
  <c r="CR17" i="20" s="1"/>
  <c r="BM67" i="20"/>
  <c r="BM70" i="20" s="1"/>
  <c r="BP68" i="20" s="1"/>
  <c r="BT107" i="20"/>
  <c r="BT108" i="20" s="1"/>
  <c r="BZ106" i="20" s="1"/>
  <c r="BZ108" i="20" s="1"/>
  <c r="BZ110" i="20" s="1"/>
  <c r="CS25" i="20" s="1"/>
  <c r="BJ107" i="20"/>
  <c r="E153" i="23"/>
  <c r="E147" i="23"/>
  <c r="E141" i="23"/>
  <c r="E135" i="23"/>
  <c r="E149" i="23"/>
  <c r="E139" i="23"/>
  <c r="E137" i="23"/>
  <c r="E145" i="23"/>
  <c r="E143" i="23"/>
  <c r="E151" i="23"/>
  <c r="AK157" i="20"/>
  <c r="AK158" i="20" s="1"/>
  <c r="AQ156" i="20" s="1"/>
  <c r="AQ158" i="20" s="1"/>
  <c r="AQ160" i="20" s="1"/>
  <c r="CP35" i="20" s="1"/>
  <c r="AA157" i="20"/>
  <c r="E67" i="24"/>
  <c r="E69" i="24"/>
  <c r="P71" i="24"/>
  <c r="P72" i="24"/>
  <c r="P70" i="24"/>
  <c r="E17" i="24"/>
  <c r="E19" i="24"/>
  <c r="G30" i="25"/>
  <c r="H30" i="25" s="1"/>
  <c r="G34" i="25"/>
  <c r="H34" i="25" s="1"/>
  <c r="G29" i="25"/>
  <c r="H29" i="25" s="1"/>
  <c r="G25" i="25"/>
  <c r="H25" i="25" s="1"/>
  <c r="G26" i="25"/>
  <c r="H26" i="25" s="1"/>
  <c r="AJ10" i="25"/>
  <c r="G33" i="25"/>
  <c r="H33" i="25" s="1"/>
  <c r="BW142" i="20"/>
  <c r="BW143" i="20" s="1"/>
  <c r="BZ142" i="20" s="1"/>
  <c r="BJ145" i="20"/>
  <c r="BP142" i="20" s="1"/>
  <c r="BT132" i="20"/>
  <c r="BT133" i="20" s="1"/>
  <c r="BZ131" i="20" s="1"/>
  <c r="BZ133" i="20" s="1"/>
  <c r="BZ135" i="20" s="1"/>
  <c r="CS30" i="20" s="1"/>
  <c r="BJ132" i="20"/>
  <c r="P94" i="23"/>
  <c r="P98" i="23"/>
  <c r="P82" i="23"/>
  <c r="P88" i="23"/>
  <c r="P80" i="23"/>
  <c r="P84" i="23"/>
  <c r="P86" i="23"/>
  <c r="P90" i="23"/>
  <c r="P96" i="23"/>
  <c r="P92" i="23"/>
  <c r="BM87" i="20"/>
  <c r="BM90" i="20" s="1"/>
  <c r="BP88" i="20" s="1"/>
  <c r="CD88" i="20"/>
  <c r="CD90" i="20" s="1"/>
  <c r="CR21" i="20" s="1"/>
  <c r="I123" i="21"/>
  <c r="I132" i="21"/>
  <c r="I138" i="21"/>
  <c r="I121" i="21"/>
  <c r="I131" i="21"/>
  <c r="I124" i="21"/>
  <c r="I139" i="21"/>
  <c r="I137" i="21"/>
  <c r="I136" i="21"/>
  <c r="I122" i="21"/>
  <c r="I134" i="21"/>
  <c r="I133" i="21"/>
  <c r="I129" i="21"/>
  <c r="I117" i="21"/>
  <c r="I127" i="21"/>
  <c r="I126" i="21"/>
  <c r="I119" i="21"/>
  <c r="I116" i="21"/>
  <c r="I118" i="21"/>
  <c r="I128" i="21"/>
  <c r="E117" i="24"/>
  <c r="E115" i="24"/>
  <c r="F72" i="25"/>
  <c r="Q45" i="27" s="1"/>
  <c r="U45" i="27" s="1"/>
  <c r="F66" i="25"/>
  <c r="Q39" i="27" s="1"/>
  <c r="U39" i="27" s="1"/>
  <c r="F83" i="25"/>
  <c r="F75" i="25"/>
  <c r="F63" i="25"/>
  <c r="F78" i="25"/>
  <c r="Q51" i="27" s="1"/>
  <c r="U51" i="27" s="1"/>
  <c r="F69" i="25"/>
  <c r="Q42" i="27" s="1"/>
  <c r="U42" i="27" s="1"/>
  <c r="F73" i="25"/>
  <c r="Q46" i="27" s="1"/>
  <c r="U46" i="27" s="1"/>
  <c r="F71" i="25"/>
  <c r="Q44" i="27" s="1"/>
  <c r="U44" i="27" s="1"/>
  <c r="F82" i="25"/>
  <c r="Q55" i="27" s="1"/>
  <c r="U55" i="27" s="1"/>
  <c r="F80" i="25"/>
  <c r="F84" i="25"/>
  <c r="F77" i="25"/>
  <c r="Q50" i="27" s="1"/>
  <c r="U50" i="27" s="1"/>
  <c r="F70" i="25"/>
  <c r="Q43" i="27" s="1"/>
  <c r="U43" i="27" s="1"/>
  <c r="F67" i="25"/>
  <c r="Q40" i="27" s="1"/>
  <c r="U40" i="27" s="1"/>
  <c r="F76" i="25"/>
  <c r="AR5" i="25"/>
  <c r="F81" i="25"/>
  <c r="Q54" i="27" s="1"/>
  <c r="U54" i="27" s="1"/>
  <c r="F79" i="25"/>
  <c r="F65" i="25"/>
  <c r="Q38" i="27" s="1"/>
  <c r="U38" i="27" s="1"/>
  <c r="F74" i="25"/>
  <c r="Q47" i="27" s="1"/>
  <c r="U47" i="27" s="1"/>
  <c r="F64" i="25"/>
  <c r="F68" i="25"/>
  <c r="Q41" i="27" s="1"/>
  <c r="U41" i="27" s="1"/>
  <c r="BM137" i="20"/>
  <c r="BM140" i="20" s="1"/>
  <c r="BP138" i="20" s="1"/>
  <c r="CD138" i="20"/>
  <c r="CD140" i="20" s="1"/>
  <c r="CR31" i="20" s="1"/>
  <c r="AK152" i="20"/>
  <c r="AK153" i="20" s="1"/>
  <c r="AQ151" i="20" s="1"/>
  <c r="AQ153" i="20" s="1"/>
  <c r="AQ155" i="20" s="1"/>
  <c r="CP34" i="20" s="1"/>
  <c r="AA152" i="20"/>
  <c r="CD18" i="20"/>
  <c r="CD20" i="20" s="1"/>
  <c r="CR7" i="20" s="1"/>
  <c r="BM17" i="20"/>
  <c r="BM20" i="20" s="1"/>
  <c r="BP18" i="20" s="1"/>
  <c r="AK27" i="20"/>
  <c r="AK28" i="20" s="1"/>
  <c r="AQ26" i="20" s="1"/>
  <c r="AQ28" i="20" s="1"/>
  <c r="AQ30" i="20" s="1"/>
  <c r="CP9" i="20" s="1"/>
  <c r="AA27" i="20"/>
  <c r="F20" i="23"/>
  <c r="I20" i="23" s="1"/>
  <c r="F17" i="23"/>
  <c r="I17" i="23" s="1"/>
  <c r="F14" i="23"/>
  <c r="I14" i="23" s="1"/>
  <c r="F28" i="23"/>
  <c r="I28" i="23" s="1"/>
  <c r="F36" i="23"/>
  <c r="I36" i="23" s="1"/>
  <c r="F33" i="23"/>
  <c r="I33" i="23" s="1"/>
  <c r="F39" i="23"/>
  <c r="I39" i="23" s="1"/>
  <c r="F19" i="23"/>
  <c r="I19" i="23" s="1"/>
  <c r="F31" i="23"/>
  <c r="I31" i="23" s="1"/>
  <c r="F25" i="23"/>
  <c r="I25" i="23" s="1"/>
  <c r="F37" i="23"/>
  <c r="I37" i="23" s="1"/>
  <c r="F34" i="23"/>
  <c r="I34" i="23" s="1"/>
  <c r="F22" i="23"/>
  <c r="I22" i="23" s="1"/>
  <c r="F15" i="23"/>
  <c r="I15" i="23" s="1"/>
  <c r="F35" i="23"/>
  <c r="I35" i="23" s="1"/>
  <c r="F16" i="23"/>
  <c r="I16" i="23" s="1"/>
  <c r="F13" i="23"/>
  <c r="I13" i="23" s="1"/>
  <c r="F32" i="23"/>
  <c r="I32" i="23" s="1"/>
  <c r="F21" i="23"/>
  <c r="I21" i="23" s="1"/>
  <c r="F18" i="23"/>
  <c r="I18" i="23" s="1"/>
  <c r="F23" i="23"/>
  <c r="I23" i="23" s="1"/>
  <c r="F40" i="23"/>
  <c r="I40" i="23" s="1"/>
  <c r="F29" i="23"/>
  <c r="I29" i="23" s="1"/>
  <c r="F26" i="23"/>
  <c r="I26" i="23" s="1"/>
  <c r="F41" i="23"/>
  <c r="I41" i="23" s="1"/>
  <c r="F30" i="23"/>
  <c r="I30" i="23" s="1"/>
  <c r="F27" i="23"/>
  <c r="I27" i="23" s="1"/>
  <c r="F38" i="23"/>
  <c r="I38" i="23" s="1"/>
  <c r="F24" i="23"/>
  <c r="I24" i="23" s="1"/>
  <c r="BJ22" i="20"/>
  <c r="BT22" i="20"/>
  <c r="BT23" i="20" s="1"/>
  <c r="BZ21" i="20" s="1"/>
  <c r="BZ23" i="20" s="1"/>
  <c r="BZ25" i="20" s="1"/>
  <c r="CS8" i="20" s="1"/>
  <c r="AK117" i="20"/>
  <c r="AK118" i="20" s="1"/>
  <c r="AQ116" i="20" s="1"/>
  <c r="AQ118" i="20" s="1"/>
  <c r="AQ120" i="20" s="1"/>
  <c r="CP27" i="20" s="1"/>
  <c r="AA117" i="20"/>
  <c r="P28" i="25"/>
  <c r="P31" i="25"/>
  <c r="P23" i="25"/>
  <c r="P24" i="25"/>
  <c r="P27" i="25"/>
  <c r="AT7" i="25"/>
  <c r="P32" i="25"/>
  <c r="AQ7" i="25"/>
  <c r="F10" i="21"/>
  <c r="F12" i="21"/>
  <c r="F13" i="21"/>
  <c r="F11" i="21"/>
  <c r="F26" i="24"/>
  <c r="I26" i="24" s="1"/>
  <c r="F16" i="24"/>
  <c r="I16" i="24" s="1"/>
  <c r="F13" i="24"/>
  <c r="I13" i="24" s="1"/>
  <c r="F33" i="24"/>
  <c r="I33" i="24" s="1"/>
  <c r="F31" i="24"/>
  <c r="F15" i="24"/>
  <c r="I15" i="24" s="1"/>
  <c r="F34" i="24"/>
  <c r="I34" i="24" s="1"/>
  <c r="F27" i="24"/>
  <c r="F30" i="24"/>
  <c r="I30" i="24" s="1"/>
  <c r="F18" i="24"/>
  <c r="I18" i="24" s="1"/>
  <c r="F32" i="24"/>
  <c r="F22" i="24"/>
  <c r="I22" i="24" s="1"/>
  <c r="F23" i="24"/>
  <c r="F19" i="24"/>
  <c r="I19" i="24" s="1"/>
  <c r="F21" i="24"/>
  <c r="I21" i="24" s="1"/>
  <c r="F20" i="24"/>
  <c r="I20" i="24" s="1"/>
  <c r="F14" i="24"/>
  <c r="I14" i="24" s="1"/>
  <c r="F17" i="24"/>
  <c r="I17" i="24" s="1"/>
  <c r="F28" i="24"/>
  <c r="F25" i="24"/>
  <c r="I25" i="24" s="1"/>
  <c r="BJ45" i="20"/>
  <c r="BP42" i="20" s="1"/>
  <c r="BW42" i="20"/>
  <c r="BW43" i="20" s="1"/>
  <c r="BZ42" i="20" s="1"/>
  <c r="AC137" i="21"/>
  <c r="AC133" i="21"/>
  <c r="AC124" i="21"/>
  <c r="AC121" i="21"/>
  <c r="AC138" i="21"/>
  <c r="AC136" i="21"/>
  <c r="AC122" i="21"/>
  <c r="AC131" i="21"/>
  <c r="AC123" i="21"/>
  <c r="AC134" i="21"/>
  <c r="AC132" i="21"/>
  <c r="AC139" i="21"/>
  <c r="AC118" i="21"/>
  <c r="AC129" i="21"/>
  <c r="AC116" i="21"/>
  <c r="AC128" i="21"/>
  <c r="AC126" i="21"/>
  <c r="AC117" i="21"/>
  <c r="AC127" i="21"/>
  <c r="AC119" i="21"/>
  <c r="AK67" i="20"/>
  <c r="AK68" i="20" s="1"/>
  <c r="AQ66" i="20" s="1"/>
  <c r="AQ68" i="20" s="1"/>
  <c r="AQ70" i="20" s="1"/>
  <c r="CP17" i="20" s="1"/>
  <c r="AA67" i="20"/>
  <c r="AD117" i="20"/>
  <c r="AD120" i="20" s="1"/>
  <c r="AG118" i="20" s="1"/>
  <c r="AU118" i="20"/>
  <c r="AU120" i="20" s="1"/>
  <c r="CO27" i="20" s="1"/>
  <c r="G7" i="21"/>
  <c r="G9" i="21" s="1"/>
  <c r="H6" i="21"/>
  <c r="F20" i="25"/>
  <c r="I20" i="25" s="1"/>
  <c r="F32" i="25"/>
  <c r="F24" i="25"/>
  <c r="F21" i="25"/>
  <c r="I21" i="25" s="1"/>
  <c r="F27" i="25"/>
  <c r="F18" i="25"/>
  <c r="I18" i="25" s="1"/>
  <c r="F15" i="25"/>
  <c r="I15" i="25" s="1"/>
  <c r="F33" i="25"/>
  <c r="I33" i="25" s="1"/>
  <c r="F25" i="25"/>
  <c r="I25" i="25" s="1"/>
  <c r="F22" i="25"/>
  <c r="I22" i="25" s="1"/>
  <c r="F34" i="25"/>
  <c r="I34" i="25" s="1"/>
  <c r="F13" i="25"/>
  <c r="I13" i="25" s="1"/>
  <c r="F28" i="25"/>
  <c r="F31" i="25"/>
  <c r="F17" i="25"/>
  <c r="I17" i="25" s="1"/>
  <c r="F14" i="25"/>
  <c r="I14" i="25" s="1"/>
  <c r="F26" i="25"/>
  <c r="I26" i="25" s="1"/>
  <c r="F16" i="25"/>
  <c r="I16" i="25" s="1"/>
  <c r="F30" i="25"/>
  <c r="I30" i="25" s="1"/>
  <c r="F29" i="25"/>
  <c r="I29" i="25" s="1"/>
  <c r="F23" i="25"/>
  <c r="F19" i="25"/>
  <c r="I19" i="25" s="1"/>
  <c r="P129" i="24"/>
  <c r="P125" i="24"/>
  <c r="P121" i="24"/>
  <c r="AT9" i="24"/>
  <c r="Q121" i="24" s="1"/>
  <c r="P130" i="24"/>
  <c r="P122" i="24"/>
  <c r="AQ9" i="24"/>
  <c r="P126" i="24"/>
  <c r="E21" i="24"/>
  <c r="E22" i="24"/>
  <c r="E20" i="24"/>
  <c r="BJ7" i="20"/>
  <c r="BT7" i="20"/>
  <c r="BT8" i="20" s="1"/>
  <c r="BZ6" i="20" s="1"/>
  <c r="BZ8" i="20" s="1"/>
  <c r="BZ10" i="20" s="1"/>
  <c r="CS5" i="20" s="1"/>
  <c r="AD67" i="20"/>
  <c r="AD70" i="20" s="1"/>
  <c r="AG68" i="20" s="1"/>
  <c r="AU68" i="20"/>
  <c r="AU70" i="20" s="1"/>
  <c r="CO17" i="20" s="1"/>
  <c r="BW132" i="20" l="1"/>
  <c r="BW133" i="20" s="1"/>
  <c r="BZ132" i="20" s="1"/>
  <c r="BJ135" i="20"/>
  <c r="BP132" i="20" s="1"/>
  <c r="BW122" i="20"/>
  <c r="BW123" i="20" s="1"/>
  <c r="BZ122" i="20" s="1"/>
  <c r="BJ125" i="20"/>
  <c r="BP122" i="20" s="1"/>
  <c r="R130" i="24"/>
  <c r="S130" i="24" s="1"/>
  <c r="R126" i="24"/>
  <c r="S126" i="24" s="1"/>
  <c r="R122" i="24"/>
  <c r="S122" i="24" s="1"/>
  <c r="R116" i="24"/>
  <c r="S116" i="24" s="1"/>
  <c r="R112" i="24"/>
  <c r="S112" i="24" s="1"/>
  <c r="R117" i="24"/>
  <c r="S117" i="24" s="1"/>
  <c r="R113" i="24"/>
  <c r="S113" i="24" s="1"/>
  <c r="R115" i="24"/>
  <c r="S115" i="24" s="1"/>
  <c r="R125" i="24"/>
  <c r="S125" i="24" s="1"/>
  <c r="R114" i="24"/>
  <c r="S114" i="24" s="1"/>
  <c r="R129" i="24"/>
  <c r="S129" i="24" s="1"/>
  <c r="R121" i="24"/>
  <c r="S121" i="24" s="1"/>
  <c r="R111" i="24"/>
  <c r="S111" i="24" s="1"/>
  <c r="R120" i="24"/>
  <c r="S120" i="24" s="1"/>
  <c r="R119" i="24"/>
  <c r="S119" i="24" s="1"/>
  <c r="R118" i="24"/>
  <c r="S118" i="24" s="1"/>
  <c r="AA45" i="20"/>
  <c r="AG42" i="20" s="1"/>
  <c r="AN42" i="20"/>
  <c r="AN43" i="20" s="1"/>
  <c r="AQ42" i="20" s="1"/>
  <c r="H7" i="21"/>
  <c r="H9" i="21" s="1"/>
  <c r="I6" i="21"/>
  <c r="Q32" i="24"/>
  <c r="Q29" i="24"/>
  <c r="T29" i="24" s="1"/>
  <c r="Q31" i="24"/>
  <c r="Q25" i="24"/>
  <c r="T25" i="24" s="1"/>
  <c r="Q27" i="24"/>
  <c r="Q30" i="24"/>
  <c r="T30" i="24" s="1"/>
  <c r="Q24" i="24"/>
  <c r="Q34" i="24"/>
  <c r="T34" i="24" s="1"/>
  <c r="Q26" i="24"/>
  <c r="T26" i="24" s="1"/>
  <c r="Q28" i="24"/>
  <c r="T28" i="24" s="1"/>
  <c r="Q33" i="24"/>
  <c r="T33" i="24" s="1"/>
  <c r="Q23" i="24"/>
  <c r="F75" i="24"/>
  <c r="I75" i="24" s="1"/>
  <c r="G132" i="25"/>
  <c r="H132" i="25" s="1"/>
  <c r="BW72" i="20"/>
  <c r="BW73" i="20" s="1"/>
  <c r="BZ72" i="20" s="1"/>
  <c r="BJ75" i="20"/>
  <c r="BP72" i="20" s="1"/>
  <c r="I65" i="25"/>
  <c r="I69" i="25"/>
  <c r="I71" i="25"/>
  <c r="F123" i="24"/>
  <c r="I123" i="24" s="1"/>
  <c r="G132" i="24"/>
  <c r="H132" i="24" s="1"/>
  <c r="I72" i="25"/>
  <c r="T45" i="27" s="1"/>
  <c r="I66" i="25"/>
  <c r="T39" i="27" s="1"/>
  <c r="I70" i="25"/>
  <c r="Q128" i="24"/>
  <c r="T128" i="24" s="1"/>
  <c r="Q125" i="24"/>
  <c r="Q57" i="27"/>
  <c r="U57" i="27" s="1"/>
  <c r="I84" i="25"/>
  <c r="T57" i="27" s="1"/>
  <c r="AN22" i="20"/>
  <c r="AN23" i="20" s="1"/>
  <c r="AQ22" i="20" s="1"/>
  <c r="AA25" i="20"/>
  <c r="AG22" i="20" s="1"/>
  <c r="CS36" i="20"/>
  <c r="G13" i="21"/>
  <c r="G10" i="21"/>
  <c r="G11" i="21"/>
  <c r="G12" i="21"/>
  <c r="F79" i="24"/>
  <c r="I79" i="24" s="1"/>
  <c r="F74" i="24"/>
  <c r="F127" i="24"/>
  <c r="I127" i="24" s="1"/>
  <c r="BW87" i="20"/>
  <c r="BW88" i="20" s="1"/>
  <c r="BZ87" i="20" s="1"/>
  <c r="BJ90" i="20"/>
  <c r="BP87" i="20" s="1"/>
  <c r="T120" i="25"/>
  <c r="T114" i="25"/>
  <c r="T118" i="25"/>
  <c r="Q129" i="24"/>
  <c r="T129" i="24" s="1"/>
  <c r="I23" i="24"/>
  <c r="I24" i="24"/>
  <c r="I27" i="24"/>
  <c r="I32" i="24"/>
  <c r="I31" i="24"/>
  <c r="I28" i="24"/>
  <c r="G79" i="24"/>
  <c r="H79" i="24" s="1"/>
  <c r="I118" i="25"/>
  <c r="I114" i="25"/>
  <c r="I120" i="25"/>
  <c r="T78" i="24"/>
  <c r="T74" i="24"/>
  <c r="T82" i="24"/>
  <c r="T73" i="24"/>
  <c r="T77" i="24"/>
  <c r="T81" i="24"/>
  <c r="BW147" i="20"/>
  <c r="BW148" i="20" s="1"/>
  <c r="BZ147" i="20" s="1"/>
  <c r="BJ150" i="20"/>
  <c r="BP147" i="20" s="1"/>
  <c r="Q48" i="27"/>
  <c r="U48" i="27" s="1"/>
  <c r="I75" i="25"/>
  <c r="T48" i="27" s="1"/>
  <c r="G124" i="25"/>
  <c r="H124" i="25" s="1"/>
  <c r="F126" i="25"/>
  <c r="I126" i="25" s="1"/>
  <c r="P19" i="25"/>
  <c r="P15" i="25"/>
  <c r="P21" i="25"/>
  <c r="BW62" i="20"/>
  <c r="BW63" i="20" s="1"/>
  <c r="BZ62" i="20" s="1"/>
  <c r="BJ65" i="20"/>
  <c r="BP62" i="20" s="1"/>
  <c r="F131" i="24"/>
  <c r="I131" i="24" s="1"/>
  <c r="BW57" i="20"/>
  <c r="BW58" i="20" s="1"/>
  <c r="BZ57" i="20" s="1"/>
  <c r="BJ60" i="20"/>
  <c r="BP57" i="20" s="1"/>
  <c r="BW152" i="20"/>
  <c r="BW153" i="20" s="1"/>
  <c r="BZ152" i="20" s="1"/>
  <c r="BJ155" i="20"/>
  <c r="BP152" i="20" s="1"/>
  <c r="R124" i="25"/>
  <c r="S124" i="25" s="1"/>
  <c r="R124" i="24"/>
  <c r="S124" i="24" s="1"/>
  <c r="G83" i="24"/>
  <c r="H83" i="24" s="1"/>
  <c r="P69" i="25"/>
  <c r="P65" i="25"/>
  <c r="G71" i="25"/>
  <c r="G65" i="25"/>
  <c r="G78" i="25"/>
  <c r="G69" i="25"/>
  <c r="G66" i="25"/>
  <c r="G81" i="25"/>
  <c r="G73" i="25"/>
  <c r="G70" i="25"/>
  <c r="G67" i="25"/>
  <c r="G64" i="25"/>
  <c r="G63" i="25"/>
  <c r="G74" i="25"/>
  <c r="G72" i="25"/>
  <c r="G82" i="25"/>
  <c r="G68" i="25"/>
  <c r="G77" i="25"/>
  <c r="I63" i="25"/>
  <c r="T36" i="27" s="1"/>
  <c r="G121" i="27" s="1"/>
  <c r="Q36" i="27"/>
  <c r="BW7" i="20"/>
  <c r="BW8" i="20" s="1"/>
  <c r="BZ7" i="20" s="1"/>
  <c r="BJ10" i="20"/>
  <c r="BP7" i="20" s="1"/>
  <c r="AN117" i="20"/>
  <c r="AN118" i="20" s="1"/>
  <c r="AQ117" i="20" s="1"/>
  <c r="AA120" i="20"/>
  <c r="AG117" i="20" s="1"/>
  <c r="Q49" i="27"/>
  <c r="U49" i="27" s="1"/>
  <c r="I76" i="25"/>
  <c r="T49" i="27" s="1"/>
  <c r="F81" i="24"/>
  <c r="AN152" i="20"/>
  <c r="AN153" i="20" s="1"/>
  <c r="AQ152" i="20" s="1"/>
  <c r="AA155" i="20"/>
  <c r="AG152" i="20" s="1"/>
  <c r="Q56" i="27"/>
  <c r="U56" i="27" s="1"/>
  <c r="I83" i="25"/>
  <c r="T56" i="27" s="1"/>
  <c r="F83" i="24"/>
  <c r="I83" i="24" s="1"/>
  <c r="G123" i="25"/>
  <c r="H123" i="25" s="1"/>
  <c r="F130" i="25"/>
  <c r="I130" i="25" s="1"/>
  <c r="CP36" i="20"/>
  <c r="F126" i="24"/>
  <c r="I126" i="24" s="1"/>
  <c r="F121" i="24"/>
  <c r="I121" i="24" s="1"/>
  <c r="R150" i="23"/>
  <c r="S150" i="23" s="1"/>
  <c r="R147" i="23"/>
  <c r="S147" i="23" s="1"/>
  <c r="R137" i="23"/>
  <c r="S137" i="23" s="1"/>
  <c r="R134" i="23"/>
  <c r="S134" i="23" s="1"/>
  <c r="R129" i="23"/>
  <c r="S129" i="23" s="1"/>
  <c r="R144" i="23"/>
  <c r="S144" i="23" s="1"/>
  <c r="R141" i="23"/>
  <c r="S141" i="23" s="1"/>
  <c r="R125" i="23"/>
  <c r="S125" i="23" s="1"/>
  <c r="R148" i="23"/>
  <c r="S148" i="23" s="1"/>
  <c r="R138" i="23"/>
  <c r="S138" i="23" s="1"/>
  <c r="R135" i="23"/>
  <c r="S135" i="23" s="1"/>
  <c r="R132" i="23"/>
  <c r="S132" i="23" s="1"/>
  <c r="R152" i="23"/>
  <c r="S152" i="23" s="1"/>
  <c r="R145" i="23"/>
  <c r="S145" i="23" s="1"/>
  <c r="R142" i="23"/>
  <c r="S142" i="23" s="1"/>
  <c r="R127" i="23"/>
  <c r="S127" i="23" s="1"/>
  <c r="R146" i="23"/>
  <c r="S146" i="23" s="1"/>
  <c r="R126" i="23"/>
  <c r="S126" i="23" s="1"/>
  <c r="R153" i="23"/>
  <c r="S153" i="23" s="1"/>
  <c r="R149" i="23"/>
  <c r="S149" i="23" s="1"/>
  <c r="R130" i="23"/>
  <c r="S130" i="23" s="1"/>
  <c r="R139" i="23"/>
  <c r="S139" i="23" s="1"/>
  <c r="R128" i="23"/>
  <c r="S128" i="23" s="1"/>
  <c r="R151" i="23"/>
  <c r="S151" i="23" s="1"/>
  <c r="R133" i="23"/>
  <c r="S133" i="23" s="1"/>
  <c r="R140" i="23"/>
  <c r="S140" i="23" s="1"/>
  <c r="R136" i="23"/>
  <c r="S136" i="23" s="1"/>
  <c r="R143" i="23"/>
  <c r="S143" i="23" s="1"/>
  <c r="R131" i="23"/>
  <c r="S131" i="23" s="1"/>
  <c r="Q131" i="24"/>
  <c r="T131" i="24" s="1"/>
  <c r="G79" i="25"/>
  <c r="P72" i="25"/>
  <c r="T129" i="25"/>
  <c r="T126" i="25"/>
  <c r="T122" i="25"/>
  <c r="T125" i="25"/>
  <c r="T121" i="25"/>
  <c r="T130" i="25"/>
  <c r="R123" i="24"/>
  <c r="S123" i="24" s="1"/>
  <c r="I27" i="25"/>
  <c r="I31" i="25"/>
  <c r="I24" i="25"/>
  <c r="I32" i="25"/>
  <c r="I28" i="25"/>
  <c r="I23" i="25"/>
  <c r="G71" i="24"/>
  <c r="H71" i="24" s="1"/>
  <c r="G72" i="24"/>
  <c r="H72" i="24" s="1"/>
  <c r="G81" i="24"/>
  <c r="H81" i="24" s="1"/>
  <c r="G64" i="24"/>
  <c r="H64" i="24" s="1"/>
  <c r="G66" i="24"/>
  <c r="H66" i="24" s="1"/>
  <c r="G74" i="24"/>
  <c r="H74" i="24" s="1"/>
  <c r="G63" i="24"/>
  <c r="H63" i="24" s="1"/>
  <c r="G78" i="24"/>
  <c r="H78" i="24" s="1"/>
  <c r="G70" i="24"/>
  <c r="H70" i="24" s="1"/>
  <c r="G65" i="24"/>
  <c r="H65" i="24" s="1"/>
  <c r="G82" i="24"/>
  <c r="H82" i="24" s="1"/>
  <c r="G68" i="24"/>
  <c r="H68" i="24" s="1"/>
  <c r="G77" i="24"/>
  <c r="H77" i="24" s="1"/>
  <c r="G73" i="24"/>
  <c r="H73" i="24" s="1"/>
  <c r="G69" i="24"/>
  <c r="H69" i="24" s="1"/>
  <c r="G67" i="24"/>
  <c r="H67" i="24" s="1"/>
  <c r="F76" i="24"/>
  <c r="I76" i="24" s="1"/>
  <c r="G148" i="23"/>
  <c r="H148" i="23" s="1"/>
  <c r="G142" i="23"/>
  <c r="H142" i="23" s="1"/>
  <c r="G136" i="23"/>
  <c r="H136" i="23" s="1"/>
  <c r="G149" i="23"/>
  <c r="H149" i="23" s="1"/>
  <c r="G143" i="23"/>
  <c r="H143" i="23" s="1"/>
  <c r="G137" i="23"/>
  <c r="H137" i="23" s="1"/>
  <c r="G133" i="23"/>
  <c r="H133" i="23" s="1"/>
  <c r="G146" i="23"/>
  <c r="H146" i="23" s="1"/>
  <c r="G131" i="23"/>
  <c r="H131" i="23" s="1"/>
  <c r="G127" i="23"/>
  <c r="H127" i="23" s="1"/>
  <c r="G150" i="23"/>
  <c r="H150" i="23" s="1"/>
  <c r="G135" i="23"/>
  <c r="H135" i="23" s="1"/>
  <c r="G130" i="23"/>
  <c r="H130" i="23" s="1"/>
  <c r="G128" i="23"/>
  <c r="H128" i="23" s="1"/>
  <c r="G140" i="23"/>
  <c r="H140" i="23" s="1"/>
  <c r="G125" i="23"/>
  <c r="H125" i="23" s="1"/>
  <c r="G151" i="23"/>
  <c r="H151" i="23" s="1"/>
  <c r="G145" i="23"/>
  <c r="H145" i="23" s="1"/>
  <c r="G141" i="23"/>
  <c r="H141" i="23" s="1"/>
  <c r="G126" i="23"/>
  <c r="H126" i="23" s="1"/>
  <c r="G153" i="23"/>
  <c r="H153" i="23" s="1"/>
  <c r="G147" i="23"/>
  <c r="H147" i="23" s="1"/>
  <c r="G129" i="23"/>
  <c r="H129" i="23" s="1"/>
  <c r="G134" i="23"/>
  <c r="H134" i="23" s="1"/>
  <c r="G132" i="23"/>
  <c r="H132" i="23" s="1"/>
  <c r="G152" i="23"/>
  <c r="H152" i="23" s="1"/>
  <c r="G139" i="23"/>
  <c r="H139" i="23" s="1"/>
  <c r="G138" i="23"/>
  <c r="H138" i="23" s="1"/>
  <c r="G144" i="23"/>
  <c r="H144" i="23" s="1"/>
  <c r="AN7" i="20"/>
  <c r="AN8" i="20" s="1"/>
  <c r="AQ7" i="20" s="1"/>
  <c r="AA10" i="20"/>
  <c r="AG7" i="20" s="1"/>
  <c r="F125" i="24"/>
  <c r="I125" i="24" s="1"/>
  <c r="AN82" i="20"/>
  <c r="AN83" i="20" s="1"/>
  <c r="AQ82" i="20" s="1"/>
  <c r="AA85" i="20"/>
  <c r="AG82" i="20" s="1"/>
  <c r="I113" i="25"/>
  <c r="I117" i="25"/>
  <c r="I119" i="25"/>
  <c r="Q124" i="24"/>
  <c r="T124" i="24" s="1"/>
  <c r="G80" i="25"/>
  <c r="P70" i="25"/>
  <c r="BW157" i="20"/>
  <c r="BW158" i="20" s="1"/>
  <c r="BZ157" i="20" s="1"/>
  <c r="BJ160" i="20"/>
  <c r="BP157" i="20" s="1"/>
  <c r="R131" i="24"/>
  <c r="S131" i="24" s="1"/>
  <c r="G84" i="24"/>
  <c r="H84" i="24" s="1"/>
  <c r="AN92" i="20"/>
  <c r="AN93" i="20" s="1"/>
  <c r="AQ92" i="20" s="1"/>
  <c r="AA95" i="20"/>
  <c r="AG92" i="20" s="1"/>
  <c r="BW22" i="20"/>
  <c r="BW23" i="20" s="1"/>
  <c r="BZ22" i="20" s="1"/>
  <c r="BJ25" i="20"/>
  <c r="BP22" i="20" s="1"/>
  <c r="BW17" i="20"/>
  <c r="BW18" i="20" s="1"/>
  <c r="BZ17" i="20" s="1"/>
  <c r="BJ20" i="20"/>
  <c r="BP17" i="20" s="1"/>
  <c r="G129" i="25"/>
  <c r="H129" i="25" s="1"/>
  <c r="G125" i="25"/>
  <c r="H125" i="25" s="1"/>
  <c r="G121" i="25"/>
  <c r="H121" i="25" s="1"/>
  <c r="G115" i="25"/>
  <c r="H115" i="25" s="1"/>
  <c r="G112" i="25"/>
  <c r="H112" i="25" s="1"/>
  <c r="G116" i="25"/>
  <c r="H116" i="25" s="1"/>
  <c r="G130" i="25"/>
  <c r="H130" i="25" s="1"/>
  <c r="G118" i="25"/>
  <c r="H118" i="25" s="1"/>
  <c r="G111" i="25"/>
  <c r="H111" i="25" s="1"/>
  <c r="G126" i="25"/>
  <c r="H126" i="25" s="1"/>
  <c r="G117" i="25"/>
  <c r="H117" i="25" s="1"/>
  <c r="G113" i="25"/>
  <c r="H113" i="25" s="1"/>
  <c r="G119" i="25"/>
  <c r="H119" i="25" s="1"/>
  <c r="G122" i="25"/>
  <c r="H122" i="25" s="1"/>
  <c r="G120" i="25"/>
  <c r="H120" i="25" s="1"/>
  <c r="G114" i="25"/>
  <c r="H114" i="25" s="1"/>
  <c r="T119" i="25"/>
  <c r="T117" i="25"/>
  <c r="T113" i="25"/>
  <c r="BJ120" i="20"/>
  <c r="BP117" i="20" s="1"/>
  <c r="BW117" i="20"/>
  <c r="BW118" i="20" s="1"/>
  <c r="BZ117" i="20" s="1"/>
  <c r="R119" i="25"/>
  <c r="S119" i="25" s="1"/>
  <c r="R113" i="25"/>
  <c r="S113" i="25" s="1"/>
  <c r="R118" i="25"/>
  <c r="S118" i="25" s="1"/>
  <c r="R125" i="25"/>
  <c r="S125" i="25" s="1"/>
  <c r="R121" i="25"/>
  <c r="S121" i="25" s="1"/>
  <c r="R116" i="25"/>
  <c r="S116" i="25" s="1"/>
  <c r="R129" i="25"/>
  <c r="S129" i="25" s="1"/>
  <c r="R117" i="25"/>
  <c r="S117" i="25" s="1"/>
  <c r="R114" i="25"/>
  <c r="S114" i="25" s="1"/>
  <c r="R111" i="25"/>
  <c r="S111" i="25" s="1"/>
  <c r="R126" i="25"/>
  <c r="S126" i="25" s="1"/>
  <c r="R120" i="25"/>
  <c r="S120" i="25" s="1"/>
  <c r="R115" i="25"/>
  <c r="S115" i="25" s="1"/>
  <c r="R122" i="25"/>
  <c r="S122" i="25" s="1"/>
  <c r="R112" i="25"/>
  <c r="S112" i="25" s="1"/>
  <c r="R130" i="25"/>
  <c r="S130" i="25" s="1"/>
  <c r="I81" i="25"/>
  <c r="T54" i="27" s="1"/>
  <c r="I73" i="25"/>
  <c r="T46" i="27" s="1"/>
  <c r="I82" i="25"/>
  <c r="T55" i="27" s="1"/>
  <c r="I74" i="25"/>
  <c r="T47" i="27" s="1"/>
  <c r="I77" i="25"/>
  <c r="T50" i="27" s="1"/>
  <c r="I78" i="25"/>
  <c r="Q132" i="24"/>
  <c r="T132" i="24" s="1"/>
  <c r="R123" i="25"/>
  <c r="S123" i="25" s="1"/>
  <c r="G75" i="25"/>
  <c r="AA60" i="20"/>
  <c r="AG57" i="20" s="1"/>
  <c r="AN57" i="20"/>
  <c r="AN58" i="20" s="1"/>
  <c r="AQ57" i="20" s="1"/>
  <c r="AN127" i="20"/>
  <c r="AN128" i="20" s="1"/>
  <c r="AQ127" i="20" s="1"/>
  <c r="AA130" i="20"/>
  <c r="AG127" i="20" s="1"/>
  <c r="R127" i="24"/>
  <c r="S127" i="24" s="1"/>
  <c r="AN62" i="20"/>
  <c r="AN63" i="20" s="1"/>
  <c r="AQ62" i="20" s="1"/>
  <c r="AA65" i="20"/>
  <c r="AG62" i="20" s="1"/>
  <c r="R128" i="24"/>
  <c r="S128" i="24" s="1"/>
  <c r="CR36" i="20"/>
  <c r="E15" i="25"/>
  <c r="E19" i="25"/>
  <c r="F78" i="24"/>
  <c r="AN37" i="20"/>
  <c r="AN38" i="20" s="1"/>
  <c r="AQ37" i="20" s="1"/>
  <c r="AA40" i="20"/>
  <c r="AG37" i="20" s="1"/>
  <c r="R131" i="25"/>
  <c r="S131" i="25" s="1"/>
  <c r="G76" i="25"/>
  <c r="AN112" i="20"/>
  <c r="AN113" i="20" s="1"/>
  <c r="AQ112" i="20" s="1"/>
  <c r="AA115" i="20"/>
  <c r="AG112" i="20" s="1"/>
  <c r="AN67" i="20"/>
  <c r="AN68" i="20" s="1"/>
  <c r="AQ67" i="20" s="1"/>
  <c r="AA70" i="20"/>
  <c r="AG67" i="20" s="1"/>
  <c r="BW37" i="20"/>
  <c r="BW38" i="20" s="1"/>
  <c r="BZ37" i="20" s="1"/>
  <c r="BJ40" i="20"/>
  <c r="BP37" i="20" s="1"/>
  <c r="R56" i="27"/>
  <c r="S56" i="27" s="1"/>
  <c r="H83" i="25"/>
  <c r="T125" i="24"/>
  <c r="T122" i="24"/>
  <c r="T121" i="24"/>
  <c r="T126" i="24"/>
  <c r="Q53" i="27"/>
  <c r="U53" i="27" s="1"/>
  <c r="I80" i="25"/>
  <c r="T53" i="27" s="1"/>
  <c r="Q123" i="24"/>
  <c r="T123" i="24" s="1"/>
  <c r="Q122" i="24"/>
  <c r="F29" i="24"/>
  <c r="I29" i="24" s="1"/>
  <c r="Q26" i="25"/>
  <c r="T26" i="25" s="1"/>
  <c r="Q31" i="25"/>
  <c r="Q32" i="25"/>
  <c r="Q29" i="25"/>
  <c r="T29" i="25" s="1"/>
  <c r="Q27" i="25"/>
  <c r="Q24" i="25"/>
  <c r="T24" i="25" s="1"/>
  <c r="Q30" i="25"/>
  <c r="T30" i="25" s="1"/>
  <c r="Q23" i="25"/>
  <c r="T23" i="25" s="1"/>
  <c r="Q33" i="25"/>
  <c r="T33" i="25" s="1"/>
  <c r="Q34" i="25"/>
  <c r="T34" i="25" s="1"/>
  <c r="Q28" i="25"/>
  <c r="Q25" i="25"/>
  <c r="T25" i="25" s="1"/>
  <c r="I64" i="25"/>
  <c r="T37" i="27" s="1"/>
  <c r="Q37" i="27"/>
  <c r="U37" i="27" s="1"/>
  <c r="T44" i="27"/>
  <c r="T15" i="25"/>
  <c r="T19" i="25"/>
  <c r="T21" i="25"/>
  <c r="F121" i="25"/>
  <c r="I121" i="25" s="1"/>
  <c r="F124" i="24"/>
  <c r="I124" i="24" s="1"/>
  <c r="G127" i="24"/>
  <c r="H127" i="24" s="1"/>
  <c r="I122" i="25"/>
  <c r="I125" i="25"/>
  <c r="BW97" i="20"/>
  <c r="BW98" i="20" s="1"/>
  <c r="BZ97" i="20" s="1"/>
  <c r="BJ100" i="20"/>
  <c r="BP97" i="20" s="1"/>
  <c r="T51" i="27"/>
  <c r="E118" i="25"/>
  <c r="BW77" i="20"/>
  <c r="BW78" i="20" s="1"/>
  <c r="BZ77" i="20" s="1"/>
  <c r="BJ80" i="20"/>
  <c r="BP77" i="20" s="1"/>
  <c r="Q126" i="24"/>
  <c r="P120" i="25"/>
  <c r="BW102" i="20"/>
  <c r="BW103" i="20" s="1"/>
  <c r="BZ102" i="20" s="1"/>
  <c r="BJ105" i="20"/>
  <c r="BP102" i="20" s="1"/>
  <c r="R132" i="25"/>
  <c r="S132" i="25" s="1"/>
  <c r="G84" i="25"/>
  <c r="P113" i="25"/>
  <c r="P117" i="25"/>
  <c r="AA35" i="20"/>
  <c r="AG32" i="20" s="1"/>
  <c r="AN32" i="20"/>
  <c r="AN33" i="20" s="1"/>
  <c r="AQ32" i="20" s="1"/>
  <c r="R132" i="24"/>
  <c r="S132" i="24" s="1"/>
  <c r="E117" i="25"/>
  <c r="E113" i="25"/>
  <c r="P16" i="25"/>
  <c r="P22" i="25"/>
  <c r="P20" i="25"/>
  <c r="Q130" i="24"/>
  <c r="T130" i="24" s="1"/>
  <c r="T82" i="25"/>
  <c r="T74" i="25"/>
  <c r="T77" i="25"/>
  <c r="T73" i="25"/>
  <c r="T78" i="25"/>
  <c r="T81" i="25"/>
  <c r="E21" i="25"/>
  <c r="I129" i="24"/>
  <c r="I130" i="24"/>
  <c r="I122" i="24"/>
  <c r="AN132" i="20"/>
  <c r="AN133" i="20" s="1"/>
  <c r="AQ132" i="20" s="1"/>
  <c r="AA135" i="20"/>
  <c r="AG132" i="20" s="1"/>
  <c r="BW92" i="20"/>
  <c r="BW93" i="20" s="1"/>
  <c r="BZ92" i="20" s="1"/>
  <c r="BJ95" i="20"/>
  <c r="BP92" i="20" s="1"/>
  <c r="Q127" i="24"/>
  <c r="T127" i="24" s="1"/>
  <c r="P118" i="25"/>
  <c r="G75" i="24"/>
  <c r="H75" i="24" s="1"/>
  <c r="AN52" i="20"/>
  <c r="AN53" i="20" s="1"/>
  <c r="AQ52" i="20" s="1"/>
  <c r="AA55" i="20"/>
  <c r="AG52" i="20" s="1"/>
  <c r="AN72" i="20"/>
  <c r="AN73" i="20" s="1"/>
  <c r="AQ72" i="20" s="1"/>
  <c r="AA75" i="20"/>
  <c r="AG72" i="20" s="1"/>
  <c r="T32" i="25"/>
  <c r="T28" i="25"/>
  <c r="T31" i="25"/>
  <c r="T27" i="25"/>
  <c r="AN97" i="20"/>
  <c r="AN98" i="20" s="1"/>
  <c r="AQ97" i="20" s="1"/>
  <c r="AA100" i="20"/>
  <c r="AG97" i="20" s="1"/>
  <c r="G94" i="23"/>
  <c r="H94" i="23" s="1"/>
  <c r="G88" i="23"/>
  <c r="H88" i="23" s="1"/>
  <c r="G82" i="23"/>
  <c r="H82" i="23" s="1"/>
  <c r="G90" i="23"/>
  <c r="H90" i="23" s="1"/>
  <c r="G70" i="23"/>
  <c r="H70" i="23" s="1"/>
  <c r="G96" i="23"/>
  <c r="H96" i="23" s="1"/>
  <c r="G91" i="23"/>
  <c r="H91" i="23" s="1"/>
  <c r="G81" i="23"/>
  <c r="H81" i="23" s="1"/>
  <c r="G87" i="23"/>
  <c r="H87" i="23" s="1"/>
  <c r="G79" i="23"/>
  <c r="H79" i="23" s="1"/>
  <c r="G97" i="23"/>
  <c r="H97" i="23" s="1"/>
  <c r="G95" i="23"/>
  <c r="H95" i="23" s="1"/>
  <c r="G85" i="23"/>
  <c r="H85" i="23" s="1"/>
  <c r="G77" i="23"/>
  <c r="H77" i="23" s="1"/>
  <c r="G75" i="23"/>
  <c r="H75" i="23" s="1"/>
  <c r="G73" i="23"/>
  <c r="H73" i="23" s="1"/>
  <c r="G72" i="23"/>
  <c r="H72" i="23" s="1"/>
  <c r="G80" i="23"/>
  <c r="H80" i="23" s="1"/>
  <c r="G89" i="23"/>
  <c r="H89" i="23" s="1"/>
  <c r="G71" i="23"/>
  <c r="H71" i="23" s="1"/>
  <c r="G74" i="23"/>
  <c r="H74" i="23" s="1"/>
  <c r="G83" i="23"/>
  <c r="H83" i="23" s="1"/>
  <c r="G86" i="23"/>
  <c r="H86" i="23" s="1"/>
  <c r="G93" i="23"/>
  <c r="H93" i="23" s="1"/>
  <c r="G76" i="23"/>
  <c r="H76" i="23" s="1"/>
  <c r="G92" i="23"/>
  <c r="H92" i="23" s="1"/>
  <c r="G98" i="23"/>
  <c r="H98" i="23" s="1"/>
  <c r="G78" i="23"/>
  <c r="H78" i="23" s="1"/>
  <c r="G84" i="23"/>
  <c r="H84" i="23" s="1"/>
  <c r="BJ50" i="20"/>
  <c r="BP47" i="20" s="1"/>
  <c r="BW47" i="20"/>
  <c r="BW48" i="20" s="1"/>
  <c r="BZ47" i="20" s="1"/>
  <c r="AN157" i="20"/>
  <c r="AN158" i="20" s="1"/>
  <c r="AQ157" i="20" s="1"/>
  <c r="AA160" i="20"/>
  <c r="AG157" i="20" s="1"/>
  <c r="BW107" i="20"/>
  <c r="BW108" i="20" s="1"/>
  <c r="BZ107" i="20" s="1"/>
  <c r="BJ110" i="20"/>
  <c r="BP107" i="20" s="1"/>
  <c r="T43" i="27"/>
  <c r="T31" i="24"/>
  <c r="T32" i="24"/>
  <c r="T27" i="24"/>
  <c r="T24" i="24"/>
  <c r="T23" i="24"/>
  <c r="F82" i="24"/>
  <c r="I82" i="24" s="1"/>
  <c r="F129" i="25"/>
  <c r="I129" i="25" s="1"/>
  <c r="G119" i="24"/>
  <c r="H119" i="24" s="1"/>
  <c r="G114" i="24"/>
  <c r="H114" i="24" s="1"/>
  <c r="G111" i="24"/>
  <c r="H111" i="24" s="1"/>
  <c r="G120" i="24"/>
  <c r="H120" i="24" s="1"/>
  <c r="G129" i="24"/>
  <c r="H129" i="24" s="1"/>
  <c r="G125" i="24"/>
  <c r="H125" i="24" s="1"/>
  <c r="G121" i="24"/>
  <c r="H121" i="24" s="1"/>
  <c r="G115" i="24"/>
  <c r="H115" i="24" s="1"/>
  <c r="G118" i="24"/>
  <c r="H118" i="24" s="1"/>
  <c r="G117" i="24"/>
  <c r="H117" i="24" s="1"/>
  <c r="G126" i="24"/>
  <c r="H126" i="24" s="1"/>
  <c r="G122" i="24"/>
  <c r="H122" i="24" s="1"/>
  <c r="G113" i="24"/>
  <c r="H113" i="24" s="1"/>
  <c r="G130" i="24"/>
  <c r="H130" i="24" s="1"/>
  <c r="G112" i="24"/>
  <c r="H112" i="24" s="1"/>
  <c r="G116" i="24"/>
  <c r="H116" i="24" s="1"/>
  <c r="AN27" i="20"/>
  <c r="AN28" i="20" s="1"/>
  <c r="AQ27" i="20" s="1"/>
  <c r="AA30" i="20"/>
  <c r="AG27" i="20" s="1"/>
  <c r="Q52" i="27"/>
  <c r="U52" i="27" s="1"/>
  <c r="I79" i="25"/>
  <c r="T52" i="27" s="1"/>
  <c r="BW67" i="20"/>
  <c r="BW68" i="20" s="1"/>
  <c r="BZ67" i="20" s="1"/>
  <c r="BJ70" i="20"/>
  <c r="BP67" i="20" s="1"/>
  <c r="G128" i="25"/>
  <c r="H128" i="25" s="1"/>
  <c r="I81" i="24"/>
  <c r="I77" i="24"/>
  <c r="I73" i="24"/>
  <c r="I78" i="24"/>
  <c r="I74" i="24"/>
  <c r="T16" i="25"/>
  <c r="T20" i="25"/>
  <c r="T22" i="25"/>
  <c r="I67" i="25"/>
  <c r="T40" i="27" s="1"/>
  <c r="E69" i="25"/>
  <c r="P42" i="27" s="1"/>
  <c r="T42" i="27" s="1"/>
  <c r="E65" i="25"/>
  <c r="P38" i="27" s="1"/>
  <c r="G128" i="24"/>
  <c r="H128" i="24" s="1"/>
  <c r="CO36" i="20"/>
  <c r="I68" i="25"/>
  <c r="T41" i="27" s="1"/>
  <c r="G76" i="24"/>
  <c r="H76" i="24" s="1"/>
  <c r="BW137" i="20"/>
  <c r="BW138" i="20" s="1"/>
  <c r="BZ137" i="20" s="1"/>
  <c r="BJ140" i="20"/>
  <c r="BP137" i="20" s="1"/>
  <c r="H13" i="21" l="1"/>
  <c r="H12" i="21"/>
  <c r="H11" i="21"/>
  <c r="H10" i="21"/>
  <c r="H76" i="25"/>
  <c r="R49" i="27"/>
  <c r="S49" i="27" s="1"/>
  <c r="R52" i="27"/>
  <c r="H79" i="25"/>
  <c r="H73" i="25"/>
  <c r="R46" i="27"/>
  <c r="S46" i="27" s="1"/>
  <c r="R43" i="27"/>
  <c r="H70" i="25"/>
  <c r="R37" i="27"/>
  <c r="S37" i="27" s="1"/>
  <c r="H64" i="25"/>
  <c r="H67" i="25"/>
  <c r="R40" i="27"/>
  <c r="S40" i="27" s="1"/>
  <c r="R53" i="27"/>
  <c r="H80" i="25"/>
  <c r="H77" i="25"/>
  <c r="R50" i="27"/>
  <c r="S50" i="27" s="1"/>
  <c r="R48" i="27"/>
  <c r="S48" i="27" s="1"/>
  <c r="H75" i="25"/>
  <c r="R41" i="27"/>
  <c r="H68" i="25"/>
  <c r="R51" i="27"/>
  <c r="S51" i="27" s="1"/>
  <c r="H78" i="25"/>
  <c r="R36" i="27"/>
  <c r="H63" i="25"/>
  <c r="T38" i="27"/>
  <c r="G143" i="27"/>
  <c r="G82" i="27"/>
  <c r="U36" i="27"/>
  <c r="H81" i="25"/>
  <c r="R54" i="27"/>
  <c r="S54" i="27" s="1"/>
  <c r="I121" i="27"/>
  <c r="E121" i="27"/>
  <c r="R39" i="27"/>
  <c r="S39" i="27" s="1"/>
  <c r="H66" i="25"/>
  <c r="R42" i="27"/>
  <c r="H69" i="25"/>
  <c r="R55" i="27"/>
  <c r="H82" i="25"/>
  <c r="R38" i="27"/>
  <c r="H65" i="25"/>
  <c r="H84" i="25"/>
  <c r="R57" i="27"/>
  <c r="S57" i="27" s="1"/>
  <c r="R45" i="27"/>
  <c r="H72" i="25"/>
  <c r="R44" i="27"/>
  <c r="S44" i="27" s="1"/>
  <c r="H71" i="25"/>
  <c r="R47" i="27"/>
  <c r="H74" i="25"/>
  <c r="I7" i="21"/>
  <c r="I9" i="21" s="1"/>
  <c r="J6" i="21"/>
  <c r="E143" i="27" l="1"/>
  <c r="I143" i="27"/>
  <c r="S45" i="27"/>
  <c r="J7" i="21"/>
  <c r="J9" i="21" s="1"/>
  <c r="K6" i="21"/>
  <c r="S55" i="27"/>
  <c r="S41" i="27"/>
  <c r="S38" i="27"/>
  <c r="I11" i="21"/>
  <c r="I13" i="21"/>
  <c r="I10" i="21"/>
  <c r="I12" i="21"/>
  <c r="S47" i="27"/>
  <c r="S42" i="27"/>
  <c r="G151" i="27"/>
  <c r="S36" i="27"/>
  <c r="G130" i="27" s="1"/>
  <c r="S52" i="27"/>
  <c r="S53" i="27"/>
  <c r="S43" i="27"/>
  <c r="I82" i="27"/>
  <c r="E82" i="27"/>
  <c r="I130" i="27" l="1"/>
  <c r="E130" i="27"/>
  <c r="J13" i="21"/>
  <c r="J12" i="21"/>
  <c r="J11" i="21"/>
  <c r="J10" i="21"/>
  <c r="L6" i="21"/>
  <c r="K7" i="21"/>
  <c r="K9" i="21" s="1"/>
  <c r="I151" i="27"/>
  <c r="E151" i="27"/>
  <c r="K12" i="21" l="1"/>
  <c r="K11" i="21"/>
  <c r="K10" i="21"/>
  <c r="K13" i="21"/>
  <c r="M6" i="21"/>
  <c r="L7" i="21"/>
  <c r="L9" i="21" s="1"/>
  <c r="L11" i="21" l="1"/>
  <c r="L10" i="21"/>
  <c r="L13" i="21"/>
  <c r="L12" i="21"/>
  <c r="M7" i="21"/>
  <c r="M9" i="21" s="1"/>
  <c r="N6" i="21"/>
  <c r="N7" i="21" l="1"/>
  <c r="N9" i="21" s="1"/>
  <c r="O6" i="21"/>
  <c r="M13" i="21"/>
  <c r="M10" i="21"/>
  <c r="M11" i="21"/>
  <c r="M12" i="21"/>
  <c r="O7" i="21" l="1"/>
  <c r="O9" i="21" s="1"/>
  <c r="P6" i="21"/>
  <c r="N11" i="21"/>
  <c r="N10" i="21"/>
  <c r="N12" i="21"/>
  <c r="N13" i="21"/>
  <c r="O11" i="21" l="1"/>
  <c r="O12" i="21"/>
  <c r="O10" i="21"/>
  <c r="O13" i="21"/>
  <c r="Q6" i="21"/>
  <c r="P7" i="21"/>
  <c r="P9" i="21" s="1"/>
  <c r="P13" i="21" l="1"/>
  <c r="P10" i="21"/>
  <c r="P11" i="21"/>
  <c r="P12" i="21"/>
  <c r="Q7" i="21"/>
  <c r="Q9" i="21" s="1"/>
  <c r="R6" i="21"/>
  <c r="S6" i="21" l="1"/>
  <c r="R7" i="21"/>
  <c r="R9" i="21" s="1"/>
  <c r="Q12" i="21"/>
  <c r="Q11" i="21"/>
  <c r="Q10" i="21"/>
  <c r="Q13" i="21"/>
  <c r="R13" i="21" l="1"/>
  <c r="R10" i="21"/>
  <c r="R11" i="21"/>
  <c r="R12" i="21"/>
  <c r="T6" i="21"/>
  <c r="S7" i="21"/>
  <c r="S9" i="21" s="1"/>
  <c r="S13" i="21" l="1"/>
  <c r="S10" i="21"/>
  <c r="S12" i="21"/>
  <c r="S11" i="21"/>
  <c r="U6" i="21"/>
  <c r="T7" i="21"/>
  <c r="T9" i="21" s="1"/>
  <c r="T12" i="21" l="1"/>
  <c r="T10" i="21"/>
  <c r="T11" i="21"/>
  <c r="T13" i="21"/>
  <c r="U7" i="21"/>
  <c r="U9" i="21" s="1"/>
  <c r="V6" i="21"/>
  <c r="V7" i="21" l="1"/>
  <c r="V9" i="21" s="1"/>
  <c r="W6" i="21"/>
  <c r="U11" i="21"/>
  <c r="U10" i="21"/>
  <c r="U13" i="21"/>
  <c r="U12" i="21"/>
  <c r="W7" i="21" l="1"/>
  <c r="W9" i="21" s="1"/>
  <c r="X6" i="21"/>
  <c r="V13" i="21"/>
  <c r="V10" i="21"/>
  <c r="V12" i="21"/>
  <c r="V11" i="21"/>
  <c r="Y6" i="21" l="1"/>
  <c r="X7" i="21"/>
  <c r="X9" i="21" s="1"/>
  <c r="W13" i="21"/>
  <c r="W12" i="21"/>
  <c r="W11" i="21"/>
  <c r="W10" i="21"/>
  <c r="X12" i="21" l="1"/>
  <c r="X11" i="21"/>
  <c r="X10" i="21"/>
  <c r="X13" i="21"/>
  <c r="Z6" i="21"/>
  <c r="Y7" i="21"/>
  <c r="Y9" i="21" s="1"/>
  <c r="Y13" i="21" l="1"/>
  <c r="Y10" i="21"/>
  <c r="Y11" i="21"/>
  <c r="Y12" i="21"/>
  <c r="Z7" i="21"/>
  <c r="Z9" i="21" s="1"/>
  <c r="AA6" i="21"/>
  <c r="AA7" i="21" l="1"/>
  <c r="AA9" i="21" s="1"/>
  <c r="AB6" i="21"/>
  <c r="Z10" i="21"/>
  <c r="Z12" i="21"/>
  <c r="Z11" i="21"/>
  <c r="Z13" i="21"/>
  <c r="AA13" i="21" l="1"/>
  <c r="AA12" i="21"/>
  <c r="AA10" i="21"/>
  <c r="AA11" i="21"/>
  <c r="AC6" i="21"/>
  <c r="AB7" i="21"/>
  <c r="AB9" i="21" s="1"/>
  <c r="AB13" i="21" l="1"/>
  <c r="AB12" i="21"/>
  <c r="AB11" i="21"/>
  <c r="AB10" i="21"/>
  <c r="AD6" i="21"/>
  <c r="AC7" i="21"/>
  <c r="AC9" i="21" s="1"/>
  <c r="AC12" i="21" l="1"/>
  <c r="AC11" i="21"/>
  <c r="AC10" i="21"/>
  <c r="AC13" i="21"/>
  <c r="AD7" i="21"/>
  <c r="AD9" i="21" s="1"/>
  <c r="AE6" i="21"/>
  <c r="AF6" i="21" l="1"/>
  <c r="AE7" i="21"/>
  <c r="AE9" i="21" s="1"/>
  <c r="AD13" i="21"/>
  <c r="AD11" i="21"/>
  <c r="AD10" i="21"/>
  <c r="AD12" i="21"/>
  <c r="AE11" i="21" l="1"/>
  <c r="AE13" i="21"/>
  <c r="AE10" i="21"/>
  <c r="AE12" i="21"/>
  <c r="AG6" i="21"/>
  <c r="AF7" i="21"/>
  <c r="AF9" i="21" s="1"/>
  <c r="AF12" i="21" l="1"/>
  <c r="AF13" i="21"/>
  <c r="AF10" i="21"/>
  <c r="AF11" i="21"/>
  <c r="AG7" i="21"/>
  <c r="AG9" i="21" s="1"/>
  <c r="AH6" i="21"/>
  <c r="AH7" i="21" l="1"/>
  <c r="AH9" i="21" s="1"/>
  <c r="AI6" i="21"/>
  <c r="AG11" i="21"/>
  <c r="AG12" i="21"/>
  <c r="AG10" i="21"/>
  <c r="AG13" i="21"/>
  <c r="AJ6" i="21" l="1"/>
  <c r="AI7" i="21"/>
  <c r="AI9" i="21" s="1"/>
  <c r="AH11" i="21"/>
  <c r="AH12" i="21"/>
  <c r="AH13" i="21"/>
  <c r="AH10" i="21"/>
  <c r="AI13" i="21" l="1"/>
  <c r="AI12" i="21"/>
  <c r="AI10" i="21"/>
  <c r="AI11" i="21"/>
  <c r="AK6" i="21"/>
  <c r="AJ7" i="21"/>
  <c r="AJ9" i="21" s="1"/>
  <c r="AJ13" i="21" l="1"/>
  <c r="AJ12" i="21"/>
  <c r="AJ10" i="21"/>
  <c r="AJ11" i="21"/>
  <c r="AL6" i="21"/>
  <c r="AK7" i="21"/>
  <c r="AK9" i="21" s="1"/>
  <c r="AK13" i="21" l="1"/>
  <c r="AK10" i="21"/>
  <c r="AK12" i="21"/>
  <c r="AK11" i="21"/>
  <c r="AL7" i="21"/>
  <c r="AL9" i="21" s="1"/>
  <c r="AM6" i="21"/>
  <c r="AM7" i="21" l="1"/>
  <c r="AM9" i="21" s="1"/>
  <c r="AN6" i="21"/>
  <c r="AL11" i="21"/>
  <c r="AL10" i="21"/>
  <c r="AL13" i="21"/>
  <c r="AL12" i="21"/>
  <c r="AN7" i="21" l="1"/>
  <c r="AN9" i="21" s="1"/>
  <c r="AO6" i="21"/>
  <c r="AM10" i="21"/>
  <c r="AM13" i="21"/>
  <c r="AM12" i="21"/>
  <c r="AM11" i="21"/>
  <c r="AP6" i="21" l="1"/>
  <c r="AO7" i="21"/>
  <c r="AO9" i="21" s="1"/>
  <c r="AN13" i="21"/>
  <c r="AN11" i="21"/>
  <c r="AN10" i="21"/>
  <c r="AN12" i="21"/>
  <c r="AO12" i="21" l="1"/>
  <c r="AO10" i="21"/>
  <c r="AO13" i="21"/>
  <c r="AO11" i="21"/>
  <c r="AQ6" i="21"/>
  <c r="AP7" i="21"/>
  <c r="AP9" i="21" s="1"/>
  <c r="AP11" i="21" l="1"/>
  <c r="AP12" i="21"/>
  <c r="AP13" i="21"/>
  <c r="AP10" i="21"/>
  <c r="AQ7" i="21"/>
  <c r="AQ9" i="21" s="1"/>
  <c r="AR166" i="20"/>
  <c r="AQ13" i="21" l="1"/>
  <c r="AQ12" i="21"/>
  <c r="AQ11" i="21"/>
  <c r="AQ10"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Diamond</author>
  </authors>
  <commentList>
    <comment ref="W385" authorId="0" shapeId="0" xr:uid="{00000000-0006-0000-0B00-000001000000}">
      <text>
        <r>
          <rPr>
            <sz val="11"/>
            <color theme="1"/>
            <rFont val="Calibri"/>
            <family val="2"/>
            <scheme val="minor"/>
          </rPr>
          <t xml:space="preserve">John Diamond:
No data 
</t>
        </r>
      </text>
    </comment>
    <comment ref="W397" authorId="0" shapeId="0" xr:uid="{00000000-0006-0000-0B00-000002000000}">
      <text>
        <r>
          <rPr>
            <sz val="11"/>
            <color theme="1"/>
            <rFont val="Calibri"/>
            <family val="2"/>
            <scheme val="minor"/>
          </rPr>
          <t>John Diamond:
Do not have values for these</t>
        </r>
      </text>
    </comment>
  </commentList>
</comments>
</file>

<file path=xl/sharedStrings.xml><?xml version="1.0" encoding="utf-8"?>
<sst xmlns="http://schemas.openxmlformats.org/spreadsheetml/2006/main" count="9720" uniqueCount="1074">
  <si>
    <t>Zone 1</t>
  </si>
  <si>
    <t>Zone 2</t>
  </si>
  <si>
    <t>Zone 3</t>
  </si>
  <si>
    <t>Zone 4</t>
  </si>
  <si>
    <t>Zone 5</t>
  </si>
  <si>
    <t>f_0D/U</t>
  </si>
  <si>
    <t>Uplift</t>
  </si>
  <si>
    <t>Downforce</t>
  </si>
  <si>
    <t>Exterior - X°</t>
  </si>
  <si>
    <t>Zone</t>
  </si>
  <si>
    <t>Member</t>
  </si>
  <si>
    <t>Shape</t>
  </si>
  <si>
    <t xml:space="preserve">Code Check </t>
  </si>
  <si>
    <t>Load Combination</t>
  </si>
  <si>
    <t>Halftracker Zone 1</t>
  </si>
  <si>
    <t>Tube X</t>
  </si>
  <si>
    <t>Post Zone 1</t>
  </si>
  <si>
    <t xml:space="preserve">Drive Post </t>
  </si>
  <si>
    <t>Idler Post X</t>
  </si>
  <si>
    <t>Post Zone 2</t>
  </si>
  <si>
    <t>Purlin Zone 1</t>
  </si>
  <si>
    <t>VP</t>
  </si>
  <si>
    <t>Purlin Zone 2</t>
  </si>
  <si>
    <t>Interior - X°</t>
  </si>
  <si>
    <t>Post Zone 4</t>
  </si>
  <si>
    <t>Drive Post</t>
  </si>
  <si>
    <t>Post Zone 3</t>
  </si>
  <si>
    <t>Post Zone 5</t>
  </si>
  <si>
    <t xml:space="preserve">Customer </t>
  </si>
  <si>
    <t xml:space="preserve">Input </t>
  </si>
  <si>
    <t xml:space="preserve">Project </t>
  </si>
  <si>
    <t>Given</t>
  </si>
  <si>
    <t>TOPL Status</t>
  </si>
  <si>
    <t xml:space="preserve">Zip/Location </t>
  </si>
  <si>
    <t xml:space="preserve">City, State Zip </t>
  </si>
  <si>
    <t>Calculated</t>
  </si>
  <si>
    <t>Rerun TOPL Calcs</t>
  </si>
  <si>
    <t>Date/Engineer</t>
  </si>
  <si>
    <t>X/XX/XX - XXX</t>
  </si>
  <si>
    <t xml:space="preserve">Governing Code </t>
  </si>
  <si>
    <t>Chord (in)</t>
  </si>
  <si>
    <t>GCR</t>
  </si>
  <si>
    <t>XX</t>
  </si>
  <si>
    <t>Height (in)</t>
  </si>
  <si>
    <t>Tracker Span (in)</t>
  </si>
  <si>
    <t>for 55</t>
  </si>
  <si>
    <t xml:space="preserve">Exterior Post Count </t>
  </si>
  <si>
    <t>Interior Post Count</t>
  </si>
  <si>
    <t>Drive Post Location (Exterior)</t>
  </si>
  <si>
    <t>Drive Post Location (Interior)</t>
  </si>
  <si>
    <t xml:space="preserve">Exterior Post Locations along row (in) - Left Side </t>
  </si>
  <si>
    <t>Stow</t>
  </si>
  <si>
    <t>Exterior Post Locations along row (in) - Right Side</t>
  </si>
  <si>
    <t>Interior Post Locations along row (in) - Left Side</t>
  </si>
  <si>
    <t>Operation</t>
  </si>
  <si>
    <t>Interior Post Locations along row (in) - Right Side</t>
  </si>
  <si>
    <t>Torsional Natural Frequency (Hz)</t>
  </si>
  <si>
    <t>Torsional Damping</t>
  </si>
  <si>
    <t>Heaving Natural Frequency (Hz)</t>
  </si>
  <si>
    <t>Heaving Damping</t>
  </si>
  <si>
    <t>Panel Layout</t>
  </si>
  <si>
    <t>1P</t>
  </si>
  <si>
    <t>e.g. 1P, 3H, 2P, 4H, etc. Use P for portrait and H for landscape</t>
  </si>
  <si>
    <t xml:space="preserve">Cs Value </t>
  </si>
  <si>
    <t xml:space="preserve">Flat roof snow load </t>
  </si>
  <si>
    <t>psf</t>
  </si>
  <si>
    <t xml:space="preserve">Design Snow Load (Ps at Effective Tracker Angle) </t>
  </si>
  <si>
    <t>Snow Load at 0° (psf)</t>
  </si>
  <si>
    <t>Snow Load at 55° (psf)</t>
  </si>
  <si>
    <t xml:space="preserve">Roof Snow Load (psf) </t>
  </si>
  <si>
    <t>Panel Weight (kg)</t>
  </si>
  <si>
    <t>kg</t>
  </si>
  <si>
    <t xml:space="preserve">calculated Hbyl </t>
  </si>
  <si>
    <t>DL+0.45WL-X+0.75SL</t>
  </si>
  <si>
    <t xml:space="preserve">HbyL (For App) </t>
  </si>
  <si>
    <t>Panel Load (psf)</t>
  </si>
  <si>
    <t xml:space="preserve">psf </t>
  </si>
  <si>
    <t>Tilt Angle (°)</t>
  </si>
  <si>
    <t>Ke</t>
  </si>
  <si>
    <t>Tilt Angle (Radians)</t>
  </si>
  <si>
    <t>Kzt</t>
  </si>
  <si>
    <t>Kz</t>
  </si>
  <si>
    <t>Kd</t>
  </si>
  <si>
    <t>qh(psf)</t>
  </si>
  <si>
    <t>`</t>
  </si>
  <si>
    <t>Pult</t>
  </si>
  <si>
    <t>U33 ft (mph)</t>
  </si>
  <si>
    <t>XXX</t>
  </si>
  <si>
    <t>U33 ft (m/s)</t>
  </si>
  <si>
    <t>Umid chord height (mph)</t>
  </si>
  <si>
    <t>Chord Length - D (ft)</t>
  </si>
  <si>
    <t>Damping Ratio (Heaving)</t>
  </si>
  <si>
    <t>Natural Frequency (Heaving) (Hz)</t>
  </si>
  <si>
    <t>f0d/U (Heaving)</t>
  </si>
  <si>
    <t>Damping Ratio (Torsion)</t>
  </si>
  <si>
    <t>Natural Frequency (Torsion)</t>
  </si>
  <si>
    <t>f0d/U (Torsion)</t>
  </si>
  <si>
    <t xml:space="preserve">Stow/Operation </t>
  </si>
  <si>
    <t>Half Tracker</t>
  </si>
  <si>
    <t>DAFUplift (Torsion)</t>
  </si>
  <si>
    <t>DAFDownforce (Torsion)</t>
  </si>
  <si>
    <t>Module DAF</t>
  </si>
  <si>
    <t>Posts</t>
  </si>
  <si>
    <t>DAFUplift (Heaving) - Zone 1</t>
  </si>
  <si>
    <t>DAFDownforce (Heaving) - Zone 1</t>
  </si>
  <si>
    <t>DAFUplift (Heaving) - Zone 2</t>
  </si>
  <si>
    <t>DAFDownforce (Heaving) - Zone 2</t>
  </si>
  <si>
    <t>DAFUplift (Heaving) - Zone 3</t>
  </si>
  <si>
    <t>DAFDownforce (Heaving) - Zone 3</t>
  </si>
  <si>
    <t>DAFUplift (Heaving) - Zone 4</t>
  </si>
  <si>
    <t>DAFDownforce (Heaving) - Zone 4</t>
  </si>
  <si>
    <t>DAFUplift (Heaving) - Zone 5</t>
  </si>
  <si>
    <t>DAFDownforce (Heaving) - Zone 5</t>
  </si>
  <si>
    <t>App Output</t>
  </si>
  <si>
    <t>(Format Excel Files) - Data Intake</t>
  </si>
  <si>
    <t>Real HbyL</t>
  </si>
  <si>
    <t>Module  Length:</t>
  </si>
  <si>
    <t>XXXX</t>
  </si>
  <si>
    <t>mm</t>
  </si>
  <si>
    <t>in</t>
  </si>
  <si>
    <t>Module Width:</t>
  </si>
  <si>
    <t>Module Thickness:</t>
  </si>
  <si>
    <t>Module Spacing Length:</t>
  </si>
  <si>
    <t>Module Spacing Width:</t>
  </si>
  <si>
    <t># of panels on left side of drive:</t>
  </si>
  <si>
    <t># of panels on right side of drive:</t>
  </si>
  <si>
    <t>RISA Post lenth (in)</t>
  </si>
  <si>
    <t>Below Grade length (in)</t>
  </si>
  <si>
    <t>Span Length</t>
  </si>
  <si>
    <t>meters</t>
  </si>
  <si>
    <t>Purlin Length (in)</t>
  </si>
  <si>
    <t># of Purlins on Left Side</t>
  </si>
  <si>
    <t># of Purlins on Right Side</t>
  </si>
  <si>
    <t>Exterior Vertical Spacing</t>
  </si>
  <si>
    <t>Interior Vertical Spacing</t>
  </si>
  <si>
    <t xml:space="preserve">Purlin Size </t>
  </si>
  <si>
    <t>3.5x0.055</t>
  </si>
  <si>
    <t xml:space="preserve">Motor Gap (in) - Left Side </t>
  </si>
  <si>
    <t>(Center of Drive to Center of Vertical)</t>
  </si>
  <si>
    <t xml:space="preserve">Motor Gap (in) - Right Side </t>
  </si>
  <si>
    <t xml:space="preserve">Torque Tube Profile </t>
  </si>
  <si>
    <t>5x4, .134</t>
  </si>
  <si>
    <t>Center of Slot to Center of Slot (Vertical)</t>
  </si>
  <si>
    <t>Vertical Height In Risa</t>
  </si>
  <si>
    <t>Exterior Vertical Spacing:</t>
  </si>
  <si>
    <t>Interior Vertical Spacing:</t>
  </si>
  <si>
    <t>Length of tracker:</t>
  </si>
  <si>
    <t>Left Side:</t>
  </si>
  <si>
    <t>Right Side:</t>
  </si>
  <si>
    <t>Number of spans</t>
  </si>
  <si>
    <t>Left Side</t>
  </si>
  <si>
    <t>Total:</t>
  </si>
  <si>
    <t>Load Joint Height</t>
  </si>
  <si>
    <t>Half Module</t>
  </si>
  <si>
    <t>Quarter Module</t>
  </si>
  <si>
    <t>1/8 Module</t>
  </si>
  <si>
    <t>3/8 Module</t>
  </si>
  <si>
    <t>5/8 Module</t>
  </si>
  <si>
    <t>7/8 Module</t>
  </si>
  <si>
    <t>Joints at panel ends</t>
  </si>
  <si>
    <t>A</t>
  </si>
  <si>
    <t>F</t>
  </si>
  <si>
    <t>K</t>
  </si>
  <si>
    <t>P</t>
  </si>
  <si>
    <t>B</t>
  </si>
  <si>
    <t>G</t>
  </si>
  <si>
    <t>L</t>
  </si>
  <si>
    <t>Q</t>
  </si>
  <si>
    <t>C</t>
  </si>
  <si>
    <t>H</t>
  </si>
  <si>
    <t>M</t>
  </si>
  <si>
    <t>R</t>
  </si>
  <si>
    <t>D</t>
  </si>
  <si>
    <t>I</t>
  </si>
  <si>
    <t>N</t>
  </si>
  <si>
    <t>S</t>
  </si>
  <si>
    <t>E</t>
  </si>
  <si>
    <t>J</t>
  </si>
  <si>
    <t>O</t>
  </si>
  <si>
    <t>T</t>
  </si>
  <si>
    <t>Slew Drive Weight</t>
  </si>
  <si>
    <t>lbs</t>
  </si>
  <si>
    <t>(typical)</t>
  </si>
  <si>
    <t>Idler Components Weight</t>
  </si>
  <si>
    <t>Tube Gap</t>
  </si>
  <si>
    <t>Eccentricity at Rotation</t>
  </si>
  <si>
    <t>(adjusted for angle)</t>
  </si>
  <si>
    <t>Seismic Moment Arm</t>
  </si>
  <si>
    <t xml:space="preserve">Tracker Slope </t>
  </si>
  <si>
    <t>(Standard)</t>
  </si>
  <si>
    <t>Category</t>
  </si>
  <si>
    <t>Input Name</t>
  </si>
  <si>
    <t>Variable</t>
  </si>
  <si>
    <t>Type (Any, List, Multiple, Calc)</t>
  </si>
  <si>
    <t>Unused</t>
  </si>
  <si>
    <t>Customer</t>
  </si>
  <si>
    <t>N/A</t>
  </si>
  <si>
    <t>Any</t>
  </si>
  <si>
    <t>Project</t>
  </si>
  <si>
    <t>Location</t>
  </si>
  <si>
    <t>Panel Info</t>
  </si>
  <si>
    <t>Module Length</t>
  </si>
  <si>
    <t>ML</t>
  </si>
  <si>
    <t>Module Width</t>
  </si>
  <si>
    <t>MW</t>
  </si>
  <si>
    <t>Module Thickness</t>
  </si>
  <si>
    <t>MT</t>
  </si>
  <si>
    <t>Module Spacing Length</t>
  </si>
  <si>
    <t>MSL</t>
  </si>
  <si>
    <t>Module Spacing Width</t>
  </si>
  <si>
    <t>MSW</t>
  </si>
  <si>
    <t>Panel Weight</t>
  </si>
  <si>
    <t>P_Weight</t>
  </si>
  <si>
    <t>Panel Load</t>
  </si>
  <si>
    <t>PL</t>
  </si>
  <si>
    <t>Calc</t>
  </si>
  <si>
    <t># of Panels on Left Side</t>
  </si>
  <si>
    <t>P_Left</t>
  </si>
  <si>
    <t># of Panels on Right Side</t>
  </si>
  <si>
    <t>P_Right</t>
  </si>
  <si>
    <t>Rack Part Info</t>
  </si>
  <si>
    <t>Vertical Length</t>
  </si>
  <si>
    <t>VL</t>
  </si>
  <si>
    <t>Vertical Size</t>
  </si>
  <si>
    <t>VS</t>
  </si>
  <si>
    <t>List</t>
  </si>
  <si>
    <t>V_Left</t>
  </si>
  <si>
    <t>V_Right</t>
  </si>
  <si>
    <t>EVS</t>
  </si>
  <si>
    <t>IVS</t>
  </si>
  <si>
    <t>Tube Size</t>
  </si>
  <si>
    <t>TS</t>
  </si>
  <si>
    <t>Gap on Left Side</t>
  </si>
  <si>
    <t>GL</t>
  </si>
  <si>
    <t>Left Side Rack Length</t>
  </si>
  <si>
    <t>LSR</t>
  </si>
  <si>
    <t>Right Side Rack Length</t>
  </si>
  <si>
    <t>RSR</t>
  </si>
  <si>
    <t>Gap on Right Side</t>
  </si>
  <si>
    <t>GR</t>
  </si>
  <si>
    <t>SDW</t>
  </si>
  <si>
    <t>ICW</t>
  </si>
  <si>
    <t>TG</t>
  </si>
  <si>
    <t>Ecc</t>
  </si>
  <si>
    <t>Rack Angle</t>
  </si>
  <si>
    <t>Theta</t>
  </si>
  <si>
    <t>Post Info</t>
  </si>
  <si>
    <t># of Posts (Exterior)</t>
  </si>
  <si>
    <t>Post_NE</t>
  </si>
  <si>
    <t># of Posts (Interior)</t>
  </si>
  <si>
    <t>Post_NI</t>
  </si>
  <si>
    <t>Drive Location (Exterior)</t>
  </si>
  <si>
    <t>Drive_E</t>
  </si>
  <si>
    <t>Drive Location (Interior)</t>
  </si>
  <si>
    <t>Drive_I</t>
  </si>
  <si>
    <t>Left Side Spacing (Exterior)</t>
  </si>
  <si>
    <t>LSE_{1-16}</t>
  </si>
  <si>
    <t>Multiple</t>
  </si>
  <si>
    <t>Right Side Spacing (Exterior)</t>
  </si>
  <si>
    <t>RSE_{1-16}</t>
  </si>
  <si>
    <t>Left Side Spacing (Interior)</t>
  </si>
  <si>
    <t>LSI_{1-16}</t>
  </si>
  <si>
    <t>Right Side Spacing (Interior)</t>
  </si>
  <si>
    <t>RSI_{1-16}</t>
  </si>
  <si>
    <t>Site Info</t>
  </si>
  <si>
    <t>Wind Load</t>
  </si>
  <si>
    <t>WL</t>
  </si>
  <si>
    <t>Elevation Factor</t>
  </si>
  <si>
    <t>Roof Snow Load</t>
  </si>
  <si>
    <t>RSL</t>
  </si>
  <si>
    <t>Misc.</t>
  </si>
  <si>
    <t># of Spans on Left Side</t>
  </si>
  <si>
    <t>LS</t>
  </si>
  <si>
    <t># of Spans on Right Side</t>
  </si>
  <si>
    <t>RS</t>
  </si>
  <si>
    <t>SMA</t>
  </si>
  <si>
    <t>Wind Moment Arms</t>
  </si>
  <si>
    <t>M{1-4}A</t>
  </si>
  <si>
    <t>Total Spans</t>
  </si>
  <si>
    <t>TotS</t>
  </si>
  <si>
    <t>Design Wind Speed (mph)</t>
  </si>
  <si>
    <t>**Positive GCm-Half Tracker represents bearing being pushed away from hard stops for both +/- tilt angles**</t>
  </si>
  <si>
    <t>qh (psf)</t>
  </si>
  <si>
    <t>**Negative GCm-Half Tracker represents bearing being pushed into hard stops for both +/- tilt angles**</t>
  </si>
  <si>
    <t xml:space="preserve">Tilt Angle </t>
  </si>
  <si>
    <t>Module Length (ft)</t>
  </si>
  <si>
    <t>Module Width (ft)</t>
  </si>
  <si>
    <t>Halftracker Length (ft)</t>
  </si>
  <si>
    <t>Halftracker Area (ft^2)</t>
  </si>
  <si>
    <t>Tributary Area Length Exterior (ft)</t>
  </si>
  <si>
    <t>Tributary Area Length Interior (ft)</t>
  </si>
  <si>
    <t>Tributary Area of Drive Exterior (ft^2)</t>
  </si>
  <si>
    <t>Tributary Area of Drive Interior (ft^2)</t>
  </si>
  <si>
    <t>Gcm- Coefficient Exteior (-30°)</t>
  </si>
  <si>
    <t>Gcm- Coefficient Exteior (30°)</t>
  </si>
  <si>
    <t>Gcm- Coefficient Exteior (30°/-30°)</t>
  </si>
  <si>
    <t>Gcm+ Coefficient Exteior (-30°)</t>
  </si>
  <si>
    <t>Gcm+ Coefficient Exteior (30°)</t>
  </si>
  <si>
    <t>Gcm+ Coefficient Exteior (30°/-30°)</t>
  </si>
  <si>
    <t>Gcm- Coefficient Interior (-30°)</t>
  </si>
  <si>
    <t>Gcm- Coefficient Interior (30°)</t>
  </si>
  <si>
    <t>Gcm- Coefficient Interior (30°/-30°)</t>
  </si>
  <si>
    <t>Gcm+ Coefficient Interior (30°)</t>
  </si>
  <si>
    <t>Gcm+ Coefficient Interior (30°/-30°)</t>
  </si>
  <si>
    <t>Gcm- Coefficient Exteior (-20°)</t>
  </si>
  <si>
    <t>Gcm- Coefficient Exteior (20°)</t>
  </si>
  <si>
    <t>Gcm- Coefficient Exteior (20°/-20°)</t>
  </si>
  <si>
    <t>Gcm+ Coefficient Exteior (-20°)</t>
  </si>
  <si>
    <t>Gcm+ Coefficient Exteior (20°)</t>
  </si>
  <si>
    <t>Gcm+ Coefficient Exteior (20°/-20°)</t>
  </si>
  <si>
    <t>Gcm- Coefficient Interior (-20°)</t>
  </si>
  <si>
    <t>Gcm- Coefficient Interior (20°)</t>
  </si>
  <si>
    <t>Gcm- Coefficient Interior (20°/-20°)</t>
  </si>
  <si>
    <t>Gcm+ Coefficient Interior (-20°)</t>
  </si>
  <si>
    <t>Gcm+ Coefficient Interior (20°)</t>
  </si>
  <si>
    <t>Gcm+ Coefficient Interior (20°/-20°)</t>
  </si>
  <si>
    <t>Gcm- Coefficient Exteior (-10°)</t>
  </si>
  <si>
    <t>Gcm- Coefficient Exteior (10°)</t>
  </si>
  <si>
    <t>Gcm- Coefficient Exteior (10°/-10°)</t>
  </si>
  <si>
    <t>Gcm+ Coefficient Exteior (-10°)</t>
  </si>
  <si>
    <t>Gcm+ Coefficient Exteior (10°)</t>
  </si>
  <si>
    <t>Gcm+ Coefficient Exteior (10°/-10°)</t>
  </si>
  <si>
    <t>Gcm- Coefficient Interior (-10°)</t>
  </si>
  <si>
    <t>Gcm- Coefficient Interior (10°)</t>
  </si>
  <si>
    <t>Gcm- Coefficient Interior (10°/-10°)</t>
  </si>
  <si>
    <t>Gcm+ Coefficient Interior (-10°)</t>
  </si>
  <si>
    <t>Gcm+ Coefficient Interior (10°)</t>
  </si>
  <si>
    <t>Gcm+ Coefficient Interior (10°/-10°)</t>
  </si>
  <si>
    <t>Gcm- Coefficient Exteior (-5°)</t>
  </si>
  <si>
    <t>Gcm- Coefficient Exteior (5°)</t>
  </si>
  <si>
    <t>Gcm- Coefficient Exteior (5°/-5°)</t>
  </si>
  <si>
    <t>Gcm+ Coefficient Exteior (-5°)</t>
  </si>
  <si>
    <t>Gcm+ Coefficient Exteior (5°)</t>
  </si>
  <si>
    <t>Gcm+ Coefficient Exteior (5°/-5°)</t>
  </si>
  <si>
    <t>Gcm- Coefficient Interior (-5°)</t>
  </si>
  <si>
    <t>Gcm- Coefficient Interior (5°)</t>
  </si>
  <si>
    <t>Gcm- Coefficient Interior (5°/-5°)</t>
  </si>
  <si>
    <t>Gcm+ Coefficient Interior (-5°)</t>
  </si>
  <si>
    <t>Gcm+ Coefficient Interior (5°)</t>
  </si>
  <si>
    <t>Gcm+ Coefficient Interior (5°/-5°)</t>
  </si>
  <si>
    <t>Gcm- Coefficient Exteior (0°)</t>
  </si>
  <si>
    <t>Gcm+ Coefficient Exteior (0°)</t>
  </si>
  <si>
    <t>Gcm- Coefficient Interior (0°)</t>
  </si>
  <si>
    <t>Gcm+ Coefficient Interior (0°)</t>
  </si>
  <si>
    <t>Final Gcm- Coefficient Exterior</t>
  </si>
  <si>
    <t>Final Gcm+ Coefficient Exterior</t>
  </si>
  <si>
    <t xml:space="preserve">Final Gcm- Coefficinet Interior </t>
  </si>
  <si>
    <t>Final Gcm+ Coefficient Interior</t>
  </si>
  <si>
    <t>Drive Post Mz- Exterior (lb-in)</t>
  </si>
  <si>
    <t>up</t>
  </si>
  <si>
    <t>Drive Post Mz+ Exterior (lb-in)</t>
  </si>
  <si>
    <t>down</t>
  </si>
  <si>
    <t>Drive Post Mz-Interior (lb-in)</t>
  </si>
  <si>
    <t>Drive Post Mz+Interior (lb-in)</t>
  </si>
  <si>
    <t>Half-Tracker Moment Coefficients: -30° Tilt</t>
  </si>
  <si>
    <t>Half-Tracker Moment Coefficients: -20° Tilt</t>
  </si>
  <si>
    <t>Half-Tracker Moment Coefficients: -10° Tilt</t>
  </si>
  <si>
    <t>Half-Tracker Moment Coefficients: -5° Tilt</t>
  </si>
  <si>
    <t>Half-Tracker Moment Coefficients: 0° Tilt</t>
  </si>
  <si>
    <t>Half-Tracker Moment Coefficients: 5° Tilt</t>
  </si>
  <si>
    <t>Half-Tracker Moment Coefficients: 10° Tilt</t>
  </si>
  <si>
    <t>Half-Tracker Moment Coefficients: 20° Tilt</t>
  </si>
  <si>
    <t>Half-Tracker Moment Coefficients: 30° Tilt</t>
  </si>
  <si>
    <t>Red</t>
  </si>
  <si>
    <t>Orange</t>
  </si>
  <si>
    <t>Green</t>
  </si>
  <si>
    <t>U (mph)</t>
  </si>
  <si>
    <t>GCM+</t>
  </si>
  <si>
    <t>GCM-</t>
  </si>
  <si>
    <t>Chord</t>
  </si>
  <si>
    <t>Height</t>
  </si>
  <si>
    <t>Tracker Span</t>
  </si>
  <si>
    <t>Perimeter Post Locations along row</t>
  </si>
  <si>
    <t>Interior Post Locations along row</t>
  </si>
  <si>
    <t>Torsional Natural Frequency</t>
  </si>
  <si>
    <t>Heaving Natural Frequency</t>
  </si>
  <si>
    <t>Tilt</t>
  </si>
  <si>
    <t>Design Wind Speed (m/s)</t>
  </si>
  <si>
    <t xml:space="preserve">Revision Number </t>
  </si>
  <si>
    <t xml:space="preserve">Date </t>
  </si>
  <si>
    <t xml:space="preserve">Updates Made </t>
  </si>
  <si>
    <t xml:space="preserve">Engineer </t>
  </si>
  <si>
    <t>Revision 1</t>
  </si>
  <si>
    <t>1. Modified risa node creator to work from the end rather than the middle. 
2. Set if statement for any amount of spans that exceed 12 to resort back to 12 in cells B75/B76</t>
  </si>
  <si>
    <t>JRD</t>
  </si>
  <si>
    <t>Revision 1.2.1</t>
  </si>
  <si>
    <t xml:space="preserve">1. Updated Risa creator to accommodate up to 16 spans
2. Updated Purlin, Post, and Halftracker to accommodate up to 16 spans.
3. Updated Post sheet. 
4. Updated module pressure to pull GCN_Module coeficcients. 
5. Added GCN_Module tab </t>
  </si>
  <si>
    <t xml:space="preserve">JRD </t>
  </si>
  <si>
    <t>Revision 1.2.2</t>
  </si>
  <si>
    <t xml:space="preserve">1. Updated cells to properly apply negative or positive multiplier to Halftracker and Purlin Sheets.  
2. Updated cells to properly apply height adjustment factors. </t>
  </si>
  <si>
    <t>Revision 1.3</t>
  </si>
  <si>
    <t xml:space="preserve">1. Added Aerolastic study coefficients
2. added left side and right side post inputs for exteior and interior
3.Changed panel weight to kg, and calculate psf
4.added purlin length, purlin size, motor gap, and torque tube profile
5.Added chart on post inputs sheet which multiplies qh*gcn*HAF in proper format for TOPL calculations 
6. Added in Pile design tool </t>
  </si>
  <si>
    <t>JRD/BP</t>
  </si>
  <si>
    <t>Revision 1.3.1</t>
  </si>
  <si>
    <t>1. Corrected issues with With 4 span Tracker risa creator. 
2. Added in fully braced Check to Pile Designer. 
3. Corrected minor Z axis code check in pile designer</t>
  </si>
  <si>
    <t>Revision 1.4</t>
  </si>
  <si>
    <t>1.Updated Wind Calcs to properly caluclate uneven trackers, updated line 21,115 of wind calcs</t>
  </si>
  <si>
    <t xml:space="preserve">Revision 1.5 </t>
  </si>
  <si>
    <t xml:space="preserve">1. Added in slope load for the TOPL. </t>
  </si>
  <si>
    <t>Revision 1.6</t>
  </si>
  <si>
    <t>1. Setting slope to standard 7% 
2. Adding Snow Slope factor</t>
  </si>
  <si>
    <t>Revision 1.6.1</t>
  </si>
  <si>
    <t>1. Modified how weak axis moment is calculated in TOPL 
2. Added in moment created due to slope factor</t>
  </si>
  <si>
    <t>Revision 1.6.2</t>
  </si>
  <si>
    <t>1. Updated RISA sheet to correctly read span quantities 
2. Added "TOPL Status" section to inputs sheet</t>
  </si>
  <si>
    <t>BP</t>
  </si>
  <si>
    <t>Revision 1.6.3</t>
  </si>
  <si>
    <t xml:space="preserve">1. Updated client input post spacing 
2. Setting design wind speed to 40 on client input sheet </t>
  </si>
  <si>
    <t xml:space="preserve">Revision 1.6.4 </t>
  </si>
  <si>
    <t xml:space="preserve">1.Updated module pressure sheet to take the average coefficient
2. Added external DAF sheet </t>
  </si>
  <si>
    <t>JS</t>
  </si>
  <si>
    <t>Revision 1.6.5</t>
  </si>
  <si>
    <t>1. Fixed issue with Purlin Zone  4 DAF downforce min loading</t>
  </si>
  <si>
    <t>Rev 1.7</t>
  </si>
  <si>
    <t>2.Added vertical rail loading tool 
3. Added in seismic loading in vertical direction
3. Added Canadian TOPL 
4. Added 7-22 module presssure and results page</t>
  </si>
  <si>
    <t>JRD/ZC</t>
  </si>
  <si>
    <t>Rev 1.7.1</t>
  </si>
  <si>
    <t xml:space="preserve">1. Updated ASCE 7-22 LC </t>
  </si>
  <si>
    <t>1.7.3</t>
  </si>
  <si>
    <t>1. Added Desiogn snow load to input sheet, 0 and 55 degree snow laod are now based on that</t>
  </si>
  <si>
    <t>1.7.4</t>
  </si>
  <si>
    <t xml:space="preserve">1. corrected when snow load is applied to seismic and to what degree per ASCE 
2. added ASCE dropdown and flat roof </t>
  </si>
  <si>
    <t>Zone:</t>
  </si>
  <si>
    <t>Select Load Cases:</t>
  </si>
  <si>
    <t>HalfTracker</t>
  </si>
  <si>
    <t>Left Side Joints</t>
  </si>
  <si>
    <t>Basic Load Cases (Static Wind Uplift)</t>
  </si>
  <si>
    <t>Side</t>
  </si>
  <si>
    <t>Span #</t>
  </si>
  <si>
    <t>Joint</t>
  </si>
  <si>
    <t>Joint Label</t>
  </si>
  <si>
    <t>X</t>
  </si>
  <si>
    <t>Y</t>
  </si>
  <si>
    <t>Z</t>
  </si>
  <si>
    <t>Half Tracker (Left Side)</t>
  </si>
  <si>
    <t>Right Side Joints</t>
  </si>
  <si>
    <t>Half Tracker (Right Side)</t>
  </si>
  <si>
    <t>Joints</t>
  </si>
  <si>
    <t>Basic Load Cases (Static Wind Downward)</t>
  </si>
  <si>
    <t>Basic Load Cases (Dynamic Wind Uplift)</t>
  </si>
  <si>
    <t>Basic Load Cases (Dynamic Wind Downward)</t>
  </si>
  <si>
    <t>Label</t>
  </si>
  <si>
    <t>Customer:</t>
  </si>
  <si>
    <t>Project:</t>
  </si>
  <si>
    <t>Zip/Location:</t>
  </si>
  <si>
    <t>GCN Coefficients</t>
  </si>
  <si>
    <t>Zone 1 (psf)</t>
  </si>
  <si>
    <t>Zone 2 (psf)</t>
  </si>
  <si>
    <t>Zone 3 (psf)</t>
  </si>
  <si>
    <t>Zone 4 (psf)</t>
  </si>
  <si>
    <t>Zone 5 (psf)</t>
  </si>
  <si>
    <t>Applied Pressures (psf)</t>
  </si>
  <si>
    <t xml:space="preserve">Max Uplift </t>
  </si>
  <si>
    <t xml:space="preserve">Max Downward </t>
  </si>
  <si>
    <t xml:space="preserve">Roof Snow Load </t>
  </si>
  <si>
    <t xml:space="preserve">Panel Dead Load </t>
  </si>
  <si>
    <t xml:space="preserve">Load Combination </t>
  </si>
  <si>
    <t>0.6WL+X</t>
  </si>
  <si>
    <t>0.6WL-X</t>
  </si>
  <si>
    <t>0.7SL</t>
  </si>
  <si>
    <t>0.45WL+X+0.525SL</t>
  </si>
  <si>
    <t>0.45WL-X+0.525SL</t>
  </si>
  <si>
    <t>Zone 1 (pa)</t>
  </si>
  <si>
    <t>Zone 2 (pa)</t>
  </si>
  <si>
    <t>Zone 3 (pa)</t>
  </si>
  <si>
    <t>Zone 4 (pa)</t>
  </si>
  <si>
    <t>Zone 5 (pa)</t>
  </si>
  <si>
    <t xml:space="preserve"> 0.7SL</t>
  </si>
  <si>
    <t>Design Load = Test Load/1.5</t>
  </si>
  <si>
    <t xml:space="preserve">Max Actual Pressure </t>
  </si>
  <si>
    <t xml:space="preserve">Check </t>
  </si>
  <si>
    <t xml:space="preserve">Uplift </t>
  </si>
  <si>
    <t>pa</t>
  </si>
  <si>
    <t xml:space="preserve">Downforce </t>
  </si>
  <si>
    <t>SL</t>
  </si>
  <si>
    <t>0.45WL+X+0.75SL</t>
  </si>
  <si>
    <t>0.45WL-X+0.75SL</t>
  </si>
  <si>
    <t>Torsion</t>
  </si>
  <si>
    <t>DAF</t>
  </si>
  <si>
    <t>Uplift (Torsion)</t>
  </si>
  <si>
    <t>Downforce (Torsion)</t>
  </si>
  <si>
    <t>Heaving</t>
  </si>
  <si>
    <t>Uplift Zone 1</t>
  </si>
  <si>
    <t>Downforce Zone 1</t>
  </si>
  <si>
    <t>Uplift Zone 2</t>
  </si>
  <si>
    <t>Downforce Zone 2</t>
  </si>
  <si>
    <t>Uplift Zone 3</t>
  </si>
  <si>
    <t>Downforce Zone 3</t>
  </si>
  <si>
    <t>Uplift Zone 4</t>
  </si>
  <si>
    <t>Downforce Zone 4</t>
  </si>
  <si>
    <t>Uplift Zone 5</t>
  </si>
  <si>
    <t>Downforce Zone 5</t>
  </si>
  <si>
    <t>GCM_Cantilever (Min)</t>
  </si>
  <si>
    <t>Static - qh*GCM_Cantilever (Min)</t>
  </si>
  <si>
    <t>Dynamic - qh*DAF*GCM_Cantilever (Min)</t>
  </si>
  <si>
    <t>Load Type</t>
  </si>
  <si>
    <t>Chord Divisions</t>
  </si>
  <si>
    <t>Spans</t>
  </si>
  <si>
    <t>GCN1</t>
  </si>
  <si>
    <t>GCN2</t>
  </si>
  <si>
    <t>GCN3</t>
  </si>
  <si>
    <t>GCN4</t>
  </si>
  <si>
    <t>GCM_Cantilever (Max)</t>
  </si>
  <si>
    <t>Static - qh*GCM_Cantilever (Max)</t>
  </si>
  <si>
    <t>Dynamic - qh*DAF*GCM_Cantilever (Max)</t>
  </si>
  <si>
    <t>Static 
Uplift</t>
  </si>
  <si>
    <t>Static Downforce</t>
  </si>
  <si>
    <t>Dynamic 
Uplift</t>
  </si>
  <si>
    <t>Dynamic 
Downforce</t>
  </si>
  <si>
    <t>Min</t>
  </si>
  <si>
    <t>Max</t>
  </si>
  <si>
    <t>Sum</t>
  </si>
  <si>
    <t>GCM_HalfTracker (Min)</t>
  </si>
  <si>
    <t>Static - qh*GCM_HalfTracker (Min)</t>
  </si>
  <si>
    <t>Dynamic - qh*DAF*GCM_HalfTracker (Min)</t>
  </si>
  <si>
    <t>Coefficient</t>
  </si>
  <si>
    <t>GCM_HalfTracker (Max)</t>
  </si>
  <si>
    <t>Static - qh*GCM_HalfTracker (Max)</t>
  </si>
  <si>
    <t>Dynamic - qh*DAF*GCM_HalfTracker (Max)</t>
  </si>
  <si>
    <t>Tracker Moment (GCM-Tracker) Height Adjustment Factors</t>
  </si>
  <si>
    <t>Tilt (°)</t>
  </si>
  <si>
    <t>Uplift Min</t>
  </si>
  <si>
    <t>0° to 30°</t>
  </si>
  <si>
    <t>45°</t>
  </si>
  <si>
    <t>60°</t>
  </si>
  <si>
    <t>Uplift Max</t>
  </si>
  <si>
    <t>30°</t>
  </si>
  <si>
    <t>Downforce Min</t>
  </si>
  <si>
    <t>Downforce Max</t>
  </si>
  <si>
    <t>Height (L)</t>
  </si>
  <si>
    <t>GCN_Module</t>
  </si>
  <si>
    <t>Static - qh*GCN_Post</t>
  </si>
  <si>
    <t>Dynamic - qh*DAF*GCN_Post</t>
  </si>
  <si>
    <t>Averaged Coefficients</t>
  </si>
  <si>
    <t xml:space="preserve">Adjustment Factor </t>
  </si>
  <si>
    <t>Post Normal Force (GCN-Post) Height Adjustment Factors</t>
  </si>
  <si>
    <t>Static 
Downforce</t>
  </si>
  <si>
    <t>Dynamic
Uplift</t>
  </si>
  <si>
    <t>Dynamic
Downforce</t>
  </si>
  <si>
    <t>GCN_Post</t>
  </si>
  <si>
    <t>Static - qh*GCN_Post*HAF</t>
  </si>
  <si>
    <t>GCM_Purlin (Min)</t>
  </si>
  <si>
    <t>Static - qh*GCM_Purlin (Min)</t>
  </si>
  <si>
    <t>Dynamic - qh*DAF*GCM_Purlin (Min)</t>
  </si>
  <si>
    <t>Purlin Moment (GCM-Purlin) Height Adjustment Factors</t>
  </si>
  <si>
    <t xml:space="preserve">Downforce Min </t>
  </si>
  <si>
    <t xml:space="preserve">Downforce Max </t>
  </si>
  <si>
    <t>GCM_Purlin (Max)</t>
  </si>
  <si>
    <t>Static - qh*GCM_Purlin (Max)</t>
  </si>
  <si>
    <t>Dynamic - qh*DAF*GCM_Purlin (Max)</t>
  </si>
  <si>
    <t xml:space="preserve">Notes: </t>
  </si>
  <si>
    <t>Height adjustment factors are to be applied to their respective H = 0.8L load coefficient</t>
  </si>
  <si>
    <t>Height adjustment factors are to be applied to their respective 0.8L  height load coefficient</t>
  </si>
  <si>
    <t>Height adjustment factors can be linearly interpolated between heights presented</t>
  </si>
  <si>
    <t>GCN_Clip</t>
  </si>
  <si>
    <t>Static - qh*GCN_Clip</t>
  </si>
  <si>
    <t>ASCE 7-10</t>
  </si>
  <si>
    <t>Cantilever</t>
  </si>
  <si>
    <t>ASCE 7-16</t>
  </si>
  <si>
    <t>Purlin</t>
  </si>
  <si>
    <t>ASCE 7-22</t>
  </si>
  <si>
    <t>Clips</t>
  </si>
  <si>
    <t>Post</t>
  </si>
  <si>
    <t>Zone 1 - Drive</t>
  </si>
  <si>
    <t>2.25x0.044</t>
  </si>
  <si>
    <t>2.25x0.055</t>
  </si>
  <si>
    <t>2.25x0.070</t>
  </si>
  <si>
    <t>2.25x0.074</t>
  </si>
  <si>
    <t>4x4, .126</t>
  </si>
  <si>
    <t>4x4, .134</t>
  </si>
  <si>
    <t>5x4, .126</t>
  </si>
  <si>
    <t>Mildly</t>
  </si>
  <si>
    <t>Moderately</t>
  </si>
  <si>
    <t>Highly</t>
  </si>
  <si>
    <t>This table displays the total amount of posts and their individual z-coordinates, with z=0 being the drive post location</t>
  </si>
  <si>
    <t>This table displays the total amount of vertical purlins and their individual z-coordinates with z=0 being the drive post location</t>
  </si>
  <si>
    <t>This table displays the z-coordinate boundaries for each post tributary area from left to right (positive to negative)</t>
  </si>
  <si>
    <t>Dead Load Exterior</t>
  </si>
  <si>
    <t>Drag Load Exterior</t>
  </si>
  <si>
    <t>Snow Load E</t>
  </si>
  <si>
    <t>Dead Load Interior</t>
  </si>
  <si>
    <t>Drag Load Interior</t>
  </si>
  <si>
    <t>Snow Load I</t>
  </si>
  <si>
    <t>TOPL</t>
  </si>
  <si>
    <t xml:space="preserve">Post Number </t>
  </si>
  <si>
    <t>Post In Zone 1</t>
  </si>
  <si>
    <t>Post In Zone 2</t>
  </si>
  <si>
    <t>Post In Zone 3</t>
  </si>
  <si>
    <t>Interior Drive Post</t>
  </si>
  <si>
    <t>Post In Zone 5</t>
  </si>
  <si>
    <t xml:space="preserve">Exterior Drive Post </t>
  </si>
  <si>
    <t>Snow Load Exterior</t>
  </si>
  <si>
    <t>Snow Load Interior</t>
  </si>
  <si>
    <t xml:space="preserve">Seismic X </t>
  </si>
  <si>
    <t xml:space="preserve">Seismic Z </t>
  </si>
  <si>
    <t xml:space="preserve">Zone 1 Dead </t>
  </si>
  <si>
    <t xml:space="preserve">Zone 1 Snow Load </t>
  </si>
  <si>
    <t>Zone 1 Drag</t>
  </si>
  <si>
    <t>Zone 1 Seismic X</t>
  </si>
  <si>
    <t>Zone 1 Seismic Z</t>
  </si>
  <si>
    <t xml:space="preserve">Zone 2 Dead </t>
  </si>
  <si>
    <t xml:space="preserve">Zone 2 Snow Load </t>
  </si>
  <si>
    <t>Zone 2 Drag</t>
  </si>
  <si>
    <t>Zone 2 Seismic X</t>
  </si>
  <si>
    <t>Zone 2 Seismic Z</t>
  </si>
  <si>
    <t xml:space="preserve">Zone 3 Dead </t>
  </si>
  <si>
    <t xml:space="preserve">Zone 3 Snow Load </t>
  </si>
  <si>
    <t>Zone 3 Drag</t>
  </si>
  <si>
    <t>Zone 3 Seismic X</t>
  </si>
  <si>
    <t>Zone 3 Seismic Z</t>
  </si>
  <si>
    <t xml:space="preserve">Zone 4 Dead </t>
  </si>
  <si>
    <t xml:space="preserve">Zone 4 Snow Load </t>
  </si>
  <si>
    <t>Zone 4 Drag</t>
  </si>
  <si>
    <t>Zone 4 Seismic X</t>
  </si>
  <si>
    <t>Zone 4 Seismic Z</t>
  </si>
  <si>
    <t xml:space="preserve">Zone 5 Dead </t>
  </si>
  <si>
    <t xml:space="preserve">Zone 5 Snow Load </t>
  </si>
  <si>
    <t>Zone 5 Drag</t>
  </si>
  <si>
    <t>Zone 5 Seismic X</t>
  </si>
  <si>
    <t>Zone 5 Seismic Z</t>
  </si>
  <si>
    <t xml:space="preserve">Exterior Drive Dead </t>
  </si>
  <si>
    <t>Exterior Drive Snow</t>
  </si>
  <si>
    <t>Exterior Drive Drag</t>
  </si>
  <si>
    <t xml:space="preserve">Exterior Drive Seismic X </t>
  </si>
  <si>
    <t>Exterior Drive Seismic Z</t>
  </si>
  <si>
    <t xml:space="preserve">Zone 1 Static Uplift </t>
  </si>
  <si>
    <t xml:space="preserve">Zone 1 Static Down </t>
  </si>
  <si>
    <t>Zone 1 Uplift Moment</t>
  </si>
  <si>
    <t>Zone 1 Downforce Moment</t>
  </si>
  <si>
    <t xml:space="preserve">Zone 2 Static Uplift </t>
  </si>
  <si>
    <t xml:space="preserve">Zone 2 Static Down </t>
  </si>
  <si>
    <t>Zone 2 Uplift Moment</t>
  </si>
  <si>
    <t>Zone 2 Downforce Moment</t>
  </si>
  <si>
    <t xml:space="preserve">Zone 3 Static Uplift </t>
  </si>
  <si>
    <t xml:space="preserve">Zone 3 Static Down </t>
  </si>
  <si>
    <t>Zone 3 Uplift Moment</t>
  </si>
  <si>
    <t>Zone 3 Downforce Moment</t>
  </si>
  <si>
    <t xml:space="preserve">Zone 4 Static Uplift </t>
  </si>
  <si>
    <t xml:space="preserve">Zone 4 Static Down </t>
  </si>
  <si>
    <t>Zone 4 Uplift Moment</t>
  </si>
  <si>
    <t>Zone 4 Downforce Moment</t>
  </si>
  <si>
    <t xml:space="preserve">Zone 5 Static Uplift </t>
  </si>
  <si>
    <t xml:space="preserve">Zone 5 Static Down </t>
  </si>
  <si>
    <t>Zone 5 Uplift Moment</t>
  </si>
  <si>
    <t>Zone 5 Downforce Moment</t>
  </si>
  <si>
    <t>Exterior Drive Uplift</t>
  </si>
  <si>
    <t>Exterior Drive Downforce</t>
  </si>
  <si>
    <t>Drive Uplift Moment</t>
  </si>
  <si>
    <t>Drive Downforce Moment</t>
  </si>
  <si>
    <t>Z - Coord (in)</t>
  </si>
  <si>
    <t>Tributary Area</t>
  </si>
  <si>
    <t>Verticals</t>
  </si>
  <si>
    <t>Torque  Tubes</t>
  </si>
  <si>
    <t>Panels</t>
  </si>
  <si>
    <t>Total</t>
  </si>
  <si>
    <t>Torque Tubes</t>
  </si>
  <si>
    <t>z1</t>
  </si>
  <si>
    <t>in.</t>
  </si>
  <si>
    <t>ft.</t>
  </si>
  <si>
    <t>Length</t>
  </si>
  <si>
    <t>Weight</t>
  </si>
  <si>
    <t>lb/ft</t>
  </si>
  <si>
    <t>Load</t>
  </si>
  <si>
    <t>lbs.</t>
  </si>
  <si>
    <t>Thickness</t>
  </si>
  <si>
    <t>ft^2</t>
  </si>
  <si>
    <t>Angle</t>
  </si>
  <si>
    <t>degrees</t>
  </si>
  <si>
    <t>z2</t>
  </si>
  <si>
    <t>Quantity</t>
  </si>
  <si>
    <t>purlins</t>
  </si>
  <si>
    <t>Area</t>
  </si>
  <si>
    <t>Tubes</t>
  </si>
  <si>
    <t xml:space="preserve">Snow  </t>
  </si>
  <si>
    <t>Total Length</t>
  </si>
  <si>
    <t>Width</t>
  </si>
  <si>
    <t>in.^2</t>
  </si>
  <si>
    <t>ft.^2</t>
  </si>
  <si>
    <t>Total Weight</t>
  </si>
  <si>
    <t>Drag</t>
  </si>
  <si>
    <t>ft^3</t>
  </si>
  <si>
    <t>ft^4</t>
  </si>
  <si>
    <t>ft^5</t>
  </si>
  <si>
    <t>ft^6</t>
  </si>
  <si>
    <t>ft^7</t>
  </si>
  <si>
    <t>ft^8</t>
  </si>
  <si>
    <t>ft^9</t>
  </si>
  <si>
    <t>ft^10</t>
  </si>
  <si>
    <t>ft^11</t>
  </si>
  <si>
    <t>ft^12</t>
  </si>
  <si>
    <t>ft^13</t>
  </si>
  <si>
    <t>ft^14</t>
  </si>
  <si>
    <t>ft^15</t>
  </si>
  <si>
    <t>ft^16</t>
  </si>
  <si>
    <t>ft^17</t>
  </si>
  <si>
    <t>ft^18</t>
  </si>
  <si>
    <t>ft^19</t>
  </si>
  <si>
    <t>ft^20</t>
  </si>
  <si>
    <t>Right Side</t>
  </si>
  <si>
    <t>ft^21</t>
  </si>
  <si>
    <t>ft^22</t>
  </si>
  <si>
    <t>ft^23</t>
  </si>
  <si>
    <t>ft^24</t>
  </si>
  <si>
    <t>ft^25</t>
  </si>
  <si>
    <t>ft^26</t>
  </si>
  <si>
    <t>ft^27</t>
  </si>
  <si>
    <t>ft^28</t>
  </si>
  <si>
    <t>ft^29</t>
  </si>
  <si>
    <t>ft^30</t>
  </si>
  <si>
    <t>ft^31</t>
  </si>
  <si>
    <t>ft^32</t>
  </si>
  <si>
    <t>a</t>
  </si>
  <si>
    <t>b</t>
  </si>
  <si>
    <t>c</t>
  </si>
  <si>
    <t>Span Coordinates (in.)</t>
  </si>
  <si>
    <t>Span Lengths (ft.)</t>
  </si>
  <si>
    <t>Span Areas (ft^2)</t>
  </si>
  <si>
    <t>Post Tributary Coordinates (in.)</t>
  </si>
  <si>
    <t>Exterior</t>
  </si>
  <si>
    <t>Interior</t>
  </si>
  <si>
    <t>Static Wind Uplift Pressure Zone 1</t>
  </si>
  <si>
    <t>Static Wind Uplift Pressure Zone 2</t>
  </si>
  <si>
    <t>Static Wind Uplift Pressure Zone 3</t>
  </si>
  <si>
    <t>Static Wind Uplift Pressure Zone 4</t>
  </si>
  <si>
    <t>Static Wind Uplift Pressure Zone 5</t>
  </si>
  <si>
    <t>Tributary Zone Uplift Normal Forces Zone 1</t>
  </si>
  <si>
    <t>Tributary Zone Uplift Normal Forces Zone 2</t>
  </si>
  <si>
    <t>Tributary Zone Uplift Normal Forces Zone 3</t>
  </si>
  <si>
    <t>Tributary Zone Uplift Normal Forces Zone 4</t>
  </si>
  <si>
    <t>Tributary Zone Uplift Normal Forces Zone 5</t>
  </si>
  <si>
    <t>Totals (psf)</t>
  </si>
  <si>
    <t>Individual Uplift Moments (Zone 1)</t>
  </si>
  <si>
    <t xml:space="preserve"> Total Moment</t>
  </si>
  <si>
    <t>Individual Uplift Moments (Zone 2)</t>
  </si>
  <si>
    <t>Total Moment</t>
  </si>
  <si>
    <t>Individual Uplift Moments (Zone 3)</t>
  </si>
  <si>
    <t>Individual Uplift Moments (Zone 4)</t>
  </si>
  <si>
    <t>Individual Uplift Moments (Zone 5)</t>
  </si>
  <si>
    <t>Static Wind Downforce Pressure Zone 1</t>
  </si>
  <si>
    <t>Static Wind Downforce Pressure Zone 2</t>
  </si>
  <si>
    <t>Static Wind Downforce Pressure Zone 3</t>
  </si>
  <si>
    <t>Static Wind Downforce Pressure Zone 4</t>
  </si>
  <si>
    <t>Static Wind Downforce Pressure Zone 5</t>
  </si>
  <si>
    <t>Tributary Zone Downforce Normal Forces Zone 1</t>
  </si>
  <si>
    <t>Tributary Zone Downforce Normal Forces Zone 2</t>
  </si>
  <si>
    <t>Tributary Zone Downforce Normal Forces Zone 3</t>
  </si>
  <si>
    <t>Tributary Zone Downforce Normal Forces Zone 4</t>
  </si>
  <si>
    <t>Tributary Zone Downforce Normal Forces Zone 5</t>
  </si>
  <si>
    <t>Individual Downforce Moments (Zone 1)</t>
  </si>
  <si>
    <t>Individual Downforce Moments (Zone 2)</t>
  </si>
  <si>
    <t>Individual Downforce Moments (Zone 3)</t>
  </si>
  <si>
    <t>Individual Downforce Moments (Zone 4)</t>
  </si>
  <si>
    <t>Individual Downforce Moments (Zone 5)</t>
  </si>
  <si>
    <t>Dynamic - qh*DAF*GCM_Purlin (Min)*HAF</t>
  </si>
  <si>
    <t xml:space="preserve">Height Adjustment Factior </t>
  </si>
  <si>
    <t>Shear (Mins) - lbs</t>
  </si>
  <si>
    <t>Moment (Min) - lb-in</t>
  </si>
  <si>
    <t xml:space="preserve">Maximum (Down) Shear </t>
  </si>
  <si>
    <t xml:space="preserve">Maximum (Downward) Moment </t>
  </si>
  <si>
    <t>Snow Load (lbs)</t>
  </si>
  <si>
    <t xml:space="preserve">Shear </t>
  </si>
  <si>
    <t xml:space="preserve">Uplift Max </t>
  </si>
  <si>
    <t>Moment</t>
  </si>
  <si>
    <t xml:space="preserve">Down Min </t>
  </si>
  <si>
    <t xml:space="preserve">Zone 3 </t>
  </si>
  <si>
    <t>Down Max</t>
  </si>
  <si>
    <t xml:space="preserve">Dead Load (lbs) </t>
  </si>
  <si>
    <t xml:space="preserve">Minimum (Uplift) Shear </t>
  </si>
  <si>
    <t>Minimum (Uplift) Moment</t>
  </si>
  <si>
    <t>Dynamic - qh*DAF*GCM_Purlin (Max)*HAF</t>
  </si>
  <si>
    <t>Moment (Max) - lbs</t>
  </si>
  <si>
    <t>Dead (lb)</t>
  </si>
  <si>
    <t>Snow Load (lb)</t>
  </si>
  <si>
    <t>Drag Load (lb)</t>
  </si>
  <si>
    <t>Seismic X (lb)</t>
  </si>
  <si>
    <t>Seismic Z (lb)</t>
  </si>
  <si>
    <t>Static Downforce X (lb)</t>
  </si>
  <si>
    <t>Static Uplift X (lb)</t>
  </si>
  <si>
    <t>Static Downforce Y (lb)</t>
  </si>
  <si>
    <t>Static Uplift Y (lb)</t>
  </si>
  <si>
    <t>Mz Downforce (lb-in)</t>
  </si>
  <si>
    <t>Mz Uplift (lb-in)</t>
  </si>
  <si>
    <t>Mx from Seismic(lb-in)</t>
  </si>
  <si>
    <t>Dynamic Downforce X (lb)</t>
  </si>
  <si>
    <t xml:space="preserve">Dynamic Uplift X (lb) </t>
  </si>
  <si>
    <t>Dynamic Downforce Y (lb)</t>
  </si>
  <si>
    <t xml:space="preserve">Dynamic Uplift Y (lb) </t>
  </si>
  <si>
    <t>Dynamic Mz Downforce (lb)</t>
  </si>
  <si>
    <t>Dynamic Mz Uplift (lb)</t>
  </si>
  <si>
    <t>Mz from Seismic</t>
  </si>
  <si>
    <t xml:space="preserve">Slope Force </t>
  </si>
  <si>
    <t xml:space="preserve">Snow Slope Factor </t>
  </si>
  <si>
    <t>Configuration:</t>
  </si>
  <si>
    <t>Date/Engineer:</t>
  </si>
  <si>
    <t>Post Size:</t>
  </si>
  <si>
    <t>TBD by Others</t>
  </si>
  <si>
    <t xml:space="preserve">Exterior Drive </t>
  </si>
  <si>
    <t xml:space="preserve">Top of Pile Loads </t>
  </si>
  <si>
    <t>Load Case</t>
  </si>
  <si>
    <t>Load Combination ASD (ASCE 7-10)</t>
  </si>
  <si>
    <t xml:space="preserve"> Post Location</t>
  </si>
  <si>
    <t>X - Strong Axis Shear (lb)</t>
  </si>
  <si>
    <t>Y-Axial (lb)</t>
  </si>
  <si>
    <t>Z - Weak Axis Shear (lb)</t>
  </si>
  <si>
    <t>MX - Weak Axis Over Turning (lbs-in)</t>
  </si>
  <si>
    <t>MZ-Strong Axis Over Turning (lbs-in)</t>
  </si>
  <si>
    <t>1.4DL</t>
  </si>
  <si>
    <t>Worst Post</t>
  </si>
  <si>
    <t>1.25DL + 1.5LL + 1.5LLS</t>
  </si>
  <si>
    <t>1.25DL + 1.5LL + 1.5LLS + 0.5SL</t>
  </si>
  <si>
    <t>0.9DL + 1.5LL + 1.5LLS</t>
  </si>
  <si>
    <t xml:space="preserve">0.9DL + 1.5LL + 1.5LLS + 0.5SL </t>
  </si>
  <si>
    <t>1.25DL + 1.5SL</t>
  </si>
  <si>
    <t xml:space="preserve">1.25DL + 1.5SL + 0.5LL + 1LLS </t>
  </si>
  <si>
    <t>0.9DL + 1.5SL</t>
  </si>
  <si>
    <t>0.9DL + 1.5SL + 0.5LL + 1LLS</t>
  </si>
  <si>
    <t>1.25DL + 1.5LL + 1.5LLS + 0.4WL+X</t>
  </si>
  <si>
    <t>1.25DL + 1.5LL + 1.5LLS + 0.4WL-X</t>
  </si>
  <si>
    <t>0.9DL + 1.5LL + 1.5LLS + 0.4WL+X</t>
  </si>
  <si>
    <t>0.9DL + 1.5LL + 1.5LLS + 0.4WL-X</t>
  </si>
  <si>
    <t>1.25DL + 1.5SL + 0.4WL+X</t>
  </si>
  <si>
    <t>1.25DL + 1.5SL + 0.4WL-X</t>
  </si>
  <si>
    <t>0.9DL + 1.5SL + 0.4WL+X</t>
  </si>
  <si>
    <t>0.9DL + 1.5SL + 0.4WL-X</t>
  </si>
  <si>
    <t>1.25DL + 1.4WL+X</t>
  </si>
  <si>
    <t>1.25DL + 1.4WL-X</t>
  </si>
  <si>
    <t xml:space="preserve">1.25DL + 1.4WL+X + 0.5LL + 1LLS </t>
  </si>
  <si>
    <t xml:space="preserve">1.25DL + 1.4WL-X + 0.5LL + 1LLS </t>
  </si>
  <si>
    <t>1.25DL + 1.4WL+X + 0.5SL</t>
  </si>
  <si>
    <t>1.25DL + 1.4WL-X + 0.5SL</t>
  </si>
  <si>
    <t>0.9DL + 1.4WL+X</t>
  </si>
  <si>
    <t>0.9DL + 1.4WL-X</t>
  </si>
  <si>
    <t xml:space="preserve">0.9DL + 1.4WL+X + 0.5LL + 1LLS </t>
  </si>
  <si>
    <t>0.9DL + 1.4WL-X + 0.5LL + 1LLS</t>
  </si>
  <si>
    <t>0.9DL + 1.4WL+X + 0.5SL</t>
  </si>
  <si>
    <t>0.9DL + 1.4WL-X + 0.5SL</t>
  </si>
  <si>
    <t>DL</t>
  </si>
  <si>
    <t>= Dead Load</t>
  </si>
  <si>
    <t>LL</t>
  </si>
  <si>
    <t>= Live Load</t>
  </si>
  <si>
    <t>= Snow Load</t>
  </si>
  <si>
    <t>= Wind Load ( WL+X = Wind in the +X Axis; WL-X = Wind in the -X Axis)</t>
  </si>
  <si>
    <t>Seismic Y</t>
  </si>
  <si>
    <t>Load Combination ASD (ASCE 7-22)</t>
  </si>
  <si>
    <t>DL + LL</t>
  </si>
  <si>
    <t>DL + 0.7 SL</t>
  </si>
  <si>
    <t>DL + 0..525 SL</t>
  </si>
  <si>
    <t>DL + 0.6 WL+X</t>
  </si>
  <si>
    <t>DL + 0.6 WL-X</t>
  </si>
  <si>
    <t>DL + 0.45 WL+X + 0.525 SL + 0.75 LL</t>
  </si>
  <si>
    <t>DL + 0.45 WL-X + 0.525 SL + 0.75 LL</t>
  </si>
  <si>
    <t>0.6 DL + 0.6 WL+X</t>
  </si>
  <si>
    <t>0.6 DL + 0.6 WL-X</t>
  </si>
  <si>
    <t>DL + 0.7 ELX + 0.7 ELY</t>
  </si>
  <si>
    <t>DL - 0.7 ELX - 0.7 ELY</t>
  </si>
  <si>
    <t>DL + 0.7 ELZ + 0.7 ELY</t>
  </si>
  <si>
    <t>DL - 0.7 ELZ - 0.7 ELY</t>
  </si>
  <si>
    <t>DL + 0.525 ELX + 0.1 SL + 0.75 LL + 0.525 ELY</t>
  </si>
  <si>
    <t>DL - 0.525 ELX + 0.1 SL + 0.75 LL - 0.525 ELY</t>
  </si>
  <si>
    <t>DL + 0.525 ELZ + 0.1 SL + 0.75 LL + 0.525 ELY</t>
  </si>
  <si>
    <t>DL - 0.525 ELZ + 0.1 SL + 0.75 LL - 0.525 ELY</t>
  </si>
  <si>
    <t>0.6 DL + 0.7 ELX + 0.7 ELY</t>
  </si>
  <si>
    <t>0.6 DL - 0.7 ELX - 0.7 ELY</t>
  </si>
  <si>
    <t>0.6 DL + 0.7 ELZ + 0.7 ELY</t>
  </si>
  <si>
    <t>0.6 DL - 0.7 ELZ - 0.7 ELY</t>
  </si>
  <si>
    <t xml:space="preserve">BLC </t>
  </si>
  <si>
    <t>= Basic Load Case</t>
  </si>
  <si>
    <t>EL</t>
  </si>
  <si>
    <t>= Seismic Load (ELX about the X- Axis; ELZ about the Z-Axis)</t>
  </si>
  <si>
    <t>= Inertial Wind Load ( WL+X = Wind in the +X Axis; WL-X = Wind in the -X)</t>
  </si>
  <si>
    <t>DL + SL</t>
  </si>
  <si>
    <t>DL + 0.45 OL1 + 0.75 SL + 0.75 LL</t>
  </si>
  <si>
    <t>DL + 0.45 OL2 + 0.75 SL + 0.75 LL</t>
  </si>
  <si>
    <t>DL + 0.45 WL+X + 0.25 SL + 0.75 LL</t>
  </si>
  <si>
    <t>DL + 0.45 WL-X + 0.25 SL + 0.75 LL</t>
  </si>
  <si>
    <t>DL + 0.525 ELX + 0.75 SL + 0.75 LL + 0.525 ELY</t>
  </si>
  <si>
    <t>DL - 0.525 ELX + 0.75 SL + 0.75 LL - 0.525 ELY</t>
  </si>
  <si>
    <t>DL + 0.525 ELZ + 0.75 SL + 0.75 LL + 0.525 ELY</t>
  </si>
  <si>
    <t>DL - 0.525 ELZ + 0.75 SL + 0.75 LL - 0.525 ELY</t>
  </si>
  <si>
    <t>OL</t>
  </si>
  <si>
    <t>= Static Wind Load (OL1 = Wind in the +X Axis; OL2 = Wind in the -X)</t>
  </si>
  <si>
    <t>EDI_Std_Nomenclature</t>
  </si>
  <si>
    <t>W</t>
  </si>
  <si>
    <t>d</t>
  </si>
  <si>
    <t>ddet</t>
  </si>
  <si>
    <t>bf</t>
  </si>
  <si>
    <t>bfdet</t>
  </si>
  <si>
    <t>tw</t>
  </si>
  <si>
    <t>twdet</t>
  </si>
  <si>
    <t>twdet/2</t>
  </si>
  <si>
    <t>tf</t>
  </si>
  <si>
    <t>tfdet</t>
  </si>
  <si>
    <t>kdes</t>
  </si>
  <si>
    <t>kdet</t>
  </si>
  <si>
    <t>k1</t>
  </si>
  <si>
    <t>bf/2tf</t>
  </si>
  <si>
    <t>h/tw</t>
  </si>
  <si>
    <t>Ix</t>
  </si>
  <si>
    <t>Zx</t>
  </si>
  <si>
    <t>Sx</t>
  </si>
  <si>
    <t>rx</t>
  </si>
  <si>
    <t>Iy</t>
  </si>
  <si>
    <t>Zy</t>
  </si>
  <si>
    <t>Sy</t>
  </si>
  <si>
    <t>ry</t>
  </si>
  <si>
    <t>Cw</t>
  </si>
  <si>
    <t>Wno</t>
  </si>
  <si>
    <t>Sw1</t>
  </si>
  <si>
    <t>Qf</t>
  </si>
  <si>
    <t>Qw</t>
  </si>
  <si>
    <t>rts</t>
  </si>
  <si>
    <t>ho</t>
  </si>
  <si>
    <t>PA</t>
  </si>
  <si>
    <t>PB</t>
  </si>
  <si>
    <t>PC</t>
  </si>
  <si>
    <t>PD</t>
  </si>
  <si>
    <t>WGi</t>
  </si>
  <si>
    <t>W8X31</t>
  </si>
  <si>
    <t>–</t>
  </si>
  <si>
    <t>W8X28</t>
  </si>
  <si>
    <t>W8X24</t>
  </si>
  <si>
    <t>W8X21</t>
  </si>
  <si>
    <t>W8X18</t>
  </si>
  <si>
    <t>W8X15</t>
  </si>
  <si>
    <t>W8X13</t>
  </si>
  <si>
    <t>W8X10</t>
  </si>
  <si>
    <t>W6X25</t>
  </si>
  <si>
    <t>W6X20</t>
  </si>
  <si>
    <t>W6X15</t>
  </si>
  <si>
    <t>W6X16</t>
  </si>
  <si>
    <t>W6X12</t>
  </si>
  <si>
    <t>W6x10.4</t>
  </si>
  <si>
    <t>W6X9</t>
  </si>
  <si>
    <t>W6X8.5</t>
  </si>
  <si>
    <t>ksi</t>
  </si>
  <si>
    <t xml:space="preserve">Section Profile </t>
  </si>
  <si>
    <t>Fy</t>
  </si>
  <si>
    <t xml:space="preserve">Design Life </t>
  </si>
  <si>
    <t>Corrosivity</t>
  </si>
  <si>
    <t>Galv Thickness</t>
  </si>
  <si>
    <t>mil</t>
  </si>
  <si>
    <t>Years of Galv</t>
  </si>
  <si>
    <t>Metal Loss</t>
  </si>
  <si>
    <t>Area (A)</t>
  </si>
  <si>
    <t>Moment of Inertia - y (Iy)</t>
  </si>
  <si>
    <t>in^4</t>
  </si>
  <si>
    <t>Depth (d)</t>
  </si>
  <si>
    <t>Elastic Section Moudlus - y (Sy)</t>
  </si>
  <si>
    <t>in^3</t>
  </si>
  <si>
    <t>Web Thickness (tw)</t>
  </si>
  <si>
    <t>Radius of Gyration - y (ry)</t>
  </si>
  <si>
    <t>Flange Thickness (tf)</t>
  </si>
  <si>
    <t>Plastic Section Moudlus - y (Zy)</t>
  </si>
  <si>
    <t>Flange Width (bf)</t>
  </si>
  <si>
    <t>Moment of Inertia x (Ix)</t>
  </si>
  <si>
    <t>Effective Radius of Gyration (rts)</t>
  </si>
  <si>
    <t>Elastic Section Modulus x (Sx)</t>
  </si>
  <si>
    <t>Torsional Constant - (J)</t>
  </si>
  <si>
    <t>Radius of Gyration about X (rx)</t>
  </si>
  <si>
    <t>Plastic Section Moudlus - X (Zx)</t>
  </si>
  <si>
    <t>Wh</t>
  </si>
  <si>
    <t xml:space="preserve">Reveal Height </t>
  </si>
  <si>
    <t xml:space="preserve">Fully Braced Moment Capacity </t>
  </si>
  <si>
    <t>Max Moment From Lpile</t>
  </si>
  <si>
    <t xml:space="preserve">Soil Neglect </t>
  </si>
  <si>
    <t xml:space="preserve">Application Height </t>
  </si>
  <si>
    <t xml:space="preserve">Lx </t>
  </si>
  <si>
    <t>Ly</t>
  </si>
  <si>
    <t xml:space="preserve">Axial Slenderness Check </t>
  </si>
  <si>
    <t xml:space="preserve">Flange </t>
  </si>
  <si>
    <t>b/t</t>
  </si>
  <si>
    <t>Post Reactions</t>
  </si>
  <si>
    <t>0.56*sqrt(E/Fy)</t>
  </si>
  <si>
    <t>X - Strong Axis Shear (kip)</t>
  </si>
  <si>
    <t>Y-Axial (kip)</t>
  </si>
  <si>
    <t>Z - Weak Axis Shear (kip)</t>
  </si>
  <si>
    <t>MX - Weak Axis Over Turning (kip-in)</t>
  </si>
  <si>
    <t>MZ-Strong Axis Over Turning (kip-in)</t>
  </si>
  <si>
    <t>Combined Check (H1-1)</t>
  </si>
  <si>
    <t>Web</t>
  </si>
  <si>
    <t>1.49*sqrt(E/Fy)</t>
  </si>
  <si>
    <t xml:space="preserve">Flexure Compaction Check </t>
  </si>
  <si>
    <t xml:space="preserve">Compact/noncompact </t>
  </si>
  <si>
    <t>0.38*sqrt(E/Fy)</t>
  </si>
  <si>
    <t>Noncompact/Slender</t>
  </si>
  <si>
    <t>1.0*sqrt(E/Fy)</t>
  </si>
  <si>
    <t>3.76*sqrt(E/Fy)</t>
  </si>
  <si>
    <t>5.70*dqrt(E/Fy)</t>
  </si>
  <si>
    <t>DL + 0.7 ELX</t>
  </si>
  <si>
    <t>DL - 0.7 ELX</t>
  </si>
  <si>
    <t>Section E</t>
  </si>
  <si>
    <t>DL + 0.7 ELZ</t>
  </si>
  <si>
    <t>Non-Slender</t>
  </si>
  <si>
    <t>K=</t>
  </si>
  <si>
    <t>DL - 0.7 ELZ</t>
  </si>
  <si>
    <t>DL + 0.525 ELX + 0.75 SL + 0.75 LL</t>
  </si>
  <si>
    <t>(K*Lx)/rx</t>
  </si>
  <si>
    <t>DL - 0.525 ELX + 0.75 SL + 0.75 LL</t>
  </si>
  <si>
    <t>DL + 0.525 ELZ + 0.75 SL + 0.75 LL</t>
  </si>
  <si>
    <t>(K*Ly)/ry</t>
  </si>
  <si>
    <t>DL - 0.525 ELZ + 0.75 SL + 0.75 LL</t>
  </si>
  <si>
    <t>0.6 DL + 0.7 ELX</t>
  </si>
  <si>
    <t>Lc/r</t>
  </si>
  <si>
    <t>0.6 DL - 0.7 ELX</t>
  </si>
  <si>
    <t>0.6 DL + 0.7 ELZ</t>
  </si>
  <si>
    <t>Fe</t>
  </si>
  <si>
    <t>0.6 DL - 0.7 ELZ</t>
  </si>
  <si>
    <t>4.71*sqrt(E/Fy)</t>
  </si>
  <si>
    <t>FcrA</t>
  </si>
  <si>
    <t>Pn</t>
  </si>
  <si>
    <t>kips</t>
  </si>
  <si>
    <t>Slender Elements</t>
  </si>
  <si>
    <t>λr*sqrt(Fy/Fcr)</t>
  </si>
  <si>
    <t>c1</t>
  </si>
  <si>
    <t>c2</t>
  </si>
  <si>
    <t>Fel</t>
  </si>
  <si>
    <t>be</t>
  </si>
  <si>
    <t>de</t>
  </si>
  <si>
    <t>in^2</t>
  </si>
  <si>
    <t>Ae</t>
  </si>
  <si>
    <t>Pn/Ω</t>
  </si>
  <si>
    <t>Pa</t>
  </si>
  <si>
    <t>Section F - Flexural</t>
  </si>
  <si>
    <t xml:space="preserve">Major Axis </t>
  </si>
  <si>
    <t>F2.1</t>
  </si>
  <si>
    <t xml:space="preserve">Yielding </t>
  </si>
  <si>
    <t>Mp=Fy*Zx</t>
  </si>
  <si>
    <t>k-in</t>
  </si>
  <si>
    <t>F2.2</t>
  </si>
  <si>
    <t>Lateral-Torsional Buckling</t>
  </si>
  <si>
    <t>Lb</t>
  </si>
  <si>
    <t>Lp</t>
  </si>
  <si>
    <t>Lr</t>
  </si>
  <si>
    <t>Cb</t>
  </si>
  <si>
    <t>FcrM</t>
  </si>
  <si>
    <t>Mn</t>
  </si>
  <si>
    <t>F3.2</t>
  </si>
  <si>
    <t xml:space="preserve">Compression Flange Buckling - Non-Compact Flanges </t>
  </si>
  <si>
    <t>Kc</t>
  </si>
  <si>
    <t>F5.1</t>
  </si>
  <si>
    <t>Compression Flnage Yielding - Non-Compact Webs</t>
  </si>
  <si>
    <t>hc</t>
  </si>
  <si>
    <t>aw</t>
  </si>
  <si>
    <t xml:space="preserve">Rpg - Calculated </t>
  </si>
  <si>
    <t>Rpg</t>
  </si>
  <si>
    <t>F5.2</t>
  </si>
  <si>
    <t>Lateral Torsional Bucking - Non Compact Webs</t>
  </si>
  <si>
    <t>rt</t>
  </si>
  <si>
    <t>Fcr</t>
  </si>
  <si>
    <t>F5.3</t>
  </si>
  <si>
    <t xml:space="preserve">Compression Flange Buckling - Non Compact Webs </t>
  </si>
  <si>
    <t xml:space="preserve">Allowable Moment Capacity </t>
  </si>
  <si>
    <t>Mn/Ω</t>
  </si>
  <si>
    <t>Mr</t>
  </si>
  <si>
    <t>F6.1</t>
  </si>
  <si>
    <t xml:space="preserve">Weak Axis Bending </t>
  </si>
  <si>
    <t>Fy*Zy</t>
  </si>
  <si>
    <t>1.6*Fy*Sy</t>
  </si>
  <si>
    <t>K-in</t>
  </si>
  <si>
    <t>Mp</t>
  </si>
  <si>
    <t xml:space="preserve">Chapter G </t>
  </si>
  <si>
    <t>G2.1</t>
  </si>
  <si>
    <t>Shear Design - Strong Axis</t>
  </si>
  <si>
    <t>Aw</t>
  </si>
  <si>
    <t>kv</t>
  </si>
  <si>
    <t>2.24*sqrt(E/Fy)</t>
  </si>
  <si>
    <t>1.10*sqrt((kv*E)/Fy)</t>
  </si>
  <si>
    <t>Cv_1</t>
  </si>
  <si>
    <t>Vn/Ω</t>
  </si>
  <si>
    <t>kip</t>
  </si>
  <si>
    <t>Va</t>
  </si>
  <si>
    <t>Shear Design - Weak Axis</t>
  </si>
  <si>
    <t>1.37*sqrt((kv*E)/Fy)</t>
  </si>
  <si>
    <t>Cv_2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</si>
</sst>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
    <numFmt numFmtId="166" formatCode="0.000000"/>
    <numFmt numFmtId="167" formatCode="0.0"/>
    <numFmt numFmtId="168" formatCode="0.0%"/>
    <numFmt numFmtId="169" formatCode="0.00000"/>
  </numFmts>
  <fonts count="36" x14ac:knownFonts="1">
    <font>
      <sz val="11"/>
      <color theme="1"/>
      <name val="Calibri"/>
      <family val="2"/>
      <scheme val="minor"/>
    </font>
    <font>
      <sz val="14"/>
      <color theme="1"/>
      <name val="Calibri"/>
      <family val="2"/>
      <scheme val="minor"/>
    </font>
    <font>
      <b/>
      <sz val="11"/>
      <color indexed="9"/>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10"/>
      <color theme="1"/>
      <name val="Calibri"/>
      <family val="2"/>
      <scheme val="minor"/>
    </font>
    <font>
      <sz val="10"/>
      <color theme="4" tint="-0.499984740745262"/>
      <name val="Calibri"/>
      <family val="2"/>
      <scheme val="minor"/>
    </font>
    <font>
      <sz val="10"/>
      <name val="Calibri"/>
      <family val="2"/>
      <scheme val="minor"/>
    </font>
    <font>
      <sz val="10"/>
      <color theme="0" tint="-0.14999847407452621"/>
      <name val="Calibri"/>
      <family val="2"/>
      <scheme val="minor"/>
    </font>
    <font>
      <sz val="11"/>
      <color theme="0" tint="-0.14999847407452621"/>
      <name val="Calibri"/>
      <family val="2"/>
      <scheme val="minor"/>
    </font>
    <font>
      <b/>
      <sz val="10"/>
      <name val="Calibri"/>
      <family val="2"/>
      <scheme val="minor"/>
    </font>
    <font>
      <sz val="11"/>
      <name val="Calibri"/>
      <family val="2"/>
      <scheme val="minor"/>
    </font>
    <font>
      <sz val="11"/>
      <color rgb="FF00B050"/>
      <name val="Calibri"/>
      <family val="2"/>
      <scheme val="minor"/>
    </font>
    <font>
      <b/>
      <sz val="11"/>
      <color theme="0"/>
      <name val="Calibri"/>
      <family val="2"/>
      <scheme val="minor"/>
    </font>
    <font>
      <sz val="11"/>
      <color theme="0"/>
      <name val="Calibri"/>
      <family val="2"/>
      <scheme val="minor"/>
    </font>
    <font>
      <b/>
      <sz val="11"/>
      <name val="Calibri"/>
      <family val="2"/>
      <scheme val="minor"/>
    </font>
    <font>
      <sz val="9"/>
      <color theme="1"/>
      <name val="Calibri"/>
      <family val="2"/>
      <scheme val="minor"/>
    </font>
    <font>
      <b/>
      <sz val="11"/>
      <color rgb="FFFA7D00"/>
      <name val="Calibri"/>
      <family val="2"/>
      <scheme val="minor"/>
    </font>
    <font>
      <sz val="11"/>
      <color rgb="FF006100"/>
      <name val="Calibri"/>
      <family val="2"/>
      <scheme val="minor"/>
    </font>
    <font>
      <sz val="11"/>
      <color rgb="FF3F3F76"/>
      <name val="Calibri"/>
      <family val="2"/>
      <scheme val="minor"/>
    </font>
    <font>
      <b/>
      <sz val="11"/>
      <color rgb="FF3F3F76"/>
      <name val="Calibri"/>
      <family val="2"/>
      <scheme val="minor"/>
    </font>
    <font>
      <sz val="16"/>
      <color theme="1"/>
      <name val="Calibri"/>
      <family val="2"/>
      <scheme val="minor"/>
    </font>
    <font>
      <sz val="10"/>
      <name val="Arial"/>
      <family val="2"/>
    </font>
    <font>
      <b/>
      <sz val="11"/>
      <name val="Arial"/>
      <family val="2"/>
    </font>
    <font>
      <sz val="14"/>
      <color rgb="FF9C5700"/>
      <name val="Calibri"/>
      <family val="2"/>
      <scheme val="minor"/>
    </font>
    <font>
      <sz val="11"/>
      <color rgb="FF000000"/>
      <name val="Calibri"/>
      <family val="2"/>
      <scheme val="minor"/>
    </font>
    <font>
      <b/>
      <sz val="14"/>
      <color theme="1"/>
      <name val="Calibri"/>
      <family val="2"/>
      <scheme val="minor"/>
    </font>
    <font>
      <b/>
      <sz val="24"/>
      <color theme="1"/>
      <name val="Calibri"/>
      <family val="2"/>
      <scheme val="minor"/>
    </font>
    <font>
      <b/>
      <sz val="12"/>
      <name val="Arial"/>
      <family val="2"/>
    </font>
    <font>
      <b/>
      <sz val="20"/>
      <color theme="1"/>
      <name val="Calibri"/>
      <family val="2"/>
      <scheme val="minor"/>
    </font>
    <font>
      <b/>
      <u/>
      <sz val="11"/>
      <color theme="1"/>
      <name val="Calibri"/>
      <family val="2"/>
      <scheme val="minor"/>
    </font>
    <font>
      <sz val="11"/>
      <color theme="1"/>
      <name val="Calibri"/>
      <family val="2"/>
    </font>
    <font>
      <b/>
      <sz val="10"/>
      <name val="Arial"/>
      <family val="2"/>
    </font>
    <font>
      <b/>
      <i/>
      <sz val="10"/>
      <name val="Arial"/>
      <family val="2"/>
    </font>
    <font>
      <sz val="12"/>
      <name val="Arial"/>
      <family val="2"/>
    </font>
  </fonts>
  <fills count="43">
    <fill>
      <patternFill patternType="none"/>
    </fill>
    <fill>
      <patternFill patternType="gray125"/>
    </fill>
    <fill>
      <patternFill patternType="solid">
        <fgColor indexed="8"/>
        <bgColor indexed="64"/>
      </patternFill>
    </fill>
    <fill>
      <patternFill patternType="solid">
        <fgColor indexed="16"/>
        <bgColor indexed="64"/>
      </patternFill>
    </fill>
    <fill>
      <patternFill patternType="solid">
        <fgColor indexed="52"/>
        <bgColor indexed="64"/>
      </patternFill>
    </fill>
    <fill>
      <patternFill patternType="solid">
        <fgColor theme="0" tint="-0.14999847407452621"/>
        <bgColor indexed="64"/>
      </patternFill>
    </fill>
    <fill>
      <patternFill patternType="solid">
        <fgColor indexed="9"/>
        <bgColor indexed="64"/>
      </patternFill>
    </fill>
    <fill>
      <patternFill patternType="solid">
        <fgColor rgb="FFFFFF00"/>
        <bgColor indexed="64"/>
      </patternFill>
    </fill>
    <fill>
      <patternFill patternType="solid">
        <fgColor rgb="FF92D050"/>
        <bgColor indexed="64"/>
      </patternFill>
    </fill>
    <fill>
      <patternFill patternType="solid">
        <fgColor theme="1"/>
        <bgColor indexed="64"/>
      </patternFill>
    </fill>
    <fill>
      <patternFill patternType="solid">
        <fgColor indexed="34"/>
        <bgColor indexed="64"/>
      </patternFill>
    </fill>
    <fill>
      <patternFill patternType="solid">
        <fgColor indexed="17"/>
        <bgColor indexed="64"/>
      </patternFill>
    </fill>
    <fill>
      <patternFill patternType="solid">
        <fgColor indexed="50"/>
        <bgColor indexed="64"/>
      </patternFill>
    </fill>
    <fill>
      <patternFill patternType="solid">
        <fgColor rgb="FFDDDDDD"/>
        <bgColor indexed="64"/>
      </patternFill>
    </fill>
    <fill>
      <patternFill patternType="solid">
        <fgColor rgb="FF00B0F0"/>
        <bgColor indexed="64"/>
      </patternFill>
    </fill>
    <fill>
      <patternFill patternType="solid">
        <fgColor rgb="FFC00000"/>
        <bgColor indexed="64"/>
      </patternFill>
    </fill>
    <fill>
      <patternFill patternType="solid">
        <fgColor rgb="FFFFC000"/>
        <bgColor indexed="64"/>
      </patternFill>
    </fill>
    <fill>
      <patternFill patternType="solid">
        <fgColor rgb="FF008000"/>
        <bgColor indexed="64"/>
      </patternFill>
    </fill>
    <fill>
      <patternFill patternType="solid">
        <fgColor rgb="FF00B050"/>
        <bgColor indexed="64"/>
      </patternFill>
    </fill>
    <fill>
      <patternFill patternType="solid">
        <fgColor rgb="FFF2F2F2"/>
      </patternFill>
    </fill>
    <fill>
      <patternFill patternType="solid">
        <fgColor theme="7" tint="0.39997558519241921"/>
        <bgColor indexed="64"/>
      </patternFill>
    </fill>
    <fill>
      <patternFill patternType="solid">
        <fgColor rgb="FFC6EFCE"/>
      </patternFill>
    </fill>
    <fill>
      <patternFill patternType="solid">
        <fgColor rgb="FFFFCC99"/>
      </patternFill>
    </fill>
    <fill>
      <patternFill patternType="solid">
        <fgColor rgb="FFFF0000"/>
        <bgColor indexed="64"/>
      </patternFill>
    </fill>
    <fill>
      <patternFill patternType="solid">
        <fgColor theme="2"/>
        <bgColor indexed="64"/>
      </patternFill>
    </fill>
    <fill>
      <patternFill patternType="solid">
        <fgColor theme="4" tint="0.79998168889431442"/>
        <bgColor indexed="64"/>
      </patternFill>
    </fill>
    <fill>
      <patternFill patternType="solid">
        <fgColor theme="4"/>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9"/>
        <bgColor indexed="64"/>
      </patternFill>
    </fill>
    <fill>
      <patternFill patternType="solid">
        <fgColor rgb="FFFFEB9C"/>
      </patternFill>
    </fill>
    <fill>
      <patternFill patternType="solid">
        <fgColor rgb="FFF1DDDD"/>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indexed="10"/>
        <bgColor indexed="64"/>
      </patternFill>
    </fill>
    <fill>
      <patternFill patternType="solid">
        <fgColor rgb="FF990000"/>
        <bgColor indexed="64"/>
      </patternFill>
    </fill>
    <fill>
      <patternFill patternType="solid">
        <fgColor rgb="FFEE0000"/>
        <bgColor indexed="64"/>
      </patternFill>
    </fill>
  </fills>
  <borders count="99">
    <border>
      <left/>
      <right/>
      <top/>
      <bottom/>
      <diagonal/>
    </border>
    <border>
      <left style="thin">
        <color auto="1"/>
      </left>
      <right/>
      <top/>
      <bottom/>
      <diagonal/>
    </border>
    <border>
      <left style="thin">
        <color auto="1"/>
      </left>
      <right style="thin">
        <color auto="1"/>
      </right>
      <top/>
      <bottom/>
      <diagonal/>
    </border>
    <border>
      <left style="thin">
        <color auto="1"/>
      </left>
      <right style="thin">
        <color auto="1"/>
      </right>
      <top style="thin">
        <color indexed="64"/>
      </top>
      <bottom/>
      <diagonal/>
    </border>
    <border>
      <left style="thin">
        <color auto="1"/>
      </left>
      <right style="thin">
        <color auto="1"/>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style="thin">
        <color indexed="64"/>
      </top>
      <bottom/>
      <diagonal/>
    </border>
    <border>
      <left style="thin">
        <color auto="1"/>
      </left>
      <right/>
      <top/>
      <bottom style="thin">
        <color indexed="64"/>
      </bottom>
      <diagonal/>
    </border>
    <border>
      <left/>
      <right style="thin">
        <color auto="1"/>
      </right>
      <top style="thin">
        <color indexed="64"/>
      </top>
      <bottom/>
      <diagonal/>
    </border>
    <border>
      <left/>
      <right style="thin">
        <color auto="1"/>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auto="1"/>
      </left>
      <right style="thin">
        <color auto="1"/>
      </right>
      <top style="thin">
        <color auto="1"/>
      </top>
      <bottom style="thin">
        <color theme="0" tint="-0.14993743705557422"/>
      </bottom>
      <diagonal/>
    </border>
    <border>
      <left style="medium">
        <color indexed="64"/>
      </left>
      <right style="thin">
        <color indexed="64"/>
      </right>
      <top/>
      <bottom/>
      <diagonal/>
    </border>
    <border>
      <left style="thin">
        <color auto="1"/>
      </left>
      <right style="thin">
        <color auto="1"/>
      </right>
      <top style="thin">
        <color theme="0" tint="-0.14993743705557422"/>
      </top>
      <bottom style="thin">
        <color theme="0" tint="-0.14993743705557422"/>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thin">
        <color auto="1"/>
      </right>
      <top style="thin">
        <color theme="0" tint="-0.14993743705557422"/>
      </top>
      <bottom style="medium">
        <color indexed="64"/>
      </bottom>
      <diagonal/>
    </border>
    <border>
      <left style="thin">
        <color auto="1"/>
      </left>
      <right style="medium">
        <color indexed="64"/>
      </right>
      <top style="thin">
        <color auto="1"/>
      </top>
      <bottom style="thin">
        <color auto="1"/>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auto="1"/>
      </left>
      <right style="thin">
        <color auto="1"/>
      </right>
      <top style="thin">
        <color theme="0" tint="-0.14993743705557422"/>
      </top>
      <bottom style="thin">
        <color indexed="64"/>
      </bottom>
      <diagonal/>
    </border>
    <border>
      <left style="thin">
        <color indexed="64"/>
      </left>
      <right style="medium">
        <color indexed="64"/>
      </right>
      <top/>
      <bottom style="thin">
        <color indexed="64"/>
      </bottom>
      <diagonal/>
    </border>
    <border>
      <left style="thin">
        <color auto="1"/>
      </left>
      <right style="thin">
        <color auto="1"/>
      </right>
      <top/>
      <bottom style="thin">
        <color theme="0" tint="-0.14993743705557422"/>
      </bottom>
      <diagonal/>
    </border>
    <border>
      <left style="thin">
        <color auto="1"/>
      </left>
      <right style="thin">
        <color auto="1"/>
      </right>
      <top style="thin">
        <color theme="0" tint="-0.14993743705557422"/>
      </top>
      <bottom/>
      <diagonal/>
    </border>
    <border>
      <left style="thin">
        <color indexed="64"/>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rgb="FF7F7F7F"/>
      </left>
      <right style="thin">
        <color rgb="FF7F7F7F"/>
      </right>
      <top style="thin">
        <color rgb="FF7F7F7F"/>
      </top>
      <bottom/>
      <diagonal/>
    </border>
    <border>
      <left style="thin">
        <color auto="1"/>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auto="1"/>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style="medium">
        <color indexed="64"/>
      </top>
      <bottom style="thin">
        <color indexed="64"/>
      </bottom>
      <diagonal/>
    </border>
    <border>
      <left style="medium">
        <color indexed="64"/>
      </left>
      <right style="thin">
        <color auto="1"/>
      </right>
      <top/>
      <bottom style="thin">
        <color indexed="64"/>
      </bottom>
      <diagonal/>
    </border>
    <border>
      <left style="thin">
        <color auto="1"/>
      </left>
      <right style="thin">
        <color auto="1"/>
      </right>
      <top style="medium">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auto="1"/>
      </left>
      <right/>
      <top style="thin">
        <color indexed="64"/>
      </top>
      <bottom style="thin">
        <color indexed="64"/>
      </bottom>
      <diagonal/>
    </border>
    <border>
      <left style="thin">
        <color auto="1"/>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style="medium">
        <color indexed="64"/>
      </bottom>
      <diagonal/>
    </border>
    <border>
      <left style="thin">
        <color auto="1"/>
      </left>
      <right style="medium">
        <color indexed="64"/>
      </right>
      <top/>
      <bottom/>
      <diagonal/>
    </border>
    <border>
      <left style="thin">
        <color auto="1"/>
      </left>
      <right style="medium">
        <color indexed="64"/>
      </right>
      <top/>
      <bottom style="medium">
        <color indexed="64"/>
      </bottom>
      <diagonal/>
    </border>
    <border>
      <left style="medium">
        <color indexed="64"/>
      </left>
      <right/>
      <top/>
      <bottom style="thin">
        <color indexed="64"/>
      </bottom>
      <diagonal/>
    </border>
    <border>
      <left/>
      <right style="thin">
        <color auto="1"/>
      </right>
      <top style="medium">
        <color indexed="64"/>
      </top>
      <bottom/>
      <diagonal/>
    </border>
  </borders>
  <cellStyleXfs count="9">
    <xf numFmtId="0" fontId="0" fillId="0" borderId="0"/>
    <xf numFmtId="9" fontId="4" fillId="0" borderId="0"/>
    <xf numFmtId="0" fontId="4" fillId="0" borderId="0"/>
    <xf numFmtId="0" fontId="18" fillId="19" borderId="46"/>
    <xf numFmtId="0" fontId="19" fillId="21" borderId="0"/>
    <xf numFmtId="0" fontId="20" fillId="22" borderId="46"/>
    <xf numFmtId="0" fontId="23" fillId="0" borderId="0"/>
    <xf numFmtId="0" fontId="1" fillId="0" borderId="0"/>
    <xf numFmtId="0" fontId="25" fillId="31" borderId="0"/>
  </cellStyleXfs>
  <cellXfs count="730">
    <xf numFmtId="0" fontId="0" fillId="0" borderId="0" xfId="0"/>
    <xf numFmtId="0" fontId="0" fillId="0" borderId="0" xfId="0" applyAlignment="1">
      <alignment horizontal="center" vertical="center" wrapText="1"/>
    </xf>
    <xf numFmtId="2" fontId="0" fillId="0" borderId="0" xfId="0" applyNumberFormat="1"/>
    <xf numFmtId="0" fontId="6" fillId="6" borderId="5" xfId="0" applyFont="1" applyFill="1" applyBorder="1" applyAlignment="1" applyProtection="1">
      <alignment horizontal="center"/>
      <protection locked="0"/>
    </xf>
    <xf numFmtId="164" fontId="6" fillId="5" borderId="5" xfId="0" applyNumberFormat="1" applyFont="1" applyFill="1" applyBorder="1" applyAlignment="1">
      <alignment horizontal="center"/>
    </xf>
    <xf numFmtId="0" fontId="9" fillId="0" borderId="0" xfId="0" applyFont="1" applyAlignment="1" applyProtection="1">
      <alignment horizontal="center" vertical="center"/>
      <protection locked="0"/>
    </xf>
    <xf numFmtId="0" fontId="0" fillId="0" borderId="4" xfId="0" applyBorder="1"/>
    <xf numFmtId="0" fontId="0" fillId="0" borderId="0" xfId="0" applyAlignment="1">
      <alignment horizontal="center"/>
    </xf>
    <xf numFmtId="0" fontId="8" fillId="0" borderId="0" xfId="0" applyFont="1" applyAlignment="1">
      <alignment horizontal="right"/>
    </xf>
    <xf numFmtId="0" fontId="0" fillId="0" borderId="5" xfId="0" applyBorder="1"/>
    <xf numFmtId="0" fontId="0" fillId="7" borderId="0" xfId="0" applyFill="1"/>
    <xf numFmtId="0" fontId="0" fillId="8" borderId="0" xfId="0" applyFill="1"/>
    <xf numFmtId="0" fontId="12" fillId="0" borderId="0" xfId="0" applyFont="1"/>
    <xf numFmtId="0" fontId="8" fillId="0" borderId="0" xfId="0" applyFont="1" applyAlignment="1">
      <alignment horizontal="left"/>
    </xf>
    <xf numFmtId="0" fontId="0" fillId="0" borderId="17" xfId="0" applyBorder="1"/>
    <xf numFmtId="0" fontId="0" fillId="0" borderId="18" xfId="0" applyBorder="1"/>
    <xf numFmtId="0" fontId="0" fillId="0" borderId="20" xfId="0" applyBorder="1"/>
    <xf numFmtId="0" fontId="0" fillId="0" borderId="21" xfId="0" applyBorder="1"/>
    <xf numFmtId="0" fontId="5" fillId="0" borderId="0" xfId="0" applyFont="1"/>
    <xf numFmtId="0" fontId="13" fillId="0" borderId="0" xfId="0" applyFont="1"/>
    <xf numFmtId="0" fontId="3" fillId="0" borderId="0" xfId="0" applyFont="1"/>
    <xf numFmtId="0" fontId="0" fillId="0" borderId="2" xfId="0" applyBorder="1" applyAlignment="1">
      <alignment horizontal="center" vertical="center" wrapText="1"/>
    </xf>
    <xf numFmtId="0" fontId="0" fillId="4" borderId="5" xfId="0" applyFill="1" applyBorder="1" applyAlignment="1">
      <alignment horizontal="center" vertical="center" wrapText="1"/>
    </xf>
    <xf numFmtId="0" fontId="0" fillId="0" borderId="5" xfId="0" applyBorder="1" applyAlignment="1">
      <alignment horizontal="center" vertical="center" wrapText="1"/>
    </xf>
    <xf numFmtId="0" fontId="0" fillId="0" borderId="6" xfId="0" applyBorder="1"/>
    <xf numFmtId="0" fontId="0" fillId="0" borderId="23" xfId="0" applyBorder="1"/>
    <xf numFmtId="0" fontId="0" fillId="0" borderId="8" xfId="0" applyBorder="1"/>
    <xf numFmtId="0" fontId="0" fillId="0" borderId="1" xfId="0" applyBorder="1"/>
    <xf numFmtId="0" fontId="0" fillId="0" borderId="9" xfId="0" applyBorder="1"/>
    <xf numFmtId="0" fontId="0" fillId="0" borderId="7" xfId="0" applyBorder="1"/>
    <xf numFmtId="0" fontId="0" fillId="0" borderId="22" xfId="0" applyBorder="1"/>
    <xf numFmtId="0" fontId="0" fillId="0" borderId="10" xfId="0" applyBorder="1"/>
    <xf numFmtId="0" fontId="0" fillId="0" borderId="3" xfId="0" applyBorder="1"/>
    <xf numFmtId="0" fontId="0" fillId="0" borderId="2" xfId="0" applyBorder="1"/>
    <xf numFmtId="0" fontId="0" fillId="0" borderId="2" xfId="0" applyBorder="1" applyAlignment="1">
      <alignment horizontal="center" vertical="center"/>
    </xf>
    <xf numFmtId="0" fontId="0" fillId="0" borderId="5" xfId="0" applyBorder="1" applyAlignment="1">
      <alignment horizontal="center" vertical="center"/>
    </xf>
    <xf numFmtId="0" fontId="0" fillId="3" borderId="5" xfId="0" applyFill="1" applyBorder="1" applyAlignment="1">
      <alignment horizontal="center" vertical="center" wrapText="1"/>
    </xf>
    <xf numFmtId="0" fontId="0" fillId="10" borderId="5" xfId="0" applyFill="1" applyBorder="1" applyAlignment="1">
      <alignment horizontal="center" vertical="center" wrapText="1"/>
    </xf>
    <xf numFmtId="0" fontId="0" fillId="11" borderId="5" xfId="0" applyFill="1" applyBorder="1" applyAlignment="1">
      <alignment horizontal="center" vertical="center" wrapText="1"/>
    </xf>
    <xf numFmtId="0" fontId="0" fillId="12" borderId="5" xfId="0" applyFill="1" applyBorder="1" applyAlignment="1">
      <alignment horizontal="center" vertical="center" wrapText="1"/>
    </xf>
    <xf numFmtId="2" fontId="0" fillId="0" borderId="5" xfId="0" applyNumberFormat="1" applyBorder="1"/>
    <xf numFmtId="0" fontId="0" fillId="0" borderId="3" xfId="0" applyBorder="1" applyAlignment="1">
      <alignment horizontal="center" vertical="center"/>
    </xf>
    <xf numFmtId="0" fontId="0" fillId="5" borderId="1" xfId="0" applyFill="1" applyBorder="1"/>
    <xf numFmtId="0" fontId="0" fillId="5" borderId="0" xfId="0" applyFill="1"/>
    <xf numFmtId="0" fontId="0" fillId="13" borderId="1" xfId="0" applyFill="1" applyBorder="1"/>
    <xf numFmtId="0" fontId="0" fillId="13" borderId="0" xfId="0" applyFill="1"/>
    <xf numFmtId="0" fontId="0" fillId="13" borderId="9" xfId="0" applyFill="1" applyBorder="1"/>
    <xf numFmtId="0" fontId="3" fillId="0" borderId="23" xfId="0" applyFont="1" applyBorder="1"/>
    <xf numFmtId="0" fontId="3" fillId="0" borderId="8" xfId="0" applyFont="1" applyBorder="1"/>
    <xf numFmtId="0" fontId="0" fillId="5" borderId="9" xfId="0" applyFill="1" applyBorder="1"/>
    <xf numFmtId="165" fontId="0" fillId="0" borderId="3" xfId="0" applyNumberFormat="1" applyBorder="1"/>
    <xf numFmtId="165" fontId="0" fillId="0" borderId="2" xfId="0" applyNumberFormat="1" applyBorder="1"/>
    <xf numFmtId="165" fontId="0" fillId="0" borderId="4" xfId="0" applyNumberFormat="1" applyBorder="1"/>
    <xf numFmtId="0" fontId="14" fillId="3" borderId="2" xfId="0" applyFont="1" applyFill="1" applyBorder="1" applyAlignment="1">
      <alignment horizontal="center" vertical="center" wrapText="1"/>
    </xf>
    <xf numFmtId="0" fontId="3" fillId="4" borderId="3" xfId="0" applyFont="1" applyFill="1" applyBorder="1" applyAlignment="1">
      <alignment horizontal="center" vertical="center" wrapText="1"/>
    </xf>
    <xf numFmtId="166" fontId="0" fillId="0" borderId="0" xfId="0" applyNumberFormat="1"/>
    <xf numFmtId="166" fontId="0" fillId="0" borderId="22" xfId="0" applyNumberFormat="1" applyBorder="1"/>
    <xf numFmtId="166" fontId="0" fillId="0" borderId="23" xfId="0" applyNumberFormat="1" applyBorder="1"/>
    <xf numFmtId="0" fontId="15" fillId="0" borderId="0" xfId="0" applyFont="1"/>
    <xf numFmtId="166" fontId="0" fillId="0" borderId="1" xfId="0" applyNumberFormat="1" applyBorder="1"/>
    <xf numFmtId="166" fontId="0" fillId="0" borderId="9" xfId="0" applyNumberFormat="1" applyBorder="1"/>
    <xf numFmtId="166" fontId="0" fillId="0" borderId="7" xfId="0" applyNumberFormat="1" applyBorder="1"/>
    <xf numFmtId="166" fontId="0" fillId="0" borderId="10" xfId="0" applyNumberFormat="1" applyBorder="1"/>
    <xf numFmtId="0" fontId="3" fillId="0" borderId="5" xfId="0" applyFont="1" applyBorder="1"/>
    <xf numFmtId="0" fontId="14" fillId="3" borderId="6" xfId="0" applyFont="1" applyFill="1" applyBorder="1" applyAlignment="1">
      <alignment vertical="center" wrapText="1"/>
    </xf>
    <xf numFmtId="0" fontId="14" fillId="3"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3" fillId="10" borderId="5" xfId="0" applyFont="1" applyFill="1" applyBorder="1" applyAlignment="1">
      <alignment horizontal="center" vertical="center" wrapText="1"/>
    </xf>
    <xf numFmtId="0" fontId="3" fillId="11" borderId="5" xfId="0" applyFont="1" applyFill="1" applyBorder="1" applyAlignment="1">
      <alignment horizontal="center" vertical="center" wrapText="1"/>
    </xf>
    <xf numFmtId="0" fontId="3" fillId="12" borderId="5" xfId="0" applyFont="1" applyFill="1" applyBorder="1" applyAlignment="1">
      <alignment horizontal="center" vertical="center" wrapText="1"/>
    </xf>
    <xf numFmtId="0" fontId="10" fillId="0" borderId="0" xfId="0" applyFont="1"/>
    <xf numFmtId="0" fontId="3" fillId="0" borderId="24" xfId="0" applyFont="1" applyBorder="1"/>
    <xf numFmtId="0" fontId="3" fillId="0" borderId="25" xfId="0" applyFont="1" applyBorder="1"/>
    <xf numFmtId="0" fontId="3" fillId="0" borderId="26" xfId="0" applyFont="1" applyBorder="1"/>
    <xf numFmtId="0" fontId="14" fillId="3" borderId="5" xfId="0" applyFont="1" applyFill="1" applyBorder="1" applyAlignment="1">
      <alignment vertical="center" wrapText="1"/>
    </xf>
    <xf numFmtId="0" fontId="14" fillId="3" borderId="24" xfId="0" applyFont="1" applyFill="1" applyBorder="1" applyAlignment="1">
      <alignment horizontal="center" vertical="center" wrapText="1"/>
    </xf>
    <xf numFmtId="0" fontId="3" fillId="10" borderId="24" xfId="0" applyFont="1" applyFill="1" applyBorder="1" applyAlignment="1">
      <alignment horizontal="center" vertical="center" wrapText="1"/>
    </xf>
    <xf numFmtId="0" fontId="0" fillId="0" borderId="0" xfId="0" applyAlignment="1">
      <alignment horizontal="left"/>
    </xf>
    <xf numFmtId="0" fontId="12" fillId="0" borderId="0" xfId="0" applyFont="1" applyAlignment="1">
      <alignment horizontal="left"/>
    </xf>
    <xf numFmtId="0" fontId="3" fillId="0" borderId="23" xfId="0" applyFont="1" applyBorder="1" applyAlignment="1">
      <alignment horizontal="center"/>
    </xf>
    <xf numFmtId="0" fontId="8" fillId="0" borderId="0" xfId="0" applyFont="1" applyAlignment="1">
      <alignment horizontal="left" wrapText="1"/>
    </xf>
    <xf numFmtId="0" fontId="8" fillId="0" borderId="0" xfId="0" applyFont="1" applyAlignment="1">
      <alignment horizontal="center"/>
    </xf>
    <xf numFmtId="164" fontId="0" fillId="0" borderId="9" xfId="0" applyNumberFormat="1" applyBorder="1"/>
    <xf numFmtId="0" fontId="14" fillId="3" borderId="6" xfId="0" applyFont="1" applyFill="1" applyBorder="1" applyAlignment="1">
      <alignment horizontal="center" vertical="center" wrapText="1"/>
    </xf>
    <xf numFmtId="0" fontId="3" fillId="0" borderId="5" xfId="2" applyFont="1" applyBorder="1" applyAlignment="1">
      <alignment horizontal="center" vertical="center" wrapText="1"/>
    </xf>
    <xf numFmtId="0" fontId="3" fillId="0" borderId="24" xfId="2" applyFont="1" applyBorder="1" applyAlignment="1">
      <alignment horizontal="center" vertical="center" wrapText="1"/>
    </xf>
    <xf numFmtId="0" fontId="3" fillId="0" borderId="3" xfId="2" applyFont="1" applyBorder="1" applyAlignment="1">
      <alignment horizontal="center" vertical="center" wrapText="1"/>
    </xf>
    <xf numFmtId="0" fontId="6" fillId="0" borderId="32" xfId="2" applyFont="1" applyBorder="1" applyAlignment="1">
      <alignment horizontal="center" vertical="center"/>
    </xf>
    <xf numFmtId="2" fontId="4" fillId="5" borderId="3" xfId="2" applyNumberFormat="1" applyFill="1" applyBorder="1" applyAlignment="1">
      <alignment horizontal="center"/>
    </xf>
    <xf numFmtId="0" fontId="0" fillId="7" borderId="6" xfId="0" applyFill="1" applyBorder="1" applyAlignment="1">
      <alignment horizontal="center"/>
    </xf>
    <xf numFmtId="0" fontId="6" fillId="0" borderId="34" xfId="2" applyFont="1" applyBorder="1" applyAlignment="1">
      <alignment horizontal="center" vertical="center"/>
    </xf>
    <xf numFmtId="2" fontId="4" fillId="5" borderId="2" xfId="2" applyNumberFormat="1" applyFill="1" applyBorder="1" applyAlignment="1">
      <alignment horizontal="center"/>
    </xf>
    <xf numFmtId="0" fontId="0" fillId="7" borderId="1" xfId="0" applyFill="1" applyBorder="1" applyAlignment="1">
      <alignment horizontal="center"/>
    </xf>
    <xf numFmtId="0" fontId="0" fillId="7" borderId="7" xfId="0" applyFill="1" applyBorder="1" applyAlignment="1">
      <alignment horizontal="center"/>
    </xf>
    <xf numFmtId="0" fontId="0" fillId="14" borderId="6" xfId="0" applyFill="1" applyBorder="1" applyAlignment="1">
      <alignment horizontal="center"/>
    </xf>
    <xf numFmtId="0" fontId="0" fillId="14" borderId="1" xfId="0" applyFill="1" applyBorder="1" applyAlignment="1">
      <alignment horizontal="center"/>
    </xf>
    <xf numFmtId="2" fontId="4" fillId="5" borderId="4" xfId="2" applyNumberFormat="1" applyFill="1" applyBorder="1" applyAlignment="1">
      <alignment horizontal="center"/>
    </xf>
    <xf numFmtId="0" fontId="0" fillId="14" borderId="7" xfId="0" applyFill="1" applyBorder="1" applyAlignment="1">
      <alignment horizontal="center"/>
    </xf>
    <xf numFmtId="0" fontId="6" fillId="0" borderId="37" xfId="2" applyFont="1" applyBorder="1" applyAlignment="1">
      <alignment horizontal="center" vertical="center"/>
    </xf>
    <xf numFmtId="2" fontId="4" fillId="5" borderId="36" xfId="2" applyNumberFormat="1" applyFill="1" applyBorder="1" applyAlignment="1">
      <alignment horizontal="center"/>
    </xf>
    <xf numFmtId="0" fontId="3" fillId="0" borderId="38" xfId="2" applyFont="1" applyBorder="1" applyAlignment="1">
      <alignment horizontal="center" vertical="center" wrapText="1"/>
    </xf>
    <xf numFmtId="2" fontId="4" fillId="5" borderId="39" xfId="2" applyNumberFormat="1" applyFill="1" applyBorder="1" applyAlignment="1">
      <alignment horizontal="center"/>
    </xf>
    <xf numFmtId="0" fontId="0" fillId="15" borderId="6" xfId="0" applyFill="1" applyBorder="1" applyAlignment="1">
      <alignment horizontal="center"/>
    </xf>
    <xf numFmtId="2" fontId="4" fillId="5" borderId="40" xfId="2" applyNumberFormat="1" applyFill="1" applyBorder="1" applyAlignment="1">
      <alignment horizontal="center"/>
    </xf>
    <xf numFmtId="0" fontId="0" fillId="15" borderId="1" xfId="0" applyFill="1" applyBorder="1" applyAlignment="1">
      <alignment horizontal="center"/>
    </xf>
    <xf numFmtId="0" fontId="0" fillId="15" borderId="7" xfId="0" applyFill="1" applyBorder="1" applyAlignment="1">
      <alignment horizontal="center"/>
    </xf>
    <xf numFmtId="0" fontId="0" fillId="16" borderId="6" xfId="0" applyFill="1" applyBorder="1" applyAlignment="1">
      <alignment horizontal="center"/>
    </xf>
    <xf numFmtId="0" fontId="0" fillId="16" borderId="1" xfId="0" applyFill="1" applyBorder="1" applyAlignment="1">
      <alignment horizontal="center"/>
    </xf>
    <xf numFmtId="0" fontId="0" fillId="16" borderId="7" xfId="0" applyFill="1" applyBorder="1" applyAlignment="1">
      <alignment horizontal="center"/>
    </xf>
    <xf numFmtId="0" fontId="6" fillId="0" borderId="41" xfId="2" applyFont="1" applyBorder="1" applyAlignment="1">
      <alignment horizontal="center" vertical="center"/>
    </xf>
    <xf numFmtId="2" fontId="4" fillId="5" borderId="42" xfId="2" applyNumberFormat="1" applyFill="1" applyBorder="1" applyAlignment="1">
      <alignment horizontal="center"/>
    </xf>
    <xf numFmtId="0" fontId="6" fillId="0" borderId="43" xfId="2" applyFont="1" applyBorder="1" applyAlignment="1">
      <alignment horizontal="center" vertical="center"/>
    </xf>
    <xf numFmtId="0" fontId="6" fillId="0" borderId="44" xfId="2" applyFont="1" applyBorder="1" applyAlignment="1">
      <alignment horizontal="center" vertical="center"/>
    </xf>
    <xf numFmtId="0" fontId="0" fillId="18" borderId="6" xfId="0" applyFill="1" applyBorder="1" applyAlignment="1">
      <alignment horizontal="center"/>
    </xf>
    <xf numFmtId="0" fontId="0" fillId="18" borderId="1" xfId="0" applyFill="1" applyBorder="1" applyAlignment="1">
      <alignment horizontal="center"/>
    </xf>
    <xf numFmtId="0" fontId="0" fillId="18" borderId="7" xfId="0" applyFill="1" applyBorder="1" applyAlignment="1">
      <alignment horizontal="center"/>
    </xf>
    <xf numFmtId="0" fontId="0" fillId="8" borderId="6" xfId="0" applyFill="1" applyBorder="1" applyAlignment="1">
      <alignment horizontal="center"/>
    </xf>
    <xf numFmtId="0" fontId="0" fillId="8" borderId="1" xfId="0" applyFill="1" applyBorder="1" applyAlignment="1">
      <alignment horizontal="center"/>
    </xf>
    <xf numFmtId="0" fontId="0" fillId="8" borderId="7" xfId="0" applyFill="1" applyBorder="1" applyAlignment="1">
      <alignment horizontal="center"/>
    </xf>
    <xf numFmtId="2" fontId="4" fillId="5" borderId="45" xfId="2" applyNumberFormat="1" applyFill="1" applyBorder="1" applyAlignment="1">
      <alignment horizontal="center"/>
    </xf>
    <xf numFmtId="2" fontId="4" fillId="5" borderId="3" xfId="2" applyNumberFormat="1" applyFill="1" applyBorder="1" applyAlignment="1">
      <alignment horizontal="center" vertical="center"/>
    </xf>
    <xf numFmtId="2" fontId="4" fillId="5" borderId="39" xfId="2" applyNumberFormat="1" applyFill="1" applyBorder="1" applyAlignment="1">
      <alignment horizontal="center" vertical="center"/>
    </xf>
    <xf numFmtId="2" fontId="4" fillId="5" borderId="2" xfId="2" applyNumberFormat="1" applyFill="1" applyBorder="1" applyAlignment="1">
      <alignment horizontal="center" vertical="center"/>
    </xf>
    <xf numFmtId="2" fontId="4" fillId="5" borderId="40" xfId="2" applyNumberFormat="1" applyFill="1" applyBorder="1" applyAlignment="1">
      <alignment horizontal="center" vertical="center"/>
    </xf>
    <xf numFmtId="2" fontId="0" fillId="5" borderId="3" xfId="0" applyNumberFormat="1" applyFill="1" applyBorder="1" applyAlignment="1">
      <alignment horizontal="center" vertical="center"/>
    </xf>
    <xf numFmtId="2" fontId="0" fillId="5" borderId="39" xfId="0" applyNumberFormat="1" applyFill="1" applyBorder="1" applyAlignment="1">
      <alignment horizontal="center" vertical="center"/>
    </xf>
    <xf numFmtId="2" fontId="0" fillId="5" borderId="2" xfId="0" applyNumberFormat="1" applyFill="1" applyBorder="1" applyAlignment="1">
      <alignment horizontal="center" vertical="center"/>
    </xf>
    <xf numFmtId="2" fontId="0" fillId="5" borderId="40" xfId="0" applyNumberFormat="1" applyFill="1" applyBorder="1" applyAlignment="1">
      <alignment horizontal="center" vertical="center"/>
    </xf>
    <xf numFmtId="2" fontId="0" fillId="5" borderId="4" xfId="0" applyNumberFormat="1" applyFill="1" applyBorder="1" applyAlignment="1">
      <alignment horizontal="center" vertical="center"/>
    </xf>
    <xf numFmtId="2" fontId="0" fillId="5" borderId="42" xfId="0" applyNumberFormat="1" applyFill="1" applyBorder="1" applyAlignment="1">
      <alignment horizontal="center" vertical="center"/>
    </xf>
    <xf numFmtId="167" fontId="4" fillId="15" borderId="2" xfId="2" applyNumberFormat="1" applyFill="1" applyBorder="1" applyAlignment="1">
      <alignment horizontal="center" vertical="center" textRotation="90"/>
    </xf>
    <xf numFmtId="2" fontId="0" fillId="5" borderId="18" xfId="0" applyNumberFormat="1" applyFill="1" applyBorder="1" applyAlignment="1">
      <alignment horizontal="center" vertical="center"/>
    </xf>
    <xf numFmtId="167" fontId="4" fillId="16" borderId="2" xfId="2" applyNumberFormat="1" applyFill="1" applyBorder="1" applyAlignment="1">
      <alignment horizontal="center" vertical="center" textRotation="90"/>
    </xf>
    <xf numFmtId="167" fontId="4" fillId="7" borderId="2" xfId="2" applyNumberFormat="1" applyFill="1" applyBorder="1" applyAlignment="1">
      <alignment horizontal="center" vertical="center" textRotation="90"/>
    </xf>
    <xf numFmtId="0" fontId="0" fillId="18" borderId="0" xfId="0" applyFill="1"/>
    <xf numFmtId="167" fontId="4" fillId="17" borderId="2" xfId="2" applyNumberFormat="1" applyFill="1" applyBorder="1" applyAlignment="1">
      <alignment horizontal="center" vertical="center" textRotation="90"/>
    </xf>
    <xf numFmtId="2" fontId="4" fillId="5" borderId="36" xfId="2" applyNumberFormat="1" applyFill="1" applyBorder="1" applyAlignment="1">
      <alignment horizontal="center" vertical="center"/>
    </xf>
    <xf numFmtId="2" fontId="4" fillId="5" borderId="45" xfId="2" applyNumberFormat="1" applyFill="1" applyBorder="1" applyAlignment="1">
      <alignment horizontal="center" vertical="center"/>
    </xf>
    <xf numFmtId="0" fontId="12" fillId="0" borderId="0" xfId="0" applyFont="1" applyAlignment="1">
      <alignment horizontal="center"/>
    </xf>
    <xf numFmtId="0" fontId="0" fillId="0" borderId="19" xfId="0" applyBorder="1"/>
    <xf numFmtId="0" fontId="17" fillId="0" borderId="0" xfId="0" applyFont="1" applyAlignment="1">
      <alignment horizontal="right"/>
    </xf>
    <xf numFmtId="0" fontId="0" fillId="0" borderId="24" xfId="0" applyBorder="1"/>
    <xf numFmtId="0" fontId="0" fillId="0" borderId="25" xfId="0" applyBorder="1"/>
    <xf numFmtId="0" fontId="0" fillId="0" borderId="26" xfId="0" applyBorder="1"/>
    <xf numFmtId="49" fontId="0" fillId="0" borderId="0" xfId="0" applyNumberFormat="1"/>
    <xf numFmtId="0" fontId="0" fillId="20" borderId="8" xfId="0" applyFill="1" applyBorder="1"/>
    <xf numFmtId="0" fontId="18" fillId="19" borderId="46" xfId="3"/>
    <xf numFmtId="0" fontId="18" fillId="19" borderId="46" xfId="3" applyAlignment="1">
      <alignment horizontal="center" vertical="center"/>
    </xf>
    <xf numFmtId="0" fontId="0" fillId="20" borderId="3" xfId="0" applyFill="1" applyBorder="1"/>
    <xf numFmtId="0" fontId="0" fillId="0" borderId="4" xfId="0" applyBorder="1" applyAlignment="1">
      <alignment horizontal="center" vertical="center" wrapText="1"/>
    </xf>
    <xf numFmtId="0" fontId="0" fillId="0" borderId="3" xfId="0" applyBorder="1" applyAlignment="1">
      <alignment horizontal="center" vertical="center" wrapText="1"/>
    </xf>
    <xf numFmtId="2" fontId="0" fillId="0" borderId="3" xfId="0" applyNumberFormat="1" applyBorder="1" applyAlignment="1">
      <alignment horizontal="center" vertical="center" wrapText="1"/>
    </xf>
    <xf numFmtId="2" fontId="0" fillId="0" borderId="2" xfId="0" applyNumberFormat="1" applyBorder="1" applyAlignment="1">
      <alignment horizontal="center" vertical="center" wrapText="1"/>
    </xf>
    <xf numFmtId="2" fontId="0" fillId="0" borderId="4" xfId="0" applyNumberFormat="1" applyBorder="1" applyAlignment="1">
      <alignment horizontal="center" vertical="center" wrapText="1"/>
    </xf>
    <xf numFmtId="2" fontId="0" fillId="0" borderId="5" xfId="0" applyNumberFormat="1" applyBorder="1" applyAlignment="1">
      <alignment horizontal="center" vertical="center" wrapText="1"/>
    </xf>
    <xf numFmtId="164" fontId="12" fillId="0" borderId="0" xfId="0" applyNumberFormat="1" applyFont="1"/>
    <xf numFmtId="164" fontId="8" fillId="0" borderId="0" xfId="0" applyNumberFormat="1" applyFont="1" applyAlignment="1">
      <alignment horizontal="left"/>
    </xf>
    <xf numFmtId="0" fontId="20" fillId="22" borderId="46" xfId="5" applyAlignment="1" applyProtection="1">
      <alignment horizontal="center"/>
      <protection locked="0"/>
    </xf>
    <xf numFmtId="164" fontId="0" fillId="0" borderId="0" xfId="0" applyNumberFormat="1"/>
    <xf numFmtId="2" fontId="0" fillId="0" borderId="0" xfId="0" applyNumberFormat="1" applyAlignment="1">
      <alignment horizontal="left"/>
    </xf>
    <xf numFmtId="2" fontId="0" fillId="0" borderId="0" xfId="0" applyNumberFormat="1" applyAlignment="1">
      <alignment horizontal="center" vertical="center"/>
    </xf>
    <xf numFmtId="2" fontId="0" fillId="0" borderId="0" xfId="0" applyNumberFormat="1" applyAlignment="1">
      <alignment horizontal="center"/>
    </xf>
    <xf numFmtId="0" fontId="20" fillId="22" borderId="47" xfId="5" applyBorder="1" applyAlignment="1" applyProtection="1">
      <alignment horizontal="center"/>
      <protection locked="0"/>
    </xf>
    <xf numFmtId="0" fontId="12" fillId="0" borderId="5" xfId="0" applyFont="1" applyBorder="1" applyAlignment="1">
      <alignment horizontal="center"/>
    </xf>
    <xf numFmtId="0" fontId="20" fillId="22" borderId="5" xfId="5" applyBorder="1" applyAlignment="1">
      <alignment horizontal="center"/>
    </xf>
    <xf numFmtId="166" fontId="12" fillId="0" borderId="5" xfId="0" applyNumberFormat="1" applyFont="1" applyBorder="1" applyAlignment="1">
      <alignment horizontal="center"/>
    </xf>
    <xf numFmtId="0" fontId="20" fillId="22" borderId="5" xfId="5" applyBorder="1" applyAlignment="1" applyProtection="1">
      <alignment horizontal="center"/>
      <protection locked="0"/>
    </xf>
    <xf numFmtId="0" fontId="5" fillId="0" borderId="5" xfId="0" applyFont="1" applyBorder="1" applyAlignment="1">
      <alignment horizontal="center"/>
    </xf>
    <xf numFmtId="0" fontId="8" fillId="24" borderId="5" xfId="0" applyFont="1" applyFill="1" applyBorder="1" applyAlignment="1">
      <alignment horizontal="left"/>
    </xf>
    <xf numFmtId="0" fontId="12" fillId="24" borderId="5" xfId="0" applyFont="1" applyFill="1" applyBorder="1" applyAlignment="1">
      <alignment horizontal="left"/>
    </xf>
    <xf numFmtId="0" fontId="12" fillId="24" borderId="5" xfId="0" applyFont="1" applyFill="1" applyBorder="1"/>
    <xf numFmtId="0" fontId="11" fillId="24" borderId="5" xfId="0" applyFont="1" applyFill="1" applyBorder="1" applyAlignment="1">
      <alignment horizontal="left"/>
    </xf>
    <xf numFmtId="0" fontId="12" fillId="24" borderId="5" xfId="0" applyFont="1" applyFill="1" applyBorder="1" applyAlignment="1">
      <alignment horizontal="left" wrapText="1"/>
    </xf>
    <xf numFmtId="0" fontId="20" fillId="22" borderId="46" xfId="5" applyAlignment="1">
      <alignment horizontal="center" wrapText="1"/>
    </xf>
    <xf numFmtId="164" fontId="18" fillId="19" borderId="46" xfId="3" applyNumberFormat="1" applyAlignment="1">
      <alignment horizontal="center"/>
    </xf>
    <xf numFmtId="0" fontId="18" fillId="19" borderId="46" xfId="3" applyAlignment="1">
      <alignment horizontal="center"/>
    </xf>
    <xf numFmtId="0" fontId="12" fillId="0" borderId="4" xfId="0" applyFont="1" applyBorder="1" applyAlignment="1">
      <alignment horizontal="center"/>
    </xf>
    <xf numFmtId="9" fontId="12" fillId="0" borderId="5" xfId="1" applyFont="1" applyBorder="1" applyAlignment="1">
      <alignment horizontal="center"/>
    </xf>
    <xf numFmtId="168" fontId="12" fillId="0" borderId="5" xfId="1" applyNumberFormat="1" applyFont="1" applyBorder="1" applyAlignment="1">
      <alignment horizontal="center"/>
    </xf>
    <xf numFmtId="0" fontId="21" fillId="22" borderId="46" xfId="5" applyFont="1" applyAlignment="1">
      <alignment horizontal="center"/>
    </xf>
    <xf numFmtId="0" fontId="19" fillId="21" borderId="46" xfId="4" applyBorder="1" applyAlignment="1">
      <alignment horizontal="center"/>
    </xf>
    <xf numFmtId="166" fontId="7" fillId="0" borderId="5" xfId="0" applyNumberFormat="1" applyFont="1" applyBorder="1" applyAlignment="1">
      <alignment horizontal="center"/>
    </xf>
    <xf numFmtId="0" fontId="7" fillId="0" borderId="0" xfId="0" applyFont="1" applyAlignment="1">
      <alignment horizontal="center"/>
    </xf>
    <xf numFmtId="0" fontId="7" fillId="0" borderId="5" xfId="0" applyFont="1" applyBorder="1" applyAlignment="1">
      <alignment horizontal="center"/>
    </xf>
    <xf numFmtId="164" fontId="7" fillId="0" borderId="5" xfId="0" applyNumberFormat="1" applyFont="1" applyBorder="1" applyAlignment="1">
      <alignment horizontal="center"/>
    </xf>
    <xf numFmtId="0" fontId="6" fillId="0" borderId="1" xfId="0" applyFont="1" applyBorder="1" applyAlignment="1">
      <alignment horizontal="center"/>
    </xf>
    <xf numFmtId="2" fontId="0" fillId="0" borderId="18" xfId="0" applyNumberFormat="1" applyBorder="1" applyAlignment="1">
      <alignment horizontal="center" vertical="center"/>
    </xf>
    <xf numFmtId="0" fontId="3" fillId="25" borderId="48" xfId="0" applyFont="1" applyFill="1" applyBorder="1" applyAlignment="1">
      <alignment horizontal="center" vertical="center"/>
    </xf>
    <xf numFmtId="0" fontId="3" fillId="25" borderId="49" xfId="0" applyFont="1" applyFill="1" applyBorder="1" applyAlignment="1">
      <alignment horizontal="center" vertical="center"/>
    </xf>
    <xf numFmtId="0" fontId="3" fillId="16" borderId="12" xfId="0" applyFont="1" applyFill="1" applyBorder="1" applyAlignment="1">
      <alignment horizontal="center" vertical="center"/>
    </xf>
    <xf numFmtId="0" fontId="3" fillId="7" borderId="12" xfId="0" applyFont="1" applyFill="1" applyBorder="1" applyAlignment="1">
      <alignment horizontal="center" vertical="center"/>
    </xf>
    <xf numFmtId="0" fontId="3" fillId="18" borderId="12" xfId="0" applyFont="1" applyFill="1" applyBorder="1" applyAlignment="1">
      <alignment horizontal="center" vertical="center"/>
    </xf>
    <xf numFmtId="0" fontId="3" fillId="8" borderId="13" xfId="0" applyFont="1" applyFill="1" applyBorder="1" applyAlignment="1">
      <alignment horizontal="center" vertical="center"/>
    </xf>
    <xf numFmtId="2" fontId="0" fillId="0" borderId="20" xfId="0" applyNumberFormat="1" applyBorder="1" applyAlignment="1">
      <alignment horizontal="center" vertical="center"/>
    </xf>
    <xf numFmtId="2" fontId="0" fillId="0" borderId="21" xfId="0" applyNumberFormat="1" applyBorder="1" applyAlignment="1">
      <alignment horizontal="center" vertical="center"/>
    </xf>
    <xf numFmtId="2" fontId="3" fillId="16" borderId="12" xfId="0" applyNumberFormat="1" applyFont="1" applyFill="1" applyBorder="1" applyAlignment="1">
      <alignment horizontal="center" vertical="center"/>
    </xf>
    <xf numFmtId="2" fontId="3" fillId="7" borderId="12" xfId="0" applyNumberFormat="1" applyFont="1" applyFill="1" applyBorder="1" applyAlignment="1">
      <alignment horizontal="center" vertical="center"/>
    </xf>
    <xf numFmtId="2" fontId="3" fillId="18" borderId="12" xfId="0" applyNumberFormat="1" applyFont="1" applyFill="1" applyBorder="1" applyAlignment="1">
      <alignment horizontal="center" vertical="center"/>
    </xf>
    <xf numFmtId="2" fontId="3" fillId="8" borderId="13" xfId="0" applyNumberFormat="1" applyFont="1" applyFill="1" applyBorder="1" applyAlignment="1">
      <alignment horizontal="center" vertical="center"/>
    </xf>
    <xf numFmtId="0" fontId="3" fillId="26" borderId="11" xfId="0" applyFont="1" applyFill="1" applyBorder="1" applyAlignment="1">
      <alignment horizontal="center" vertical="center"/>
    </xf>
    <xf numFmtId="2" fontId="0" fillId="0" borderId="5" xfId="0" applyNumberFormat="1" applyBorder="1" applyAlignment="1">
      <alignment horizontal="center" vertical="center"/>
    </xf>
    <xf numFmtId="0" fontId="3" fillId="26" borderId="5" xfId="0" applyFont="1" applyFill="1" applyBorder="1" applyAlignment="1">
      <alignment horizontal="center" vertical="center"/>
    </xf>
    <xf numFmtId="0" fontId="3" fillId="25" borderId="5" xfId="0" applyFont="1" applyFill="1" applyBorder="1" applyAlignment="1">
      <alignment horizontal="center" vertical="center"/>
    </xf>
    <xf numFmtId="0" fontId="24" fillId="0" borderId="6" xfId="6" applyFont="1" applyBorder="1" applyAlignment="1">
      <alignment horizontal="right"/>
    </xf>
    <xf numFmtId="0" fontId="24" fillId="0" borderId="1" xfId="6" applyFont="1" applyBorder="1" applyAlignment="1">
      <alignment horizontal="right"/>
    </xf>
    <xf numFmtId="0" fontId="24" fillId="0" borderId="7" xfId="6" applyFont="1" applyBorder="1" applyAlignment="1">
      <alignment horizontal="right"/>
    </xf>
    <xf numFmtId="0" fontId="20" fillId="22" borderId="46" xfId="5"/>
    <xf numFmtId="0" fontId="3" fillId="0" borderId="0" xfId="0" applyFont="1" applyAlignment="1">
      <alignment horizontal="center"/>
    </xf>
    <xf numFmtId="0" fontId="3" fillId="27" borderId="5" xfId="0" applyFont="1" applyFill="1" applyBorder="1" applyAlignment="1">
      <alignment horizontal="center"/>
    </xf>
    <xf numFmtId="0" fontId="0" fillId="0" borderId="5" xfId="0" applyBorder="1" applyAlignment="1">
      <alignment horizontal="center"/>
    </xf>
    <xf numFmtId="0" fontId="0" fillId="0" borderId="0" xfId="0" applyAlignment="1">
      <alignment horizontal="center" vertical="center"/>
    </xf>
    <xf numFmtId="14" fontId="0" fillId="0" borderId="0" xfId="0" applyNumberFormat="1" applyAlignment="1">
      <alignment horizontal="center" vertical="center"/>
    </xf>
    <xf numFmtId="0" fontId="0" fillId="28" borderId="50" xfId="0" applyFill="1" applyBorder="1"/>
    <xf numFmtId="0" fontId="0" fillId="28" borderId="51" xfId="0" applyFill="1" applyBorder="1"/>
    <xf numFmtId="0" fontId="0" fillId="28" borderId="52" xfId="0" applyFill="1" applyBorder="1"/>
    <xf numFmtId="0" fontId="2" fillId="2" borderId="0" xfId="0" applyFont="1" applyFill="1" applyAlignment="1">
      <alignment horizontal="center" vertical="center" wrapText="1"/>
    </xf>
    <xf numFmtId="0" fontId="3" fillId="4" borderId="23" xfId="0" applyFont="1" applyFill="1" applyBorder="1" applyAlignment="1">
      <alignment horizontal="center" vertical="center" wrapText="1"/>
    </xf>
    <xf numFmtId="0" fontId="3" fillId="14" borderId="23" xfId="0" applyFont="1" applyFill="1" applyBorder="1" applyAlignment="1">
      <alignment horizontal="center" vertical="center" wrapText="1"/>
    </xf>
    <xf numFmtId="0" fontId="0" fillId="0" borderId="6" xfId="0" applyBorder="1" applyAlignment="1">
      <alignment horizontal="center" vertical="center"/>
    </xf>
    <xf numFmtId="0" fontId="3" fillId="10" borderId="3" xfId="0" applyFont="1" applyFill="1" applyBorder="1" applyAlignment="1">
      <alignment horizontal="center" vertical="center" wrapText="1"/>
    </xf>
    <xf numFmtId="0" fontId="3" fillId="11" borderId="3" xfId="0" applyFont="1" applyFill="1" applyBorder="1" applyAlignment="1">
      <alignment horizontal="center" vertical="center" wrapText="1"/>
    </xf>
    <xf numFmtId="0" fontId="3" fillId="12" borderId="3" xfId="0" applyFont="1" applyFill="1" applyBorder="1" applyAlignment="1">
      <alignment horizontal="center" vertical="center" wrapText="1"/>
    </xf>
    <xf numFmtId="0" fontId="16" fillId="7" borderId="3" xfId="0" applyFont="1" applyFill="1" applyBorder="1" applyAlignment="1">
      <alignment horizontal="center" vertical="center" wrapText="1"/>
    </xf>
    <xf numFmtId="0" fontId="3" fillId="14" borderId="3" xfId="0" applyFont="1" applyFill="1" applyBorder="1" applyAlignment="1">
      <alignment horizontal="center" vertical="center" wrapText="1"/>
    </xf>
    <xf numFmtId="0" fontId="14" fillId="9" borderId="0" xfId="2" applyFont="1" applyFill="1" applyAlignment="1">
      <alignment horizontal="center"/>
    </xf>
    <xf numFmtId="0" fontId="3" fillId="0" borderId="0" xfId="2" applyFont="1" applyAlignment="1">
      <alignment horizontal="center" vertical="center" wrapText="1"/>
    </xf>
    <xf numFmtId="2" fontId="4" fillId="5" borderId="0" xfId="2" applyNumberFormat="1" applyFill="1" applyAlignment="1">
      <alignment horizontal="center"/>
    </xf>
    <xf numFmtId="165" fontId="0" fillId="0" borderId="0" xfId="0" applyNumberFormat="1"/>
    <xf numFmtId="0" fontId="14" fillId="0" borderId="0" xfId="0" applyFont="1" applyAlignment="1">
      <alignment horizontal="center" vertical="center" wrapText="1"/>
    </xf>
    <xf numFmtId="0" fontId="3" fillId="0" borderId="0" xfId="0" applyFont="1" applyAlignment="1">
      <alignment horizontal="center" vertical="center" wrapText="1"/>
    </xf>
    <xf numFmtId="0" fontId="3" fillId="10" borderId="6" xfId="0" applyFont="1" applyFill="1" applyBorder="1" applyAlignment="1">
      <alignment horizontal="center" vertical="center" wrapText="1"/>
    </xf>
    <xf numFmtId="0" fontId="3" fillId="11" borderId="8" xfId="0" applyFont="1" applyFill="1" applyBorder="1" applyAlignment="1">
      <alignment horizontal="center" vertical="center" wrapText="1"/>
    </xf>
    <xf numFmtId="165" fontId="0" fillId="0" borderId="23" xfId="0" applyNumberFormat="1" applyBorder="1"/>
    <xf numFmtId="165" fontId="0" fillId="0" borderId="22" xfId="0" applyNumberFormat="1" applyBorder="1"/>
    <xf numFmtId="0" fontId="0" fillId="0" borderId="53" xfId="0" applyBorder="1"/>
    <xf numFmtId="167" fontId="6" fillId="0" borderId="3" xfId="2" applyNumberFormat="1" applyFont="1" applyBorder="1" applyAlignment="1">
      <alignment horizontal="center" vertical="center" wrapText="1"/>
    </xf>
    <xf numFmtId="167" fontId="6" fillId="0" borderId="2" xfId="2" applyNumberFormat="1" applyFont="1" applyBorder="1" applyAlignment="1">
      <alignment horizontal="center" vertical="center" wrapText="1"/>
    </xf>
    <xf numFmtId="167" fontId="6" fillId="0" borderId="36" xfId="2" applyNumberFormat="1" applyFont="1" applyBorder="1" applyAlignment="1">
      <alignment horizontal="center" vertical="center" wrapText="1"/>
    </xf>
    <xf numFmtId="0" fontId="3" fillId="0" borderId="29" xfId="2" applyFont="1" applyBorder="1" applyAlignment="1">
      <alignment horizontal="center" vertical="center" wrapText="1"/>
    </xf>
    <xf numFmtId="0" fontId="3" fillId="0" borderId="4" xfId="2" applyFont="1" applyBorder="1" applyAlignment="1">
      <alignment horizontal="center" vertical="center" wrapText="1"/>
    </xf>
    <xf numFmtId="0" fontId="3" fillId="4" borderId="0" xfId="0" applyFont="1" applyFill="1" applyAlignment="1">
      <alignment horizontal="center" vertical="center" wrapText="1"/>
    </xf>
    <xf numFmtId="164" fontId="0" fillId="0" borderId="8" xfId="0" applyNumberFormat="1" applyBorder="1"/>
    <xf numFmtId="164" fontId="0" fillId="0" borderId="10" xfId="0" applyNumberFormat="1" applyBorder="1"/>
    <xf numFmtId="2" fontId="1" fillId="0" borderId="3" xfId="7" applyNumberFormat="1" applyBorder="1" applyAlignment="1">
      <alignment horizontal="center" vertical="center" wrapText="1"/>
    </xf>
    <xf numFmtId="2" fontId="1" fillId="0" borderId="2" xfId="7" applyNumberFormat="1" applyBorder="1" applyAlignment="1">
      <alignment horizontal="center" vertical="center" wrapText="1"/>
    </xf>
    <xf numFmtId="2" fontId="1" fillId="0" borderId="4" xfId="7" applyNumberFormat="1" applyBorder="1" applyAlignment="1">
      <alignment horizontal="center" vertical="center" wrapText="1"/>
    </xf>
    <xf numFmtId="0" fontId="0" fillId="0" borderId="54" xfId="0" applyBorder="1"/>
    <xf numFmtId="0" fontId="0" fillId="0" borderId="38" xfId="0" applyBorder="1"/>
    <xf numFmtId="0" fontId="0" fillId="0" borderId="55" xfId="0" applyBorder="1"/>
    <xf numFmtId="0" fontId="0" fillId="0" borderId="56" xfId="0" applyBorder="1"/>
    <xf numFmtId="166" fontId="0" fillId="7" borderId="0" xfId="0" applyNumberFormat="1" applyFill="1"/>
    <xf numFmtId="0" fontId="0" fillId="29" borderId="1" xfId="0" applyFill="1" applyBorder="1"/>
    <xf numFmtId="0" fontId="0" fillId="29" borderId="0" xfId="0" applyFill="1"/>
    <xf numFmtId="0" fontId="0" fillId="29" borderId="9" xfId="0" applyFill="1" applyBorder="1"/>
    <xf numFmtId="0" fontId="0" fillId="29" borderId="7" xfId="0" applyFill="1" applyBorder="1"/>
    <xf numFmtId="0" fontId="0" fillId="29" borderId="22" xfId="0" applyFill="1" applyBorder="1"/>
    <xf numFmtId="0" fontId="0" fillId="13" borderId="7" xfId="0" applyFill="1" applyBorder="1"/>
    <xf numFmtId="0" fontId="0" fillId="13" borderId="22" xfId="0" applyFill="1" applyBorder="1"/>
    <xf numFmtId="0" fontId="0" fillId="0" borderId="0" xfId="0" applyAlignment="1">
      <alignment vertical="center"/>
    </xf>
    <xf numFmtId="14" fontId="0" fillId="0" borderId="0" xfId="0" applyNumberFormat="1" applyAlignment="1">
      <alignment vertical="center"/>
    </xf>
    <xf numFmtId="0" fontId="0" fillId="0" borderId="0" xfId="0" applyAlignment="1">
      <alignment vertical="center" wrapText="1"/>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1" fontId="0" fillId="0" borderId="48" xfId="0" applyNumberFormat="1" applyBorder="1" applyAlignment="1">
      <alignment horizontal="center" vertical="center"/>
    </xf>
    <xf numFmtId="164" fontId="0" fillId="0" borderId="17" xfId="0" applyNumberFormat="1" applyBorder="1" applyAlignment="1">
      <alignment horizontal="center" vertical="center"/>
    </xf>
    <xf numFmtId="164" fontId="0" fillId="0" borderId="9" xfId="0" applyNumberFormat="1" applyBorder="1" applyAlignment="1">
      <alignment horizontal="center" vertical="center"/>
    </xf>
    <xf numFmtId="164" fontId="0" fillId="0" borderId="0" xfId="0" applyNumberFormat="1" applyAlignment="1">
      <alignment horizontal="center" vertical="center"/>
    </xf>
    <xf numFmtId="164" fontId="0" fillId="0" borderId="18" xfId="0" applyNumberFormat="1" applyBorder="1" applyAlignment="1">
      <alignment horizontal="center" vertical="center"/>
    </xf>
    <xf numFmtId="1" fontId="0" fillId="0" borderId="49" xfId="0" applyNumberFormat="1" applyBorder="1" applyAlignment="1">
      <alignment horizontal="center" vertical="center"/>
    </xf>
    <xf numFmtId="164" fontId="0" fillId="0" borderId="19" xfId="0" applyNumberFormat="1" applyBorder="1" applyAlignment="1">
      <alignment horizontal="center" vertical="center"/>
    </xf>
    <xf numFmtId="164" fontId="0" fillId="0" borderId="63" xfId="0" applyNumberFormat="1" applyBorder="1" applyAlignment="1">
      <alignment horizontal="center" vertical="center"/>
    </xf>
    <xf numFmtId="164" fontId="0" fillId="0" borderId="20" xfId="0" applyNumberFormat="1" applyBorder="1" applyAlignment="1">
      <alignment horizontal="center" vertical="center"/>
    </xf>
    <xf numFmtId="164" fontId="0" fillId="0" borderId="21" xfId="0" applyNumberFormat="1" applyBorder="1" applyAlignment="1">
      <alignment horizontal="center" vertical="center"/>
    </xf>
    <xf numFmtId="0" fontId="18" fillId="19" borderId="5" xfId="3" applyBorder="1" applyAlignment="1">
      <alignment horizontal="center"/>
    </xf>
    <xf numFmtId="0" fontId="12" fillId="24" borderId="5" xfId="0" applyFont="1" applyFill="1" applyBorder="1" applyAlignment="1">
      <alignment horizontal="left" vertical="center" wrapText="1"/>
    </xf>
    <xf numFmtId="0" fontId="18" fillId="19" borderId="5" xfId="3" applyBorder="1" applyAlignment="1">
      <alignment horizontal="center" vertical="center"/>
    </xf>
    <xf numFmtId="0" fontId="12" fillId="0" borderId="0" xfId="0" applyFont="1" applyAlignment="1">
      <alignment horizontal="left" vertical="center" wrapText="1"/>
    </xf>
    <xf numFmtId="0" fontId="18" fillId="0" borderId="0" xfId="3" applyFill="1" applyBorder="1" applyAlignment="1">
      <alignment horizontal="center" vertical="center"/>
    </xf>
    <xf numFmtId="0" fontId="12" fillId="24" borderId="2" xfId="0" applyFont="1" applyFill="1" applyBorder="1" applyAlignment="1">
      <alignment horizontal="left" wrapText="1"/>
    </xf>
    <xf numFmtId="0" fontId="12" fillId="0" borderId="0" xfId="0" applyFont="1" applyAlignment="1">
      <alignment horizontal="left" wrapText="1"/>
    </xf>
    <xf numFmtId="0" fontId="18" fillId="0" borderId="0" xfId="3" applyFill="1" applyBorder="1" applyAlignment="1">
      <alignment horizontal="center"/>
    </xf>
    <xf numFmtId="0" fontId="12" fillId="32" borderId="5" xfId="0" applyFont="1" applyFill="1" applyBorder="1" applyAlignment="1">
      <alignment horizontal="left"/>
    </xf>
    <xf numFmtId="0" fontId="12" fillId="33" borderId="5" xfId="0" applyFont="1" applyFill="1" applyBorder="1" applyAlignment="1">
      <alignment horizontal="left"/>
    </xf>
    <xf numFmtId="2" fontId="18" fillId="19" borderId="46" xfId="3" applyNumberFormat="1" applyAlignment="1">
      <alignment horizontal="center"/>
    </xf>
    <xf numFmtId="0" fontId="12" fillId="0" borderId="5" xfId="0" applyFont="1" applyBorder="1"/>
    <xf numFmtId="0" fontId="20" fillId="0" borderId="0" xfId="5" applyFill="1" applyBorder="1"/>
    <xf numFmtId="2" fontId="25" fillId="0" borderId="0" xfId="8" applyNumberFormat="1" applyFill="1" applyAlignment="1">
      <alignment horizontal="center"/>
    </xf>
    <xf numFmtId="2" fontId="20" fillId="22" borderId="5" xfId="5" applyNumberFormat="1" applyBorder="1" applyAlignment="1">
      <alignment horizontal="center"/>
    </xf>
    <xf numFmtId="0" fontId="6" fillId="0" borderId="0" xfId="0" applyFont="1" applyAlignment="1">
      <alignment horizontal="center"/>
    </xf>
    <xf numFmtId="164" fontId="6" fillId="0" borderId="0" xfId="0" applyNumberFormat="1" applyFont="1" applyAlignment="1">
      <alignment horizontal="center"/>
    </xf>
    <xf numFmtId="0" fontId="12" fillId="0" borderId="5" xfId="0" applyFont="1" applyBorder="1" applyAlignment="1">
      <alignment horizontal="left"/>
    </xf>
    <xf numFmtId="0" fontId="26" fillId="0" borderId="5" xfId="0" applyFont="1" applyBorder="1"/>
    <xf numFmtId="9" fontId="0" fillId="0" borderId="0" xfId="0" applyNumberFormat="1"/>
    <xf numFmtId="0" fontId="0" fillId="0" borderId="26" xfId="0" applyBorder="1" applyAlignment="1">
      <alignment horizontal="center"/>
    </xf>
    <xf numFmtId="0" fontId="0" fillId="0" borderId="23" xfId="0" applyBorder="1" applyAlignment="1">
      <alignment horizontal="center"/>
    </xf>
    <xf numFmtId="0" fontId="5" fillId="9" borderId="24" xfId="0" applyFont="1" applyFill="1" applyBorder="1"/>
    <xf numFmtId="0" fontId="0" fillId="0" borderId="9" xfId="0" applyBorder="1" applyAlignment="1">
      <alignment horizontal="center"/>
    </xf>
    <xf numFmtId="0" fontId="0" fillId="0" borderId="7" xfId="0" applyBorder="1" applyAlignment="1">
      <alignment horizontal="center"/>
    </xf>
    <xf numFmtId="0" fontId="0" fillId="0" borderId="10" xfId="0"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9" borderId="3" xfId="0" applyFill="1" applyBorder="1"/>
    <xf numFmtId="0" fontId="18" fillId="19" borderId="46" xfId="3" applyAlignment="1" applyProtection="1">
      <alignment horizontal="center"/>
      <protection locked="0"/>
    </xf>
    <xf numFmtId="164" fontId="18" fillId="19" borderId="46" xfId="3" applyNumberFormat="1" applyAlignment="1" applyProtection="1">
      <alignment horizontal="center"/>
      <protection locked="0"/>
    </xf>
    <xf numFmtId="0" fontId="0" fillId="9" borderId="0" xfId="0" applyFill="1"/>
    <xf numFmtId="0" fontId="0" fillId="0" borderId="3" xfId="0" applyBorder="1" applyAlignment="1">
      <alignment horizontal="center"/>
    </xf>
    <xf numFmtId="0" fontId="0" fillId="0" borderId="22" xfId="0" applyBorder="1" applyAlignment="1">
      <alignment horizontal="center"/>
    </xf>
    <xf numFmtId="0" fontId="0" fillId="0" borderId="23" xfId="0" applyBorder="1" applyAlignment="1">
      <alignment horizontal="left"/>
    </xf>
    <xf numFmtId="0" fontId="0" fillId="0" borderId="22" xfId="0" applyBorder="1" applyAlignment="1">
      <alignment horizontal="left"/>
    </xf>
    <xf numFmtId="0" fontId="0" fillId="5" borderId="23" xfId="0" applyFill="1" applyBorder="1"/>
    <xf numFmtId="0" fontId="0" fillId="5" borderId="22" xfId="0" applyFill="1" applyBorder="1"/>
    <xf numFmtId="164" fontId="0" fillId="35" borderId="22" xfId="0" applyNumberFormat="1" applyFill="1" applyBorder="1" applyAlignment="1">
      <alignment horizontal="center"/>
    </xf>
    <xf numFmtId="0" fontId="0" fillId="36" borderId="22" xfId="0" applyFill="1" applyBorder="1" applyAlignment="1">
      <alignment horizontal="center"/>
    </xf>
    <xf numFmtId="164" fontId="0" fillId="27" borderId="22" xfId="0" applyNumberFormat="1" applyFill="1" applyBorder="1" applyAlignment="1">
      <alignment horizontal="center"/>
    </xf>
    <xf numFmtId="0" fontId="0" fillId="36" borderId="0" xfId="0" applyFill="1"/>
    <xf numFmtId="164" fontId="0" fillId="35" borderId="23" xfId="0" applyNumberFormat="1" applyFill="1" applyBorder="1"/>
    <xf numFmtId="164" fontId="0" fillId="27" borderId="0" xfId="0" applyNumberFormat="1" applyFill="1"/>
    <xf numFmtId="164" fontId="3" fillId="34" borderId="22" xfId="0" applyNumberFormat="1" applyFont="1" applyFill="1" applyBorder="1"/>
    <xf numFmtId="0" fontId="0" fillId="35" borderId="0" xfId="0" applyFill="1" applyAlignment="1">
      <alignment horizontal="center"/>
    </xf>
    <xf numFmtId="0" fontId="0" fillId="35" borderId="23" xfId="0" applyFill="1" applyBorder="1" applyAlignment="1">
      <alignment horizontal="center"/>
    </xf>
    <xf numFmtId="0" fontId="0" fillId="36" borderId="0" xfId="0" applyFill="1" applyAlignment="1">
      <alignment horizontal="center"/>
    </xf>
    <xf numFmtId="164" fontId="3" fillId="34" borderId="22" xfId="0" applyNumberFormat="1" applyFont="1" applyFill="1" applyBorder="1" applyAlignment="1">
      <alignment horizontal="center"/>
    </xf>
    <xf numFmtId="1" fontId="0" fillId="0" borderId="5" xfId="0" applyNumberFormat="1" applyBorder="1"/>
    <xf numFmtId="164" fontId="0" fillId="0" borderId="5" xfId="0" applyNumberFormat="1" applyBorder="1"/>
    <xf numFmtId="167" fontId="0" fillId="0" borderId="5" xfId="0" applyNumberFormat="1" applyBorder="1"/>
    <xf numFmtId="0" fontId="3" fillId="0" borderId="5" xfId="0" applyFont="1" applyBorder="1" applyAlignment="1">
      <alignment horizontal="center" vertical="center" wrapText="1"/>
    </xf>
    <xf numFmtId="0" fontId="3" fillId="0" borderId="26" xfId="0" applyFont="1" applyBorder="1" applyAlignment="1">
      <alignment horizontal="center" vertical="center" wrapText="1"/>
    </xf>
    <xf numFmtId="1" fontId="0" fillId="0" borderId="0" xfId="0" applyNumberFormat="1"/>
    <xf numFmtId="0" fontId="3" fillId="0" borderId="5" xfId="0" applyFont="1" applyBorder="1" applyAlignment="1">
      <alignment wrapText="1"/>
    </xf>
    <xf numFmtId="0" fontId="0" fillId="0" borderId="4" xfId="0" applyBorder="1" applyAlignment="1">
      <alignment horizontal="center" vertical="center"/>
    </xf>
    <xf numFmtId="0" fontId="0" fillId="0" borderId="8" xfId="0" applyBorder="1" applyAlignment="1">
      <alignment horizontal="center"/>
    </xf>
    <xf numFmtId="0" fontId="17" fillId="0" borderId="0" xfId="0" applyFont="1" applyAlignment="1">
      <alignment horizontal="center" vertical="center" wrapText="1"/>
    </xf>
    <xf numFmtId="0" fontId="3" fillId="0" borderId="0" xfId="0" applyFont="1" applyAlignment="1">
      <alignment vertical="center"/>
    </xf>
    <xf numFmtId="0" fontId="3" fillId="0" borderId="5" xfId="0" applyFont="1" applyBorder="1" applyAlignment="1">
      <alignment horizontal="center" vertical="center"/>
    </xf>
    <xf numFmtId="0" fontId="5" fillId="9" borderId="7" xfId="0" applyFont="1" applyFill="1" applyBorder="1"/>
    <xf numFmtId="1" fontId="0" fillId="0" borderId="23" xfId="0" applyNumberFormat="1" applyBorder="1" applyAlignment="1">
      <alignment horizontal="center" vertical="center"/>
    </xf>
    <xf numFmtId="0" fontId="3" fillId="34" borderId="22" xfId="0" applyFont="1" applyFill="1" applyBorder="1" applyAlignment="1">
      <alignment horizontal="center" vertical="center"/>
    </xf>
    <xf numFmtId="0" fontId="0" fillId="0" borderId="12" xfId="0" applyBorder="1" applyAlignment="1">
      <alignment horizontal="center" vertical="center"/>
    </xf>
    <xf numFmtId="0" fontId="0" fillId="0" borderId="7" xfId="0" applyBorder="1" applyAlignment="1">
      <alignment horizontal="center" vertical="center"/>
    </xf>
    <xf numFmtId="164" fontId="0" fillId="0" borderId="5" xfId="0" applyNumberFormat="1" applyBorder="1" applyAlignment="1">
      <alignment horizontal="center" vertical="center"/>
    </xf>
    <xf numFmtId="0" fontId="0" fillId="0" borderId="12" xfId="0" applyBorder="1"/>
    <xf numFmtId="0" fontId="0" fillId="0" borderId="13" xfId="0" applyBorder="1"/>
    <xf numFmtId="0" fontId="29" fillId="0" borderId="6" xfId="6" applyFont="1" applyBorder="1" applyAlignment="1">
      <alignment horizontal="right"/>
    </xf>
    <xf numFmtId="0" fontId="29" fillId="0" borderId="0" xfId="6" applyFont="1" applyAlignment="1">
      <alignment horizontal="left"/>
    </xf>
    <xf numFmtId="0" fontId="29" fillId="0" borderId="1" xfId="6" applyFont="1" applyBorder="1" applyAlignment="1">
      <alignment horizontal="right"/>
    </xf>
    <xf numFmtId="0" fontId="29" fillId="0" borderId="9" xfId="6" applyFont="1" applyBorder="1" applyAlignment="1">
      <alignment horizontal="left"/>
    </xf>
    <xf numFmtId="0" fontId="29" fillId="0" borderId="0" xfId="6" applyFont="1" applyAlignment="1" applyProtection="1">
      <alignment horizontal="left"/>
      <protection locked="0"/>
    </xf>
    <xf numFmtId="0" fontId="29" fillId="0" borderId="7" xfId="6" applyFont="1" applyBorder="1" applyAlignment="1">
      <alignment horizontal="right"/>
    </xf>
    <xf numFmtId="0" fontId="29" fillId="0" borderId="22" xfId="6" applyFont="1" applyBorder="1" applyProtection="1">
      <protection locked="0"/>
    </xf>
    <xf numFmtId="0" fontId="0" fillId="0" borderId="48" xfId="0" applyBorder="1" applyAlignment="1">
      <alignment horizontal="center" vertical="center"/>
    </xf>
    <xf numFmtId="0" fontId="0" fillId="0" borderId="48" xfId="0" applyBorder="1" applyAlignment="1">
      <alignment horizontal="center" vertical="center" wrapText="1"/>
    </xf>
    <xf numFmtId="0" fontId="0" fillId="0" borderId="64" xfId="0" applyBorder="1" applyAlignment="1">
      <alignment horizontal="center"/>
    </xf>
    <xf numFmtId="0" fontId="0" fillId="0" borderId="65" xfId="0" applyBorder="1" applyAlignment="1">
      <alignment horizontal="left"/>
    </xf>
    <xf numFmtId="0" fontId="0" fillId="0" borderId="65" xfId="0" applyBorder="1" applyAlignment="1">
      <alignment horizontal="center"/>
    </xf>
    <xf numFmtId="3" fontId="0" fillId="0" borderId="65" xfId="0" applyNumberFormat="1" applyBorder="1" applyAlignment="1">
      <alignment horizontal="center"/>
    </xf>
    <xf numFmtId="3" fontId="0" fillId="0" borderId="66" xfId="0" applyNumberFormat="1" applyBorder="1" applyAlignment="1">
      <alignment horizontal="center"/>
    </xf>
    <xf numFmtId="0" fontId="0" fillId="0" borderId="54" xfId="0" applyBorder="1" applyAlignment="1">
      <alignment horizontal="center"/>
    </xf>
    <xf numFmtId="0" fontId="0" fillId="0" borderId="5" xfId="0" applyBorder="1" applyAlignment="1">
      <alignment horizontal="left"/>
    </xf>
    <xf numFmtId="3" fontId="0" fillId="0" borderId="5" xfId="0" applyNumberFormat="1" applyBorder="1" applyAlignment="1">
      <alignment horizontal="center"/>
    </xf>
    <xf numFmtId="3" fontId="0" fillId="0" borderId="38" xfId="0" applyNumberFormat="1" applyBorder="1" applyAlignment="1">
      <alignment horizontal="center"/>
    </xf>
    <xf numFmtId="0" fontId="0" fillId="0" borderId="55" xfId="0" applyBorder="1" applyAlignment="1">
      <alignment horizontal="center"/>
    </xf>
    <xf numFmtId="0" fontId="0" fillId="0" borderId="56" xfId="0" applyBorder="1" applyAlignment="1">
      <alignment horizontal="left"/>
    </xf>
    <xf numFmtId="0" fontId="0" fillId="0" borderId="56" xfId="0" applyBorder="1" applyAlignment="1">
      <alignment horizontal="center"/>
    </xf>
    <xf numFmtId="3" fontId="0" fillId="0" borderId="56" xfId="0" applyNumberFormat="1" applyBorder="1" applyAlignment="1">
      <alignment horizontal="center"/>
    </xf>
    <xf numFmtId="3" fontId="0" fillId="0" borderId="53" xfId="0" applyNumberFormat="1" applyBorder="1" applyAlignment="1">
      <alignment horizontal="center"/>
    </xf>
    <xf numFmtId="0" fontId="0" fillId="0" borderId="0" xfId="0" applyAlignment="1">
      <alignment horizontal="right"/>
    </xf>
    <xf numFmtId="0" fontId="0" fillId="0" borderId="0" xfId="0" quotePrefix="1"/>
    <xf numFmtId="3" fontId="0" fillId="0" borderId="0" xfId="0" applyNumberFormat="1" applyAlignment="1">
      <alignment horizontal="center"/>
    </xf>
    <xf numFmtId="0" fontId="29" fillId="0" borderId="0" xfId="6" applyFont="1" applyProtection="1">
      <protection locked="0"/>
    </xf>
    <xf numFmtId="0" fontId="29" fillId="0" borderId="10" xfId="6" applyFont="1" applyBorder="1" applyAlignment="1" applyProtection="1">
      <alignment horizontal="left"/>
      <protection locked="0"/>
    </xf>
    <xf numFmtId="0" fontId="0" fillId="0" borderId="24" xfId="0" applyBorder="1" applyAlignment="1">
      <alignment horizontal="center" vertical="center"/>
    </xf>
    <xf numFmtId="0" fontId="0" fillId="0" borderId="67" xfId="0" applyBorder="1"/>
    <xf numFmtId="0" fontId="0" fillId="0" borderId="6" xfId="0" applyBorder="1" applyAlignment="1">
      <alignment horizontal="center"/>
    </xf>
    <xf numFmtId="0" fontId="0" fillId="0" borderId="1" xfId="0" applyBorder="1" applyAlignment="1">
      <alignment horizontal="center"/>
    </xf>
    <xf numFmtId="0" fontId="25" fillId="31" borderId="1" xfId="8" applyBorder="1"/>
    <xf numFmtId="0" fontId="25" fillId="31" borderId="0" xfId="8"/>
    <xf numFmtId="0" fontId="25" fillId="31" borderId="9" xfId="8" applyBorder="1"/>
    <xf numFmtId="0" fontId="25" fillId="31" borderId="24" xfId="8" applyBorder="1"/>
    <xf numFmtId="0" fontId="25" fillId="31" borderId="25" xfId="8" applyBorder="1"/>
    <xf numFmtId="0" fontId="25" fillId="31" borderId="26" xfId="8" applyBorder="1"/>
    <xf numFmtId="0" fontId="0" fillId="0" borderId="23"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2" xfId="0" applyBorder="1" applyAlignment="1">
      <alignment horizontal="center" vertical="center"/>
    </xf>
    <xf numFmtId="0" fontId="25" fillId="31" borderId="24" xfId="8" applyBorder="1" applyAlignment="1">
      <alignment horizontal="center" vertical="center"/>
    </xf>
    <xf numFmtId="0" fontId="25" fillId="31" borderId="25" xfId="8" applyBorder="1" applyAlignment="1">
      <alignment horizontal="center" vertical="center"/>
    </xf>
    <xf numFmtId="0" fontId="0" fillId="0" borderId="10" xfId="0" applyBorder="1" applyAlignment="1">
      <alignment horizontal="center" vertical="center"/>
    </xf>
    <xf numFmtId="0" fontId="29" fillId="0" borderId="23" xfId="6" applyFont="1" applyBorder="1" applyAlignment="1">
      <alignment horizontal="left"/>
    </xf>
    <xf numFmtId="0" fontId="29" fillId="0" borderId="8" xfId="6" applyFont="1" applyBorder="1" applyAlignment="1">
      <alignment horizontal="left"/>
    </xf>
    <xf numFmtId="0" fontId="26" fillId="0" borderId="0" xfId="0" applyFont="1"/>
    <xf numFmtId="0" fontId="33" fillId="0" borderId="22" xfId="0" applyFont="1" applyBorder="1" applyAlignment="1">
      <alignment horizontal="center"/>
    </xf>
    <xf numFmtId="0" fontId="34" fillId="0" borderId="22" xfId="0" applyFont="1" applyBorder="1" applyAlignment="1">
      <alignment horizontal="center"/>
    </xf>
    <xf numFmtId="13" fontId="34" fillId="0" borderId="22" xfId="0" applyNumberFormat="1" applyFont="1" applyBorder="1" applyAlignment="1">
      <alignment horizontal="center"/>
    </xf>
    <xf numFmtId="13" fontId="34" fillId="0" borderId="22" xfId="0" applyNumberFormat="1" applyFont="1" applyBorder="1" applyAlignment="1">
      <alignment horizontal="center" vertical="center"/>
    </xf>
    <xf numFmtId="0" fontId="23" fillId="0" borderId="0" xfId="0" applyFont="1" applyAlignment="1">
      <alignment horizontal="center"/>
    </xf>
    <xf numFmtId="2" fontId="23" fillId="0" borderId="0" xfId="0" applyNumberFormat="1" applyFont="1" applyAlignment="1">
      <alignment horizontal="center"/>
    </xf>
    <xf numFmtId="2" fontId="23" fillId="0" borderId="0" xfId="0" applyNumberFormat="1" applyFont="1" applyAlignment="1">
      <alignment horizontal="center" vertical="center"/>
    </xf>
    <xf numFmtId="2" fontId="23" fillId="0" borderId="0" xfId="0" applyNumberFormat="1" applyFont="1" applyAlignment="1" applyProtection="1">
      <alignment horizontal="center"/>
      <protection locked="0"/>
    </xf>
    <xf numFmtId="2" fontId="23" fillId="0" borderId="0" xfId="0" applyNumberFormat="1" applyFont="1" applyAlignment="1" applyProtection="1">
      <alignment horizontal="center" vertical="center"/>
      <protection locked="0"/>
    </xf>
    <xf numFmtId="0" fontId="23" fillId="0" borderId="0" xfId="0" applyFont="1"/>
    <xf numFmtId="13" fontId="12" fillId="0" borderId="0" xfId="0" applyNumberFormat="1" applyFont="1"/>
    <xf numFmtId="13" fontId="12" fillId="0" borderId="0" xfId="0" applyNumberFormat="1" applyFont="1" applyAlignment="1">
      <alignment horizontal="center"/>
    </xf>
    <xf numFmtId="13" fontId="12" fillId="0" borderId="0" xfId="0" applyNumberFormat="1" applyFont="1" applyAlignment="1">
      <alignment horizontal="center" vertical="center"/>
    </xf>
    <xf numFmtId="13" fontId="23" fillId="0" borderId="0" xfId="0" applyNumberFormat="1" applyFont="1"/>
    <xf numFmtId="0" fontId="29" fillId="0" borderId="6" xfId="6" applyFont="1" applyBorder="1" applyAlignment="1">
      <alignment horizontal="center" vertical="center"/>
    </xf>
    <xf numFmtId="0" fontId="29" fillId="0" borderId="1" xfId="6" applyFont="1" applyBorder="1" applyAlignment="1">
      <alignment horizontal="center" vertical="center"/>
    </xf>
    <xf numFmtId="0" fontId="29" fillId="0" borderId="7" xfId="6" applyFont="1" applyBorder="1" applyAlignment="1">
      <alignment horizontal="center" vertical="center"/>
    </xf>
    <xf numFmtId="0" fontId="29" fillId="0" borderId="22" xfId="6" applyFont="1" applyBorder="1" applyAlignment="1" applyProtection="1">
      <alignment horizontal="left"/>
      <protection locked="0"/>
    </xf>
    <xf numFmtId="0" fontId="29" fillId="0" borderId="0" xfId="6" applyFont="1" applyAlignment="1">
      <alignment horizontal="right"/>
    </xf>
    <xf numFmtId="0" fontId="35" fillId="0" borderId="0" xfId="6" applyFont="1" applyAlignment="1">
      <alignment horizontal="center" vertical="center"/>
    </xf>
    <xf numFmtId="0" fontId="0" fillId="25" borderId="0" xfId="0" applyFill="1"/>
    <xf numFmtId="0" fontId="0" fillId="0" borderId="68" xfId="0" applyBorder="1" applyAlignment="1">
      <alignment horizontal="center" vertical="center" wrapText="1"/>
    </xf>
    <xf numFmtId="4" fontId="0" fillId="0" borderId="65" xfId="0" applyNumberFormat="1" applyBorder="1" applyAlignment="1">
      <alignment horizontal="center"/>
    </xf>
    <xf numFmtId="10" fontId="0" fillId="0" borderId="66" xfId="0" applyNumberFormat="1" applyBorder="1"/>
    <xf numFmtId="4" fontId="0" fillId="0" borderId="5" xfId="0" applyNumberFormat="1" applyBorder="1" applyAlignment="1">
      <alignment horizontal="center"/>
    </xf>
    <xf numFmtId="10" fontId="0" fillId="0" borderId="38" xfId="0" applyNumberFormat="1" applyBorder="1"/>
    <xf numFmtId="0" fontId="0" fillId="14" borderId="0" xfId="0" applyFill="1"/>
    <xf numFmtId="4" fontId="0" fillId="0" borderId="56" xfId="0" applyNumberFormat="1" applyBorder="1" applyAlignment="1">
      <alignment horizontal="center"/>
    </xf>
    <xf numFmtId="10" fontId="0" fillId="0" borderId="53" xfId="0" applyNumberFormat="1" applyBorder="1"/>
    <xf numFmtId="0" fontId="32" fillId="0" borderId="0" xfId="0" applyFont="1"/>
    <xf numFmtId="4" fontId="0" fillId="0" borderId="0" xfId="0" applyNumberFormat="1"/>
    <xf numFmtId="4" fontId="0" fillId="0" borderId="4" xfId="0" applyNumberFormat="1" applyBorder="1" applyAlignment="1">
      <alignment horizontal="center"/>
    </xf>
    <xf numFmtId="0" fontId="0" fillId="0" borderId="67" xfId="0" applyBorder="1" applyAlignment="1">
      <alignment horizontal="center" vertical="center" wrapText="1"/>
    </xf>
    <xf numFmtId="0" fontId="0" fillId="0" borderId="15" xfId="0" applyBorder="1" applyAlignment="1">
      <alignment horizontal="center"/>
    </xf>
    <xf numFmtId="0" fontId="0" fillId="0" borderId="15" xfId="0" applyBorder="1"/>
    <xf numFmtId="0" fontId="0" fillId="0" borderId="16" xfId="0" applyBorder="1"/>
    <xf numFmtId="169" fontId="0" fillId="0" borderId="0" xfId="0" applyNumberFormat="1" applyAlignment="1">
      <alignment horizontal="center"/>
    </xf>
    <xf numFmtId="0" fontId="0" fillId="0" borderId="20" xfId="0" applyBorder="1" applyAlignment="1">
      <alignment horizontal="center"/>
    </xf>
    <xf numFmtId="0" fontId="35" fillId="0" borderId="14" xfId="6"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35" fillId="0" borderId="17" xfId="6" applyFont="1" applyBorder="1" applyAlignment="1">
      <alignment horizontal="center" vertical="center"/>
    </xf>
    <xf numFmtId="0" fontId="0" fillId="0" borderId="18" xfId="0" applyBorder="1" applyAlignment="1">
      <alignment horizontal="center" vertical="center"/>
    </xf>
    <xf numFmtId="0" fontId="35" fillId="0" borderId="19" xfId="6" applyFont="1" applyBorder="1" applyAlignment="1">
      <alignment horizontal="center" vertical="center"/>
    </xf>
    <xf numFmtId="0" fontId="0" fillId="25" borderId="20" xfId="0" applyFill="1" applyBorder="1" applyAlignment="1">
      <alignment horizontal="center"/>
    </xf>
    <xf numFmtId="0" fontId="0" fillId="39" borderId="15" xfId="0" applyFill="1" applyBorder="1"/>
    <xf numFmtId="0" fontId="0" fillId="39" borderId="0" xfId="0" applyFill="1"/>
    <xf numFmtId="0" fontId="0" fillId="39" borderId="20" xfId="0" applyFill="1" applyBorder="1"/>
    <xf numFmtId="0" fontId="0" fillId="0" borderId="12" xfId="0" applyBorder="1" applyAlignment="1">
      <alignment horizontal="center"/>
    </xf>
    <xf numFmtId="14" fontId="0" fillId="0" borderId="0" xfId="0" applyNumberFormat="1"/>
    <xf numFmtId="0" fontId="12" fillId="24" borderId="3" xfId="0" applyFont="1" applyFill="1" applyBorder="1" applyAlignment="1">
      <alignment horizontal="left" wrapText="1"/>
    </xf>
    <xf numFmtId="0" fontId="20" fillId="22" borderId="69" xfId="5" applyBorder="1" applyAlignment="1" applyProtection="1">
      <alignment horizontal="center"/>
      <protection locked="0"/>
    </xf>
    <xf numFmtId="10" fontId="20" fillId="22" borderId="5" xfId="5" applyNumberFormat="1" applyBorder="1" applyAlignment="1" applyProtection="1">
      <alignment horizontal="center"/>
      <protection locked="0"/>
    </xf>
    <xf numFmtId="0" fontId="0" fillId="0" borderId="0" xfId="0" applyAlignment="1">
      <alignment wrapText="1"/>
    </xf>
    <xf numFmtId="0" fontId="0" fillId="7" borderId="5" xfId="0" applyFill="1" applyBorder="1" applyAlignment="1">
      <alignment horizontal="center"/>
    </xf>
    <xf numFmtId="0" fontId="2" fillId="0" borderId="0" xfId="0" applyFont="1" applyAlignment="1">
      <alignment vertical="center" wrapText="1"/>
    </xf>
    <xf numFmtId="2" fontId="0" fillId="41" borderId="5" xfId="0" applyNumberFormat="1" applyFill="1" applyBorder="1" applyAlignment="1">
      <alignment horizontal="center"/>
    </xf>
    <xf numFmtId="2" fontId="0" fillId="16" borderId="5" xfId="0" applyNumberFormat="1" applyFill="1" applyBorder="1" applyAlignment="1">
      <alignment horizontal="center"/>
    </xf>
    <xf numFmtId="0" fontId="0" fillId="12" borderId="5" xfId="0" applyFill="1" applyBorder="1" applyAlignment="1">
      <alignment vertical="center" wrapText="1"/>
    </xf>
    <xf numFmtId="0" fontId="3" fillId="41" borderId="12" xfId="0" applyFont="1" applyFill="1" applyBorder="1" applyAlignment="1">
      <alignment horizontal="center" vertical="center"/>
    </xf>
    <xf numFmtId="2" fontId="3" fillId="41" borderId="12" xfId="0" applyNumberFormat="1" applyFont="1" applyFill="1" applyBorder="1" applyAlignment="1">
      <alignment horizontal="center" vertical="center"/>
    </xf>
    <xf numFmtId="0" fontId="3" fillId="0" borderId="0" xfId="0" applyFont="1" applyAlignment="1">
      <alignment horizontal="center" vertical="center"/>
    </xf>
    <xf numFmtId="2" fontId="3" fillId="0" borderId="0" xfId="0" applyNumberFormat="1" applyFont="1" applyAlignment="1">
      <alignment horizontal="center" vertical="center"/>
    </xf>
    <xf numFmtId="2" fontId="0" fillId="0" borderId="20" xfId="0" applyNumberFormat="1" applyBorder="1" applyAlignment="1">
      <alignment horizontal="center"/>
    </xf>
    <xf numFmtId="2" fontId="0" fillId="0" borderId="21" xfId="0" applyNumberFormat="1" applyBorder="1" applyAlignment="1">
      <alignment horizontal="center"/>
    </xf>
    <xf numFmtId="2" fontId="0" fillId="0" borderId="14" xfId="0" applyNumberFormat="1" applyBorder="1" applyAlignment="1">
      <alignment horizontal="center" vertical="center"/>
    </xf>
    <xf numFmtId="2" fontId="0" fillId="0" borderId="15" xfId="0" applyNumberFormat="1" applyBorder="1" applyAlignment="1">
      <alignment horizontal="center" vertical="center"/>
    </xf>
    <xf numFmtId="2" fontId="0" fillId="0" borderId="16" xfId="0" applyNumberFormat="1" applyBorder="1" applyAlignment="1">
      <alignment horizontal="center" vertical="center"/>
    </xf>
    <xf numFmtId="2" fontId="0" fillId="0" borderId="17" xfId="0" applyNumberFormat="1" applyBorder="1" applyAlignment="1">
      <alignment horizontal="center" vertical="center"/>
    </xf>
    <xf numFmtId="2" fontId="0" fillId="0" borderId="19" xfId="0" applyNumberFormat="1" applyBorder="1" applyAlignment="1">
      <alignment horizontal="center" vertical="center"/>
    </xf>
    <xf numFmtId="0" fontId="3" fillId="26" borderId="67" xfId="0" applyFont="1" applyFill="1" applyBorder="1" applyAlignment="1">
      <alignment horizontal="center" vertical="center"/>
    </xf>
    <xf numFmtId="2" fontId="0" fillId="0" borderId="68" xfId="0" applyNumberFormat="1" applyBorder="1" applyAlignment="1">
      <alignment horizontal="center" vertical="center"/>
    </xf>
    <xf numFmtId="2" fontId="0" fillId="0" borderId="48" xfId="0" applyNumberFormat="1" applyBorder="1" applyAlignment="1">
      <alignment horizontal="center" vertical="center"/>
    </xf>
    <xf numFmtId="2" fontId="0" fillId="0" borderId="49" xfId="0" applyNumberFormat="1" applyBorder="1" applyAlignment="1">
      <alignment horizontal="center" vertical="center"/>
    </xf>
    <xf numFmtId="0" fontId="22" fillId="0" borderId="0" xfId="0" applyFont="1" applyAlignment="1">
      <alignment vertical="center"/>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16" fillId="0" borderId="0" xfId="0" applyFont="1" applyAlignment="1">
      <alignment horizontal="center" vertical="center" wrapText="1"/>
    </xf>
    <xf numFmtId="0" fontId="12" fillId="0" borderId="28" xfId="0" applyFont="1" applyBorder="1" applyAlignment="1">
      <alignment horizontal="center" vertical="center" wrapText="1"/>
    </xf>
    <xf numFmtId="0" fontId="12" fillId="0" borderId="0" xfId="0" applyFont="1" applyAlignment="1">
      <alignment vertical="center" wrapText="1"/>
    </xf>
    <xf numFmtId="0" fontId="0" fillId="0" borderId="33" xfId="0" applyBorder="1" applyAlignment="1">
      <alignment horizontal="center" vertical="center" wrapText="1"/>
    </xf>
    <xf numFmtId="0" fontId="12" fillId="0" borderId="65" xfId="0" applyFont="1" applyBorder="1" applyAlignment="1">
      <alignment horizontal="center" vertical="center" wrapText="1"/>
    </xf>
    <xf numFmtId="0" fontId="12" fillId="0" borderId="66" xfId="0" applyFont="1" applyBorder="1" applyAlignment="1">
      <alignment horizontal="center" vertical="center" wrapText="1"/>
    </xf>
    <xf numFmtId="0" fontId="12" fillId="0" borderId="0" xfId="0" applyFont="1" applyAlignment="1">
      <alignment horizontal="center" vertical="center" wrapText="1"/>
    </xf>
    <xf numFmtId="0" fontId="12" fillId="0" borderId="17" xfId="0" applyFont="1" applyBorder="1" applyAlignment="1">
      <alignment horizontal="center" vertical="center"/>
    </xf>
    <xf numFmtId="2" fontId="12" fillId="0" borderId="18" xfId="0" applyNumberFormat="1" applyFont="1" applyBorder="1" applyAlignment="1">
      <alignment horizontal="center" vertical="center"/>
    </xf>
    <xf numFmtId="0" fontId="12" fillId="0" borderId="54" xfId="0" applyFont="1" applyBorder="1"/>
    <xf numFmtId="0" fontId="12" fillId="0" borderId="38" xfId="0" applyFont="1" applyBorder="1"/>
    <xf numFmtId="0" fontId="12" fillId="0" borderId="68" xfId="0" applyFont="1" applyBorder="1"/>
    <xf numFmtId="0" fontId="12" fillId="0" borderId="15" xfId="0" applyFont="1" applyBorder="1" applyAlignment="1">
      <alignment horizontal="center" vertical="center" wrapText="1"/>
    </xf>
    <xf numFmtId="0" fontId="12" fillId="0" borderId="16" xfId="0" applyFont="1" applyBorder="1" applyAlignment="1">
      <alignment horizontal="center" vertical="center" wrapText="1"/>
    </xf>
    <xf numFmtId="0" fontId="12" fillId="0" borderId="5" xfId="0" applyFont="1" applyBorder="1" applyAlignment="1">
      <alignment horizontal="center" vertical="center" wrapText="1"/>
    </xf>
    <xf numFmtId="0" fontId="12" fillId="0" borderId="38" xfId="0" applyFont="1" applyBorder="1" applyAlignment="1">
      <alignment horizontal="center"/>
    </xf>
    <xf numFmtId="2" fontId="0" fillId="0" borderId="30" xfId="0" applyNumberFormat="1" applyBorder="1" applyAlignment="1">
      <alignment horizontal="center"/>
    </xf>
    <xf numFmtId="2" fontId="0" fillId="0" borderId="4" xfId="0" applyNumberFormat="1" applyBorder="1" applyAlignment="1">
      <alignment horizontal="center"/>
    </xf>
    <xf numFmtId="2" fontId="0" fillId="0" borderId="42" xfId="0" applyNumberFormat="1" applyBorder="1" applyAlignment="1">
      <alignment horizontal="center"/>
    </xf>
    <xf numFmtId="2" fontId="0" fillId="0" borderId="64" xfId="0" applyNumberFormat="1" applyBorder="1" applyAlignment="1">
      <alignment horizontal="center" vertical="center"/>
    </xf>
    <xf numFmtId="2" fontId="0" fillId="0" borderId="65" xfId="0" applyNumberFormat="1" applyBorder="1" applyAlignment="1">
      <alignment horizontal="center" vertical="center"/>
    </xf>
    <xf numFmtId="2" fontId="0" fillId="0" borderId="66" xfId="0" applyNumberFormat="1" applyBorder="1" applyAlignment="1">
      <alignment horizontal="center" vertical="center"/>
    </xf>
    <xf numFmtId="0" fontId="12" fillId="0" borderId="55" xfId="0" applyFont="1" applyBorder="1"/>
    <xf numFmtId="0" fontId="12" fillId="0" borderId="53" xfId="0" applyFont="1" applyBorder="1"/>
    <xf numFmtId="0" fontId="12" fillId="0" borderId="48" xfId="0" applyFont="1" applyBorder="1"/>
    <xf numFmtId="0" fontId="12" fillId="0" borderId="18" xfId="0" applyFont="1" applyBorder="1" applyAlignment="1">
      <alignment horizontal="center" vertical="center" wrapText="1"/>
    </xf>
    <xf numFmtId="2" fontId="0" fillId="0" borderId="54" xfId="0" applyNumberFormat="1" applyBorder="1" applyAlignment="1">
      <alignment horizontal="center"/>
    </xf>
    <xf numFmtId="2" fontId="0" fillId="0" borderId="5" xfId="0" applyNumberFormat="1" applyBorder="1" applyAlignment="1">
      <alignment horizontal="center"/>
    </xf>
    <xf numFmtId="2" fontId="0" fillId="0" borderId="38" xfId="0" applyNumberFormat="1" applyBorder="1" applyAlignment="1">
      <alignment horizontal="center"/>
    </xf>
    <xf numFmtId="2" fontId="0" fillId="0" borderId="54" xfId="0" applyNumberFormat="1" applyBorder="1" applyAlignment="1">
      <alignment horizontal="center" vertical="center"/>
    </xf>
    <xf numFmtId="2" fontId="0" fillId="0" borderId="38" xfId="0" applyNumberFormat="1" applyBorder="1" applyAlignment="1">
      <alignment horizontal="center" vertical="center"/>
    </xf>
    <xf numFmtId="0" fontId="12" fillId="0" borderId="56" xfId="0" applyFont="1" applyBorder="1" applyAlignment="1">
      <alignment horizontal="center"/>
    </xf>
    <xf numFmtId="0" fontId="12" fillId="0" borderId="53" xfId="0" applyFont="1" applyBorder="1" applyAlignment="1">
      <alignment horizontal="center"/>
    </xf>
    <xf numFmtId="0" fontId="12" fillId="0" borderId="49" xfId="0" applyFont="1" applyBorder="1"/>
    <xf numFmtId="0" fontId="12" fillId="0" borderId="20" xfId="0" applyFont="1" applyBorder="1" applyAlignment="1">
      <alignment horizontal="center" vertical="center" wrapText="1"/>
    </xf>
    <xf numFmtId="0" fontId="12" fillId="0" borderId="21" xfId="0" applyFont="1" applyBorder="1" applyAlignment="1">
      <alignment horizontal="center" vertical="center" wrapText="1"/>
    </xf>
    <xf numFmtId="0" fontId="12" fillId="0" borderId="66" xfId="0" applyFont="1" applyBorder="1" applyAlignment="1">
      <alignment horizontal="center"/>
    </xf>
    <xf numFmtId="0" fontId="12" fillId="0" borderId="19" xfId="0" applyFont="1" applyBorder="1" applyAlignment="1">
      <alignment horizontal="center" vertical="center"/>
    </xf>
    <xf numFmtId="2" fontId="12" fillId="0" borderId="21" xfId="0" applyNumberFormat="1" applyFont="1" applyBorder="1" applyAlignment="1">
      <alignment horizontal="center" vertical="center"/>
    </xf>
    <xf numFmtId="0" fontId="12" fillId="0" borderId="54" xfId="0" applyFont="1" applyBorder="1" applyAlignment="1">
      <alignment horizontal="center" vertical="center"/>
    </xf>
    <xf numFmtId="0" fontId="12" fillId="0" borderId="38" xfId="0" applyFont="1" applyBorder="1" applyAlignment="1">
      <alignment horizontal="center" vertical="center"/>
    </xf>
    <xf numFmtId="2" fontId="12" fillId="0" borderId="18" xfId="0" applyNumberFormat="1" applyFont="1" applyBorder="1" applyAlignment="1">
      <alignment horizontal="center"/>
    </xf>
    <xf numFmtId="2" fontId="12" fillId="0" borderId="21" xfId="0" applyNumberFormat="1" applyFont="1" applyBorder="1" applyAlignment="1">
      <alignment horizontal="center"/>
    </xf>
    <xf numFmtId="0" fontId="12" fillId="0" borderId="14"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9" xfId="0" applyFont="1" applyBorder="1" applyAlignment="1">
      <alignment horizontal="center" vertical="center" wrapText="1"/>
    </xf>
    <xf numFmtId="2" fontId="0" fillId="0" borderId="55" xfId="0" applyNumberFormat="1" applyBorder="1" applyAlignment="1">
      <alignment horizontal="center"/>
    </xf>
    <xf numFmtId="2" fontId="0" fillId="0" borderId="56" xfId="0" applyNumberFormat="1" applyBorder="1" applyAlignment="1">
      <alignment horizontal="center"/>
    </xf>
    <xf numFmtId="2" fontId="0" fillId="0" borderId="53" xfId="0" applyNumberFormat="1" applyBorder="1" applyAlignment="1">
      <alignment horizontal="center"/>
    </xf>
    <xf numFmtId="0" fontId="12" fillId="0" borderId="14" xfId="0" applyFont="1" applyBorder="1"/>
    <xf numFmtId="0" fontId="12" fillId="0" borderId="17" xfId="0" applyFont="1" applyBorder="1"/>
    <xf numFmtId="0" fontId="12" fillId="0" borderId="19" xfId="0" applyFont="1" applyBorder="1"/>
    <xf numFmtId="0" fontId="2" fillId="0" borderId="0" xfId="0" applyFont="1" applyAlignment="1">
      <alignment horizontal="center" vertical="center" wrapText="1"/>
    </xf>
    <xf numFmtId="2" fontId="0" fillId="0" borderId="64" xfId="0" applyNumberFormat="1" applyBorder="1" applyAlignment="1">
      <alignment horizontal="center"/>
    </xf>
    <xf numFmtId="2" fontId="0" fillId="0" borderId="65" xfId="0" applyNumberFormat="1" applyBorder="1" applyAlignment="1">
      <alignment horizontal="center"/>
    </xf>
    <xf numFmtId="2" fontId="0" fillId="0" borderId="66" xfId="0" applyNumberFormat="1" applyBorder="1" applyAlignment="1">
      <alignment horizontal="center"/>
    </xf>
    <xf numFmtId="0" fontId="0" fillId="0" borderId="11" xfId="0" applyBorder="1" applyAlignment="1">
      <alignment horizontal="center" vertical="center" wrapText="1"/>
    </xf>
    <xf numFmtId="0" fontId="0" fillId="0" borderId="13" xfId="0" applyBorder="1" applyAlignment="1">
      <alignment horizontal="center"/>
    </xf>
    <xf numFmtId="0" fontId="30" fillId="7" borderId="0" xfId="0" applyFont="1" applyFill="1" applyAlignment="1">
      <alignment horizontal="center" vertical="center"/>
    </xf>
    <xf numFmtId="0" fontId="0" fillId="0" borderId="24" xfId="0" applyBorder="1" applyAlignment="1">
      <alignment vertical="center" wrapText="1"/>
    </xf>
    <xf numFmtId="0" fontId="0" fillId="0" borderId="25" xfId="0" applyBorder="1" applyAlignment="1">
      <alignment vertical="center" wrapText="1"/>
    </xf>
    <xf numFmtId="0" fontId="0" fillId="0" borderId="25" xfId="0" applyBorder="1" applyAlignment="1">
      <alignment horizontal="center" vertical="center" wrapText="1"/>
    </xf>
    <xf numFmtId="0" fontId="0" fillId="0" borderId="26" xfId="0" applyBorder="1" applyAlignment="1">
      <alignment vertical="center" wrapText="1"/>
    </xf>
    <xf numFmtId="0" fontId="0" fillId="0" borderId="23" xfId="0" applyBorder="1" applyAlignment="1">
      <alignment horizontal="right"/>
    </xf>
    <xf numFmtId="0" fontId="14" fillId="9" borderId="6" xfId="0" applyFont="1" applyFill="1" applyBorder="1"/>
    <xf numFmtId="0" fontId="14" fillId="9" borderId="23" xfId="0" applyFont="1" applyFill="1" applyBorder="1"/>
    <xf numFmtId="0" fontId="14" fillId="9" borderId="8" xfId="0" applyFont="1" applyFill="1" applyBorder="1"/>
    <xf numFmtId="0" fontId="2" fillId="2" borderId="6" xfId="0" applyFont="1" applyFill="1" applyBorder="1" applyAlignment="1">
      <alignment vertical="center" wrapText="1"/>
    </xf>
    <xf numFmtId="0" fontId="2" fillId="2" borderId="23" xfId="0" applyFont="1" applyFill="1" applyBorder="1" applyAlignment="1">
      <alignment vertical="center" wrapText="1"/>
    </xf>
    <xf numFmtId="0" fontId="2" fillId="2" borderId="8" xfId="0" applyFont="1" applyFill="1" applyBorder="1" applyAlignment="1">
      <alignment vertical="center" wrapText="1"/>
    </xf>
    <xf numFmtId="0" fontId="2" fillId="2" borderId="23" xfId="0" applyFont="1" applyFill="1" applyBorder="1" applyAlignment="1">
      <alignment vertical="center"/>
    </xf>
    <xf numFmtId="0" fontId="0" fillId="0" borderId="25" xfId="0" applyBorder="1" applyAlignment="1">
      <alignment horizontal="right" vertical="center" wrapText="1"/>
    </xf>
    <xf numFmtId="0" fontId="2" fillId="2" borderId="23" xfId="0" applyFont="1" applyFill="1" applyBorder="1" applyAlignment="1">
      <alignment horizontal="center" vertical="center"/>
    </xf>
    <xf numFmtId="0" fontId="3" fillId="0" borderId="67" xfId="0" applyFont="1" applyBorder="1" applyAlignment="1">
      <alignment horizontal="center"/>
    </xf>
    <xf numFmtId="0" fontId="0" fillId="0" borderId="12" xfId="0" applyBorder="1"/>
    <xf numFmtId="0" fontId="0" fillId="0" borderId="13" xfId="0" applyBorder="1"/>
    <xf numFmtId="0" fontId="0" fillId="0" borderId="68" xfId="0" applyBorder="1" applyAlignment="1">
      <alignment horizontal="center"/>
    </xf>
    <xf numFmtId="0" fontId="0" fillId="0" borderId="15" xfId="0" applyBorder="1"/>
    <xf numFmtId="0" fontId="0" fillId="0" borderId="16" xfId="0" applyBorder="1"/>
    <xf numFmtId="0" fontId="30" fillId="40" borderId="67" xfId="0" applyFont="1" applyFill="1" applyBorder="1" applyAlignment="1">
      <alignment horizontal="center" vertical="center"/>
    </xf>
    <xf numFmtId="0" fontId="0" fillId="0" borderId="19" xfId="0" applyBorder="1"/>
    <xf numFmtId="0" fontId="0" fillId="0" borderId="20" xfId="0" applyBorder="1"/>
    <xf numFmtId="0" fontId="0" fillId="0" borderId="21" xfId="0" applyBorder="1"/>
    <xf numFmtId="0" fontId="3" fillId="0" borderId="3" xfId="0" applyFont="1" applyBorder="1" applyAlignment="1">
      <alignment horizontal="center" vertical="center"/>
    </xf>
    <xf numFmtId="0" fontId="0" fillId="0" borderId="8" xfId="0" applyBorder="1"/>
    <xf numFmtId="0" fontId="0" fillId="0" borderId="1" xfId="0" applyBorder="1"/>
    <xf numFmtId="0" fontId="0" fillId="0" borderId="9" xfId="0" applyBorder="1"/>
    <xf numFmtId="0" fontId="3" fillId="0" borderId="76" xfId="0" applyFont="1" applyBorder="1" applyAlignment="1">
      <alignment horizontal="center" vertical="center"/>
    </xf>
    <xf numFmtId="0" fontId="0" fillId="0" borderId="77" xfId="0" applyBorder="1"/>
    <xf numFmtId="0" fontId="0" fillId="0" borderId="78" xfId="0" applyBorder="1"/>
    <xf numFmtId="0" fontId="0" fillId="0" borderId="7" xfId="0" applyBorder="1"/>
    <xf numFmtId="0" fontId="0" fillId="0" borderId="10" xfId="0" applyBorder="1"/>
    <xf numFmtId="0" fontId="3" fillId="0" borderId="5" xfId="0" applyFont="1" applyBorder="1" applyAlignment="1">
      <alignment horizontal="center" vertical="center"/>
    </xf>
    <xf numFmtId="0" fontId="0" fillId="0" borderId="26" xfId="0" applyBorder="1"/>
    <xf numFmtId="0" fontId="25" fillId="31" borderId="2" xfId="8" applyBorder="1" applyAlignment="1">
      <alignment horizontal="center"/>
    </xf>
    <xf numFmtId="0" fontId="0" fillId="0" borderId="0" xfId="0"/>
    <xf numFmtId="0" fontId="0" fillId="30" borderId="81" xfId="0" applyFill="1" applyBorder="1" applyAlignment="1">
      <alignment horizontal="center"/>
    </xf>
    <xf numFmtId="0" fontId="0" fillId="23" borderId="79" xfId="0" applyFill="1" applyBorder="1" applyAlignment="1">
      <alignment horizontal="center"/>
    </xf>
    <xf numFmtId="0" fontId="0" fillId="0" borderId="57" xfId="0" applyBorder="1"/>
    <xf numFmtId="0" fontId="0" fillId="5" borderId="67" xfId="0" applyFill="1" applyBorder="1" applyAlignment="1">
      <alignment horizontal="center"/>
    </xf>
    <xf numFmtId="0" fontId="0" fillId="16" borderId="80" xfId="0" applyFill="1" applyBorder="1" applyAlignment="1">
      <alignment horizontal="center"/>
    </xf>
    <xf numFmtId="0" fontId="14" fillId="9" borderId="3" xfId="0" applyFont="1" applyFill="1" applyBorder="1" applyAlignment="1">
      <alignment horizontal="center"/>
    </xf>
    <xf numFmtId="0" fontId="0" fillId="0" borderId="23" xfId="0" applyBorder="1"/>
    <xf numFmtId="0" fontId="0" fillId="0" borderId="5" xfId="0" applyBorder="1" applyAlignment="1">
      <alignment horizontal="center"/>
    </xf>
    <xf numFmtId="0" fontId="0" fillId="0" borderId="25" xfId="0" applyBorder="1"/>
    <xf numFmtId="0" fontId="14" fillId="9" borderId="5" xfId="0" applyFont="1" applyFill="1" applyBorder="1" applyAlignment="1">
      <alignment horizontal="center"/>
    </xf>
    <xf numFmtId="0" fontId="3" fillId="0" borderId="5" xfId="0" applyFont="1" applyBorder="1" applyAlignment="1">
      <alignment horizontal="center"/>
    </xf>
    <xf numFmtId="0" fontId="14" fillId="9" borderId="51" xfId="0" applyFont="1" applyFill="1" applyBorder="1" applyAlignment="1">
      <alignment horizontal="center"/>
    </xf>
    <xf numFmtId="0" fontId="0" fillId="0" borderId="27" xfId="0" applyBorder="1"/>
    <xf numFmtId="0" fontId="3" fillId="0" borderId="23" xfId="0" applyFont="1" applyBorder="1" applyAlignment="1">
      <alignment horizontal="center"/>
    </xf>
    <xf numFmtId="0" fontId="3" fillId="26" borderId="5" xfId="0" applyFont="1" applyFill="1" applyBorder="1" applyAlignment="1">
      <alignment horizontal="center" vertical="center"/>
    </xf>
    <xf numFmtId="0" fontId="24" fillId="0" borderId="8" xfId="6" applyFont="1" applyBorder="1" applyAlignment="1">
      <alignment horizontal="left"/>
    </xf>
    <xf numFmtId="0" fontId="22" fillId="26" borderId="67" xfId="0" applyFont="1" applyFill="1" applyBorder="1" applyAlignment="1">
      <alignment horizontal="center" vertical="center"/>
    </xf>
    <xf numFmtId="0" fontId="24" fillId="0" borderId="9" xfId="6" applyFont="1" applyBorder="1" applyAlignment="1">
      <alignment horizontal="left"/>
    </xf>
    <xf numFmtId="0" fontId="24" fillId="0" borderId="10" xfId="6" applyFont="1" applyBorder="1" applyAlignment="1">
      <alignment horizontal="left"/>
    </xf>
    <xf numFmtId="0" fontId="3" fillId="0" borderId="0" xfId="0" applyFont="1" applyAlignment="1">
      <alignment horizontal="center" vertical="center"/>
    </xf>
    <xf numFmtId="0" fontId="14" fillId="3" borderId="3" xfId="0" applyFont="1" applyFill="1" applyBorder="1" applyAlignment="1">
      <alignment horizontal="center" vertical="center" wrapText="1"/>
    </xf>
    <xf numFmtId="0" fontId="3" fillId="4" borderId="3" xfId="0" applyFont="1" applyFill="1" applyBorder="1" applyAlignment="1">
      <alignment horizontal="center" vertical="center" wrapText="1"/>
    </xf>
    <xf numFmtId="164" fontId="0" fillId="0" borderId="3" xfId="0" applyNumberFormat="1" applyBorder="1" applyAlignment="1">
      <alignment horizontal="center" vertical="center" wrapText="1"/>
    </xf>
    <xf numFmtId="0" fontId="0" fillId="0" borderId="2" xfId="0" applyBorder="1"/>
    <xf numFmtId="0" fontId="0" fillId="3" borderId="82" xfId="0" applyFill="1" applyBorder="1" applyAlignment="1">
      <alignment horizontal="center" vertical="center" wrapText="1"/>
    </xf>
    <xf numFmtId="0" fontId="0" fillId="0" borderId="4" xfId="0" applyBorder="1"/>
    <xf numFmtId="0" fontId="0" fillId="0" borderId="82" xfId="0" applyBorder="1" applyAlignment="1">
      <alignment horizontal="center" vertical="center"/>
    </xf>
    <xf numFmtId="0" fontId="0" fillId="4" borderId="82" xfId="0" applyFill="1" applyBorder="1" applyAlignment="1">
      <alignment horizontal="center" vertical="center" wrapText="1"/>
    </xf>
    <xf numFmtId="0" fontId="0" fillId="0" borderId="3" xfId="0" applyBorder="1" applyAlignment="1">
      <alignment horizontal="center"/>
    </xf>
    <xf numFmtId="164" fontId="0" fillId="0" borderId="82" xfId="0" applyNumberFormat="1" applyBorder="1" applyAlignment="1">
      <alignment horizontal="center" vertical="center" wrapText="1"/>
    </xf>
    <xf numFmtId="0" fontId="0" fillId="4" borderId="3" xfId="0" applyFill="1" applyBorder="1" applyAlignment="1">
      <alignment horizontal="center" vertical="center" wrapText="1"/>
    </xf>
    <xf numFmtId="167" fontId="4" fillId="7" borderId="82" xfId="2" applyNumberFormat="1" applyFill="1" applyBorder="1" applyAlignment="1">
      <alignment horizontal="center" vertical="center" textRotation="90"/>
    </xf>
    <xf numFmtId="0" fontId="3" fillId="0" borderId="87" xfId="2" applyFont="1" applyBorder="1" applyAlignment="1">
      <alignment horizontal="center" vertical="center" wrapText="1"/>
    </xf>
    <xf numFmtId="0" fontId="3" fillId="0" borderId="81" xfId="2" applyFont="1" applyBorder="1" applyAlignment="1">
      <alignment horizontal="center" vertical="center" wrapText="1"/>
    </xf>
    <xf numFmtId="0" fontId="0" fillId="0" borderId="7" xfId="0" applyBorder="1" applyAlignment="1">
      <alignment horizontal="center" vertical="center" wrapText="1"/>
    </xf>
    <xf numFmtId="0" fontId="0" fillId="0" borderId="22" xfId="0" applyBorder="1"/>
    <xf numFmtId="0" fontId="14" fillId="9" borderId="67" xfId="2" applyFont="1" applyFill="1" applyBorder="1" applyAlignment="1">
      <alignment horizontal="center"/>
    </xf>
    <xf numFmtId="0" fontId="4" fillId="0" borderId="55" xfId="2" applyBorder="1" applyAlignment="1">
      <alignment horizontal="center" vertical="center" wrapText="1"/>
    </xf>
    <xf numFmtId="0" fontId="0" fillId="0" borderId="33" xfId="0" applyBorder="1"/>
    <xf numFmtId="0" fontId="0" fillId="0" borderId="35" xfId="0" applyBorder="1"/>
    <xf numFmtId="0" fontId="2" fillId="2" borderId="5" xfId="0" applyFont="1" applyFill="1" applyBorder="1" applyAlignment="1">
      <alignment horizontal="center" vertical="center" wrapText="1"/>
    </xf>
    <xf numFmtId="167" fontId="4" fillId="14" borderId="83" xfId="2" applyNumberFormat="1" applyFill="1" applyBorder="1" applyAlignment="1">
      <alignment horizontal="center" vertical="center" textRotation="90"/>
    </xf>
    <xf numFmtId="0" fontId="0" fillId="0" borderId="84" xfId="0" applyBorder="1"/>
    <xf numFmtId="167" fontId="6" fillId="0" borderId="3" xfId="2" applyNumberFormat="1" applyFont="1" applyBorder="1" applyAlignment="1">
      <alignment horizontal="center" vertical="center" wrapText="1"/>
    </xf>
    <xf numFmtId="0" fontId="3" fillId="0" borderId="85" xfId="2" applyFont="1" applyBorder="1" applyAlignment="1">
      <alignment horizontal="center" vertical="center" wrapText="1"/>
    </xf>
    <xf numFmtId="0" fontId="0" fillId="0" borderId="86" xfId="0" applyBorder="1"/>
    <xf numFmtId="0" fontId="0" fillId="0" borderId="82" xfId="0" applyBorder="1" applyAlignment="1">
      <alignment horizontal="center" vertical="center" wrapText="1"/>
    </xf>
    <xf numFmtId="0" fontId="0" fillId="0" borderId="3" xfId="0" applyBorder="1" applyAlignment="1">
      <alignment horizontal="center" vertical="center" wrapText="1"/>
    </xf>
    <xf numFmtId="167" fontId="6" fillId="0" borderId="83" xfId="2" applyNumberFormat="1" applyFont="1" applyBorder="1" applyAlignment="1">
      <alignment horizontal="center" vertical="center" wrapText="1"/>
    </xf>
    <xf numFmtId="0" fontId="0" fillId="3" borderId="2" xfId="0" applyFill="1" applyBorder="1" applyAlignment="1">
      <alignment horizontal="center" vertical="center" wrapText="1"/>
    </xf>
    <xf numFmtId="0" fontId="3" fillId="14" borderId="3" xfId="0" applyFont="1" applyFill="1" applyBorder="1" applyAlignment="1">
      <alignment horizontal="center" vertical="center" wrapText="1"/>
    </xf>
    <xf numFmtId="0" fontId="16" fillId="7" borderId="3" xfId="0" applyFont="1" applyFill="1" applyBorder="1" applyAlignment="1">
      <alignment horizontal="center" vertical="center" wrapText="1"/>
    </xf>
    <xf numFmtId="0" fontId="3" fillId="0" borderId="0" xfId="0" applyFont="1" applyAlignment="1">
      <alignment horizontal="center"/>
    </xf>
    <xf numFmtId="167" fontId="4" fillId="16" borderId="3" xfId="2" applyNumberFormat="1" applyFill="1" applyBorder="1" applyAlignment="1">
      <alignment horizontal="center" vertical="center" textRotation="90"/>
    </xf>
    <xf numFmtId="0" fontId="0" fillId="12" borderId="82" xfId="0" applyFill="1" applyBorder="1" applyAlignment="1">
      <alignment horizontal="center" vertical="center" wrapText="1"/>
    </xf>
    <xf numFmtId="167" fontId="4" fillId="7" borderId="3" xfId="2" applyNumberFormat="1" applyFill="1" applyBorder="1" applyAlignment="1">
      <alignment horizontal="center" vertical="center" textRotation="90"/>
    </xf>
    <xf numFmtId="0" fontId="0" fillId="0" borderId="90" xfId="0" applyBorder="1" applyAlignment="1">
      <alignment horizontal="center" vertical="center" wrapText="1"/>
    </xf>
    <xf numFmtId="167" fontId="4" fillId="8" borderId="83" xfId="2" applyNumberFormat="1" applyFill="1" applyBorder="1" applyAlignment="1">
      <alignment horizontal="center" vertical="center" textRotation="90"/>
    </xf>
    <xf numFmtId="0" fontId="0" fillId="10" borderId="82" xfId="0" applyFill="1" applyBorder="1" applyAlignment="1">
      <alignment horizontal="center" vertical="center" wrapText="1"/>
    </xf>
    <xf numFmtId="167" fontId="4" fillId="17" borderId="3" xfId="2" applyNumberFormat="1" applyFill="1" applyBorder="1" applyAlignment="1">
      <alignment horizontal="center" vertical="center" textRotation="90"/>
    </xf>
    <xf numFmtId="0" fontId="0" fillId="11" borderId="3" xfId="0" applyFill="1" applyBorder="1" applyAlignment="1">
      <alignment horizontal="center" vertical="center" wrapText="1"/>
    </xf>
    <xf numFmtId="0" fontId="0" fillId="0" borderId="24" xfId="0" applyBorder="1" applyAlignment="1">
      <alignment horizontal="center" vertical="center"/>
    </xf>
    <xf numFmtId="0" fontId="0" fillId="0" borderId="88" xfId="0" applyBorder="1"/>
    <xf numFmtId="0" fontId="0" fillId="0" borderId="89" xfId="0" applyBorder="1"/>
    <xf numFmtId="0" fontId="0" fillId="10" borderId="3" xfId="0" applyFill="1" applyBorder="1" applyAlignment="1">
      <alignment horizontal="center" vertical="center" wrapText="1"/>
    </xf>
    <xf numFmtId="0" fontId="0" fillId="11" borderId="82" xfId="0" applyFill="1" applyBorder="1" applyAlignment="1">
      <alignment horizontal="center" vertical="center" wrapText="1"/>
    </xf>
    <xf numFmtId="0" fontId="2" fillId="2" borderId="3" xfId="0" applyFont="1" applyFill="1" applyBorder="1" applyAlignment="1">
      <alignment horizontal="center" vertical="center" wrapText="1"/>
    </xf>
    <xf numFmtId="167" fontId="4" fillId="15" borderId="3" xfId="2" applyNumberFormat="1" applyFill="1" applyBorder="1" applyAlignment="1">
      <alignment horizontal="center" vertical="center" textRotation="90"/>
    </xf>
    <xf numFmtId="2" fontId="0" fillId="0" borderId="82" xfId="0" applyNumberFormat="1" applyBorder="1" applyAlignment="1">
      <alignment horizontal="center" vertical="center"/>
    </xf>
    <xf numFmtId="0" fontId="0" fillId="7" borderId="82" xfId="0" applyFill="1" applyBorder="1" applyAlignment="1">
      <alignment horizontal="center"/>
    </xf>
    <xf numFmtId="0" fontId="0" fillId="41" borderId="82" xfId="0" applyFill="1" applyBorder="1" applyAlignment="1">
      <alignment horizontal="center"/>
    </xf>
    <xf numFmtId="0" fontId="0" fillId="0" borderId="6" xfId="0" applyBorder="1" applyAlignment="1">
      <alignment horizontal="center" vertical="center" wrapText="1"/>
    </xf>
    <xf numFmtId="0" fontId="0" fillId="3" borderId="3" xfId="0" applyFill="1" applyBorder="1" applyAlignment="1">
      <alignment horizontal="center" vertical="center" wrapText="1"/>
    </xf>
    <xf numFmtId="0" fontId="0" fillId="16" borderId="82" xfId="0" applyFill="1" applyBorder="1" applyAlignment="1">
      <alignment horizontal="center"/>
    </xf>
    <xf numFmtId="0" fontId="4" fillId="0" borderId="75" xfId="2" applyBorder="1" applyAlignment="1">
      <alignment horizontal="center" vertical="center" wrapText="1"/>
    </xf>
    <xf numFmtId="0" fontId="0" fillId="0" borderId="17" xfId="0" applyBorder="1"/>
    <xf numFmtId="0" fontId="6" fillId="0" borderId="82" xfId="0" applyFont="1" applyBorder="1" applyAlignment="1">
      <alignment horizontal="center" vertical="center" wrapText="1"/>
    </xf>
    <xf numFmtId="0" fontId="14" fillId="3" borderId="5" xfId="0" applyFont="1" applyFill="1" applyBorder="1" applyAlignment="1">
      <alignment horizontal="center" vertical="center" wrapText="1"/>
    </xf>
    <xf numFmtId="0" fontId="3" fillId="10" borderId="5" xfId="0" applyFont="1" applyFill="1" applyBorder="1" applyAlignment="1">
      <alignment horizontal="center" vertical="center" wrapText="1"/>
    </xf>
    <xf numFmtId="0" fontId="17" fillId="0" borderId="0" xfId="0" applyFont="1" applyAlignment="1">
      <alignment horizontal="left"/>
    </xf>
    <xf numFmtId="0" fontId="3" fillId="12"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3" fillId="11" borderId="5" xfId="0" applyFont="1" applyFill="1" applyBorder="1" applyAlignment="1">
      <alignment horizontal="center" vertical="center" wrapText="1"/>
    </xf>
    <xf numFmtId="0" fontId="6" fillId="0" borderId="83" xfId="0" applyFont="1" applyBorder="1" applyAlignment="1">
      <alignment horizontal="center" vertical="center" wrapText="1"/>
    </xf>
    <xf numFmtId="0" fontId="17" fillId="0" borderId="15" xfId="0" applyFont="1" applyBorder="1" applyAlignment="1">
      <alignment horizontal="left"/>
    </xf>
    <xf numFmtId="0" fontId="2" fillId="2" borderId="2" xfId="0" applyFont="1" applyFill="1" applyBorder="1" applyAlignment="1">
      <alignment horizontal="center" vertical="center" wrapText="1"/>
    </xf>
    <xf numFmtId="0" fontId="0" fillId="0" borderId="2" xfId="0" applyBorder="1" applyAlignment="1">
      <alignment horizontal="center"/>
    </xf>
    <xf numFmtId="0" fontId="27" fillId="0" borderId="5" xfId="0" applyFont="1" applyBorder="1" applyAlignment="1">
      <alignment horizontal="center" vertical="center"/>
    </xf>
    <xf numFmtId="0" fontId="0" fillId="0" borderId="91" xfId="0" applyBorder="1" applyAlignment="1">
      <alignment horizontal="center"/>
    </xf>
    <xf numFmtId="0" fontId="17" fillId="0" borderId="76" xfId="0" applyFont="1" applyBorder="1" applyAlignment="1">
      <alignment horizontal="center" vertical="center" wrapText="1"/>
    </xf>
    <xf numFmtId="0" fontId="28" fillId="0" borderId="76" xfId="0" applyFont="1" applyBorder="1" applyAlignment="1">
      <alignment horizontal="center"/>
    </xf>
    <xf numFmtId="0" fontId="0" fillId="0" borderId="67" xfId="0" applyBorder="1" applyAlignment="1">
      <alignment horizontal="center" vertical="center"/>
    </xf>
    <xf numFmtId="0" fontId="28" fillId="0" borderId="5" xfId="0" applyFont="1" applyBorder="1" applyAlignment="1">
      <alignment horizontal="center"/>
    </xf>
    <xf numFmtId="0" fontId="17" fillId="0" borderId="76" xfId="0" applyFont="1" applyBorder="1" applyAlignment="1">
      <alignment horizontal="center" wrapText="1"/>
    </xf>
    <xf numFmtId="0" fontId="3" fillId="0" borderId="5" xfId="0" applyFont="1" applyBorder="1" applyAlignment="1">
      <alignment horizontal="center" vertical="center" wrapText="1"/>
    </xf>
    <xf numFmtId="0" fontId="0" fillId="0" borderId="92" xfId="0" applyBorder="1"/>
    <xf numFmtId="0" fontId="0" fillId="0" borderId="93" xfId="0" applyBorder="1"/>
    <xf numFmtId="0" fontId="3" fillId="0" borderId="90" xfId="0" applyFont="1" applyBorder="1" applyAlignment="1">
      <alignment horizontal="center" vertical="center" wrapText="1"/>
    </xf>
    <xf numFmtId="0" fontId="3" fillId="0" borderId="76" xfId="0" applyFont="1" applyBorder="1" applyAlignment="1">
      <alignment horizontal="center" vertical="center" wrapText="1"/>
    </xf>
    <xf numFmtId="0" fontId="3" fillId="0" borderId="5" xfId="0" applyFont="1" applyBorder="1" applyAlignment="1">
      <alignment horizontal="center" wrapText="1"/>
    </xf>
    <xf numFmtId="0" fontId="3" fillId="0" borderId="3" xfId="0" applyFont="1" applyBorder="1" applyAlignment="1">
      <alignment horizontal="center" vertical="center" wrapText="1"/>
    </xf>
    <xf numFmtId="0" fontId="12" fillId="18" borderId="64" xfId="0" applyFont="1" applyFill="1" applyBorder="1" applyAlignment="1">
      <alignment horizontal="center" vertical="center"/>
    </xf>
    <xf numFmtId="0" fontId="0" fillId="0" borderId="30" xfId="0" applyBorder="1"/>
    <xf numFmtId="0" fontId="12" fillId="0" borderId="29" xfId="0" applyFont="1" applyBorder="1" applyAlignment="1">
      <alignment horizontal="center" vertical="center" wrapText="1"/>
    </xf>
    <xf numFmtId="0" fontId="0" fillId="0" borderId="98" xfId="0" applyBorder="1"/>
    <xf numFmtId="0" fontId="0" fillId="11" borderId="31" xfId="0" applyFill="1" applyBorder="1" applyAlignment="1">
      <alignment horizontal="center" vertical="center" wrapText="1"/>
    </xf>
    <xf numFmtId="0" fontId="0" fillId="11" borderId="72" xfId="0" applyFill="1" applyBorder="1" applyAlignment="1">
      <alignment horizontal="center" vertical="center" wrapText="1"/>
    </xf>
    <xf numFmtId="0" fontId="0" fillId="0" borderId="71" xfId="0" applyBorder="1"/>
    <xf numFmtId="0" fontId="0" fillId="0" borderId="95" xfId="0" applyBorder="1" applyAlignment="1">
      <alignment horizontal="center"/>
    </xf>
    <xf numFmtId="0" fontId="12" fillId="0" borderId="0" xfId="0" applyFont="1"/>
    <xf numFmtId="0" fontId="0" fillId="0" borderId="18" xfId="0" applyBorder="1"/>
    <xf numFmtId="0" fontId="2" fillId="2" borderId="68" xfId="0" applyFont="1" applyFill="1" applyBorder="1" applyAlignment="1">
      <alignment horizontal="center" vertical="center" wrapText="1"/>
    </xf>
    <xf numFmtId="0" fontId="0" fillId="7" borderId="72" xfId="0" applyFill="1" applyBorder="1" applyAlignment="1">
      <alignment horizontal="center"/>
    </xf>
    <xf numFmtId="0" fontId="0" fillId="0" borderId="72" xfId="0" applyBorder="1" applyAlignment="1">
      <alignment horizontal="center" vertical="center"/>
    </xf>
    <xf numFmtId="0" fontId="0" fillId="0" borderId="48" xfId="0" applyBorder="1"/>
    <xf numFmtId="0" fontId="0" fillId="4" borderId="31" xfId="0" applyFill="1" applyBorder="1" applyAlignment="1">
      <alignment horizontal="center" vertical="center" wrapText="1"/>
    </xf>
    <xf numFmtId="0" fontId="12" fillId="0" borderId="68" xfId="0" applyFont="1" applyBorder="1" applyAlignment="1">
      <alignment horizontal="center"/>
    </xf>
    <xf numFmtId="0" fontId="0" fillId="16" borderId="72" xfId="0" applyFill="1" applyBorder="1" applyAlignment="1">
      <alignment horizontal="center"/>
    </xf>
    <xf numFmtId="0" fontId="0" fillId="12" borderId="54" xfId="0" applyFill="1" applyBorder="1" applyAlignment="1">
      <alignment horizontal="center" vertical="center" wrapText="1"/>
    </xf>
    <xf numFmtId="0" fontId="12" fillId="0" borderId="64" xfId="0" applyFont="1" applyBorder="1" applyAlignment="1">
      <alignment horizontal="center" vertical="center"/>
    </xf>
    <xf numFmtId="0" fontId="0" fillId="0" borderId="60" xfId="0" applyBorder="1"/>
    <xf numFmtId="0" fontId="0" fillId="12" borderId="55" xfId="0" applyFill="1" applyBorder="1" applyAlignment="1">
      <alignment horizontal="center" vertical="center" wrapText="1"/>
    </xf>
    <xf numFmtId="0" fontId="0" fillId="0" borderId="58" xfId="0" applyBorder="1" applyAlignment="1">
      <alignment horizontal="center" vertical="center"/>
    </xf>
    <xf numFmtId="0" fontId="0" fillId="12" borderId="72" xfId="0" applyFill="1" applyBorder="1" applyAlignment="1">
      <alignment horizontal="center" vertical="center" wrapText="1"/>
    </xf>
    <xf numFmtId="0" fontId="0" fillId="10" borderId="31" xfId="0" applyFill="1" applyBorder="1" applyAlignment="1">
      <alignment horizontal="center" vertical="center" wrapText="1"/>
    </xf>
    <xf numFmtId="0" fontId="12" fillId="0" borderId="68" xfId="0" applyFont="1" applyBorder="1" applyAlignment="1">
      <alignment horizontal="center" vertical="center"/>
    </xf>
    <xf numFmtId="0" fontId="12" fillId="16" borderId="64" xfId="0" applyFont="1" applyFill="1" applyBorder="1" applyAlignment="1">
      <alignment horizontal="center" vertical="center"/>
    </xf>
    <xf numFmtId="0" fontId="0" fillId="41" borderId="72" xfId="0" applyFill="1" applyBorder="1" applyAlignment="1">
      <alignment horizontal="center"/>
    </xf>
    <xf numFmtId="0" fontId="2" fillId="2" borderId="79" xfId="0" applyFont="1" applyFill="1" applyBorder="1" applyAlignment="1">
      <alignment horizontal="center" vertical="center" wrapText="1"/>
    </xf>
    <xf numFmtId="0" fontId="12" fillId="8" borderId="64" xfId="0" applyFont="1" applyFill="1" applyBorder="1" applyAlignment="1">
      <alignment horizontal="center" vertical="center"/>
    </xf>
    <xf numFmtId="0" fontId="0" fillId="3" borderId="31" xfId="0" applyFill="1" applyBorder="1" applyAlignment="1">
      <alignment horizontal="center" vertical="center" wrapText="1"/>
    </xf>
    <xf numFmtId="0" fontId="0" fillId="0" borderId="96" xfId="0" applyBorder="1" applyAlignment="1">
      <alignment horizontal="center"/>
    </xf>
    <xf numFmtId="0" fontId="0" fillId="0" borderId="95" xfId="0" applyBorder="1" applyAlignment="1">
      <alignment horizontal="center" vertical="center" wrapText="1"/>
    </xf>
    <xf numFmtId="0" fontId="0" fillId="12" borderId="74" xfId="0" applyFill="1" applyBorder="1" applyAlignment="1">
      <alignment horizontal="center" vertical="center" wrapText="1"/>
    </xf>
    <xf numFmtId="0" fontId="0" fillId="0" borderId="49" xfId="0" applyBorder="1"/>
    <xf numFmtId="0" fontId="12" fillId="7" borderId="64" xfId="0" applyFont="1" applyFill="1" applyBorder="1" applyAlignment="1">
      <alignment horizontal="center" vertical="center"/>
    </xf>
    <xf numFmtId="0" fontId="0" fillId="0" borderId="94" xfId="0" applyBorder="1" applyAlignment="1">
      <alignment horizontal="center" vertical="center" wrapText="1"/>
    </xf>
    <xf numFmtId="0" fontId="0" fillId="0" borderId="70" xfId="0" applyBorder="1"/>
    <xf numFmtId="0" fontId="0" fillId="41" borderId="58" xfId="0" applyFill="1" applyBorder="1" applyAlignment="1">
      <alignment horizontal="center"/>
    </xf>
    <xf numFmtId="0" fontId="0" fillId="0" borderId="73" xfId="0" applyBorder="1" applyAlignment="1">
      <alignment horizontal="center" vertical="center"/>
    </xf>
    <xf numFmtId="0" fontId="0" fillId="0" borderId="97" xfId="0" applyBorder="1"/>
    <xf numFmtId="0" fontId="0" fillId="0" borderId="59" xfId="0" applyBorder="1" applyAlignment="1">
      <alignment horizontal="center" vertical="center"/>
    </xf>
    <xf numFmtId="0" fontId="12" fillId="42" borderId="64" xfId="0" applyFont="1" applyFill="1" applyBorder="1" applyAlignment="1">
      <alignment horizontal="center" vertical="center" wrapText="1"/>
    </xf>
    <xf numFmtId="0" fontId="30" fillId="8" borderId="67" xfId="0" applyFont="1" applyFill="1" applyBorder="1" applyAlignment="1">
      <alignment horizontal="center" vertical="center"/>
    </xf>
    <xf numFmtId="0" fontId="29" fillId="0" borderId="9" xfId="6" applyFont="1" applyBorder="1" applyAlignment="1" applyProtection="1">
      <alignment horizontal="left"/>
      <protection locked="0"/>
    </xf>
    <xf numFmtId="0" fontId="0" fillId="0" borderId="9" xfId="0" applyBorder="1" applyProtection="1">
      <protection locked="0"/>
    </xf>
    <xf numFmtId="0" fontId="0" fillId="0" borderId="49" xfId="0" applyBorder="1" applyAlignment="1">
      <alignment horizontal="center" vertical="center"/>
    </xf>
    <xf numFmtId="0" fontId="29" fillId="0" borderId="9" xfId="6" applyFont="1" applyBorder="1" applyAlignment="1">
      <alignment horizontal="left"/>
    </xf>
    <xf numFmtId="0" fontId="30" fillId="7" borderId="67" xfId="0" applyFont="1" applyFill="1" applyBorder="1" applyAlignment="1">
      <alignment horizontal="center" vertical="center"/>
    </xf>
    <xf numFmtId="0" fontId="31" fillId="0" borderId="68" xfId="0" applyFont="1" applyBorder="1" applyAlignment="1">
      <alignment horizontal="center" vertical="center"/>
    </xf>
    <xf numFmtId="0" fontId="29" fillId="0" borderId="8" xfId="6" applyFont="1" applyBorder="1" applyAlignment="1">
      <alignment horizontal="left"/>
    </xf>
    <xf numFmtId="0" fontId="31" fillId="0" borderId="14" xfId="0" applyFont="1" applyBorder="1" applyAlignment="1">
      <alignment horizontal="center" vertical="center"/>
    </xf>
    <xf numFmtId="0" fontId="30" fillId="15" borderId="67" xfId="0" applyFont="1" applyFill="1" applyBorder="1" applyAlignment="1">
      <alignment horizontal="center" vertical="center"/>
    </xf>
    <xf numFmtId="0" fontId="30" fillId="37" borderId="67" xfId="0" applyFont="1" applyFill="1" applyBorder="1" applyAlignment="1">
      <alignment horizontal="center" vertical="center"/>
    </xf>
    <xf numFmtId="0" fontId="30" fillId="38" borderId="67" xfId="0" applyFont="1" applyFill="1" applyBorder="1" applyAlignment="1">
      <alignment horizontal="center" vertical="center"/>
    </xf>
    <xf numFmtId="0" fontId="0" fillId="25" borderId="0" xfId="0" applyFill="1" applyAlignment="1">
      <alignment horizontal="center"/>
    </xf>
    <xf numFmtId="0" fontId="0" fillId="25" borderId="14" xfId="0" applyFill="1" applyBorder="1" applyAlignment="1">
      <alignment horizontal="center"/>
    </xf>
    <xf numFmtId="0" fontId="0" fillId="25" borderId="19" xfId="0" applyFill="1" applyBorder="1" applyAlignment="1">
      <alignment horizontal="center"/>
    </xf>
    <xf numFmtId="0" fontId="0" fillId="25" borderId="17" xfId="0" applyFill="1" applyBorder="1" applyAlignment="1">
      <alignment horizontal="center"/>
    </xf>
    <xf numFmtId="0" fontId="0" fillId="25" borderId="12" xfId="0" applyFill="1" applyBorder="1" applyAlignment="1">
      <alignment horizontal="center"/>
    </xf>
    <xf numFmtId="0" fontId="31" fillId="25" borderId="68" xfId="0" applyFont="1" applyFill="1" applyBorder="1" applyAlignment="1">
      <alignment horizontal="center" vertical="center"/>
    </xf>
    <xf numFmtId="0" fontId="0" fillId="25" borderId="11" xfId="0" applyFill="1" applyBorder="1" applyAlignment="1">
      <alignment horizontal="center"/>
    </xf>
    <xf numFmtId="0" fontId="0" fillId="25" borderId="49" xfId="0" applyFill="1" applyBorder="1" applyAlignment="1">
      <alignment horizontal="center" vertical="center"/>
    </xf>
    <xf numFmtId="0" fontId="0" fillId="25" borderId="15" xfId="0" applyFill="1" applyBorder="1" applyAlignment="1">
      <alignment horizontal="center"/>
    </xf>
  </cellXfs>
  <cellStyles count="9">
    <cellStyle name="Calculation" xfId="3" builtinId="22"/>
    <cellStyle name="Good" xfId="4" builtinId="26"/>
    <cellStyle name="Input" xfId="5" builtinId="20"/>
    <cellStyle name="Neutral" xfId="8" builtinId="28"/>
    <cellStyle name="Normal" xfId="0" builtinId="0"/>
    <cellStyle name="Normal 2" xfId="6" xr:uid="{00000000-0005-0000-0000-000006000000}"/>
    <cellStyle name="Normal 3" xfId="2" xr:uid="{00000000-0005-0000-0000-000002000000}"/>
    <cellStyle name="Normal 4" xfId="7" xr:uid="{00000000-0005-0000-0000-000007000000}"/>
    <cellStyle name="Percent" xfId="1" builtinId="5"/>
  </cellStyles>
  <dxfs count="16">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92D050"/>
        </patternFill>
      </fill>
    </dxf>
    <dxf>
      <font>
        <color theme="0" tint="-0.14993743705557422"/>
      </font>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14993743705557422"/>
      </font>
    </dxf>
    <dxf>
      <font>
        <color theme="0" tint="-0.14993743705557422"/>
      </font>
    </dxf>
    <dxf>
      <font>
        <color theme="0" tint="-0.1499374370555742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300" b="0" i="0" strike="noStrike" kern="1200" spc="0" baseline="0">
                <a:solidFill>
                  <a:schemeClr val="tx1">
                    <a:lumMod val="65000"/>
                    <a:lumOff val="35000"/>
                  </a:schemeClr>
                </a:solidFill>
                <a:latin typeface="+mn-lt"/>
                <a:ea typeface="+mn-ea"/>
                <a:cs typeface="+mn-cs"/>
              </a:defRPr>
            </a:pPr>
            <a:r>
              <a:rPr lang="en-US" sz="1300"/>
              <a:t>Half-Tracker Moment Coefficients</a:t>
            </a:r>
            <a:r>
              <a:rPr lang="en-US" sz="1300" baseline="0"/>
              <a:t>: -30</a:t>
            </a:r>
            <a:r>
              <a:rPr lang="en-US" sz="1300" baseline="0">
                <a:latin typeface="Calibri" panose="020F0502020204030204" pitchFamily="34" charset="0"/>
                <a:cs typeface="Calibri" panose="020F0502020204030204" pitchFamily="34" charset="0"/>
              </a:rPr>
              <a:t>°</a:t>
            </a:r>
            <a:r>
              <a:rPr lang="en-US" sz="1300" baseline="0"/>
              <a:t> Tilt</a:t>
            </a:r>
            <a:endParaRPr lang="en-US" sz="1300"/>
          </a:p>
        </c:rich>
      </c:tx>
      <c:overlay val="0"/>
      <c:spPr>
        <a:noFill/>
        <a:ln>
          <a:noFill/>
          <a:prstDash val="solid"/>
        </a:ln>
      </c:spPr>
    </c:title>
    <c:autoTitleDeleted val="0"/>
    <c:plotArea>
      <c:layout>
        <c:manualLayout>
          <c:layoutTarget val="inner"/>
          <c:xMode val="edge"/>
          <c:yMode val="edge"/>
          <c:x val="0.12684973722042989"/>
          <c:y val="9.5058133136318348E-2"/>
          <c:w val="0.68055481881607083"/>
          <c:h val="0.75366819181016143"/>
        </c:manualLayout>
      </c:layout>
      <c:scatterChart>
        <c:scatterStyle val="smoothMarker"/>
        <c:varyColors val="0"/>
        <c:ser>
          <c:idx val="0"/>
          <c:order val="0"/>
          <c:tx>
            <c:v>Rows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0-CF76-4B2E-8820-81D1BEAC8265}"/>
            </c:ext>
          </c:extLst>
        </c:ser>
        <c:ser>
          <c:idx val="1"/>
          <c:order val="1"/>
          <c:tx>
            <c:v>Rows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-7.9982727048894933E-2</c:v>
              </c:pt>
              <c:pt idx="1">
                <c:v>-7.201816110636651E-2</c:v>
              </c:pt>
              <c:pt idx="2">
                <c:v>-6.4525024347147311E-2</c:v>
              </c:pt>
              <c:pt idx="3">
                <c:v>-6.0041209773566362E-2</c:v>
              </c:pt>
              <c:pt idx="4">
                <c:v>-5.6844473585415299E-2</c:v>
              </c:pt>
              <c:pt idx="5">
                <c:v>-5.317450647446248E-2</c:v>
              </c:pt>
              <c:pt idx="6">
                <c:v>-5.0366552346468967E-2</c:v>
              </c:pt>
              <c:pt idx="7">
                <c:v>-4.7243884776266648E-2</c:v>
              </c:pt>
              <c:pt idx="8">
                <c:v>-4.4252983712726152E-2</c:v>
              </c:pt>
              <c:pt idx="9">
                <c:v>-4.2514467848413201E-2</c:v>
              </c:pt>
              <c:pt idx="10">
                <c:v>-3.9677751688193992E-2</c:v>
              </c:pt>
              <c:pt idx="11">
                <c:v>-3.8665811658040943E-2</c:v>
              </c:pt>
              <c:pt idx="12">
                <c:v>-3.6685956971536683E-2</c:v>
              </c:pt>
              <c:pt idx="13">
                <c:v>-3.6275390281866188E-2</c:v>
              </c:pt>
              <c:pt idx="14">
                <c:v>-3.5260705165033837E-2</c:v>
              </c:pt>
            </c:numLit>
          </c:yVal>
          <c:smooth val="1"/>
          <c:extLst>
            <c:ext xmlns:c16="http://schemas.microsoft.com/office/drawing/2014/chart" uri="{C3380CC4-5D6E-409C-BE32-E72D297353CC}">
              <c16:uniqueId val="{00000001-CF76-4B2E-8820-81D1BEAC8265}"/>
            </c:ext>
          </c:extLst>
        </c:ser>
        <c:ser>
          <c:idx val="2"/>
          <c:order val="2"/>
          <c:tx>
            <c:v>Rows 2-3</c:v>
          </c:tx>
          <c:spPr>
            <a:ln w="25400" cap="rnd">
              <a:solidFill>
                <a:srgbClr val="FFC000"/>
              </a:solidFill>
              <a:prstDash val="solid"/>
              <a:round/>
            </a:ln>
          </c:spPr>
          <c:marker>
            <c:symbol val="diamond"/>
            <c:size val="5"/>
            <c:spPr>
              <a:solidFill>
                <a:srgbClr val="FFC000"/>
              </a:solidFill>
              <a:ln w="9525">
                <a:solidFill>
                  <a:srgbClr val="FFC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0</c:v>
              </c:pt>
              <c:pt idx="1">
                <c:v>0</c:v>
              </c:pt>
              <c:pt idx="2">
                <c:v>0</c:v>
              </c:pt>
              <c:pt idx="3">
                <c:v>7.1109742990420821E-4</c:v>
              </c:pt>
              <c:pt idx="4">
                <c:v>4.5912015041985879E-4</c:v>
              </c:pt>
              <c:pt idx="5">
                <c:v>3.25291913223835E-3</c:v>
              </c:pt>
              <c:pt idx="6">
                <c:v>4.6981410078712899E-3</c:v>
              </c:pt>
              <c:pt idx="7">
                <c:v>5.121786077519265E-3</c:v>
              </c:pt>
              <c:pt idx="8">
                <c:v>6.4902943561867578E-3</c:v>
              </c:pt>
              <c:pt idx="9">
                <c:v>6.5962739181276179E-3</c:v>
              </c:pt>
              <c:pt idx="10">
                <c:v>7.0617131224047737E-3</c:v>
              </c:pt>
              <c:pt idx="11">
                <c:v>6.7692088342101789E-3</c:v>
              </c:pt>
              <c:pt idx="12">
                <c:v>7.0770912036851744E-3</c:v>
              </c:pt>
              <c:pt idx="13">
                <c:v>7.7744178005009143E-3</c:v>
              </c:pt>
              <c:pt idx="14">
                <c:v>8.6047831241174381E-3</c:v>
              </c:pt>
            </c:numLit>
          </c:yVal>
          <c:smooth val="1"/>
          <c:extLst>
            <c:ext xmlns:c16="http://schemas.microsoft.com/office/drawing/2014/chart" uri="{C3380CC4-5D6E-409C-BE32-E72D297353CC}">
              <c16:uniqueId val="{00000002-CF76-4B2E-8820-81D1BEAC8265}"/>
            </c:ext>
          </c:extLst>
        </c:ser>
        <c:ser>
          <c:idx val="3"/>
          <c:order val="3"/>
          <c:tx>
            <c:v>Rows 2-3</c:v>
          </c:tx>
          <c:spPr>
            <a:ln w="25400" cap="rnd">
              <a:solidFill>
                <a:srgbClr val="FFC000"/>
              </a:solidFill>
              <a:prstDash val="solid"/>
              <a:round/>
            </a:ln>
          </c:spPr>
          <c:marker>
            <c:symbol val="diamond"/>
            <c:size val="5"/>
            <c:spPr>
              <a:solidFill>
                <a:srgbClr val="FFC000"/>
              </a:solidFill>
              <a:ln w="9525">
                <a:solidFill>
                  <a:srgbClr val="FFC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-3.082219477697341E-2</c:v>
              </c:pt>
              <c:pt idx="1">
                <c:v>-2.4424223720464811E-2</c:v>
              </c:pt>
              <c:pt idx="2">
                <c:v>-2.1791771400583759E-2</c:v>
              </c:pt>
              <c:pt idx="3">
                <c:v>-1.950458822214661E-2</c:v>
              </c:pt>
              <c:pt idx="4">
                <c:v>-1.6556001287691101E-2</c:v>
              </c:pt>
              <c:pt idx="5">
                <c:v>-1.5565332643616731E-2</c:v>
              </c:pt>
              <c:pt idx="6">
                <c:v>-1.5032730738833631E-2</c:v>
              </c:pt>
              <c:pt idx="7">
                <c:v>-1.404264617630766E-2</c:v>
              </c:pt>
              <c:pt idx="8">
                <c:v>-1.327738516635924E-2</c:v>
              </c:pt>
              <c:pt idx="9">
                <c:v>-1.286746045225794E-2</c:v>
              </c:pt>
              <c:pt idx="10">
                <c:v>-1.251593004459511E-2</c:v>
              </c:pt>
              <c:pt idx="11">
                <c:v>-1.271070410085267E-2</c:v>
              </c:pt>
              <c:pt idx="12">
                <c:v>-1.194321280198654E-2</c:v>
              </c:pt>
              <c:pt idx="13">
                <c:v>-1.2506795847037649E-2</c:v>
              </c:pt>
              <c:pt idx="14">
                <c:v>-1.156861759766924E-2</c:v>
              </c:pt>
            </c:numLit>
          </c:yVal>
          <c:smooth val="1"/>
          <c:extLst>
            <c:ext xmlns:c16="http://schemas.microsoft.com/office/drawing/2014/chart" uri="{C3380CC4-5D6E-409C-BE32-E72D297353CC}">
              <c16:uniqueId val="{00000003-CF76-4B2E-8820-81D1BEAC8265}"/>
            </c:ext>
          </c:extLst>
        </c:ser>
        <c:ser>
          <c:idx val="4"/>
          <c:order val="4"/>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3.230402751109273E-2</c:v>
              </c:pt>
              <c:pt idx="1">
                <c:v>2.512945618360829E-2</c:v>
              </c:pt>
              <c:pt idx="2">
                <c:v>1.98089799655745E-2</c:v>
              </c:pt>
              <c:pt idx="3">
                <c:v>1.790180169212998E-2</c:v>
              </c:pt>
              <c:pt idx="4">
                <c:v>1.350369005829301E-2</c:v>
              </c:pt>
              <c:pt idx="5">
                <c:v>1.133764020280106E-2</c:v>
              </c:pt>
              <c:pt idx="6">
                <c:v>9.2470725369338345E-3</c:v>
              </c:pt>
              <c:pt idx="7">
                <c:v>7.4441654277185403E-3</c:v>
              </c:pt>
              <c:pt idx="8">
                <c:v>6.7996348827681378E-3</c:v>
              </c:pt>
              <c:pt idx="9">
                <c:v>6.0498447946431364E-3</c:v>
              </c:pt>
              <c:pt idx="10">
                <c:v>5.8104700620757359E-3</c:v>
              </c:pt>
              <c:pt idx="11">
                <c:v>5.4986588935061094E-3</c:v>
              </c:pt>
              <c:pt idx="12">
                <c:v>4.4960759643039956E-3</c:v>
              </c:pt>
              <c:pt idx="13">
                <c:v>4.1943064101519897E-3</c:v>
              </c:pt>
              <c:pt idx="14">
                <c:v>4.0918611061651657E-3</c:v>
              </c:pt>
            </c:numLit>
          </c:yVal>
          <c:smooth val="1"/>
          <c:extLst>
            <c:ext xmlns:c16="http://schemas.microsoft.com/office/drawing/2014/chart" uri="{C3380CC4-5D6E-409C-BE32-E72D297353CC}">
              <c16:uniqueId val="{00000004-CF76-4B2E-8820-81D1BEAC8265}"/>
            </c:ext>
          </c:extLst>
        </c:ser>
        <c:ser>
          <c:idx val="5"/>
          <c:order val="5"/>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-2.7857783150135401E-2</c:v>
              </c:pt>
              <c:pt idx="1">
                <c:v>-2.1716070553375801E-2</c:v>
              </c:pt>
              <c:pt idx="2">
                <c:v>-1.65479446185837E-2</c:v>
              </c:pt>
              <c:pt idx="3">
                <c:v>-1.2390369808349899E-2</c:v>
              </c:pt>
              <c:pt idx="4">
                <c:v>-1.1617492530140969E-2</c:v>
              </c:pt>
              <c:pt idx="5">
                <c:v>-1.114065660809966E-2</c:v>
              </c:pt>
              <c:pt idx="6">
                <c:v>-1.288449793269191E-2</c:v>
              </c:pt>
              <c:pt idx="7">
                <c:v>-1.098823378026164E-2</c:v>
              </c:pt>
              <c:pt idx="8">
                <c:v>-1.136438657767961E-2</c:v>
              </c:pt>
              <c:pt idx="9">
                <c:v>-1.1406319625389299E-2</c:v>
              </c:pt>
              <c:pt idx="10">
                <c:v>-1.1710943779196041E-2</c:v>
              </c:pt>
              <c:pt idx="11">
                <c:v>-1.0870761385073291E-2</c:v>
              </c:pt>
              <c:pt idx="12">
                <c:v>-1.095742499869976E-2</c:v>
              </c:pt>
              <c:pt idx="13">
                <c:v>-1.072670343513555E-2</c:v>
              </c:pt>
              <c:pt idx="14">
                <c:v>-1.0885473850029611E-2</c:v>
              </c:pt>
            </c:numLit>
          </c:yVal>
          <c:smooth val="1"/>
          <c:extLst>
            <c:ext xmlns:c16="http://schemas.microsoft.com/office/drawing/2014/chart" uri="{C3380CC4-5D6E-409C-BE32-E72D297353CC}">
              <c16:uniqueId val="{00000005-CF76-4B2E-8820-81D1BEAC8265}"/>
            </c:ext>
          </c:extLst>
        </c:ser>
        <c:dLbls>
          <c:showLegendKey val="0"/>
          <c:showVal val="0"/>
          <c:showCatName val="0"/>
          <c:showSerName val="0"/>
          <c:showPercent val="0"/>
          <c:showBubbleSize val="0"/>
        </c:dLbls>
        <c:axId val="542063536"/>
        <c:axId val="542064320"/>
      </c:scatterChart>
      <c:valAx>
        <c:axId val="542063536"/>
        <c:scaling>
          <c:orientation val="minMax"/>
          <c:max val="160"/>
          <c:min val="0"/>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a:t>U (mph) [3sec at 10m]</a:t>
                </a:r>
                <a:endParaRPr lang="en-US" baseline="-25000"/>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2064320"/>
        <c:crossesAt val="-0.2"/>
        <c:crossBetween val="midCat"/>
        <c:majorUnit val="20"/>
      </c:valAx>
      <c:valAx>
        <c:axId val="542064320"/>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a:t>GC</a:t>
                </a:r>
                <a:r>
                  <a:rPr lang="en-US" baseline="-25000"/>
                  <a:t>M-Wing</a:t>
                </a:r>
              </a:p>
            </c:rich>
          </c:tx>
          <c:overlay val="0"/>
          <c:spPr>
            <a:noFill/>
            <a:ln>
              <a:noFill/>
              <a:prstDash val="solid"/>
            </a:ln>
          </c:spPr>
        </c:title>
        <c:numFmt formatCode="#,##0.00" sourceLinked="0"/>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2063536"/>
        <c:crossesAt val="0"/>
        <c:crossBetween val="midCat"/>
        <c:majorUnit val="5.000000000000001E-2"/>
      </c:valAx>
    </c:plotArea>
    <c:legend>
      <c:legendPos val="r"/>
      <c:legendEntry>
        <c:idx val="1"/>
        <c:delete val="1"/>
      </c:legendEntry>
      <c:legendEntry>
        <c:idx val="3"/>
        <c:delete val="1"/>
      </c:legendEntry>
      <c:legendEntry>
        <c:idx val="5"/>
        <c:delete val="1"/>
      </c:legendEntry>
      <c:overlay val="0"/>
      <c:spPr>
        <a:noFill/>
        <a:ln>
          <a:noFill/>
          <a:prstDash val="solid"/>
        </a:ln>
      </c:spPr>
      <c:txPr>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300" b="0" i="0" strike="noStrike" kern="1200" spc="0" baseline="0">
                <a:solidFill>
                  <a:schemeClr val="tx1">
                    <a:lumMod val="65000"/>
                    <a:lumOff val="35000"/>
                  </a:schemeClr>
                </a:solidFill>
                <a:latin typeface="+mn-lt"/>
                <a:ea typeface="+mn-ea"/>
                <a:cs typeface="+mn-cs"/>
              </a:defRPr>
            </a:pPr>
            <a:r>
              <a:rPr lang="en-US" sz="1300" b="0" i="0" strike="noStrike" baseline="0"/>
              <a:t>Half-Tracker</a:t>
            </a:r>
            <a:r>
              <a:rPr lang="en-US" sz="1300" b="0" i="0" baseline="0"/>
              <a:t> Moment Coefficients: -20</a:t>
            </a:r>
            <a:r>
              <a:rPr lang="en-US" sz="1300" b="0" i="0" strike="noStrike" baseline="0"/>
              <a:t>° Tilt</a:t>
            </a:r>
            <a:endParaRPr lang="en-US" sz="1300"/>
          </a:p>
        </c:rich>
      </c:tx>
      <c:overlay val="0"/>
      <c:spPr>
        <a:noFill/>
        <a:ln>
          <a:noFill/>
          <a:prstDash val="solid"/>
        </a:ln>
      </c:spPr>
    </c:title>
    <c:autoTitleDeleted val="0"/>
    <c:plotArea>
      <c:layout>
        <c:manualLayout>
          <c:layoutTarget val="inner"/>
          <c:xMode val="edge"/>
          <c:yMode val="edge"/>
          <c:x val="0.12684973722042989"/>
          <c:y val="9.5058133136318348E-2"/>
          <c:w val="0.68055481881607083"/>
          <c:h val="0.75366819181016143"/>
        </c:manualLayout>
      </c:layout>
      <c:scatterChart>
        <c:scatterStyle val="smoothMarker"/>
        <c:varyColors val="0"/>
        <c:ser>
          <c:idx val="0"/>
          <c:order val="0"/>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0-D195-4C39-9251-6E160E1B3711}"/>
            </c:ext>
          </c:extLst>
        </c:ser>
        <c:ser>
          <c:idx val="1"/>
          <c:order val="1"/>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-8.3840974446841118E-2</c:v>
              </c:pt>
              <c:pt idx="1">
                <c:v>-7.2493374664334184E-2</c:v>
              </c:pt>
              <c:pt idx="2">
                <c:v>-6.8585833748512071E-2</c:v>
              </c:pt>
              <c:pt idx="3">
                <c:v>-6.3371440508665777E-2</c:v>
              </c:pt>
              <c:pt idx="4">
                <c:v>-5.9708449216439162E-2</c:v>
              </c:pt>
              <c:pt idx="5">
                <c:v>-5.8815385382402809E-2</c:v>
              </c:pt>
              <c:pt idx="6">
                <c:v>-5.6969295662747887E-2</c:v>
              </c:pt>
              <c:pt idx="7">
                <c:v>-5.2258472011224348E-2</c:v>
              </c:pt>
              <c:pt idx="8">
                <c:v>-5.1035175086585963E-2</c:v>
              </c:pt>
              <c:pt idx="9">
                <c:v>-4.7035826729093448E-2</c:v>
              </c:pt>
              <c:pt idx="10">
                <c:v>-4.5734768180789608E-2</c:v>
              </c:pt>
              <c:pt idx="11">
                <c:v>-4.3892930363318289E-2</c:v>
              </c:pt>
              <c:pt idx="12">
                <c:v>-4.1702954597813813E-2</c:v>
              </c:pt>
              <c:pt idx="13">
                <c:v>-4.0760814747421208E-2</c:v>
              </c:pt>
              <c:pt idx="14">
                <c:v>-4.1553298467173198E-2</c:v>
              </c:pt>
            </c:numLit>
          </c:yVal>
          <c:smooth val="1"/>
          <c:extLst>
            <c:ext xmlns:c16="http://schemas.microsoft.com/office/drawing/2014/chart" uri="{C3380CC4-5D6E-409C-BE32-E72D297353CC}">
              <c16:uniqueId val="{00000001-D195-4C39-9251-6E160E1B3711}"/>
            </c:ext>
          </c:extLst>
        </c:ser>
        <c:ser>
          <c:idx val="2"/>
          <c:order val="2"/>
          <c:tx>
            <c:v>Rows 2-3</c:v>
          </c:tx>
          <c:spPr>
            <a:ln w="25400" cap="rnd">
              <a:solidFill>
                <a:srgbClr val="FFC000"/>
              </a:solidFill>
              <a:prstDash val="solid"/>
              <a:round/>
            </a:ln>
          </c:spPr>
          <c:marker>
            <c:symbol val="diamond"/>
            <c:size val="5"/>
            <c:spPr>
              <a:solidFill>
                <a:srgbClr val="FFC000"/>
              </a:solidFill>
              <a:ln w="9525">
                <a:solidFill>
                  <a:srgbClr val="FFC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0</c:v>
              </c:pt>
              <c:pt idx="1">
                <c:v>0</c:v>
              </c:pt>
              <c:pt idx="2">
                <c:v>0</c:v>
              </c:pt>
              <c:pt idx="3">
                <c:v>1.9043226764690911E-5</c:v>
              </c:pt>
              <c:pt idx="4">
                <c:v>9.2590898259083912E-4</c:v>
              </c:pt>
              <c:pt idx="5">
                <c:v>3.2323362288495792E-3</c:v>
              </c:pt>
              <c:pt idx="6">
                <c:v>4.3134158509305874E-3</c:v>
              </c:pt>
              <c:pt idx="7">
                <c:v>5.0737762363698346E-3</c:v>
              </c:pt>
              <c:pt idx="8">
                <c:v>6.3766595129550333E-3</c:v>
              </c:pt>
              <c:pt idx="9">
                <c:v>6.8310671442197851E-3</c:v>
              </c:pt>
              <c:pt idx="10">
                <c:v>8.1564175852515079E-3</c:v>
              </c:pt>
              <c:pt idx="11">
                <c:v>7.1310299761432909E-3</c:v>
              </c:pt>
              <c:pt idx="12">
                <c:v>7.7877989156298266E-3</c:v>
              </c:pt>
              <c:pt idx="13">
                <c:v>8.5890182750205917E-3</c:v>
              </c:pt>
              <c:pt idx="14">
                <c:v>8.9158171076318526E-3</c:v>
              </c:pt>
            </c:numLit>
          </c:yVal>
          <c:smooth val="1"/>
          <c:extLst>
            <c:ext xmlns:c16="http://schemas.microsoft.com/office/drawing/2014/chart" uri="{C3380CC4-5D6E-409C-BE32-E72D297353CC}">
              <c16:uniqueId val="{00000002-D195-4C39-9251-6E160E1B3711}"/>
            </c:ext>
          </c:extLst>
        </c:ser>
        <c:ser>
          <c:idx val="3"/>
          <c:order val="3"/>
          <c:tx>
            <c:v>Rows 2-3</c:v>
          </c:tx>
          <c:spPr>
            <a:ln w="25400" cap="rnd">
              <a:solidFill>
                <a:srgbClr val="FFC000"/>
              </a:solidFill>
              <a:prstDash val="solid"/>
              <a:round/>
            </a:ln>
          </c:spPr>
          <c:marker>
            <c:symbol val="diamond"/>
            <c:size val="5"/>
            <c:spPr>
              <a:solidFill>
                <a:srgbClr val="FFC000"/>
              </a:solidFill>
              <a:ln w="9525">
                <a:solidFill>
                  <a:srgbClr val="FFC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-3.2584896685459448E-2</c:v>
              </c:pt>
              <c:pt idx="1">
                <c:v>-2.6415661385333709E-2</c:v>
              </c:pt>
              <c:pt idx="2">
                <c:v>-2.4347173716484531E-2</c:v>
              </c:pt>
              <c:pt idx="3">
                <c:v>-2.1894020522718799E-2</c:v>
              </c:pt>
              <c:pt idx="4">
                <c:v>-2.034762277125552E-2</c:v>
              </c:pt>
              <c:pt idx="5">
                <c:v>-2.0000669806531691E-2</c:v>
              </c:pt>
              <c:pt idx="6">
                <c:v>-1.8284620747573851E-2</c:v>
              </c:pt>
              <c:pt idx="7">
                <c:v>-1.6204073810606189E-2</c:v>
              </c:pt>
              <c:pt idx="8">
                <c:v>-1.6106451646648031E-2</c:v>
              </c:pt>
              <c:pt idx="9">
                <c:v>-1.4501239807818049E-2</c:v>
              </c:pt>
              <c:pt idx="10">
                <c:v>-1.4368201988262779E-2</c:v>
              </c:pt>
              <c:pt idx="11">
                <c:v>-1.373180793250669E-2</c:v>
              </c:pt>
              <c:pt idx="12">
                <c:v>-1.366761588994609E-2</c:v>
              </c:pt>
              <c:pt idx="13">
                <c:v>-1.29771966420347E-2</c:v>
              </c:pt>
              <c:pt idx="14">
                <c:v>-1.3755525987716949E-2</c:v>
              </c:pt>
            </c:numLit>
          </c:yVal>
          <c:smooth val="1"/>
          <c:extLst>
            <c:ext xmlns:c16="http://schemas.microsoft.com/office/drawing/2014/chart" uri="{C3380CC4-5D6E-409C-BE32-E72D297353CC}">
              <c16:uniqueId val="{00000003-D195-4C39-9251-6E160E1B3711}"/>
            </c:ext>
          </c:extLst>
        </c:ser>
        <c:ser>
          <c:idx val="4"/>
          <c:order val="4"/>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1.014829935207235E-2</c:v>
              </c:pt>
              <c:pt idx="1">
                <c:v>6.6173932046008294E-3</c:v>
              </c:pt>
              <c:pt idx="2">
                <c:v>4.8248332676171582E-3</c:v>
              </c:pt>
              <c:pt idx="3">
                <c:v>2.631540562468386E-3</c:v>
              </c:pt>
              <c:pt idx="4">
                <c:v>2.9629039534174342E-3</c:v>
              </c:pt>
              <c:pt idx="5">
                <c:v>1.968965857868319E-3</c:v>
              </c:pt>
              <c:pt idx="6">
                <c:v>1.0506668589168561E-3</c:v>
              </c:pt>
              <c:pt idx="7">
                <c:v>3.5381013868702771E-4</c:v>
              </c:pt>
              <c:pt idx="8">
                <c:v>1.1401126032176659E-3</c:v>
              </c:pt>
              <c:pt idx="9">
                <c:v>9.0840108875515219E-4</c:v>
              </c:pt>
              <c:pt idx="10">
                <c:v>4.6131075346269679E-4</c:v>
              </c:pt>
              <c:pt idx="11">
                <c:v>5.4475841768798804E-4</c:v>
              </c:pt>
              <c:pt idx="12">
                <c:v>9.3271642378041613E-4</c:v>
              </c:pt>
              <c:pt idx="13">
                <c:v>9.3960830577254821E-4</c:v>
              </c:pt>
              <c:pt idx="14">
                <c:v>1.1859675202505931E-3</c:v>
              </c:pt>
            </c:numLit>
          </c:yVal>
          <c:smooth val="1"/>
          <c:extLst>
            <c:ext xmlns:c16="http://schemas.microsoft.com/office/drawing/2014/chart" uri="{C3380CC4-5D6E-409C-BE32-E72D297353CC}">
              <c16:uniqueId val="{00000004-D195-4C39-9251-6E160E1B3711}"/>
            </c:ext>
          </c:extLst>
        </c:ser>
        <c:ser>
          <c:idx val="5"/>
          <c:order val="5"/>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-2.11300287572674E-2</c:v>
              </c:pt>
              <c:pt idx="1">
                <c:v>-1.9711272353722799E-2</c:v>
              </c:pt>
              <c:pt idx="2">
                <c:v>-1.8800998729657899E-2</c:v>
              </c:pt>
              <c:pt idx="3">
                <c:v>-1.7471784118615798E-2</c:v>
              </c:pt>
              <c:pt idx="4">
                <c:v>-1.6029691820986999E-2</c:v>
              </c:pt>
              <c:pt idx="5">
                <c:v>-1.6364982073237229E-2</c:v>
              </c:pt>
              <c:pt idx="6">
                <c:v>-1.503631359827818E-2</c:v>
              </c:pt>
              <c:pt idx="7">
                <c:v>-1.3519265175696869E-2</c:v>
              </c:pt>
              <c:pt idx="8">
                <c:v>-1.33107959981983E-2</c:v>
              </c:pt>
              <c:pt idx="9">
                <c:v>-1.4244314379692509E-2</c:v>
              </c:pt>
              <c:pt idx="10">
                <c:v>-1.30502455460836E-2</c:v>
              </c:pt>
              <c:pt idx="11">
                <c:v>-1.2409424544099689E-2</c:v>
              </c:pt>
              <c:pt idx="12">
                <c:v>-1.3753115528774699E-2</c:v>
              </c:pt>
              <c:pt idx="13">
                <c:v>-1.2429334550675601E-2</c:v>
              </c:pt>
              <c:pt idx="14">
                <c:v>-1.2833665791308249E-2</c:v>
              </c:pt>
            </c:numLit>
          </c:yVal>
          <c:smooth val="1"/>
          <c:extLst>
            <c:ext xmlns:c16="http://schemas.microsoft.com/office/drawing/2014/chart" uri="{C3380CC4-5D6E-409C-BE32-E72D297353CC}">
              <c16:uniqueId val="{00000005-D195-4C39-9251-6E160E1B3711}"/>
            </c:ext>
          </c:extLst>
        </c:ser>
        <c:dLbls>
          <c:showLegendKey val="0"/>
          <c:showVal val="0"/>
          <c:showCatName val="0"/>
          <c:showSerName val="0"/>
          <c:showPercent val="0"/>
          <c:showBubbleSize val="0"/>
        </c:dLbls>
        <c:axId val="542062360"/>
        <c:axId val="542059616"/>
      </c:scatterChart>
      <c:valAx>
        <c:axId val="542062360"/>
        <c:scaling>
          <c:orientation val="minMax"/>
          <c:max val="160"/>
          <c:min val="0"/>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sz="1500" b="0" i="0" baseline="0"/>
                  <a:t>U (</a:t>
                </a:r>
                <a:r>
                  <a:rPr lang="en-US" sz="1500" b="0" i="0" strike="noStrike" baseline="0"/>
                  <a:t>mph</a:t>
                </a:r>
                <a:r>
                  <a:rPr lang="en-US" sz="1500" b="0" i="0" baseline="0"/>
                  <a:t>) </a:t>
                </a:r>
                <a:r>
                  <a:rPr lang="en-US" sz="1500" b="0" i="0" strike="noStrike" baseline="0"/>
                  <a:t>[3sec at 10m]</a:t>
                </a:r>
                <a:endParaRPr lang="en-US" sz="1500"/>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2059616"/>
        <c:crossesAt val="-0.2"/>
        <c:crossBetween val="midCat"/>
        <c:majorUnit val="20"/>
      </c:valAx>
      <c:valAx>
        <c:axId val="54205961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sz="1500" b="0" i="0" strike="noStrike" baseline="0"/>
                  <a:t>GC</a:t>
                </a:r>
                <a:r>
                  <a:rPr lang="en-US" sz="1500" b="0" i="0" strike="noStrike" baseline="-25000"/>
                  <a:t>M-Wing</a:t>
                </a:r>
                <a:endParaRPr lang="en-US" baseline="-25000"/>
              </a:p>
            </c:rich>
          </c:tx>
          <c:overlay val="0"/>
          <c:spPr>
            <a:noFill/>
            <a:ln>
              <a:noFill/>
              <a:prstDash val="solid"/>
            </a:ln>
          </c:spPr>
        </c:title>
        <c:numFmt formatCode="#,##0.00" sourceLinked="0"/>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2062360"/>
        <c:crossesAt val="0"/>
        <c:crossBetween val="midCat"/>
      </c:valAx>
    </c:plotArea>
    <c:legend>
      <c:legendPos val="r"/>
      <c:legendEntry>
        <c:idx val="1"/>
        <c:delete val="1"/>
      </c:legendEntry>
      <c:legendEntry>
        <c:idx val="3"/>
        <c:delete val="1"/>
      </c:legendEntry>
      <c:legendEntry>
        <c:idx val="5"/>
        <c:delete val="1"/>
      </c:legendEntry>
      <c:overlay val="0"/>
      <c:spPr>
        <a:noFill/>
        <a:ln>
          <a:noFill/>
          <a:prstDash val="solid"/>
        </a:ln>
      </c:spPr>
      <c:txPr>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300" b="0" i="0" strike="noStrike" kern="1200" spc="0" baseline="0">
                <a:solidFill>
                  <a:schemeClr val="tx1">
                    <a:lumMod val="65000"/>
                    <a:lumOff val="35000"/>
                  </a:schemeClr>
                </a:solidFill>
                <a:latin typeface="+mn-lt"/>
                <a:ea typeface="+mn-ea"/>
                <a:cs typeface="+mn-cs"/>
              </a:defRPr>
            </a:pPr>
            <a:r>
              <a:rPr lang="en-US" sz="1300" b="0" i="0" strike="noStrike" baseline="0"/>
              <a:t>Half-Tracker</a:t>
            </a:r>
            <a:r>
              <a:rPr lang="en-US" sz="1300" b="0" i="0" baseline="0"/>
              <a:t> Moment Coefficients: -10</a:t>
            </a:r>
            <a:r>
              <a:rPr lang="en-US" sz="1300" b="0" i="0" strike="noStrike" baseline="0"/>
              <a:t>° Tilt</a:t>
            </a:r>
            <a:endParaRPr lang="en-US" sz="1300"/>
          </a:p>
        </c:rich>
      </c:tx>
      <c:overlay val="0"/>
      <c:spPr>
        <a:noFill/>
        <a:ln>
          <a:noFill/>
          <a:prstDash val="solid"/>
        </a:ln>
      </c:spPr>
    </c:title>
    <c:autoTitleDeleted val="0"/>
    <c:plotArea>
      <c:layout>
        <c:manualLayout>
          <c:layoutTarget val="inner"/>
          <c:xMode val="edge"/>
          <c:yMode val="edge"/>
          <c:x val="0.12684973722042989"/>
          <c:y val="9.5058133136318348E-2"/>
          <c:w val="0.68055481881607083"/>
          <c:h val="0.75366819181016143"/>
        </c:manualLayout>
      </c:layout>
      <c:scatterChart>
        <c:scatterStyle val="smoothMarker"/>
        <c:varyColors val="0"/>
        <c:ser>
          <c:idx val="0"/>
          <c:order val="0"/>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0-3E27-44FA-956E-C1D4638900D4}"/>
            </c:ext>
          </c:extLst>
        </c:ser>
        <c:ser>
          <c:idx val="1"/>
          <c:order val="1"/>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-9.2989759724464147E-2</c:v>
              </c:pt>
              <c:pt idx="1">
                <c:v>-8.4379901851504013E-2</c:v>
              </c:pt>
              <c:pt idx="2">
                <c:v>-7.6001524052787373E-2</c:v>
              </c:pt>
              <c:pt idx="3">
                <c:v>-7.2302453362819832E-2</c:v>
              </c:pt>
              <c:pt idx="4">
                <c:v>-6.9263178152141447E-2</c:v>
              </c:pt>
              <c:pt idx="5">
                <c:v>-6.7536145392077321E-2</c:v>
              </c:pt>
              <c:pt idx="6">
                <c:v>-6.3252671195609941E-2</c:v>
              </c:pt>
              <c:pt idx="7">
                <c:v>-6.1540999731814788E-2</c:v>
              </c:pt>
              <c:pt idx="8">
                <c:v>-5.8429763650583402E-2</c:v>
              </c:pt>
              <c:pt idx="9">
                <c:v>-5.7078495747888418E-2</c:v>
              </c:pt>
              <c:pt idx="10">
                <c:v>-5.465724402885664E-2</c:v>
              </c:pt>
              <c:pt idx="11">
                <c:v>-5.1899425449159292E-2</c:v>
              </c:pt>
              <c:pt idx="12">
                <c:v>-4.8899522703707787E-2</c:v>
              </c:pt>
              <c:pt idx="13">
                <c:v>-4.8242504161994958E-2</c:v>
              </c:pt>
              <c:pt idx="14">
                <c:v>-4.590858519318386E-2</c:v>
              </c:pt>
            </c:numLit>
          </c:yVal>
          <c:smooth val="1"/>
          <c:extLst>
            <c:ext xmlns:c16="http://schemas.microsoft.com/office/drawing/2014/chart" uri="{C3380CC4-5D6E-409C-BE32-E72D297353CC}">
              <c16:uniqueId val="{00000001-3E27-44FA-956E-C1D4638900D4}"/>
            </c:ext>
          </c:extLst>
        </c:ser>
        <c:ser>
          <c:idx val="2"/>
          <c:order val="2"/>
          <c:tx>
            <c:v>Rows 2-3</c:v>
          </c:tx>
          <c:spPr>
            <a:ln w="25400" cap="rnd">
              <a:solidFill>
                <a:srgbClr val="FFC000"/>
              </a:solidFill>
              <a:prstDash val="solid"/>
              <a:round/>
            </a:ln>
          </c:spPr>
          <c:marker>
            <c:symbol val="diamond"/>
            <c:size val="5"/>
            <c:spPr>
              <a:solidFill>
                <a:srgbClr val="FFC000"/>
              </a:solidFill>
              <a:ln w="9525">
                <a:solidFill>
                  <a:srgbClr val="FFC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0</c:v>
              </c:pt>
              <c:pt idx="1">
                <c:v>0</c:v>
              </c:pt>
              <c:pt idx="2">
                <c:v>1.6446480677814111E-4</c:v>
              </c:pt>
              <c:pt idx="3">
                <c:v>2.596952988750983E-3</c:v>
              </c:pt>
              <c:pt idx="4">
                <c:v>3.9263889510305896E-3</c:v>
              </c:pt>
              <c:pt idx="5">
                <c:v>6.4925803648755677E-3</c:v>
              </c:pt>
              <c:pt idx="6">
                <c:v>8.5431177881957632E-3</c:v>
              </c:pt>
              <c:pt idx="7">
                <c:v>8.3256636528217711E-3</c:v>
              </c:pt>
              <c:pt idx="8">
                <c:v>9.1725251716014648E-3</c:v>
              </c:pt>
              <c:pt idx="9">
                <c:v>1.0067485501815609E-2</c:v>
              </c:pt>
              <c:pt idx="10">
                <c:v>1.055773108915601E-2</c:v>
              </c:pt>
              <c:pt idx="11">
                <c:v>1.1179126282464249E-2</c:v>
              </c:pt>
              <c:pt idx="12">
                <c:v>1.432882017454175E-2</c:v>
              </c:pt>
              <c:pt idx="13">
                <c:v>1.532131986975413E-2</c:v>
              </c:pt>
              <c:pt idx="14">
                <c:v>1.6020387755194251E-2</c:v>
              </c:pt>
            </c:numLit>
          </c:yVal>
          <c:smooth val="1"/>
          <c:extLst>
            <c:ext xmlns:c16="http://schemas.microsoft.com/office/drawing/2014/chart" uri="{C3380CC4-5D6E-409C-BE32-E72D297353CC}">
              <c16:uniqueId val="{00000002-3E27-44FA-956E-C1D4638900D4}"/>
            </c:ext>
          </c:extLst>
        </c:ser>
        <c:ser>
          <c:idx val="3"/>
          <c:order val="3"/>
          <c:tx>
            <c:v>Rows 2-3</c:v>
          </c:tx>
          <c:spPr>
            <a:ln w="25400" cap="rnd">
              <a:solidFill>
                <a:srgbClr val="FFC000"/>
              </a:solidFill>
              <a:prstDash val="solid"/>
              <a:round/>
            </a:ln>
          </c:spPr>
          <c:marker>
            <c:symbol val="diamond"/>
            <c:size val="5"/>
            <c:spPr>
              <a:solidFill>
                <a:srgbClr val="FFC000"/>
              </a:solidFill>
              <a:ln w="9525">
                <a:solidFill>
                  <a:schemeClr val="accent4"/>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-3.8935237153765928E-2</c:v>
              </c:pt>
              <c:pt idx="1">
                <c:v>-3.5526440305670391E-2</c:v>
              </c:pt>
              <c:pt idx="2">
                <c:v>-3.0831781657542971E-2</c:v>
              </c:pt>
              <c:pt idx="3">
                <c:v>-2.9523609349718798E-2</c:v>
              </c:pt>
              <c:pt idx="4">
                <c:v>-2.8045899492069169E-2</c:v>
              </c:pt>
              <c:pt idx="5">
                <c:v>-2.597807332242813E-2</c:v>
              </c:pt>
              <c:pt idx="6">
                <c:v>-2.4021425932098869E-2</c:v>
              </c:pt>
              <c:pt idx="7">
                <c:v>-2.348587431269307E-2</c:v>
              </c:pt>
              <c:pt idx="8">
                <c:v>-2.0824522323428549E-2</c:v>
              </c:pt>
              <c:pt idx="9">
                <c:v>-1.927402614399033E-2</c:v>
              </c:pt>
              <c:pt idx="10">
                <c:v>-1.9754371742398559E-2</c:v>
              </c:pt>
              <c:pt idx="11">
                <c:v>-1.7524691167645851E-2</c:v>
              </c:pt>
              <c:pt idx="12">
                <c:v>-1.702197271602458E-2</c:v>
              </c:pt>
              <c:pt idx="13">
                <c:v>-1.6148508035932731E-2</c:v>
              </c:pt>
              <c:pt idx="14">
                <c:v>-1.4963917364611921E-2</c:v>
              </c:pt>
            </c:numLit>
          </c:yVal>
          <c:smooth val="1"/>
          <c:extLst>
            <c:ext xmlns:c16="http://schemas.microsoft.com/office/drawing/2014/chart" uri="{C3380CC4-5D6E-409C-BE32-E72D297353CC}">
              <c16:uniqueId val="{00000003-3E27-44FA-956E-C1D4638900D4}"/>
            </c:ext>
          </c:extLst>
        </c:ser>
        <c:ser>
          <c:idx val="4"/>
          <c:order val="4"/>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4.5557908769216539E-2</c:v>
              </c:pt>
              <c:pt idx="1">
                <c:v>3.2262888153846973E-2</c:v>
              </c:pt>
              <c:pt idx="2">
                <c:v>2.4346776415127488E-2</c:v>
              </c:pt>
              <c:pt idx="3">
                <c:v>1.8797187933107931E-2</c:v>
              </c:pt>
              <c:pt idx="4">
                <c:v>1.515594380703141E-2</c:v>
              </c:pt>
              <c:pt idx="5">
                <c:v>1.2446756187324329E-2</c:v>
              </c:pt>
              <c:pt idx="6">
                <c:v>9.8663938492943894E-3</c:v>
              </c:pt>
              <c:pt idx="7">
                <c:v>8.30979627088386E-3</c:v>
              </c:pt>
              <c:pt idx="8">
                <c:v>6.1955251976704429E-3</c:v>
              </c:pt>
              <c:pt idx="9">
                <c:v>3.3569635923972121E-3</c:v>
              </c:pt>
              <c:pt idx="10">
                <c:v>2.4510395697201468E-3</c:v>
              </c:pt>
              <c:pt idx="11">
                <c:v>1.5347372149085721E-3</c:v>
              </c:pt>
              <c:pt idx="12">
                <c:v>1.7535904308074899E-3</c:v>
              </c:pt>
              <c:pt idx="13">
                <c:v>1.4462858626576439E-3</c:v>
              </c:pt>
              <c:pt idx="14">
                <c:v>1.266947759777432E-3</c:v>
              </c:pt>
            </c:numLit>
          </c:yVal>
          <c:smooth val="1"/>
          <c:extLst>
            <c:ext xmlns:c16="http://schemas.microsoft.com/office/drawing/2014/chart" uri="{C3380CC4-5D6E-409C-BE32-E72D297353CC}">
              <c16:uniqueId val="{00000004-3E27-44FA-956E-C1D4638900D4}"/>
            </c:ext>
          </c:extLst>
        </c:ser>
        <c:ser>
          <c:idx val="5"/>
          <c:order val="5"/>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-3.1347305750939601E-2</c:v>
              </c:pt>
              <c:pt idx="1">
                <c:v>-2.7872123522178899E-2</c:v>
              </c:pt>
              <c:pt idx="2">
                <c:v>-2.3098195148365998E-2</c:v>
              </c:pt>
              <c:pt idx="3">
                <c:v>-2.2331324974674101E-2</c:v>
              </c:pt>
              <c:pt idx="4">
                <c:v>-2.1990219655985299E-2</c:v>
              </c:pt>
              <c:pt idx="5">
                <c:v>-1.97273329766318E-2</c:v>
              </c:pt>
              <c:pt idx="6">
                <c:v>-1.8259159426683141E-2</c:v>
              </c:pt>
              <c:pt idx="7">
                <c:v>-1.7893150725083538E-2</c:v>
              </c:pt>
              <c:pt idx="8">
                <c:v>-1.668373525125582E-2</c:v>
              </c:pt>
              <c:pt idx="9">
                <c:v>-1.6380172627093369E-2</c:v>
              </c:pt>
              <c:pt idx="10">
                <c:v>-1.533292560294988E-2</c:v>
              </c:pt>
              <c:pt idx="11">
                <c:v>-1.487447643443565E-2</c:v>
              </c:pt>
              <c:pt idx="12">
                <c:v>-1.446490292613458E-2</c:v>
              </c:pt>
              <c:pt idx="13">
                <c:v>-1.6353164347660831E-2</c:v>
              </c:pt>
              <c:pt idx="14">
                <c:v>-1.4360643013656849E-2</c:v>
              </c:pt>
            </c:numLit>
          </c:yVal>
          <c:smooth val="1"/>
          <c:extLst>
            <c:ext xmlns:c16="http://schemas.microsoft.com/office/drawing/2014/chart" uri="{C3380CC4-5D6E-409C-BE32-E72D297353CC}">
              <c16:uniqueId val="{00000005-3E27-44FA-956E-C1D4638900D4}"/>
            </c:ext>
          </c:extLst>
        </c:ser>
        <c:dLbls>
          <c:showLegendKey val="0"/>
          <c:showVal val="0"/>
          <c:showCatName val="0"/>
          <c:showSerName val="0"/>
          <c:showPercent val="0"/>
          <c:showBubbleSize val="0"/>
        </c:dLbls>
        <c:axId val="542063144"/>
        <c:axId val="542063928"/>
      </c:scatterChart>
      <c:valAx>
        <c:axId val="542063144"/>
        <c:scaling>
          <c:orientation val="minMax"/>
          <c:max val="160"/>
          <c:min val="0"/>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a:t>U (</a:t>
                </a:r>
                <a:r>
                  <a:rPr lang="en-US" sz="1500" b="0" i="0" strike="noStrike" baseline="0"/>
                  <a:t>mph</a:t>
                </a:r>
                <a:r>
                  <a:rPr lang="en-US"/>
                  <a:t>) </a:t>
                </a:r>
                <a:r>
                  <a:rPr lang="en-US" sz="1500" b="0" i="0" strike="noStrike" baseline="0"/>
                  <a:t>[3sec at 10m]</a:t>
                </a:r>
                <a:endParaRPr lang="en-US" baseline="-25000"/>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2063928"/>
        <c:crossesAt val="-0.2"/>
        <c:crossBetween val="midCat"/>
        <c:majorUnit val="20"/>
      </c:valAx>
      <c:valAx>
        <c:axId val="542063928"/>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sz="1500" b="0" i="0" strike="noStrike" baseline="0"/>
                  <a:t>GC</a:t>
                </a:r>
                <a:r>
                  <a:rPr lang="en-US" sz="1500" b="0" i="0" strike="noStrike" baseline="-25000"/>
                  <a:t>M-Wing</a:t>
                </a:r>
                <a:endParaRPr lang="en-US" baseline="-25000"/>
              </a:p>
            </c:rich>
          </c:tx>
          <c:overlay val="0"/>
          <c:spPr>
            <a:noFill/>
            <a:ln>
              <a:noFill/>
              <a:prstDash val="solid"/>
            </a:ln>
          </c:spPr>
        </c:title>
        <c:numFmt formatCode="#,##0.00" sourceLinked="0"/>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2063144"/>
        <c:crossesAt val="0"/>
        <c:crossBetween val="midCat"/>
      </c:valAx>
    </c:plotArea>
    <c:legend>
      <c:legendPos val="r"/>
      <c:legendEntry>
        <c:idx val="1"/>
        <c:delete val="1"/>
      </c:legendEntry>
      <c:legendEntry>
        <c:idx val="3"/>
        <c:delete val="1"/>
      </c:legendEntry>
      <c:legendEntry>
        <c:idx val="5"/>
        <c:delete val="1"/>
      </c:legendEntry>
      <c:overlay val="0"/>
      <c:spPr>
        <a:noFill/>
        <a:ln>
          <a:noFill/>
          <a:prstDash val="solid"/>
        </a:ln>
      </c:spPr>
      <c:txPr>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300" b="0" i="0" strike="noStrike" kern="1200" spc="0" baseline="0">
                <a:solidFill>
                  <a:schemeClr val="tx1">
                    <a:lumMod val="65000"/>
                    <a:lumOff val="35000"/>
                  </a:schemeClr>
                </a:solidFill>
                <a:latin typeface="+mn-lt"/>
                <a:ea typeface="+mn-ea"/>
                <a:cs typeface="+mn-cs"/>
              </a:defRPr>
            </a:pPr>
            <a:r>
              <a:rPr lang="en-US" sz="1300" b="0" i="0" strike="noStrike" baseline="0"/>
              <a:t>Half-Tracker</a:t>
            </a:r>
            <a:r>
              <a:rPr lang="en-US" sz="1300" b="0" i="0" baseline="0"/>
              <a:t> Moment </a:t>
            </a:r>
            <a:r>
              <a:rPr lang="en-US" sz="1300" b="0" i="0" strike="noStrike" baseline="0"/>
              <a:t>Coefficients</a:t>
            </a:r>
            <a:r>
              <a:rPr lang="en-US" sz="1300" b="0" i="0" baseline="0"/>
              <a:t>: -5</a:t>
            </a:r>
            <a:r>
              <a:rPr lang="en-US" sz="1300" b="0" i="0" strike="noStrike" baseline="0"/>
              <a:t>° Tilt</a:t>
            </a:r>
            <a:endParaRPr lang="en-US" sz="1300"/>
          </a:p>
        </c:rich>
      </c:tx>
      <c:overlay val="0"/>
      <c:spPr>
        <a:noFill/>
        <a:ln>
          <a:noFill/>
          <a:prstDash val="solid"/>
        </a:ln>
      </c:spPr>
    </c:title>
    <c:autoTitleDeleted val="0"/>
    <c:plotArea>
      <c:layout>
        <c:manualLayout>
          <c:layoutTarget val="inner"/>
          <c:xMode val="edge"/>
          <c:yMode val="edge"/>
          <c:x val="0.12684973722042989"/>
          <c:y val="9.5058133136318348E-2"/>
          <c:w val="0.68055481881607083"/>
          <c:h val="0.75366819181016143"/>
        </c:manualLayout>
      </c:layout>
      <c:scatterChart>
        <c:scatterStyle val="smoothMarker"/>
        <c:varyColors val="0"/>
        <c:ser>
          <c:idx val="0"/>
          <c:order val="0"/>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0-B3DD-4AF8-8FAF-5262E9EF3A9F}"/>
            </c:ext>
          </c:extLst>
        </c:ser>
        <c:ser>
          <c:idx val="1"/>
          <c:order val="1"/>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-0.10642580251581189</c:v>
              </c:pt>
              <c:pt idx="1">
                <c:v>-9.2556836124836048E-2</c:v>
              </c:pt>
              <c:pt idx="2">
                <c:v>-8.3970882721576143E-2</c:v>
              </c:pt>
              <c:pt idx="3">
                <c:v>-7.8114913507800698E-2</c:v>
              </c:pt>
              <c:pt idx="4">
                <c:v>-7.227525262166147E-2</c:v>
              </c:pt>
              <c:pt idx="5">
                <c:v>-7.0713770219068633E-2</c:v>
              </c:pt>
              <c:pt idx="6">
                <c:v>-6.5708831787600397E-2</c:v>
              </c:pt>
              <c:pt idx="7">
                <c:v>-6.3878397353352767E-2</c:v>
              </c:pt>
              <c:pt idx="8">
                <c:v>-6.1334003626670477E-2</c:v>
              </c:pt>
              <c:pt idx="9">
                <c:v>-5.8897786894486603E-2</c:v>
              </c:pt>
              <c:pt idx="10">
                <c:v>-5.5502711158718111E-2</c:v>
              </c:pt>
              <c:pt idx="11">
                <c:v>-5.2982519426410038E-2</c:v>
              </c:pt>
              <c:pt idx="12">
                <c:v>-5.1184966875486362E-2</c:v>
              </c:pt>
              <c:pt idx="13">
                <c:v>-4.9069948885257848E-2</c:v>
              </c:pt>
              <c:pt idx="14">
                <c:v>-4.7290832783785187E-2</c:v>
              </c:pt>
            </c:numLit>
          </c:yVal>
          <c:smooth val="1"/>
          <c:extLst>
            <c:ext xmlns:c16="http://schemas.microsoft.com/office/drawing/2014/chart" uri="{C3380CC4-5D6E-409C-BE32-E72D297353CC}">
              <c16:uniqueId val="{00000001-B3DD-4AF8-8FAF-5262E9EF3A9F}"/>
            </c:ext>
          </c:extLst>
        </c:ser>
        <c:ser>
          <c:idx val="2"/>
          <c:order val="2"/>
          <c:tx>
            <c:v>Rows 2-3</c:v>
          </c:tx>
          <c:spPr>
            <a:ln w="25400" cap="rnd">
              <a:solidFill>
                <a:srgbClr val="FFC000"/>
              </a:solidFill>
              <a:prstDash val="solid"/>
              <a:round/>
            </a:ln>
          </c:spPr>
          <c:marker>
            <c:symbol val="diamond"/>
            <c:size val="5"/>
            <c:spPr>
              <a:solidFill>
                <a:srgbClr val="FFC000"/>
              </a:solidFill>
              <a:ln w="9525">
                <a:solidFill>
                  <a:srgbClr val="FFC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1.327572686786424E-2</c:v>
              </c:pt>
              <c:pt idx="1">
                <c:v>1.139666828539586E-2</c:v>
              </c:pt>
              <c:pt idx="2">
                <c:v>1.11765606373572E-2</c:v>
              </c:pt>
              <c:pt idx="3">
                <c:v>1.131869687594405E-2</c:v>
              </c:pt>
              <c:pt idx="4">
                <c:v>1.095998459345804E-2</c:v>
              </c:pt>
              <c:pt idx="5">
                <c:v>1.296159823686702E-2</c:v>
              </c:pt>
              <c:pt idx="6">
                <c:v>1.313729134429956E-2</c:v>
              </c:pt>
              <c:pt idx="7">
                <c:v>1.248193902495599E-2</c:v>
              </c:pt>
              <c:pt idx="8">
                <c:v>1.3347060972498621E-2</c:v>
              </c:pt>
              <c:pt idx="9">
                <c:v>1.355408804491103E-2</c:v>
              </c:pt>
              <c:pt idx="10">
                <c:v>1.533475623755275E-2</c:v>
              </c:pt>
              <c:pt idx="11">
                <c:v>1.613783519518289E-2</c:v>
              </c:pt>
              <c:pt idx="12">
                <c:v>1.654751255012174E-2</c:v>
              </c:pt>
              <c:pt idx="13">
                <c:v>1.628213253478708E-2</c:v>
              </c:pt>
              <c:pt idx="14">
                <c:v>1.6860159958082821E-2</c:v>
              </c:pt>
            </c:numLit>
          </c:yVal>
          <c:smooth val="1"/>
          <c:extLst>
            <c:ext xmlns:c16="http://schemas.microsoft.com/office/drawing/2014/chart" uri="{C3380CC4-5D6E-409C-BE32-E72D297353CC}">
              <c16:uniqueId val="{00000002-B3DD-4AF8-8FAF-5262E9EF3A9F}"/>
            </c:ext>
          </c:extLst>
        </c:ser>
        <c:ser>
          <c:idx val="3"/>
          <c:order val="3"/>
          <c:tx>
            <c:v>Rows 2-3</c:v>
          </c:tx>
          <c:spPr>
            <a:ln w="25400" cap="rnd">
              <a:solidFill>
                <a:srgbClr val="FFC000"/>
              </a:solidFill>
              <a:prstDash val="solid"/>
              <a:round/>
            </a:ln>
          </c:spPr>
          <c:marker>
            <c:symbol val="diamond"/>
            <c:size val="5"/>
            <c:spPr>
              <a:solidFill>
                <a:srgbClr val="FFC000"/>
              </a:solidFill>
              <a:ln w="9525">
                <a:solidFill>
                  <a:schemeClr val="accent4"/>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-4.6913305179107377E-2</c:v>
              </c:pt>
              <c:pt idx="1">
                <c:v>-3.978889691926802E-2</c:v>
              </c:pt>
              <c:pt idx="2">
                <c:v>-3.6199444756118693E-2</c:v>
              </c:pt>
              <c:pt idx="3">
                <c:v>-3.2362624706923609E-2</c:v>
              </c:pt>
              <c:pt idx="4">
                <c:v>-2.9919324081797039E-2</c:v>
              </c:pt>
              <c:pt idx="5">
                <c:v>-3.02058731919418E-2</c:v>
              </c:pt>
              <c:pt idx="6">
                <c:v>-2.7772247902298729E-2</c:v>
              </c:pt>
              <c:pt idx="7">
                <c:v>-2.5381868284652508E-2</c:v>
              </c:pt>
              <c:pt idx="8">
                <c:v>-2.3374661334925551E-2</c:v>
              </c:pt>
              <c:pt idx="9">
                <c:v>-2.1935354113032091E-2</c:v>
              </c:pt>
              <c:pt idx="10">
                <c:v>-2.0492452933501389E-2</c:v>
              </c:pt>
              <c:pt idx="11">
                <c:v>-1.9904276668013039E-2</c:v>
              </c:pt>
              <c:pt idx="12">
                <c:v>-1.7842566623870841E-2</c:v>
              </c:pt>
              <c:pt idx="13">
                <c:v>-1.691172183697608E-2</c:v>
              </c:pt>
              <c:pt idx="14">
                <c:v>-1.589375855165584E-2</c:v>
              </c:pt>
            </c:numLit>
          </c:yVal>
          <c:smooth val="1"/>
          <c:extLst>
            <c:ext xmlns:c16="http://schemas.microsoft.com/office/drawing/2014/chart" uri="{C3380CC4-5D6E-409C-BE32-E72D297353CC}">
              <c16:uniqueId val="{00000003-B3DD-4AF8-8FAF-5262E9EF3A9F}"/>
            </c:ext>
          </c:extLst>
        </c:ser>
        <c:ser>
          <c:idx val="4"/>
          <c:order val="4"/>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6.1781921447113817E-3</c:v>
              </c:pt>
              <c:pt idx="1">
                <c:v>5.7898113765638944E-3</c:v>
              </c:pt>
              <c:pt idx="2">
                <c:v>4.7278518318943892E-3</c:v>
              </c:pt>
              <c:pt idx="3">
                <c:v>1.7621530850820419E-3</c:v>
              </c:pt>
              <c:pt idx="4">
                <c:v>1.2882915012798151E-4</c:v>
              </c:pt>
              <c:pt idx="5">
                <c:v>0</c:v>
              </c:pt>
              <c:pt idx="6">
                <c:v>0</c:v>
              </c:pt>
              <c:pt idx="7">
                <c:v>0</c:v>
              </c:pt>
              <c:pt idx="8">
                <c:v>0</c:v>
              </c:pt>
              <c:pt idx="9">
                <c:v>0</c:v>
              </c:pt>
              <c:pt idx="10">
                <c:v>0</c:v>
              </c:pt>
              <c:pt idx="11">
                <c:v>0</c:v>
              </c:pt>
              <c:pt idx="12">
                <c:v>0</c:v>
              </c:pt>
              <c:pt idx="13">
                <c:v>1.19732325225449E-4</c:v>
              </c:pt>
              <c:pt idx="14">
                <c:v>0</c:v>
              </c:pt>
            </c:numLit>
          </c:yVal>
          <c:smooth val="1"/>
          <c:extLst>
            <c:ext xmlns:c16="http://schemas.microsoft.com/office/drawing/2014/chart" uri="{C3380CC4-5D6E-409C-BE32-E72D297353CC}">
              <c16:uniqueId val="{00000004-B3DD-4AF8-8FAF-5262E9EF3A9F}"/>
            </c:ext>
          </c:extLst>
        </c:ser>
        <c:ser>
          <c:idx val="5"/>
          <c:order val="5"/>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-3.2470086435479197E-2</c:v>
              </c:pt>
              <c:pt idx="1">
                <c:v>-3.1415754492796627E-2</c:v>
              </c:pt>
              <c:pt idx="2">
                <c:v>-3.0734051739955401E-2</c:v>
              </c:pt>
              <c:pt idx="3">
                <c:v>-3.05638587461315E-2</c:v>
              </c:pt>
              <c:pt idx="4">
                <c:v>-2.7210657693141599E-2</c:v>
              </c:pt>
              <c:pt idx="5">
                <c:v>-2.6057052852652599E-2</c:v>
              </c:pt>
              <c:pt idx="6">
                <c:v>-2.52431285336242E-2</c:v>
              </c:pt>
              <c:pt idx="7">
                <c:v>-2.27914587617884E-2</c:v>
              </c:pt>
              <c:pt idx="8">
                <c:v>-2.0856162883341699E-2</c:v>
              </c:pt>
              <c:pt idx="9">
                <c:v>-2.1200185827066152E-2</c:v>
              </c:pt>
              <c:pt idx="10">
                <c:v>-2.0083009278551899E-2</c:v>
              </c:pt>
              <c:pt idx="11">
                <c:v>-1.9255055678087E-2</c:v>
              </c:pt>
              <c:pt idx="12">
                <c:v>-1.8856607952588079E-2</c:v>
              </c:pt>
              <c:pt idx="13">
                <c:v>-1.8666656790730662E-2</c:v>
              </c:pt>
              <c:pt idx="14">
                <c:v>-1.7697766700508041E-2</c:v>
              </c:pt>
            </c:numLit>
          </c:yVal>
          <c:smooth val="1"/>
          <c:extLst>
            <c:ext xmlns:c16="http://schemas.microsoft.com/office/drawing/2014/chart" uri="{C3380CC4-5D6E-409C-BE32-E72D297353CC}">
              <c16:uniqueId val="{00000005-B3DD-4AF8-8FAF-5262E9EF3A9F}"/>
            </c:ext>
          </c:extLst>
        </c:ser>
        <c:dLbls>
          <c:showLegendKey val="0"/>
          <c:showVal val="0"/>
          <c:showCatName val="0"/>
          <c:showSerName val="0"/>
          <c:showPercent val="0"/>
          <c:showBubbleSize val="0"/>
        </c:dLbls>
        <c:axId val="544741080"/>
        <c:axId val="544742256"/>
      </c:scatterChart>
      <c:valAx>
        <c:axId val="544741080"/>
        <c:scaling>
          <c:orientation val="minMax"/>
          <c:max val="160"/>
          <c:min val="0"/>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a:t>U (</a:t>
                </a:r>
                <a:r>
                  <a:rPr lang="en-US" sz="1500" b="0" i="0" strike="noStrike" baseline="0"/>
                  <a:t>mph</a:t>
                </a:r>
                <a:r>
                  <a:rPr lang="en-US"/>
                  <a:t>) </a:t>
                </a:r>
                <a:r>
                  <a:rPr lang="en-US" sz="1500" b="0" i="0" strike="noStrike" baseline="0"/>
                  <a:t>[3sec at 10m]</a:t>
                </a:r>
                <a:endParaRPr lang="en-US" baseline="-25000"/>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2256"/>
        <c:crossesAt val="-0.2"/>
        <c:crossBetween val="midCat"/>
        <c:majorUnit val="20"/>
      </c:valAx>
      <c:valAx>
        <c:axId val="54474225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sz="1500" b="0" i="0" strike="noStrike" baseline="0"/>
                  <a:t>GC</a:t>
                </a:r>
                <a:r>
                  <a:rPr lang="en-US" sz="1500" b="0" i="0" strike="noStrike" baseline="-25000"/>
                  <a:t>M-Wing</a:t>
                </a:r>
                <a:endParaRPr lang="en-US" baseline="-25000"/>
              </a:p>
            </c:rich>
          </c:tx>
          <c:overlay val="0"/>
          <c:spPr>
            <a:noFill/>
            <a:ln>
              <a:noFill/>
              <a:prstDash val="solid"/>
            </a:ln>
          </c:spPr>
        </c:title>
        <c:numFmt formatCode="#,##0.00" sourceLinked="0"/>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1080"/>
        <c:crossesAt val="0"/>
        <c:crossBetween val="midCat"/>
      </c:valAx>
    </c:plotArea>
    <c:legend>
      <c:legendPos val="r"/>
      <c:legendEntry>
        <c:idx val="1"/>
        <c:delete val="1"/>
      </c:legendEntry>
      <c:legendEntry>
        <c:idx val="3"/>
        <c:delete val="1"/>
      </c:legendEntry>
      <c:legendEntry>
        <c:idx val="5"/>
        <c:delete val="1"/>
      </c:legendEntry>
      <c:overlay val="0"/>
      <c:spPr>
        <a:noFill/>
        <a:ln>
          <a:noFill/>
          <a:prstDash val="solid"/>
        </a:ln>
      </c:spPr>
      <c:txPr>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300" b="0" i="0" strike="noStrike" kern="1200" spc="0" baseline="0">
                <a:solidFill>
                  <a:schemeClr val="tx1">
                    <a:lumMod val="65000"/>
                    <a:lumOff val="35000"/>
                  </a:schemeClr>
                </a:solidFill>
                <a:latin typeface="+mn-lt"/>
                <a:ea typeface="+mn-ea"/>
                <a:cs typeface="+mn-cs"/>
              </a:defRPr>
            </a:pPr>
            <a:r>
              <a:rPr lang="en-US" sz="1300" b="0" i="0" strike="noStrike" baseline="0"/>
              <a:t>Half-Tracker</a:t>
            </a:r>
            <a:r>
              <a:rPr lang="en-US" sz="1300" b="0" i="0" baseline="0"/>
              <a:t> Moment </a:t>
            </a:r>
            <a:r>
              <a:rPr lang="en-US" sz="1300" b="0" i="0" strike="noStrike" baseline="0"/>
              <a:t>Coefficients</a:t>
            </a:r>
            <a:r>
              <a:rPr lang="en-US" sz="1300" b="0" i="0" baseline="0"/>
              <a:t>: 0</a:t>
            </a:r>
            <a:r>
              <a:rPr lang="en-US" sz="1300" b="0" i="0" strike="noStrike" baseline="0"/>
              <a:t>° Tilt</a:t>
            </a:r>
            <a:endParaRPr lang="en-US" sz="1300"/>
          </a:p>
        </c:rich>
      </c:tx>
      <c:overlay val="0"/>
      <c:spPr>
        <a:noFill/>
        <a:ln>
          <a:noFill/>
          <a:prstDash val="solid"/>
        </a:ln>
      </c:spPr>
    </c:title>
    <c:autoTitleDeleted val="0"/>
    <c:plotArea>
      <c:layout>
        <c:manualLayout>
          <c:layoutTarget val="inner"/>
          <c:xMode val="edge"/>
          <c:yMode val="edge"/>
          <c:x val="0.12684973722042989"/>
          <c:y val="9.5058133136318348E-2"/>
          <c:w val="0.68055481881607083"/>
          <c:h val="0.75366819181016143"/>
        </c:manualLayout>
      </c:layout>
      <c:scatterChart>
        <c:scatterStyle val="smoothMarker"/>
        <c:varyColors val="0"/>
        <c:ser>
          <c:idx val="0"/>
          <c:order val="0"/>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0-2C61-4DC3-8EA8-7484748D4985}"/>
            </c:ext>
          </c:extLst>
        </c:ser>
        <c:ser>
          <c:idx val="1"/>
          <c:order val="1"/>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-8.3388835939836078E-2</c:v>
              </c:pt>
              <c:pt idx="1">
                <c:v>-7.7769817817762307E-2</c:v>
              </c:pt>
              <c:pt idx="2">
                <c:v>-7.2429623652640926E-2</c:v>
              </c:pt>
              <c:pt idx="3">
                <c:v>-6.7615892737921554E-2</c:v>
              </c:pt>
              <c:pt idx="4">
                <c:v>-6.7245432828806045E-2</c:v>
              </c:pt>
              <c:pt idx="5">
                <c:v>-6.4628814307665983E-2</c:v>
              </c:pt>
              <c:pt idx="6">
                <c:v>-6.1615968165499142E-2</c:v>
              </c:pt>
              <c:pt idx="7">
                <c:v>-5.9268614574334862E-2</c:v>
              </c:pt>
              <c:pt idx="8">
                <c:v>-5.8005238885524453E-2</c:v>
              </c:pt>
              <c:pt idx="9">
                <c:v>-5.6127960357569999E-2</c:v>
              </c:pt>
              <c:pt idx="10">
                <c:v>-5.2703429063816733E-2</c:v>
              </c:pt>
              <c:pt idx="11">
                <c:v>-5.0623890833491059E-2</c:v>
              </c:pt>
              <c:pt idx="12">
                <c:v>-4.9758436034657259E-2</c:v>
              </c:pt>
              <c:pt idx="13">
                <c:v>-4.6336528463270042E-2</c:v>
              </c:pt>
              <c:pt idx="14">
                <c:v>-4.463312151115318E-2</c:v>
              </c:pt>
            </c:numLit>
          </c:yVal>
          <c:smooth val="1"/>
          <c:extLst>
            <c:ext xmlns:c16="http://schemas.microsoft.com/office/drawing/2014/chart" uri="{C3380CC4-5D6E-409C-BE32-E72D297353CC}">
              <c16:uniqueId val="{00000001-2C61-4DC3-8EA8-7484748D4985}"/>
            </c:ext>
          </c:extLst>
        </c:ser>
        <c:ser>
          <c:idx val="2"/>
          <c:order val="2"/>
          <c:tx>
            <c:v>Rows 2-3</c:v>
          </c:tx>
          <c:spPr>
            <a:ln w="25400" cap="rnd">
              <a:solidFill>
                <a:srgbClr val="FFC000"/>
              </a:solidFill>
              <a:prstDash val="solid"/>
              <a:round/>
            </a:ln>
          </c:spPr>
          <c:marker>
            <c:symbol val="diamond"/>
            <c:size val="5"/>
            <c:spPr>
              <a:solidFill>
                <a:srgbClr val="FFC000"/>
              </a:solidFill>
              <a:ln w="9525">
                <a:solidFill>
                  <a:srgbClr val="FFC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0</c:v>
              </c:pt>
              <c:pt idx="1">
                <c:v>0</c:v>
              </c:pt>
              <c:pt idx="2">
                <c:v>0</c:v>
              </c:pt>
              <c:pt idx="3">
                <c:v>0</c:v>
              </c:pt>
              <c:pt idx="4">
                <c:v>0</c:v>
              </c:pt>
              <c:pt idx="5">
                <c:v>0</c:v>
              </c:pt>
              <c:pt idx="6">
                <c:v>2.6106120541191929E-4</c:v>
              </c:pt>
              <c:pt idx="7">
                <c:v>0</c:v>
              </c:pt>
              <c:pt idx="8">
                <c:v>6.4600383908943013E-4</c:v>
              </c:pt>
              <c:pt idx="9">
                <c:v>3.6019832504930291E-3</c:v>
              </c:pt>
              <c:pt idx="10">
                <c:v>2.7378375239174089E-3</c:v>
              </c:pt>
              <c:pt idx="11">
                <c:v>3.9491766639637863E-3</c:v>
              </c:pt>
              <c:pt idx="12">
                <c:v>4.1381121843025049E-3</c:v>
              </c:pt>
              <c:pt idx="13">
                <c:v>5.2649469337210262E-3</c:v>
              </c:pt>
              <c:pt idx="14">
                <c:v>5.7175334103254693E-3</c:v>
              </c:pt>
            </c:numLit>
          </c:yVal>
          <c:smooth val="1"/>
          <c:extLst>
            <c:ext xmlns:c16="http://schemas.microsoft.com/office/drawing/2014/chart" uri="{C3380CC4-5D6E-409C-BE32-E72D297353CC}">
              <c16:uniqueId val="{00000002-2C61-4DC3-8EA8-7484748D4985}"/>
            </c:ext>
          </c:extLst>
        </c:ser>
        <c:ser>
          <c:idx val="3"/>
          <c:order val="3"/>
          <c:tx>
            <c:v>Rows 2-3</c:v>
          </c:tx>
          <c:spPr>
            <a:ln w="25400" cap="rnd">
              <a:solidFill>
                <a:srgbClr val="FFC000"/>
              </a:solidFill>
              <a:prstDash val="solid"/>
              <a:round/>
            </a:ln>
          </c:spPr>
          <c:marker>
            <c:symbol val="diamond"/>
            <c:size val="5"/>
            <c:spPr>
              <a:solidFill>
                <a:srgbClr val="FFC000"/>
              </a:solidFill>
              <a:ln w="9525">
                <a:solidFill>
                  <a:schemeClr val="accent4"/>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-5.0730661246895813E-2</c:v>
              </c:pt>
              <c:pt idx="1">
                <c:v>-5.3771720507986877E-2</c:v>
              </c:pt>
              <c:pt idx="2">
                <c:v>-5.0967407126192743E-2</c:v>
              </c:pt>
              <c:pt idx="3">
                <c:v>-4.7871126346564742E-2</c:v>
              </c:pt>
              <c:pt idx="4">
                <c:v>-4.7231047061679472E-2</c:v>
              </c:pt>
              <c:pt idx="5">
                <c:v>-4.8264985567599457E-2</c:v>
              </c:pt>
              <c:pt idx="6">
                <c:v>-4.5449912878997641E-2</c:v>
              </c:pt>
              <c:pt idx="7">
                <c:v>-4.2588586179347292E-2</c:v>
              </c:pt>
              <c:pt idx="8">
                <c:v>-4.1160105578058943E-2</c:v>
              </c:pt>
              <c:pt idx="9">
                <c:v>-3.9321297815338878E-2</c:v>
              </c:pt>
              <c:pt idx="10">
                <c:v>-3.5308845317809603E-2</c:v>
              </c:pt>
              <c:pt idx="11">
                <c:v>-3.4889228608505803E-2</c:v>
              </c:pt>
              <c:pt idx="12">
                <c:v>-3.3900518566677973E-2</c:v>
              </c:pt>
              <c:pt idx="13">
                <c:v>-3.3505793768482062E-2</c:v>
              </c:pt>
              <c:pt idx="14">
                <c:v>-3.1959606953885437E-2</c:v>
              </c:pt>
            </c:numLit>
          </c:yVal>
          <c:smooth val="1"/>
          <c:extLst>
            <c:ext xmlns:c16="http://schemas.microsoft.com/office/drawing/2014/chart" uri="{C3380CC4-5D6E-409C-BE32-E72D297353CC}">
              <c16:uniqueId val="{00000003-2C61-4DC3-8EA8-7484748D4985}"/>
            </c:ext>
          </c:extLst>
        </c:ser>
        <c:ser>
          <c:idx val="4"/>
          <c:order val="4"/>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4-2C61-4DC3-8EA8-7484748D4985}"/>
            </c:ext>
          </c:extLst>
        </c:ser>
        <c:ser>
          <c:idx val="5"/>
          <c:order val="5"/>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-7.2738253343689468E-2</c:v>
              </c:pt>
              <c:pt idx="1">
                <c:v>-6.3174260969342089E-2</c:v>
              </c:pt>
              <c:pt idx="2">
                <c:v>-5.7087219599221632E-2</c:v>
              </c:pt>
              <c:pt idx="3">
                <c:v>-4.7637103558333511E-2</c:v>
              </c:pt>
              <c:pt idx="4">
                <c:v>-4.5491158760809378E-2</c:v>
              </c:pt>
              <c:pt idx="5">
                <c:v>-4.400674088522729E-2</c:v>
              </c:pt>
              <c:pt idx="6">
                <c:v>-4.2125270525830323E-2</c:v>
              </c:pt>
              <c:pt idx="7">
                <c:v>-3.8430282492290968E-2</c:v>
              </c:pt>
              <c:pt idx="8">
                <c:v>-3.8830962904339413E-2</c:v>
              </c:pt>
              <c:pt idx="9">
                <c:v>-3.7908287558043888E-2</c:v>
              </c:pt>
              <c:pt idx="10">
                <c:v>-3.7384668695768453E-2</c:v>
              </c:pt>
              <c:pt idx="11">
                <c:v>-3.5592801200458518E-2</c:v>
              </c:pt>
              <c:pt idx="12">
                <c:v>-3.5203014766703317E-2</c:v>
              </c:pt>
              <c:pt idx="13">
                <c:v>-3.4083407581694647E-2</c:v>
              </c:pt>
              <c:pt idx="14">
                <c:v>-3.1873339566927908E-2</c:v>
              </c:pt>
            </c:numLit>
          </c:yVal>
          <c:smooth val="1"/>
          <c:extLst>
            <c:ext xmlns:c16="http://schemas.microsoft.com/office/drawing/2014/chart" uri="{C3380CC4-5D6E-409C-BE32-E72D297353CC}">
              <c16:uniqueId val="{00000005-2C61-4DC3-8EA8-7484748D4985}"/>
            </c:ext>
          </c:extLst>
        </c:ser>
        <c:dLbls>
          <c:showLegendKey val="0"/>
          <c:showVal val="0"/>
          <c:showCatName val="0"/>
          <c:showSerName val="0"/>
          <c:showPercent val="0"/>
          <c:showBubbleSize val="0"/>
        </c:dLbls>
        <c:axId val="544745000"/>
        <c:axId val="544743040"/>
      </c:scatterChart>
      <c:valAx>
        <c:axId val="544745000"/>
        <c:scaling>
          <c:orientation val="minMax"/>
          <c:max val="160"/>
          <c:min val="0"/>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a:t>U (</a:t>
                </a:r>
                <a:r>
                  <a:rPr lang="en-US" sz="1500" b="0" i="0" strike="noStrike" baseline="0"/>
                  <a:t>mph</a:t>
                </a:r>
                <a:r>
                  <a:rPr lang="en-US"/>
                  <a:t>) </a:t>
                </a:r>
                <a:r>
                  <a:rPr lang="en-US" sz="1500" b="0" i="0" strike="noStrike" baseline="0"/>
                  <a:t>[3sec at 10m]</a:t>
                </a:r>
                <a:endParaRPr lang="en-US" baseline="-25000"/>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3040"/>
        <c:crossesAt val="-0.2"/>
        <c:crossBetween val="midCat"/>
        <c:majorUnit val="20"/>
      </c:valAx>
      <c:valAx>
        <c:axId val="544743040"/>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sz="1500" b="0" i="0" strike="noStrike" baseline="0"/>
                  <a:t>GC</a:t>
                </a:r>
                <a:r>
                  <a:rPr lang="en-US" sz="1500" b="0" i="0" strike="noStrike" baseline="-25000"/>
                  <a:t>M-Wing</a:t>
                </a:r>
                <a:endParaRPr lang="en-US" baseline="-25000"/>
              </a:p>
            </c:rich>
          </c:tx>
          <c:overlay val="0"/>
          <c:spPr>
            <a:noFill/>
            <a:ln>
              <a:noFill/>
              <a:prstDash val="solid"/>
            </a:ln>
          </c:spPr>
        </c:title>
        <c:numFmt formatCode="#,##0.00" sourceLinked="0"/>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5000"/>
        <c:crossesAt val="0"/>
        <c:crossBetween val="midCat"/>
      </c:valAx>
    </c:plotArea>
    <c:legend>
      <c:legendPos val="r"/>
      <c:legendEntry>
        <c:idx val="1"/>
        <c:delete val="1"/>
      </c:legendEntry>
      <c:legendEntry>
        <c:idx val="3"/>
        <c:delete val="1"/>
      </c:legendEntry>
      <c:legendEntry>
        <c:idx val="5"/>
        <c:delete val="1"/>
      </c:legendEntry>
      <c:overlay val="0"/>
      <c:spPr>
        <a:noFill/>
        <a:ln>
          <a:noFill/>
          <a:prstDash val="solid"/>
        </a:ln>
      </c:spPr>
      <c:txPr>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300" b="0" i="0" strike="noStrike" kern="1200" spc="0" baseline="0">
                <a:solidFill>
                  <a:schemeClr val="tx1">
                    <a:lumMod val="65000"/>
                    <a:lumOff val="35000"/>
                  </a:schemeClr>
                </a:solidFill>
                <a:latin typeface="+mn-lt"/>
                <a:ea typeface="+mn-ea"/>
                <a:cs typeface="+mn-cs"/>
              </a:defRPr>
            </a:pPr>
            <a:r>
              <a:rPr lang="en-US" sz="1300" b="0" i="0" strike="noStrike" baseline="0"/>
              <a:t>Half-Tracker</a:t>
            </a:r>
            <a:r>
              <a:rPr lang="en-US" sz="1300" b="0" i="0" baseline="0"/>
              <a:t> Moment </a:t>
            </a:r>
            <a:r>
              <a:rPr lang="en-US" sz="1300" b="0" i="0" strike="noStrike" baseline="0"/>
              <a:t>Coefficients</a:t>
            </a:r>
            <a:r>
              <a:rPr lang="en-US" sz="1300" b="0" i="0" baseline="0"/>
              <a:t>: 5</a:t>
            </a:r>
            <a:r>
              <a:rPr lang="en-US" sz="1300" b="0" i="0" strike="noStrike" baseline="0"/>
              <a:t>° Tilt</a:t>
            </a:r>
            <a:endParaRPr lang="en-US" sz="1300"/>
          </a:p>
        </c:rich>
      </c:tx>
      <c:overlay val="0"/>
      <c:spPr>
        <a:noFill/>
        <a:ln>
          <a:noFill/>
          <a:prstDash val="solid"/>
        </a:ln>
      </c:spPr>
    </c:title>
    <c:autoTitleDeleted val="0"/>
    <c:plotArea>
      <c:layout>
        <c:manualLayout>
          <c:layoutTarget val="inner"/>
          <c:xMode val="edge"/>
          <c:yMode val="edge"/>
          <c:x val="0.12684973722042989"/>
          <c:y val="9.5058133136318348E-2"/>
          <c:w val="0.68055481881607083"/>
          <c:h val="0.75366819181016143"/>
        </c:manualLayout>
      </c:layout>
      <c:scatterChart>
        <c:scatterStyle val="smoothMarker"/>
        <c:varyColors val="0"/>
        <c:ser>
          <c:idx val="0"/>
          <c:order val="0"/>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0-26C4-404A-B275-321B03E26790}"/>
            </c:ext>
          </c:extLst>
        </c:ser>
        <c:ser>
          <c:idx val="1"/>
          <c:order val="1"/>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-7.8571138671091764E-2</c:v>
              </c:pt>
              <c:pt idx="1">
                <c:v>-7.2581513473943524E-2</c:v>
              </c:pt>
              <c:pt idx="2">
                <c:v>-7.2580766136743913E-2</c:v>
              </c:pt>
              <c:pt idx="3">
                <c:v>-6.7277118223498536E-2</c:v>
              </c:pt>
              <c:pt idx="4">
                <c:v>-6.4719665175133403E-2</c:v>
              </c:pt>
              <c:pt idx="5">
                <c:v>-6.3395598871340927E-2</c:v>
              </c:pt>
              <c:pt idx="6">
                <c:v>-6.1927202643555702E-2</c:v>
              </c:pt>
              <c:pt idx="7">
                <c:v>-5.8401117016901448E-2</c:v>
              </c:pt>
              <c:pt idx="8">
                <c:v>-5.6505463979523378E-2</c:v>
              </c:pt>
              <c:pt idx="9">
                <c:v>-5.567607420362225E-2</c:v>
              </c:pt>
              <c:pt idx="10">
                <c:v>-5.3328621678534263E-2</c:v>
              </c:pt>
              <c:pt idx="11">
                <c:v>-5.0591047137171052E-2</c:v>
              </c:pt>
              <c:pt idx="12">
                <c:v>-4.7426845848605688E-2</c:v>
              </c:pt>
              <c:pt idx="13">
                <c:v>-4.557658204104878E-2</c:v>
              </c:pt>
              <c:pt idx="14">
                <c:v>-4.3420378719565417E-2</c:v>
              </c:pt>
            </c:numLit>
          </c:yVal>
          <c:smooth val="1"/>
          <c:extLst>
            <c:ext xmlns:c16="http://schemas.microsoft.com/office/drawing/2014/chart" uri="{C3380CC4-5D6E-409C-BE32-E72D297353CC}">
              <c16:uniqueId val="{00000001-26C4-404A-B275-321B03E26790}"/>
            </c:ext>
          </c:extLst>
        </c:ser>
        <c:ser>
          <c:idx val="2"/>
          <c:order val="2"/>
          <c:tx>
            <c:v>Rows 2-3</c:v>
          </c:tx>
          <c:spPr>
            <a:ln w="25400" cap="rnd">
              <a:solidFill>
                <a:srgbClr val="FFC000"/>
              </a:solidFill>
              <a:prstDash val="solid"/>
              <a:round/>
            </a:ln>
          </c:spPr>
          <c:marker>
            <c:symbol val="diamond"/>
            <c:size val="5"/>
            <c:spPr>
              <a:solidFill>
                <a:srgbClr val="FFC000"/>
              </a:solidFill>
              <a:ln w="9525">
                <a:solidFill>
                  <a:srgbClr val="FFC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8.0739448451531146E-4</c:v>
              </c:pt>
              <c:pt idx="1">
                <c:v>7.5023698249932359E-4</c:v>
              </c:pt>
              <c:pt idx="2">
                <c:v>1.3342111717079279E-3</c:v>
              </c:pt>
              <c:pt idx="3">
                <c:v>1.440281943085799E-3</c:v>
              </c:pt>
              <c:pt idx="4">
                <c:v>3.841708431222988E-3</c:v>
              </c:pt>
              <c:pt idx="5">
                <c:v>5.2981592586007027E-3</c:v>
              </c:pt>
              <c:pt idx="6">
                <c:v>7.2745734807995897E-3</c:v>
              </c:pt>
              <c:pt idx="7">
                <c:v>7.7901683288184214E-3</c:v>
              </c:pt>
              <c:pt idx="8">
                <c:v>8.0682349111407259E-3</c:v>
              </c:pt>
              <c:pt idx="9">
                <c:v>7.9583975655189206E-3</c:v>
              </c:pt>
              <c:pt idx="10">
                <c:v>8.0146867662456277E-3</c:v>
              </c:pt>
              <c:pt idx="11">
                <c:v>7.0639464503239741E-3</c:v>
              </c:pt>
              <c:pt idx="12">
                <c:v>8.5981438876523708E-3</c:v>
              </c:pt>
              <c:pt idx="13">
                <c:v>9.045839597573874E-3</c:v>
              </c:pt>
              <c:pt idx="14">
                <c:v>8.2052111116116041E-3</c:v>
              </c:pt>
            </c:numLit>
          </c:yVal>
          <c:smooth val="1"/>
          <c:extLst>
            <c:ext xmlns:c16="http://schemas.microsoft.com/office/drawing/2014/chart" uri="{C3380CC4-5D6E-409C-BE32-E72D297353CC}">
              <c16:uniqueId val="{00000002-26C4-404A-B275-321B03E26790}"/>
            </c:ext>
          </c:extLst>
        </c:ser>
        <c:ser>
          <c:idx val="3"/>
          <c:order val="3"/>
          <c:tx>
            <c:v>Rows 2-3</c:v>
          </c:tx>
          <c:spPr>
            <a:ln w="25400" cap="rnd">
              <a:solidFill>
                <a:srgbClr val="FFC000"/>
              </a:solidFill>
              <a:prstDash val="solid"/>
              <a:round/>
            </a:ln>
          </c:spPr>
          <c:marker>
            <c:symbol val="diamond"/>
            <c:size val="5"/>
            <c:spPr>
              <a:solidFill>
                <a:srgbClr val="FFC000"/>
              </a:solidFill>
              <a:ln w="9525">
                <a:solidFill>
                  <a:schemeClr val="accent4"/>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-5.7688324489635769E-2</c:v>
              </c:pt>
              <c:pt idx="1">
                <c:v>-5.2620501871579822E-2</c:v>
              </c:pt>
              <c:pt idx="2">
                <c:v>-5.2632367011679733E-2</c:v>
              </c:pt>
              <c:pt idx="3">
                <c:v>-5.1338421073133529E-2</c:v>
              </c:pt>
              <c:pt idx="4">
                <c:v>-4.8405668413125359E-2</c:v>
              </c:pt>
              <c:pt idx="5">
                <c:v>-4.6486758309192723E-2</c:v>
              </c:pt>
              <c:pt idx="6">
                <c:v>-4.6366216112532201E-2</c:v>
              </c:pt>
              <c:pt idx="7">
                <c:v>-4.2981815893402123E-2</c:v>
              </c:pt>
              <c:pt idx="8">
                <c:v>-4.0310650330017989E-2</c:v>
              </c:pt>
              <c:pt idx="9">
                <c:v>-3.7596859222858908E-2</c:v>
              </c:pt>
              <c:pt idx="10">
                <c:v>-3.585731778283089E-2</c:v>
              </c:pt>
              <c:pt idx="11">
                <c:v>-3.5676884626950151E-2</c:v>
              </c:pt>
              <c:pt idx="12">
                <c:v>-3.4897325462305638E-2</c:v>
              </c:pt>
              <c:pt idx="13">
                <c:v>-3.2508701265634161E-2</c:v>
              </c:pt>
              <c:pt idx="14">
                <c:v>-3.3184161192103802E-2</c:v>
              </c:pt>
            </c:numLit>
          </c:yVal>
          <c:smooth val="1"/>
          <c:extLst>
            <c:ext xmlns:c16="http://schemas.microsoft.com/office/drawing/2014/chart" uri="{C3380CC4-5D6E-409C-BE32-E72D297353CC}">
              <c16:uniqueId val="{00000003-26C4-404A-B275-321B03E26790}"/>
            </c:ext>
          </c:extLst>
        </c:ser>
        <c:ser>
          <c:idx val="4"/>
          <c:order val="4"/>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4-26C4-404A-B275-321B03E26790}"/>
            </c:ext>
          </c:extLst>
        </c:ser>
        <c:ser>
          <c:idx val="5"/>
          <c:order val="5"/>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-7.435541344287927E-2</c:v>
              </c:pt>
              <c:pt idx="1">
                <c:v>-6.1314793880991952E-2</c:v>
              </c:pt>
              <c:pt idx="2">
                <c:v>-5.4566125636081507E-2</c:v>
              </c:pt>
              <c:pt idx="3">
                <c:v>-4.7155665661378077E-2</c:v>
              </c:pt>
              <c:pt idx="4">
                <c:v>-4.5628942293877851E-2</c:v>
              </c:pt>
              <c:pt idx="5">
                <c:v>-4.3585704355600198E-2</c:v>
              </c:pt>
              <c:pt idx="6">
                <c:v>-4.2612043045266508E-2</c:v>
              </c:pt>
              <c:pt idx="7">
                <c:v>-4.233592500297953E-2</c:v>
              </c:pt>
              <c:pt idx="8">
                <c:v>-4.0369941394956761E-2</c:v>
              </c:pt>
              <c:pt idx="9">
                <c:v>-4.0946106982587098E-2</c:v>
              </c:pt>
              <c:pt idx="10">
                <c:v>-3.8581386454254088E-2</c:v>
              </c:pt>
              <c:pt idx="11">
                <c:v>-3.8338736484147137E-2</c:v>
              </c:pt>
              <c:pt idx="12">
                <c:v>-3.9245821946068717E-2</c:v>
              </c:pt>
              <c:pt idx="13">
                <c:v>-3.5557469834657601E-2</c:v>
              </c:pt>
              <c:pt idx="14">
                <c:v>-3.7347250060557939E-2</c:v>
              </c:pt>
            </c:numLit>
          </c:yVal>
          <c:smooth val="1"/>
          <c:extLst>
            <c:ext xmlns:c16="http://schemas.microsoft.com/office/drawing/2014/chart" uri="{C3380CC4-5D6E-409C-BE32-E72D297353CC}">
              <c16:uniqueId val="{00000005-26C4-404A-B275-321B03E26790}"/>
            </c:ext>
          </c:extLst>
        </c:ser>
        <c:dLbls>
          <c:showLegendKey val="0"/>
          <c:showVal val="0"/>
          <c:showCatName val="0"/>
          <c:showSerName val="0"/>
          <c:showPercent val="0"/>
          <c:showBubbleSize val="0"/>
        </c:dLbls>
        <c:axId val="544743432"/>
        <c:axId val="544745784"/>
      </c:scatterChart>
      <c:valAx>
        <c:axId val="544743432"/>
        <c:scaling>
          <c:orientation val="minMax"/>
          <c:max val="160"/>
          <c:min val="0"/>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a:t>U (</a:t>
                </a:r>
                <a:r>
                  <a:rPr lang="en-US" sz="1500" b="0" i="0" strike="noStrike" baseline="0"/>
                  <a:t>mph</a:t>
                </a:r>
                <a:r>
                  <a:rPr lang="en-US"/>
                  <a:t>) </a:t>
                </a:r>
                <a:r>
                  <a:rPr lang="en-US" sz="1500" b="0" i="0" strike="noStrike" baseline="0"/>
                  <a:t>[3sec at 10m]</a:t>
                </a:r>
                <a:endParaRPr lang="en-US" baseline="-25000"/>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5784"/>
        <c:crossesAt val="-0.2"/>
        <c:crossBetween val="midCat"/>
        <c:majorUnit val="20"/>
      </c:valAx>
      <c:valAx>
        <c:axId val="544745784"/>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sz="1500" b="0" i="0" strike="noStrike" baseline="0"/>
                  <a:t>GC</a:t>
                </a:r>
                <a:r>
                  <a:rPr lang="en-US" sz="1500" b="0" i="0" strike="noStrike" baseline="-25000"/>
                  <a:t>M-Wing</a:t>
                </a:r>
                <a:endParaRPr lang="en-US" baseline="-25000"/>
              </a:p>
            </c:rich>
          </c:tx>
          <c:overlay val="0"/>
          <c:spPr>
            <a:noFill/>
            <a:ln>
              <a:noFill/>
              <a:prstDash val="solid"/>
            </a:ln>
          </c:spPr>
        </c:title>
        <c:numFmt formatCode="#,##0.00" sourceLinked="0"/>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3432"/>
        <c:crossesAt val="0"/>
        <c:crossBetween val="midCat"/>
      </c:valAx>
    </c:plotArea>
    <c:legend>
      <c:legendPos val="r"/>
      <c:legendEntry>
        <c:idx val="1"/>
        <c:delete val="1"/>
      </c:legendEntry>
      <c:legendEntry>
        <c:idx val="3"/>
        <c:delete val="1"/>
      </c:legendEntry>
      <c:legendEntry>
        <c:idx val="5"/>
        <c:delete val="1"/>
      </c:legendEntry>
      <c:overlay val="0"/>
      <c:spPr>
        <a:noFill/>
        <a:ln>
          <a:noFill/>
          <a:prstDash val="solid"/>
        </a:ln>
      </c:spPr>
      <c:txPr>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300" b="0" i="0" strike="noStrike" kern="1200" spc="0" baseline="0">
                <a:solidFill>
                  <a:schemeClr val="tx1">
                    <a:lumMod val="65000"/>
                    <a:lumOff val="35000"/>
                  </a:schemeClr>
                </a:solidFill>
                <a:latin typeface="+mn-lt"/>
                <a:ea typeface="+mn-ea"/>
                <a:cs typeface="+mn-cs"/>
              </a:defRPr>
            </a:pPr>
            <a:r>
              <a:rPr lang="en-US" sz="1300" b="0" i="0" strike="noStrike" baseline="0"/>
              <a:t>Half-Tracker</a:t>
            </a:r>
            <a:r>
              <a:rPr lang="en-US" sz="1300" b="0" i="0" baseline="0"/>
              <a:t> Moment </a:t>
            </a:r>
            <a:r>
              <a:rPr lang="en-US" sz="1300" b="0" i="0" strike="noStrike" baseline="0"/>
              <a:t>Coefficients</a:t>
            </a:r>
            <a:r>
              <a:rPr lang="en-US" sz="1300" b="0" i="0" baseline="0"/>
              <a:t>: 10</a:t>
            </a:r>
            <a:r>
              <a:rPr lang="en-US" sz="1300" b="0" i="0" strike="noStrike" baseline="0"/>
              <a:t>° Tilt</a:t>
            </a:r>
            <a:endParaRPr lang="en-US" sz="1300"/>
          </a:p>
        </c:rich>
      </c:tx>
      <c:overlay val="0"/>
      <c:spPr>
        <a:noFill/>
        <a:ln>
          <a:noFill/>
          <a:prstDash val="solid"/>
        </a:ln>
      </c:spPr>
    </c:title>
    <c:autoTitleDeleted val="0"/>
    <c:plotArea>
      <c:layout>
        <c:manualLayout>
          <c:layoutTarget val="inner"/>
          <c:xMode val="edge"/>
          <c:yMode val="edge"/>
          <c:x val="0.12684973722042989"/>
          <c:y val="9.5058133136318348E-2"/>
          <c:w val="0.68055481881607083"/>
          <c:h val="0.75366819181016143"/>
        </c:manualLayout>
      </c:layout>
      <c:scatterChart>
        <c:scatterStyle val="smoothMarker"/>
        <c:varyColors val="0"/>
        <c:ser>
          <c:idx val="0"/>
          <c:order val="0"/>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0-7AE7-49CD-963F-7C94CC8E6444}"/>
            </c:ext>
          </c:extLst>
        </c:ser>
        <c:ser>
          <c:idx val="1"/>
          <c:order val="1"/>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-8.121516058931412E-2</c:v>
              </c:pt>
              <c:pt idx="1">
                <c:v>-7.4908126835124947E-2</c:v>
              </c:pt>
              <c:pt idx="2">
                <c:v>-7.0179117409308378E-2</c:v>
              </c:pt>
              <c:pt idx="3">
                <c:v>-6.6818900502317494E-2</c:v>
              </c:pt>
              <c:pt idx="4">
                <c:v>-6.1716186024015927E-2</c:v>
              </c:pt>
              <c:pt idx="5">
                <c:v>-5.9515811969466648E-2</c:v>
              </c:pt>
              <c:pt idx="6">
                <c:v>-5.8088749199671351E-2</c:v>
              </c:pt>
              <c:pt idx="7">
                <c:v>-5.5295355044790349E-2</c:v>
              </c:pt>
              <c:pt idx="8">
                <c:v>-5.1748155322101752E-2</c:v>
              </c:pt>
              <c:pt idx="9">
                <c:v>-5.0808589257318133E-2</c:v>
              </c:pt>
              <c:pt idx="10">
                <c:v>-4.8408057068172167E-2</c:v>
              </c:pt>
              <c:pt idx="11">
                <c:v>-4.5249078575410953E-2</c:v>
              </c:pt>
              <c:pt idx="12">
                <c:v>-4.393117597068405E-2</c:v>
              </c:pt>
              <c:pt idx="13">
                <c:v>-4.2013937668350411E-2</c:v>
              </c:pt>
              <c:pt idx="14">
                <c:v>-4.021523580124655E-2</c:v>
              </c:pt>
            </c:numLit>
          </c:yVal>
          <c:smooth val="1"/>
          <c:extLst>
            <c:ext xmlns:c16="http://schemas.microsoft.com/office/drawing/2014/chart" uri="{C3380CC4-5D6E-409C-BE32-E72D297353CC}">
              <c16:uniqueId val="{00000001-7AE7-49CD-963F-7C94CC8E6444}"/>
            </c:ext>
          </c:extLst>
        </c:ser>
        <c:ser>
          <c:idx val="2"/>
          <c:order val="2"/>
          <c:tx>
            <c:v>Rows 2-3</c:v>
          </c:tx>
          <c:spPr>
            <a:ln w="25400" cap="rnd">
              <a:solidFill>
                <a:srgbClr val="FFC000"/>
              </a:solidFill>
              <a:prstDash val="solid"/>
              <a:round/>
            </a:ln>
          </c:spPr>
          <c:marker>
            <c:symbol val="diamond"/>
            <c:size val="5"/>
            <c:spPr>
              <a:solidFill>
                <a:srgbClr val="FFC000"/>
              </a:solidFill>
              <a:ln w="9525">
                <a:solidFill>
                  <a:srgbClr val="FFC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0</c:v>
              </c:pt>
              <c:pt idx="1">
                <c:v>0</c:v>
              </c:pt>
              <c:pt idx="2">
                <c:v>0</c:v>
              </c:pt>
              <c:pt idx="3">
                <c:v>0</c:v>
              </c:pt>
              <c:pt idx="4">
                <c:v>0</c:v>
              </c:pt>
              <c:pt idx="5">
                <c:v>0</c:v>
              </c:pt>
              <c:pt idx="6">
                <c:v>2.239213425734932E-3</c:v>
              </c:pt>
              <c:pt idx="7">
                <c:v>3.5794221172344219E-3</c:v>
              </c:pt>
              <c:pt idx="8">
                <c:v>2.9490318728695479E-3</c:v>
              </c:pt>
              <c:pt idx="9">
                <c:v>3.938076560373858E-3</c:v>
              </c:pt>
              <c:pt idx="10">
                <c:v>4.1489423622721533E-3</c:v>
              </c:pt>
              <c:pt idx="11">
                <c:v>5.317810023732627E-3</c:v>
              </c:pt>
              <c:pt idx="12">
                <c:v>3.8168474649215019E-3</c:v>
              </c:pt>
              <c:pt idx="13">
                <c:v>5.1364063015076466E-3</c:v>
              </c:pt>
              <c:pt idx="14">
                <c:v>5.53524124650185E-3</c:v>
              </c:pt>
            </c:numLit>
          </c:yVal>
          <c:smooth val="1"/>
          <c:extLst>
            <c:ext xmlns:c16="http://schemas.microsoft.com/office/drawing/2014/chart" uri="{C3380CC4-5D6E-409C-BE32-E72D297353CC}">
              <c16:uniqueId val="{00000002-7AE7-49CD-963F-7C94CC8E6444}"/>
            </c:ext>
          </c:extLst>
        </c:ser>
        <c:ser>
          <c:idx val="3"/>
          <c:order val="3"/>
          <c:tx>
            <c:v>Rows 2-3</c:v>
          </c:tx>
          <c:spPr>
            <a:ln w="25400" cap="rnd">
              <a:solidFill>
                <a:srgbClr val="FFC000"/>
              </a:solidFill>
              <a:prstDash val="solid"/>
              <a:round/>
            </a:ln>
          </c:spPr>
          <c:marker>
            <c:symbol val="diamond"/>
            <c:size val="5"/>
            <c:spPr>
              <a:solidFill>
                <a:srgbClr val="FFC000"/>
              </a:solidFill>
              <a:ln w="9525">
                <a:solidFill>
                  <a:schemeClr val="accent4"/>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-5.8770323070739962E-2</c:v>
              </c:pt>
              <c:pt idx="1">
                <c:v>-5.4381693044006807E-2</c:v>
              </c:pt>
              <c:pt idx="2">
                <c:v>-5.375269711695365E-2</c:v>
              </c:pt>
              <c:pt idx="3">
                <c:v>-4.9476188849571022E-2</c:v>
              </c:pt>
              <c:pt idx="4">
                <c:v>-4.3943531899253707E-2</c:v>
              </c:pt>
              <c:pt idx="5">
                <c:v>-4.0396258729847208E-2</c:v>
              </c:pt>
              <c:pt idx="6">
                <c:v>-3.8587466051210002E-2</c:v>
              </c:pt>
              <c:pt idx="7">
                <c:v>-3.6489648275996232E-2</c:v>
              </c:pt>
              <c:pt idx="8">
                <c:v>-3.3390939339607517E-2</c:v>
              </c:pt>
              <c:pt idx="9">
                <c:v>-3.2772549384205353E-2</c:v>
              </c:pt>
              <c:pt idx="10">
                <c:v>-3.106193432767099E-2</c:v>
              </c:pt>
              <c:pt idx="11">
                <c:v>-2.9965991444963438E-2</c:v>
              </c:pt>
              <c:pt idx="12">
                <c:v>-2.8292256090138169E-2</c:v>
              </c:pt>
              <c:pt idx="13">
                <c:v>-2.9089808532267291E-2</c:v>
              </c:pt>
              <c:pt idx="14">
                <c:v>-2.8941987832482381E-2</c:v>
              </c:pt>
            </c:numLit>
          </c:yVal>
          <c:smooth val="1"/>
          <c:extLst>
            <c:ext xmlns:c16="http://schemas.microsoft.com/office/drawing/2014/chart" uri="{C3380CC4-5D6E-409C-BE32-E72D297353CC}">
              <c16:uniqueId val="{00000003-7AE7-49CD-963F-7C94CC8E6444}"/>
            </c:ext>
          </c:extLst>
        </c:ser>
        <c:ser>
          <c:idx val="4"/>
          <c:order val="4"/>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4-7AE7-49CD-963F-7C94CC8E6444}"/>
            </c:ext>
          </c:extLst>
        </c:ser>
        <c:ser>
          <c:idx val="5"/>
          <c:order val="5"/>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-6.3387157566937066E-2</c:v>
              </c:pt>
              <c:pt idx="1">
                <c:v>-5.8148179048769233E-2</c:v>
              </c:pt>
              <c:pt idx="2">
                <c:v>-5.4041969793523638E-2</c:v>
              </c:pt>
              <c:pt idx="3">
                <c:v>-4.99675114496013E-2</c:v>
              </c:pt>
              <c:pt idx="4">
                <c:v>-4.7573599404765278E-2</c:v>
              </c:pt>
              <c:pt idx="5">
                <c:v>-4.5017211173563172E-2</c:v>
              </c:pt>
              <c:pt idx="6">
                <c:v>-4.4457214891864882E-2</c:v>
              </c:pt>
              <c:pt idx="7">
                <c:v>-4.3263546297471207E-2</c:v>
              </c:pt>
              <c:pt idx="8">
                <c:v>-4.0017940231758427E-2</c:v>
              </c:pt>
              <c:pt idx="9">
                <c:v>-4.0698487359701392E-2</c:v>
              </c:pt>
              <c:pt idx="10">
                <c:v>-3.8419180293770311E-2</c:v>
              </c:pt>
              <c:pt idx="11">
                <c:v>-3.8727480268737881E-2</c:v>
              </c:pt>
              <c:pt idx="12">
                <c:v>-3.6756102032404002E-2</c:v>
              </c:pt>
              <c:pt idx="13">
                <c:v>-3.8015106142854881E-2</c:v>
              </c:pt>
              <c:pt idx="14">
                <c:v>-3.6726307396618432E-2</c:v>
              </c:pt>
            </c:numLit>
          </c:yVal>
          <c:smooth val="1"/>
          <c:extLst>
            <c:ext xmlns:c16="http://schemas.microsoft.com/office/drawing/2014/chart" uri="{C3380CC4-5D6E-409C-BE32-E72D297353CC}">
              <c16:uniqueId val="{00000005-7AE7-49CD-963F-7C94CC8E6444}"/>
            </c:ext>
          </c:extLst>
        </c:ser>
        <c:dLbls>
          <c:showLegendKey val="0"/>
          <c:showVal val="0"/>
          <c:showCatName val="0"/>
          <c:showSerName val="0"/>
          <c:showPercent val="0"/>
          <c:showBubbleSize val="0"/>
        </c:dLbls>
        <c:axId val="544741864"/>
        <c:axId val="544742648"/>
      </c:scatterChart>
      <c:valAx>
        <c:axId val="544741864"/>
        <c:scaling>
          <c:orientation val="minMax"/>
          <c:max val="160"/>
          <c:min val="0"/>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a:t>U (</a:t>
                </a:r>
                <a:r>
                  <a:rPr lang="en-US" sz="1500" b="0" i="0" strike="noStrike" baseline="0"/>
                  <a:t>mph</a:t>
                </a:r>
                <a:r>
                  <a:rPr lang="en-US"/>
                  <a:t>) </a:t>
                </a:r>
                <a:r>
                  <a:rPr lang="en-US" sz="1500" b="0" i="0" strike="noStrike" baseline="0"/>
                  <a:t>[3sec at 10m]</a:t>
                </a:r>
                <a:endParaRPr lang="en-US" baseline="-25000"/>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2648"/>
        <c:crossesAt val="-0.2"/>
        <c:crossBetween val="midCat"/>
        <c:majorUnit val="20"/>
      </c:valAx>
      <c:valAx>
        <c:axId val="544742648"/>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sz="1500" b="0" i="0" strike="noStrike" baseline="0"/>
                  <a:t>GC</a:t>
                </a:r>
                <a:r>
                  <a:rPr lang="en-US" sz="1500" b="0" i="0" strike="noStrike" baseline="-25000"/>
                  <a:t>M-Wing</a:t>
                </a:r>
                <a:endParaRPr lang="en-US" baseline="-25000"/>
              </a:p>
            </c:rich>
          </c:tx>
          <c:overlay val="0"/>
          <c:spPr>
            <a:noFill/>
            <a:ln>
              <a:noFill/>
              <a:prstDash val="solid"/>
            </a:ln>
          </c:spPr>
        </c:title>
        <c:numFmt formatCode="#,##0.00" sourceLinked="0"/>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1864"/>
        <c:crossesAt val="0"/>
        <c:crossBetween val="midCat"/>
      </c:valAx>
    </c:plotArea>
    <c:legend>
      <c:legendPos val="r"/>
      <c:legendEntry>
        <c:idx val="1"/>
        <c:delete val="1"/>
      </c:legendEntry>
      <c:legendEntry>
        <c:idx val="3"/>
        <c:delete val="1"/>
      </c:legendEntry>
      <c:legendEntry>
        <c:idx val="5"/>
        <c:delete val="1"/>
      </c:legendEntry>
      <c:overlay val="0"/>
      <c:spPr>
        <a:noFill/>
        <a:ln>
          <a:noFill/>
          <a:prstDash val="solid"/>
        </a:ln>
      </c:spPr>
      <c:txPr>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300" b="0" i="0" strike="noStrike" kern="1200" spc="0" baseline="0">
                <a:solidFill>
                  <a:schemeClr val="tx1">
                    <a:lumMod val="65000"/>
                    <a:lumOff val="35000"/>
                  </a:schemeClr>
                </a:solidFill>
                <a:latin typeface="+mn-lt"/>
                <a:ea typeface="+mn-ea"/>
                <a:cs typeface="+mn-cs"/>
              </a:defRPr>
            </a:pPr>
            <a:r>
              <a:rPr lang="en-US" sz="1300" b="0" i="0" strike="noStrike" baseline="0"/>
              <a:t>Half-Tracker</a:t>
            </a:r>
            <a:r>
              <a:rPr lang="en-US" sz="1300" b="0" i="0" baseline="0"/>
              <a:t> Moment </a:t>
            </a:r>
            <a:r>
              <a:rPr lang="en-US" sz="1300" b="0" i="0" strike="noStrike" baseline="0"/>
              <a:t>Coefficients</a:t>
            </a:r>
            <a:r>
              <a:rPr lang="en-US" sz="1300" b="0" i="0" baseline="0"/>
              <a:t>: 20</a:t>
            </a:r>
            <a:r>
              <a:rPr lang="en-US" sz="1300" b="0" i="0" strike="noStrike" baseline="0"/>
              <a:t>° Tilt</a:t>
            </a:r>
            <a:endParaRPr lang="en-US" sz="1300"/>
          </a:p>
        </c:rich>
      </c:tx>
      <c:overlay val="0"/>
      <c:spPr>
        <a:noFill/>
        <a:ln>
          <a:noFill/>
          <a:prstDash val="solid"/>
        </a:ln>
      </c:spPr>
    </c:title>
    <c:autoTitleDeleted val="0"/>
    <c:plotArea>
      <c:layout>
        <c:manualLayout>
          <c:layoutTarget val="inner"/>
          <c:xMode val="edge"/>
          <c:yMode val="edge"/>
          <c:x val="0.12684973722042989"/>
          <c:y val="9.5058133136318348E-2"/>
          <c:w val="0.68055481881607083"/>
          <c:h val="0.75366819181016143"/>
        </c:manualLayout>
      </c:layout>
      <c:scatterChart>
        <c:scatterStyle val="smoothMarker"/>
        <c:varyColors val="0"/>
        <c:ser>
          <c:idx val="0"/>
          <c:order val="0"/>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0-04F8-4D69-9F88-52A2B40E39DD}"/>
            </c:ext>
          </c:extLst>
        </c:ser>
        <c:ser>
          <c:idx val="1"/>
          <c:order val="1"/>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-7.8503869295551629E-2</c:v>
              </c:pt>
              <c:pt idx="1">
                <c:v>-6.7362158211499365E-2</c:v>
              </c:pt>
              <c:pt idx="2">
                <c:v>-6.3401862620682939E-2</c:v>
              </c:pt>
              <c:pt idx="3">
                <c:v>-5.8185354333685338E-2</c:v>
              </c:pt>
              <c:pt idx="4">
                <c:v>-5.5794529254645342E-2</c:v>
              </c:pt>
              <c:pt idx="5">
                <c:v>-5.2625609453851127E-2</c:v>
              </c:pt>
              <c:pt idx="6">
                <c:v>-5.1255704945735683E-2</c:v>
              </c:pt>
              <c:pt idx="7">
                <c:v>-4.8398160544910453E-2</c:v>
              </c:pt>
              <c:pt idx="8">
                <c:v>-4.6175677770495561E-2</c:v>
              </c:pt>
              <c:pt idx="9">
                <c:v>-4.3186260081990793E-2</c:v>
              </c:pt>
              <c:pt idx="10">
                <c:v>-4.1209388771368559E-2</c:v>
              </c:pt>
              <c:pt idx="11">
                <c:v>-3.8664416699121691E-2</c:v>
              </c:pt>
              <c:pt idx="12">
                <c:v>-3.6549595864570968E-2</c:v>
              </c:pt>
              <c:pt idx="13">
                <c:v>-3.5537370804328401E-2</c:v>
              </c:pt>
              <c:pt idx="14">
                <c:v>-3.4413412042131081E-2</c:v>
              </c:pt>
            </c:numLit>
          </c:yVal>
          <c:smooth val="1"/>
          <c:extLst>
            <c:ext xmlns:c16="http://schemas.microsoft.com/office/drawing/2014/chart" uri="{C3380CC4-5D6E-409C-BE32-E72D297353CC}">
              <c16:uniqueId val="{00000001-04F8-4D69-9F88-52A2B40E39DD}"/>
            </c:ext>
          </c:extLst>
        </c:ser>
        <c:ser>
          <c:idx val="2"/>
          <c:order val="2"/>
          <c:tx>
            <c:v>Rows 2-3</c:v>
          </c:tx>
          <c:spPr>
            <a:ln w="25400" cap="rnd">
              <a:solidFill>
                <a:srgbClr val="FFC000"/>
              </a:solidFill>
              <a:prstDash val="solid"/>
              <a:round/>
            </a:ln>
          </c:spPr>
          <c:marker>
            <c:symbol val="diamond"/>
            <c:size val="5"/>
            <c:spPr>
              <a:solidFill>
                <a:srgbClr val="FFC000"/>
              </a:solidFill>
              <a:ln w="9525">
                <a:solidFill>
                  <a:srgbClr val="FFC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3.3713029399449329E-4</c:v>
              </c:pt>
              <c:pt idx="1">
                <c:v>1.5618128616352371E-4</c:v>
              </c:pt>
              <c:pt idx="2">
                <c:v>7.8024772588675053E-4</c:v>
              </c:pt>
              <c:pt idx="3">
                <c:v>3.0713438479397781E-3</c:v>
              </c:pt>
              <c:pt idx="4">
                <c:v>5.4652109096727831E-3</c:v>
              </c:pt>
              <c:pt idx="5">
                <c:v>6.2180059250251489E-3</c:v>
              </c:pt>
              <c:pt idx="6">
                <c:v>5.6168536640885504E-3</c:v>
              </c:pt>
              <c:pt idx="7">
                <c:v>6.7455673541662389E-3</c:v>
              </c:pt>
              <c:pt idx="8">
                <c:v>6.6250421927998918E-3</c:v>
              </c:pt>
              <c:pt idx="9">
                <c:v>7.5498257088641267E-3</c:v>
              </c:pt>
              <c:pt idx="10">
                <c:v>8.2669348831373637E-3</c:v>
              </c:pt>
              <c:pt idx="11">
                <c:v>7.2856860455897329E-3</c:v>
              </c:pt>
              <c:pt idx="12">
                <c:v>6.5792094044984512E-3</c:v>
              </c:pt>
              <c:pt idx="13">
                <c:v>7.7165531514983123E-3</c:v>
              </c:pt>
              <c:pt idx="14">
                <c:v>7.2648042693401011E-3</c:v>
              </c:pt>
            </c:numLit>
          </c:yVal>
          <c:smooth val="1"/>
          <c:extLst>
            <c:ext xmlns:c16="http://schemas.microsoft.com/office/drawing/2014/chart" uri="{C3380CC4-5D6E-409C-BE32-E72D297353CC}">
              <c16:uniqueId val="{00000002-04F8-4D69-9F88-52A2B40E39DD}"/>
            </c:ext>
          </c:extLst>
        </c:ser>
        <c:ser>
          <c:idx val="3"/>
          <c:order val="3"/>
          <c:tx>
            <c:v>Rows 2-3</c:v>
          </c:tx>
          <c:spPr>
            <a:ln w="25400" cap="rnd">
              <a:solidFill>
                <a:srgbClr val="FFC000"/>
              </a:solidFill>
              <a:prstDash val="solid"/>
              <a:round/>
            </a:ln>
          </c:spPr>
          <c:marker>
            <c:symbol val="diamond"/>
            <c:size val="5"/>
            <c:spPr>
              <a:solidFill>
                <a:srgbClr val="FFC000"/>
              </a:solidFill>
              <a:ln w="9525">
                <a:solidFill>
                  <a:schemeClr val="accent4"/>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-4.907367614766988E-2</c:v>
              </c:pt>
              <c:pt idx="1">
                <c:v>-4.403426377461684E-2</c:v>
              </c:pt>
              <c:pt idx="2">
                <c:v>-4.3149259685857463E-2</c:v>
              </c:pt>
              <c:pt idx="3">
                <c:v>-3.7973606048964471E-2</c:v>
              </c:pt>
              <c:pt idx="4">
                <c:v>-3.5511172531095279E-2</c:v>
              </c:pt>
              <c:pt idx="5">
                <c:v>-3.2785926222141527E-2</c:v>
              </c:pt>
              <c:pt idx="6">
                <c:v>-3.1838054525420947E-2</c:v>
              </c:pt>
              <c:pt idx="7">
                <c:v>-2.9388893179128829E-2</c:v>
              </c:pt>
              <c:pt idx="8">
                <c:v>-2.7922315584088329E-2</c:v>
              </c:pt>
              <c:pt idx="9">
                <c:v>-2.8615801786668851E-2</c:v>
              </c:pt>
              <c:pt idx="10">
                <c:v>-2.8437740552874159E-2</c:v>
              </c:pt>
              <c:pt idx="11">
                <c:v>-2.6286693268666669E-2</c:v>
              </c:pt>
              <c:pt idx="12">
                <c:v>-2.683635872626558E-2</c:v>
              </c:pt>
              <c:pt idx="13">
                <c:v>-2.5829697689004789E-2</c:v>
              </c:pt>
              <c:pt idx="14">
                <c:v>-2.6047331422602831E-2</c:v>
              </c:pt>
            </c:numLit>
          </c:yVal>
          <c:smooth val="1"/>
          <c:extLst>
            <c:ext xmlns:c16="http://schemas.microsoft.com/office/drawing/2014/chart" uri="{C3380CC4-5D6E-409C-BE32-E72D297353CC}">
              <c16:uniqueId val="{00000003-04F8-4D69-9F88-52A2B40E39DD}"/>
            </c:ext>
          </c:extLst>
        </c:ser>
        <c:ser>
          <c:idx val="4"/>
          <c:order val="4"/>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4-04F8-4D69-9F88-52A2B40E39DD}"/>
            </c:ext>
          </c:extLst>
        </c:ser>
        <c:ser>
          <c:idx val="5"/>
          <c:order val="5"/>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-5.8389135331461478E-2</c:v>
              </c:pt>
              <c:pt idx="1">
                <c:v>-5.1325833520477593E-2</c:v>
              </c:pt>
              <c:pt idx="2">
                <c:v>-4.661598303225406E-2</c:v>
              </c:pt>
              <c:pt idx="3">
                <c:v>-4.045460516480686E-2</c:v>
              </c:pt>
              <c:pt idx="4">
                <c:v>-3.8389145748646047E-2</c:v>
              </c:pt>
              <c:pt idx="5">
                <c:v>-3.8201349941306792E-2</c:v>
              </c:pt>
              <c:pt idx="6">
                <c:v>-3.7051780506875458E-2</c:v>
              </c:pt>
              <c:pt idx="7">
                <c:v>-3.4915559920740608E-2</c:v>
              </c:pt>
              <c:pt idx="8">
                <c:v>-3.4306610333036697E-2</c:v>
              </c:pt>
              <c:pt idx="9">
                <c:v>-3.4461881367260701E-2</c:v>
              </c:pt>
              <c:pt idx="10">
                <c:v>-3.4013308408393512E-2</c:v>
              </c:pt>
              <c:pt idx="11">
                <c:v>-3.0853741236811311E-2</c:v>
              </c:pt>
              <c:pt idx="12">
                <c:v>-3.0584576722406959E-2</c:v>
              </c:pt>
              <c:pt idx="13">
                <c:v>-3.1597947387712433E-2</c:v>
              </c:pt>
              <c:pt idx="14">
                <c:v>-2.948115624218757E-2</c:v>
              </c:pt>
            </c:numLit>
          </c:yVal>
          <c:smooth val="1"/>
          <c:extLst>
            <c:ext xmlns:c16="http://schemas.microsoft.com/office/drawing/2014/chart" uri="{C3380CC4-5D6E-409C-BE32-E72D297353CC}">
              <c16:uniqueId val="{00000005-04F8-4D69-9F88-52A2B40E39DD}"/>
            </c:ext>
          </c:extLst>
        </c:ser>
        <c:dLbls>
          <c:showLegendKey val="0"/>
          <c:showVal val="0"/>
          <c:showCatName val="0"/>
          <c:showSerName val="0"/>
          <c:showPercent val="0"/>
          <c:showBubbleSize val="0"/>
        </c:dLbls>
        <c:axId val="544743824"/>
        <c:axId val="544744608"/>
      </c:scatterChart>
      <c:valAx>
        <c:axId val="544743824"/>
        <c:scaling>
          <c:orientation val="minMax"/>
          <c:max val="160"/>
          <c:min val="0"/>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a:t>U (</a:t>
                </a:r>
                <a:r>
                  <a:rPr lang="en-US" sz="1500" b="0" i="0" strike="noStrike" baseline="0"/>
                  <a:t>mph</a:t>
                </a:r>
                <a:r>
                  <a:rPr lang="en-US"/>
                  <a:t>) </a:t>
                </a:r>
                <a:r>
                  <a:rPr lang="en-US" sz="1500" b="0" i="0" strike="noStrike" baseline="0"/>
                  <a:t>[3sec at 10m]</a:t>
                </a:r>
                <a:endParaRPr lang="en-US" baseline="-25000"/>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4608"/>
        <c:crossesAt val="-0.2"/>
        <c:crossBetween val="midCat"/>
        <c:majorUnit val="20"/>
      </c:valAx>
      <c:valAx>
        <c:axId val="544744608"/>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sz="1500" b="0" i="0" strike="noStrike" baseline="0"/>
                  <a:t>GC</a:t>
                </a:r>
                <a:r>
                  <a:rPr lang="en-US" sz="1500" b="0" i="0" strike="noStrike" baseline="-25000"/>
                  <a:t>M-Wing</a:t>
                </a:r>
                <a:endParaRPr lang="en-US" baseline="-25000"/>
              </a:p>
            </c:rich>
          </c:tx>
          <c:overlay val="0"/>
          <c:spPr>
            <a:noFill/>
            <a:ln>
              <a:noFill/>
              <a:prstDash val="solid"/>
            </a:ln>
          </c:spPr>
        </c:title>
        <c:numFmt formatCode="#,##0.00" sourceLinked="0"/>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3824"/>
        <c:crossesAt val="0"/>
        <c:crossBetween val="midCat"/>
      </c:valAx>
    </c:plotArea>
    <c:legend>
      <c:legendPos val="r"/>
      <c:legendEntry>
        <c:idx val="1"/>
        <c:delete val="1"/>
      </c:legendEntry>
      <c:legendEntry>
        <c:idx val="3"/>
        <c:delete val="1"/>
      </c:legendEntry>
      <c:legendEntry>
        <c:idx val="5"/>
        <c:delete val="1"/>
      </c:legendEntry>
      <c:overlay val="0"/>
      <c:spPr>
        <a:noFill/>
        <a:ln>
          <a:noFill/>
          <a:prstDash val="solid"/>
        </a:ln>
      </c:spPr>
      <c:txPr>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300" b="0" i="0" strike="noStrike" kern="1200" spc="0" baseline="0">
                <a:solidFill>
                  <a:schemeClr val="tx1">
                    <a:lumMod val="65000"/>
                    <a:lumOff val="35000"/>
                  </a:schemeClr>
                </a:solidFill>
                <a:latin typeface="+mn-lt"/>
                <a:ea typeface="+mn-ea"/>
                <a:cs typeface="+mn-cs"/>
              </a:defRPr>
            </a:pPr>
            <a:r>
              <a:rPr lang="en-US" sz="1300" b="0" i="0" strike="noStrike" baseline="0"/>
              <a:t>Half-Tracker</a:t>
            </a:r>
            <a:r>
              <a:rPr lang="en-US" sz="1300" b="0" i="0" baseline="0"/>
              <a:t> Moment </a:t>
            </a:r>
            <a:r>
              <a:rPr lang="en-US" sz="1300" b="0" i="0" strike="noStrike" baseline="0"/>
              <a:t>Coefficients</a:t>
            </a:r>
            <a:r>
              <a:rPr lang="en-US" sz="1300" b="0" i="0" baseline="0"/>
              <a:t>: 30</a:t>
            </a:r>
            <a:r>
              <a:rPr lang="en-US" sz="1300" b="0" i="0" strike="noStrike" baseline="0"/>
              <a:t>° Tilt</a:t>
            </a:r>
            <a:endParaRPr lang="en-US" sz="1300"/>
          </a:p>
        </c:rich>
      </c:tx>
      <c:overlay val="0"/>
      <c:spPr>
        <a:noFill/>
        <a:ln>
          <a:noFill/>
          <a:prstDash val="solid"/>
        </a:ln>
      </c:spPr>
    </c:title>
    <c:autoTitleDeleted val="0"/>
    <c:plotArea>
      <c:layout>
        <c:manualLayout>
          <c:layoutTarget val="inner"/>
          <c:xMode val="edge"/>
          <c:yMode val="edge"/>
          <c:x val="0.12684973722042989"/>
          <c:y val="9.5058133136318348E-2"/>
          <c:w val="0.68055481881607083"/>
          <c:h val="0.75366819181016143"/>
        </c:manualLayout>
      </c:layout>
      <c:scatterChart>
        <c:scatterStyle val="smoothMarker"/>
        <c:varyColors val="0"/>
        <c:ser>
          <c:idx val="0"/>
          <c:order val="0"/>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0-37B5-47AD-9776-E2517032A65C}"/>
            </c:ext>
          </c:extLst>
        </c:ser>
        <c:ser>
          <c:idx val="1"/>
          <c:order val="1"/>
          <c:tx>
            <c:v>Row 1</c:v>
          </c:tx>
          <c:spPr>
            <a:ln w="25400" cap="rnd">
              <a:solidFill>
                <a:srgbClr val="FF0000"/>
              </a:solidFill>
              <a:prstDash val="solid"/>
              <a:round/>
            </a:ln>
          </c:spPr>
          <c:marker>
            <c:symbol val="square"/>
            <c:size val="5"/>
            <c:spPr>
              <a:solidFill>
                <a:srgbClr val="FF0000"/>
              </a:solidFill>
              <a:ln w="9525">
                <a:solidFill>
                  <a:srgbClr val="FF0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-7.3935330709104671E-2</c:v>
              </c:pt>
              <c:pt idx="1">
                <c:v>-6.1230192427126823E-2</c:v>
              </c:pt>
              <c:pt idx="2">
                <c:v>-5.3887100844867433E-2</c:v>
              </c:pt>
              <c:pt idx="3">
                <c:v>-5.0556504530247591E-2</c:v>
              </c:pt>
              <c:pt idx="4">
                <c:v>-4.6944423093235543E-2</c:v>
              </c:pt>
              <c:pt idx="5">
                <c:v>-4.2866872070415361E-2</c:v>
              </c:pt>
              <c:pt idx="6">
                <c:v>-4.2928802194418123E-2</c:v>
              </c:pt>
              <c:pt idx="7">
                <c:v>-3.9848909022393242E-2</c:v>
              </c:pt>
              <c:pt idx="8">
                <c:v>-3.7510920340421333E-2</c:v>
              </c:pt>
              <c:pt idx="9">
                <c:v>-3.4664618285452919E-2</c:v>
              </c:pt>
              <c:pt idx="10">
                <c:v>-3.2990606924715372E-2</c:v>
              </c:pt>
              <c:pt idx="11">
                <c:v>-3.1287697296044123E-2</c:v>
              </c:pt>
              <c:pt idx="12">
                <c:v>-2.9190367313618779E-2</c:v>
              </c:pt>
              <c:pt idx="13">
                <c:v>-2.7309680016473849E-2</c:v>
              </c:pt>
              <c:pt idx="14">
                <c:v>-2.6847228814981739E-2</c:v>
              </c:pt>
            </c:numLit>
          </c:yVal>
          <c:smooth val="1"/>
          <c:extLst>
            <c:ext xmlns:c16="http://schemas.microsoft.com/office/drawing/2014/chart" uri="{C3380CC4-5D6E-409C-BE32-E72D297353CC}">
              <c16:uniqueId val="{00000001-37B5-47AD-9776-E2517032A65C}"/>
            </c:ext>
          </c:extLst>
        </c:ser>
        <c:ser>
          <c:idx val="2"/>
          <c:order val="2"/>
          <c:tx>
            <c:v>Rows 2-3</c:v>
          </c:tx>
          <c:spPr>
            <a:ln w="25400" cap="rnd">
              <a:solidFill>
                <a:srgbClr val="FFC000"/>
              </a:solidFill>
              <a:prstDash val="solid"/>
              <a:round/>
            </a:ln>
          </c:spPr>
          <c:marker>
            <c:symbol val="diamond"/>
            <c:size val="5"/>
            <c:spPr>
              <a:solidFill>
                <a:srgbClr val="FFC000"/>
              </a:solidFill>
              <a:ln w="9525">
                <a:solidFill>
                  <a:srgbClr val="FFC00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8.1073713179508136E-3</c:v>
              </c:pt>
              <c:pt idx="1">
                <c:v>7.6517908046106536E-3</c:v>
              </c:pt>
              <c:pt idx="2">
                <c:v>9.2683411731249235E-3</c:v>
              </c:pt>
              <c:pt idx="3">
                <c:v>1.0238376966464791E-2</c:v>
              </c:pt>
              <c:pt idx="4">
                <c:v>9.2200135927035607E-3</c:v>
              </c:pt>
              <c:pt idx="5">
                <c:v>9.9166975663432227E-3</c:v>
              </c:pt>
              <c:pt idx="6">
                <c:v>1.0089213751990119E-2</c:v>
              </c:pt>
              <c:pt idx="7">
                <c:v>1.042129547577165E-2</c:v>
              </c:pt>
              <c:pt idx="8">
                <c:v>9.2827279069497316E-3</c:v>
              </c:pt>
              <c:pt idx="9">
                <c:v>9.262720338009919E-3</c:v>
              </c:pt>
              <c:pt idx="10">
                <c:v>9.3452752832057263E-3</c:v>
              </c:pt>
              <c:pt idx="11">
                <c:v>8.6576651881570751E-3</c:v>
              </c:pt>
              <c:pt idx="12">
                <c:v>9.2615501602419329E-3</c:v>
              </c:pt>
              <c:pt idx="13">
                <c:v>8.5752205936554249E-3</c:v>
              </c:pt>
              <c:pt idx="14">
                <c:v>8.5071972826661103E-3</c:v>
              </c:pt>
            </c:numLit>
          </c:yVal>
          <c:smooth val="1"/>
          <c:extLst>
            <c:ext xmlns:c16="http://schemas.microsoft.com/office/drawing/2014/chart" uri="{C3380CC4-5D6E-409C-BE32-E72D297353CC}">
              <c16:uniqueId val="{00000002-37B5-47AD-9776-E2517032A65C}"/>
            </c:ext>
          </c:extLst>
        </c:ser>
        <c:ser>
          <c:idx val="3"/>
          <c:order val="3"/>
          <c:tx>
            <c:v>Rows 2-3</c:v>
          </c:tx>
          <c:spPr>
            <a:ln w="25400" cap="rnd">
              <a:solidFill>
                <a:srgbClr val="FFC000"/>
              </a:solidFill>
              <a:prstDash val="solid"/>
              <a:round/>
            </a:ln>
          </c:spPr>
          <c:marker>
            <c:symbol val="diamond"/>
            <c:size val="5"/>
            <c:spPr>
              <a:solidFill>
                <a:srgbClr val="FFC000"/>
              </a:solidFill>
              <a:ln w="9525">
                <a:solidFill>
                  <a:schemeClr val="accent4"/>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-4.2304965332511407E-2</c:v>
              </c:pt>
              <c:pt idx="1">
                <c:v>-3.3080429336414592E-2</c:v>
              </c:pt>
              <c:pt idx="2">
                <c:v>-3.1165704353874338E-2</c:v>
              </c:pt>
              <c:pt idx="3">
                <c:v>-2.7950446131196179E-2</c:v>
              </c:pt>
              <c:pt idx="4">
                <c:v>-2.5311636188925912E-2</c:v>
              </c:pt>
              <c:pt idx="5">
                <c:v>-2.4069456471874411E-2</c:v>
              </c:pt>
              <c:pt idx="6">
                <c:v>-2.3782319147960852E-2</c:v>
              </c:pt>
              <c:pt idx="7">
                <c:v>-2.2445683295408352E-2</c:v>
              </c:pt>
              <c:pt idx="8">
                <c:v>-2.1504811912745319E-2</c:v>
              </c:pt>
              <c:pt idx="9">
                <c:v>-2.3543159761524761E-2</c:v>
              </c:pt>
              <c:pt idx="10">
                <c:v>-2.2767784479184899E-2</c:v>
              </c:pt>
              <c:pt idx="11">
                <c:v>-2.201861985404998E-2</c:v>
              </c:pt>
              <c:pt idx="12">
                <c:v>-1.97049255760724E-2</c:v>
              </c:pt>
              <c:pt idx="13">
                <c:v>-1.9906042782262739E-2</c:v>
              </c:pt>
              <c:pt idx="14">
                <c:v>-2.051157642701186E-2</c:v>
              </c:pt>
            </c:numLit>
          </c:yVal>
          <c:smooth val="1"/>
          <c:extLst>
            <c:ext xmlns:c16="http://schemas.microsoft.com/office/drawing/2014/chart" uri="{C3380CC4-5D6E-409C-BE32-E72D297353CC}">
              <c16:uniqueId val="{00000003-37B5-47AD-9776-E2517032A65C}"/>
            </c:ext>
          </c:extLst>
        </c:ser>
        <c:ser>
          <c:idx val="4"/>
          <c:order val="4"/>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yVal>
          <c:smooth val="1"/>
          <c:extLst>
            <c:ext xmlns:c16="http://schemas.microsoft.com/office/drawing/2014/chart" uri="{C3380CC4-5D6E-409C-BE32-E72D297353CC}">
              <c16:uniqueId val="{00000004-37B5-47AD-9776-E2517032A65C}"/>
            </c:ext>
          </c:extLst>
        </c:ser>
        <c:ser>
          <c:idx val="5"/>
          <c:order val="5"/>
          <c:tx>
            <c:v>Rows 4-6</c:v>
          </c:tx>
          <c:spPr>
            <a:ln w="25400" cap="rnd">
              <a:solidFill>
                <a:srgbClr val="92D050"/>
              </a:solidFill>
              <a:prstDash val="solid"/>
              <a:round/>
            </a:ln>
          </c:spPr>
          <c:marker>
            <c:symbol val="x"/>
            <c:size val="5"/>
            <c:spPr>
              <a:noFill/>
              <a:ln w="9525">
                <a:solidFill>
                  <a:srgbClr val="92D050"/>
                </a:solidFill>
                <a:prstDash val="solid"/>
              </a:ln>
            </c:spPr>
          </c:marker>
          <c:xVal>
            <c:numLit>
              <c:formatCode>General</c:formatCode>
              <c:ptCount val="15"/>
              <c:pt idx="0">
                <c:v>45</c:v>
              </c:pt>
              <c:pt idx="1">
                <c:v>51</c:v>
              </c:pt>
              <c:pt idx="2">
                <c:v>58</c:v>
              </c:pt>
              <c:pt idx="3">
                <c:v>65</c:v>
              </c:pt>
              <c:pt idx="4">
                <c:v>72</c:v>
              </c:pt>
              <c:pt idx="5">
                <c:v>78</c:v>
              </c:pt>
              <c:pt idx="6">
                <c:v>85</c:v>
              </c:pt>
              <c:pt idx="7">
                <c:v>92</c:v>
              </c:pt>
              <c:pt idx="8">
                <c:v>98</c:v>
              </c:pt>
              <c:pt idx="9">
                <c:v>105</c:v>
              </c:pt>
              <c:pt idx="10">
                <c:v>112</c:v>
              </c:pt>
              <c:pt idx="11">
                <c:v>119</c:v>
              </c:pt>
              <c:pt idx="12">
                <c:v>125</c:v>
              </c:pt>
              <c:pt idx="13">
                <c:v>132</c:v>
              </c:pt>
              <c:pt idx="14">
                <c:v>139</c:v>
              </c:pt>
            </c:numLit>
          </c:xVal>
          <c:yVal>
            <c:numLit>
              <c:formatCode>General</c:formatCode>
              <c:ptCount val="15"/>
              <c:pt idx="0">
                <c:v>-6.1028642608823631E-2</c:v>
              </c:pt>
              <c:pt idx="1">
                <c:v>-4.827428767514317E-2</c:v>
              </c:pt>
              <c:pt idx="2">
                <c:v>-4.5217534451432798E-2</c:v>
              </c:pt>
              <c:pt idx="3">
                <c:v>-4.0236184129510397E-2</c:v>
              </c:pt>
              <c:pt idx="4">
                <c:v>-3.4826377690477292E-2</c:v>
              </c:pt>
              <c:pt idx="5">
                <c:v>-3.1478420933415373E-2</c:v>
              </c:pt>
              <c:pt idx="6">
                <c:v>-3.0905684558942811E-2</c:v>
              </c:pt>
              <c:pt idx="7">
                <c:v>-3.074947432934674E-2</c:v>
              </c:pt>
              <c:pt idx="8">
                <c:v>-2.8732259691435589E-2</c:v>
              </c:pt>
              <c:pt idx="9">
                <c:v>-2.8067173809818751E-2</c:v>
              </c:pt>
              <c:pt idx="10">
                <c:v>-2.8447311849011111E-2</c:v>
              </c:pt>
              <c:pt idx="11">
                <c:v>-2.73169534497823E-2</c:v>
              </c:pt>
              <c:pt idx="12">
                <c:v>-2.5165863875919351E-2</c:v>
              </c:pt>
              <c:pt idx="13">
                <c:v>-2.495529173887687E-2</c:v>
              </c:pt>
              <c:pt idx="14">
                <c:v>-2.4234215162602629E-2</c:v>
              </c:pt>
            </c:numLit>
          </c:yVal>
          <c:smooth val="1"/>
          <c:extLst>
            <c:ext xmlns:c16="http://schemas.microsoft.com/office/drawing/2014/chart" uri="{C3380CC4-5D6E-409C-BE32-E72D297353CC}">
              <c16:uniqueId val="{00000005-37B5-47AD-9776-E2517032A65C}"/>
            </c:ext>
          </c:extLst>
        </c:ser>
        <c:dLbls>
          <c:showLegendKey val="0"/>
          <c:showVal val="0"/>
          <c:showCatName val="0"/>
          <c:showSerName val="0"/>
          <c:showPercent val="0"/>
          <c:showBubbleSize val="0"/>
        </c:dLbls>
        <c:axId val="544745392"/>
        <c:axId val="544746568"/>
      </c:scatterChart>
      <c:valAx>
        <c:axId val="544745392"/>
        <c:scaling>
          <c:orientation val="minMax"/>
          <c:max val="160"/>
          <c:min val="0"/>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a:t>U (</a:t>
                </a:r>
                <a:r>
                  <a:rPr lang="en-US" sz="1500" b="0" i="0" strike="noStrike" baseline="0"/>
                  <a:t>mph</a:t>
                </a:r>
                <a:r>
                  <a:rPr lang="en-US"/>
                  <a:t>) </a:t>
                </a:r>
                <a:r>
                  <a:rPr lang="en-US" sz="1500" b="0" i="0" strike="noStrike" baseline="0"/>
                  <a:t>[3sec at 10m]</a:t>
                </a:r>
                <a:endParaRPr lang="en-US" baseline="-25000"/>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6568"/>
        <c:crossesAt val="-0.2"/>
        <c:crossBetween val="midCat"/>
        <c:majorUnit val="20"/>
      </c:valAx>
      <c:valAx>
        <c:axId val="544746568"/>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en-US" sz="1500" b="0" i="0" strike="noStrike" baseline="0"/>
                  <a:t>GC</a:t>
                </a:r>
                <a:r>
                  <a:rPr lang="en-US" sz="1500" b="0" i="0" strike="noStrike" baseline="-25000"/>
                  <a:t>M-Wing</a:t>
                </a:r>
                <a:endParaRPr lang="en-US" baseline="-25000"/>
              </a:p>
            </c:rich>
          </c:tx>
          <c:overlay val="0"/>
          <c:spPr>
            <a:noFill/>
            <a:ln>
              <a:noFill/>
              <a:prstDash val="solid"/>
            </a:ln>
          </c:spPr>
        </c:title>
        <c:numFmt formatCode="#,##0.00" sourceLinked="0"/>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crossAx val="544745392"/>
        <c:crossesAt val="0"/>
        <c:crossBetween val="midCat"/>
      </c:valAx>
    </c:plotArea>
    <c:legend>
      <c:legendPos val="r"/>
      <c:legendEntry>
        <c:idx val="1"/>
        <c:delete val="1"/>
      </c:legendEntry>
      <c:legendEntry>
        <c:idx val="3"/>
        <c:delete val="1"/>
      </c:legendEntry>
      <c:legendEntry>
        <c:idx val="5"/>
        <c:delete val="1"/>
      </c:legendEntry>
      <c:overlay val="0"/>
      <c:spPr>
        <a:noFill/>
        <a:ln>
          <a:noFill/>
          <a:prstDash val="solid"/>
        </a:ln>
      </c:spPr>
      <c:txPr>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png"/><Relationship Id="rId5" Type="http://schemas.openxmlformats.org/officeDocument/2006/relationships/chart" Target="../charts/chart5.xml"/><Relationship Id="rId10" Type="http://schemas.openxmlformats.org/officeDocument/2006/relationships/image" Target="../media/image1.png"/><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1704975</xdr:colOff>
      <xdr:row>90</xdr:row>
      <xdr:rowOff>76200</xdr:rowOff>
    </xdr:from>
    <xdr:to>
      <xdr:col>10</xdr:col>
      <xdr:colOff>524613</xdr:colOff>
      <xdr:row>112</xdr:row>
      <xdr:rowOff>60834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457200</xdr:colOff>
      <xdr:row>90</xdr:row>
      <xdr:rowOff>76200</xdr:rowOff>
    </xdr:from>
    <xdr:to>
      <xdr:col>23</xdr:col>
      <xdr:colOff>142371</xdr:colOff>
      <xdr:row>112</xdr:row>
      <xdr:rowOff>60834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90</xdr:row>
      <xdr:rowOff>104775</xdr:rowOff>
    </xdr:from>
    <xdr:to>
      <xdr:col>35</xdr:col>
      <xdr:colOff>294771</xdr:colOff>
      <xdr:row>112</xdr:row>
      <xdr:rowOff>89409</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37</xdr:col>
      <xdr:colOff>76200</xdr:colOff>
      <xdr:row>90</xdr:row>
      <xdr:rowOff>123825</xdr:rowOff>
    </xdr:from>
    <xdr:to>
      <xdr:col>47</xdr:col>
      <xdr:colOff>370971</xdr:colOff>
      <xdr:row>112</xdr:row>
      <xdr:rowOff>108459</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104775</xdr:colOff>
      <xdr:row>90</xdr:row>
      <xdr:rowOff>161925</xdr:rowOff>
    </xdr:from>
    <xdr:to>
      <xdr:col>59</xdr:col>
      <xdr:colOff>399546</xdr:colOff>
      <xdr:row>112</xdr:row>
      <xdr:rowOff>146559</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61</xdr:col>
      <xdr:colOff>466725</xdr:colOff>
      <xdr:row>90</xdr:row>
      <xdr:rowOff>161925</xdr:rowOff>
    </xdr:from>
    <xdr:to>
      <xdr:col>72</xdr:col>
      <xdr:colOff>151896</xdr:colOff>
      <xdr:row>112</xdr:row>
      <xdr:rowOff>146559</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75</xdr:col>
      <xdr:colOff>266700</xdr:colOff>
      <xdr:row>90</xdr:row>
      <xdr:rowOff>9525</xdr:rowOff>
    </xdr:from>
    <xdr:to>
      <xdr:col>85</xdr:col>
      <xdr:colOff>561471</xdr:colOff>
      <xdr:row>111</xdr:row>
      <xdr:rowOff>184659</xdr:rowOff>
    </xdr:to>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87</xdr:col>
      <xdr:colOff>266700</xdr:colOff>
      <xdr:row>90</xdr:row>
      <xdr:rowOff>9525</xdr:rowOff>
    </xdr:from>
    <xdr:to>
      <xdr:col>97</xdr:col>
      <xdr:colOff>561471</xdr:colOff>
      <xdr:row>111</xdr:row>
      <xdr:rowOff>184659</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99</xdr:col>
      <xdr:colOff>266700</xdr:colOff>
      <xdr:row>90</xdr:row>
      <xdr:rowOff>9525</xdr:rowOff>
    </xdr:from>
    <xdr:to>
      <xdr:col>109</xdr:col>
      <xdr:colOff>561471</xdr:colOff>
      <xdr:row>111</xdr:row>
      <xdr:rowOff>184659</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11</xdr:col>
      <xdr:colOff>0</xdr:colOff>
      <xdr:row>4</xdr:row>
      <xdr:rowOff>47625</xdr:rowOff>
    </xdr:from>
    <xdr:to>
      <xdr:col>21</xdr:col>
      <xdr:colOff>266905</xdr:colOff>
      <xdr:row>62</xdr:row>
      <xdr:rowOff>164138</xdr:rowOff>
    </xdr:to>
    <xdr:pic>
      <xdr:nvPicPr>
        <xdr:cNvPr id="11" name="Picture 1">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0"/>
        <a:stretch>
          <a:fillRect/>
        </a:stretch>
      </xdr:blipFill>
      <xdr:spPr>
        <a:xfrm>
          <a:off x="11249025" y="809625"/>
          <a:ext cx="6362905" cy="5907713"/>
        </a:xfrm>
        <a:prstGeom prst="rect">
          <a:avLst/>
        </a:prstGeom>
        <a:ln>
          <a:prstDash val="solid"/>
        </a:ln>
      </xdr:spPr>
    </xdr:pic>
    <xdr:clientData/>
  </xdr:twoCellAnchor>
  <xdr:twoCellAnchor editAs="oneCell">
    <xdr:from>
      <xdr:col>22</xdr:col>
      <xdr:colOff>392308</xdr:colOff>
      <xdr:row>5</xdr:row>
      <xdr:rowOff>38100</xdr:rowOff>
    </xdr:from>
    <xdr:to>
      <xdr:col>34</xdr:col>
      <xdr:colOff>488118</xdr:colOff>
      <xdr:row>61</xdr:row>
      <xdr:rowOff>69464</xdr:rowOff>
    </xdr:to>
    <xdr:pic>
      <xdr:nvPicPr>
        <xdr:cNvPr id="12" name="Picture 2">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1"/>
        <a:stretch>
          <a:fillRect/>
        </a:stretch>
      </xdr:blipFill>
      <xdr:spPr>
        <a:xfrm>
          <a:off x="18346933" y="990600"/>
          <a:ext cx="7411010" cy="544156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57150</xdr:colOff>
      <xdr:row>0</xdr:row>
      <xdr:rowOff>76200</xdr:rowOff>
    </xdr:from>
    <xdr:to>
      <xdr:col>7</xdr:col>
      <xdr:colOff>605150</xdr:colOff>
      <xdr:row>4</xdr:row>
      <xdr:rowOff>68646</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143625" y="76200"/>
          <a:ext cx="2982590" cy="752541"/>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57150</xdr:colOff>
      <xdr:row>0</xdr:row>
      <xdr:rowOff>76200</xdr:rowOff>
    </xdr:from>
    <xdr:to>
      <xdr:col>7</xdr:col>
      <xdr:colOff>606420</xdr:colOff>
      <xdr:row>4</xdr:row>
      <xdr:rowOff>66741</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5810250" y="76200"/>
          <a:ext cx="2871465" cy="762066"/>
        </a:xfrm>
        <a:prstGeom prst="rect">
          <a:avLst/>
        </a:prstGeom>
        <a:ln>
          <a:prstDash val="soli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352425</xdr:colOff>
      <xdr:row>0</xdr:row>
      <xdr:rowOff>76200</xdr:rowOff>
    </xdr:from>
    <xdr:to>
      <xdr:col>6</xdr:col>
      <xdr:colOff>899790</xdr:colOff>
      <xdr:row>4</xdr:row>
      <xdr:rowOff>57216</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5019675" y="76200"/>
          <a:ext cx="2871465" cy="762066"/>
        </a:xfrm>
        <a:prstGeom prst="rect">
          <a:avLst/>
        </a:prstGeom>
        <a:ln>
          <a:prstDash val="solid"/>
        </a:ln>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0</xdr:rowOff>
        </xdr:from>
        <xdr:to>
          <xdr:col>8</xdr:col>
          <xdr:colOff>0</xdr:colOff>
          <xdr:row>3</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444408A7-6FEC-3DF7-18A4-1037B14BC76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Exterior Top of Pile Loads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9525</xdr:rowOff>
        </xdr:from>
        <xdr:to>
          <xdr:col>12</xdr:col>
          <xdr:colOff>0</xdr:colOff>
          <xdr:row>3</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A147ABC2-CD69-441F-D06B-C38D4BA077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Interior Top of Pile Loads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xdr:row>
          <xdr:rowOff>0</xdr:rowOff>
        </xdr:from>
        <xdr:to>
          <xdr:col>16</xdr:col>
          <xdr:colOff>0</xdr:colOff>
          <xdr:row>4</xdr:row>
          <xdr:rowOff>0</xdr:rowOff>
        </xdr:to>
        <xdr:sp macro="" textlink="">
          <xdr:nvSpPr>
            <xdr:cNvPr id="6147" name="Button 3" hidden="1">
              <a:extLst>
                <a:ext uri="{63B3BB69-23CF-44E3-9099-C40C66FF867C}">
                  <a14:compatExt spid="_x0000_s6147"/>
                </a:ext>
                <a:ext uri="{FF2B5EF4-FFF2-40B4-BE49-F238E27FC236}">
                  <a16:creationId xmlns:a16="http://schemas.microsoft.com/office/drawing/2014/main" id="{9F8D03CD-564F-ABB2-F7E5-8C4939DC52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Results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7</xdr:col>
      <xdr:colOff>14968</xdr:colOff>
      <xdr:row>1</xdr:row>
      <xdr:rowOff>32657</xdr:rowOff>
    </xdr:from>
    <xdr:to>
      <xdr:col>10</xdr:col>
      <xdr:colOff>444953</xdr:colOff>
      <xdr:row>5</xdr:row>
      <xdr:rowOff>25522</xdr:rowOff>
    </xdr:to>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cstate="print"/>
        <a:stretch>
          <a:fillRect/>
        </a:stretch>
      </xdr:blipFill>
      <xdr:spPr>
        <a:xfrm>
          <a:off x="8511268" y="223157"/>
          <a:ext cx="2868385" cy="802490"/>
        </a:xfrm>
        <a:prstGeom prst="rect">
          <a:avLst/>
        </a:prstGeom>
        <a:ln>
          <a:prstDash val="solid"/>
        </a:ln>
      </xdr:spPr>
    </xdr:pic>
    <xdr:clientData/>
  </xdr:twoCellAnchor>
  <xdr:oneCellAnchor>
    <xdr:from>
      <xdr:col>18</xdr:col>
      <xdr:colOff>59531</xdr:colOff>
      <xdr:row>0</xdr:row>
      <xdr:rowOff>151720</xdr:rowOff>
    </xdr:from>
    <xdr:ext cx="2874735" cy="818365"/>
    <xdr:pic>
      <xdr:nvPicPr>
        <xdr:cNvPr id="3" name="Pictur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cstate="print"/>
        <a:stretch>
          <a:fillRect/>
        </a:stretch>
      </xdr:blipFill>
      <xdr:spPr>
        <a:xfrm>
          <a:off x="19954875" y="151720"/>
          <a:ext cx="2874735" cy="818365"/>
        </a:xfrm>
        <a:prstGeom prst="rect">
          <a:avLst/>
        </a:prstGeom>
        <a:ln>
          <a:prstDash val="solid"/>
        </a:ln>
      </xdr:spPr>
    </xdr:pic>
    <xdr:clientData/>
  </xdr:oneCellAnchor>
  <xdr:oneCellAnchor>
    <xdr:from>
      <xdr:col>6</xdr:col>
      <xdr:colOff>554718</xdr:colOff>
      <xdr:row>57</xdr:row>
      <xdr:rowOff>80282</xdr:rowOff>
    </xdr:from>
    <xdr:ext cx="2874735" cy="818365"/>
    <xdr:pic>
      <xdr:nvPicPr>
        <xdr:cNvPr id="4" name="Picture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cstate="print"/>
        <a:stretch>
          <a:fillRect/>
        </a:stretch>
      </xdr:blipFill>
      <xdr:spPr>
        <a:xfrm>
          <a:off x="8108043" y="10300607"/>
          <a:ext cx="2874735" cy="818365"/>
        </a:xfrm>
        <a:prstGeom prst="rect">
          <a:avLst/>
        </a:prstGeom>
        <a:ln>
          <a:prstDash val="solid"/>
        </a:ln>
      </xdr:spPr>
    </xdr:pic>
    <xdr:clientData/>
  </xdr:oneCellAnchor>
  <xdr:oneCellAnchor>
    <xdr:from>
      <xdr:col>6</xdr:col>
      <xdr:colOff>554718</xdr:colOff>
      <xdr:row>112</xdr:row>
      <xdr:rowOff>80282</xdr:rowOff>
    </xdr:from>
    <xdr:ext cx="2874735" cy="818365"/>
    <xdr:pic>
      <xdr:nvPicPr>
        <xdr:cNvPr id="5" name="Pictur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1" cstate="print"/>
        <a:stretch>
          <a:fillRect/>
        </a:stretch>
      </xdr:blipFill>
      <xdr:spPr>
        <a:xfrm>
          <a:off x="8108043" y="20139932"/>
          <a:ext cx="2874735" cy="818365"/>
        </a:xfrm>
        <a:prstGeom prst="rect">
          <a:avLst/>
        </a:prstGeom>
        <a:ln>
          <a:prstDash val="solid"/>
        </a:ln>
      </xdr:spPr>
    </xdr:pic>
    <xdr:clientData/>
  </xdr:oneCellAnchor>
  <xdr:oneCellAnchor>
    <xdr:from>
      <xdr:col>17</xdr:col>
      <xdr:colOff>554718</xdr:colOff>
      <xdr:row>57</xdr:row>
      <xdr:rowOff>80282</xdr:rowOff>
    </xdr:from>
    <xdr:ext cx="2874735" cy="818365"/>
    <xdr:pic>
      <xdr:nvPicPr>
        <xdr:cNvPr id="6" name="Picture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1" cstate="print"/>
        <a:stretch>
          <a:fillRect/>
        </a:stretch>
      </xdr:blipFill>
      <xdr:spPr>
        <a:xfrm>
          <a:off x="19661868" y="10300607"/>
          <a:ext cx="2874735" cy="818365"/>
        </a:xfrm>
        <a:prstGeom prst="rect">
          <a:avLst/>
        </a:prstGeom>
        <a:ln>
          <a:prstDash val="solid"/>
        </a:ln>
      </xdr:spPr>
    </xdr:pic>
    <xdr:clientData/>
  </xdr:oneCellAnchor>
  <xdr:oneCellAnchor>
    <xdr:from>
      <xdr:col>17</xdr:col>
      <xdr:colOff>554718</xdr:colOff>
      <xdr:row>112</xdr:row>
      <xdr:rowOff>80282</xdr:rowOff>
    </xdr:from>
    <xdr:ext cx="2874735" cy="818365"/>
    <xdr:pic>
      <xdr:nvPicPr>
        <xdr:cNvPr id="7" name="Picture 6">
          <a:extLst>
            <a:ext uri="{FF2B5EF4-FFF2-40B4-BE49-F238E27FC236}">
              <a16:creationId xmlns:a16="http://schemas.microsoft.com/office/drawing/2014/main" id="{00000000-0008-0000-1600-000007000000}"/>
            </a:ext>
          </a:extLst>
        </xdr:cNvPr>
        <xdr:cNvPicPr>
          <a:picLocks noChangeAspect="1"/>
        </xdr:cNvPicPr>
      </xdr:nvPicPr>
      <xdr:blipFill>
        <a:blip xmlns:r="http://schemas.openxmlformats.org/officeDocument/2006/relationships" r:embed="rId1" cstate="print"/>
        <a:stretch>
          <a:fillRect/>
        </a:stretch>
      </xdr:blipFill>
      <xdr:spPr>
        <a:xfrm>
          <a:off x="19661868" y="20139932"/>
          <a:ext cx="2874735" cy="818365"/>
        </a:xfrm>
        <a:prstGeom prst="rect">
          <a:avLst/>
        </a:prstGeom>
        <a:ln>
          <a:prstDash val="solid"/>
        </a:ln>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7</xdr:col>
      <xdr:colOff>14968</xdr:colOff>
      <xdr:row>1</xdr:row>
      <xdr:rowOff>32657</xdr:rowOff>
    </xdr:from>
    <xdr:to>
      <xdr:col>10</xdr:col>
      <xdr:colOff>444954</xdr:colOff>
      <xdr:row>5</xdr:row>
      <xdr:rowOff>25522</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stretch>
          <a:fillRect/>
        </a:stretch>
      </xdr:blipFill>
      <xdr:spPr>
        <a:xfrm>
          <a:off x="9565368" y="210457"/>
          <a:ext cx="2960461" cy="799315"/>
        </a:xfrm>
        <a:prstGeom prst="rect">
          <a:avLst/>
        </a:prstGeom>
        <a:ln>
          <a:prstDash val="solid"/>
        </a:ln>
      </xdr:spPr>
    </xdr:pic>
    <xdr:clientData/>
  </xdr:twoCellAnchor>
  <xdr:oneCellAnchor>
    <xdr:from>
      <xdr:col>17</xdr:col>
      <xdr:colOff>750093</xdr:colOff>
      <xdr:row>0</xdr:row>
      <xdr:rowOff>134257</xdr:rowOff>
    </xdr:from>
    <xdr:ext cx="2874735" cy="818365"/>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cstate="print"/>
        <a:stretch>
          <a:fillRect/>
        </a:stretch>
      </xdr:blipFill>
      <xdr:spPr>
        <a:xfrm>
          <a:off x="21681281" y="134257"/>
          <a:ext cx="2874735" cy="818365"/>
        </a:xfrm>
        <a:prstGeom prst="rect">
          <a:avLst/>
        </a:prstGeom>
        <a:ln>
          <a:prstDash val="solid"/>
        </a:ln>
      </xdr:spPr>
    </xdr:pic>
    <xdr:clientData/>
  </xdr:oneCellAnchor>
  <xdr:oneCellAnchor>
    <xdr:from>
      <xdr:col>6</xdr:col>
      <xdr:colOff>554718</xdr:colOff>
      <xdr:row>50</xdr:row>
      <xdr:rowOff>80282</xdr:rowOff>
    </xdr:from>
    <xdr:ext cx="2874735" cy="818365"/>
    <xdr:pic>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1" cstate="print"/>
        <a:stretch>
          <a:fillRect/>
        </a:stretch>
      </xdr:blipFill>
      <xdr:spPr>
        <a:xfrm>
          <a:off x="9117693" y="9865632"/>
          <a:ext cx="2874735" cy="818365"/>
        </a:xfrm>
        <a:prstGeom prst="rect">
          <a:avLst/>
        </a:prstGeom>
        <a:ln>
          <a:prstDash val="solid"/>
        </a:ln>
      </xdr:spPr>
    </xdr:pic>
    <xdr:clientData/>
  </xdr:oneCellAnchor>
  <xdr:oneCellAnchor>
    <xdr:from>
      <xdr:col>6</xdr:col>
      <xdr:colOff>554718</xdr:colOff>
      <xdr:row>98</xdr:row>
      <xdr:rowOff>80282</xdr:rowOff>
    </xdr:from>
    <xdr:ext cx="2874735" cy="818365"/>
    <xdr:pic>
      <xdr:nvPicPr>
        <xdr:cNvPr id="5" name="Picture 4">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1" cstate="print"/>
        <a:stretch>
          <a:fillRect/>
        </a:stretch>
      </xdr:blipFill>
      <xdr:spPr>
        <a:xfrm>
          <a:off x="9117693" y="19276332"/>
          <a:ext cx="2874735" cy="818365"/>
        </a:xfrm>
        <a:prstGeom prst="rect">
          <a:avLst/>
        </a:prstGeom>
        <a:ln>
          <a:prstDash val="solid"/>
        </a:ln>
      </xdr:spPr>
    </xdr:pic>
    <xdr:clientData/>
  </xdr:oneCellAnchor>
  <xdr:oneCellAnchor>
    <xdr:from>
      <xdr:col>17</xdr:col>
      <xdr:colOff>554718</xdr:colOff>
      <xdr:row>50</xdr:row>
      <xdr:rowOff>80282</xdr:rowOff>
    </xdr:from>
    <xdr:ext cx="2874735" cy="818365"/>
    <xdr:pic>
      <xdr:nvPicPr>
        <xdr:cNvPr id="6" name="Picture 5">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1" cstate="print"/>
        <a:stretch>
          <a:fillRect/>
        </a:stretch>
      </xdr:blipFill>
      <xdr:spPr>
        <a:xfrm>
          <a:off x="21500193" y="9865632"/>
          <a:ext cx="2874735" cy="818365"/>
        </a:xfrm>
        <a:prstGeom prst="rect">
          <a:avLst/>
        </a:prstGeom>
        <a:ln>
          <a:prstDash val="solid"/>
        </a:ln>
      </xdr:spPr>
    </xdr:pic>
    <xdr:clientData/>
  </xdr:oneCellAnchor>
  <xdr:oneCellAnchor>
    <xdr:from>
      <xdr:col>17</xdr:col>
      <xdr:colOff>554718</xdr:colOff>
      <xdr:row>98</xdr:row>
      <xdr:rowOff>80282</xdr:rowOff>
    </xdr:from>
    <xdr:ext cx="2874735" cy="818365"/>
    <xdr:pic>
      <xdr:nvPicPr>
        <xdr:cNvPr id="7" name="Picture 6">
          <a:extLst>
            <a:ext uri="{FF2B5EF4-FFF2-40B4-BE49-F238E27FC236}">
              <a16:creationId xmlns:a16="http://schemas.microsoft.com/office/drawing/2014/main" id="{00000000-0008-0000-1700-000007000000}"/>
            </a:ext>
          </a:extLst>
        </xdr:cNvPr>
        <xdr:cNvPicPr>
          <a:picLocks noChangeAspect="1"/>
        </xdr:cNvPicPr>
      </xdr:nvPicPr>
      <xdr:blipFill>
        <a:blip xmlns:r="http://schemas.openxmlformats.org/officeDocument/2006/relationships" r:embed="rId1" cstate="print"/>
        <a:stretch>
          <a:fillRect/>
        </a:stretch>
      </xdr:blipFill>
      <xdr:spPr>
        <a:xfrm>
          <a:off x="21500193" y="19276332"/>
          <a:ext cx="2874735" cy="818365"/>
        </a:xfrm>
        <a:prstGeom prst="rect">
          <a:avLst/>
        </a:prstGeom>
        <a:ln>
          <a:prstDash val="solid"/>
        </a:ln>
      </xdr:spPr>
    </xdr:pic>
    <xdr:clientData/>
  </xdr:oneCellAnchor>
</xdr:wsDr>
</file>

<file path=xl/drawings/drawing8.xml><?xml version="1.0" encoding="utf-8"?>
<xdr:wsDr xmlns:xdr="http://schemas.openxmlformats.org/drawingml/2006/spreadsheetDrawing" xmlns:a="http://schemas.openxmlformats.org/drawingml/2006/main">
  <xdr:twoCellAnchor editAs="oneCell">
    <xdr:from>
      <xdr:col>7</xdr:col>
      <xdr:colOff>14968</xdr:colOff>
      <xdr:row>1</xdr:row>
      <xdr:rowOff>32657</xdr:rowOff>
    </xdr:from>
    <xdr:to>
      <xdr:col>10</xdr:col>
      <xdr:colOff>444954</xdr:colOff>
      <xdr:row>5</xdr:row>
      <xdr:rowOff>25522</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cstate="print"/>
        <a:stretch>
          <a:fillRect/>
        </a:stretch>
      </xdr:blipFill>
      <xdr:spPr>
        <a:xfrm>
          <a:off x="7654018" y="223157"/>
          <a:ext cx="2868385" cy="802490"/>
        </a:xfrm>
        <a:prstGeom prst="rect">
          <a:avLst/>
        </a:prstGeom>
        <a:ln>
          <a:prstDash val="solid"/>
        </a:ln>
      </xdr:spPr>
    </xdr:pic>
    <xdr:clientData/>
  </xdr:twoCellAnchor>
  <xdr:oneCellAnchor>
    <xdr:from>
      <xdr:col>17</xdr:col>
      <xdr:colOff>554718</xdr:colOff>
      <xdr:row>0</xdr:row>
      <xdr:rowOff>80282</xdr:rowOff>
    </xdr:from>
    <xdr:ext cx="2874735" cy="818365"/>
    <xdr:pic>
      <xdr:nvPicPr>
        <xdr:cNvPr id="5" name="Picture 4">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1" cstate="print"/>
        <a:stretch>
          <a:fillRect/>
        </a:stretch>
      </xdr:blipFill>
      <xdr:spPr>
        <a:xfrm>
          <a:off x="19239593" y="80282"/>
          <a:ext cx="2874735" cy="818365"/>
        </a:xfrm>
        <a:prstGeom prst="rect">
          <a:avLst/>
        </a:prstGeom>
        <a:ln>
          <a:prstDash val="solid"/>
        </a:ln>
      </xdr:spPr>
    </xdr:pic>
    <xdr:clientData/>
  </xdr:oneCellAnchor>
  <xdr:oneCellAnchor>
    <xdr:from>
      <xdr:col>6</xdr:col>
      <xdr:colOff>554718</xdr:colOff>
      <xdr:row>50</xdr:row>
      <xdr:rowOff>80282</xdr:rowOff>
    </xdr:from>
    <xdr:ext cx="2874735" cy="818365"/>
    <xdr:pic>
      <xdr:nvPicPr>
        <xdr:cNvPr id="6" name="Picture 5">
          <a:extLst>
            <a:ext uri="{FF2B5EF4-FFF2-40B4-BE49-F238E27FC236}">
              <a16:creationId xmlns:a16="http://schemas.microsoft.com/office/drawing/2014/main" id="{00000000-0008-0000-1800-000006000000}"/>
            </a:ext>
          </a:extLst>
        </xdr:cNvPr>
        <xdr:cNvPicPr>
          <a:picLocks noChangeAspect="1"/>
        </xdr:cNvPicPr>
      </xdr:nvPicPr>
      <xdr:blipFill>
        <a:blip xmlns:r="http://schemas.openxmlformats.org/officeDocument/2006/relationships" r:embed="rId1" cstate="print"/>
        <a:stretch>
          <a:fillRect/>
        </a:stretch>
      </xdr:blipFill>
      <xdr:spPr>
        <a:xfrm>
          <a:off x="19239593" y="80282"/>
          <a:ext cx="2874735" cy="818365"/>
        </a:xfrm>
        <a:prstGeom prst="rect">
          <a:avLst/>
        </a:prstGeom>
        <a:ln>
          <a:prstDash val="solid"/>
        </a:ln>
      </xdr:spPr>
    </xdr:pic>
    <xdr:clientData/>
  </xdr:oneCellAnchor>
  <xdr:oneCellAnchor>
    <xdr:from>
      <xdr:col>6</xdr:col>
      <xdr:colOff>554718</xdr:colOff>
      <xdr:row>98</xdr:row>
      <xdr:rowOff>80282</xdr:rowOff>
    </xdr:from>
    <xdr:ext cx="2874735" cy="818365"/>
    <xdr:pic>
      <xdr:nvPicPr>
        <xdr:cNvPr id="7" name="Picture 6">
          <a:extLst>
            <a:ext uri="{FF2B5EF4-FFF2-40B4-BE49-F238E27FC236}">
              <a16:creationId xmlns:a16="http://schemas.microsoft.com/office/drawing/2014/main" id="{00000000-0008-0000-1800-000007000000}"/>
            </a:ext>
          </a:extLst>
        </xdr:cNvPr>
        <xdr:cNvPicPr>
          <a:picLocks noChangeAspect="1"/>
        </xdr:cNvPicPr>
      </xdr:nvPicPr>
      <xdr:blipFill>
        <a:blip xmlns:r="http://schemas.openxmlformats.org/officeDocument/2006/relationships" r:embed="rId1" cstate="print"/>
        <a:stretch>
          <a:fillRect/>
        </a:stretch>
      </xdr:blipFill>
      <xdr:spPr>
        <a:xfrm>
          <a:off x="7825468" y="10732407"/>
          <a:ext cx="2874735" cy="818365"/>
        </a:xfrm>
        <a:prstGeom prst="rect">
          <a:avLst/>
        </a:prstGeom>
        <a:ln>
          <a:prstDash val="solid"/>
        </a:ln>
      </xdr:spPr>
    </xdr:pic>
    <xdr:clientData/>
  </xdr:oneCellAnchor>
  <xdr:oneCellAnchor>
    <xdr:from>
      <xdr:col>17</xdr:col>
      <xdr:colOff>554718</xdr:colOff>
      <xdr:row>50</xdr:row>
      <xdr:rowOff>80282</xdr:rowOff>
    </xdr:from>
    <xdr:ext cx="2874735" cy="818365"/>
    <xdr:pic>
      <xdr:nvPicPr>
        <xdr:cNvPr id="8" name="Picture 7">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1" cstate="print"/>
        <a:stretch>
          <a:fillRect/>
        </a:stretch>
      </xdr:blipFill>
      <xdr:spPr>
        <a:xfrm>
          <a:off x="19239593" y="80282"/>
          <a:ext cx="2874735" cy="818365"/>
        </a:xfrm>
        <a:prstGeom prst="rect">
          <a:avLst/>
        </a:prstGeom>
        <a:ln>
          <a:prstDash val="solid"/>
        </a:ln>
      </xdr:spPr>
    </xdr:pic>
    <xdr:clientData/>
  </xdr:oneCellAnchor>
  <xdr:oneCellAnchor>
    <xdr:from>
      <xdr:col>17</xdr:col>
      <xdr:colOff>554718</xdr:colOff>
      <xdr:row>98</xdr:row>
      <xdr:rowOff>80282</xdr:rowOff>
    </xdr:from>
    <xdr:ext cx="2874735" cy="818365"/>
    <xdr:pic>
      <xdr:nvPicPr>
        <xdr:cNvPr id="9" name="Picture 8">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1" cstate="print"/>
        <a:stretch>
          <a:fillRect/>
        </a:stretch>
      </xdr:blipFill>
      <xdr:spPr>
        <a:xfrm>
          <a:off x="19239593" y="10732407"/>
          <a:ext cx="2874735" cy="818365"/>
        </a:xfrm>
        <a:prstGeom prst="rect">
          <a:avLst/>
        </a:prstGeom>
        <a:ln>
          <a:prstDash val="solid"/>
        </a:ln>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6</xdr:col>
      <xdr:colOff>857250</xdr:colOff>
      <xdr:row>0</xdr:row>
      <xdr:rowOff>180975</xdr:rowOff>
    </xdr:from>
    <xdr:to>
      <xdr:col>10</xdr:col>
      <xdr:colOff>337117</xdr:colOff>
      <xdr:row>5</xdr:row>
      <xdr:rowOff>42871</xdr:rowOff>
    </xdr:to>
    <xdr:pic>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stretch>
          <a:fillRect/>
        </a:stretch>
      </xdr:blipFill>
      <xdr:spPr>
        <a:xfrm>
          <a:off x="8124825" y="180975"/>
          <a:ext cx="2870767" cy="814396"/>
        </a:xfrm>
        <a:prstGeom prst="rect">
          <a:avLst/>
        </a:prstGeom>
        <a:ln>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E16"/>
  <sheetViews>
    <sheetView workbookViewId="0">
      <selection activeCell="B28" sqref="B28"/>
    </sheetView>
  </sheetViews>
  <sheetFormatPr defaultRowHeight="15" x14ac:dyDescent="0.25"/>
  <cols>
    <col min="1" max="1" width="17.28515625" bestFit="1" customWidth="1"/>
    <col min="2" max="2" width="21.42578125" bestFit="1" customWidth="1"/>
    <col min="3" max="3" width="6.42578125" bestFit="1" customWidth="1"/>
    <col min="4" max="4" width="11.7109375" bestFit="1" customWidth="1"/>
    <col min="5" max="5" width="17.28515625" bestFit="1" customWidth="1"/>
  </cols>
  <sheetData>
    <row r="1" spans="1:5" x14ac:dyDescent="0.25">
      <c r="A1" s="71" t="s">
        <v>8</v>
      </c>
      <c r="B1" s="207"/>
      <c r="C1" s="207"/>
      <c r="D1" s="207"/>
      <c r="E1" s="7"/>
    </row>
    <row r="2" spans="1:5" x14ac:dyDescent="0.25">
      <c r="A2" s="208" t="s">
        <v>9</v>
      </c>
      <c r="B2" s="208" t="s">
        <v>10</v>
      </c>
      <c r="C2" s="208" t="s">
        <v>11</v>
      </c>
      <c r="D2" s="208" t="s">
        <v>12</v>
      </c>
      <c r="E2" s="208" t="s">
        <v>13</v>
      </c>
    </row>
    <row r="3" spans="1:5" x14ac:dyDescent="0.25">
      <c r="A3" s="9" t="s">
        <v>14</v>
      </c>
      <c r="B3" s="209" t="s">
        <v>15</v>
      </c>
      <c r="C3" s="209"/>
      <c r="D3" s="209"/>
      <c r="E3" s="209"/>
    </row>
    <row r="4" spans="1:5" x14ac:dyDescent="0.25">
      <c r="A4" s="9" t="s">
        <v>16</v>
      </c>
      <c r="B4" s="209" t="s">
        <v>17</v>
      </c>
      <c r="C4" s="209"/>
      <c r="D4" s="209"/>
      <c r="E4" s="209"/>
    </row>
    <row r="5" spans="1:5" x14ac:dyDescent="0.25">
      <c r="A5" s="9" t="s">
        <v>16</v>
      </c>
      <c r="B5" s="209" t="s">
        <v>18</v>
      </c>
      <c r="C5" s="209"/>
      <c r="D5" s="209"/>
      <c r="E5" s="209"/>
    </row>
    <row r="6" spans="1:5" x14ac:dyDescent="0.25">
      <c r="A6" s="9" t="s">
        <v>19</v>
      </c>
      <c r="B6" s="209" t="s">
        <v>18</v>
      </c>
      <c r="C6" s="209"/>
      <c r="D6" s="209"/>
      <c r="E6" s="209"/>
    </row>
    <row r="7" spans="1:5" x14ac:dyDescent="0.25">
      <c r="A7" s="9" t="s">
        <v>20</v>
      </c>
      <c r="B7" s="209" t="s">
        <v>21</v>
      </c>
      <c r="C7" s="209"/>
      <c r="D7" s="209"/>
      <c r="E7" s="209"/>
    </row>
    <row r="8" spans="1:5" x14ac:dyDescent="0.25">
      <c r="A8" s="9" t="s">
        <v>22</v>
      </c>
      <c r="B8" s="209" t="s">
        <v>21</v>
      </c>
      <c r="C8" s="209"/>
      <c r="D8" s="209"/>
      <c r="E8" s="209"/>
    </row>
    <row r="9" spans="1:5" x14ac:dyDescent="0.25">
      <c r="B9" s="7"/>
      <c r="C9" s="7"/>
      <c r="D9" s="7"/>
      <c r="E9" s="7"/>
    </row>
    <row r="10" spans="1:5" x14ac:dyDescent="0.25">
      <c r="A10" s="20" t="s">
        <v>23</v>
      </c>
    </row>
    <row r="11" spans="1:5" x14ac:dyDescent="0.25">
      <c r="A11" s="208" t="s">
        <v>9</v>
      </c>
      <c r="B11" s="208" t="s">
        <v>10</v>
      </c>
      <c r="C11" s="208" t="s">
        <v>11</v>
      </c>
      <c r="D11" s="208" t="s">
        <v>12</v>
      </c>
      <c r="E11" s="208" t="s">
        <v>13</v>
      </c>
    </row>
    <row r="12" spans="1:5" x14ac:dyDescent="0.25">
      <c r="A12" s="9" t="s">
        <v>24</v>
      </c>
      <c r="B12" s="209" t="s">
        <v>25</v>
      </c>
      <c r="C12" s="209"/>
      <c r="D12" s="209"/>
      <c r="E12" s="209"/>
    </row>
    <row r="13" spans="1:5" x14ac:dyDescent="0.25">
      <c r="A13" s="9" t="s">
        <v>26</v>
      </c>
      <c r="B13" s="209" t="s">
        <v>18</v>
      </c>
      <c r="C13" s="209"/>
      <c r="D13" s="209"/>
      <c r="E13" s="209"/>
    </row>
    <row r="14" spans="1:5" x14ac:dyDescent="0.25">
      <c r="A14" s="9" t="s">
        <v>27</v>
      </c>
      <c r="B14" s="209" t="s">
        <v>18</v>
      </c>
      <c r="C14" s="209"/>
      <c r="D14" s="209"/>
      <c r="E14" s="209"/>
    </row>
    <row r="15" spans="1:5" x14ac:dyDescent="0.25">
      <c r="A15" s="9" t="s">
        <v>20</v>
      </c>
      <c r="B15" s="209" t="s">
        <v>21</v>
      </c>
      <c r="C15" s="209"/>
      <c r="D15" s="209"/>
      <c r="E15" s="209"/>
    </row>
    <row r="16" spans="1:5" x14ac:dyDescent="0.25">
      <c r="A16" s="9" t="s">
        <v>22</v>
      </c>
      <c r="B16" s="209" t="s">
        <v>21</v>
      </c>
      <c r="C16" s="9"/>
      <c r="D16" s="9"/>
      <c r="E16" s="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131"/>
  <sheetViews>
    <sheetView topLeftCell="A40" zoomScale="85" zoomScaleNormal="85" workbookViewId="0">
      <selection activeCell="N10" sqref="A10:P49"/>
    </sheetView>
  </sheetViews>
  <sheetFormatPr defaultRowHeight="15" x14ac:dyDescent="0.25"/>
  <cols>
    <col min="1" max="1" width="48.5703125" bestFit="1" customWidth="1"/>
    <col min="2" max="2" width="21.42578125" customWidth="1"/>
    <col min="3" max="11" width="10.7109375" customWidth="1"/>
    <col min="12" max="12" width="13.7109375" customWidth="1"/>
    <col min="13" max="13" width="12.7109375" bestFit="1" customWidth="1"/>
    <col min="15" max="15" width="18" customWidth="1"/>
    <col min="18" max="18" width="13.5703125" customWidth="1"/>
    <col min="22" max="22" width="9.140625" customWidth="1"/>
    <col min="23" max="23" width="20.5703125" customWidth="1"/>
    <col min="24" max="24" width="8.85546875" customWidth="1"/>
    <col min="25" max="25" width="51.5703125" customWidth="1"/>
    <col min="26" max="26" width="35.140625" customWidth="1"/>
    <col min="27" max="28" width="9.140625" customWidth="1"/>
  </cols>
  <sheetData>
    <row r="1" spans="1:26" ht="15.75" customHeight="1" thickBot="1" x14ac:dyDescent="0.3">
      <c r="A1" s="168" t="s">
        <v>28</v>
      </c>
      <c r="B1" s="206" t="s">
        <v>28</v>
      </c>
      <c r="F1" s="179" t="s">
        <v>29</v>
      </c>
      <c r="O1" s="288"/>
    </row>
    <row r="2" spans="1:26" ht="15.75" customHeight="1" thickBot="1" x14ac:dyDescent="0.3">
      <c r="A2" s="168" t="s">
        <v>30</v>
      </c>
      <c r="B2" s="206" t="s">
        <v>30</v>
      </c>
      <c r="F2" s="180" t="s">
        <v>31</v>
      </c>
      <c r="H2" s="546" t="s">
        <v>32</v>
      </c>
      <c r="I2" s="547"/>
      <c r="J2" s="547"/>
      <c r="K2" s="548"/>
      <c r="O2" s="283"/>
    </row>
    <row r="3" spans="1:26" ht="18.75" customHeight="1" x14ac:dyDescent="0.3">
      <c r="A3" s="168" t="s">
        <v>33</v>
      </c>
      <c r="B3" s="206" t="s">
        <v>34</v>
      </c>
      <c r="F3" s="175" t="s">
        <v>35</v>
      </c>
      <c r="H3" s="549" t="s">
        <v>36</v>
      </c>
      <c r="I3" s="547"/>
      <c r="J3" s="547"/>
      <c r="K3" s="548"/>
      <c r="O3" s="289"/>
    </row>
    <row r="4" spans="1:26" ht="19.5" customHeight="1" thickBot="1" x14ac:dyDescent="0.35">
      <c r="A4" s="168" t="s">
        <v>37</v>
      </c>
      <c r="B4" s="206" t="s">
        <v>38</v>
      </c>
      <c r="F4" s="175"/>
      <c r="H4" s="550"/>
      <c r="I4" s="551"/>
      <c r="J4" s="551"/>
      <c r="K4" s="552"/>
      <c r="O4" s="289"/>
    </row>
    <row r="5" spans="1:26" ht="19.5" customHeight="1" x14ac:dyDescent="0.3">
      <c r="A5" s="168" t="s">
        <v>39</v>
      </c>
      <c r="B5" s="206"/>
      <c r="F5" s="175"/>
      <c r="H5" s="528"/>
      <c r="I5" s="528"/>
      <c r="J5" s="528"/>
      <c r="K5" s="528"/>
      <c r="O5" s="289"/>
    </row>
    <row r="6" spans="1:26" x14ac:dyDescent="0.25">
      <c r="A6" s="168" t="s">
        <v>40</v>
      </c>
      <c r="B6" s="174" t="e">
        <f>D69</f>
        <v>#VALUE!</v>
      </c>
      <c r="C6" s="7"/>
      <c r="D6" s="7"/>
      <c r="E6" s="7"/>
      <c r="F6" s="7"/>
      <c r="G6" s="7"/>
      <c r="H6" s="7"/>
      <c r="I6" s="7"/>
      <c r="X6" s="77"/>
    </row>
    <row r="7" spans="1:26" x14ac:dyDescent="0.25">
      <c r="A7" s="169" t="s">
        <v>41</v>
      </c>
      <c r="B7" s="164" t="s">
        <v>42</v>
      </c>
      <c r="C7" s="7"/>
      <c r="D7" s="7"/>
      <c r="E7" s="7"/>
      <c r="F7" s="7"/>
      <c r="G7" s="7"/>
      <c r="H7" s="7"/>
      <c r="I7" s="7"/>
      <c r="K7" s="160"/>
      <c r="M7" s="161"/>
      <c r="X7" s="159"/>
    </row>
    <row r="8" spans="1:26" hidden="1" x14ac:dyDescent="0.25">
      <c r="A8" s="168" t="s">
        <v>43</v>
      </c>
      <c r="B8" s="175" t="e">
        <f>IF(((B78-B79+4.7626)/B6)&gt;0.8,(B6*0.8),(B78-B79+4.7626))</f>
        <v>#VALUE!</v>
      </c>
      <c r="C8" s="7"/>
      <c r="D8" s="7"/>
      <c r="E8" s="7"/>
      <c r="F8" s="7"/>
      <c r="G8" s="7"/>
      <c r="H8" s="7"/>
      <c r="I8" s="7"/>
      <c r="K8" s="160"/>
      <c r="M8" s="161"/>
      <c r="X8" s="159"/>
    </row>
    <row r="9" spans="1:26" hidden="1" x14ac:dyDescent="0.25">
      <c r="A9" s="168" t="s">
        <v>44</v>
      </c>
      <c r="B9" s="175" t="e">
        <f>MIN(B97:B98)</f>
        <v>#VALUE!</v>
      </c>
      <c r="C9" s="7" t="s">
        <v>45</v>
      </c>
      <c r="D9" s="7"/>
      <c r="E9" s="7"/>
      <c r="F9" s="7"/>
      <c r="G9" s="7"/>
      <c r="H9" s="7"/>
      <c r="I9" s="7"/>
      <c r="X9" s="159"/>
    </row>
    <row r="10" spans="1:26" hidden="1" x14ac:dyDescent="0.25">
      <c r="A10" s="168" t="s">
        <v>46</v>
      </c>
      <c r="B10" s="175">
        <f>COUNT(B14:K15)-1</f>
        <v>-1</v>
      </c>
      <c r="C10" s="7"/>
      <c r="D10" s="7"/>
      <c r="E10" s="7"/>
      <c r="F10" s="7"/>
      <c r="G10" s="7"/>
      <c r="H10" s="7"/>
      <c r="I10" s="7"/>
      <c r="X10" s="159"/>
    </row>
    <row r="11" spans="1:26" hidden="1" x14ac:dyDescent="0.25">
      <c r="A11" s="168" t="s">
        <v>47</v>
      </c>
      <c r="B11" s="175">
        <f>COUNT(B16:K17)-1</f>
        <v>-1</v>
      </c>
      <c r="C11" s="7"/>
      <c r="D11" s="7"/>
      <c r="E11" s="7"/>
      <c r="F11" s="7"/>
      <c r="G11" s="7"/>
      <c r="H11" s="7"/>
      <c r="I11" s="7"/>
      <c r="X11" s="159"/>
    </row>
    <row r="12" spans="1:26" hidden="1" x14ac:dyDescent="0.25">
      <c r="A12" s="168" t="s">
        <v>48</v>
      </c>
      <c r="B12" s="175">
        <f>COUNT(B14:K14)</f>
        <v>0</v>
      </c>
      <c r="C12" s="7"/>
      <c r="D12" s="7"/>
      <c r="E12" s="7"/>
      <c r="F12" s="7"/>
      <c r="G12" s="7"/>
      <c r="H12" s="7"/>
      <c r="I12" s="7"/>
      <c r="X12" s="159"/>
    </row>
    <row r="13" spans="1:26" hidden="1" x14ac:dyDescent="0.25">
      <c r="A13" s="168" t="s">
        <v>49</v>
      </c>
      <c r="B13" s="175">
        <f>COUNT(B16:K16)</f>
        <v>0</v>
      </c>
      <c r="C13" s="7"/>
      <c r="D13" s="7"/>
      <c r="E13" s="7"/>
      <c r="F13" s="7"/>
      <c r="G13" s="7"/>
      <c r="H13" s="7"/>
      <c r="I13" s="7"/>
      <c r="X13" s="159"/>
    </row>
    <row r="14" spans="1:26" x14ac:dyDescent="0.25">
      <c r="A14" s="284" t="s">
        <v>50</v>
      </c>
      <c r="B14" s="164"/>
      <c r="C14" s="164"/>
      <c r="D14" s="164"/>
      <c r="E14" s="164"/>
      <c r="F14" s="164"/>
      <c r="G14" s="164"/>
      <c r="H14" s="164"/>
      <c r="I14" s="164"/>
      <c r="J14" s="164"/>
      <c r="K14" s="164"/>
      <c r="X14" s="159"/>
      <c r="Z14" t="s">
        <v>51</v>
      </c>
    </row>
    <row r="15" spans="1:26" x14ac:dyDescent="0.25">
      <c r="A15" s="284" t="s">
        <v>52</v>
      </c>
      <c r="B15" s="164"/>
      <c r="C15" s="164"/>
      <c r="D15" s="164"/>
      <c r="E15" s="164"/>
      <c r="F15" s="164"/>
      <c r="G15" s="164"/>
      <c r="H15" s="164"/>
      <c r="I15" s="164"/>
      <c r="J15" s="164"/>
      <c r="K15" s="164"/>
      <c r="X15" s="159"/>
    </row>
    <row r="16" spans="1:26" x14ac:dyDescent="0.25">
      <c r="A16" s="285" t="s">
        <v>53</v>
      </c>
      <c r="B16" s="164"/>
      <c r="C16" s="164"/>
      <c r="D16" s="164"/>
      <c r="E16" s="164"/>
      <c r="F16" s="164"/>
      <c r="G16" s="164"/>
      <c r="H16" s="164"/>
      <c r="I16" s="164"/>
      <c r="J16" s="164"/>
      <c r="K16" s="164"/>
      <c r="X16" s="159"/>
      <c r="Z16" t="s">
        <v>54</v>
      </c>
    </row>
    <row r="17" spans="1:25" x14ac:dyDescent="0.25">
      <c r="A17" s="285" t="s">
        <v>55</v>
      </c>
      <c r="B17" s="164"/>
      <c r="C17" s="164"/>
      <c r="D17" s="164"/>
      <c r="E17" s="164"/>
      <c r="F17" s="164"/>
      <c r="G17" s="164"/>
      <c r="H17" s="164"/>
      <c r="I17" s="164"/>
      <c r="J17" s="164"/>
      <c r="K17" s="164"/>
      <c r="X17" s="159"/>
    </row>
    <row r="18" spans="1:25" hidden="1" x14ac:dyDescent="0.25">
      <c r="A18" s="170" t="s">
        <v>56</v>
      </c>
      <c r="B18" s="176">
        <v>1</v>
      </c>
      <c r="C18" s="138"/>
      <c r="D18" s="138"/>
      <c r="E18" s="138"/>
      <c r="F18" s="138"/>
      <c r="G18" s="138"/>
      <c r="H18" s="7"/>
      <c r="I18" s="7"/>
      <c r="X18" s="159"/>
    </row>
    <row r="19" spans="1:25" hidden="1" x14ac:dyDescent="0.25">
      <c r="A19" s="170" t="s">
        <v>57</v>
      </c>
      <c r="B19" s="177">
        <v>0.2</v>
      </c>
      <c r="C19" s="138"/>
      <c r="D19" s="138"/>
      <c r="E19" s="138"/>
      <c r="F19" s="138"/>
      <c r="G19" s="138"/>
      <c r="H19" s="7"/>
      <c r="I19" s="7"/>
      <c r="X19" s="159"/>
    </row>
    <row r="20" spans="1:25" hidden="1" x14ac:dyDescent="0.25">
      <c r="A20" s="170" t="s">
        <v>58</v>
      </c>
      <c r="B20" s="163">
        <v>3</v>
      </c>
      <c r="C20" s="138"/>
      <c r="D20" s="138"/>
      <c r="E20" s="138"/>
      <c r="F20" s="138"/>
      <c r="G20" s="138"/>
      <c r="H20" s="7"/>
      <c r="I20" s="7"/>
      <c r="X20" s="159"/>
    </row>
    <row r="21" spans="1:25" hidden="1" x14ac:dyDescent="0.25">
      <c r="A21" s="170" t="s">
        <v>59</v>
      </c>
      <c r="B21" s="178">
        <v>0.04</v>
      </c>
      <c r="C21" s="138"/>
      <c r="D21" s="138"/>
      <c r="E21" s="138"/>
      <c r="F21" s="138"/>
      <c r="G21" s="138"/>
      <c r="H21" s="7"/>
      <c r="I21" s="7"/>
      <c r="X21" s="159"/>
    </row>
    <row r="22" spans="1:25" hidden="1" x14ac:dyDescent="0.25">
      <c r="A22" s="169" t="s">
        <v>60</v>
      </c>
      <c r="B22" s="163" t="s">
        <v>61</v>
      </c>
      <c r="C22" s="78" t="s">
        <v>62</v>
      </c>
      <c r="D22" s="138"/>
      <c r="E22" s="138"/>
      <c r="F22" s="138"/>
      <c r="G22" s="138"/>
      <c r="H22" s="7"/>
      <c r="I22" s="7"/>
      <c r="X22" s="159"/>
    </row>
    <row r="23" spans="1:25" x14ac:dyDescent="0.25">
      <c r="A23" s="169" t="s">
        <v>63</v>
      </c>
      <c r="B23" s="164" t="s">
        <v>42</v>
      </c>
      <c r="C23" s="78"/>
      <c r="D23" s="138"/>
      <c r="E23" s="138"/>
      <c r="F23" s="138"/>
      <c r="G23" s="138"/>
      <c r="H23" s="7"/>
      <c r="I23" s="7"/>
      <c r="X23" s="159"/>
    </row>
    <row r="24" spans="1:25" x14ac:dyDescent="0.25">
      <c r="A24" s="169" t="s">
        <v>64</v>
      </c>
      <c r="B24" s="164"/>
      <c r="C24" s="78" t="s">
        <v>65</v>
      </c>
      <c r="D24" s="138"/>
      <c r="E24" s="138"/>
      <c r="F24" s="138"/>
      <c r="G24" s="138"/>
      <c r="H24" s="7"/>
      <c r="I24" s="7"/>
      <c r="X24" s="159"/>
    </row>
    <row r="25" spans="1:25" x14ac:dyDescent="0.25">
      <c r="A25" s="169" t="s">
        <v>66</v>
      </c>
      <c r="B25" s="164" t="s">
        <v>42</v>
      </c>
      <c r="C25" s="78" t="s">
        <v>65</v>
      </c>
      <c r="D25" s="138"/>
      <c r="E25" s="138"/>
      <c r="F25" s="138"/>
      <c r="G25" s="138"/>
      <c r="H25" s="7"/>
      <c r="I25" s="7"/>
      <c r="X25" s="159"/>
    </row>
    <row r="26" spans="1:25" hidden="1" x14ac:dyDescent="0.25">
      <c r="A26" s="169" t="s">
        <v>67</v>
      </c>
      <c r="B26" s="175" t="str">
        <f>B25</f>
        <v>XX</v>
      </c>
      <c r="C26" s="138" t="s">
        <v>65</v>
      </c>
      <c r="D26" s="138"/>
      <c r="E26" s="138"/>
      <c r="F26" s="138"/>
      <c r="G26" s="138"/>
      <c r="H26" s="7"/>
      <c r="I26" s="7"/>
      <c r="X26" s="159"/>
    </row>
    <row r="27" spans="1:25" hidden="1" x14ac:dyDescent="0.25">
      <c r="A27" s="169" t="s">
        <v>68</v>
      </c>
      <c r="B27" s="175" t="str">
        <f>B25</f>
        <v>XX</v>
      </c>
      <c r="C27" s="138" t="s">
        <v>65</v>
      </c>
      <c r="D27" s="138"/>
      <c r="E27" s="138"/>
      <c r="F27" s="138"/>
      <c r="G27" s="138"/>
      <c r="H27" s="7"/>
      <c r="I27" s="7"/>
      <c r="X27" s="159"/>
    </row>
    <row r="28" spans="1:25" hidden="1" x14ac:dyDescent="0.25">
      <c r="A28" s="169" t="s">
        <v>69</v>
      </c>
      <c r="B28" s="175" t="str">
        <f>IF(Theta=0,B26,B27)</f>
        <v>XX</v>
      </c>
      <c r="C28" s="138" t="s">
        <v>65</v>
      </c>
      <c r="D28" s="138"/>
      <c r="E28" s="138"/>
      <c r="F28" s="138"/>
      <c r="G28" s="138"/>
      <c r="H28" s="7"/>
      <c r="I28" s="7"/>
      <c r="X28" s="159"/>
    </row>
    <row r="29" spans="1:25" x14ac:dyDescent="0.25">
      <c r="A29" s="169" t="s">
        <v>70</v>
      </c>
      <c r="B29" s="164" t="s">
        <v>42</v>
      </c>
      <c r="C29" s="138" t="s">
        <v>71</v>
      </c>
      <c r="D29" s="138"/>
      <c r="E29" s="138"/>
      <c r="F29" s="138"/>
      <c r="G29" s="138"/>
      <c r="H29" s="7"/>
      <c r="I29" s="7"/>
      <c r="X29" s="159"/>
    </row>
    <row r="30" spans="1:25" hidden="1" x14ac:dyDescent="0.25">
      <c r="A30" s="169" t="s">
        <v>72</v>
      </c>
      <c r="B30" s="165" t="e">
        <f>IF((B8/B6)&gt;0.8,"0.8",(B8/B6))</f>
        <v>#VALUE!</v>
      </c>
      <c r="C30" s="138"/>
      <c r="D30" s="138"/>
      <c r="E30" s="138"/>
      <c r="F30" s="138"/>
      <c r="G30" s="138"/>
      <c r="H30" s="7"/>
      <c r="I30" s="7"/>
      <c r="W30" t="s">
        <v>73</v>
      </c>
      <c r="X30" s="159">
        <f>X16+0.45*X8+0.75*X14</f>
        <v>0</v>
      </c>
      <c r="Y30" t="s">
        <v>65</v>
      </c>
    </row>
    <row r="31" spans="1:25" ht="15.75" hidden="1" customHeight="1" x14ac:dyDescent="0.25">
      <c r="A31" s="169" t="s">
        <v>74</v>
      </c>
      <c r="B31" s="165" t="e">
        <f>TEXT(ROUND(B30,2),"0.00")</f>
        <v>#VALUE!</v>
      </c>
      <c r="C31" s="138"/>
      <c r="D31" s="138"/>
      <c r="E31" s="138"/>
      <c r="F31" s="138"/>
      <c r="G31" s="138"/>
      <c r="H31" s="7"/>
      <c r="I31" s="7"/>
    </row>
    <row r="32" spans="1:25" x14ac:dyDescent="0.25">
      <c r="A32" s="169" t="s">
        <v>75</v>
      </c>
      <c r="B32" s="286" t="e">
        <f>ROUNDUP((B29*2.205)/((D69*D70)/144),2)</f>
        <v>#VALUE!</v>
      </c>
      <c r="C32" s="138" t="s">
        <v>76</v>
      </c>
      <c r="D32" s="138"/>
      <c r="E32" s="138"/>
      <c r="F32" s="138"/>
      <c r="G32" s="138"/>
      <c r="H32" s="7"/>
      <c r="I32" s="7"/>
    </row>
    <row r="33" spans="1:9" x14ac:dyDescent="0.25">
      <c r="A33" s="169" t="s">
        <v>77</v>
      </c>
      <c r="B33" s="164" t="s">
        <v>42</v>
      </c>
      <c r="C33" s="138"/>
      <c r="D33" s="138"/>
      <c r="E33" s="138"/>
      <c r="F33" s="138"/>
      <c r="G33" s="138"/>
      <c r="H33" s="7"/>
      <c r="I33" s="7"/>
    </row>
    <row r="34" spans="1:9" x14ac:dyDescent="0.25">
      <c r="A34" s="170" t="s">
        <v>78</v>
      </c>
      <c r="B34" s="290">
        <v>1</v>
      </c>
      <c r="C34" s="7"/>
      <c r="D34" s="7"/>
      <c r="E34" s="7"/>
      <c r="F34" s="7"/>
      <c r="G34" s="7"/>
      <c r="H34" s="7"/>
      <c r="I34" s="7"/>
    </row>
    <row r="35" spans="1:9" x14ac:dyDescent="0.25">
      <c r="A35" s="170" t="s">
        <v>79</v>
      </c>
      <c r="B35" s="286" t="e">
        <f>Theta*(3.14/180)</f>
        <v>#VALUE!</v>
      </c>
      <c r="C35" s="7"/>
      <c r="D35" s="7"/>
      <c r="E35" s="7"/>
      <c r="F35" s="7"/>
      <c r="G35" s="7"/>
      <c r="H35" s="7"/>
      <c r="I35" s="7"/>
    </row>
    <row r="36" spans="1:9" x14ac:dyDescent="0.25">
      <c r="A36" s="170" t="s">
        <v>80</v>
      </c>
      <c r="B36" s="180">
        <v>1</v>
      </c>
      <c r="C36" s="7"/>
      <c r="D36" s="7"/>
      <c r="E36" s="7"/>
      <c r="F36" s="7"/>
      <c r="G36" s="7"/>
      <c r="H36" s="7"/>
      <c r="I36" s="7"/>
    </row>
    <row r="37" spans="1:9" x14ac:dyDescent="0.25">
      <c r="A37" s="170" t="s">
        <v>81</v>
      </c>
      <c r="B37" s="180">
        <v>1</v>
      </c>
      <c r="C37" s="7"/>
      <c r="D37" s="7"/>
      <c r="E37" s="7"/>
      <c r="F37" s="7"/>
      <c r="H37" s="7"/>
      <c r="I37" s="7"/>
    </row>
    <row r="38" spans="1:9" x14ac:dyDescent="0.25">
      <c r="A38" s="170" t="s">
        <v>82</v>
      </c>
      <c r="B38" s="180">
        <v>0.85</v>
      </c>
      <c r="C38" s="7"/>
      <c r="D38" s="7"/>
      <c r="E38" s="7"/>
      <c r="F38" s="7"/>
      <c r="H38" s="7"/>
      <c r="I38" s="7"/>
    </row>
    <row r="39" spans="1:9" x14ac:dyDescent="0.25">
      <c r="A39" s="170" t="s">
        <v>83</v>
      </c>
      <c r="B39" s="286" t="e">
        <f>IF(B51="Stow",(B36*B37*B38*(B41^2)*0.00256*B34),(B36*B37*B38*((B41/0.775)^2)*0.00256*B34))</f>
        <v>#VALUE!</v>
      </c>
      <c r="C39" s="7"/>
      <c r="D39" s="7"/>
      <c r="E39" s="7" t="s">
        <v>84</v>
      </c>
      <c r="F39" s="7"/>
      <c r="H39" s="7"/>
      <c r="I39" s="7"/>
    </row>
    <row r="40" spans="1:9" x14ac:dyDescent="0.25">
      <c r="A40" s="170" t="s">
        <v>85</v>
      </c>
      <c r="B40" s="286" t="e">
        <f>ROUND(B39*2*0.85,2)</f>
        <v>#VALUE!</v>
      </c>
      <c r="C40" s="7"/>
      <c r="D40" s="7"/>
      <c r="E40" s="7"/>
      <c r="F40" s="7"/>
      <c r="H40" s="7"/>
      <c r="I40" s="7"/>
    </row>
    <row r="41" spans="1:9" ht="14.25" customHeight="1" x14ac:dyDescent="0.25">
      <c r="A41" s="168" t="s">
        <v>86</v>
      </c>
      <c r="B41" s="166" t="s">
        <v>87</v>
      </c>
      <c r="C41" s="182"/>
      <c r="D41" s="7"/>
      <c r="E41" s="7"/>
      <c r="F41" s="7"/>
      <c r="G41" s="7"/>
      <c r="H41" s="7"/>
      <c r="I41" s="7"/>
    </row>
    <row r="42" spans="1:9" hidden="1" x14ac:dyDescent="0.25">
      <c r="A42" s="168" t="s">
        <v>88</v>
      </c>
      <c r="B42" s="3" t="e">
        <f>0.44704*B41</f>
        <v>#VALUE!</v>
      </c>
      <c r="C42" s="182"/>
      <c r="D42" s="7"/>
      <c r="E42" s="7"/>
      <c r="F42" s="7"/>
      <c r="G42" s="7"/>
      <c r="H42" s="7"/>
      <c r="I42" s="7"/>
    </row>
    <row r="43" spans="1:9" hidden="1" x14ac:dyDescent="0.25">
      <c r="A43" s="168" t="s">
        <v>89</v>
      </c>
      <c r="B43" s="181" t="e">
        <f>0.49*B41</f>
        <v>#VALUE!</v>
      </c>
      <c r="C43" s="182"/>
      <c r="D43" s="7"/>
      <c r="E43" s="7"/>
      <c r="F43" s="7"/>
      <c r="G43" s="7"/>
      <c r="H43" s="7"/>
      <c r="I43" s="7"/>
    </row>
    <row r="44" spans="1:9" hidden="1" x14ac:dyDescent="0.25">
      <c r="A44" s="168" t="s">
        <v>90</v>
      </c>
      <c r="B44" s="181" t="e">
        <f>D69/12</f>
        <v>#VALUE!</v>
      </c>
      <c r="C44" s="7"/>
      <c r="D44" s="7"/>
      <c r="E44" s="7"/>
      <c r="F44" s="7"/>
      <c r="G44" s="7"/>
      <c r="H44" s="7"/>
      <c r="I44" s="7"/>
    </row>
    <row r="45" spans="1:9" hidden="1" x14ac:dyDescent="0.25">
      <c r="A45" s="168" t="s">
        <v>91</v>
      </c>
      <c r="B45" s="183">
        <f>B21</f>
        <v>0.04</v>
      </c>
      <c r="C45" s="7"/>
      <c r="D45" s="7"/>
      <c r="E45" s="7"/>
      <c r="F45" s="7"/>
      <c r="G45" s="7"/>
      <c r="H45" s="7"/>
      <c r="I45" s="7"/>
    </row>
    <row r="46" spans="1:9" hidden="1" x14ac:dyDescent="0.25">
      <c r="A46" s="168" t="s">
        <v>92</v>
      </c>
      <c r="B46" s="183">
        <f>B20</f>
        <v>3</v>
      </c>
      <c r="C46" s="7"/>
      <c r="D46" s="7"/>
      <c r="E46" s="7"/>
      <c r="F46" s="7"/>
      <c r="G46" s="7"/>
      <c r="H46" s="7"/>
      <c r="I46" s="7"/>
    </row>
    <row r="47" spans="1:9" hidden="1" x14ac:dyDescent="0.25">
      <c r="A47" s="168" t="s">
        <v>93</v>
      </c>
      <c r="B47" s="183" t="e">
        <f>(B46*B44)/B43*(3600/5280)</f>
        <v>#VALUE!</v>
      </c>
      <c r="C47" s="7"/>
      <c r="D47" s="7"/>
      <c r="E47" s="7"/>
      <c r="F47" s="7"/>
      <c r="G47" s="7"/>
      <c r="H47" s="7"/>
      <c r="I47" s="7"/>
    </row>
    <row r="48" spans="1:9" hidden="1" x14ac:dyDescent="0.25">
      <c r="A48" s="168" t="s">
        <v>94</v>
      </c>
      <c r="B48" s="183">
        <f>B19</f>
        <v>0.2</v>
      </c>
      <c r="C48" s="7"/>
      <c r="D48" s="7"/>
      <c r="E48" s="7"/>
      <c r="F48" s="7"/>
      <c r="G48" s="7"/>
      <c r="H48" s="7"/>
      <c r="I48" s="7"/>
    </row>
    <row r="49" spans="1:9" hidden="1" x14ac:dyDescent="0.25">
      <c r="A49" s="168" t="s">
        <v>95</v>
      </c>
      <c r="B49" s="183">
        <f>B18</f>
        <v>1</v>
      </c>
      <c r="C49" s="7"/>
      <c r="D49" s="7"/>
      <c r="E49" s="7"/>
      <c r="F49" s="7"/>
      <c r="G49" s="7"/>
      <c r="H49" s="7"/>
      <c r="I49" s="7"/>
    </row>
    <row r="50" spans="1:9" ht="15" customHeight="1" x14ac:dyDescent="0.25">
      <c r="A50" s="168" t="s">
        <v>96</v>
      </c>
      <c r="B50" s="286" t="e">
        <f>(B49*B44)/B43*(3600/5280)</f>
        <v>#VALUE!</v>
      </c>
      <c r="C50" s="7"/>
      <c r="D50" s="7"/>
      <c r="E50" s="7"/>
      <c r="F50" s="7"/>
      <c r="G50" s="7"/>
      <c r="H50" s="7"/>
      <c r="I50" s="7"/>
    </row>
    <row r="51" spans="1:9" x14ac:dyDescent="0.25">
      <c r="A51" s="170" t="s">
        <v>97</v>
      </c>
      <c r="B51" s="164" t="s">
        <v>51</v>
      </c>
      <c r="C51" s="7"/>
      <c r="D51" s="7"/>
      <c r="E51" s="7"/>
      <c r="F51" s="7"/>
      <c r="G51" s="7"/>
      <c r="H51" s="7"/>
      <c r="I51" s="7"/>
    </row>
    <row r="52" spans="1:9" hidden="1" x14ac:dyDescent="0.25">
      <c r="A52" s="171" t="s">
        <v>98</v>
      </c>
      <c r="B52" s="167"/>
      <c r="C52" s="7"/>
      <c r="D52" s="7"/>
      <c r="E52" s="7"/>
      <c r="F52" s="7"/>
      <c r="G52" s="7"/>
      <c r="H52" s="7"/>
      <c r="I52" s="7"/>
    </row>
    <row r="53" spans="1:9" hidden="1" x14ac:dyDescent="0.25">
      <c r="A53" s="168" t="s">
        <v>99</v>
      </c>
      <c r="B53" s="183">
        <v>1.05</v>
      </c>
      <c r="C53" s="7"/>
      <c r="D53" s="7"/>
      <c r="E53" s="7"/>
      <c r="F53" s="7"/>
      <c r="G53" s="7"/>
      <c r="H53" s="7"/>
      <c r="I53" s="7"/>
    </row>
    <row r="54" spans="1:9" hidden="1" x14ac:dyDescent="0.25">
      <c r="A54" s="168" t="s">
        <v>100</v>
      </c>
      <c r="B54" s="183">
        <v>1.05</v>
      </c>
      <c r="C54" s="7"/>
      <c r="D54" s="7"/>
      <c r="E54" s="7"/>
      <c r="F54" s="7"/>
      <c r="G54" s="7"/>
      <c r="H54" s="7"/>
      <c r="I54" s="7"/>
    </row>
    <row r="55" spans="1:9" hidden="1" x14ac:dyDescent="0.25">
      <c r="A55" s="170" t="s">
        <v>101</v>
      </c>
      <c r="B55" s="183">
        <v>1</v>
      </c>
      <c r="C55" s="7"/>
      <c r="D55" s="7"/>
      <c r="E55" s="7"/>
      <c r="F55" s="7"/>
      <c r="G55" s="7"/>
      <c r="H55" s="7"/>
      <c r="I55" s="7"/>
    </row>
    <row r="56" spans="1:9" hidden="1" x14ac:dyDescent="0.25">
      <c r="A56" s="171" t="s">
        <v>102</v>
      </c>
      <c r="B56" s="183"/>
      <c r="C56" s="7"/>
      <c r="D56" s="7"/>
      <c r="E56" s="7"/>
      <c r="F56" s="7"/>
      <c r="G56" s="7"/>
      <c r="H56" s="7"/>
      <c r="I56" s="7"/>
    </row>
    <row r="57" spans="1:9" hidden="1" x14ac:dyDescent="0.25">
      <c r="A57" s="168" t="s">
        <v>103</v>
      </c>
      <c r="B57" s="184" t="e">
        <f ca="1">'GCN_Post_DAF 1.0'!C28</f>
        <v>#VALUE!</v>
      </c>
      <c r="C57" s="7"/>
      <c r="D57" s="7"/>
      <c r="E57" s="7"/>
      <c r="F57" s="7"/>
      <c r="G57" s="7"/>
      <c r="H57" s="7"/>
      <c r="I57" s="7"/>
    </row>
    <row r="58" spans="1:9" hidden="1" x14ac:dyDescent="0.25">
      <c r="A58" s="168" t="s">
        <v>104</v>
      </c>
      <c r="B58" s="184" t="e">
        <f ca="1">'GCN_Post_DAF 1.0'!D28</f>
        <v>#VALUE!</v>
      </c>
      <c r="C58" s="7"/>
      <c r="D58" s="7"/>
      <c r="E58" s="7"/>
      <c r="F58" s="7"/>
      <c r="G58" s="7"/>
      <c r="H58" s="7"/>
      <c r="I58" s="7"/>
    </row>
    <row r="59" spans="1:9" hidden="1" x14ac:dyDescent="0.25">
      <c r="A59" s="168" t="s">
        <v>105</v>
      </c>
      <c r="B59" s="184" t="e">
        <f ca="1">'GCN_Post_DAF 1.0'!H28</f>
        <v>#VALUE!</v>
      </c>
      <c r="C59" s="7"/>
      <c r="D59" s="7"/>
      <c r="E59" s="7"/>
      <c r="F59" s="7"/>
      <c r="G59" s="7"/>
      <c r="H59" s="7"/>
      <c r="I59" s="7"/>
    </row>
    <row r="60" spans="1:9" hidden="1" x14ac:dyDescent="0.25">
      <c r="A60" s="168" t="s">
        <v>106</v>
      </c>
      <c r="B60" s="184" t="e">
        <f ca="1">'GCN_Post_DAF 1.0'!I28</f>
        <v>#VALUE!</v>
      </c>
      <c r="C60" s="7"/>
      <c r="D60" s="7"/>
      <c r="E60" s="7"/>
      <c r="F60" s="7"/>
      <c r="G60" s="7"/>
      <c r="H60" s="7"/>
      <c r="I60" s="7"/>
    </row>
    <row r="61" spans="1:9" hidden="1" x14ac:dyDescent="0.25">
      <c r="A61" s="168" t="s">
        <v>107</v>
      </c>
      <c r="B61" s="184" t="e">
        <f ca="1">'GCN_Post_DAF 1.0'!M28</f>
        <v>#VALUE!</v>
      </c>
      <c r="C61" s="7"/>
      <c r="D61" s="7"/>
      <c r="E61" s="7"/>
      <c r="F61" s="7"/>
      <c r="G61" s="7"/>
      <c r="H61" s="7"/>
      <c r="I61" s="7"/>
    </row>
    <row r="62" spans="1:9" hidden="1" x14ac:dyDescent="0.25">
      <c r="A62" s="168" t="s">
        <v>108</v>
      </c>
      <c r="B62" s="184" t="e">
        <f ca="1">'GCN_Post_DAF 1.0'!N28</f>
        <v>#VALUE!</v>
      </c>
      <c r="C62" s="7"/>
      <c r="D62" s="7"/>
      <c r="E62" s="7"/>
      <c r="F62" s="7"/>
      <c r="G62" s="7"/>
      <c r="H62" s="7"/>
      <c r="I62" s="7"/>
    </row>
    <row r="63" spans="1:9" hidden="1" x14ac:dyDescent="0.25">
      <c r="A63" s="168" t="s">
        <v>109</v>
      </c>
      <c r="B63" s="184" t="e">
        <f ca="1">'GCN_Post_DAF 1.0'!R28</f>
        <v>#VALUE!</v>
      </c>
      <c r="C63" s="7"/>
      <c r="D63" s="7"/>
      <c r="E63" s="7"/>
      <c r="F63" s="7"/>
      <c r="G63" s="7"/>
      <c r="H63" s="7"/>
      <c r="I63" s="7"/>
    </row>
    <row r="64" spans="1:9" hidden="1" x14ac:dyDescent="0.25">
      <c r="A64" s="168" t="s">
        <v>110</v>
      </c>
      <c r="B64" s="184" t="e">
        <f ca="1">'GCN_Post_DAF 1.0'!S28</f>
        <v>#VALUE!</v>
      </c>
      <c r="C64" s="7"/>
      <c r="D64" s="7"/>
      <c r="E64" s="7"/>
      <c r="F64" s="7"/>
      <c r="G64" s="7"/>
      <c r="H64" s="7"/>
      <c r="I64" s="7"/>
    </row>
    <row r="65" spans="1:26" hidden="1" x14ac:dyDescent="0.25">
      <c r="A65" s="168" t="s">
        <v>111</v>
      </c>
      <c r="B65" s="184" t="e">
        <f ca="1">'GCN_Post_DAF 1.0'!W28</f>
        <v>#VALUE!</v>
      </c>
      <c r="C65" s="7"/>
      <c r="D65" s="7"/>
      <c r="E65" s="7"/>
      <c r="F65" s="7"/>
      <c r="G65" s="7"/>
      <c r="H65" s="7"/>
      <c r="I65" s="7"/>
    </row>
    <row r="66" spans="1:26" hidden="1" x14ac:dyDescent="0.25">
      <c r="A66" s="168" t="s">
        <v>112</v>
      </c>
      <c r="B66" s="184" t="e">
        <f ca="1">'GCN_Post_DAF 1.0'!X28</f>
        <v>#VALUE!</v>
      </c>
      <c r="C66" s="7"/>
      <c r="D66" s="7"/>
      <c r="E66" s="7"/>
      <c r="F66" s="7"/>
      <c r="G66" s="7"/>
      <c r="H66" s="7"/>
      <c r="I66" s="7"/>
      <c r="Y66" s="20" t="s">
        <v>113</v>
      </c>
      <c r="Z66" s="20" t="s">
        <v>114</v>
      </c>
    </row>
    <row r="67" spans="1:26" x14ac:dyDescent="0.25">
      <c r="A67" s="168" t="s">
        <v>115</v>
      </c>
      <c r="B67" s="286" t="e">
        <f>(B78-B79+4.7626)/B6</f>
        <v>#VALUE!</v>
      </c>
      <c r="C67" s="7"/>
      <c r="D67" s="7"/>
      <c r="E67" s="7"/>
      <c r="F67" s="7"/>
      <c r="G67" s="7"/>
      <c r="H67" s="7"/>
      <c r="I67" s="7"/>
    </row>
    <row r="68" spans="1:26" x14ac:dyDescent="0.25">
      <c r="A68" s="287"/>
      <c r="B68" s="7"/>
      <c r="C68" s="7"/>
      <c r="D68" s="7"/>
      <c r="E68" s="7"/>
      <c r="F68" s="7"/>
      <c r="G68" s="7"/>
      <c r="H68" s="7"/>
      <c r="I68" s="7"/>
    </row>
    <row r="69" spans="1:26" x14ac:dyDescent="0.25">
      <c r="A69" s="169" t="s">
        <v>116</v>
      </c>
      <c r="B69" s="162" t="s">
        <v>117</v>
      </c>
      <c r="C69" s="185" t="s">
        <v>118</v>
      </c>
      <c r="D69" s="4" t="e">
        <f>ROUND(B69/25.4,3)</f>
        <v>#VALUE!</v>
      </c>
      <c r="E69" s="185" t="s">
        <v>119</v>
      </c>
      <c r="H69" s="7"/>
      <c r="I69" s="7"/>
    </row>
    <row r="70" spans="1:26" x14ac:dyDescent="0.25">
      <c r="A70" s="169" t="s">
        <v>120</v>
      </c>
      <c r="B70" s="162" t="s">
        <v>117</v>
      </c>
      <c r="C70" s="185" t="s">
        <v>118</v>
      </c>
      <c r="D70" s="4" t="e">
        <f>ROUND(B70/25.4,3)</f>
        <v>#VALUE!</v>
      </c>
      <c r="E70" s="185" t="s">
        <v>119</v>
      </c>
      <c r="H70" s="7"/>
      <c r="I70" s="7"/>
    </row>
    <row r="71" spans="1:26" x14ac:dyDescent="0.25">
      <c r="A71" s="169" t="s">
        <v>121</v>
      </c>
      <c r="B71" s="162" t="s">
        <v>117</v>
      </c>
      <c r="C71" s="185" t="s">
        <v>118</v>
      </c>
      <c r="D71" s="4" t="e">
        <f>ROUND(B71/25.4,3)</f>
        <v>#VALUE!</v>
      </c>
      <c r="E71" s="185" t="s">
        <v>119</v>
      </c>
      <c r="F71" s="7"/>
      <c r="G71" s="7"/>
      <c r="H71" s="7"/>
      <c r="I71" s="7"/>
    </row>
    <row r="72" spans="1:26" x14ac:dyDescent="0.25">
      <c r="A72" s="169" t="s">
        <v>122</v>
      </c>
      <c r="B72" s="162" t="s">
        <v>117</v>
      </c>
      <c r="C72" s="185" t="s">
        <v>118</v>
      </c>
      <c r="D72" s="4" t="e">
        <f>ROUND(B72/25.4,3)</f>
        <v>#VALUE!</v>
      </c>
      <c r="E72" s="185" t="s">
        <v>119</v>
      </c>
      <c r="F72" s="7"/>
      <c r="I72" s="7"/>
    </row>
    <row r="73" spans="1:26" x14ac:dyDescent="0.25">
      <c r="A73" s="169" t="s">
        <v>123</v>
      </c>
      <c r="B73" s="162" t="s">
        <v>117</v>
      </c>
      <c r="C73" s="185" t="s">
        <v>118</v>
      </c>
      <c r="D73" s="4" t="e">
        <f>ROUND(B73/25.4,3)</f>
        <v>#VALUE!</v>
      </c>
      <c r="E73" s="185" t="s">
        <v>119</v>
      </c>
      <c r="F73" s="7"/>
      <c r="G73" s="7"/>
      <c r="H73" s="7"/>
      <c r="I73" s="7"/>
    </row>
    <row r="74" spans="1:26" x14ac:dyDescent="0.25">
      <c r="A74" s="293"/>
      <c r="B74" s="7"/>
      <c r="C74" s="7"/>
      <c r="D74" s="7"/>
      <c r="E74" s="7"/>
      <c r="F74" s="7"/>
      <c r="G74" s="7"/>
      <c r="H74" s="7"/>
      <c r="I74" s="7"/>
    </row>
    <row r="75" spans="1:26" x14ac:dyDescent="0.25">
      <c r="A75" s="172" t="s">
        <v>124</v>
      </c>
      <c r="B75" s="157" t="s">
        <v>42</v>
      </c>
      <c r="C75" s="7"/>
      <c r="D75" s="7"/>
      <c r="E75" s="7"/>
      <c r="F75" s="7"/>
      <c r="G75" s="7"/>
      <c r="H75" s="7"/>
      <c r="I75" s="7"/>
    </row>
    <row r="76" spans="1:26" x14ac:dyDescent="0.25">
      <c r="A76" s="172" t="s">
        <v>125</v>
      </c>
      <c r="B76" s="157" t="s">
        <v>42</v>
      </c>
      <c r="C76" s="7"/>
      <c r="D76" s="7"/>
      <c r="E76" s="7"/>
      <c r="F76" s="7"/>
      <c r="I76" s="7"/>
    </row>
    <row r="77" spans="1:26" x14ac:dyDescent="0.25">
      <c r="A77" s="293"/>
      <c r="B77" s="7"/>
      <c r="C77" s="7"/>
      <c r="D77" s="7"/>
      <c r="E77" s="7"/>
      <c r="F77" s="7"/>
      <c r="G77" s="7"/>
      <c r="H77" s="7"/>
      <c r="I77" s="7"/>
    </row>
    <row r="78" spans="1:26" x14ac:dyDescent="0.25">
      <c r="A78" s="172" t="s">
        <v>126</v>
      </c>
      <c r="B78" s="173" t="s">
        <v>42</v>
      </c>
      <c r="C78" s="7"/>
      <c r="D78" s="7"/>
      <c r="E78" s="7"/>
      <c r="F78" s="7"/>
      <c r="G78" s="7"/>
      <c r="H78" s="7"/>
      <c r="I78" s="7"/>
    </row>
    <row r="79" spans="1:26" x14ac:dyDescent="0.25">
      <c r="A79" s="172" t="s">
        <v>127</v>
      </c>
      <c r="B79" s="173">
        <v>12</v>
      </c>
      <c r="C79" s="7"/>
      <c r="D79" s="7"/>
      <c r="E79" s="7"/>
      <c r="F79" s="7"/>
      <c r="G79" s="7"/>
      <c r="H79" s="7"/>
      <c r="I79" s="7"/>
    </row>
    <row r="80" spans="1:26" ht="16.5" customHeight="1" x14ac:dyDescent="0.25">
      <c r="A80" s="172" t="s">
        <v>128</v>
      </c>
      <c r="B80" s="157">
        <v>4</v>
      </c>
      <c r="C80" s="185" t="s">
        <v>129</v>
      </c>
      <c r="D80" s="4">
        <f>B80*39.3701</f>
        <v>157.4804</v>
      </c>
      <c r="E80" s="185" t="s">
        <v>119</v>
      </c>
      <c r="F80" s="7"/>
      <c r="G80" s="7"/>
      <c r="H80" s="7"/>
      <c r="I80" s="7"/>
    </row>
    <row r="81" spans="1:19" ht="16.5" customHeight="1" x14ac:dyDescent="0.25">
      <c r="A81" s="172" t="s">
        <v>130</v>
      </c>
      <c r="B81" s="157" t="e">
        <f>MSL+2</f>
        <v>#VALUE!</v>
      </c>
      <c r="C81" s="291"/>
      <c r="D81" s="292"/>
      <c r="E81" s="291"/>
      <c r="F81" s="7"/>
      <c r="G81" s="7"/>
      <c r="H81" s="7"/>
      <c r="I81" s="7"/>
    </row>
    <row r="82" spans="1:19" ht="16.5" hidden="1" customHeight="1" x14ac:dyDescent="0.25">
      <c r="A82" s="172" t="s">
        <v>131</v>
      </c>
      <c r="B82" s="305" t="e">
        <f>P_Left+1</f>
        <v>#VALUE!</v>
      </c>
      <c r="C82" s="291"/>
      <c r="D82" s="292"/>
      <c r="E82" s="291"/>
      <c r="F82" s="7"/>
      <c r="G82" s="7"/>
      <c r="H82" s="7"/>
      <c r="I82" s="7"/>
    </row>
    <row r="83" spans="1:19" ht="16.5" hidden="1" customHeight="1" x14ac:dyDescent="0.25">
      <c r="A83" s="172" t="s">
        <v>132</v>
      </c>
      <c r="B83" s="305" t="e">
        <f>P_Right+1</f>
        <v>#VALUE!</v>
      </c>
      <c r="C83" s="291"/>
      <c r="D83" s="292"/>
      <c r="E83" s="291"/>
      <c r="F83" s="7"/>
      <c r="G83" s="7"/>
      <c r="H83" s="7"/>
      <c r="I83" s="7"/>
    </row>
    <row r="84" spans="1:19" ht="16.5" hidden="1" customHeight="1" x14ac:dyDescent="0.25">
      <c r="A84" s="172" t="s">
        <v>133</v>
      </c>
      <c r="B84" s="306" t="e">
        <f>D73</f>
        <v>#VALUE!</v>
      </c>
      <c r="C84" s="291"/>
      <c r="D84" s="292"/>
      <c r="E84" s="291"/>
      <c r="F84" s="7"/>
      <c r="G84" s="7"/>
      <c r="H84" s="7"/>
      <c r="I84" s="7"/>
    </row>
    <row r="85" spans="1:19" ht="16.5" hidden="1" customHeight="1" x14ac:dyDescent="0.25">
      <c r="A85" s="172" t="s">
        <v>134</v>
      </c>
      <c r="B85" s="306" t="e">
        <f>B84+2.39</f>
        <v>#VALUE!</v>
      </c>
      <c r="C85" s="291"/>
      <c r="D85" s="292"/>
      <c r="E85" s="291"/>
      <c r="F85" s="7"/>
      <c r="G85" s="7"/>
      <c r="H85" s="7"/>
      <c r="I85" s="7"/>
    </row>
    <row r="86" spans="1:19" ht="16.5" customHeight="1" x14ac:dyDescent="0.25">
      <c r="A86" s="172" t="s">
        <v>135</v>
      </c>
      <c r="B86" s="157" t="s">
        <v>136</v>
      </c>
      <c r="C86" s="291"/>
      <c r="D86" s="292"/>
      <c r="E86" s="291"/>
      <c r="F86" s="7"/>
      <c r="G86" s="7"/>
      <c r="H86" s="7"/>
      <c r="I86" s="7"/>
    </row>
    <row r="87" spans="1:19" ht="16.5" customHeight="1" x14ac:dyDescent="0.25">
      <c r="A87" s="172" t="s">
        <v>137</v>
      </c>
      <c r="B87" s="157">
        <v>23.125</v>
      </c>
      <c r="C87" s="18" t="s">
        <v>138</v>
      </c>
      <c r="D87" s="292"/>
      <c r="E87" s="291"/>
      <c r="F87" s="7"/>
      <c r="G87" s="7"/>
      <c r="H87" s="7"/>
      <c r="I87" s="7"/>
    </row>
    <row r="88" spans="1:19" ht="16.5" customHeight="1" x14ac:dyDescent="0.25">
      <c r="A88" s="172" t="s">
        <v>139</v>
      </c>
      <c r="B88" s="157">
        <v>23.125</v>
      </c>
      <c r="C88" s="18" t="s">
        <v>138</v>
      </c>
      <c r="D88" s="292"/>
      <c r="E88" s="291"/>
      <c r="F88" s="7"/>
      <c r="G88" s="7"/>
      <c r="H88" s="7"/>
      <c r="I88" s="7"/>
    </row>
    <row r="89" spans="1:19" ht="16.5" customHeight="1" x14ac:dyDescent="0.25">
      <c r="A89" s="172" t="s">
        <v>140</v>
      </c>
      <c r="B89" s="157" t="s">
        <v>141</v>
      </c>
      <c r="C89" s="291"/>
      <c r="D89" s="292"/>
      <c r="E89" s="291"/>
      <c r="F89" s="7"/>
      <c r="G89" s="7"/>
      <c r="H89" s="7"/>
      <c r="I89" s="7"/>
    </row>
    <row r="91" spans="1:19" ht="15" customHeight="1" x14ac:dyDescent="0.25">
      <c r="A91" s="172" t="s">
        <v>142</v>
      </c>
      <c r="B91" s="157">
        <v>2.39</v>
      </c>
      <c r="C91" s="13" t="s">
        <v>119</v>
      </c>
      <c r="D91" s="12"/>
      <c r="E91" s="12"/>
      <c r="F91" s="12"/>
    </row>
    <row r="92" spans="1:19" ht="15" customHeight="1" x14ac:dyDescent="0.25">
      <c r="A92" s="172" t="s">
        <v>143</v>
      </c>
      <c r="B92" s="157">
        <f>VLOOKUP(VS, 'List Data'!A8:C12, 3, TRUE)</f>
        <v>3.5</v>
      </c>
      <c r="C92" s="12" t="s">
        <v>119</v>
      </c>
      <c r="D92" s="12"/>
      <c r="E92" s="12"/>
      <c r="F92" s="12"/>
      <c r="Q92" s="2"/>
      <c r="S92" s="144"/>
    </row>
    <row r="93" spans="1:19" ht="15" hidden="1" customHeight="1" x14ac:dyDescent="0.25">
      <c r="A93" s="80" t="s">
        <v>144</v>
      </c>
      <c r="B93" s="156" t="e">
        <f>D73</f>
        <v>#VALUE!</v>
      </c>
      <c r="C93" s="12"/>
      <c r="D93" s="155"/>
      <c r="E93" s="12"/>
      <c r="F93" s="12"/>
      <c r="I93" s="18"/>
    </row>
    <row r="94" spans="1:19" ht="15" hidden="1" customHeight="1" x14ac:dyDescent="0.25">
      <c r="A94" s="80" t="s">
        <v>145</v>
      </c>
      <c r="B94" s="156" t="e">
        <f>D73+2.39</f>
        <v>#VALUE!</v>
      </c>
      <c r="C94" s="12"/>
      <c r="D94" s="12"/>
      <c r="E94" s="12"/>
      <c r="F94" s="12"/>
      <c r="I94" s="19"/>
    </row>
    <row r="95" spans="1:19" ht="15" hidden="1" customHeight="1" x14ac:dyDescent="0.25">
      <c r="A95" s="78"/>
      <c r="B95" s="12"/>
      <c r="C95" s="12"/>
      <c r="D95" s="12"/>
      <c r="E95" s="12"/>
      <c r="F95" s="12"/>
    </row>
    <row r="96" spans="1:19" ht="15" hidden="1" customHeight="1" x14ac:dyDescent="0.25">
      <c r="A96" s="80" t="s">
        <v>146</v>
      </c>
      <c r="B96" s="81"/>
      <c r="C96" s="12"/>
      <c r="D96" s="12"/>
      <c r="E96" s="12"/>
      <c r="F96" s="12"/>
    </row>
    <row r="97" spans="1:6" ht="15" hidden="1" customHeight="1" x14ac:dyDescent="0.25">
      <c r="A97" s="80" t="s">
        <v>147</v>
      </c>
      <c r="B97" s="13" t="e">
        <f>((EVS*2)+((B75-2)*IVS))+B87</f>
        <v>#VALUE!</v>
      </c>
      <c r="C97" s="12"/>
      <c r="D97" s="12"/>
      <c r="E97" s="12"/>
      <c r="F97" s="12"/>
    </row>
    <row r="98" spans="1:6" ht="15" hidden="1" customHeight="1" x14ac:dyDescent="0.25">
      <c r="A98" s="80" t="s">
        <v>148</v>
      </c>
      <c r="B98" s="13" t="e">
        <f>((EVS*2)+((B76-2)*IVS))+B88</f>
        <v>#VALUE!</v>
      </c>
      <c r="C98" s="12"/>
      <c r="D98" s="12"/>
      <c r="E98" s="12"/>
      <c r="F98" s="12"/>
    </row>
    <row r="99" spans="1:6" ht="15" hidden="1" customHeight="1" x14ac:dyDescent="0.25">
      <c r="A99" s="78"/>
      <c r="B99" s="12"/>
      <c r="C99" s="12"/>
      <c r="D99" s="12"/>
      <c r="E99" s="12"/>
      <c r="F99" s="12"/>
    </row>
    <row r="100" spans="1:6" ht="15" hidden="1" customHeight="1" x14ac:dyDescent="0.25">
      <c r="A100" s="80" t="s">
        <v>149</v>
      </c>
      <c r="B100" s="81"/>
      <c r="C100" s="12"/>
      <c r="D100" s="12"/>
      <c r="E100" s="12"/>
      <c r="F100" s="12"/>
    </row>
    <row r="101" spans="1:6" ht="15" hidden="1" customHeight="1" x14ac:dyDescent="0.25">
      <c r="A101" s="80" t="s">
        <v>150</v>
      </c>
      <c r="B101" s="13" t="e">
        <f>ROUNDUP((B97/$D$80),0)</f>
        <v>#VALUE!</v>
      </c>
      <c r="C101" s="12"/>
      <c r="D101" s="12"/>
      <c r="E101" s="12"/>
      <c r="F101" s="12"/>
    </row>
    <row r="102" spans="1:6" ht="15" hidden="1" customHeight="1" x14ac:dyDescent="0.25">
      <c r="A102" s="80" t="s">
        <v>148</v>
      </c>
      <c r="B102" s="13" t="e">
        <f>ROUNDUP((B98/$D$80),0)</f>
        <v>#VALUE!</v>
      </c>
      <c r="C102" s="12"/>
      <c r="D102" s="12"/>
      <c r="E102" s="12"/>
      <c r="F102" s="12"/>
    </row>
    <row r="103" spans="1:6" ht="15" hidden="1" customHeight="1" x14ac:dyDescent="0.25">
      <c r="A103" s="80" t="s">
        <v>151</v>
      </c>
      <c r="B103" s="78" t="e">
        <f>LS+RS</f>
        <v>#VALUE!</v>
      </c>
      <c r="C103" s="12"/>
      <c r="D103" s="12"/>
      <c r="E103" s="12"/>
      <c r="F103" s="12"/>
    </row>
    <row r="104" spans="1:6" ht="15" hidden="1" customHeight="1" x14ac:dyDescent="0.25">
      <c r="A104" s="12"/>
      <c r="B104" s="12"/>
      <c r="C104" s="12"/>
      <c r="D104" s="12"/>
      <c r="E104" s="12"/>
      <c r="F104" s="12"/>
    </row>
    <row r="105" spans="1:6" ht="15" hidden="1" customHeight="1" x14ac:dyDescent="0.25">
      <c r="A105" s="80" t="s">
        <v>152</v>
      </c>
      <c r="B105" s="13" t="e">
        <f>(B78-B79)+(4.763)+B92</f>
        <v>#VALUE!</v>
      </c>
      <c r="C105" s="12"/>
      <c r="D105" s="12"/>
      <c r="E105" s="12"/>
      <c r="F105" s="12"/>
    </row>
    <row r="106" spans="1:6" ht="15" hidden="1" customHeight="1" x14ac:dyDescent="0.25">
      <c r="A106" s="12"/>
      <c r="B106" s="12"/>
      <c r="C106" s="12"/>
      <c r="D106" s="12"/>
      <c r="E106" s="12"/>
      <c r="F106" s="12"/>
    </row>
    <row r="107" spans="1:6" ht="15" hidden="1" customHeight="1" x14ac:dyDescent="0.25">
      <c r="A107" s="13" t="s">
        <v>153</v>
      </c>
      <c r="B107" s="8" t="e">
        <f>-(D69/2)</f>
        <v>#VALUE!</v>
      </c>
      <c r="C107" s="12"/>
      <c r="D107" s="12"/>
      <c r="E107" s="12"/>
      <c r="F107" s="12"/>
    </row>
    <row r="108" spans="1:6" ht="15" hidden="1" customHeight="1" x14ac:dyDescent="0.25">
      <c r="A108" s="13" t="s">
        <v>154</v>
      </c>
      <c r="B108" s="8" t="e">
        <f>-(D69/4)</f>
        <v>#VALUE!</v>
      </c>
      <c r="C108" s="12"/>
      <c r="D108" s="12"/>
      <c r="E108" s="12"/>
      <c r="F108" s="12"/>
    </row>
    <row r="109" spans="1:6" ht="15" hidden="1" customHeight="1" x14ac:dyDescent="0.25">
      <c r="A109" s="13">
        <v>0</v>
      </c>
      <c r="B109" s="8">
        <v>0</v>
      </c>
      <c r="C109" s="12"/>
      <c r="D109" s="12"/>
      <c r="E109" s="12"/>
      <c r="F109" s="12"/>
    </row>
    <row r="110" spans="1:6" ht="15" hidden="1" customHeight="1" x14ac:dyDescent="0.25">
      <c r="A110" s="13" t="s">
        <v>154</v>
      </c>
      <c r="B110" s="8" t="e">
        <f>D69/4</f>
        <v>#VALUE!</v>
      </c>
      <c r="C110" s="12"/>
      <c r="D110" s="12"/>
      <c r="E110" s="12"/>
      <c r="F110" s="12"/>
    </row>
    <row r="111" spans="1:6" ht="15" hidden="1" customHeight="1" x14ac:dyDescent="0.25">
      <c r="A111" s="13" t="s">
        <v>153</v>
      </c>
      <c r="B111" s="8" t="e">
        <f>D69/2</f>
        <v>#VALUE!</v>
      </c>
      <c r="C111" s="12"/>
      <c r="D111" s="12"/>
      <c r="E111" s="12"/>
      <c r="F111" s="12"/>
    </row>
    <row r="112" spans="1:6" ht="15" hidden="1" customHeight="1" x14ac:dyDescent="0.25">
      <c r="A112" s="13"/>
      <c r="B112" s="8"/>
      <c r="C112" s="12"/>
      <c r="D112" s="12"/>
      <c r="E112" s="12"/>
      <c r="F112" s="12"/>
    </row>
    <row r="113" spans="1:6" ht="15" hidden="1" customHeight="1" x14ac:dyDescent="0.25">
      <c r="A113" s="13" t="s">
        <v>155</v>
      </c>
      <c r="B113" s="8" t="e">
        <f>-ML/2*(3/4)</f>
        <v>#VALUE!</v>
      </c>
      <c r="C113" s="12"/>
      <c r="D113" s="12"/>
      <c r="E113" s="12"/>
      <c r="F113" s="12"/>
    </row>
    <row r="114" spans="1:6" ht="15" hidden="1" customHeight="1" x14ac:dyDescent="0.25">
      <c r="A114" s="13" t="s">
        <v>156</v>
      </c>
      <c r="B114" s="8" t="e">
        <f>-ML/2*(1/4)</f>
        <v>#VALUE!</v>
      </c>
      <c r="C114" s="12"/>
      <c r="D114" s="12"/>
      <c r="E114" s="12"/>
      <c r="F114" s="12"/>
    </row>
    <row r="115" spans="1:6" ht="15" hidden="1" customHeight="1" x14ac:dyDescent="0.25">
      <c r="A115" s="13" t="s">
        <v>157</v>
      </c>
      <c r="B115" s="8" t="e">
        <f>ML/2*(1/4)</f>
        <v>#VALUE!</v>
      </c>
      <c r="C115" s="12"/>
      <c r="D115" s="12"/>
      <c r="E115" s="12"/>
      <c r="F115" s="12"/>
    </row>
    <row r="116" spans="1:6" ht="15" hidden="1" customHeight="1" x14ac:dyDescent="0.25">
      <c r="A116" s="13" t="s">
        <v>158</v>
      </c>
      <c r="B116" s="8" t="e">
        <f>ML/2*(3/4)</f>
        <v>#VALUE!</v>
      </c>
      <c r="C116" s="12"/>
      <c r="D116" s="12"/>
      <c r="E116" s="12"/>
      <c r="F116" s="12"/>
    </row>
    <row r="117" spans="1:6" ht="15" hidden="1" customHeight="1" x14ac:dyDescent="0.25">
      <c r="A117" s="12"/>
      <c r="B117" s="12"/>
      <c r="C117" s="12"/>
      <c r="D117" s="12"/>
      <c r="E117" s="12"/>
      <c r="F117" s="12"/>
    </row>
    <row r="118" spans="1:6" ht="15" hidden="1" customHeight="1" x14ac:dyDescent="0.25">
      <c r="A118" s="13" t="s">
        <v>159</v>
      </c>
      <c r="B118" s="12"/>
      <c r="C118" s="12"/>
      <c r="D118" s="12"/>
      <c r="E118" s="12"/>
      <c r="F118" s="12"/>
    </row>
    <row r="119" spans="1:6" ht="15" hidden="1" customHeight="1" x14ac:dyDescent="0.25">
      <c r="A119" s="12"/>
      <c r="B119" s="80" t="s">
        <v>160</v>
      </c>
      <c r="C119" s="80" t="s">
        <v>161</v>
      </c>
      <c r="D119" s="80" t="s">
        <v>162</v>
      </c>
      <c r="E119" s="80" t="s">
        <v>163</v>
      </c>
      <c r="F119" s="12"/>
    </row>
    <row r="120" spans="1:6" ht="15" hidden="1" customHeight="1" x14ac:dyDescent="0.25">
      <c r="A120" s="12"/>
      <c r="B120" s="80" t="s">
        <v>164</v>
      </c>
      <c r="C120" s="80" t="s">
        <v>165</v>
      </c>
      <c r="D120" s="80" t="s">
        <v>166</v>
      </c>
      <c r="E120" s="80" t="s">
        <v>167</v>
      </c>
      <c r="F120" s="12"/>
    </row>
    <row r="121" spans="1:6" ht="15" hidden="1" customHeight="1" x14ac:dyDescent="0.25">
      <c r="A121" s="12"/>
      <c r="B121" s="80" t="s">
        <v>168</v>
      </c>
      <c r="C121" s="80" t="s">
        <v>169</v>
      </c>
      <c r="D121" s="80" t="s">
        <v>170</v>
      </c>
      <c r="E121" s="80" t="s">
        <v>171</v>
      </c>
      <c r="F121" s="12"/>
    </row>
    <row r="122" spans="1:6" ht="15" hidden="1" customHeight="1" x14ac:dyDescent="0.25">
      <c r="A122" s="12"/>
      <c r="B122" s="80" t="s">
        <v>172</v>
      </c>
      <c r="C122" s="80" t="s">
        <v>173</v>
      </c>
      <c r="D122" s="80" t="s">
        <v>174</v>
      </c>
      <c r="E122" s="80" t="s">
        <v>175</v>
      </c>
      <c r="F122" s="12"/>
    </row>
    <row r="123" spans="1:6" ht="15" hidden="1" customHeight="1" x14ac:dyDescent="0.25">
      <c r="A123" s="12"/>
      <c r="B123" s="80" t="s">
        <v>176</v>
      </c>
      <c r="C123" s="80" t="s">
        <v>177</v>
      </c>
      <c r="D123" s="80" t="s">
        <v>178</v>
      </c>
      <c r="E123" s="80" t="s">
        <v>179</v>
      </c>
      <c r="F123" s="12"/>
    </row>
    <row r="125" spans="1:6" x14ac:dyDescent="0.25">
      <c r="A125" s="172" t="s">
        <v>180</v>
      </c>
      <c r="B125" s="157">
        <v>200</v>
      </c>
      <c r="C125" s="80" t="s">
        <v>181</v>
      </c>
      <c r="D125" s="80" t="s">
        <v>182</v>
      </c>
    </row>
    <row r="126" spans="1:6" x14ac:dyDescent="0.25">
      <c r="A126" s="172" t="s">
        <v>183</v>
      </c>
      <c r="B126" s="157">
        <v>50</v>
      </c>
      <c r="C126" s="80" t="s">
        <v>181</v>
      </c>
      <c r="D126" s="80" t="s">
        <v>182</v>
      </c>
    </row>
    <row r="127" spans="1:6" x14ac:dyDescent="0.25">
      <c r="A127" s="172" t="s">
        <v>184</v>
      </c>
      <c r="B127" s="157">
        <v>10.75</v>
      </c>
      <c r="C127" s="80" t="s">
        <v>119</v>
      </c>
      <c r="D127" s="80" t="s">
        <v>182</v>
      </c>
    </row>
    <row r="128" spans="1:6" x14ac:dyDescent="0.25">
      <c r="A128" s="172" t="s">
        <v>185</v>
      </c>
      <c r="B128" s="157">
        <v>1.5</v>
      </c>
      <c r="C128" s="80" t="s">
        <v>119</v>
      </c>
      <c r="D128" s="80" t="s">
        <v>182</v>
      </c>
    </row>
    <row r="129" spans="1:4" ht="26.25" hidden="1" customHeight="1" x14ac:dyDescent="0.25">
      <c r="A129" s="172" t="s">
        <v>185</v>
      </c>
      <c r="B129" s="157">
        <f>IF(Theta=55, B128,0)</f>
        <v>0</v>
      </c>
      <c r="C129" s="80" t="s">
        <v>119</v>
      </c>
      <c r="D129" s="80" t="s">
        <v>186</v>
      </c>
    </row>
    <row r="130" spans="1:4" x14ac:dyDescent="0.25">
      <c r="A130" s="443" t="s">
        <v>187</v>
      </c>
      <c r="B130" s="444">
        <v>9</v>
      </c>
      <c r="C130" s="80" t="s">
        <v>119</v>
      </c>
      <c r="D130" s="80" t="s">
        <v>182</v>
      </c>
    </row>
    <row r="131" spans="1:4" x14ac:dyDescent="0.25">
      <c r="A131" s="172" t="s">
        <v>188</v>
      </c>
      <c r="B131" s="445">
        <v>7.0000000000000007E-2</v>
      </c>
      <c r="C131" s="80" t="s">
        <v>189</v>
      </c>
    </row>
  </sheetData>
  <mergeCells count="2">
    <mergeCell ref="H2:K2"/>
    <mergeCell ref="H3:K4"/>
  </mergeCells>
  <conditionalFormatting sqref="D69:D73 D80:D86 D89">
    <cfRule type="expression" dxfId="15" priority="17">
      <formula>IF($C69="",TRUE,FALSE)</formula>
    </cfRule>
  </conditionalFormatting>
  <conditionalFormatting sqref="H69">
    <cfRule type="expression" dxfId="14" priority="11">
      <formula>IF($D69="",TRUE,FALSE)</formula>
    </cfRule>
  </conditionalFormatting>
  <conditionalFormatting sqref="H70">
    <cfRule type="expression" dxfId="13" priority="12">
      <formula>IF($D70="",TRUE,FALSE)</formula>
    </cfRule>
  </conditionalFormatting>
  <conditionalFormatting sqref="B31:B32">
    <cfRule type="expression" dxfId="12" priority="6">
      <formula>$B$67&gt;0.8</formula>
    </cfRule>
  </conditionalFormatting>
  <conditionalFormatting sqref="B30">
    <cfRule type="expression" dxfId="11" priority="4">
      <formula>$B$67&gt;0.8</formula>
    </cfRule>
  </conditionalFormatting>
  <conditionalFormatting sqref="B50">
    <cfRule type="expression" dxfId="10" priority="2">
      <formula>$B$67&gt;0.8</formula>
    </cfRule>
  </conditionalFormatting>
  <conditionalFormatting sqref="B67">
    <cfRule type="expression" dxfId="9" priority="1">
      <formula>$B$67&gt;0.8</formula>
    </cfRule>
  </conditionalFormatting>
  <conditionalFormatting sqref="D87:D88">
    <cfRule type="expression" dxfId="8" priority="48">
      <formula>IF(#REF!="",TRUE,FALSE)</formula>
    </cfRule>
  </conditionalFormatting>
  <dataValidations disablePrompts="1" count="2">
    <dataValidation type="list" allowBlank="1" showInputMessage="1" showErrorMessage="1" sqref="J6" xr:uid="{00000000-0002-0000-0100-000000000000}">
      <formula1>$Z$7:$Z$8</formula1>
    </dataValidation>
    <dataValidation type="list" allowBlank="1" showInputMessage="1" showErrorMessage="1" sqref="B51" xr:uid="{00000000-0002-0000-0100-000001000000}">
      <formula1>$Z$14:$Z$16</formula1>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B2:P53"/>
  <sheetViews>
    <sheetView topLeftCell="A10" workbookViewId="0">
      <selection activeCell="G32" sqref="G32"/>
    </sheetView>
  </sheetViews>
  <sheetFormatPr defaultRowHeight="15" x14ac:dyDescent="0.25"/>
  <cols>
    <col min="4" max="4" width="26.42578125" bestFit="1" customWidth="1"/>
    <col min="5" max="5" width="15" bestFit="1" customWidth="1"/>
    <col min="6" max="6" width="28.42578125" bestFit="1" customWidth="1"/>
  </cols>
  <sheetData>
    <row r="2" spans="2:7" x14ac:dyDescent="0.25">
      <c r="B2" s="562" t="s">
        <v>190</v>
      </c>
      <c r="C2" s="563"/>
      <c r="D2" s="336" t="s">
        <v>191</v>
      </c>
      <c r="E2" s="336" t="s">
        <v>192</v>
      </c>
      <c r="F2" s="336" t="s">
        <v>193</v>
      </c>
    </row>
    <row r="3" spans="2:7" x14ac:dyDescent="0.25">
      <c r="B3" s="557" t="s">
        <v>194</v>
      </c>
      <c r="C3" s="558"/>
      <c r="D3" t="s">
        <v>195</v>
      </c>
      <c r="E3" s="7" t="s">
        <v>196</v>
      </c>
      <c r="F3" s="299" t="s">
        <v>197</v>
      </c>
    </row>
    <row r="4" spans="2:7" x14ac:dyDescent="0.25">
      <c r="B4" s="555"/>
      <c r="C4" s="559"/>
      <c r="D4" t="s">
        <v>198</v>
      </c>
      <c r="E4" s="7" t="s">
        <v>196</v>
      </c>
      <c r="F4" s="299" t="s">
        <v>197</v>
      </c>
    </row>
    <row r="5" spans="2:7" x14ac:dyDescent="0.25">
      <c r="B5" s="560"/>
      <c r="C5" s="561"/>
      <c r="D5" s="30" t="s">
        <v>199</v>
      </c>
      <c r="E5" s="309" t="s">
        <v>196</v>
      </c>
      <c r="F5" s="301" t="s">
        <v>197</v>
      </c>
    </row>
    <row r="6" spans="2:7" ht="18.75" customHeight="1" x14ac:dyDescent="0.3">
      <c r="B6" s="564"/>
      <c r="C6" s="565"/>
      <c r="D6" s="565"/>
      <c r="E6" s="565"/>
      <c r="F6" s="556"/>
    </row>
    <row r="7" spans="2:7" x14ac:dyDescent="0.25">
      <c r="B7" s="557" t="s">
        <v>200</v>
      </c>
      <c r="C7" s="558"/>
      <c r="D7" s="25" t="s">
        <v>201</v>
      </c>
      <c r="E7" s="297" t="s">
        <v>202</v>
      </c>
      <c r="F7" s="333" t="s">
        <v>197</v>
      </c>
      <c r="G7" t="e">
        <f>ML</f>
        <v>#VALUE!</v>
      </c>
    </row>
    <row r="8" spans="2:7" x14ac:dyDescent="0.25">
      <c r="B8" s="555"/>
      <c r="C8" s="559"/>
      <c r="D8" t="s">
        <v>203</v>
      </c>
      <c r="E8" s="7" t="s">
        <v>204</v>
      </c>
      <c r="F8" s="299" t="s">
        <v>197</v>
      </c>
      <c r="G8" t="e">
        <f>MW</f>
        <v>#VALUE!</v>
      </c>
    </row>
    <row r="9" spans="2:7" x14ac:dyDescent="0.25">
      <c r="B9" s="555"/>
      <c r="C9" s="559"/>
      <c r="D9" t="s">
        <v>205</v>
      </c>
      <c r="E9" s="7" t="s">
        <v>206</v>
      </c>
      <c r="F9" s="299" t="s">
        <v>197</v>
      </c>
      <c r="G9" t="e">
        <f>MT</f>
        <v>#VALUE!</v>
      </c>
    </row>
    <row r="10" spans="2:7" x14ac:dyDescent="0.25">
      <c r="B10" s="555"/>
      <c r="C10" s="559"/>
      <c r="D10" t="s">
        <v>207</v>
      </c>
      <c r="E10" s="7" t="s">
        <v>208</v>
      </c>
      <c r="F10" s="299" t="s">
        <v>197</v>
      </c>
      <c r="G10" t="e">
        <f>MSL</f>
        <v>#VALUE!</v>
      </c>
    </row>
    <row r="11" spans="2:7" x14ac:dyDescent="0.25">
      <c r="B11" s="555"/>
      <c r="C11" s="559"/>
      <c r="D11" t="s">
        <v>209</v>
      </c>
      <c r="E11" s="7" t="s">
        <v>210</v>
      </c>
      <c r="F11" s="299" t="s">
        <v>197</v>
      </c>
      <c r="G11" t="e">
        <f>MSW</f>
        <v>#VALUE!</v>
      </c>
    </row>
    <row r="12" spans="2:7" x14ac:dyDescent="0.25">
      <c r="B12" s="555"/>
      <c r="C12" s="559"/>
      <c r="D12" t="s">
        <v>211</v>
      </c>
      <c r="E12" s="7" t="s">
        <v>212</v>
      </c>
      <c r="F12" s="299" t="s">
        <v>197</v>
      </c>
      <c r="G12" t="str">
        <f>P_Weight</f>
        <v>XX</v>
      </c>
    </row>
    <row r="13" spans="2:7" x14ac:dyDescent="0.25">
      <c r="B13" s="555"/>
      <c r="C13" s="559"/>
      <c r="D13" t="s">
        <v>213</v>
      </c>
      <c r="E13" s="7" t="s">
        <v>214</v>
      </c>
      <c r="F13" s="299" t="s">
        <v>215</v>
      </c>
      <c r="G13" t="e">
        <f>PL</f>
        <v>#VALUE!</v>
      </c>
    </row>
    <row r="14" spans="2:7" x14ac:dyDescent="0.25">
      <c r="B14" s="555"/>
      <c r="C14" s="559"/>
      <c r="D14" t="s">
        <v>216</v>
      </c>
      <c r="E14" s="7" t="s">
        <v>217</v>
      </c>
      <c r="F14" s="299" t="s">
        <v>197</v>
      </c>
      <c r="G14" t="str">
        <f>P_Left</f>
        <v>XX</v>
      </c>
    </row>
    <row r="15" spans="2:7" x14ac:dyDescent="0.25">
      <c r="B15" s="560"/>
      <c r="C15" s="561"/>
      <c r="D15" s="30" t="s">
        <v>218</v>
      </c>
      <c r="E15" s="309" t="s">
        <v>219</v>
      </c>
      <c r="F15" s="301" t="s">
        <v>197</v>
      </c>
      <c r="G15" t="e">
        <f>P_ri</f>
        <v>#NAME?</v>
      </c>
    </row>
    <row r="16" spans="2:7" ht="18.75" customHeight="1" x14ac:dyDescent="0.3">
      <c r="B16" s="564"/>
      <c r="C16" s="565"/>
      <c r="D16" s="565"/>
      <c r="E16" s="565"/>
      <c r="F16" s="556"/>
    </row>
    <row r="17" spans="2:7" x14ac:dyDescent="0.25">
      <c r="B17" s="557" t="s">
        <v>220</v>
      </c>
      <c r="C17" s="558"/>
      <c r="D17" s="25" t="s">
        <v>221</v>
      </c>
      <c r="E17" s="297" t="s">
        <v>222</v>
      </c>
      <c r="F17" s="333" t="s">
        <v>197</v>
      </c>
      <c r="G17" t="e">
        <f>VL</f>
        <v>#VALUE!</v>
      </c>
    </row>
    <row r="18" spans="2:7" x14ac:dyDescent="0.25">
      <c r="B18" s="555"/>
      <c r="C18" s="559"/>
      <c r="D18" t="s">
        <v>223</v>
      </c>
      <c r="E18" s="7" t="s">
        <v>224</v>
      </c>
      <c r="F18" s="299" t="s">
        <v>225</v>
      </c>
      <c r="G18" t="str">
        <f>VS</f>
        <v>3.5x0.055</v>
      </c>
    </row>
    <row r="19" spans="2:7" x14ac:dyDescent="0.25">
      <c r="B19" s="555"/>
      <c r="C19" s="559"/>
      <c r="D19" t="s">
        <v>131</v>
      </c>
      <c r="E19" s="7" t="s">
        <v>226</v>
      </c>
      <c r="F19" s="299" t="s">
        <v>215</v>
      </c>
      <c r="G19" t="e">
        <f>V_Left</f>
        <v>#VALUE!</v>
      </c>
    </row>
    <row r="20" spans="2:7" x14ac:dyDescent="0.25">
      <c r="B20" s="555"/>
      <c r="C20" s="559"/>
      <c r="D20" t="s">
        <v>132</v>
      </c>
      <c r="E20" s="7" t="s">
        <v>227</v>
      </c>
      <c r="F20" s="299" t="s">
        <v>215</v>
      </c>
      <c r="G20" t="e">
        <f>V_Right</f>
        <v>#VALUE!</v>
      </c>
    </row>
    <row r="21" spans="2:7" x14ac:dyDescent="0.25">
      <c r="B21" s="555"/>
      <c r="C21" s="559"/>
      <c r="D21" t="s">
        <v>133</v>
      </c>
      <c r="E21" s="7" t="s">
        <v>228</v>
      </c>
      <c r="F21" s="299" t="s">
        <v>215</v>
      </c>
      <c r="G21" t="e">
        <f>EVS</f>
        <v>#VALUE!</v>
      </c>
    </row>
    <row r="22" spans="2:7" x14ac:dyDescent="0.25">
      <c r="B22" s="555"/>
      <c r="C22" s="559"/>
      <c r="D22" t="s">
        <v>134</v>
      </c>
      <c r="E22" s="7" t="s">
        <v>229</v>
      </c>
      <c r="F22" s="299" t="s">
        <v>215</v>
      </c>
      <c r="G22" t="e">
        <f>IVS</f>
        <v>#VALUE!</v>
      </c>
    </row>
    <row r="23" spans="2:7" x14ac:dyDescent="0.25">
      <c r="B23" s="555"/>
      <c r="C23" s="559"/>
      <c r="D23" t="s">
        <v>230</v>
      </c>
      <c r="E23" s="7" t="s">
        <v>231</v>
      </c>
      <c r="F23" s="299" t="s">
        <v>225</v>
      </c>
      <c r="G23" t="str">
        <f>TS</f>
        <v>5x4, .134</v>
      </c>
    </row>
    <row r="24" spans="2:7" x14ac:dyDescent="0.25">
      <c r="B24" s="555"/>
      <c r="C24" s="559"/>
      <c r="D24" t="s">
        <v>232</v>
      </c>
      <c r="E24" s="7" t="s">
        <v>233</v>
      </c>
      <c r="F24" s="299" t="s">
        <v>197</v>
      </c>
      <c r="G24">
        <f>GL</f>
        <v>23.125</v>
      </c>
    </row>
    <row r="25" spans="2:7" x14ac:dyDescent="0.25">
      <c r="B25" s="555"/>
      <c r="C25" s="559"/>
      <c r="D25" t="s">
        <v>234</v>
      </c>
      <c r="E25" s="7" t="s">
        <v>235</v>
      </c>
      <c r="F25" s="299" t="s">
        <v>215</v>
      </c>
      <c r="G25" t="e">
        <f>LSR</f>
        <v>#VALUE!</v>
      </c>
    </row>
    <row r="26" spans="2:7" x14ac:dyDescent="0.25">
      <c r="B26" s="555"/>
      <c r="C26" s="559"/>
      <c r="D26" t="s">
        <v>236</v>
      </c>
      <c r="E26" s="7" t="s">
        <v>237</v>
      </c>
      <c r="F26" s="299" t="s">
        <v>215</v>
      </c>
      <c r="G26" t="e">
        <f>RSR</f>
        <v>#VALUE!</v>
      </c>
    </row>
    <row r="27" spans="2:7" x14ac:dyDescent="0.25">
      <c r="B27" s="555"/>
      <c r="C27" s="559"/>
      <c r="D27" t="s">
        <v>238</v>
      </c>
      <c r="E27" s="7" t="s">
        <v>239</v>
      </c>
      <c r="F27" s="299" t="s">
        <v>197</v>
      </c>
      <c r="G27">
        <f>GR</f>
        <v>23.125</v>
      </c>
    </row>
    <row r="28" spans="2:7" x14ac:dyDescent="0.25">
      <c r="B28" s="555"/>
      <c r="C28" s="559"/>
      <c r="D28" t="s">
        <v>180</v>
      </c>
      <c r="E28" s="7" t="s">
        <v>240</v>
      </c>
      <c r="F28" s="299" t="s">
        <v>197</v>
      </c>
      <c r="G28">
        <f>SDW</f>
        <v>200</v>
      </c>
    </row>
    <row r="29" spans="2:7" x14ac:dyDescent="0.25">
      <c r="B29" s="555"/>
      <c r="C29" s="559"/>
      <c r="D29" t="s">
        <v>183</v>
      </c>
      <c r="E29" s="7" t="s">
        <v>241</v>
      </c>
      <c r="F29" s="299" t="s">
        <v>197</v>
      </c>
      <c r="G29">
        <v>50</v>
      </c>
    </row>
    <row r="30" spans="2:7" x14ac:dyDescent="0.25">
      <c r="B30" s="555"/>
      <c r="C30" s="559"/>
      <c r="D30" t="s">
        <v>184</v>
      </c>
      <c r="E30" s="7" t="s">
        <v>242</v>
      </c>
      <c r="F30" s="299" t="s">
        <v>197</v>
      </c>
      <c r="G30">
        <f>TG</f>
        <v>10.75</v>
      </c>
    </row>
    <row r="31" spans="2:7" x14ac:dyDescent="0.25">
      <c r="B31" s="555"/>
      <c r="C31" s="559"/>
      <c r="D31" t="s">
        <v>185</v>
      </c>
      <c r="E31" s="7" t="s">
        <v>243</v>
      </c>
      <c r="F31" s="299" t="s">
        <v>197</v>
      </c>
      <c r="G31">
        <f>Ecc</f>
        <v>0</v>
      </c>
    </row>
    <row r="32" spans="2:7" x14ac:dyDescent="0.25">
      <c r="B32" s="560"/>
      <c r="C32" s="561"/>
      <c r="D32" s="30" t="s">
        <v>244</v>
      </c>
      <c r="E32" s="309" t="s">
        <v>245</v>
      </c>
      <c r="F32" s="301" t="s">
        <v>197</v>
      </c>
      <c r="G32" t="str">
        <f>Theta</f>
        <v>XX</v>
      </c>
    </row>
    <row r="33" spans="2:16" ht="18.75" customHeight="1" x14ac:dyDescent="0.3">
      <c r="B33" s="377"/>
      <c r="C33" s="378"/>
      <c r="D33" s="378"/>
      <c r="E33" s="378"/>
      <c r="F33" s="379"/>
    </row>
    <row r="34" spans="2:16" x14ac:dyDescent="0.25">
      <c r="B34" s="553" t="s">
        <v>246</v>
      </c>
      <c r="C34" s="554"/>
      <c r="D34" s="25" t="s">
        <v>247</v>
      </c>
      <c r="E34" s="297" t="s">
        <v>248</v>
      </c>
      <c r="F34" s="333" t="s">
        <v>215</v>
      </c>
      <c r="G34">
        <f>Post_NE</f>
        <v>-1</v>
      </c>
    </row>
    <row r="35" spans="2:16" x14ac:dyDescent="0.25">
      <c r="B35" s="555"/>
      <c r="C35" s="556"/>
      <c r="D35" t="s">
        <v>249</v>
      </c>
      <c r="E35" s="7" t="s">
        <v>250</v>
      </c>
      <c r="F35" s="299" t="s">
        <v>215</v>
      </c>
      <c r="G35">
        <f>Post_NI</f>
        <v>-1</v>
      </c>
    </row>
    <row r="36" spans="2:16" x14ac:dyDescent="0.25">
      <c r="B36" s="555"/>
      <c r="C36" s="556"/>
      <c r="D36" t="s">
        <v>251</v>
      </c>
      <c r="E36" s="7" t="s">
        <v>252</v>
      </c>
      <c r="F36" s="299" t="s">
        <v>215</v>
      </c>
      <c r="G36">
        <f>Drive_E</f>
        <v>0</v>
      </c>
    </row>
    <row r="37" spans="2:16" x14ac:dyDescent="0.25">
      <c r="B37" s="555"/>
      <c r="C37" s="556"/>
      <c r="D37" t="s">
        <v>253</v>
      </c>
      <c r="E37" s="7" t="s">
        <v>254</v>
      </c>
      <c r="F37" s="299" t="s">
        <v>215</v>
      </c>
      <c r="G37">
        <f>Drive_I</f>
        <v>0</v>
      </c>
    </row>
    <row r="38" spans="2:16" x14ac:dyDescent="0.25">
      <c r="B38" s="555"/>
      <c r="C38" s="556"/>
      <c r="D38" t="s">
        <v>255</v>
      </c>
      <c r="E38" s="7" t="s">
        <v>256</v>
      </c>
      <c r="F38" s="299" t="s">
        <v>257</v>
      </c>
      <c r="G38">
        <f>LSE_1</f>
        <v>0</v>
      </c>
      <c r="H38">
        <f>LSE_2</f>
        <v>0</v>
      </c>
      <c r="I38">
        <f>LSE_3</f>
        <v>0</v>
      </c>
      <c r="J38">
        <f>LSE_4</f>
        <v>0</v>
      </c>
      <c r="K38">
        <f>LSE_5</f>
        <v>0</v>
      </c>
      <c r="L38">
        <f>LSE_6</f>
        <v>0</v>
      </c>
      <c r="M38">
        <f>LSE_7</f>
        <v>0</v>
      </c>
      <c r="N38">
        <f>LSE_8</f>
        <v>0</v>
      </c>
      <c r="O38">
        <f>LSE_9</f>
        <v>0</v>
      </c>
      <c r="P38">
        <f>LSE_10</f>
        <v>0</v>
      </c>
    </row>
    <row r="39" spans="2:16" x14ac:dyDescent="0.25">
      <c r="B39" s="555"/>
      <c r="C39" s="556"/>
      <c r="D39" t="s">
        <v>258</v>
      </c>
      <c r="E39" s="7" t="s">
        <v>259</v>
      </c>
      <c r="F39" s="299" t="s">
        <v>257</v>
      </c>
      <c r="G39">
        <f>RSE_1</f>
        <v>0</v>
      </c>
      <c r="H39">
        <f>RSE_2</f>
        <v>0</v>
      </c>
      <c r="I39">
        <f>RSE_3</f>
        <v>0</v>
      </c>
      <c r="J39">
        <f>RSE_4</f>
        <v>0</v>
      </c>
      <c r="K39">
        <f>RSE_5</f>
        <v>0</v>
      </c>
      <c r="L39">
        <f>RSE_6</f>
        <v>0</v>
      </c>
      <c r="M39">
        <f>RSE_7</f>
        <v>0</v>
      </c>
      <c r="N39">
        <f>RSE_8</f>
        <v>0</v>
      </c>
      <c r="O39">
        <f>RSE_9</f>
        <v>0</v>
      </c>
      <c r="P39">
        <f>RSE_10</f>
        <v>0</v>
      </c>
    </row>
    <row r="40" spans="2:16" x14ac:dyDescent="0.25">
      <c r="B40" s="555"/>
      <c r="C40" s="556"/>
      <c r="D40" t="s">
        <v>260</v>
      </c>
      <c r="E40" s="7" t="s">
        <v>261</v>
      </c>
      <c r="F40" s="299" t="s">
        <v>257</v>
      </c>
      <c r="G40">
        <f>LSI_1</f>
        <v>0</v>
      </c>
      <c r="H40">
        <f>LSI_2</f>
        <v>0</v>
      </c>
      <c r="I40">
        <f>LSI_3</f>
        <v>0</v>
      </c>
      <c r="J40">
        <f>LSI_4</f>
        <v>0</v>
      </c>
      <c r="K40">
        <f>LSI_5</f>
        <v>0</v>
      </c>
      <c r="L40">
        <f>LSI_6</f>
        <v>0</v>
      </c>
      <c r="M40">
        <f>LSI_7</f>
        <v>0</v>
      </c>
      <c r="N40">
        <f>LSI_8</f>
        <v>0</v>
      </c>
      <c r="O40">
        <f>LSI_9</f>
        <v>0</v>
      </c>
      <c r="P40">
        <f>LSI_10</f>
        <v>0</v>
      </c>
    </row>
    <row r="41" spans="2:16" x14ac:dyDescent="0.25">
      <c r="B41" s="555"/>
      <c r="C41" s="556"/>
      <c r="D41" t="s">
        <v>262</v>
      </c>
      <c r="E41" s="7" t="s">
        <v>263</v>
      </c>
      <c r="F41" s="299" t="s">
        <v>257</v>
      </c>
      <c r="G41">
        <f>RSI_1</f>
        <v>0</v>
      </c>
      <c r="H41">
        <f>RSI_2</f>
        <v>0</v>
      </c>
      <c r="I41">
        <f>RSI_3</f>
        <v>0</v>
      </c>
      <c r="J41">
        <f>RSI_4</f>
        <v>0</v>
      </c>
      <c r="K41">
        <f>RSI_5</f>
        <v>0</v>
      </c>
      <c r="L41">
        <f>RSI_6</f>
        <v>0</v>
      </c>
      <c r="M41">
        <f>RSI_7</f>
        <v>0</v>
      </c>
      <c r="N41">
        <f>RSI_8</f>
        <v>0</v>
      </c>
      <c r="O41">
        <f>RSI_9</f>
        <v>0</v>
      </c>
      <c r="P41">
        <f>RSI_10</f>
        <v>0</v>
      </c>
    </row>
    <row r="42" spans="2:16" ht="18.75" customHeight="1" x14ac:dyDescent="0.3">
      <c r="B42" s="380"/>
      <c r="C42" s="381"/>
      <c r="D42" s="381"/>
      <c r="E42" s="381"/>
      <c r="F42" s="382"/>
    </row>
    <row r="43" spans="2:16" x14ac:dyDescent="0.25">
      <c r="B43" s="557" t="s">
        <v>264</v>
      </c>
      <c r="C43" s="558"/>
      <c r="D43" s="25" t="s">
        <v>265</v>
      </c>
      <c r="E43" s="383" t="s">
        <v>266</v>
      </c>
      <c r="F43" s="384" t="s">
        <v>197</v>
      </c>
      <c r="G43" t="str">
        <f>WL</f>
        <v>XXX</v>
      </c>
    </row>
    <row r="44" spans="2:16" x14ac:dyDescent="0.25">
      <c r="B44" s="555"/>
      <c r="C44" s="559"/>
      <c r="D44" t="s">
        <v>41</v>
      </c>
      <c r="E44" s="210" t="s">
        <v>41</v>
      </c>
      <c r="F44" s="385" t="s">
        <v>197</v>
      </c>
      <c r="G44" t="str">
        <f>GCR</f>
        <v>XX</v>
      </c>
    </row>
    <row r="45" spans="2:16" x14ac:dyDescent="0.25">
      <c r="B45" s="555"/>
      <c r="C45" s="559"/>
      <c r="D45" t="s">
        <v>267</v>
      </c>
      <c r="E45" s="210" t="s">
        <v>78</v>
      </c>
      <c r="F45" s="385" t="s">
        <v>197</v>
      </c>
      <c r="G45">
        <f>Ke</f>
        <v>1</v>
      </c>
    </row>
    <row r="46" spans="2:16" x14ac:dyDescent="0.25">
      <c r="B46" s="560"/>
      <c r="C46" s="561"/>
      <c r="D46" s="30" t="s">
        <v>268</v>
      </c>
      <c r="E46" s="386" t="s">
        <v>269</v>
      </c>
      <c r="F46" s="31" t="s">
        <v>197</v>
      </c>
      <c r="G46" t="str">
        <f>RSL</f>
        <v>XX</v>
      </c>
    </row>
    <row r="47" spans="2:16" ht="18.75" customHeight="1" x14ac:dyDescent="0.3">
      <c r="B47" s="387"/>
      <c r="C47" s="388"/>
      <c r="D47" s="381"/>
      <c r="E47" s="388"/>
      <c r="F47" s="382"/>
    </row>
    <row r="48" spans="2:16" x14ac:dyDescent="0.25">
      <c r="B48" s="557" t="s">
        <v>270</v>
      </c>
      <c r="C48" s="558"/>
      <c r="D48" s="24" t="s">
        <v>85</v>
      </c>
      <c r="E48" s="383" t="s">
        <v>85</v>
      </c>
      <c r="F48" s="384" t="s">
        <v>215</v>
      </c>
      <c r="G48" t="e">
        <f>Pult</f>
        <v>#VALUE!</v>
      </c>
    </row>
    <row r="49" spans="2:10" x14ac:dyDescent="0.25">
      <c r="B49" s="555"/>
      <c r="C49" s="559"/>
      <c r="D49" s="27" t="s">
        <v>271</v>
      </c>
      <c r="E49" s="210" t="s">
        <v>272</v>
      </c>
      <c r="F49" s="385" t="s">
        <v>215</v>
      </c>
      <c r="G49" t="e">
        <f>LS</f>
        <v>#VALUE!</v>
      </c>
    </row>
    <row r="50" spans="2:10" x14ac:dyDescent="0.25">
      <c r="B50" s="555"/>
      <c r="C50" s="559"/>
      <c r="D50" s="27" t="s">
        <v>273</v>
      </c>
      <c r="E50" s="210" t="s">
        <v>274</v>
      </c>
      <c r="F50" s="385" t="s">
        <v>215</v>
      </c>
      <c r="G50" t="e">
        <f>RS</f>
        <v>#VALUE!</v>
      </c>
    </row>
    <row r="51" spans="2:10" x14ac:dyDescent="0.25">
      <c r="B51" s="555"/>
      <c r="C51" s="559"/>
      <c r="D51" s="27" t="s">
        <v>187</v>
      </c>
      <c r="E51" s="210" t="s">
        <v>275</v>
      </c>
      <c r="F51" s="385" t="s">
        <v>197</v>
      </c>
      <c r="G51">
        <f>SMA</f>
        <v>9</v>
      </c>
    </row>
    <row r="52" spans="2:10" x14ac:dyDescent="0.25">
      <c r="B52" s="555"/>
      <c r="C52" s="559"/>
      <c r="D52" s="27" t="s">
        <v>276</v>
      </c>
      <c r="E52" s="210" t="s">
        <v>277</v>
      </c>
      <c r="F52" s="385" t="s">
        <v>257</v>
      </c>
      <c r="G52" t="e">
        <f>M1A</f>
        <v>#VALUE!</v>
      </c>
      <c r="H52" t="e">
        <f>M2A</f>
        <v>#VALUE!</v>
      </c>
      <c r="I52" t="e">
        <f>M3A</f>
        <v>#VALUE!</v>
      </c>
      <c r="J52" t="e">
        <f>M4A</f>
        <v>#VALUE!</v>
      </c>
    </row>
    <row r="53" spans="2:10" x14ac:dyDescent="0.25">
      <c r="B53" s="560"/>
      <c r="C53" s="561"/>
      <c r="D53" s="29" t="s">
        <v>278</v>
      </c>
      <c r="E53" s="386" t="s">
        <v>279</v>
      </c>
      <c r="F53" s="389" t="s">
        <v>215</v>
      </c>
      <c r="G53" t="e">
        <f>TotS</f>
        <v>#VALUE!</v>
      </c>
    </row>
  </sheetData>
  <mergeCells count="9">
    <mergeCell ref="B34:C41"/>
    <mergeCell ref="B48:C53"/>
    <mergeCell ref="B2:C2"/>
    <mergeCell ref="B17:C32"/>
    <mergeCell ref="B6:F6"/>
    <mergeCell ref="B16:F16"/>
    <mergeCell ref="B7:C15"/>
    <mergeCell ref="B3:C5"/>
    <mergeCell ref="B43:C4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CZ88"/>
  <sheetViews>
    <sheetView workbookViewId="0">
      <selection activeCell="C2" sqref="C2"/>
    </sheetView>
  </sheetViews>
  <sheetFormatPr defaultRowHeight="15" x14ac:dyDescent="0.25"/>
  <cols>
    <col min="1" max="1" width="34.5703125" bestFit="1" customWidth="1"/>
    <col min="4" max="4" width="31.85546875" customWidth="1"/>
    <col min="7" max="7" width="32.140625" bestFit="1" customWidth="1"/>
  </cols>
  <sheetData>
    <row r="2" spans="1:8" ht="15" customHeight="1" x14ac:dyDescent="0.25">
      <c r="A2" s="172" t="s">
        <v>280</v>
      </c>
      <c r="B2" s="276" t="str">
        <f>Inputs!B41</f>
        <v>XXX</v>
      </c>
      <c r="D2" s="18" t="s">
        <v>281</v>
      </c>
    </row>
    <row r="3" spans="1:8" ht="15" customHeight="1" x14ac:dyDescent="0.25">
      <c r="A3" s="172" t="s">
        <v>282</v>
      </c>
      <c r="B3" s="276" t="e">
        <f>Inputs!B39</f>
        <v>#VALUE!</v>
      </c>
      <c r="D3" s="18" t="s">
        <v>283</v>
      </c>
    </row>
    <row r="4" spans="1:8" ht="15" customHeight="1" x14ac:dyDescent="0.25">
      <c r="A4" s="172" t="s">
        <v>284</v>
      </c>
      <c r="B4" s="276" t="str">
        <f>Inputs!B33</f>
        <v>XX</v>
      </c>
    </row>
    <row r="5" spans="1:8" ht="15" customHeight="1" x14ac:dyDescent="0.25">
      <c r="A5" s="172" t="s">
        <v>285</v>
      </c>
      <c r="B5" s="276" t="e">
        <f>Inputs!D69/12</f>
        <v>#VALUE!</v>
      </c>
    </row>
    <row r="6" spans="1:8" ht="15" customHeight="1" x14ac:dyDescent="0.25">
      <c r="A6" s="172" t="s">
        <v>286</v>
      </c>
      <c r="B6" s="276" t="e">
        <f>Inputs!D70/12</f>
        <v>#VALUE!</v>
      </c>
    </row>
    <row r="7" spans="1:8" ht="15" customHeight="1" x14ac:dyDescent="0.25">
      <c r="A7" s="172" t="s">
        <v>287</v>
      </c>
      <c r="B7" s="276" t="e">
        <f>(MAX(Inputs!B97:B98))/12</f>
        <v>#VALUE!</v>
      </c>
    </row>
    <row r="8" spans="1:8" ht="15" customHeight="1" x14ac:dyDescent="0.25">
      <c r="A8" s="172" t="s">
        <v>288</v>
      </c>
      <c r="B8" s="276" t="e">
        <f>B5*B7</f>
        <v>#VALUE!</v>
      </c>
    </row>
    <row r="9" spans="1:8" ht="15" customHeight="1" x14ac:dyDescent="0.25">
      <c r="A9" s="281" t="s">
        <v>289</v>
      </c>
      <c r="B9" s="276" t="e">
        <f>HLOOKUP(Drive_E, 'Wind Calcs'!D14:AH17, 3, TRUE)-HLOOKUP(Drive_E, 'Wind Calcs'!D14:AH17,4,TRUE)</f>
        <v>#N/A</v>
      </c>
    </row>
    <row r="10" spans="1:8" ht="15" customHeight="1" x14ac:dyDescent="0.25">
      <c r="A10" s="172" t="s">
        <v>290</v>
      </c>
      <c r="B10" s="276" t="e">
        <f>HLOOKUP(Drive_I, 'Wind Calcs'!D14:AH20, 6, TRUE)-HLOOKUP(Drive_I, 'Wind Calcs'!D14:AH20,7,TRUE)</f>
        <v>#N/A</v>
      </c>
    </row>
    <row r="11" spans="1:8" ht="15" customHeight="1" x14ac:dyDescent="0.25">
      <c r="A11" s="172" t="s">
        <v>291</v>
      </c>
      <c r="B11" s="276" t="e">
        <f>IF(Inputs!B51="Operation",B8*2,(B9*B5)/144)</f>
        <v>#N/A</v>
      </c>
    </row>
    <row r="12" spans="1:8" ht="15" customHeight="1" x14ac:dyDescent="0.25">
      <c r="A12" s="172" t="s">
        <v>292</v>
      </c>
      <c r="B12" s="276" t="e">
        <f>IF(Inputs!B51="Operation",B8*2,(B10*B5)/144)</f>
        <v>#N/A</v>
      </c>
    </row>
    <row r="13" spans="1:8" ht="21" customHeight="1" x14ac:dyDescent="0.25">
      <c r="A13" s="282"/>
      <c r="B13" s="283"/>
    </row>
    <row r="14" spans="1:8" ht="15" customHeight="1" x14ac:dyDescent="0.25">
      <c r="A14" s="282"/>
      <c r="B14" s="283"/>
    </row>
    <row r="15" spans="1:8" ht="15" hidden="1" customHeight="1" x14ac:dyDescent="0.25">
      <c r="A15" s="277" t="s">
        <v>293</v>
      </c>
      <c r="B15" s="278" t="e">
        <f>FORECAST($B$2,D74:D88,$B$74:$B$88)</f>
        <v>#VALUE!</v>
      </c>
      <c r="D15" s="277" t="s">
        <v>294</v>
      </c>
      <c r="E15" s="278" t="e">
        <f>FORECAST($B$2,CV74:CV88,$B$74:$B$88)</f>
        <v>#VALUE!</v>
      </c>
      <c r="G15" s="277" t="s">
        <v>295</v>
      </c>
      <c r="H15" s="278" t="e">
        <f>MIN(B15,E15)</f>
        <v>#VALUE!</v>
      </c>
    </row>
    <row r="16" spans="1:8" ht="15" hidden="1" customHeight="1" x14ac:dyDescent="0.25">
      <c r="A16" s="277" t="s">
        <v>296</v>
      </c>
      <c r="B16" s="278" t="e">
        <f>FORECAST($B$2,E74:E88,$B$74:$B$88)</f>
        <v>#VALUE!</v>
      </c>
      <c r="D16" s="277" t="s">
        <v>297</v>
      </c>
      <c r="E16" s="278" t="e">
        <f>FORECAST($B$2,CW74:CW88,$B$74:$B$88)</f>
        <v>#VALUE!</v>
      </c>
      <c r="G16" s="277" t="s">
        <v>298</v>
      </c>
      <c r="H16" s="278" t="e">
        <f>MAX(B16,E16)</f>
        <v>#VALUE!</v>
      </c>
    </row>
    <row r="17" spans="1:8" ht="15" hidden="1" customHeight="1" x14ac:dyDescent="0.25">
      <c r="A17" s="277" t="s">
        <v>299</v>
      </c>
      <c r="B17" s="278" t="e">
        <f>FORECAST($B$2,H74:H88,$B$74:$B$88)</f>
        <v>#VALUE!</v>
      </c>
      <c r="D17" s="277" t="s">
        <v>300</v>
      </c>
      <c r="E17" s="278" t="e">
        <f>FORECAST($B$2,CZ74:CZ88,$B$74:$B$88)</f>
        <v>#VALUE!</v>
      </c>
      <c r="G17" s="277" t="s">
        <v>301</v>
      </c>
      <c r="H17" s="278" t="e">
        <f>MIN(B17,E17)</f>
        <v>#VALUE!</v>
      </c>
    </row>
    <row r="18" spans="1:8" ht="15" hidden="1" customHeight="1" x14ac:dyDescent="0.25">
      <c r="A18" s="277" t="s">
        <v>302</v>
      </c>
      <c r="B18" s="278" t="e">
        <f>FORECAST($B$2,G74:G88,$B$74:$B$88)</f>
        <v>#VALUE!</v>
      </c>
      <c r="D18" s="277" t="s">
        <v>302</v>
      </c>
      <c r="E18" s="278" t="e">
        <f>FORECAST($B$2,CY74:CY88,$B$74:$B$88)</f>
        <v>#VALUE!</v>
      </c>
      <c r="G18" s="277" t="s">
        <v>303</v>
      </c>
      <c r="H18" s="278" t="e">
        <f>B18</f>
        <v>#VALUE!</v>
      </c>
    </row>
    <row r="19" spans="1:8" ht="15" hidden="1" customHeight="1" x14ac:dyDescent="0.25">
      <c r="A19" s="279"/>
      <c r="B19" s="280"/>
    </row>
    <row r="20" spans="1:8" ht="15" hidden="1" customHeight="1" x14ac:dyDescent="0.25">
      <c r="A20" s="277" t="s">
        <v>304</v>
      </c>
      <c r="B20" s="278" t="e">
        <f>FORECAST($B$2,P74:P88,$B$74:$B$88)</f>
        <v>#VALUE!</v>
      </c>
      <c r="D20" s="277" t="s">
        <v>305</v>
      </c>
      <c r="E20" s="278" t="e">
        <f>FORECAST($B$2,CJ74:CJ88,$B$74:$B$88)</f>
        <v>#VALUE!</v>
      </c>
      <c r="G20" s="277" t="s">
        <v>306</v>
      </c>
      <c r="H20" s="278" t="e">
        <f>MIN(B20,E20)</f>
        <v>#VALUE!</v>
      </c>
    </row>
    <row r="21" spans="1:8" ht="15" hidden="1" customHeight="1" x14ac:dyDescent="0.25">
      <c r="A21" s="277" t="s">
        <v>307</v>
      </c>
      <c r="B21" s="278" t="e">
        <f>FORECAST($B$2,Q74:Q88,$B$74:$B$88)</f>
        <v>#VALUE!</v>
      </c>
      <c r="D21" s="277" t="s">
        <v>308</v>
      </c>
      <c r="E21" s="278" t="e">
        <f>FORECAST($B$2,CK74:CK88,$B$74:$B$88)</f>
        <v>#VALUE!</v>
      </c>
      <c r="G21" s="277" t="s">
        <v>309</v>
      </c>
      <c r="H21" s="278" t="e">
        <f>MAX(B21,E21)</f>
        <v>#VALUE!</v>
      </c>
    </row>
    <row r="22" spans="1:8" ht="15" hidden="1" customHeight="1" x14ac:dyDescent="0.25">
      <c r="A22" s="277" t="s">
        <v>310</v>
      </c>
      <c r="B22" s="278" t="e">
        <f>FORECAST($B$2,T74:T88,$B$74:$B$88)</f>
        <v>#VALUE!</v>
      </c>
      <c r="D22" s="277" t="s">
        <v>311</v>
      </c>
      <c r="E22" s="278" t="e">
        <f>FORECAST($B$2,CN74:CN88,$B$74:$B$88)</f>
        <v>#VALUE!</v>
      </c>
      <c r="G22" s="277" t="s">
        <v>312</v>
      </c>
      <c r="H22" s="278" t="e">
        <f>MIN(B22,E22)</f>
        <v>#VALUE!</v>
      </c>
    </row>
    <row r="23" spans="1:8" ht="15" hidden="1" customHeight="1" x14ac:dyDescent="0.25">
      <c r="A23" s="277" t="s">
        <v>313</v>
      </c>
      <c r="B23" s="278" t="e">
        <f>FORECAST($B$2,S74:S88,$B$74:$B$88)</f>
        <v>#VALUE!</v>
      </c>
      <c r="D23" s="277" t="s">
        <v>314</v>
      </c>
      <c r="E23" s="278" t="e">
        <f>FORECAST($B$2,CM74:CM88,$B$74:$B$88)</f>
        <v>#VALUE!</v>
      </c>
      <c r="G23" s="277" t="s">
        <v>315</v>
      </c>
      <c r="H23" s="278" t="e">
        <f>B23</f>
        <v>#VALUE!</v>
      </c>
    </row>
    <row r="24" spans="1:8" ht="15" hidden="1" customHeight="1" x14ac:dyDescent="0.25">
      <c r="A24" s="279"/>
      <c r="B24" s="280"/>
    </row>
    <row r="25" spans="1:8" ht="15" hidden="1" customHeight="1" x14ac:dyDescent="0.25">
      <c r="A25" s="279"/>
      <c r="B25" s="280"/>
    </row>
    <row r="26" spans="1:8" ht="15" hidden="1" customHeight="1" x14ac:dyDescent="0.25">
      <c r="A26" s="277" t="s">
        <v>316</v>
      </c>
      <c r="B26" s="278" t="e">
        <f>FORECAST($B$2,AB74:AB88,$B$74:$B$88)</f>
        <v>#VALUE!</v>
      </c>
      <c r="D26" s="277" t="s">
        <v>317</v>
      </c>
      <c r="E26" s="278" t="e">
        <f>FORECAST($B$2,BX74:BX88,$B$74:$B$88)</f>
        <v>#VALUE!</v>
      </c>
      <c r="G26" s="277" t="s">
        <v>318</v>
      </c>
      <c r="H26" s="278" t="e">
        <f>MIN(B26,E26)</f>
        <v>#VALUE!</v>
      </c>
    </row>
    <row r="27" spans="1:8" ht="15" hidden="1" customHeight="1" x14ac:dyDescent="0.25">
      <c r="A27" s="277" t="s">
        <v>319</v>
      </c>
      <c r="B27" s="278" t="e">
        <f>FORECAST($B$2,AC74:AC88,$B$74:$B$88)</f>
        <v>#VALUE!</v>
      </c>
      <c r="D27" s="277" t="s">
        <v>320</v>
      </c>
      <c r="E27" s="278" t="e">
        <f>FORECAST($B$2,BY74:BY88,$B$74:$B$88)</f>
        <v>#VALUE!</v>
      </c>
      <c r="G27" s="277" t="s">
        <v>321</v>
      </c>
      <c r="H27" s="278" t="e">
        <f>MAX(B27,E27)</f>
        <v>#VALUE!</v>
      </c>
    </row>
    <row r="28" spans="1:8" ht="15" hidden="1" customHeight="1" x14ac:dyDescent="0.25">
      <c r="A28" s="277" t="s">
        <v>322</v>
      </c>
      <c r="B28" s="278" t="e">
        <f>FORECAST($B$2,AF74:AF88,$B$74:$B$88)</f>
        <v>#VALUE!</v>
      </c>
      <c r="D28" s="277" t="s">
        <v>323</v>
      </c>
      <c r="E28" s="278" t="e">
        <f>FORECAST($B$2,CB74:CB88,$B$74:$B$88)</f>
        <v>#VALUE!</v>
      </c>
      <c r="G28" s="277" t="s">
        <v>324</v>
      </c>
      <c r="H28" s="278" t="e">
        <f>MIN(B28,E28)</f>
        <v>#VALUE!</v>
      </c>
    </row>
    <row r="29" spans="1:8" ht="15" hidden="1" customHeight="1" x14ac:dyDescent="0.25">
      <c r="A29" s="277" t="s">
        <v>325</v>
      </c>
      <c r="B29" s="278" t="e">
        <f>FORECAST($B$2,AE74:AE88,$B$74:$B$88)</f>
        <v>#VALUE!</v>
      </c>
      <c r="D29" s="277" t="s">
        <v>326</v>
      </c>
      <c r="E29" s="278" t="e">
        <f>FORECAST($B$2,CA74:CA88,$B$74:$B$88)</f>
        <v>#VALUE!</v>
      </c>
      <c r="G29" s="277" t="s">
        <v>327</v>
      </c>
      <c r="H29" s="278" t="e">
        <f>B29</f>
        <v>#VALUE!</v>
      </c>
    </row>
    <row r="30" spans="1:8" ht="15" hidden="1" customHeight="1" x14ac:dyDescent="0.25"/>
    <row r="31" spans="1:8" ht="15" hidden="1" customHeight="1" x14ac:dyDescent="0.25"/>
    <row r="32" spans="1:8" ht="15" hidden="1" customHeight="1" x14ac:dyDescent="0.25">
      <c r="A32" s="277" t="s">
        <v>328</v>
      </c>
      <c r="B32" s="278" t="e">
        <f>FORECAST($B$2,AB74:AB88,$B$74:$B$88)</f>
        <v>#VALUE!</v>
      </c>
      <c r="D32" s="277" t="s">
        <v>329</v>
      </c>
      <c r="E32" s="278" t="e">
        <f>FORECAST($B$2,BL74:BL88,$B$74:$B$88)</f>
        <v>#VALUE!</v>
      </c>
      <c r="G32" s="277" t="s">
        <v>330</v>
      </c>
      <c r="H32" s="278" t="e">
        <f>MIN(B32,E32)</f>
        <v>#VALUE!</v>
      </c>
    </row>
    <row r="33" spans="1:8" ht="15" hidden="1" customHeight="1" x14ac:dyDescent="0.25">
      <c r="A33" s="277" t="s">
        <v>331</v>
      </c>
      <c r="B33" s="278" t="e">
        <f>FORECAST($B$2,AC74:AC88,$B$74:$B$88)</f>
        <v>#VALUE!</v>
      </c>
      <c r="D33" s="277" t="s">
        <v>332</v>
      </c>
      <c r="E33" s="278" t="e">
        <f>FORECAST($B$2,BM74:BM88,$B$74:$B$88)</f>
        <v>#VALUE!</v>
      </c>
      <c r="G33" s="277" t="s">
        <v>333</v>
      </c>
      <c r="H33" s="278" t="e">
        <f>MAX(B33,E33)</f>
        <v>#VALUE!</v>
      </c>
    </row>
    <row r="34" spans="1:8" ht="15" hidden="1" customHeight="1" x14ac:dyDescent="0.25">
      <c r="A34" s="277" t="s">
        <v>334</v>
      </c>
      <c r="B34" s="278" t="e">
        <f>FORECAST($B$2,AF74:AF88,$B$74:$B$88)</f>
        <v>#VALUE!</v>
      </c>
      <c r="D34" s="277" t="s">
        <v>335</v>
      </c>
      <c r="E34" s="278" t="e">
        <f>FORECAST($B$2,BP74:BP88,$B$74:$B$88)</f>
        <v>#VALUE!</v>
      </c>
      <c r="G34" s="277" t="s">
        <v>336</v>
      </c>
      <c r="H34" s="278" t="e">
        <f>MIN(B34,E34)</f>
        <v>#VALUE!</v>
      </c>
    </row>
    <row r="35" spans="1:8" ht="15" hidden="1" customHeight="1" x14ac:dyDescent="0.25">
      <c r="A35" s="277" t="s">
        <v>337</v>
      </c>
      <c r="B35" s="278" t="e">
        <f>FORECAST($B$2,AE74:AE88,$B$74:$B$88)</f>
        <v>#VALUE!</v>
      </c>
      <c r="D35" s="277" t="s">
        <v>338</v>
      </c>
      <c r="E35" s="278" t="e">
        <f>FORECAST($B$2,BO74:BO88,$B$74:$B$88)</f>
        <v>#VALUE!</v>
      </c>
      <c r="G35" s="277" t="s">
        <v>339</v>
      </c>
      <c r="H35" s="278" t="e">
        <f>B35</f>
        <v>#VALUE!</v>
      </c>
    </row>
    <row r="36" spans="1:8" ht="15" hidden="1" customHeight="1" x14ac:dyDescent="0.25"/>
    <row r="37" spans="1:8" ht="15" hidden="1" customHeight="1" x14ac:dyDescent="0.25"/>
    <row r="38" spans="1:8" ht="15" hidden="1" customHeight="1" x14ac:dyDescent="0.25">
      <c r="A38" s="277" t="s">
        <v>340</v>
      </c>
      <c r="B38" s="278" t="e">
        <f>FORECAST($B$2,AN74:AN88,$B$74:$B$88)</f>
        <v>#VALUE!</v>
      </c>
      <c r="D38" s="279"/>
      <c r="E38" s="280"/>
    </row>
    <row r="39" spans="1:8" ht="15" hidden="1" customHeight="1" x14ac:dyDescent="0.25">
      <c r="A39" s="277" t="s">
        <v>341</v>
      </c>
      <c r="B39" s="278" t="e">
        <f>FORECAST($B$2,BA74:BA88,$B$74:$B$88)</f>
        <v>#VALUE!</v>
      </c>
      <c r="D39" s="279"/>
      <c r="E39" s="280"/>
    </row>
    <row r="40" spans="1:8" ht="15" hidden="1" customHeight="1" x14ac:dyDescent="0.25">
      <c r="A40" s="277" t="s">
        <v>342</v>
      </c>
      <c r="B40" s="278" t="e">
        <f>FORECAST($B$2,BD74:BD88,$B$74:$B$88)</f>
        <v>#VALUE!</v>
      </c>
      <c r="D40" s="279"/>
      <c r="E40" s="280"/>
    </row>
    <row r="41" spans="1:8" ht="15" hidden="1" customHeight="1" x14ac:dyDescent="0.25">
      <c r="A41" s="277" t="s">
        <v>343</v>
      </c>
      <c r="B41" s="278" t="e">
        <f>FORECAST($B$2,BA74:BA88,$B$74:$B$88)</f>
        <v>#VALUE!</v>
      </c>
      <c r="D41" s="279"/>
      <c r="E41" s="280"/>
    </row>
    <row r="42" spans="1:8" ht="15" hidden="1" customHeight="1" x14ac:dyDescent="0.25"/>
    <row r="43" spans="1:8" ht="15" customHeight="1" x14ac:dyDescent="0.25">
      <c r="A43" s="277" t="s">
        <v>344</v>
      </c>
      <c r="B43" s="278" t="e">
        <f>IF(Theta=55,H15,MIN(H15,H20,H26,H32,B38))</f>
        <v>#VALUE!</v>
      </c>
    </row>
    <row r="44" spans="1:8" ht="15" customHeight="1" x14ac:dyDescent="0.25">
      <c r="A44" s="277" t="s">
        <v>345</v>
      </c>
      <c r="B44" s="278" t="e">
        <f>IF(Theta=55,H16,MAX(H16,H21,H27,H33,B39))</f>
        <v>#VALUE!</v>
      </c>
    </row>
    <row r="45" spans="1:8" ht="15" customHeight="1" x14ac:dyDescent="0.25">
      <c r="A45" s="277" t="s">
        <v>346</v>
      </c>
      <c r="B45" s="278" t="e">
        <f>IF(Theta=55,H17,MIN(H17,H22,H28,H34,B40))</f>
        <v>#VALUE!</v>
      </c>
    </row>
    <row r="46" spans="1:8" ht="15" customHeight="1" x14ac:dyDescent="0.25">
      <c r="A46" s="277" t="s">
        <v>347</v>
      </c>
      <c r="B46" s="278" t="e">
        <f>IF(Theta=55,H18,MAX(H18,H23,H29,H35,B41))</f>
        <v>#VALUE!</v>
      </c>
    </row>
    <row r="47" spans="1:8" ht="15" customHeight="1" x14ac:dyDescent="0.25"/>
    <row r="48" spans="1:8" ht="15" customHeight="1" x14ac:dyDescent="0.25">
      <c r="A48" s="277" t="s">
        <v>348</v>
      </c>
      <c r="B48" s="278" t="e">
        <f>(B43*$B$11*$B$5*$B$3)*12</f>
        <v>#VALUE!</v>
      </c>
      <c r="C48" t="s">
        <v>349</v>
      </c>
    </row>
    <row r="49" spans="1:3" ht="15" customHeight="1" x14ac:dyDescent="0.25">
      <c r="A49" s="277" t="s">
        <v>350</v>
      </c>
      <c r="B49" s="278" t="e">
        <f>(B44*$B$8*$B$5*$B$3)*2*12</f>
        <v>#VALUE!</v>
      </c>
      <c r="C49" t="s">
        <v>351</v>
      </c>
    </row>
    <row r="50" spans="1:3" ht="15" customHeight="1" x14ac:dyDescent="0.25">
      <c r="A50" s="277" t="s">
        <v>352</v>
      </c>
      <c r="B50" s="278" t="e">
        <f>(B45*$B$12*$B$5*$B$3)*12</f>
        <v>#VALUE!</v>
      </c>
    </row>
    <row r="51" spans="1:3" ht="15" customHeight="1" x14ac:dyDescent="0.25">
      <c r="A51" s="277" t="s">
        <v>353</v>
      </c>
      <c r="B51" s="278" t="e">
        <f>(B46*$B$8*$B$5*$B$3)*2*12</f>
        <v>#VALUE!</v>
      </c>
    </row>
    <row r="53" spans="1:3" x14ac:dyDescent="0.25">
      <c r="B53" s="280"/>
    </row>
    <row r="54" spans="1:3" x14ac:dyDescent="0.25">
      <c r="B54" s="280"/>
    </row>
    <row r="55" spans="1:3" ht="15" customHeight="1" x14ac:dyDescent="0.25">
      <c r="B55" s="280"/>
    </row>
    <row r="56" spans="1:3" x14ac:dyDescent="0.25">
      <c r="B56" s="280"/>
    </row>
    <row r="70" spans="2:104" ht="15.75" customHeight="1" thickBot="1" x14ac:dyDescent="0.3"/>
    <row r="71" spans="2:104" ht="15.75" customHeight="1" thickBot="1" x14ac:dyDescent="0.3">
      <c r="C71" s="569" t="s">
        <v>354</v>
      </c>
      <c r="D71" s="544"/>
      <c r="E71" s="544"/>
      <c r="F71" s="544"/>
      <c r="G71" s="544"/>
      <c r="H71" s="545"/>
      <c r="O71" s="569" t="s">
        <v>355</v>
      </c>
      <c r="P71" s="544"/>
      <c r="Q71" s="544"/>
      <c r="R71" s="544"/>
      <c r="S71" s="544"/>
      <c r="T71" s="545"/>
      <c r="AA71" s="569" t="s">
        <v>356</v>
      </c>
      <c r="AB71" s="544"/>
      <c r="AC71" s="544"/>
      <c r="AD71" s="544"/>
      <c r="AE71" s="544"/>
      <c r="AF71" s="545"/>
      <c r="AM71" s="569" t="s">
        <v>357</v>
      </c>
      <c r="AN71" s="544"/>
      <c r="AO71" s="544"/>
      <c r="AP71" s="544"/>
      <c r="AQ71" s="544"/>
      <c r="AR71" s="545"/>
      <c r="AY71" s="569" t="s">
        <v>358</v>
      </c>
      <c r="AZ71" s="544"/>
      <c r="BA71" s="544"/>
      <c r="BB71" s="544"/>
      <c r="BC71" s="544"/>
      <c r="BD71" s="545"/>
      <c r="BK71" s="569" t="s">
        <v>359</v>
      </c>
      <c r="BL71" s="544"/>
      <c r="BM71" s="544"/>
      <c r="BN71" s="544"/>
      <c r="BO71" s="544"/>
      <c r="BP71" s="545"/>
      <c r="BW71" s="569" t="s">
        <v>360</v>
      </c>
      <c r="BX71" s="544"/>
      <c r="BY71" s="544"/>
      <c r="BZ71" s="544"/>
      <c r="CA71" s="544"/>
      <c r="CB71" s="545"/>
      <c r="CI71" s="569" t="s">
        <v>361</v>
      </c>
      <c r="CJ71" s="544"/>
      <c r="CK71" s="544"/>
      <c r="CL71" s="544"/>
      <c r="CM71" s="544"/>
      <c r="CN71" s="545"/>
      <c r="CU71" s="569" t="s">
        <v>362</v>
      </c>
      <c r="CV71" s="544"/>
      <c r="CW71" s="544"/>
      <c r="CX71" s="544"/>
      <c r="CY71" s="544"/>
      <c r="CZ71" s="545"/>
    </row>
    <row r="72" spans="2:104" ht="15.75" customHeight="1" thickBot="1" x14ac:dyDescent="0.3">
      <c r="C72" s="567" t="s">
        <v>363</v>
      </c>
      <c r="D72" s="568"/>
      <c r="E72" s="570" t="s">
        <v>364</v>
      </c>
      <c r="F72" s="568"/>
      <c r="G72" s="566" t="s">
        <v>365</v>
      </c>
      <c r="H72" s="548"/>
      <c r="O72" s="567" t="s">
        <v>363</v>
      </c>
      <c r="P72" s="568"/>
      <c r="Q72" s="570" t="s">
        <v>364</v>
      </c>
      <c r="R72" s="568"/>
      <c r="S72" s="566" t="s">
        <v>365</v>
      </c>
      <c r="T72" s="548"/>
      <c r="AA72" s="567" t="s">
        <v>363</v>
      </c>
      <c r="AB72" s="568"/>
      <c r="AC72" s="570" t="s">
        <v>364</v>
      </c>
      <c r="AD72" s="568"/>
      <c r="AE72" s="566" t="s">
        <v>365</v>
      </c>
      <c r="AF72" s="548"/>
      <c r="AM72" s="567" t="s">
        <v>363</v>
      </c>
      <c r="AN72" s="568"/>
      <c r="AO72" s="570" t="s">
        <v>364</v>
      </c>
      <c r="AP72" s="568"/>
      <c r="AQ72" s="566" t="s">
        <v>365</v>
      </c>
      <c r="AR72" s="548"/>
      <c r="AY72" s="567" t="s">
        <v>363</v>
      </c>
      <c r="AZ72" s="568"/>
      <c r="BA72" s="570" t="s">
        <v>364</v>
      </c>
      <c r="BB72" s="568"/>
      <c r="BC72" s="566" t="s">
        <v>365</v>
      </c>
      <c r="BD72" s="548"/>
      <c r="BK72" s="567" t="s">
        <v>363</v>
      </c>
      <c r="BL72" s="568"/>
      <c r="BM72" s="570" t="s">
        <v>364</v>
      </c>
      <c r="BN72" s="568"/>
      <c r="BO72" s="566" t="s">
        <v>365</v>
      </c>
      <c r="BP72" s="548"/>
      <c r="BW72" s="567" t="s">
        <v>363</v>
      </c>
      <c r="BX72" s="568"/>
      <c r="BY72" s="570" t="s">
        <v>364</v>
      </c>
      <c r="BZ72" s="568"/>
      <c r="CA72" s="566" t="s">
        <v>365</v>
      </c>
      <c r="CB72" s="548"/>
      <c r="CI72" s="567" t="s">
        <v>363</v>
      </c>
      <c r="CJ72" s="568"/>
      <c r="CK72" s="570" t="s">
        <v>364</v>
      </c>
      <c r="CL72" s="568"/>
      <c r="CM72" s="566" t="s">
        <v>365</v>
      </c>
      <c r="CN72" s="548"/>
      <c r="CU72" s="567" t="s">
        <v>363</v>
      </c>
      <c r="CV72" s="568"/>
      <c r="CW72" s="570" t="s">
        <v>364</v>
      </c>
      <c r="CX72" s="568"/>
      <c r="CY72" s="566" t="s">
        <v>365</v>
      </c>
      <c r="CZ72" s="548"/>
    </row>
    <row r="73" spans="2:104" x14ac:dyDescent="0.25">
      <c r="B73" s="261" t="s">
        <v>366</v>
      </c>
      <c r="C73" s="262" t="s">
        <v>367</v>
      </c>
      <c r="D73" s="263" t="s">
        <v>368</v>
      </c>
      <c r="E73" s="264" t="s">
        <v>367</v>
      </c>
      <c r="F73" s="263" t="s">
        <v>368</v>
      </c>
      <c r="G73" s="264" t="s">
        <v>367</v>
      </c>
      <c r="H73" s="265" t="s">
        <v>368</v>
      </c>
      <c r="N73" s="261" t="s">
        <v>366</v>
      </c>
      <c r="O73" s="262" t="s">
        <v>367</v>
      </c>
      <c r="P73" s="263" t="s">
        <v>368</v>
      </c>
      <c r="Q73" s="264" t="s">
        <v>367</v>
      </c>
      <c r="R73" s="263" t="s">
        <v>368</v>
      </c>
      <c r="S73" s="264" t="s">
        <v>367</v>
      </c>
      <c r="T73" s="265" t="s">
        <v>368</v>
      </c>
      <c r="Z73" s="261" t="s">
        <v>366</v>
      </c>
      <c r="AA73" s="262" t="s">
        <v>367</v>
      </c>
      <c r="AB73" s="263" t="s">
        <v>368</v>
      </c>
      <c r="AC73" s="264" t="s">
        <v>367</v>
      </c>
      <c r="AD73" s="263" t="s">
        <v>368</v>
      </c>
      <c r="AE73" s="264" t="s">
        <v>367</v>
      </c>
      <c r="AF73" s="265" t="s">
        <v>368</v>
      </c>
      <c r="AL73" s="261" t="s">
        <v>366</v>
      </c>
      <c r="AM73" s="262" t="s">
        <v>367</v>
      </c>
      <c r="AN73" s="263" t="s">
        <v>368</v>
      </c>
      <c r="AO73" s="264" t="s">
        <v>367</v>
      </c>
      <c r="AP73" s="263" t="s">
        <v>368</v>
      </c>
      <c r="AQ73" s="264" t="s">
        <v>367</v>
      </c>
      <c r="AR73" s="265" t="s">
        <v>368</v>
      </c>
      <c r="AX73" s="261" t="s">
        <v>366</v>
      </c>
      <c r="AY73" s="262" t="s">
        <v>367</v>
      </c>
      <c r="AZ73" s="263" t="s">
        <v>368</v>
      </c>
      <c r="BA73" s="264" t="s">
        <v>367</v>
      </c>
      <c r="BB73" s="263" t="s">
        <v>368</v>
      </c>
      <c r="BC73" s="264" t="s">
        <v>367</v>
      </c>
      <c r="BD73" s="265" t="s">
        <v>368</v>
      </c>
      <c r="BJ73" s="261" t="s">
        <v>366</v>
      </c>
      <c r="BK73" s="262" t="s">
        <v>367</v>
      </c>
      <c r="BL73" s="263" t="s">
        <v>368</v>
      </c>
      <c r="BM73" s="264" t="s">
        <v>367</v>
      </c>
      <c r="BN73" s="263" t="s">
        <v>368</v>
      </c>
      <c r="BO73" s="264" t="s">
        <v>367</v>
      </c>
      <c r="BP73" s="265" t="s">
        <v>368</v>
      </c>
      <c r="BV73" s="261" t="s">
        <v>366</v>
      </c>
      <c r="BW73" s="262" t="s">
        <v>367</v>
      </c>
      <c r="BX73" s="263" t="s">
        <v>368</v>
      </c>
      <c r="BY73" s="264" t="s">
        <v>367</v>
      </c>
      <c r="BZ73" s="263" t="s">
        <v>368</v>
      </c>
      <c r="CA73" s="264" t="s">
        <v>367</v>
      </c>
      <c r="CB73" s="265" t="s">
        <v>368</v>
      </c>
      <c r="CH73" s="261" t="s">
        <v>366</v>
      </c>
      <c r="CI73" s="262" t="s">
        <v>367</v>
      </c>
      <c r="CJ73" s="263" t="s">
        <v>368</v>
      </c>
      <c r="CK73" s="264" t="s">
        <v>367</v>
      </c>
      <c r="CL73" s="263" t="s">
        <v>368</v>
      </c>
      <c r="CM73" s="264" t="s">
        <v>367</v>
      </c>
      <c r="CN73" s="265" t="s">
        <v>368</v>
      </c>
      <c r="CT73" s="261" t="s">
        <v>366</v>
      </c>
      <c r="CU73" s="262" t="s">
        <v>367</v>
      </c>
      <c r="CV73" s="263" t="s">
        <v>368</v>
      </c>
      <c r="CW73" s="264" t="s">
        <v>367</v>
      </c>
      <c r="CX73" s="263" t="s">
        <v>368</v>
      </c>
      <c r="CY73" s="264" t="s">
        <v>367</v>
      </c>
      <c r="CZ73" s="265" t="s">
        <v>368</v>
      </c>
    </row>
    <row r="74" spans="2:104" x14ac:dyDescent="0.25">
      <c r="B74" s="266">
        <v>45</v>
      </c>
      <c r="C74" s="267" t="e">
        <v>#N/A</v>
      </c>
      <c r="D74" s="268">
        <v>-7.9982727048894933E-2</v>
      </c>
      <c r="E74" s="269">
        <v>0</v>
      </c>
      <c r="F74" s="268">
        <v>-3.082219477697341E-2</v>
      </c>
      <c r="G74" s="269">
        <v>3.230402751109273E-2</v>
      </c>
      <c r="H74" s="270">
        <v>-2.7857783150135401E-2</v>
      </c>
      <c r="N74" s="266">
        <v>45</v>
      </c>
      <c r="O74" s="267" t="e">
        <v>#N/A</v>
      </c>
      <c r="P74" s="268">
        <v>-8.3840974446841118E-2</v>
      </c>
      <c r="Q74" s="269">
        <v>0</v>
      </c>
      <c r="R74" s="268">
        <v>-3.2584896685459448E-2</v>
      </c>
      <c r="S74" s="269">
        <v>1.014829935207235E-2</v>
      </c>
      <c r="T74" s="270">
        <v>-2.11300287572674E-2</v>
      </c>
      <c r="Z74" s="266">
        <v>45</v>
      </c>
      <c r="AA74" s="267" t="e">
        <v>#N/A</v>
      </c>
      <c r="AB74" s="268">
        <v>-9.2989759724464147E-2</v>
      </c>
      <c r="AC74" s="269">
        <v>0</v>
      </c>
      <c r="AD74" s="268">
        <v>-3.8935237153765928E-2</v>
      </c>
      <c r="AE74" s="269">
        <v>4.5557908769216539E-2</v>
      </c>
      <c r="AF74" s="270">
        <v>-3.1347305750939601E-2</v>
      </c>
      <c r="AL74" s="266">
        <v>45</v>
      </c>
      <c r="AM74" s="267" t="e">
        <v>#N/A</v>
      </c>
      <c r="AN74" s="268">
        <v>-0.10642580251581189</v>
      </c>
      <c r="AO74" s="269">
        <v>1.327572686786424E-2</v>
      </c>
      <c r="AP74" s="268">
        <v>-4.6913305179107377E-2</v>
      </c>
      <c r="AQ74" s="269">
        <v>6.1781921447113817E-3</v>
      </c>
      <c r="AR74" s="270">
        <v>-3.2470086435479197E-2</v>
      </c>
      <c r="AX74" s="266">
        <v>45</v>
      </c>
      <c r="AY74" s="267" t="e">
        <v>#N/A</v>
      </c>
      <c r="AZ74" s="268">
        <v>-8.3388835939836078E-2</v>
      </c>
      <c r="BA74" s="269">
        <v>0</v>
      </c>
      <c r="BB74" s="268">
        <v>-5.0730661246895813E-2</v>
      </c>
      <c r="BC74" s="269" t="e">
        <v>#N/A</v>
      </c>
      <c r="BD74" s="270">
        <v>-7.2738253343689468E-2</v>
      </c>
      <c r="BJ74" s="266">
        <v>45</v>
      </c>
      <c r="BK74" s="267" t="e">
        <v>#N/A</v>
      </c>
      <c r="BL74" s="268">
        <v>-7.8571138671091764E-2</v>
      </c>
      <c r="BM74" s="269">
        <v>8.0739448451531146E-4</v>
      </c>
      <c r="BN74" s="268">
        <v>-5.7688324489635769E-2</v>
      </c>
      <c r="BO74" s="269" t="e">
        <v>#N/A</v>
      </c>
      <c r="BP74" s="270">
        <v>-7.435541344287927E-2</v>
      </c>
      <c r="BV74" s="266">
        <v>45</v>
      </c>
      <c r="BW74" s="267" t="e">
        <v>#N/A</v>
      </c>
      <c r="BX74" s="268">
        <v>-8.121516058931412E-2</v>
      </c>
      <c r="BY74" s="269">
        <v>0</v>
      </c>
      <c r="BZ74" s="268">
        <v>-5.8770323070739962E-2</v>
      </c>
      <c r="CA74" s="269" t="e">
        <v>#N/A</v>
      </c>
      <c r="CB74" s="270">
        <v>-6.3387157566937066E-2</v>
      </c>
      <c r="CH74" s="266">
        <v>45</v>
      </c>
      <c r="CI74" s="267" t="e">
        <v>#N/A</v>
      </c>
      <c r="CJ74" s="268">
        <v>-7.8503869295551629E-2</v>
      </c>
      <c r="CK74" s="269">
        <v>3.3713029399449329E-4</v>
      </c>
      <c r="CL74" s="268">
        <v>-4.907367614766988E-2</v>
      </c>
      <c r="CM74" s="269" t="e">
        <v>#N/A</v>
      </c>
      <c r="CN74" s="270">
        <v>-5.8389135331461478E-2</v>
      </c>
      <c r="CT74" s="266">
        <v>45</v>
      </c>
      <c r="CU74" s="267" t="e">
        <v>#N/A</v>
      </c>
      <c r="CV74" s="268">
        <v>-7.3935330709104671E-2</v>
      </c>
      <c r="CW74" s="269">
        <v>8.1073713179508136E-3</v>
      </c>
      <c r="CX74" s="268">
        <v>-4.2304965332511407E-2</v>
      </c>
      <c r="CY74" s="269" t="e">
        <v>#N/A</v>
      </c>
      <c r="CZ74" s="270">
        <v>-6.1028642608823631E-2</v>
      </c>
    </row>
    <row r="75" spans="2:104" x14ac:dyDescent="0.25">
      <c r="B75" s="266">
        <v>51</v>
      </c>
      <c r="C75" s="267" t="e">
        <v>#N/A</v>
      </c>
      <c r="D75" s="268">
        <v>-7.201816110636651E-2</v>
      </c>
      <c r="E75" s="269">
        <v>0</v>
      </c>
      <c r="F75" s="268">
        <v>-2.4424223720464811E-2</v>
      </c>
      <c r="G75" s="269">
        <v>2.512945618360829E-2</v>
      </c>
      <c r="H75" s="270">
        <v>-2.1716070553375801E-2</v>
      </c>
      <c r="N75" s="266">
        <v>51</v>
      </c>
      <c r="O75" s="267" t="e">
        <v>#N/A</v>
      </c>
      <c r="P75" s="268">
        <v>-7.2493374664334184E-2</v>
      </c>
      <c r="Q75" s="269">
        <v>0</v>
      </c>
      <c r="R75" s="268">
        <v>-2.6415661385333709E-2</v>
      </c>
      <c r="S75" s="269">
        <v>6.6173932046008294E-3</v>
      </c>
      <c r="T75" s="270">
        <v>-1.9711272353722799E-2</v>
      </c>
      <c r="Z75" s="266">
        <v>51</v>
      </c>
      <c r="AA75" s="267" t="e">
        <v>#N/A</v>
      </c>
      <c r="AB75" s="268">
        <v>-8.4379901851504013E-2</v>
      </c>
      <c r="AC75" s="269">
        <v>0</v>
      </c>
      <c r="AD75" s="268">
        <v>-3.5526440305670391E-2</v>
      </c>
      <c r="AE75" s="269">
        <v>3.2262888153846973E-2</v>
      </c>
      <c r="AF75" s="270">
        <v>-2.7872123522178899E-2</v>
      </c>
      <c r="AL75" s="266">
        <v>51</v>
      </c>
      <c r="AM75" s="267" t="e">
        <v>#N/A</v>
      </c>
      <c r="AN75" s="268">
        <v>-9.2556836124836048E-2</v>
      </c>
      <c r="AO75" s="269">
        <v>1.139666828539586E-2</v>
      </c>
      <c r="AP75" s="268">
        <v>-3.978889691926802E-2</v>
      </c>
      <c r="AQ75" s="269">
        <v>5.7898113765638944E-3</v>
      </c>
      <c r="AR75" s="270">
        <v>-3.1415754492796627E-2</v>
      </c>
      <c r="AX75" s="266">
        <v>51</v>
      </c>
      <c r="AY75" s="267" t="e">
        <v>#N/A</v>
      </c>
      <c r="AZ75" s="268">
        <v>-7.7769817817762307E-2</v>
      </c>
      <c r="BA75" s="269">
        <v>0</v>
      </c>
      <c r="BB75" s="268">
        <v>-5.3771720507986877E-2</v>
      </c>
      <c r="BC75" s="269" t="e">
        <v>#N/A</v>
      </c>
      <c r="BD75" s="270">
        <v>-6.3174260969342089E-2</v>
      </c>
      <c r="BJ75" s="266">
        <v>51</v>
      </c>
      <c r="BK75" s="267" t="e">
        <v>#N/A</v>
      </c>
      <c r="BL75" s="268">
        <v>-7.2581513473943524E-2</v>
      </c>
      <c r="BM75" s="269">
        <v>7.5023698249932359E-4</v>
      </c>
      <c r="BN75" s="268">
        <v>-5.2620501871579822E-2</v>
      </c>
      <c r="BO75" s="269" t="e">
        <v>#N/A</v>
      </c>
      <c r="BP75" s="270">
        <v>-6.1314793880991952E-2</v>
      </c>
      <c r="BV75" s="266">
        <v>51</v>
      </c>
      <c r="BW75" s="267" t="e">
        <v>#N/A</v>
      </c>
      <c r="BX75" s="268">
        <v>-7.4908126835124947E-2</v>
      </c>
      <c r="BY75" s="269">
        <v>0</v>
      </c>
      <c r="BZ75" s="268">
        <v>-5.4381693044006807E-2</v>
      </c>
      <c r="CA75" s="269" t="e">
        <v>#N/A</v>
      </c>
      <c r="CB75" s="270">
        <v>-5.8148179048769233E-2</v>
      </c>
      <c r="CH75" s="266">
        <v>51</v>
      </c>
      <c r="CI75" s="267" t="e">
        <v>#N/A</v>
      </c>
      <c r="CJ75" s="268">
        <v>-6.7362158211499365E-2</v>
      </c>
      <c r="CK75" s="269">
        <v>1.5618128616352371E-4</v>
      </c>
      <c r="CL75" s="268">
        <v>-4.403426377461684E-2</v>
      </c>
      <c r="CM75" s="269" t="e">
        <v>#N/A</v>
      </c>
      <c r="CN75" s="270">
        <v>-5.1325833520477593E-2</v>
      </c>
      <c r="CT75" s="266">
        <v>51</v>
      </c>
      <c r="CU75" s="267" t="e">
        <v>#N/A</v>
      </c>
      <c r="CV75" s="268">
        <v>-6.1230192427126823E-2</v>
      </c>
      <c r="CW75" s="269">
        <v>7.6517908046106536E-3</v>
      </c>
      <c r="CX75" s="268">
        <v>-3.3080429336414592E-2</v>
      </c>
      <c r="CY75" s="269" t="e">
        <v>#N/A</v>
      </c>
      <c r="CZ75" s="270">
        <v>-4.827428767514317E-2</v>
      </c>
    </row>
    <row r="76" spans="2:104" x14ac:dyDescent="0.25">
      <c r="B76" s="266">
        <v>58</v>
      </c>
      <c r="C76" s="267" t="e">
        <v>#N/A</v>
      </c>
      <c r="D76" s="268">
        <v>-6.4525024347147311E-2</v>
      </c>
      <c r="E76" s="269">
        <v>0</v>
      </c>
      <c r="F76" s="268">
        <v>-2.1791771400583759E-2</v>
      </c>
      <c r="G76" s="269">
        <v>1.98089799655745E-2</v>
      </c>
      <c r="H76" s="270">
        <v>-1.65479446185837E-2</v>
      </c>
      <c r="N76" s="266">
        <v>58</v>
      </c>
      <c r="O76" s="267" t="e">
        <v>#N/A</v>
      </c>
      <c r="P76" s="268">
        <v>-6.8585833748512071E-2</v>
      </c>
      <c r="Q76" s="269">
        <v>0</v>
      </c>
      <c r="R76" s="268">
        <v>-2.4347173716484531E-2</v>
      </c>
      <c r="S76" s="269">
        <v>4.8248332676171582E-3</v>
      </c>
      <c r="T76" s="270">
        <v>-1.8800998729657899E-2</v>
      </c>
      <c r="Z76" s="266">
        <v>58</v>
      </c>
      <c r="AA76" s="267" t="e">
        <v>#N/A</v>
      </c>
      <c r="AB76" s="268">
        <v>-7.6001524052787373E-2</v>
      </c>
      <c r="AC76" s="269">
        <v>1.6446480677814111E-4</v>
      </c>
      <c r="AD76" s="268">
        <v>-3.0831781657542971E-2</v>
      </c>
      <c r="AE76" s="269">
        <v>2.4346776415127488E-2</v>
      </c>
      <c r="AF76" s="270">
        <v>-2.3098195148365998E-2</v>
      </c>
      <c r="AL76" s="266">
        <v>58</v>
      </c>
      <c r="AM76" s="267" t="e">
        <v>#N/A</v>
      </c>
      <c r="AN76" s="268">
        <v>-8.3970882721576143E-2</v>
      </c>
      <c r="AO76" s="269">
        <v>1.11765606373572E-2</v>
      </c>
      <c r="AP76" s="268">
        <v>-3.6199444756118693E-2</v>
      </c>
      <c r="AQ76" s="269">
        <v>4.7278518318943892E-3</v>
      </c>
      <c r="AR76" s="270">
        <v>-3.0734051739955401E-2</v>
      </c>
      <c r="AX76" s="266">
        <v>58</v>
      </c>
      <c r="AY76" s="267" t="e">
        <v>#N/A</v>
      </c>
      <c r="AZ76" s="268">
        <v>-7.2429623652640926E-2</v>
      </c>
      <c r="BA76" s="269">
        <v>0</v>
      </c>
      <c r="BB76" s="268">
        <v>-5.0967407126192743E-2</v>
      </c>
      <c r="BC76" s="269" t="e">
        <v>#N/A</v>
      </c>
      <c r="BD76" s="270">
        <v>-5.7087219599221632E-2</v>
      </c>
      <c r="BJ76" s="266">
        <v>58</v>
      </c>
      <c r="BK76" s="267" t="e">
        <v>#N/A</v>
      </c>
      <c r="BL76" s="268">
        <v>-7.2580766136743913E-2</v>
      </c>
      <c r="BM76" s="269">
        <v>1.3342111717079279E-3</v>
      </c>
      <c r="BN76" s="268">
        <v>-5.2632367011679733E-2</v>
      </c>
      <c r="BO76" s="269" t="e">
        <v>#N/A</v>
      </c>
      <c r="BP76" s="270">
        <v>-5.4566125636081507E-2</v>
      </c>
      <c r="BV76" s="266">
        <v>58</v>
      </c>
      <c r="BW76" s="267" t="e">
        <v>#N/A</v>
      </c>
      <c r="BX76" s="268">
        <v>-7.0179117409308378E-2</v>
      </c>
      <c r="BY76" s="269">
        <v>0</v>
      </c>
      <c r="BZ76" s="268">
        <v>-5.375269711695365E-2</v>
      </c>
      <c r="CA76" s="269" t="e">
        <v>#N/A</v>
      </c>
      <c r="CB76" s="270">
        <v>-5.4041969793523638E-2</v>
      </c>
      <c r="CH76" s="266">
        <v>58</v>
      </c>
      <c r="CI76" s="267" t="e">
        <v>#N/A</v>
      </c>
      <c r="CJ76" s="268">
        <v>-6.3401862620682939E-2</v>
      </c>
      <c r="CK76" s="269">
        <v>7.8024772588675053E-4</v>
      </c>
      <c r="CL76" s="268">
        <v>-4.3149259685857463E-2</v>
      </c>
      <c r="CM76" s="269" t="e">
        <v>#N/A</v>
      </c>
      <c r="CN76" s="270">
        <v>-4.661598303225406E-2</v>
      </c>
      <c r="CT76" s="266">
        <v>58</v>
      </c>
      <c r="CU76" s="267" t="e">
        <v>#N/A</v>
      </c>
      <c r="CV76" s="268">
        <v>-5.3887100844867433E-2</v>
      </c>
      <c r="CW76" s="269">
        <v>9.2683411731249235E-3</v>
      </c>
      <c r="CX76" s="268">
        <v>-3.1165704353874338E-2</v>
      </c>
      <c r="CY76" s="269" t="e">
        <v>#N/A</v>
      </c>
      <c r="CZ76" s="270">
        <v>-4.5217534451432798E-2</v>
      </c>
    </row>
    <row r="77" spans="2:104" x14ac:dyDescent="0.25">
      <c r="B77" s="266">
        <v>65</v>
      </c>
      <c r="C77" s="267" t="e">
        <v>#N/A</v>
      </c>
      <c r="D77" s="268">
        <v>-6.0041209773566362E-2</v>
      </c>
      <c r="E77" s="269">
        <v>7.1109742990420821E-4</v>
      </c>
      <c r="F77" s="268">
        <v>-1.950458822214661E-2</v>
      </c>
      <c r="G77" s="269">
        <v>1.790180169212998E-2</v>
      </c>
      <c r="H77" s="270">
        <v>-1.2390369808349899E-2</v>
      </c>
      <c r="N77" s="266">
        <v>65</v>
      </c>
      <c r="O77" s="267" t="e">
        <v>#N/A</v>
      </c>
      <c r="P77" s="268">
        <v>-6.3371440508665777E-2</v>
      </c>
      <c r="Q77" s="269">
        <v>1.9043226764690911E-5</v>
      </c>
      <c r="R77" s="268">
        <v>-2.1894020522718799E-2</v>
      </c>
      <c r="S77" s="269">
        <v>2.631540562468386E-3</v>
      </c>
      <c r="T77" s="270">
        <v>-1.7471784118615798E-2</v>
      </c>
      <c r="Z77" s="266">
        <v>65</v>
      </c>
      <c r="AA77" s="267" t="e">
        <v>#N/A</v>
      </c>
      <c r="AB77" s="268">
        <v>-7.2302453362819832E-2</v>
      </c>
      <c r="AC77" s="269">
        <v>2.596952988750983E-3</v>
      </c>
      <c r="AD77" s="268">
        <v>-2.9523609349718798E-2</v>
      </c>
      <c r="AE77" s="269">
        <v>1.8797187933107931E-2</v>
      </c>
      <c r="AF77" s="270">
        <v>-2.2331324974674101E-2</v>
      </c>
      <c r="AL77" s="266">
        <v>65</v>
      </c>
      <c r="AM77" s="267" t="e">
        <v>#N/A</v>
      </c>
      <c r="AN77" s="268">
        <v>-7.8114913507800698E-2</v>
      </c>
      <c r="AO77" s="269">
        <v>1.131869687594405E-2</v>
      </c>
      <c r="AP77" s="268">
        <v>-3.2362624706923609E-2</v>
      </c>
      <c r="AQ77" s="269">
        <v>1.7621530850820419E-3</v>
      </c>
      <c r="AR77" s="270">
        <v>-3.05638587461315E-2</v>
      </c>
      <c r="AX77" s="266">
        <v>65</v>
      </c>
      <c r="AY77" s="267" t="e">
        <v>#N/A</v>
      </c>
      <c r="AZ77" s="268">
        <v>-6.7615892737921554E-2</v>
      </c>
      <c r="BA77" s="269">
        <v>0</v>
      </c>
      <c r="BB77" s="268">
        <v>-4.7871126346564742E-2</v>
      </c>
      <c r="BC77" s="269" t="e">
        <v>#N/A</v>
      </c>
      <c r="BD77" s="270">
        <v>-4.7637103558333511E-2</v>
      </c>
      <c r="BJ77" s="266">
        <v>65</v>
      </c>
      <c r="BK77" s="267" t="e">
        <v>#N/A</v>
      </c>
      <c r="BL77" s="268">
        <v>-6.7277118223498536E-2</v>
      </c>
      <c r="BM77" s="269">
        <v>1.440281943085799E-3</v>
      </c>
      <c r="BN77" s="268">
        <v>-5.1338421073133529E-2</v>
      </c>
      <c r="BO77" s="269" t="e">
        <v>#N/A</v>
      </c>
      <c r="BP77" s="270">
        <v>-4.7155665661378077E-2</v>
      </c>
      <c r="BV77" s="266">
        <v>65</v>
      </c>
      <c r="BW77" s="267" t="e">
        <v>#N/A</v>
      </c>
      <c r="BX77" s="268">
        <v>-6.6818900502317494E-2</v>
      </c>
      <c r="BY77" s="269">
        <v>0</v>
      </c>
      <c r="BZ77" s="268">
        <v>-4.9476188849571022E-2</v>
      </c>
      <c r="CA77" s="269" t="e">
        <v>#N/A</v>
      </c>
      <c r="CB77" s="270">
        <v>-4.99675114496013E-2</v>
      </c>
      <c r="CH77" s="266">
        <v>65</v>
      </c>
      <c r="CI77" s="267" t="e">
        <v>#N/A</v>
      </c>
      <c r="CJ77" s="268">
        <v>-5.8185354333685338E-2</v>
      </c>
      <c r="CK77" s="269">
        <v>3.0713438479397781E-3</v>
      </c>
      <c r="CL77" s="268">
        <v>-3.7973606048964471E-2</v>
      </c>
      <c r="CM77" s="269" t="e">
        <v>#N/A</v>
      </c>
      <c r="CN77" s="270">
        <v>-4.045460516480686E-2</v>
      </c>
      <c r="CT77" s="266">
        <v>65</v>
      </c>
      <c r="CU77" s="267" t="e">
        <v>#N/A</v>
      </c>
      <c r="CV77" s="268">
        <v>-5.0556504530247591E-2</v>
      </c>
      <c r="CW77" s="269">
        <v>1.0238376966464791E-2</v>
      </c>
      <c r="CX77" s="268">
        <v>-2.7950446131196179E-2</v>
      </c>
      <c r="CY77" s="269" t="e">
        <v>#N/A</v>
      </c>
      <c r="CZ77" s="270">
        <v>-4.0236184129510397E-2</v>
      </c>
    </row>
    <row r="78" spans="2:104" x14ac:dyDescent="0.25">
      <c r="B78" s="266">
        <v>72</v>
      </c>
      <c r="C78" s="267" t="e">
        <v>#N/A</v>
      </c>
      <c r="D78" s="268">
        <v>-5.6844473585415299E-2</v>
      </c>
      <c r="E78" s="269">
        <v>4.5912015041985879E-4</v>
      </c>
      <c r="F78" s="268">
        <v>-1.6556001287691101E-2</v>
      </c>
      <c r="G78" s="269">
        <v>1.350369005829301E-2</v>
      </c>
      <c r="H78" s="270">
        <v>-1.1617492530140969E-2</v>
      </c>
      <c r="N78" s="266">
        <v>72</v>
      </c>
      <c r="O78" s="267" t="e">
        <v>#N/A</v>
      </c>
      <c r="P78" s="268">
        <v>-5.9708449216439162E-2</v>
      </c>
      <c r="Q78" s="269">
        <v>9.2590898259083912E-4</v>
      </c>
      <c r="R78" s="268">
        <v>-2.034762277125552E-2</v>
      </c>
      <c r="S78" s="269">
        <v>2.9629039534174342E-3</v>
      </c>
      <c r="T78" s="270">
        <v>-1.6029691820986999E-2</v>
      </c>
      <c r="Z78" s="266">
        <v>72</v>
      </c>
      <c r="AA78" s="267" t="e">
        <v>#N/A</v>
      </c>
      <c r="AB78" s="268">
        <v>-6.9263178152141447E-2</v>
      </c>
      <c r="AC78" s="269">
        <v>3.9263889510305896E-3</v>
      </c>
      <c r="AD78" s="268">
        <v>-2.8045899492069169E-2</v>
      </c>
      <c r="AE78" s="269">
        <v>1.515594380703141E-2</v>
      </c>
      <c r="AF78" s="270">
        <v>-2.1990219655985299E-2</v>
      </c>
      <c r="AL78" s="266">
        <v>72</v>
      </c>
      <c r="AM78" s="267" t="e">
        <v>#N/A</v>
      </c>
      <c r="AN78" s="268">
        <v>-7.227525262166147E-2</v>
      </c>
      <c r="AO78" s="269">
        <v>1.095998459345804E-2</v>
      </c>
      <c r="AP78" s="268">
        <v>-2.9919324081797039E-2</v>
      </c>
      <c r="AQ78" s="269">
        <v>1.2882915012798151E-4</v>
      </c>
      <c r="AR78" s="270">
        <v>-2.7210657693141599E-2</v>
      </c>
      <c r="AX78" s="266">
        <v>72</v>
      </c>
      <c r="AY78" s="267" t="e">
        <v>#N/A</v>
      </c>
      <c r="AZ78" s="268">
        <v>-6.7245432828806045E-2</v>
      </c>
      <c r="BA78" s="269">
        <v>0</v>
      </c>
      <c r="BB78" s="268">
        <v>-4.7231047061679472E-2</v>
      </c>
      <c r="BC78" s="269" t="e">
        <v>#N/A</v>
      </c>
      <c r="BD78" s="270">
        <v>-4.5491158760809378E-2</v>
      </c>
      <c r="BJ78" s="266">
        <v>72</v>
      </c>
      <c r="BK78" s="267" t="e">
        <v>#N/A</v>
      </c>
      <c r="BL78" s="268">
        <v>-6.4719665175133403E-2</v>
      </c>
      <c r="BM78" s="269">
        <v>3.841708431222988E-3</v>
      </c>
      <c r="BN78" s="268">
        <v>-4.8405668413125359E-2</v>
      </c>
      <c r="BO78" s="269" t="e">
        <v>#N/A</v>
      </c>
      <c r="BP78" s="270">
        <v>-4.5628942293877851E-2</v>
      </c>
      <c r="BV78" s="266">
        <v>72</v>
      </c>
      <c r="BW78" s="267" t="e">
        <v>#N/A</v>
      </c>
      <c r="BX78" s="268">
        <v>-6.1716186024015927E-2</v>
      </c>
      <c r="BY78" s="269">
        <v>0</v>
      </c>
      <c r="BZ78" s="268">
        <v>-4.3943531899253707E-2</v>
      </c>
      <c r="CA78" s="269" t="e">
        <v>#N/A</v>
      </c>
      <c r="CB78" s="270">
        <v>-4.7573599404765278E-2</v>
      </c>
      <c r="CH78" s="266">
        <v>72</v>
      </c>
      <c r="CI78" s="267" t="e">
        <v>#N/A</v>
      </c>
      <c r="CJ78" s="268">
        <v>-5.5794529254645342E-2</v>
      </c>
      <c r="CK78" s="269">
        <v>5.4652109096727831E-3</v>
      </c>
      <c r="CL78" s="268">
        <v>-3.5511172531095279E-2</v>
      </c>
      <c r="CM78" s="269" t="e">
        <v>#N/A</v>
      </c>
      <c r="CN78" s="270">
        <v>-3.8389145748646047E-2</v>
      </c>
      <c r="CT78" s="266">
        <v>72</v>
      </c>
      <c r="CU78" s="267" t="e">
        <v>#N/A</v>
      </c>
      <c r="CV78" s="268">
        <v>-4.6944423093235543E-2</v>
      </c>
      <c r="CW78" s="269">
        <v>9.2200135927035607E-3</v>
      </c>
      <c r="CX78" s="268">
        <v>-2.5311636188925912E-2</v>
      </c>
      <c r="CY78" s="269" t="e">
        <v>#N/A</v>
      </c>
      <c r="CZ78" s="270">
        <v>-3.4826377690477292E-2</v>
      </c>
    </row>
    <row r="79" spans="2:104" x14ac:dyDescent="0.25">
      <c r="B79" s="266">
        <v>78</v>
      </c>
      <c r="C79" s="267" t="e">
        <v>#N/A</v>
      </c>
      <c r="D79" s="268">
        <v>-5.317450647446248E-2</v>
      </c>
      <c r="E79" s="269">
        <v>3.25291913223835E-3</v>
      </c>
      <c r="F79" s="268">
        <v>-1.5565332643616731E-2</v>
      </c>
      <c r="G79" s="269">
        <v>1.133764020280106E-2</v>
      </c>
      <c r="H79" s="270">
        <v>-1.114065660809966E-2</v>
      </c>
      <c r="N79" s="266">
        <v>78</v>
      </c>
      <c r="O79" s="267" t="e">
        <v>#N/A</v>
      </c>
      <c r="P79" s="268">
        <v>-5.8815385382402809E-2</v>
      </c>
      <c r="Q79" s="269">
        <v>3.2323362288495792E-3</v>
      </c>
      <c r="R79" s="268">
        <v>-2.0000669806531691E-2</v>
      </c>
      <c r="S79" s="269">
        <v>1.968965857868319E-3</v>
      </c>
      <c r="T79" s="270">
        <v>-1.6364982073237229E-2</v>
      </c>
      <c r="Z79" s="266">
        <v>78</v>
      </c>
      <c r="AA79" s="267" t="e">
        <v>#N/A</v>
      </c>
      <c r="AB79" s="268">
        <v>-6.7536145392077321E-2</v>
      </c>
      <c r="AC79" s="269">
        <v>6.4925803648755677E-3</v>
      </c>
      <c r="AD79" s="268">
        <v>-2.597807332242813E-2</v>
      </c>
      <c r="AE79" s="269">
        <v>1.2446756187324329E-2</v>
      </c>
      <c r="AF79" s="270">
        <v>-1.97273329766318E-2</v>
      </c>
      <c r="AL79" s="266">
        <v>78</v>
      </c>
      <c r="AM79" s="267" t="e">
        <v>#N/A</v>
      </c>
      <c r="AN79" s="268">
        <v>-7.0713770219068633E-2</v>
      </c>
      <c r="AO79" s="269">
        <v>1.296159823686702E-2</v>
      </c>
      <c r="AP79" s="268">
        <v>-3.02058731919418E-2</v>
      </c>
      <c r="AQ79" s="269">
        <v>0</v>
      </c>
      <c r="AR79" s="270">
        <v>-2.6057052852652599E-2</v>
      </c>
      <c r="AX79" s="266">
        <v>78</v>
      </c>
      <c r="AY79" s="267" t="e">
        <v>#N/A</v>
      </c>
      <c r="AZ79" s="268">
        <v>-6.4628814307665983E-2</v>
      </c>
      <c r="BA79" s="269">
        <v>0</v>
      </c>
      <c r="BB79" s="268">
        <v>-4.8264985567599457E-2</v>
      </c>
      <c r="BC79" s="269" t="e">
        <v>#N/A</v>
      </c>
      <c r="BD79" s="270">
        <v>-4.400674088522729E-2</v>
      </c>
      <c r="BJ79" s="266">
        <v>78</v>
      </c>
      <c r="BK79" s="267" t="e">
        <v>#N/A</v>
      </c>
      <c r="BL79" s="268">
        <v>-6.3395598871340927E-2</v>
      </c>
      <c r="BM79" s="269">
        <v>5.2981592586007027E-3</v>
      </c>
      <c r="BN79" s="268">
        <v>-4.6486758309192723E-2</v>
      </c>
      <c r="BO79" s="269" t="e">
        <v>#N/A</v>
      </c>
      <c r="BP79" s="270">
        <v>-4.3585704355600198E-2</v>
      </c>
      <c r="BV79" s="266">
        <v>78</v>
      </c>
      <c r="BW79" s="267" t="e">
        <v>#N/A</v>
      </c>
      <c r="BX79" s="268">
        <v>-5.9515811969466648E-2</v>
      </c>
      <c r="BY79" s="269">
        <v>0</v>
      </c>
      <c r="BZ79" s="268">
        <v>-4.0396258729847208E-2</v>
      </c>
      <c r="CA79" s="269" t="e">
        <v>#N/A</v>
      </c>
      <c r="CB79" s="270">
        <v>-4.5017211173563172E-2</v>
      </c>
      <c r="CH79" s="266">
        <v>78</v>
      </c>
      <c r="CI79" s="267" t="e">
        <v>#N/A</v>
      </c>
      <c r="CJ79" s="268">
        <v>-5.2625609453851127E-2</v>
      </c>
      <c r="CK79" s="269">
        <v>6.2180059250251489E-3</v>
      </c>
      <c r="CL79" s="268">
        <v>-3.2785926222141527E-2</v>
      </c>
      <c r="CM79" s="269" t="e">
        <v>#N/A</v>
      </c>
      <c r="CN79" s="270">
        <v>-3.8201349941306792E-2</v>
      </c>
      <c r="CT79" s="266">
        <v>78</v>
      </c>
      <c r="CU79" s="267" t="e">
        <v>#N/A</v>
      </c>
      <c r="CV79" s="268">
        <v>-4.2866872070415361E-2</v>
      </c>
      <c r="CW79" s="269">
        <v>9.9166975663432227E-3</v>
      </c>
      <c r="CX79" s="268">
        <v>-2.4069456471874411E-2</v>
      </c>
      <c r="CY79" s="269" t="e">
        <v>#N/A</v>
      </c>
      <c r="CZ79" s="270">
        <v>-3.1478420933415373E-2</v>
      </c>
    </row>
    <row r="80" spans="2:104" x14ac:dyDescent="0.25">
      <c r="B80" s="266">
        <v>85</v>
      </c>
      <c r="C80" s="267" t="e">
        <v>#N/A</v>
      </c>
      <c r="D80" s="268">
        <v>-5.0366552346468967E-2</v>
      </c>
      <c r="E80" s="269">
        <v>4.6981410078712899E-3</v>
      </c>
      <c r="F80" s="268">
        <v>-1.5032730738833631E-2</v>
      </c>
      <c r="G80" s="269">
        <v>9.2470725369338345E-3</v>
      </c>
      <c r="H80" s="270">
        <v>-1.288449793269191E-2</v>
      </c>
      <c r="N80" s="266">
        <v>85</v>
      </c>
      <c r="O80" s="267" t="e">
        <v>#N/A</v>
      </c>
      <c r="P80" s="268">
        <v>-5.6969295662747887E-2</v>
      </c>
      <c r="Q80" s="269">
        <v>4.3134158509305874E-3</v>
      </c>
      <c r="R80" s="268">
        <v>-1.8284620747573851E-2</v>
      </c>
      <c r="S80" s="269">
        <v>1.0506668589168561E-3</v>
      </c>
      <c r="T80" s="270">
        <v>-1.503631359827818E-2</v>
      </c>
      <c r="Z80" s="266">
        <v>85</v>
      </c>
      <c r="AA80" s="267" t="e">
        <v>#N/A</v>
      </c>
      <c r="AB80" s="268">
        <v>-6.3252671195609941E-2</v>
      </c>
      <c r="AC80" s="269">
        <v>8.5431177881957632E-3</v>
      </c>
      <c r="AD80" s="268">
        <v>-2.4021425932098869E-2</v>
      </c>
      <c r="AE80" s="269">
        <v>9.8663938492943894E-3</v>
      </c>
      <c r="AF80" s="270">
        <v>-1.8259159426683141E-2</v>
      </c>
      <c r="AL80" s="266">
        <v>85</v>
      </c>
      <c r="AM80" s="267" t="e">
        <v>#N/A</v>
      </c>
      <c r="AN80" s="268">
        <v>-6.5708831787600397E-2</v>
      </c>
      <c r="AO80" s="269">
        <v>1.313729134429956E-2</v>
      </c>
      <c r="AP80" s="268">
        <v>-2.7772247902298729E-2</v>
      </c>
      <c r="AQ80" s="269">
        <v>0</v>
      </c>
      <c r="AR80" s="270">
        <v>-2.52431285336242E-2</v>
      </c>
      <c r="AX80" s="266">
        <v>85</v>
      </c>
      <c r="AY80" s="267" t="e">
        <v>#N/A</v>
      </c>
      <c r="AZ80" s="268">
        <v>-6.1615968165499142E-2</v>
      </c>
      <c r="BA80" s="269">
        <v>2.6106120541191929E-4</v>
      </c>
      <c r="BB80" s="268">
        <v>-4.5449912878997641E-2</v>
      </c>
      <c r="BC80" s="269" t="e">
        <v>#N/A</v>
      </c>
      <c r="BD80" s="270">
        <v>-4.2125270525830323E-2</v>
      </c>
      <c r="BJ80" s="266">
        <v>85</v>
      </c>
      <c r="BK80" s="267" t="e">
        <v>#N/A</v>
      </c>
      <c r="BL80" s="268">
        <v>-6.1927202643555702E-2</v>
      </c>
      <c r="BM80" s="269">
        <v>7.2745734807995897E-3</v>
      </c>
      <c r="BN80" s="268">
        <v>-4.6366216112532201E-2</v>
      </c>
      <c r="BO80" s="269" t="e">
        <v>#N/A</v>
      </c>
      <c r="BP80" s="270">
        <v>-4.2612043045266508E-2</v>
      </c>
      <c r="BV80" s="266">
        <v>85</v>
      </c>
      <c r="BW80" s="267" t="e">
        <v>#N/A</v>
      </c>
      <c r="BX80" s="268">
        <v>-5.8088749199671351E-2</v>
      </c>
      <c r="BY80" s="269">
        <v>2.239213425734932E-3</v>
      </c>
      <c r="BZ80" s="268">
        <v>-3.8587466051210002E-2</v>
      </c>
      <c r="CA80" s="269" t="e">
        <v>#N/A</v>
      </c>
      <c r="CB80" s="270">
        <v>-4.4457214891864882E-2</v>
      </c>
      <c r="CH80" s="266">
        <v>85</v>
      </c>
      <c r="CI80" s="267" t="e">
        <v>#N/A</v>
      </c>
      <c r="CJ80" s="268">
        <v>-5.1255704945735683E-2</v>
      </c>
      <c r="CK80" s="269">
        <v>5.6168536640885504E-3</v>
      </c>
      <c r="CL80" s="268">
        <v>-3.1838054525420947E-2</v>
      </c>
      <c r="CM80" s="269" t="e">
        <v>#N/A</v>
      </c>
      <c r="CN80" s="270">
        <v>-3.7051780506875458E-2</v>
      </c>
      <c r="CT80" s="266">
        <v>85</v>
      </c>
      <c r="CU80" s="267" t="e">
        <v>#N/A</v>
      </c>
      <c r="CV80" s="268">
        <v>-4.2928802194418123E-2</v>
      </c>
      <c r="CW80" s="269">
        <v>1.0089213751990119E-2</v>
      </c>
      <c r="CX80" s="268">
        <v>-2.3782319147960852E-2</v>
      </c>
      <c r="CY80" s="269" t="e">
        <v>#N/A</v>
      </c>
      <c r="CZ80" s="270">
        <v>-3.0905684558942811E-2</v>
      </c>
    </row>
    <row r="81" spans="2:104" x14ac:dyDescent="0.25">
      <c r="B81" s="266">
        <v>92</v>
      </c>
      <c r="C81" s="267" t="e">
        <v>#N/A</v>
      </c>
      <c r="D81" s="268">
        <v>-4.7243884776266648E-2</v>
      </c>
      <c r="E81" s="269">
        <v>5.121786077519265E-3</v>
      </c>
      <c r="F81" s="268">
        <v>-1.404264617630766E-2</v>
      </c>
      <c r="G81" s="269">
        <v>7.4441654277185403E-3</v>
      </c>
      <c r="H81" s="270">
        <v>-1.098823378026164E-2</v>
      </c>
      <c r="N81" s="266">
        <v>92</v>
      </c>
      <c r="O81" s="267" t="e">
        <v>#N/A</v>
      </c>
      <c r="P81" s="268">
        <v>-5.2258472011224348E-2</v>
      </c>
      <c r="Q81" s="269">
        <v>5.0737762363698346E-3</v>
      </c>
      <c r="R81" s="268">
        <v>-1.6204073810606189E-2</v>
      </c>
      <c r="S81" s="269">
        <v>3.5381013868702771E-4</v>
      </c>
      <c r="T81" s="270">
        <v>-1.3519265175696869E-2</v>
      </c>
      <c r="Z81" s="266">
        <v>92</v>
      </c>
      <c r="AA81" s="267" t="e">
        <v>#N/A</v>
      </c>
      <c r="AB81" s="268">
        <v>-6.1540999731814788E-2</v>
      </c>
      <c r="AC81" s="269">
        <v>8.3256636528217711E-3</v>
      </c>
      <c r="AD81" s="268">
        <v>-2.348587431269307E-2</v>
      </c>
      <c r="AE81" s="269">
        <v>8.30979627088386E-3</v>
      </c>
      <c r="AF81" s="270">
        <v>-1.7893150725083538E-2</v>
      </c>
      <c r="AL81" s="266">
        <v>92</v>
      </c>
      <c r="AM81" s="267" t="e">
        <v>#N/A</v>
      </c>
      <c r="AN81" s="268">
        <v>-6.3878397353352767E-2</v>
      </c>
      <c r="AO81" s="269">
        <v>1.248193902495599E-2</v>
      </c>
      <c r="AP81" s="268">
        <v>-2.5381868284652508E-2</v>
      </c>
      <c r="AQ81" s="269">
        <v>0</v>
      </c>
      <c r="AR81" s="270">
        <v>-2.27914587617884E-2</v>
      </c>
      <c r="AX81" s="266">
        <v>92</v>
      </c>
      <c r="AY81" s="267" t="e">
        <v>#N/A</v>
      </c>
      <c r="AZ81" s="268">
        <v>-5.9268614574334862E-2</v>
      </c>
      <c r="BA81" s="269">
        <v>0</v>
      </c>
      <c r="BB81" s="268">
        <v>-4.2588586179347292E-2</v>
      </c>
      <c r="BC81" s="269" t="e">
        <v>#N/A</v>
      </c>
      <c r="BD81" s="270">
        <v>-3.8430282492290968E-2</v>
      </c>
      <c r="BJ81" s="266">
        <v>92</v>
      </c>
      <c r="BK81" s="267" t="e">
        <v>#N/A</v>
      </c>
      <c r="BL81" s="268">
        <v>-5.8401117016901448E-2</v>
      </c>
      <c r="BM81" s="269">
        <v>7.7901683288184214E-3</v>
      </c>
      <c r="BN81" s="268">
        <v>-4.2981815893402123E-2</v>
      </c>
      <c r="BO81" s="269" t="e">
        <v>#N/A</v>
      </c>
      <c r="BP81" s="270">
        <v>-4.233592500297953E-2</v>
      </c>
      <c r="BV81" s="266">
        <v>92</v>
      </c>
      <c r="BW81" s="267" t="e">
        <v>#N/A</v>
      </c>
      <c r="BX81" s="268">
        <v>-5.5295355044790349E-2</v>
      </c>
      <c r="BY81" s="269">
        <v>3.5794221172344219E-3</v>
      </c>
      <c r="BZ81" s="268">
        <v>-3.6489648275996232E-2</v>
      </c>
      <c r="CA81" s="269" t="e">
        <v>#N/A</v>
      </c>
      <c r="CB81" s="270">
        <v>-4.3263546297471207E-2</v>
      </c>
      <c r="CH81" s="266">
        <v>92</v>
      </c>
      <c r="CI81" s="267" t="e">
        <v>#N/A</v>
      </c>
      <c r="CJ81" s="268">
        <v>-4.8398160544910453E-2</v>
      </c>
      <c r="CK81" s="269">
        <v>6.7455673541662389E-3</v>
      </c>
      <c r="CL81" s="268">
        <v>-2.9388893179128829E-2</v>
      </c>
      <c r="CM81" s="269" t="e">
        <v>#N/A</v>
      </c>
      <c r="CN81" s="270">
        <v>-3.4915559920740608E-2</v>
      </c>
      <c r="CT81" s="266">
        <v>92</v>
      </c>
      <c r="CU81" s="267" t="e">
        <v>#N/A</v>
      </c>
      <c r="CV81" s="268">
        <v>-3.9848909022393242E-2</v>
      </c>
      <c r="CW81" s="269">
        <v>1.042129547577165E-2</v>
      </c>
      <c r="CX81" s="268">
        <v>-2.2445683295408352E-2</v>
      </c>
      <c r="CY81" s="269" t="e">
        <v>#N/A</v>
      </c>
      <c r="CZ81" s="270">
        <v>-3.074947432934674E-2</v>
      </c>
    </row>
    <row r="82" spans="2:104" x14ac:dyDescent="0.25">
      <c r="B82" s="266">
        <v>98</v>
      </c>
      <c r="C82" s="267" t="e">
        <v>#N/A</v>
      </c>
      <c r="D82" s="268">
        <v>-4.4252983712726152E-2</v>
      </c>
      <c r="E82" s="269">
        <v>6.4902943561867578E-3</v>
      </c>
      <c r="F82" s="268">
        <v>-1.327738516635924E-2</v>
      </c>
      <c r="G82" s="269">
        <v>6.7996348827681378E-3</v>
      </c>
      <c r="H82" s="270">
        <v>-1.136438657767961E-2</v>
      </c>
      <c r="N82" s="266">
        <v>98</v>
      </c>
      <c r="O82" s="267" t="e">
        <v>#N/A</v>
      </c>
      <c r="P82" s="268">
        <v>-5.1035175086585963E-2</v>
      </c>
      <c r="Q82" s="269">
        <v>6.3766595129550333E-3</v>
      </c>
      <c r="R82" s="268">
        <v>-1.6106451646648031E-2</v>
      </c>
      <c r="S82" s="269">
        <v>1.1401126032176659E-3</v>
      </c>
      <c r="T82" s="270">
        <v>-1.33107959981983E-2</v>
      </c>
      <c r="Z82" s="266">
        <v>98</v>
      </c>
      <c r="AA82" s="267" t="e">
        <v>#N/A</v>
      </c>
      <c r="AB82" s="268">
        <v>-5.8429763650583402E-2</v>
      </c>
      <c r="AC82" s="269">
        <v>9.1725251716014648E-3</v>
      </c>
      <c r="AD82" s="268">
        <v>-2.0824522323428549E-2</v>
      </c>
      <c r="AE82" s="269">
        <v>6.1955251976704429E-3</v>
      </c>
      <c r="AF82" s="270">
        <v>-1.668373525125582E-2</v>
      </c>
      <c r="AL82" s="266">
        <v>98</v>
      </c>
      <c r="AM82" s="267" t="e">
        <v>#N/A</v>
      </c>
      <c r="AN82" s="268">
        <v>-6.1334003626670477E-2</v>
      </c>
      <c r="AO82" s="269">
        <v>1.3347060972498621E-2</v>
      </c>
      <c r="AP82" s="268">
        <v>-2.3374661334925551E-2</v>
      </c>
      <c r="AQ82" s="269">
        <v>0</v>
      </c>
      <c r="AR82" s="270">
        <v>-2.0856162883341699E-2</v>
      </c>
      <c r="AX82" s="266">
        <v>98</v>
      </c>
      <c r="AY82" s="267" t="e">
        <v>#N/A</v>
      </c>
      <c r="AZ82" s="268">
        <v>-5.8005238885524453E-2</v>
      </c>
      <c r="BA82" s="269">
        <v>6.4600383908943013E-4</v>
      </c>
      <c r="BB82" s="268">
        <v>-4.1160105578058943E-2</v>
      </c>
      <c r="BC82" s="269" t="e">
        <v>#N/A</v>
      </c>
      <c r="BD82" s="270">
        <v>-3.8830962904339413E-2</v>
      </c>
      <c r="BJ82" s="266">
        <v>98</v>
      </c>
      <c r="BK82" s="267" t="e">
        <v>#N/A</v>
      </c>
      <c r="BL82" s="268">
        <v>-5.6505463979523378E-2</v>
      </c>
      <c r="BM82" s="269">
        <v>8.0682349111407259E-3</v>
      </c>
      <c r="BN82" s="268">
        <v>-4.0310650330017989E-2</v>
      </c>
      <c r="BO82" s="269" t="e">
        <v>#N/A</v>
      </c>
      <c r="BP82" s="270">
        <v>-4.0369941394956761E-2</v>
      </c>
      <c r="BV82" s="266">
        <v>98</v>
      </c>
      <c r="BW82" s="267" t="e">
        <v>#N/A</v>
      </c>
      <c r="BX82" s="268">
        <v>-5.1748155322101752E-2</v>
      </c>
      <c r="BY82" s="269">
        <v>2.9490318728695479E-3</v>
      </c>
      <c r="BZ82" s="268">
        <v>-3.3390939339607517E-2</v>
      </c>
      <c r="CA82" s="269" t="e">
        <v>#N/A</v>
      </c>
      <c r="CB82" s="270">
        <v>-4.0017940231758427E-2</v>
      </c>
      <c r="CH82" s="266">
        <v>98</v>
      </c>
      <c r="CI82" s="267" t="e">
        <v>#N/A</v>
      </c>
      <c r="CJ82" s="268">
        <v>-4.6175677770495561E-2</v>
      </c>
      <c r="CK82" s="269">
        <v>6.6250421927998918E-3</v>
      </c>
      <c r="CL82" s="268">
        <v>-2.7922315584088329E-2</v>
      </c>
      <c r="CM82" s="269" t="e">
        <v>#N/A</v>
      </c>
      <c r="CN82" s="270">
        <v>-3.4306610333036697E-2</v>
      </c>
      <c r="CT82" s="266">
        <v>98</v>
      </c>
      <c r="CU82" s="267" t="e">
        <v>#N/A</v>
      </c>
      <c r="CV82" s="268">
        <v>-3.7510920340421333E-2</v>
      </c>
      <c r="CW82" s="269">
        <v>9.2827279069497316E-3</v>
      </c>
      <c r="CX82" s="268">
        <v>-2.1504811912745319E-2</v>
      </c>
      <c r="CY82" s="269" t="e">
        <v>#N/A</v>
      </c>
      <c r="CZ82" s="270">
        <v>-2.8732259691435589E-2</v>
      </c>
    </row>
    <row r="83" spans="2:104" x14ac:dyDescent="0.25">
      <c r="B83" s="266">
        <v>105</v>
      </c>
      <c r="C83" s="267" t="e">
        <v>#N/A</v>
      </c>
      <c r="D83" s="268">
        <v>-4.2514467848413201E-2</v>
      </c>
      <c r="E83" s="269">
        <v>6.5962739181276179E-3</v>
      </c>
      <c r="F83" s="268">
        <v>-1.286746045225794E-2</v>
      </c>
      <c r="G83" s="269">
        <v>6.0498447946431364E-3</v>
      </c>
      <c r="H83" s="270">
        <v>-1.1406319625389299E-2</v>
      </c>
      <c r="N83" s="266">
        <v>105</v>
      </c>
      <c r="O83" s="267" t="e">
        <v>#N/A</v>
      </c>
      <c r="P83" s="268">
        <v>-4.7035826729093448E-2</v>
      </c>
      <c r="Q83" s="269">
        <v>6.8310671442197851E-3</v>
      </c>
      <c r="R83" s="268">
        <v>-1.4501239807818049E-2</v>
      </c>
      <c r="S83" s="269">
        <v>9.0840108875515219E-4</v>
      </c>
      <c r="T83" s="270">
        <v>-1.4244314379692509E-2</v>
      </c>
      <c r="Z83" s="266">
        <v>105</v>
      </c>
      <c r="AA83" s="267" t="e">
        <v>#N/A</v>
      </c>
      <c r="AB83" s="268">
        <v>-5.7078495747888418E-2</v>
      </c>
      <c r="AC83" s="269">
        <v>1.0067485501815609E-2</v>
      </c>
      <c r="AD83" s="268">
        <v>-1.927402614399033E-2</v>
      </c>
      <c r="AE83" s="269">
        <v>3.3569635923972121E-3</v>
      </c>
      <c r="AF83" s="270">
        <v>-1.6380172627093369E-2</v>
      </c>
      <c r="AL83" s="266">
        <v>105</v>
      </c>
      <c r="AM83" s="267" t="e">
        <v>#N/A</v>
      </c>
      <c r="AN83" s="268">
        <v>-5.8897786894486603E-2</v>
      </c>
      <c r="AO83" s="269">
        <v>1.355408804491103E-2</v>
      </c>
      <c r="AP83" s="268">
        <v>-2.1935354113032091E-2</v>
      </c>
      <c r="AQ83" s="269">
        <v>0</v>
      </c>
      <c r="AR83" s="270">
        <v>-2.1200185827066152E-2</v>
      </c>
      <c r="AX83" s="266">
        <v>105</v>
      </c>
      <c r="AY83" s="267" t="e">
        <v>#N/A</v>
      </c>
      <c r="AZ83" s="268">
        <v>-5.6127960357569999E-2</v>
      </c>
      <c r="BA83" s="269">
        <v>3.6019832504930291E-3</v>
      </c>
      <c r="BB83" s="268">
        <v>-3.9321297815338878E-2</v>
      </c>
      <c r="BC83" s="269" t="e">
        <v>#N/A</v>
      </c>
      <c r="BD83" s="270">
        <v>-3.7908287558043888E-2</v>
      </c>
      <c r="BJ83" s="266">
        <v>105</v>
      </c>
      <c r="BK83" s="267" t="e">
        <v>#N/A</v>
      </c>
      <c r="BL83" s="268">
        <v>-5.567607420362225E-2</v>
      </c>
      <c r="BM83" s="269">
        <v>7.9583975655189206E-3</v>
      </c>
      <c r="BN83" s="268">
        <v>-3.7596859222858908E-2</v>
      </c>
      <c r="BO83" s="269" t="e">
        <v>#N/A</v>
      </c>
      <c r="BP83" s="270">
        <v>-4.0946106982587098E-2</v>
      </c>
      <c r="BV83" s="266">
        <v>105</v>
      </c>
      <c r="BW83" s="267" t="e">
        <v>#N/A</v>
      </c>
      <c r="BX83" s="268">
        <v>-5.0808589257318133E-2</v>
      </c>
      <c r="BY83" s="269">
        <v>3.938076560373858E-3</v>
      </c>
      <c r="BZ83" s="268">
        <v>-3.2772549384205353E-2</v>
      </c>
      <c r="CA83" s="269" t="e">
        <v>#N/A</v>
      </c>
      <c r="CB83" s="270">
        <v>-4.0698487359701392E-2</v>
      </c>
      <c r="CH83" s="266">
        <v>105</v>
      </c>
      <c r="CI83" s="267" t="e">
        <v>#N/A</v>
      </c>
      <c r="CJ83" s="268">
        <v>-4.3186260081990793E-2</v>
      </c>
      <c r="CK83" s="269">
        <v>7.5498257088641267E-3</v>
      </c>
      <c r="CL83" s="268">
        <v>-2.8615801786668851E-2</v>
      </c>
      <c r="CM83" s="269" t="e">
        <v>#N/A</v>
      </c>
      <c r="CN83" s="270">
        <v>-3.4461881367260701E-2</v>
      </c>
      <c r="CT83" s="266">
        <v>105</v>
      </c>
      <c r="CU83" s="267" t="e">
        <v>#N/A</v>
      </c>
      <c r="CV83" s="268">
        <v>-3.4664618285452919E-2</v>
      </c>
      <c r="CW83" s="269">
        <v>9.262720338009919E-3</v>
      </c>
      <c r="CX83" s="268">
        <v>-2.3543159761524761E-2</v>
      </c>
      <c r="CY83" s="269" t="e">
        <v>#N/A</v>
      </c>
      <c r="CZ83" s="270">
        <v>-2.8067173809818751E-2</v>
      </c>
    </row>
    <row r="84" spans="2:104" x14ac:dyDescent="0.25">
      <c r="B84" s="266">
        <v>112</v>
      </c>
      <c r="C84" s="267" t="e">
        <v>#N/A</v>
      </c>
      <c r="D84" s="268">
        <v>-3.9677751688193992E-2</v>
      </c>
      <c r="E84" s="269">
        <v>7.0617131224047737E-3</v>
      </c>
      <c r="F84" s="268">
        <v>-1.251593004459511E-2</v>
      </c>
      <c r="G84" s="269">
        <v>5.8104700620757359E-3</v>
      </c>
      <c r="H84" s="270">
        <v>-1.1710943779196041E-2</v>
      </c>
      <c r="N84" s="266">
        <v>112</v>
      </c>
      <c r="O84" s="267" t="e">
        <v>#N/A</v>
      </c>
      <c r="P84" s="268">
        <v>-4.5734768180789608E-2</v>
      </c>
      <c r="Q84" s="269">
        <v>8.1564175852515079E-3</v>
      </c>
      <c r="R84" s="268">
        <v>-1.4368201988262779E-2</v>
      </c>
      <c r="S84" s="269">
        <v>4.6131075346269679E-4</v>
      </c>
      <c r="T84" s="270">
        <v>-1.30502455460836E-2</v>
      </c>
      <c r="Z84" s="266">
        <v>112</v>
      </c>
      <c r="AA84" s="267" t="e">
        <v>#N/A</v>
      </c>
      <c r="AB84" s="268">
        <v>-5.465724402885664E-2</v>
      </c>
      <c r="AC84" s="269">
        <v>1.055773108915601E-2</v>
      </c>
      <c r="AD84" s="268">
        <v>-1.9754371742398559E-2</v>
      </c>
      <c r="AE84" s="269">
        <v>2.4510395697201468E-3</v>
      </c>
      <c r="AF84" s="270">
        <v>-1.533292560294988E-2</v>
      </c>
      <c r="AL84" s="266">
        <v>112</v>
      </c>
      <c r="AM84" s="267" t="e">
        <v>#N/A</v>
      </c>
      <c r="AN84" s="268">
        <v>-5.5502711158718111E-2</v>
      </c>
      <c r="AO84" s="269">
        <v>1.533475623755275E-2</v>
      </c>
      <c r="AP84" s="268">
        <v>-2.0492452933501389E-2</v>
      </c>
      <c r="AQ84" s="269">
        <v>0</v>
      </c>
      <c r="AR84" s="270">
        <v>-2.0083009278551899E-2</v>
      </c>
      <c r="AX84" s="266">
        <v>112</v>
      </c>
      <c r="AY84" s="267" t="e">
        <v>#N/A</v>
      </c>
      <c r="AZ84" s="268">
        <v>-5.2703429063816733E-2</v>
      </c>
      <c r="BA84" s="269">
        <v>2.7378375239174089E-3</v>
      </c>
      <c r="BB84" s="268">
        <v>-3.5308845317809603E-2</v>
      </c>
      <c r="BC84" s="269" t="e">
        <v>#N/A</v>
      </c>
      <c r="BD84" s="270">
        <v>-3.7384668695768453E-2</v>
      </c>
      <c r="BJ84" s="266">
        <v>112</v>
      </c>
      <c r="BK84" s="267" t="e">
        <v>#N/A</v>
      </c>
      <c r="BL84" s="268">
        <v>-5.3328621678534263E-2</v>
      </c>
      <c r="BM84" s="269">
        <v>8.0146867662456277E-3</v>
      </c>
      <c r="BN84" s="268">
        <v>-3.585731778283089E-2</v>
      </c>
      <c r="BO84" s="269" t="e">
        <v>#N/A</v>
      </c>
      <c r="BP84" s="270">
        <v>-3.8581386454254088E-2</v>
      </c>
      <c r="BV84" s="266">
        <v>112</v>
      </c>
      <c r="BW84" s="267" t="e">
        <v>#N/A</v>
      </c>
      <c r="BX84" s="268">
        <v>-4.8408057068172167E-2</v>
      </c>
      <c r="BY84" s="269">
        <v>4.1489423622721533E-3</v>
      </c>
      <c r="BZ84" s="268">
        <v>-3.106193432767099E-2</v>
      </c>
      <c r="CA84" s="269" t="e">
        <v>#N/A</v>
      </c>
      <c r="CB84" s="270">
        <v>-3.8419180293770311E-2</v>
      </c>
      <c r="CH84" s="266">
        <v>112</v>
      </c>
      <c r="CI84" s="267" t="e">
        <v>#N/A</v>
      </c>
      <c r="CJ84" s="268">
        <v>-4.1209388771368559E-2</v>
      </c>
      <c r="CK84" s="269">
        <v>8.2669348831373637E-3</v>
      </c>
      <c r="CL84" s="268">
        <v>-2.8437740552874159E-2</v>
      </c>
      <c r="CM84" s="269" t="e">
        <v>#N/A</v>
      </c>
      <c r="CN84" s="270">
        <v>-3.4013308408393512E-2</v>
      </c>
      <c r="CT84" s="266">
        <v>112</v>
      </c>
      <c r="CU84" s="267" t="e">
        <v>#N/A</v>
      </c>
      <c r="CV84" s="268">
        <v>-3.2990606924715372E-2</v>
      </c>
      <c r="CW84" s="269">
        <v>9.3452752832057263E-3</v>
      </c>
      <c r="CX84" s="268">
        <v>-2.2767784479184899E-2</v>
      </c>
      <c r="CY84" s="269" t="e">
        <v>#N/A</v>
      </c>
      <c r="CZ84" s="270">
        <v>-2.8447311849011111E-2</v>
      </c>
    </row>
    <row r="85" spans="2:104" x14ac:dyDescent="0.25">
      <c r="B85" s="266">
        <v>119</v>
      </c>
      <c r="C85" s="267" t="e">
        <v>#N/A</v>
      </c>
      <c r="D85" s="268">
        <v>-3.8665811658040943E-2</v>
      </c>
      <c r="E85" s="269">
        <v>6.7692088342101789E-3</v>
      </c>
      <c r="F85" s="268">
        <v>-1.271070410085267E-2</v>
      </c>
      <c r="G85" s="269">
        <v>5.4986588935061094E-3</v>
      </c>
      <c r="H85" s="270">
        <v>-1.0870761385073291E-2</v>
      </c>
      <c r="N85" s="266">
        <v>119</v>
      </c>
      <c r="O85" s="267" t="e">
        <v>#N/A</v>
      </c>
      <c r="P85" s="268">
        <v>-4.3892930363318289E-2</v>
      </c>
      <c r="Q85" s="269">
        <v>7.1310299761432909E-3</v>
      </c>
      <c r="R85" s="268">
        <v>-1.373180793250669E-2</v>
      </c>
      <c r="S85" s="269">
        <v>5.4475841768798804E-4</v>
      </c>
      <c r="T85" s="270">
        <v>-1.2409424544099689E-2</v>
      </c>
      <c r="Z85" s="266">
        <v>119</v>
      </c>
      <c r="AA85" s="267" t="e">
        <v>#N/A</v>
      </c>
      <c r="AB85" s="268">
        <v>-5.1899425449159292E-2</v>
      </c>
      <c r="AC85" s="269">
        <v>1.1179126282464249E-2</v>
      </c>
      <c r="AD85" s="268">
        <v>-1.7524691167645851E-2</v>
      </c>
      <c r="AE85" s="269">
        <v>1.5347372149085721E-3</v>
      </c>
      <c r="AF85" s="270">
        <v>-1.487447643443565E-2</v>
      </c>
      <c r="AL85" s="266">
        <v>119</v>
      </c>
      <c r="AM85" s="267" t="e">
        <v>#N/A</v>
      </c>
      <c r="AN85" s="268">
        <v>-5.2982519426410038E-2</v>
      </c>
      <c r="AO85" s="269">
        <v>1.613783519518289E-2</v>
      </c>
      <c r="AP85" s="268">
        <v>-1.9904276668013039E-2</v>
      </c>
      <c r="AQ85" s="269">
        <v>0</v>
      </c>
      <c r="AR85" s="270">
        <v>-1.9255055678087E-2</v>
      </c>
      <c r="AX85" s="266">
        <v>119</v>
      </c>
      <c r="AY85" s="267" t="e">
        <v>#N/A</v>
      </c>
      <c r="AZ85" s="268">
        <v>-5.0623890833491059E-2</v>
      </c>
      <c r="BA85" s="269">
        <v>3.9491766639637863E-3</v>
      </c>
      <c r="BB85" s="268">
        <v>-3.4889228608505803E-2</v>
      </c>
      <c r="BC85" s="269" t="e">
        <v>#N/A</v>
      </c>
      <c r="BD85" s="270">
        <v>-3.5592801200458518E-2</v>
      </c>
      <c r="BJ85" s="266">
        <v>119</v>
      </c>
      <c r="BK85" s="267" t="e">
        <v>#N/A</v>
      </c>
      <c r="BL85" s="268">
        <v>-5.0591047137171052E-2</v>
      </c>
      <c r="BM85" s="269">
        <v>7.0639464503239741E-3</v>
      </c>
      <c r="BN85" s="268">
        <v>-3.5676884626950151E-2</v>
      </c>
      <c r="BO85" s="269" t="e">
        <v>#N/A</v>
      </c>
      <c r="BP85" s="270">
        <v>-3.8338736484147137E-2</v>
      </c>
      <c r="BV85" s="266">
        <v>119</v>
      </c>
      <c r="BW85" s="267" t="e">
        <v>#N/A</v>
      </c>
      <c r="BX85" s="268">
        <v>-4.5249078575410953E-2</v>
      </c>
      <c r="BY85" s="269">
        <v>5.317810023732627E-3</v>
      </c>
      <c r="BZ85" s="268">
        <v>-2.9965991444963438E-2</v>
      </c>
      <c r="CA85" s="269" t="e">
        <v>#N/A</v>
      </c>
      <c r="CB85" s="270">
        <v>-3.8727480268737881E-2</v>
      </c>
      <c r="CH85" s="266">
        <v>119</v>
      </c>
      <c r="CI85" s="267" t="e">
        <v>#N/A</v>
      </c>
      <c r="CJ85" s="268">
        <v>-3.8664416699121691E-2</v>
      </c>
      <c r="CK85" s="269">
        <v>7.2856860455897329E-3</v>
      </c>
      <c r="CL85" s="268">
        <v>-2.6286693268666669E-2</v>
      </c>
      <c r="CM85" s="269" t="e">
        <v>#N/A</v>
      </c>
      <c r="CN85" s="270">
        <v>-3.0853741236811311E-2</v>
      </c>
      <c r="CT85" s="266">
        <v>119</v>
      </c>
      <c r="CU85" s="267" t="e">
        <v>#N/A</v>
      </c>
      <c r="CV85" s="268">
        <v>-3.1287697296044123E-2</v>
      </c>
      <c r="CW85" s="269">
        <v>8.6576651881570751E-3</v>
      </c>
      <c r="CX85" s="268">
        <v>-2.201861985404998E-2</v>
      </c>
      <c r="CY85" s="269" t="e">
        <v>#N/A</v>
      </c>
      <c r="CZ85" s="270">
        <v>-2.73169534497823E-2</v>
      </c>
    </row>
    <row r="86" spans="2:104" x14ac:dyDescent="0.25">
      <c r="B86" s="266">
        <v>125</v>
      </c>
      <c r="C86" s="267" t="e">
        <v>#N/A</v>
      </c>
      <c r="D86" s="268">
        <v>-3.6685956971536683E-2</v>
      </c>
      <c r="E86" s="269">
        <v>7.0770912036851744E-3</v>
      </c>
      <c r="F86" s="268">
        <v>-1.194321280198654E-2</v>
      </c>
      <c r="G86" s="269">
        <v>4.4960759643039956E-3</v>
      </c>
      <c r="H86" s="270">
        <v>-1.095742499869976E-2</v>
      </c>
      <c r="N86" s="266">
        <v>125</v>
      </c>
      <c r="O86" s="267" t="e">
        <v>#N/A</v>
      </c>
      <c r="P86" s="268">
        <v>-4.1702954597813813E-2</v>
      </c>
      <c r="Q86" s="269">
        <v>7.7877989156298266E-3</v>
      </c>
      <c r="R86" s="268">
        <v>-1.366761588994609E-2</v>
      </c>
      <c r="S86" s="269">
        <v>9.3271642378041613E-4</v>
      </c>
      <c r="T86" s="270">
        <v>-1.3753115528774699E-2</v>
      </c>
      <c r="Z86" s="266">
        <v>125</v>
      </c>
      <c r="AA86" s="267" t="e">
        <v>#N/A</v>
      </c>
      <c r="AB86" s="268">
        <v>-4.8899522703707787E-2</v>
      </c>
      <c r="AC86" s="269">
        <v>1.432882017454175E-2</v>
      </c>
      <c r="AD86" s="268">
        <v>-1.702197271602458E-2</v>
      </c>
      <c r="AE86" s="269">
        <v>1.7535904308074899E-3</v>
      </c>
      <c r="AF86" s="270">
        <v>-1.446490292613458E-2</v>
      </c>
      <c r="AL86" s="266">
        <v>125</v>
      </c>
      <c r="AM86" s="267" t="e">
        <v>#N/A</v>
      </c>
      <c r="AN86" s="268">
        <v>-5.1184966875486362E-2</v>
      </c>
      <c r="AO86" s="269">
        <v>1.654751255012174E-2</v>
      </c>
      <c r="AP86" s="268">
        <v>-1.7842566623870841E-2</v>
      </c>
      <c r="AQ86" s="269">
        <v>0</v>
      </c>
      <c r="AR86" s="270">
        <v>-1.8856607952588079E-2</v>
      </c>
      <c r="AX86" s="266">
        <v>125</v>
      </c>
      <c r="AY86" s="267" t="e">
        <v>#N/A</v>
      </c>
      <c r="AZ86" s="268">
        <v>-4.9758436034657259E-2</v>
      </c>
      <c r="BA86" s="269">
        <v>4.1381121843025049E-3</v>
      </c>
      <c r="BB86" s="268">
        <v>-3.3900518566677973E-2</v>
      </c>
      <c r="BC86" s="269" t="e">
        <v>#N/A</v>
      </c>
      <c r="BD86" s="270">
        <v>-3.5203014766703317E-2</v>
      </c>
      <c r="BJ86" s="266">
        <v>125</v>
      </c>
      <c r="BK86" s="267" t="e">
        <v>#N/A</v>
      </c>
      <c r="BL86" s="268">
        <v>-4.7426845848605688E-2</v>
      </c>
      <c r="BM86" s="269">
        <v>8.5981438876523708E-3</v>
      </c>
      <c r="BN86" s="268">
        <v>-3.4897325462305638E-2</v>
      </c>
      <c r="BO86" s="269" t="e">
        <v>#N/A</v>
      </c>
      <c r="BP86" s="270">
        <v>-3.9245821946068717E-2</v>
      </c>
      <c r="BV86" s="266">
        <v>125</v>
      </c>
      <c r="BW86" s="267" t="e">
        <v>#N/A</v>
      </c>
      <c r="BX86" s="268">
        <v>-4.393117597068405E-2</v>
      </c>
      <c r="BY86" s="269">
        <v>3.8168474649215019E-3</v>
      </c>
      <c r="BZ86" s="268">
        <v>-2.8292256090138169E-2</v>
      </c>
      <c r="CA86" s="269" t="e">
        <v>#N/A</v>
      </c>
      <c r="CB86" s="270">
        <v>-3.6756102032404002E-2</v>
      </c>
      <c r="CH86" s="266">
        <v>125</v>
      </c>
      <c r="CI86" s="267" t="e">
        <v>#N/A</v>
      </c>
      <c r="CJ86" s="268">
        <v>-3.6549595864570968E-2</v>
      </c>
      <c r="CK86" s="269">
        <v>6.5792094044984512E-3</v>
      </c>
      <c r="CL86" s="268">
        <v>-2.683635872626558E-2</v>
      </c>
      <c r="CM86" s="269" t="e">
        <v>#N/A</v>
      </c>
      <c r="CN86" s="270">
        <v>-3.0584576722406959E-2</v>
      </c>
      <c r="CT86" s="266">
        <v>125</v>
      </c>
      <c r="CU86" s="267" t="e">
        <v>#N/A</v>
      </c>
      <c r="CV86" s="268">
        <v>-2.9190367313618779E-2</v>
      </c>
      <c r="CW86" s="269">
        <v>9.2615501602419329E-3</v>
      </c>
      <c r="CX86" s="268">
        <v>-1.97049255760724E-2</v>
      </c>
      <c r="CY86" s="269" t="e">
        <v>#N/A</v>
      </c>
      <c r="CZ86" s="270">
        <v>-2.5165863875919351E-2</v>
      </c>
    </row>
    <row r="87" spans="2:104" ht="15" customHeight="1" x14ac:dyDescent="0.25">
      <c r="B87" s="266">
        <v>132</v>
      </c>
      <c r="C87" s="267" t="e">
        <v>#N/A</v>
      </c>
      <c r="D87" s="268">
        <v>-3.6275390281866188E-2</v>
      </c>
      <c r="E87" s="269">
        <v>7.7744178005009143E-3</v>
      </c>
      <c r="F87" s="268">
        <v>-1.2506795847037649E-2</v>
      </c>
      <c r="G87" s="269">
        <v>4.1943064101519897E-3</v>
      </c>
      <c r="H87" s="270">
        <v>-1.072670343513555E-2</v>
      </c>
      <c r="N87" s="266">
        <v>132</v>
      </c>
      <c r="O87" s="267" t="e">
        <v>#N/A</v>
      </c>
      <c r="P87" s="268">
        <v>-4.0760814747421208E-2</v>
      </c>
      <c r="Q87" s="269">
        <v>8.5890182750205917E-3</v>
      </c>
      <c r="R87" s="268">
        <v>-1.29771966420347E-2</v>
      </c>
      <c r="S87" s="269">
        <v>9.3960830577254821E-4</v>
      </c>
      <c r="T87" s="270">
        <v>-1.2429334550675601E-2</v>
      </c>
      <c r="Z87" s="266">
        <v>132</v>
      </c>
      <c r="AA87" s="267" t="e">
        <v>#N/A</v>
      </c>
      <c r="AB87" s="268">
        <v>-4.8242504161994958E-2</v>
      </c>
      <c r="AC87" s="269">
        <v>1.532131986975413E-2</v>
      </c>
      <c r="AD87" s="268">
        <v>-1.6148508035932731E-2</v>
      </c>
      <c r="AE87" s="269">
        <v>1.4462858626576439E-3</v>
      </c>
      <c r="AF87" s="270">
        <v>-1.6353164347660831E-2</v>
      </c>
      <c r="AL87" s="266">
        <v>132</v>
      </c>
      <c r="AM87" s="267" t="e">
        <v>#N/A</v>
      </c>
      <c r="AN87" s="268">
        <v>-4.9069948885257848E-2</v>
      </c>
      <c r="AO87" s="269">
        <v>1.628213253478708E-2</v>
      </c>
      <c r="AP87" s="268">
        <v>-1.691172183697608E-2</v>
      </c>
      <c r="AQ87" s="269">
        <v>1.19732325225449E-4</v>
      </c>
      <c r="AR87" s="270">
        <v>-1.8666656790730662E-2</v>
      </c>
      <c r="AX87" s="266">
        <v>132</v>
      </c>
      <c r="AY87" s="267" t="e">
        <v>#N/A</v>
      </c>
      <c r="AZ87" s="268">
        <v>-4.6336528463270042E-2</v>
      </c>
      <c r="BA87" s="269">
        <v>5.2649469337210262E-3</v>
      </c>
      <c r="BB87" s="268">
        <v>-3.3505793768482062E-2</v>
      </c>
      <c r="BC87" s="269" t="e">
        <v>#N/A</v>
      </c>
      <c r="BD87" s="270">
        <v>-3.4083407581694647E-2</v>
      </c>
      <c r="BJ87" s="266">
        <v>132</v>
      </c>
      <c r="BK87" s="267" t="e">
        <v>#N/A</v>
      </c>
      <c r="BL87" s="268">
        <v>-4.557658204104878E-2</v>
      </c>
      <c r="BM87" s="269">
        <v>9.045839597573874E-3</v>
      </c>
      <c r="BN87" s="268">
        <v>-3.2508701265634161E-2</v>
      </c>
      <c r="BO87" s="269" t="e">
        <v>#N/A</v>
      </c>
      <c r="BP87" s="270">
        <v>-3.5557469834657601E-2</v>
      </c>
      <c r="BV87" s="266">
        <v>132</v>
      </c>
      <c r="BW87" s="267" t="e">
        <v>#N/A</v>
      </c>
      <c r="BX87" s="268">
        <v>-4.2013937668350411E-2</v>
      </c>
      <c r="BY87" s="269">
        <v>5.1364063015076466E-3</v>
      </c>
      <c r="BZ87" s="268">
        <v>-2.9089808532267291E-2</v>
      </c>
      <c r="CA87" s="269" t="e">
        <v>#N/A</v>
      </c>
      <c r="CB87" s="270">
        <v>-3.8015106142854881E-2</v>
      </c>
      <c r="CH87" s="266">
        <v>132</v>
      </c>
      <c r="CI87" s="267" t="e">
        <v>#N/A</v>
      </c>
      <c r="CJ87" s="268">
        <v>-3.5537370804328401E-2</v>
      </c>
      <c r="CK87" s="269">
        <v>7.7165531514983123E-3</v>
      </c>
      <c r="CL87" s="268">
        <v>-2.5829697689004789E-2</v>
      </c>
      <c r="CM87" s="269" t="e">
        <v>#N/A</v>
      </c>
      <c r="CN87" s="270">
        <v>-3.1597947387712433E-2</v>
      </c>
      <c r="CT87" s="266">
        <v>132</v>
      </c>
      <c r="CU87" s="267" t="e">
        <v>#N/A</v>
      </c>
      <c r="CV87" s="268">
        <v>-2.7309680016473849E-2</v>
      </c>
      <c r="CW87" s="269">
        <v>8.5752205936554249E-3</v>
      </c>
      <c r="CX87" s="268">
        <v>-1.9906042782262739E-2</v>
      </c>
      <c r="CY87" s="269" t="e">
        <v>#N/A</v>
      </c>
      <c r="CZ87" s="270">
        <v>-2.495529173887687E-2</v>
      </c>
    </row>
    <row r="88" spans="2:104" ht="15.75" customHeight="1" thickBot="1" x14ac:dyDescent="0.3">
      <c r="B88" s="271">
        <v>139</v>
      </c>
      <c r="C88" s="272" t="e">
        <v>#N/A</v>
      </c>
      <c r="D88" s="273">
        <v>-3.5260705165033837E-2</v>
      </c>
      <c r="E88" s="274">
        <v>8.6047831241174381E-3</v>
      </c>
      <c r="F88" s="273">
        <v>-1.156861759766924E-2</v>
      </c>
      <c r="G88" s="274">
        <v>4.0918611061651657E-3</v>
      </c>
      <c r="H88" s="275">
        <v>-1.0885473850029611E-2</v>
      </c>
      <c r="N88" s="271">
        <v>139</v>
      </c>
      <c r="O88" s="272" t="e">
        <v>#N/A</v>
      </c>
      <c r="P88" s="273">
        <v>-4.1553298467173198E-2</v>
      </c>
      <c r="Q88" s="274">
        <v>8.9158171076318526E-3</v>
      </c>
      <c r="R88" s="273">
        <v>-1.3755525987716949E-2</v>
      </c>
      <c r="S88" s="274">
        <v>1.1859675202505931E-3</v>
      </c>
      <c r="T88" s="275">
        <v>-1.2833665791308249E-2</v>
      </c>
      <c r="Z88" s="271">
        <v>139</v>
      </c>
      <c r="AA88" s="272" t="e">
        <v>#N/A</v>
      </c>
      <c r="AB88" s="273">
        <v>-4.590858519318386E-2</v>
      </c>
      <c r="AC88" s="274">
        <v>1.6020387755194251E-2</v>
      </c>
      <c r="AD88" s="273">
        <v>-1.4963917364611921E-2</v>
      </c>
      <c r="AE88" s="274">
        <v>1.266947759777432E-3</v>
      </c>
      <c r="AF88" s="275">
        <v>-1.4360643013656849E-2</v>
      </c>
      <c r="AL88" s="271">
        <v>139</v>
      </c>
      <c r="AM88" s="272" t="e">
        <v>#N/A</v>
      </c>
      <c r="AN88" s="273">
        <v>-4.7290832783785187E-2</v>
      </c>
      <c r="AO88" s="274">
        <v>1.6860159958082821E-2</v>
      </c>
      <c r="AP88" s="273">
        <v>-1.589375855165584E-2</v>
      </c>
      <c r="AQ88" s="274">
        <v>0</v>
      </c>
      <c r="AR88" s="275">
        <v>-1.7697766700508041E-2</v>
      </c>
      <c r="AX88" s="271">
        <v>139</v>
      </c>
      <c r="AY88" s="272" t="e">
        <v>#N/A</v>
      </c>
      <c r="AZ88" s="273">
        <v>-4.463312151115318E-2</v>
      </c>
      <c r="BA88" s="274">
        <v>5.7175334103254693E-3</v>
      </c>
      <c r="BB88" s="273">
        <v>-3.1959606953885437E-2</v>
      </c>
      <c r="BC88" s="274" t="e">
        <v>#N/A</v>
      </c>
      <c r="BD88" s="275">
        <v>-3.1873339566927908E-2</v>
      </c>
      <c r="BJ88" s="271">
        <v>139</v>
      </c>
      <c r="BK88" s="272" t="e">
        <v>#N/A</v>
      </c>
      <c r="BL88" s="273">
        <v>-4.3420378719565417E-2</v>
      </c>
      <c r="BM88" s="274">
        <v>8.2052111116116041E-3</v>
      </c>
      <c r="BN88" s="273">
        <v>-3.3184161192103802E-2</v>
      </c>
      <c r="BO88" s="274" t="e">
        <v>#N/A</v>
      </c>
      <c r="BP88" s="275">
        <v>-3.7347250060557939E-2</v>
      </c>
      <c r="BV88" s="271">
        <v>139</v>
      </c>
      <c r="BW88" s="272" t="e">
        <v>#N/A</v>
      </c>
      <c r="BX88" s="273">
        <v>-4.021523580124655E-2</v>
      </c>
      <c r="BY88" s="274">
        <v>5.53524124650185E-3</v>
      </c>
      <c r="BZ88" s="273">
        <v>-2.8941987832482381E-2</v>
      </c>
      <c r="CA88" s="274" t="e">
        <v>#N/A</v>
      </c>
      <c r="CB88" s="275">
        <v>-3.6726307396618432E-2</v>
      </c>
      <c r="CH88" s="271">
        <v>139</v>
      </c>
      <c r="CI88" s="272" t="e">
        <v>#N/A</v>
      </c>
      <c r="CJ88" s="273">
        <v>-3.4413412042131081E-2</v>
      </c>
      <c r="CK88" s="274">
        <v>7.2648042693401011E-3</v>
      </c>
      <c r="CL88" s="273">
        <v>-2.6047331422602831E-2</v>
      </c>
      <c r="CM88" s="274" t="e">
        <v>#N/A</v>
      </c>
      <c r="CN88" s="275">
        <v>-2.948115624218757E-2</v>
      </c>
      <c r="CT88" s="271">
        <v>139</v>
      </c>
      <c r="CU88" s="272" t="e">
        <v>#N/A</v>
      </c>
      <c r="CV88" s="273">
        <v>-2.6847228814981739E-2</v>
      </c>
      <c r="CW88" s="274">
        <v>8.5071972826661103E-3</v>
      </c>
      <c r="CX88" s="273">
        <v>-2.051157642701186E-2</v>
      </c>
      <c r="CY88" s="274" t="e">
        <v>#N/A</v>
      </c>
      <c r="CZ88" s="275">
        <v>-2.4234215162602629E-2</v>
      </c>
    </row>
  </sheetData>
  <mergeCells count="36">
    <mergeCell ref="CW72:CX72"/>
    <mergeCell ref="CY72:CZ72"/>
    <mergeCell ref="G72:H72"/>
    <mergeCell ref="C72:D72"/>
    <mergeCell ref="E72:F72"/>
    <mergeCell ref="BC72:BD72"/>
    <mergeCell ref="O72:P72"/>
    <mergeCell ref="BO72:BP72"/>
    <mergeCell ref="BW72:BX72"/>
    <mergeCell ref="BY72:BZ72"/>
    <mergeCell ref="CA72:CB72"/>
    <mergeCell ref="CK72:CL72"/>
    <mergeCell ref="CM72:CN72"/>
    <mergeCell ref="BK71:BP71"/>
    <mergeCell ref="CI72:CJ72"/>
    <mergeCell ref="CU71:CZ71"/>
    <mergeCell ref="C71:H71"/>
    <mergeCell ref="AY72:AZ72"/>
    <mergeCell ref="AQ72:AR72"/>
    <mergeCell ref="O71:T71"/>
    <mergeCell ref="BA72:BB72"/>
    <mergeCell ref="Q72:R72"/>
    <mergeCell ref="BK72:BL72"/>
    <mergeCell ref="BW71:CB71"/>
    <mergeCell ref="BM72:BN72"/>
    <mergeCell ref="CU72:CV72"/>
    <mergeCell ref="CI71:CN71"/>
    <mergeCell ref="AA71:AF71"/>
    <mergeCell ref="AC72:AD72"/>
    <mergeCell ref="S72:T72"/>
    <mergeCell ref="AA72:AB72"/>
    <mergeCell ref="AM72:AN72"/>
    <mergeCell ref="AY71:BD71"/>
    <mergeCell ref="AE72:AF72"/>
    <mergeCell ref="AO72:AP72"/>
    <mergeCell ref="AM71:AR71"/>
  </mergeCells>
  <pageMargins left="0.7" right="0.7" top="0.75" bottom="0.75" header="0.3" footer="0.3"/>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14"/>
  <sheetViews>
    <sheetView workbookViewId="0">
      <selection activeCell="H30" sqref="H30"/>
    </sheetView>
  </sheetViews>
  <sheetFormatPr defaultRowHeight="15" x14ac:dyDescent="0.25"/>
  <sheetData>
    <row r="1" spans="1:12" x14ac:dyDescent="0.25">
      <c r="A1" s="14"/>
      <c r="L1" s="15"/>
    </row>
    <row r="2" spans="1:12" x14ac:dyDescent="0.25">
      <c r="A2" s="14" t="s">
        <v>369</v>
      </c>
      <c r="B2" t="e">
        <f>Inputs!$B$6/39.37</f>
        <v>#VALUE!</v>
      </c>
      <c r="L2" s="15"/>
    </row>
    <row r="3" spans="1:12" x14ac:dyDescent="0.25">
      <c r="A3" s="14" t="s">
        <v>41</v>
      </c>
      <c r="B3" t="str">
        <f>Inputs!$B$7</f>
        <v>XX</v>
      </c>
      <c r="L3" s="15"/>
    </row>
    <row r="4" spans="1:12" x14ac:dyDescent="0.25">
      <c r="A4" s="14" t="s">
        <v>370</v>
      </c>
      <c r="B4" t="e">
        <f>Inputs!$B$8/39.37</f>
        <v>#VALUE!</v>
      </c>
      <c r="L4" s="15"/>
    </row>
    <row r="5" spans="1:12" x14ac:dyDescent="0.25">
      <c r="A5" s="14" t="s">
        <v>371</v>
      </c>
      <c r="B5" t="e">
        <f>Inputs!$B$9/39.37</f>
        <v>#VALUE!</v>
      </c>
      <c r="L5" s="15"/>
    </row>
    <row r="6" spans="1:12" x14ac:dyDescent="0.25">
      <c r="A6" s="14" t="s">
        <v>372</v>
      </c>
      <c r="B6" t="str">
        <f>IF(SUM(Inputs!$B$14:$K$14)&lt;=SUM(Inputs!$B$15:$K$15),IF(ISNUMBER(Inputs!B14),Inputs!B14/39.37,""),IF(ISNUMBER(Inputs!B15),Inputs!B15/39.37,""))</f>
        <v/>
      </c>
      <c r="C6" t="str">
        <f>IF(SUM(Inputs!$B$14:$K$14)&lt;=SUM(Inputs!$B$15:$K$15),IF(ISNUMBER(Inputs!C14),(Inputs!C14/39.37)+B6," "),IF(ISNUMBER(Inputs!C15),(Inputs!C15/39.37)+B6,""))</f>
        <v xml:space="preserve"> </v>
      </c>
      <c r="D6" t="str">
        <f>IF(SUM(Inputs!$B$14:$K$14)&lt;=SUM(Inputs!$B$15:$K$15),IF(ISNUMBER(Inputs!D14),(Inputs!D14/39.37)+C6," "),IF(ISNUMBER(Inputs!D15),(Inputs!D15/39.37)+C6,""))</f>
        <v xml:space="preserve"> </v>
      </c>
      <c r="E6" t="str">
        <f>IF(SUM(Inputs!$B$14:$K$14)&lt;=SUM(Inputs!$B$15:$K$15),IF(ISNUMBER(Inputs!E14),(Inputs!E14/39.37)+D6," "),IF(ISNUMBER(Inputs!E15),(Inputs!E15/39.37)+D6,""))</f>
        <v xml:space="preserve"> </v>
      </c>
      <c r="F6" t="str">
        <f>IF(SUM(Inputs!$B$14:$K$14)&lt;=SUM(Inputs!$B$15:$K$15),IF(ISNUMBER(Inputs!F14),(Inputs!F14/39.37)+E6," "),IF(ISNUMBER(Inputs!F15),(Inputs!F15/39.37)+E6,""))</f>
        <v xml:space="preserve"> </v>
      </c>
      <c r="G6" t="str">
        <f>IF(SUM(Inputs!$B$14:$K$14)&lt;=SUM(Inputs!$B$15:$K$15),IF(ISNUMBER(Inputs!G14),(Inputs!G14/39.37)+F6," "),IF(ISNUMBER(Inputs!G15),(Inputs!G15/39.37)+F6,""))</f>
        <v xml:space="preserve"> </v>
      </c>
      <c r="H6" t="str">
        <f>IF(SUM(Inputs!$B$14:$K$14)&lt;=SUM(Inputs!$B$15:$K$15),IF(ISNUMBER(Inputs!H14),(Inputs!H14/39.37)+G6," "),IF(ISNUMBER(Inputs!H15),(Inputs!H15/39.37)+G6,""))</f>
        <v xml:space="preserve"> </v>
      </c>
      <c r="I6" t="str">
        <f>IF(SUM(Inputs!$B$14:$K$14)&lt;=SUM(Inputs!$B$15:$K$15),IF(ISNUMBER(Inputs!I14),(Inputs!I14/39.37)+H6," "),IF(ISNUMBER(Inputs!I15),(Inputs!I15/39.37)+H6,""))</f>
        <v xml:space="preserve"> </v>
      </c>
      <c r="J6" t="str">
        <f>IF(SUM(Inputs!$B$14:$K$14)&lt;=SUM(Inputs!$B$15:$K$15),IF(ISNUMBER(Inputs!J14),(Inputs!J14/39.37)+I6," "),IF(ISNUMBER(Inputs!J15),(Inputs!J15/39.37)+I6,""))</f>
        <v xml:space="preserve"> </v>
      </c>
      <c r="K6" t="str">
        <f>IF(SUM(Inputs!$B$14:$K$14)&lt;=SUM(Inputs!$B$15:$K$15),IF(ISNUMBER(Inputs!K14),(Inputs!K14/39.37)+J6," "),IF(ISNUMBER(Inputs!K15),(Inputs!K15/39.37)+J6,""))</f>
        <v xml:space="preserve"> </v>
      </c>
      <c r="L6" s="15" t="str">
        <f>IF(ISNUMBER(Inputs!L14),((Inputs!L14/39.37)+K6),"")</f>
        <v/>
      </c>
    </row>
    <row r="7" spans="1:12" x14ac:dyDescent="0.25">
      <c r="A7" s="14" t="s">
        <v>373</v>
      </c>
      <c r="B7" t="str">
        <f>IF(SUM(Inputs!$B$16:$K$16)&lt;=SUM(Inputs!$B$17:$K$17),IF(ISNUMBER(Inputs!B16),Inputs!B16/39.37,""),IF(ISNUMBER(Inputs!B17),Inputs!B17/39.37,""))</f>
        <v/>
      </c>
      <c r="C7" t="str">
        <f>IF(SUM(Inputs!$B$16:$K$16)&lt;=SUM(Inputs!$B$17:$K$17),IF(ISNUMBER(Inputs!C16),(Inputs!C16/39.37)+B7," "),IF(ISNUMBER(Inputs!C17),(Inputs!C17/39.37)+B7,""))</f>
        <v xml:space="preserve"> </v>
      </c>
      <c r="D7" t="str">
        <f>IF(SUM(Inputs!$B$16:$K$16)&lt;=SUM(Inputs!$B$17:$K$17),IF(ISNUMBER(Inputs!D16),(Inputs!D16/39.37)+C7," "),IF(ISNUMBER(Inputs!D17),(Inputs!D17/39.37)+C7,""))</f>
        <v xml:space="preserve"> </v>
      </c>
      <c r="E7" t="str">
        <f>IF(SUM(Inputs!$B$16:$K$16)&lt;=SUM(Inputs!$B$17:$K$17),IF(ISNUMBER(Inputs!E16),(Inputs!E16/39.37)+D7," "),IF(ISNUMBER(Inputs!E17),(Inputs!E17/39.37)+D7,""))</f>
        <v xml:space="preserve"> </v>
      </c>
      <c r="F7" t="str">
        <f>IF(SUM(Inputs!$B$16:$K$16)&lt;=SUM(Inputs!$B$17:$K$17),IF(ISNUMBER(Inputs!F16),(Inputs!F16/39.37)+E7," "),IF(ISNUMBER(Inputs!F17),(Inputs!F17/39.37)+E7,""))</f>
        <v xml:space="preserve"> </v>
      </c>
      <c r="G7" t="str">
        <f>IF(SUM(Inputs!$B$16:$K$16)&lt;=SUM(Inputs!$B$17:$K$17),IF(ISNUMBER(Inputs!G16),(Inputs!G16/39.37)+F7," "),IF(ISNUMBER(Inputs!G17),(Inputs!G17/39.37)+F7,""))</f>
        <v xml:space="preserve"> </v>
      </c>
      <c r="H7" t="str">
        <f>IF(SUM(Inputs!$B$16:$K$16)&lt;=SUM(Inputs!$B$17:$K$17),IF(ISNUMBER(Inputs!H16),(Inputs!H16/39.37)+G7," "),IF(ISNUMBER(Inputs!H17),(Inputs!H17/39.37)+G7,""))</f>
        <v xml:space="preserve"> </v>
      </c>
      <c r="I7" t="str">
        <f>IF(SUM(Inputs!$B$16:$K$16)&lt;=SUM(Inputs!$B$17:$K$17),IF(ISNUMBER(Inputs!I16),(Inputs!I16/39.37)+H7," "),IF(ISNUMBER(Inputs!I17),(Inputs!I17/39.37)+H7,""))</f>
        <v xml:space="preserve"> </v>
      </c>
      <c r="J7" t="str">
        <f>IF(SUM(Inputs!$B$16:$K$16)&lt;=SUM(Inputs!$B$17:$K$17),IF(ISNUMBER(Inputs!J16),(Inputs!J16/39.37)+I7," "),IF(ISNUMBER(Inputs!J17),(Inputs!J17/39.37)+I7,""))</f>
        <v xml:space="preserve"> </v>
      </c>
      <c r="K7" t="str">
        <f>IF(SUM(Inputs!$B$16:$K$16)&lt;=SUM(Inputs!$B$17:$K$17),IF(ISNUMBER(Inputs!K16),(Inputs!K16/39.37)+J7," "),IF(ISNUMBER(Inputs!K17),(Inputs!K17/39.37)+J7,""))</f>
        <v xml:space="preserve"> </v>
      </c>
      <c r="L7" s="15"/>
    </row>
    <row r="8" spans="1:12" x14ac:dyDescent="0.25">
      <c r="A8" s="14" t="s">
        <v>374</v>
      </c>
      <c r="B8">
        <f>Inputs!$B$18</f>
        <v>1</v>
      </c>
      <c r="C8">
        <f>B8</f>
        <v>1</v>
      </c>
      <c r="L8" s="15"/>
    </row>
    <row r="9" spans="1:12" x14ac:dyDescent="0.25">
      <c r="A9" s="14" t="s">
        <v>57</v>
      </c>
      <c r="B9" s="295">
        <f>Inputs!$B$19</f>
        <v>0.2</v>
      </c>
      <c r="C9">
        <f>B9</f>
        <v>0.2</v>
      </c>
      <c r="L9" s="15"/>
    </row>
    <row r="10" spans="1:12" x14ac:dyDescent="0.25">
      <c r="A10" s="14" t="s">
        <v>375</v>
      </c>
      <c r="B10">
        <f>Inputs!$B$20</f>
        <v>3</v>
      </c>
      <c r="C10">
        <f>B10</f>
        <v>3</v>
      </c>
      <c r="L10" s="15"/>
    </row>
    <row r="11" spans="1:12" x14ac:dyDescent="0.25">
      <c r="A11" s="14" t="s">
        <v>59</v>
      </c>
      <c r="B11" s="295">
        <f>Inputs!$B$21</f>
        <v>0.04</v>
      </c>
      <c r="C11" s="295">
        <f>Inputs!$B$21</f>
        <v>0.04</v>
      </c>
      <c r="L11" s="15"/>
    </row>
    <row r="12" spans="1:12" x14ac:dyDescent="0.25">
      <c r="A12" s="14" t="s">
        <v>60</v>
      </c>
      <c r="B12" t="str">
        <f>Inputs!$B$22</f>
        <v>1P</v>
      </c>
      <c r="C12" t="str">
        <f>B12</f>
        <v>1P</v>
      </c>
      <c r="L12" s="15"/>
    </row>
    <row r="13" spans="1:12" x14ac:dyDescent="0.25">
      <c r="A13" s="14" t="s">
        <v>376</v>
      </c>
      <c r="B13" t="str">
        <f>Inputs!B33</f>
        <v>XX</v>
      </c>
      <c r="L13" s="15"/>
    </row>
    <row r="14" spans="1:12" ht="15.75" customHeight="1" thickBot="1" x14ac:dyDescent="0.3">
      <c r="A14" s="139" t="s">
        <v>377</v>
      </c>
      <c r="B14" s="16">
        <v>40</v>
      </c>
      <c r="C14" s="16"/>
      <c r="D14" s="16"/>
      <c r="E14" s="16"/>
      <c r="F14" s="16"/>
      <c r="G14" s="16"/>
      <c r="H14" s="16"/>
      <c r="I14" s="16"/>
      <c r="J14" s="16"/>
      <c r="K14" s="16"/>
      <c r="L14" s="1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8"/>
  <sheetViews>
    <sheetView topLeftCell="A12" workbookViewId="0">
      <selection activeCell="F15" sqref="F15"/>
    </sheetView>
  </sheetViews>
  <sheetFormatPr defaultRowHeight="15" x14ac:dyDescent="0.25"/>
  <cols>
    <col min="1" max="1" width="16.85546875" bestFit="1" customWidth="1"/>
    <col min="2" max="2" width="9.7109375" bestFit="1" customWidth="1"/>
    <col min="3" max="3" width="51.7109375" customWidth="1"/>
    <col min="4" max="4" width="9.28515625" bestFit="1" customWidth="1"/>
  </cols>
  <sheetData>
    <row r="1" spans="1:4" ht="15.75" customHeight="1" thickBot="1" x14ac:dyDescent="0.3">
      <c r="A1" s="212" t="s">
        <v>378</v>
      </c>
      <c r="B1" s="213" t="s">
        <v>379</v>
      </c>
      <c r="C1" s="213" t="s">
        <v>380</v>
      </c>
      <c r="D1" s="214" t="s">
        <v>381</v>
      </c>
    </row>
    <row r="2" spans="1:4" ht="60" customHeight="1" x14ac:dyDescent="0.25">
      <c r="A2" s="210" t="s">
        <v>382</v>
      </c>
      <c r="B2" s="211">
        <v>45504</v>
      </c>
      <c r="C2" s="1" t="s">
        <v>383</v>
      </c>
      <c r="D2" s="210" t="s">
        <v>384</v>
      </c>
    </row>
    <row r="3" spans="1:4" ht="105" customHeight="1" x14ac:dyDescent="0.25">
      <c r="A3" s="210" t="s">
        <v>385</v>
      </c>
      <c r="B3" s="211">
        <v>45551</v>
      </c>
      <c r="C3" s="1" t="s">
        <v>386</v>
      </c>
      <c r="D3" s="210" t="s">
        <v>387</v>
      </c>
    </row>
    <row r="4" spans="1:4" ht="60" customHeight="1" x14ac:dyDescent="0.25">
      <c r="A4" s="210" t="s">
        <v>388</v>
      </c>
      <c r="B4" s="211">
        <v>45567</v>
      </c>
      <c r="C4" s="1" t="s">
        <v>389</v>
      </c>
      <c r="D4" s="210" t="s">
        <v>387</v>
      </c>
    </row>
    <row r="5" spans="1:4" ht="135" customHeight="1" x14ac:dyDescent="0.25">
      <c r="A5" s="258" t="s">
        <v>390</v>
      </c>
      <c r="B5" s="259">
        <v>45568</v>
      </c>
      <c r="C5" s="260" t="s">
        <v>391</v>
      </c>
      <c r="D5" s="210" t="s">
        <v>392</v>
      </c>
    </row>
    <row r="6" spans="1:4" ht="60" customHeight="1" x14ac:dyDescent="0.25">
      <c r="A6" s="258" t="s">
        <v>393</v>
      </c>
      <c r="B6" s="259">
        <v>45674</v>
      </c>
      <c r="C6" s="260" t="s">
        <v>394</v>
      </c>
      <c r="D6" s="258" t="s">
        <v>384</v>
      </c>
    </row>
    <row r="7" spans="1:4" ht="30" customHeight="1" x14ac:dyDescent="0.25">
      <c r="A7" s="210" t="s">
        <v>395</v>
      </c>
      <c r="B7" s="442">
        <v>45685</v>
      </c>
      <c r="C7" s="1" t="s">
        <v>396</v>
      </c>
      <c r="D7" s="210" t="s">
        <v>384</v>
      </c>
    </row>
    <row r="8" spans="1:4" x14ac:dyDescent="0.25">
      <c r="A8" s="210" t="s">
        <v>397</v>
      </c>
      <c r="B8" s="442">
        <v>45733</v>
      </c>
      <c r="C8" s="1" t="s">
        <v>398</v>
      </c>
      <c r="D8" s="210" t="s">
        <v>387</v>
      </c>
    </row>
    <row r="9" spans="1:4" ht="30" customHeight="1" x14ac:dyDescent="0.25">
      <c r="A9" s="210" t="s">
        <v>399</v>
      </c>
      <c r="B9" s="442">
        <v>45748</v>
      </c>
      <c r="C9" s="446" t="s">
        <v>400</v>
      </c>
      <c r="D9" s="210" t="s">
        <v>384</v>
      </c>
    </row>
    <row r="10" spans="1:4" ht="45" customHeight="1" x14ac:dyDescent="0.25">
      <c r="A10" s="210" t="s">
        <v>401</v>
      </c>
      <c r="B10" s="442">
        <v>45757</v>
      </c>
      <c r="C10" s="446" t="s">
        <v>402</v>
      </c>
    </row>
    <row r="11" spans="1:4" ht="30" customHeight="1" x14ac:dyDescent="0.25">
      <c r="A11" s="210" t="s">
        <v>403</v>
      </c>
      <c r="B11" s="442">
        <v>45761</v>
      </c>
      <c r="C11" s="446" t="s">
        <v>404</v>
      </c>
      <c r="D11" s="210" t="s">
        <v>405</v>
      </c>
    </row>
    <row r="12" spans="1:4" ht="30" customHeight="1" x14ac:dyDescent="0.25">
      <c r="A12" s="210" t="s">
        <v>406</v>
      </c>
      <c r="B12" s="442">
        <v>45792</v>
      </c>
      <c r="C12" s="446" t="s">
        <v>407</v>
      </c>
      <c r="D12" s="210" t="s">
        <v>384</v>
      </c>
    </row>
    <row r="13" spans="1:4" ht="45" customHeight="1" x14ac:dyDescent="0.25">
      <c r="A13" s="210" t="s">
        <v>408</v>
      </c>
      <c r="B13" s="259">
        <v>45813</v>
      </c>
      <c r="C13" s="260" t="s">
        <v>409</v>
      </c>
      <c r="D13" s="210" t="s">
        <v>410</v>
      </c>
    </row>
    <row r="14" spans="1:4" ht="30" customHeight="1" x14ac:dyDescent="0.25">
      <c r="A14" s="210" t="s">
        <v>411</v>
      </c>
      <c r="B14" s="442">
        <v>45840</v>
      </c>
      <c r="C14" s="446" t="s">
        <v>412</v>
      </c>
      <c r="D14" s="210" t="s">
        <v>384</v>
      </c>
    </row>
    <row r="15" spans="1:4" ht="60" customHeight="1" x14ac:dyDescent="0.25">
      <c r="A15" s="210" t="s">
        <v>413</v>
      </c>
      <c r="B15" s="442">
        <v>45895</v>
      </c>
      <c r="C15" s="446" t="s">
        <v>414</v>
      </c>
      <c r="D15" s="210" t="s">
        <v>415</v>
      </c>
    </row>
    <row r="16" spans="1:4" x14ac:dyDescent="0.25">
      <c r="A16" s="210" t="s">
        <v>416</v>
      </c>
      <c r="B16" s="442">
        <v>45754</v>
      </c>
      <c r="C16" s="446" t="s">
        <v>417</v>
      </c>
      <c r="D16" s="210" t="s">
        <v>384</v>
      </c>
    </row>
    <row r="17" spans="1:4" ht="30" customHeight="1" x14ac:dyDescent="0.25">
      <c r="A17" s="210" t="s">
        <v>418</v>
      </c>
      <c r="B17" s="442">
        <v>46135</v>
      </c>
      <c r="C17" s="446" t="s">
        <v>419</v>
      </c>
      <c r="D17" s="210" t="s">
        <v>384</v>
      </c>
    </row>
    <row r="18" spans="1:4" ht="45" customHeight="1" x14ac:dyDescent="0.25">
      <c r="A18" s="210" t="s">
        <v>420</v>
      </c>
      <c r="B18" s="442">
        <v>46149</v>
      </c>
      <c r="C18" s="446" t="s">
        <v>421</v>
      </c>
      <c r="D18" s="210" t="s">
        <v>384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2:AR333"/>
  <sheetViews>
    <sheetView zoomScale="70" zoomScaleNormal="70" workbookViewId="0">
      <selection activeCell="A5" sqref="A5:XFD170"/>
    </sheetView>
  </sheetViews>
  <sheetFormatPr defaultRowHeight="15" x14ac:dyDescent="0.25"/>
  <cols>
    <col min="1" max="1" width="23.42578125" bestFit="1" customWidth="1"/>
    <col min="2" max="2" width="12.7109375" customWidth="1"/>
    <col min="3" max="4" width="9.140625" customWidth="1"/>
    <col min="5" max="5" width="12.140625" customWidth="1"/>
    <col min="6" max="6" width="13.140625" customWidth="1"/>
    <col min="7" max="7" width="11" customWidth="1"/>
    <col min="8" max="8" width="9.85546875" customWidth="1"/>
    <col min="9" max="9" width="8.140625" customWidth="1"/>
    <col min="10" max="10" width="10.85546875" customWidth="1"/>
    <col min="11" max="12" width="9.140625" customWidth="1"/>
    <col min="13" max="13" width="5.42578125" customWidth="1"/>
    <col min="14" max="15" width="6.28515625" customWidth="1"/>
    <col min="16" max="16" width="7.85546875" bestFit="1" customWidth="1"/>
    <col min="17" max="17" width="6.28515625" customWidth="1"/>
    <col min="18" max="18" width="17.140625" bestFit="1" customWidth="1"/>
    <col min="19" max="19" width="5.85546875" customWidth="1"/>
    <col min="20" max="20" width="12.5703125" customWidth="1"/>
    <col min="21" max="21" width="9.140625" customWidth="1"/>
    <col min="22" max="25" width="6.28515625" bestFit="1" customWidth="1"/>
    <col min="26" max="26" width="5.85546875" bestFit="1" customWidth="1"/>
    <col min="27" max="27" width="5.28515625" bestFit="1" customWidth="1"/>
    <col min="28" max="28" width="12.5703125" customWidth="1"/>
    <col min="30" max="33" width="6.28515625" bestFit="1" customWidth="1"/>
    <col min="34" max="34" width="5.85546875" bestFit="1" customWidth="1"/>
    <col min="35" max="35" width="5.28515625" bestFit="1" customWidth="1"/>
    <col min="36" max="36" width="12.5703125" customWidth="1"/>
    <col min="38" max="39" width="6.28515625" bestFit="1" customWidth="1"/>
    <col min="40" max="40" width="6.28515625" customWidth="1"/>
    <col min="41" max="43" width="6.28515625" bestFit="1" customWidth="1"/>
    <col min="44" max="44" width="12.5703125" customWidth="1"/>
  </cols>
  <sheetData>
    <row r="2" spans="1:32" ht="24" customHeight="1" x14ac:dyDescent="0.25">
      <c r="A2" s="63" t="s">
        <v>422</v>
      </c>
      <c r="B2" s="9" t="s">
        <v>0</v>
      </c>
    </row>
    <row r="3" spans="1:32" ht="33" customHeight="1" x14ac:dyDescent="0.25">
      <c r="A3" s="63" t="s">
        <v>423</v>
      </c>
      <c r="B3" s="9" t="s">
        <v>424</v>
      </c>
    </row>
    <row r="5" spans="1:32" ht="15.75" hidden="1" customHeight="1" thickBot="1" x14ac:dyDescent="0.3">
      <c r="D5" s="5"/>
      <c r="G5" s="577" t="s">
        <v>425</v>
      </c>
      <c r="H5" s="544"/>
      <c r="I5" s="544"/>
      <c r="J5" s="578"/>
      <c r="K5" s="7"/>
      <c r="L5" s="7"/>
      <c r="O5" s="571" t="s">
        <v>426</v>
      </c>
      <c r="P5" s="572"/>
      <c r="Q5" s="572"/>
      <c r="R5" s="572"/>
      <c r="S5" s="572"/>
      <c r="T5" s="572"/>
      <c r="U5" s="554"/>
    </row>
    <row r="6" spans="1:32" hidden="1" x14ac:dyDescent="0.25">
      <c r="D6" s="9" t="s">
        <v>427</v>
      </c>
      <c r="E6" s="9" t="s">
        <v>428</v>
      </c>
      <c r="F6" s="9" t="s">
        <v>429</v>
      </c>
      <c r="G6" s="6" t="s">
        <v>430</v>
      </c>
      <c r="H6" s="6" t="s">
        <v>431</v>
      </c>
      <c r="I6" s="6" t="s">
        <v>432</v>
      </c>
      <c r="J6" s="6" t="s">
        <v>433</v>
      </c>
      <c r="O6" s="576" t="s">
        <v>434</v>
      </c>
      <c r="P6" s="574"/>
      <c r="Q6" s="574"/>
      <c r="R6" s="574"/>
      <c r="S6" s="574"/>
      <c r="T6" s="574"/>
      <c r="U6" s="563"/>
    </row>
    <row r="7" spans="1:32" ht="15" hidden="1" customHeight="1" x14ac:dyDescent="0.25">
      <c r="G7" s="27"/>
      <c r="J7" s="28"/>
      <c r="O7" s="24"/>
      <c r="P7" s="25"/>
      <c r="Q7" s="25"/>
      <c r="R7" s="25"/>
      <c r="S7" s="579"/>
      <c r="T7" s="572"/>
      <c r="U7" s="48"/>
      <c r="AD7" s="20"/>
      <c r="AE7" s="20"/>
      <c r="AF7" s="20"/>
    </row>
    <row r="8" spans="1:32" hidden="1" x14ac:dyDescent="0.25">
      <c r="B8">
        <v>1</v>
      </c>
      <c r="C8" t="str">
        <f t="shared" ref="C8:C39" si="0">IF(ISNUMBER(H8),B8,"")</f>
        <v/>
      </c>
      <c r="D8" s="8" t="s">
        <v>166</v>
      </c>
      <c r="E8">
        <v>1</v>
      </c>
      <c r="F8" t="s">
        <v>160</v>
      </c>
      <c r="G8" s="42" t="e">
        <f>IF(E8&lt;Inputs!$B$102,CONCATENATE(D8,E8,F8),"")</f>
        <v>#VALUE!</v>
      </c>
      <c r="H8" s="43" t="e">
        <f>IF(E8&lt;Inputs!$B$102,Inputs!$B$107,"")</f>
        <v>#VALUE!</v>
      </c>
      <c r="I8" s="43" t="e">
        <f>IF(E8&lt;Inputs!$B$102,Inputs!$B$105,"")</f>
        <v>#VALUE!</v>
      </c>
      <c r="J8" s="49" t="e">
        <f>IF(E8&lt;Inputs!$B$102,Inputs!$B$97-(E8*Inputs!$D$80),"")</f>
        <v>#VALUE!</v>
      </c>
      <c r="M8">
        <v>1</v>
      </c>
      <c r="N8">
        <f t="shared" ref="N8:N39" si="1">IF(S8="Perp",M8,"")</f>
        <v>1</v>
      </c>
      <c r="O8" s="42" t="str">
        <f>Inputs!B119</f>
        <v>A</v>
      </c>
      <c r="P8" s="43" t="e">
        <f>IF(Inputs!$B$102&gt;=1,$G8,Inputs!$C$119)</f>
        <v>#VALUE!</v>
      </c>
      <c r="Q8" s="43" t="e">
        <f>IF(Inputs!$B$102&gt;=1,$G9,Inputs!$C$120)</f>
        <v>#VALUE!</v>
      </c>
      <c r="R8" s="43" t="str">
        <f>Inputs!B120</f>
        <v>B</v>
      </c>
      <c r="S8" s="43" t="str">
        <f t="shared" ref="S8:S39" si="2">IF(R8="","","Perp")</f>
        <v>Perp</v>
      </c>
      <c r="T8" s="43" t="str">
        <f t="shared" ref="T8:T39" si="3">IF(R8="","","A-B")</f>
        <v>A-B</v>
      </c>
      <c r="U8" s="49"/>
    </row>
    <row r="9" spans="1:32" hidden="1" x14ac:dyDescent="0.25">
      <c r="B9">
        <v>2</v>
      </c>
      <c r="C9" t="str">
        <f t="shared" si="0"/>
        <v/>
      </c>
      <c r="D9" s="8" t="s">
        <v>166</v>
      </c>
      <c r="E9">
        <v>1</v>
      </c>
      <c r="F9" t="s">
        <v>164</v>
      </c>
      <c r="G9" s="42" t="e">
        <f>IF(E9&lt;Inputs!$B$102,CONCATENATE(D9,E9,F9),"")</f>
        <v>#VALUE!</v>
      </c>
      <c r="H9" s="43" t="e">
        <f>IF(E9&lt;Inputs!$B$102,Inputs!$B$108,"")</f>
        <v>#VALUE!</v>
      </c>
      <c r="I9" s="43" t="e">
        <f>IF(E9&lt;Inputs!$B$102,Inputs!$B$105,"")</f>
        <v>#VALUE!</v>
      </c>
      <c r="J9" s="49" t="e">
        <f>IF(E9&lt;Inputs!$B$102,Inputs!$B$97-(E9*Inputs!$D$80),"")</f>
        <v>#VALUE!</v>
      </c>
      <c r="M9">
        <v>2</v>
      </c>
      <c r="N9">
        <f t="shared" si="1"/>
        <v>2</v>
      </c>
      <c r="O9" s="42" t="str">
        <f>Inputs!B120</f>
        <v>B</v>
      </c>
      <c r="P9" s="43" t="e">
        <f>IF(Inputs!$B$102&gt;=1,$G9,Inputs!$C$119)</f>
        <v>#VALUE!</v>
      </c>
      <c r="Q9" s="43" t="e">
        <f>IF(Inputs!$B$102&gt;=1,$G10,Inputs!$C$120)</f>
        <v>#VALUE!</v>
      </c>
      <c r="R9" s="43" t="str">
        <f>Inputs!B121</f>
        <v>C</v>
      </c>
      <c r="S9" s="43" t="str">
        <f t="shared" si="2"/>
        <v>Perp</v>
      </c>
      <c r="T9" s="43" t="str">
        <f t="shared" si="3"/>
        <v>A-B</v>
      </c>
      <c r="U9" s="49"/>
    </row>
    <row r="10" spans="1:32" hidden="1" x14ac:dyDescent="0.25">
      <c r="B10">
        <v>3</v>
      </c>
      <c r="C10" t="str">
        <f t="shared" si="0"/>
        <v/>
      </c>
      <c r="D10" s="8" t="s">
        <v>166</v>
      </c>
      <c r="E10">
        <v>1</v>
      </c>
      <c r="F10" t="s">
        <v>168</v>
      </c>
      <c r="G10" s="42" t="e">
        <f>IF(E10&lt;Inputs!$B$102,CONCATENATE(D10,E10,F10),"")</f>
        <v>#VALUE!</v>
      </c>
      <c r="H10" s="43" t="e">
        <f>IF(E10&lt;Inputs!$B$102,Inputs!$B$109,"")</f>
        <v>#VALUE!</v>
      </c>
      <c r="I10" s="43" t="e">
        <f>IF(E10&lt;Inputs!$B$102,Inputs!$B$105,"")</f>
        <v>#VALUE!</v>
      </c>
      <c r="J10" s="49" t="e">
        <f>IF(E10&lt;Inputs!$B$102,Inputs!$B$97-(E10*Inputs!$D$80),"")</f>
        <v>#VALUE!</v>
      </c>
      <c r="M10">
        <v>3</v>
      </c>
      <c r="N10">
        <f t="shared" si="1"/>
        <v>3</v>
      </c>
      <c r="O10" s="42" t="str">
        <f>Inputs!B121</f>
        <v>C</v>
      </c>
      <c r="P10" s="43" t="e">
        <f>IF(Inputs!$B$102&gt;=1,$G10,Inputs!$C$119)</f>
        <v>#VALUE!</v>
      </c>
      <c r="Q10" s="43" t="e">
        <f>IF(Inputs!$B$102&gt;=1,$G11,Inputs!$C$120)</f>
        <v>#VALUE!</v>
      </c>
      <c r="R10" s="43" t="str">
        <f>Inputs!B122</f>
        <v>D</v>
      </c>
      <c r="S10" s="43" t="str">
        <f t="shared" si="2"/>
        <v>Perp</v>
      </c>
      <c r="T10" s="43" t="str">
        <f t="shared" si="3"/>
        <v>A-B</v>
      </c>
      <c r="U10" s="49"/>
    </row>
    <row r="11" spans="1:32" hidden="1" x14ac:dyDescent="0.25">
      <c r="B11">
        <v>4</v>
      </c>
      <c r="C11" t="str">
        <f t="shared" si="0"/>
        <v/>
      </c>
      <c r="D11" s="8" t="s">
        <v>166</v>
      </c>
      <c r="E11">
        <v>1</v>
      </c>
      <c r="F11" t="s">
        <v>172</v>
      </c>
      <c r="G11" s="42" t="e">
        <f>IF(E11&lt;Inputs!$B$102,CONCATENATE(D11,E11,F11),"")</f>
        <v>#VALUE!</v>
      </c>
      <c r="H11" s="43" t="e">
        <f>IF(E11&lt;Inputs!$B$102,Inputs!$B$110,"")</f>
        <v>#VALUE!</v>
      </c>
      <c r="I11" s="43" t="e">
        <f>IF(E11&lt;Inputs!$B$102,Inputs!$B$105,"")</f>
        <v>#VALUE!</v>
      </c>
      <c r="J11" s="49" t="e">
        <f>IF(E11&lt;Inputs!$B$102,Inputs!$B$97-(E11*Inputs!$D$80),"")</f>
        <v>#VALUE!</v>
      </c>
      <c r="M11">
        <v>4</v>
      </c>
      <c r="N11">
        <f t="shared" si="1"/>
        <v>4</v>
      </c>
      <c r="O11" s="42" t="str">
        <f>Inputs!B122</f>
        <v>D</v>
      </c>
      <c r="P11" s="43" t="e">
        <f>IF(Inputs!$B$102&gt;=1,$G11,Inputs!$C$119)</f>
        <v>#VALUE!</v>
      </c>
      <c r="Q11" s="43" t="e">
        <f>IF(Inputs!$B$102&gt;=1,$G12,Inputs!$C$120)</f>
        <v>#VALUE!</v>
      </c>
      <c r="R11" s="43" t="str">
        <f>Inputs!B123</f>
        <v>E</v>
      </c>
      <c r="S11" s="43" t="str">
        <f t="shared" si="2"/>
        <v>Perp</v>
      </c>
      <c r="T11" s="43" t="str">
        <f t="shared" si="3"/>
        <v>A-B</v>
      </c>
      <c r="U11" s="49"/>
    </row>
    <row r="12" spans="1:32" hidden="1" x14ac:dyDescent="0.25">
      <c r="B12">
        <v>5</v>
      </c>
      <c r="C12" t="str">
        <f t="shared" si="0"/>
        <v/>
      </c>
      <c r="D12" s="8" t="s">
        <v>166</v>
      </c>
      <c r="E12">
        <v>1</v>
      </c>
      <c r="F12" t="s">
        <v>176</v>
      </c>
      <c r="G12" s="42" t="e">
        <f>IF(E12&lt;Inputs!$B$102,CONCATENATE(D12,E12,F12),"")</f>
        <v>#VALUE!</v>
      </c>
      <c r="H12" s="43" t="e">
        <f>IF(E12&lt;Inputs!$B$102,Inputs!$B$111,"")</f>
        <v>#VALUE!</v>
      </c>
      <c r="I12" s="43" t="e">
        <f>IF(E12&lt;Inputs!$B$102,Inputs!$B$105,"")</f>
        <v>#VALUE!</v>
      </c>
      <c r="J12" s="49" t="e">
        <f>IF(E12&lt;Inputs!$B$102,Inputs!$B$97-(E12*Inputs!$D$80),"")</f>
        <v>#VALUE!</v>
      </c>
      <c r="M12">
        <v>5</v>
      </c>
      <c r="N12" t="e">
        <f t="shared" si="1"/>
        <v>#VALUE!</v>
      </c>
      <c r="O12" s="27" t="e">
        <f>IF(Inputs!$B$101&gt;=2,(IF(Inputs!$B$101&gt;=2,G8)),"")</f>
        <v>#VALUE!</v>
      </c>
      <c r="P12" t="e">
        <f>IF(Inputs!$B$102&gt;=2,(IF(Inputs!$B$102&gt;2,$G13,Inputs!C119)),"")</f>
        <v>#VALUE!</v>
      </c>
      <c r="Q12" t="e">
        <f>IF(Inputs!$B$102&gt;=2,(IF(Inputs!$B$102&gt;2,$G14,Inputs!C120)),"")</f>
        <v>#VALUE!</v>
      </c>
      <c r="R12" t="e">
        <f>IF(Inputs!$B$101&gt;=2,(IF(Inputs!$B$101&gt;=2,G9)),"")</f>
        <v>#VALUE!</v>
      </c>
      <c r="S12" t="e">
        <f t="shared" si="2"/>
        <v>#VALUE!</v>
      </c>
      <c r="T12" t="e">
        <f t="shared" si="3"/>
        <v>#VALUE!</v>
      </c>
      <c r="U12" s="28"/>
    </row>
    <row r="13" spans="1:32" ht="24.75" hidden="1" customHeight="1" x14ac:dyDescent="0.25">
      <c r="B13">
        <v>6</v>
      </c>
      <c r="C13" t="str">
        <f t="shared" si="0"/>
        <v/>
      </c>
      <c r="D13" s="8" t="s">
        <v>166</v>
      </c>
      <c r="E13">
        <v>2</v>
      </c>
      <c r="F13" t="s">
        <v>160</v>
      </c>
      <c r="G13" s="27" t="e">
        <f>IF(E13&lt;Inputs!$B$102,CONCATENATE(D13,E13,F13),"")</f>
        <v>#VALUE!</v>
      </c>
      <c r="H13" t="e">
        <f>IF(E13&lt;Inputs!$B$102,Inputs!$B$107,"")</f>
        <v>#VALUE!</v>
      </c>
      <c r="I13" t="e">
        <f>IF(E13&lt;Inputs!$B$102,Inputs!$B$105,"")</f>
        <v>#VALUE!</v>
      </c>
      <c r="J13" t="e">
        <f>IF(E13&lt;Inputs!$B$102,Inputs!$B$97-(E13*Inputs!$D$80),"")</f>
        <v>#VALUE!</v>
      </c>
      <c r="M13">
        <v>6</v>
      </c>
      <c r="N13" t="e">
        <f t="shared" si="1"/>
        <v>#VALUE!</v>
      </c>
      <c r="O13" s="27" t="e">
        <f>IF(Inputs!$B$101&gt;=2,(IF(Inputs!$B$101&gt;=2,G9)),"")</f>
        <v>#VALUE!</v>
      </c>
      <c r="P13" t="e">
        <f>IF(Inputs!$B$102&gt;=2,(IF(Inputs!$B$102&gt;2,$G14,Inputs!C120)),"")</f>
        <v>#VALUE!</v>
      </c>
      <c r="Q13" t="e">
        <f>IF(Inputs!$B$102&gt;=2,(IF(Inputs!$B$102&gt;2,$G15,Inputs!C121)),"")</f>
        <v>#VALUE!</v>
      </c>
      <c r="R13" t="e">
        <f>IF(Inputs!$B$101&gt;=2,(IF(Inputs!$B$101&gt;=2,G10)),"")</f>
        <v>#VALUE!</v>
      </c>
      <c r="S13" t="e">
        <f t="shared" si="2"/>
        <v>#VALUE!</v>
      </c>
      <c r="T13" t="e">
        <f t="shared" si="3"/>
        <v>#VALUE!</v>
      </c>
      <c r="U13" s="28"/>
    </row>
    <row r="14" spans="1:32" ht="25.5" hidden="1" customHeight="1" x14ac:dyDescent="0.25">
      <c r="B14">
        <v>7</v>
      </c>
      <c r="C14" t="str">
        <f t="shared" si="0"/>
        <v/>
      </c>
      <c r="D14" s="8" t="s">
        <v>166</v>
      </c>
      <c r="E14">
        <v>2</v>
      </c>
      <c r="F14" t="s">
        <v>164</v>
      </c>
      <c r="G14" s="27" t="e">
        <f>IF(E14&lt;Inputs!$B$102,CONCATENATE(D14,E14,F14),"")</f>
        <v>#VALUE!</v>
      </c>
      <c r="H14" t="e">
        <f>IF(E14&lt;Inputs!$B$102,Inputs!$B$108,"")</f>
        <v>#VALUE!</v>
      </c>
      <c r="I14" t="e">
        <f>IF(E14&lt;Inputs!$B$102,Inputs!$B$105,"")</f>
        <v>#VALUE!</v>
      </c>
      <c r="J14" t="e">
        <f>IF(E14&lt;Inputs!$B$102,Inputs!$B$97-(E14*Inputs!$D$80),"")</f>
        <v>#VALUE!</v>
      </c>
      <c r="M14">
        <v>7</v>
      </c>
      <c r="N14" t="e">
        <f t="shared" si="1"/>
        <v>#VALUE!</v>
      </c>
      <c r="O14" s="27" t="e">
        <f>IF(Inputs!$B$101&gt;=2,(IF(Inputs!$B$101&gt;=2,G10)),"")</f>
        <v>#VALUE!</v>
      </c>
      <c r="P14" t="e">
        <f>IF(Inputs!$B$102&gt;=2,(IF(Inputs!$B$102&gt;2,$G15,Inputs!C121)),"")</f>
        <v>#VALUE!</v>
      </c>
      <c r="Q14" t="e">
        <f>IF(Inputs!$B$102&gt;=2,(IF(Inputs!$B$102&gt;2,$G16,Inputs!C122)),"")</f>
        <v>#VALUE!</v>
      </c>
      <c r="R14" t="e">
        <f>IF(Inputs!$B$101&gt;=2,(IF(Inputs!$B$101&gt;=2,G11)),"")</f>
        <v>#VALUE!</v>
      </c>
      <c r="S14" t="e">
        <f t="shared" si="2"/>
        <v>#VALUE!</v>
      </c>
      <c r="T14" t="e">
        <f t="shared" si="3"/>
        <v>#VALUE!</v>
      </c>
      <c r="U14" s="28"/>
    </row>
    <row r="15" spans="1:32" ht="23.25" hidden="1" customHeight="1" x14ac:dyDescent="0.25">
      <c r="B15">
        <v>8</v>
      </c>
      <c r="C15" t="str">
        <f t="shared" si="0"/>
        <v/>
      </c>
      <c r="D15" s="8" t="s">
        <v>166</v>
      </c>
      <c r="E15">
        <v>2</v>
      </c>
      <c r="F15" t="s">
        <v>168</v>
      </c>
      <c r="G15" s="27" t="e">
        <f>IF(E15&lt;Inputs!$B$102,CONCATENATE(D15,E15,F15),"")</f>
        <v>#VALUE!</v>
      </c>
      <c r="H15" t="e">
        <f>IF(E15&lt;Inputs!$B$102,Inputs!$B$109,"")</f>
        <v>#VALUE!</v>
      </c>
      <c r="I15" t="e">
        <f>IF(E15&lt;Inputs!$B$102,Inputs!$B$105,"")</f>
        <v>#VALUE!</v>
      </c>
      <c r="J15" t="e">
        <f>IF(E15&lt;Inputs!$B$102,Inputs!$B$97-(E15*Inputs!$D$80),"")</f>
        <v>#VALUE!</v>
      </c>
      <c r="M15">
        <v>8</v>
      </c>
      <c r="N15" t="e">
        <f t="shared" si="1"/>
        <v>#VALUE!</v>
      </c>
      <c r="O15" s="27" t="e">
        <f>IF(Inputs!$B$101&gt;=2,(IF(Inputs!$B$101&gt;=2,G11)),"")</f>
        <v>#VALUE!</v>
      </c>
      <c r="P15" t="e">
        <f>IF(Inputs!$B$102&gt;=2,(IF(Inputs!$B$102&gt;2,$G16,Inputs!C122)),"")</f>
        <v>#VALUE!</v>
      </c>
      <c r="Q15" t="e">
        <f>IF(Inputs!$B$102&gt;=2,(IF(Inputs!$B$102&gt;2,$G17,Inputs!C123)),"")</f>
        <v>#VALUE!</v>
      </c>
      <c r="R15" t="e">
        <f>IF(Inputs!$B$101&gt;=2,(IF(Inputs!$B$101&gt;=2,G12)),"")</f>
        <v>#VALUE!</v>
      </c>
      <c r="S15" t="e">
        <f t="shared" si="2"/>
        <v>#VALUE!</v>
      </c>
      <c r="T15" t="e">
        <f t="shared" si="3"/>
        <v>#VALUE!</v>
      </c>
      <c r="U15" s="28"/>
    </row>
    <row r="16" spans="1:32" ht="28.5" hidden="1" customHeight="1" x14ac:dyDescent="0.25">
      <c r="B16">
        <v>9</v>
      </c>
      <c r="C16" t="str">
        <f t="shared" si="0"/>
        <v/>
      </c>
      <c r="D16" s="8" t="s">
        <v>166</v>
      </c>
      <c r="E16">
        <v>2</v>
      </c>
      <c r="F16" t="s">
        <v>172</v>
      </c>
      <c r="G16" s="27" t="e">
        <f>IF(E16&lt;Inputs!$B$102,CONCATENATE(D16,E16,F16),"")</f>
        <v>#VALUE!</v>
      </c>
      <c r="H16" t="e">
        <f>IF(E16&lt;Inputs!$B$102,Inputs!$B$110,"")</f>
        <v>#VALUE!</v>
      </c>
      <c r="I16" t="e">
        <f>IF(E16&lt;Inputs!$B$102,Inputs!$B$105,"")</f>
        <v>#VALUE!</v>
      </c>
      <c r="J16" t="e">
        <f>IF(E16&lt;Inputs!$B$102,Inputs!$B$97-(E16*Inputs!$D$80),"")</f>
        <v>#VALUE!</v>
      </c>
      <c r="M16">
        <v>9</v>
      </c>
      <c r="N16" t="e">
        <f t="shared" si="1"/>
        <v>#VALUE!</v>
      </c>
      <c r="O16" s="42" t="e">
        <f>IF(Inputs!$B$101&gt;=3,(IF(Inputs!$B$101&gt;=3,G13)),"")</f>
        <v>#VALUE!</v>
      </c>
      <c r="P16" s="43" t="e">
        <f>IF(Inputs!$B$102&gt;=3,(IF(Inputs!$B$102&gt;3,$G18,Inputs!C119)),"")</f>
        <v>#VALUE!</v>
      </c>
      <c r="Q16" s="43" t="e">
        <f>IF(Inputs!$B$102&gt;=3,(IF(Inputs!$B$102&gt;3,$G19,Inputs!C120)),"")</f>
        <v>#VALUE!</v>
      </c>
      <c r="R16" s="43" t="e">
        <f>IF(Inputs!$B$101&gt;=3,(IF(Inputs!$B$101&gt;=3,G14)),"")</f>
        <v>#VALUE!</v>
      </c>
      <c r="S16" s="43" t="e">
        <f t="shared" si="2"/>
        <v>#VALUE!</v>
      </c>
      <c r="T16" s="43" t="e">
        <f t="shared" si="3"/>
        <v>#VALUE!</v>
      </c>
      <c r="U16" s="49"/>
    </row>
    <row r="17" spans="2:21" hidden="1" x14ac:dyDescent="0.25">
      <c r="B17">
        <v>10</v>
      </c>
      <c r="C17" t="str">
        <f t="shared" si="0"/>
        <v/>
      </c>
      <c r="D17" s="8" t="s">
        <v>166</v>
      </c>
      <c r="E17">
        <v>2</v>
      </c>
      <c r="F17" t="s">
        <v>176</v>
      </c>
      <c r="G17" s="27" t="e">
        <f>IF(E17&lt;Inputs!$B$102,CONCATENATE(D17,E17,F17),"")</f>
        <v>#VALUE!</v>
      </c>
      <c r="H17" t="e">
        <f>IF(E17&lt;Inputs!$B$102,Inputs!$B$111,"")</f>
        <v>#VALUE!</v>
      </c>
      <c r="I17" t="e">
        <f>IF(E17&lt;Inputs!$B$102,Inputs!$B$105,"")</f>
        <v>#VALUE!</v>
      </c>
      <c r="J17" t="e">
        <f>IF(E17&lt;Inputs!$B$102,Inputs!$B$97-(E17*Inputs!$D$80),"")</f>
        <v>#VALUE!</v>
      </c>
      <c r="M17">
        <v>10</v>
      </c>
      <c r="N17" t="e">
        <f t="shared" si="1"/>
        <v>#VALUE!</v>
      </c>
      <c r="O17" s="42" t="e">
        <f>IF(Inputs!$B$101&gt;=3,(IF(Inputs!$B$101&gt;=3,G14)),"")</f>
        <v>#VALUE!</v>
      </c>
      <c r="P17" s="43" t="e">
        <f>IF(Inputs!$B$102&gt;=3,(IF(Inputs!$B$102&gt;3,$G19,Inputs!C120)),"")</f>
        <v>#VALUE!</v>
      </c>
      <c r="Q17" s="43" t="e">
        <f>IF(Inputs!$B$102&gt;=3,(IF(Inputs!$B$102&gt;3,$G20,Inputs!C121)),"")</f>
        <v>#VALUE!</v>
      </c>
      <c r="R17" s="43" t="e">
        <f>IF(Inputs!$B$101&gt;=3,(IF(Inputs!$B$101&gt;=3,G15)),"")</f>
        <v>#VALUE!</v>
      </c>
      <c r="S17" s="43" t="e">
        <f t="shared" si="2"/>
        <v>#VALUE!</v>
      </c>
      <c r="T17" s="43" t="e">
        <f t="shared" si="3"/>
        <v>#VALUE!</v>
      </c>
      <c r="U17" s="49"/>
    </row>
    <row r="18" spans="2:21" hidden="1" x14ac:dyDescent="0.25">
      <c r="B18">
        <v>11</v>
      </c>
      <c r="C18" t="str">
        <f t="shared" si="0"/>
        <v/>
      </c>
      <c r="D18" s="8" t="s">
        <v>166</v>
      </c>
      <c r="E18">
        <v>3</v>
      </c>
      <c r="F18" t="s">
        <v>160</v>
      </c>
      <c r="G18" s="42" t="e">
        <f>IF(E18&lt;Inputs!$B$102,CONCATENATE(D18,E18,F18),"")</f>
        <v>#VALUE!</v>
      </c>
      <c r="H18" s="43" t="e">
        <f>IF(E18&lt;Inputs!$B$102,Inputs!$B$107,"")</f>
        <v>#VALUE!</v>
      </c>
      <c r="I18" s="43" t="e">
        <f>IF(E18&lt;Inputs!$B$102,Inputs!$B$105,"")</f>
        <v>#VALUE!</v>
      </c>
      <c r="J18" s="49" t="e">
        <f>IF(E18&lt;Inputs!$B$102,Inputs!$B$97-(E18*Inputs!$D$80),"")</f>
        <v>#VALUE!</v>
      </c>
      <c r="M18">
        <v>11</v>
      </c>
      <c r="N18" t="e">
        <f t="shared" si="1"/>
        <v>#VALUE!</v>
      </c>
      <c r="O18" s="42" t="e">
        <f>IF(Inputs!$B$101&gt;=3,(IF(Inputs!$B$101&gt;=3,G15)),"")</f>
        <v>#VALUE!</v>
      </c>
      <c r="P18" s="43" t="e">
        <f>IF(Inputs!$B$102&gt;=3,(IF(Inputs!$B$102&gt;3,$G20,Inputs!C121)),"")</f>
        <v>#VALUE!</v>
      </c>
      <c r="Q18" s="43" t="e">
        <f>IF(Inputs!$B$102&gt;=3,(IF(Inputs!$B$102&gt;3,$G21,Inputs!C122)),"")</f>
        <v>#VALUE!</v>
      </c>
      <c r="R18" s="43" t="e">
        <f>IF(Inputs!$B$101&gt;=3,(IF(Inputs!$B$101&gt;=3,G16)),"")</f>
        <v>#VALUE!</v>
      </c>
      <c r="S18" s="43" t="e">
        <f t="shared" si="2"/>
        <v>#VALUE!</v>
      </c>
      <c r="T18" s="43" t="e">
        <f t="shared" si="3"/>
        <v>#VALUE!</v>
      </c>
      <c r="U18" s="49"/>
    </row>
    <row r="19" spans="2:21" hidden="1" x14ac:dyDescent="0.25">
      <c r="B19">
        <v>12</v>
      </c>
      <c r="C19" t="str">
        <f t="shared" si="0"/>
        <v/>
      </c>
      <c r="D19" s="8" t="s">
        <v>166</v>
      </c>
      <c r="E19">
        <v>3</v>
      </c>
      <c r="F19" t="s">
        <v>164</v>
      </c>
      <c r="G19" s="42" t="e">
        <f>IF(E19&lt;Inputs!$B$102,CONCATENATE(D19,E19,F19),"")</f>
        <v>#VALUE!</v>
      </c>
      <c r="H19" s="43" t="e">
        <f>IF(E19&lt;Inputs!$B$102,Inputs!$B$108,"")</f>
        <v>#VALUE!</v>
      </c>
      <c r="I19" s="43" t="e">
        <f>IF(E19&lt;Inputs!$B$102,Inputs!$B$105,"")</f>
        <v>#VALUE!</v>
      </c>
      <c r="J19" s="49" t="e">
        <f>IF(E19&lt;Inputs!$B$102,Inputs!$B$97-(E19*Inputs!$D$80),"")</f>
        <v>#VALUE!</v>
      </c>
      <c r="M19">
        <v>12</v>
      </c>
      <c r="N19" t="e">
        <f t="shared" si="1"/>
        <v>#VALUE!</v>
      </c>
      <c r="O19" s="42" t="e">
        <f>IF(Inputs!$B$101&gt;=3,(IF(Inputs!$B$101&gt;=3,G16)),"")</f>
        <v>#VALUE!</v>
      </c>
      <c r="P19" s="43" t="e">
        <f>IF(Inputs!$B$102&gt;=3,(IF(Inputs!$B$102&gt;3,$G21,Inputs!C122)),"")</f>
        <v>#VALUE!</v>
      </c>
      <c r="Q19" s="43" t="e">
        <f>IF(Inputs!$B$102&gt;=3,(IF(Inputs!$B$102&gt;3,$G22,Inputs!C123)),"")</f>
        <v>#VALUE!</v>
      </c>
      <c r="R19" s="43" t="e">
        <f>IF(Inputs!$B$101&gt;=3,(IF(Inputs!$B$101&gt;=3,G17)),"")</f>
        <v>#VALUE!</v>
      </c>
      <c r="S19" s="43" t="e">
        <f t="shared" si="2"/>
        <v>#VALUE!</v>
      </c>
      <c r="T19" s="43" t="e">
        <f t="shared" si="3"/>
        <v>#VALUE!</v>
      </c>
      <c r="U19" s="49"/>
    </row>
    <row r="20" spans="2:21" hidden="1" x14ac:dyDescent="0.25">
      <c r="B20">
        <v>13</v>
      </c>
      <c r="C20" t="str">
        <f t="shared" si="0"/>
        <v/>
      </c>
      <c r="D20" s="8" t="s">
        <v>166</v>
      </c>
      <c r="E20">
        <v>3</v>
      </c>
      <c r="F20" t="s">
        <v>168</v>
      </c>
      <c r="G20" s="42" t="e">
        <f>IF(E20&lt;Inputs!$B$102,CONCATENATE(D20,E20,F20),"")</f>
        <v>#VALUE!</v>
      </c>
      <c r="H20" s="43" t="e">
        <f>IF(E20&lt;Inputs!$B$102,Inputs!$B$109,"")</f>
        <v>#VALUE!</v>
      </c>
      <c r="I20" s="43" t="e">
        <f>IF(E20&lt;Inputs!$B$102,Inputs!$B$105,"")</f>
        <v>#VALUE!</v>
      </c>
      <c r="J20" s="49" t="e">
        <f>IF(E20&lt;Inputs!$B$102,Inputs!$B$97-(E20*Inputs!$D$80),"")</f>
        <v>#VALUE!</v>
      </c>
      <c r="M20">
        <v>13</v>
      </c>
      <c r="N20" t="e">
        <f t="shared" si="1"/>
        <v>#VALUE!</v>
      </c>
      <c r="O20" s="27" t="e">
        <f>IF(Inputs!$B$101&gt;=4,(IF(Inputs!$B$101&gt;=4,G18)),"")</f>
        <v>#VALUE!</v>
      </c>
      <c r="P20" t="e">
        <f>IF(Inputs!$B$102&gt;=4,(IF(Inputs!$B$102&gt;4,$G23,Inputs!C119)),"")</f>
        <v>#VALUE!</v>
      </c>
      <c r="Q20" t="e">
        <f>IF(Inputs!$B$102&gt;=4,(IF(Inputs!$B$102&gt;4,$G24,Inputs!C120)),"")</f>
        <v>#VALUE!</v>
      </c>
      <c r="R20" t="e">
        <f>IF(Inputs!$B$101&gt;=4,(IF(Inputs!$B$101&gt;=4,G19)),"")</f>
        <v>#VALUE!</v>
      </c>
      <c r="S20" t="e">
        <f t="shared" si="2"/>
        <v>#VALUE!</v>
      </c>
      <c r="T20" t="e">
        <f t="shared" si="3"/>
        <v>#VALUE!</v>
      </c>
      <c r="U20" s="28"/>
    </row>
    <row r="21" spans="2:21" hidden="1" x14ac:dyDescent="0.25">
      <c r="B21">
        <v>14</v>
      </c>
      <c r="C21" t="str">
        <f t="shared" si="0"/>
        <v/>
      </c>
      <c r="D21" s="8" t="s">
        <v>166</v>
      </c>
      <c r="E21">
        <v>3</v>
      </c>
      <c r="F21" t="s">
        <v>172</v>
      </c>
      <c r="G21" s="42" t="e">
        <f>IF(E21&lt;Inputs!$B$102,CONCATENATE(D21,E21,F21),"")</f>
        <v>#VALUE!</v>
      </c>
      <c r="H21" s="43" t="e">
        <f>IF(E21&lt;Inputs!$B$102,Inputs!$B$110,"")</f>
        <v>#VALUE!</v>
      </c>
      <c r="I21" s="43" t="e">
        <f>IF(E21&lt;Inputs!$B$102,Inputs!$B$105,"")</f>
        <v>#VALUE!</v>
      </c>
      <c r="J21" s="49" t="e">
        <f>IF(E21&lt;Inputs!$B$102,Inputs!$B$97-(E21*Inputs!$D$80),"")</f>
        <v>#VALUE!</v>
      </c>
      <c r="M21">
        <v>14</v>
      </c>
      <c r="N21" t="e">
        <f t="shared" si="1"/>
        <v>#VALUE!</v>
      </c>
      <c r="O21" s="27" t="e">
        <f>IF(Inputs!$B$101&gt;=4,(IF(Inputs!$B$101&gt;=4,G19)),"")</f>
        <v>#VALUE!</v>
      </c>
      <c r="P21" t="e">
        <f>IF(Inputs!$B$102&gt;=4,(IF(Inputs!$B$102&gt;4,$G24,Inputs!C120)),"")</f>
        <v>#VALUE!</v>
      </c>
      <c r="Q21" t="e">
        <f>IF(Inputs!$B$102&gt;=4,(IF(Inputs!$B$102&gt;4,$G25,Inputs!C121)),"")</f>
        <v>#VALUE!</v>
      </c>
      <c r="R21" t="e">
        <f>IF(Inputs!$B$101&gt;=4,(IF(Inputs!$B$101&gt;=4,G20)),"")</f>
        <v>#VALUE!</v>
      </c>
      <c r="S21" t="e">
        <f t="shared" si="2"/>
        <v>#VALUE!</v>
      </c>
      <c r="T21" t="e">
        <f t="shared" si="3"/>
        <v>#VALUE!</v>
      </c>
      <c r="U21" s="28"/>
    </row>
    <row r="22" spans="2:21" hidden="1" x14ac:dyDescent="0.25">
      <c r="B22">
        <v>15</v>
      </c>
      <c r="C22" t="str">
        <f t="shared" si="0"/>
        <v/>
      </c>
      <c r="D22" s="8" t="s">
        <v>166</v>
      </c>
      <c r="E22">
        <v>3</v>
      </c>
      <c r="F22" t="s">
        <v>176</v>
      </c>
      <c r="G22" s="42" t="e">
        <f>IF(E22&lt;Inputs!$B$102,CONCATENATE(D22,E22,F22),"")</f>
        <v>#VALUE!</v>
      </c>
      <c r="H22" s="43" t="e">
        <f>IF(E22&lt;Inputs!$B$102,Inputs!$B$111,"")</f>
        <v>#VALUE!</v>
      </c>
      <c r="I22" s="43" t="e">
        <f>IF(E22&lt;Inputs!$B$102,Inputs!$B$105,"")</f>
        <v>#VALUE!</v>
      </c>
      <c r="J22" s="49" t="e">
        <f>IF(E22&lt;Inputs!$B$102,Inputs!$B$97-(E22*Inputs!$D$80),"")</f>
        <v>#VALUE!</v>
      </c>
      <c r="M22">
        <v>15</v>
      </c>
      <c r="N22" t="e">
        <f t="shared" si="1"/>
        <v>#VALUE!</v>
      </c>
      <c r="O22" s="27" t="e">
        <f>IF(Inputs!$B$101&gt;=4,(IF(Inputs!$B$101&gt;=4,G20)),"")</f>
        <v>#VALUE!</v>
      </c>
      <c r="P22" t="e">
        <f>IF(Inputs!$B$102&gt;=4,(IF(Inputs!$B$102&gt;4,$G25,Inputs!C121)),"")</f>
        <v>#VALUE!</v>
      </c>
      <c r="Q22" t="e">
        <f>IF(Inputs!$B$102&gt;=4,(IF(Inputs!$B$102&gt;4,$G26,Inputs!C122)),"")</f>
        <v>#VALUE!</v>
      </c>
      <c r="R22" t="e">
        <f>IF(Inputs!$B$101&gt;=4,(IF(Inputs!$B$101&gt;=4,G21)),"")</f>
        <v>#VALUE!</v>
      </c>
      <c r="S22" t="e">
        <f t="shared" si="2"/>
        <v>#VALUE!</v>
      </c>
      <c r="T22" t="e">
        <f t="shared" si="3"/>
        <v>#VALUE!</v>
      </c>
      <c r="U22" s="28"/>
    </row>
    <row r="23" spans="2:21" hidden="1" x14ac:dyDescent="0.25">
      <c r="B23">
        <v>16</v>
      </c>
      <c r="C23" t="str">
        <f t="shared" si="0"/>
        <v/>
      </c>
      <c r="D23" s="8" t="s">
        <v>166</v>
      </c>
      <c r="E23">
        <v>4</v>
      </c>
      <c r="F23" t="s">
        <v>160</v>
      </c>
      <c r="G23" s="27" t="e">
        <f>IF(E23&lt;Inputs!$B$102,CONCATENATE(D23,E23,F23),"")</f>
        <v>#VALUE!</v>
      </c>
      <c r="H23" t="e">
        <f>IF(E23&lt;Inputs!$B$102,Inputs!$B$107,"")</f>
        <v>#VALUE!</v>
      </c>
      <c r="I23" t="e">
        <f>IF(E23&lt;Inputs!$B$102,Inputs!$B$105,"")</f>
        <v>#VALUE!</v>
      </c>
      <c r="J23" t="e">
        <f>IF(E23&lt;Inputs!$B$102,Inputs!$B$97-(E23*Inputs!$D$80),"")</f>
        <v>#VALUE!</v>
      </c>
      <c r="M23">
        <v>16</v>
      </c>
      <c r="N23" t="e">
        <f t="shared" si="1"/>
        <v>#VALUE!</v>
      </c>
      <c r="O23" s="27" t="e">
        <f>IF(Inputs!$B$101&gt;=4,(IF(Inputs!$B$101&gt;=4,G21)),"")</f>
        <v>#VALUE!</v>
      </c>
      <c r="P23" t="e">
        <f>IF(Inputs!$B$102&gt;=4,(IF(Inputs!$B$102&gt;4,$G26,Inputs!C122)),"")</f>
        <v>#VALUE!</v>
      </c>
      <c r="Q23" t="e">
        <f>IF(Inputs!$B$102&gt;=4,(IF(Inputs!$B$102&gt;4,$G27,Inputs!C123)),"")</f>
        <v>#VALUE!</v>
      </c>
      <c r="R23" t="e">
        <f>IF(Inputs!$B$101&gt;=4,(IF(Inputs!$B$101&gt;=4,G22)),"")</f>
        <v>#VALUE!</v>
      </c>
      <c r="S23" t="e">
        <f t="shared" si="2"/>
        <v>#VALUE!</v>
      </c>
      <c r="T23" t="e">
        <f t="shared" si="3"/>
        <v>#VALUE!</v>
      </c>
      <c r="U23" s="28"/>
    </row>
    <row r="24" spans="2:21" hidden="1" x14ac:dyDescent="0.25">
      <c r="B24">
        <v>17</v>
      </c>
      <c r="C24" t="str">
        <f t="shared" si="0"/>
        <v/>
      </c>
      <c r="D24" s="8" t="s">
        <v>166</v>
      </c>
      <c r="E24">
        <v>4</v>
      </c>
      <c r="F24" t="s">
        <v>164</v>
      </c>
      <c r="G24" s="27" t="e">
        <f>IF(E24&lt;Inputs!$B$102,CONCATENATE(D24,E24,F24),"")</f>
        <v>#VALUE!</v>
      </c>
      <c r="H24" t="e">
        <f>IF(E24&lt;Inputs!$B$102,Inputs!$B$108,"")</f>
        <v>#VALUE!</v>
      </c>
      <c r="I24" t="e">
        <f>IF(E24&lt;Inputs!$B$102,Inputs!$B$105,"")</f>
        <v>#VALUE!</v>
      </c>
      <c r="J24" t="e">
        <f>IF(E24&lt;Inputs!$B$102,Inputs!$B$97-(E24*Inputs!$D$80),"")</f>
        <v>#VALUE!</v>
      </c>
      <c r="M24">
        <v>17</v>
      </c>
      <c r="N24" t="e">
        <f t="shared" si="1"/>
        <v>#VALUE!</v>
      </c>
      <c r="O24" s="44" t="e">
        <f>IF(Inputs!$B$101&gt;=5,(IF(Inputs!$B$101&gt;=5,G23)),"")</f>
        <v>#VALUE!</v>
      </c>
      <c r="P24" s="45" t="e">
        <f>IF(Inputs!$B$102&gt;=5,(IF(Inputs!$B$102&gt;5,$G28,Inputs!C119)),"")</f>
        <v>#VALUE!</v>
      </c>
      <c r="Q24" s="45" t="e">
        <f>IF(Inputs!$B$102&gt;=5,(IF(Inputs!$B$102&gt;5,$G29,Inputs!C120)),"")</f>
        <v>#VALUE!</v>
      </c>
      <c r="R24" s="45" t="e">
        <f>IF(Inputs!$B$101&gt;=5,(IF(Inputs!$B$101&gt;=5,G24)),"")</f>
        <v>#VALUE!</v>
      </c>
      <c r="S24" s="45" t="e">
        <f t="shared" si="2"/>
        <v>#VALUE!</v>
      </c>
      <c r="T24" s="45" t="e">
        <f t="shared" si="3"/>
        <v>#VALUE!</v>
      </c>
      <c r="U24" s="46"/>
    </row>
    <row r="25" spans="2:21" hidden="1" x14ac:dyDescent="0.25">
      <c r="B25">
        <v>18</v>
      </c>
      <c r="C25" t="str">
        <f t="shared" si="0"/>
        <v/>
      </c>
      <c r="D25" s="8" t="s">
        <v>166</v>
      </c>
      <c r="E25">
        <v>4</v>
      </c>
      <c r="F25" t="s">
        <v>168</v>
      </c>
      <c r="G25" s="27" t="e">
        <f>IF(E25&lt;Inputs!$B$102,CONCATENATE(D25,E25,F25),"")</f>
        <v>#VALUE!</v>
      </c>
      <c r="H25" t="e">
        <f>IF(E25&lt;Inputs!$B$102,Inputs!$B$109,"")</f>
        <v>#VALUE!</v>
      </c>
      <c r="I25" t="e">
        <f>IF(E25&lt;Inputs!$B$102,Inputs!$B$105,"")</f>
        <v>#VALUE!</v>
      </c>
      <c r="J25" t="e">
        <f>IF(E25&lt;Inputs!$B$102,Inputs!$B$97-(E25*Inputs!$D$80),"")</f>
        <v>#VALUE!</v>
      </c>
      <c r="M25">
        <v>18</v>
      </c>
      <c r="N25" t="e">
        <f t="shared" si="1"/>
        <v>#VALUE!</v>
      </c>
      <c r="O25" s="44" t="e">
        <f>IF(Inputs!$B$101&gt;=5,(IF(Inputs!$B$101&gt;=5,G24)),"")</f>
        <v>#VALUE!</v>
      </c>
      <c r="P25" s="45" t="e">
        <f>IF(Inputs!$B$102&gt;=5,(IF(Inputs!$B$102&gt;5,$G29,Inputs!C120)),"")</f>
        <v>#VALUE!</v>
      </c>
      <c r="Q25" s="45" t="e">
        <f>IF(Inputs!$B$102&gt;=5,(IF(Inputs!$B$102&gt;5,$G30,Inputs!C121)),"")</f>
        <v>#VALUE!</v>
      </c>
      <c r="R25" s="45" t="e">
        <f>IF(Inputs!$B$101&gt;=5,(IF(Inputs!$B$101&gt;=5,G25)),"")</f>
        <v>#VALUE!</v>
      </c>
      <c r="S25" s="45" t="e">
        <f t="shared" si="2"/>
        <v>#VALUE!</v>
      </c>
      <c r="T25" s="45" t="e">
        <f t="shared" si="3"/>
        <v>#VALUE!</v>
      </c>
      <c r="U25" s="46"/>
    </row>
    <row r="26" spans="2:21" hidden="1" x14ac:dyDescent="0.25">
      <c r="B26">
        <v>19</v>
      </c>
      <c r="C26" t="str">
        <f t="shared" si="0"/>
        <v/>
      </c>
      <c r="D26" s="8" t="s">
        <v>166</v>
      </c>
      <c r="E26">
        <v>4</v>
      </c>
      <c r="F26" t="s">
        <v>172</v>
      </c>
      <c r="G26" s="27" t="e">
        <f>IF(E26&lt;Inputs!$B$102,CONCATENATE(D26,E26,F26),"")</f>
        <v>#VALUE!</v>
      </c>
      <c r="H26" t="e">
        <f>IF(E26&lt;Inputs!$B$102,Inputs!$B$110,"")</f>
        <v>#VALUE!</v>
      </c>
      <c r="I26" t="e">
        <f>IF(E26&lt;Inputs!$B$102,Inputs!$B$105,"")</f>
        <v>#VALUE!</v>
      </c>
      <c r="J26" t="e">
        <f>IF(E26&lt;Inputs!$B$102,Inputs!$B$97-(E26*Inputs!$D$80),"")</f>
        <v>#VALUE!</v>
      </c>
      <c r="M26">
        <v>19</v>
      </c>
      <c r="N26" t="e">
        <f t="shared" si="1"/>
        <v>#VALUE!</v>
      </c>
      <c r="O26" s="44" t="e">
        <f>IF(Inputs!$B$101&gt;=5,(IF(Inputs!$B$101&gt;=5,G25)),"")</f>
        <v>#VALUE!</v>
      </c>
      <c r="P26" s="45" t="e">
        <f>IF(Inputs!$B$102&gt;=5,(IF(Inputs!$B$102&gt;5,$G30,Inputs!C121)),"")</f>
        <v>#VALUE!</v>
      </c>
      <c r="Q26" s="45" t="e">
        <f>IF(Inputs!$B$102&gt;=5,(IF(Inputs!$B$102&gt;5,$G31,Inputs!C122)),"")</f>
        <v>#VALUE!</v>
      </c>
      <c r="R26" s="45" t="e">
        <f>IF(Inputs!$B$101&gt;=5,(IF(Inputs!$B$101&gt;=5,G26)),"")</f>
        <v>#VALUE!</v>
      </c>
      <c r="S26" s="45" t="e">
        <f t="shared" si="2"/>
        <v>#VALUE!</v>
      </c>
      <c r="T26" s="45" t="e">
        <f t="shared" si="3"/>
        <v>#VALUE!</v>
      </c>
      <c r="U26" s="46"/>
    </row>
    <row r="27" spans="2:21" hidden="1" x14ac:dyDescent="0.25">
      <c r="B27">
        <v>20</v>
      </c>
      <c r="C27" t="str">
        <f t="shared" si="0"/>
        <v/>
      </c>
      <c r="D27" s="8" t="s">
        <v>166</v>
      </c>
      <c r="E27">
        <v>4</v>
      </c>
      <c r="F27" t="s">
        <v>176</v>
      </c>
      <c r="G27" s="27" t="e">
        <f>IF(E27&lt;Inputs!$B$102,CONCATENATE(D27,E27,F27),"")</f>
        <v>#VALUE!</v>
      </c>
      <c r="H27" t="e">
        <f>IF(E27&lt;Inputs!$B$102,Inputs!$B$111,"")</f>
        <v>#VALUE!</v>
      </c>
      <c r="I27" t="e">
        <f>IF(E27&lt;Inputs!$B$102,Inputs!$B$105,"")</f>
        <v>#VALUE!</v>
      </c>
      <c r="J27" t="e">
        <f>IF(E27&lt;Inputs!$B$102,Inputs!$B$97-(E27*Inputs!$D$80),"")</f>
        <v>#VALUE!</v>
      </c>
      <c r="M27">
        <v>20</v>
      </c>
      <c r="N27" t="e">
        <f t="shared" si="1"/>
        <v>#VALUE!</v>
      </c>
      <c r="O27" s="44" t="e">
        <f>IF(Inputs!$B$101&gt;=5,(IF(Inputs!$B$101&gt;=5,G26)),"")</f>
        <v>#VALUE!</v>
      </c>
      <c r="P27" s="45" t="e">
        <f>IF(Inputs!$B$102&gt;=5,(IF(Inputs!$B$102&gt;5,$G31,Inputs!C122)),"")</f>
        <v>#VALUE!</v>
      </c>
      <c r="Q27" s="45" t="e">
        <f>IF(Inputs!$B$102&gt;=5,(IF(Inputs!$B$102&gt;5,$G32,Inputs!C123)),"")</f>
        <v>#VALUE!</v>
      </c>
      <c r="R27" s="45" t="e">
        <f>IF(Inputs!$B$101&gt;=5,(IF(Inputs!$B$101&gt;=5,G27)),"")</f>
        <v>#VALUE!</v>
      </c>
      <c r="S27" s="45" t="e">
        <f t="shared" si="2"/>
        <v>#VALUE!</v>
      </c>
      <c r="T27" s="45" t="e">
        <f t="shared" si="3"/>
        <v>#VALUE!</v>
      </c>
      <c r="U27" s="46"/>
    </row>
    <row r="28" spans="2:21" hidden="1" x14ac:dyDescent="0.25">
      <c r="B28">
        <v>21</v>
      </c>
      <c r="C28" t="str">
        <f t="shared" si="0"/>
        <v/>
      </c>
      <c r="D28" s="8" t="s">
        <v>166</v>
      </c>
      <c r="E28">
        <v>5</v>
      </c>
      <c r="F28" t="s">
        <v>160</v>
      </c>
      <c r="G28" s="42" t="e">
        <f>IF(E28&lt;Inputs!$B$102,CONCATENATE(D28,E28,F28),"")</f>
        <v>#VALUE!</v>
      </c>
      <c r="H28" s="43" t="e">
        <f>IF(E28&lt;Inputs!$B$102,Inputs!$B$107,"")</f>
        <v>#VALUE!</v>
      </c>
      <c r="I28" s="43" t="e">
        <f>IF(E28&lt;Inputs!$B$102,Inputs!$B$105,"")</f>
        <v>#VALUE!</v>
      </c>
      <c r="J28" s="49" t="e">
        <f>IF(E28&lt;Inputs!$B$102,Inputs!$B$97-(E28*Inputs!$D$80),"")</f>
        <v>#VALUE!</v>
      </c>
      <c r="M28">
        <v>21</v>
      </c>
      <c r="N28" t="e">
        <f t="shared" si="1"/>
        <v>#VALUE!</v>
      </c>
      <c r="O28" s="27" t="e">
        <f>IF(Inputs!$B$101&gt;=6,(IF(Inputs!$B$101&gt;=6,G28)),"")</f>
        <v>#VALUE!</v>
      </c>
      <c r="P28" t="e">
        <f>IF(Inputs!$B$102&gt;=6,(IF(Inputs!$B$102&gt;6,$G33,Inputs!C119)),"")</f>
        <v>#VALUE!</v>
      </c>
      <c r="Q28" t="e">
        <f>IF(Inputs!$B$102&gt;=6,(IF(Inputs!$B$102&gt;6,$G34,Inputs!C120)),"")</f>
        <v>#VALUE!</v>
      </c>
      <c r="R28" t="e">
        <f>IF(Inputs!$B$101&gt;=6,(IF(Inputs!$B$101&gt;=6,G29)),"")</f>
        <v>#VALUE!</v>
      </c>
      <c r="S28" t="e">
        <f t="shared" si="2"/>
        <v>#VALUE!</v>
      </c>
      <c r="T28" t="e">
        <f t="shared" si="3"/>
        <v>#VALUE!</v>
      </c>
      <c r="U28" s="28"/>
    </row>
    <row r="29" spans="2:21" hidden="1" x14ac:dyDescent="0.25">
      <c r="B29">
        <v>22</v>
      </c>
      <c r="C29" t="str">
        <f t="shared" si="0"/>
        <v/>
      </c>
      <c r="D29" s="8" t="s">
        <v>166</v>
      </c>
      <c r="E29">
        <v>5</v>
      </c>
      <c r="F29" t="s">
        <v>164</v>
      </c>
      <c r="G29" s="42" t="e">
        <f>IF(E29&lt;Inputs!$B$102,CONCATENATE(D29,E29,F29),"")</f>
        <v>#VALUE!</v>
      </c>
      <c r="H29" s="43" t="e">
        <f>IF(E29&lt;Inputs!$B$102,Inputs!$B$108,"")</f>
        <v>#VALUE!</v>
      </c>
      <c r="I29" s="43" t="e">
        <f>IF(E29&lt;Inputs!$B$102,Inputs!$B$105,"")</f>
        <v>#VALUE!</v>
      </c>
      <c r="J29" s="49" t="e">
        <f>IF(E29&lt;Inputs!$B$102,Inputs!$B$97-(E29*Inputs!$D$80),"")</f>
        <v>#VALUE!</v>
      </c>
      <c r="M29">
        <v>22</v>
      </c>
      <c r="N29" t="e">
        <f t="shared" si="1"/>
        <v>#VALUE!</v>
      </c>
      <c r="O29" s="27" t="e">
        <f>IF(Inputs!$B$101&gt;=6,(IF(Inputs!$B$101&gt;=6,G29)),"")</f>
        <v>#VALUE!</v>
      </c>
      <c r="P29" t="e">
        <f>IF(Inputs!$B$102&gt;=6,(IF(Inputs!$B$102&gt;6,$G34,Inputs!C120)),"")</f>
        <v>#VALUE!</v>
      </c>
      <c r="Q29" t="e">
        <f>IF(Inputs!$B$102&gt;=6,(IF(Inputs!$B$102&gt;6,$G35,Inputs!C121)),"")</f>
        <v>#VALUE!</v>
      </c>
      <c r="R29" t="e">
        <f>IF(Inputs!$B$101&gt;=6,(IF(Inputs!$B$101&gt;=6,G30)),"")</f>
        <v>#VALUE!</v>
      </c>
      <c r="S29" t="e">
        <f t="shared" si="2"/>
        <v>#VALUE!</v>
      </c>
      <c r="T29" t="e">
        <f t="shared" si="3"/>
        <v>#VALUE!</v>
      </c>
      <c r="U29" s="28"/>
    </row>
    <row r="30" spans="2:21" hidden="1" x14ac:dyDescent="0.25">
      <c r="B30">
        <v>23</v>
      </c>
      <c r="C30" t="str">
        <f t="shared" si="0"/>
        <v/>
      </c>
      <c r="D30" s="8" t="s">
        <v>166</v>
      </c>
      <c r="E30">
        <v>5</v>
      </c>
      <c r="F30" t="s">
        <v>168</v>
      </c>
      <c r="G30" s="42" t="e">
        <f>IF(E30&lt;Inputs!$B$102,CONCATENATE(D30,E30,F30),"")</f>
        <v>#VALUE!</v>
      </c>
      <c r="H30" s="43" t="e">
        <f>IF(E30&lt;Inputs!$B$102,Inputs!$B$109,"")</f>
        <v>#VALUE!</v>
      </c>
      <c r="I30" s="43" t="e">
        <f>IF(E30&lt;Inputs!$B$102,Inputs!$B$105,"")</f>
        <v>#VALUE!</v>
      </c>
      <c r="J30" s="49" t="e">
        <f>IF(E30&lt;Inputs!$B$102,Inputs!$B$97-(E30*Inputs!$D$80),"")</f>
        <v>#VALUE!</v>
      </c>
      <c r="M30">
        <v>23</v>
      </c>
      <c r="N30" t="e">
        <f t="shared" si="1"/>
        <v>#VALUE!</v>
      </c>
      <c r="O30" s="27" t="e">
        <f>IF(Inputs!$B$101&gt;=6,(IF(Inputs!$B$101&gt;=6,G30)),"")</f>
        <v>#VALUE!</v>
      </c>
      <c r="P30" t="e">
        <f>IF(Inputs!$B$102&gt;=6,(IF(Inputs!$B$102&gt;6,$G35,Inputs!C121)),"")</f>
        <v>#VALUE!</v>
      </c>
      <c r="Q30" t="e">
        <f>IF(Inputs!$B$102&gt;=6,(IF(Inputs!$B$102&gt;6,$G36,Inputs!C122)),"")</f>
        <v>#VALUE!</v>
      </c>
      <c r="R30" t="e">
        <f>IF(Inputs!$B$101&gt;=6,(IF(Inputs!$B$101&gt;=6,G31)),"")</f>
        <v>#VALUE!</v>
      </c>
      <c r="S30" t="e">
        <f t="shared" si="2"/>
        <v>#VALUE!</v>
      </c>
      <c r="T30" t="e">
        <f t="shared" si="3"/>
        <v>#VALUE!</v>
      </c>
      <c r="U30" s="28"/>
    </row>
    <row r="31" spans="2:21" hidden="1" x14ac:dyDescent="0.25">
      <c r="B31">
        <v>24</v>
      </c>
      <c r="C31" t="str">
        <f t="shared" si="0"/>
        <v/>
      </c>
      <c r="D31" s="8" t="s">
        <v>166</v>
      </c>
      <c r="E31">
        <v>5</v>
      </c>
      <c r="F31" t="s">
        <v>172</v>
      </c>
      <c r="G31" s="42" t="e">
        <f>IF(E31&lt;Inputs!$B$102,CONCATENATE(D31,E31,F31),"")</f>
        <v>#VALUE!</v>
      </c>
      <c r="H31" s="43" t="e">
        <f>IF(E31&lt;Inputs!$B$102,Inputs!$B$110,"")</f>
        <v>#VALUE!</v>
      </c>
      <c r="I31" s="43" t="e">
        <f>IF(E31&lt;Inputs!$B$102,Inputs!$B$105,"")</f>
        <v>#VALUE!</v>
      </c>
      <c r="J31" s="49" t="e">
        <f>IF(E31&lt;Inputs!$B$102,Inputs!$B$97-(E31*Inputs!$D$80),"")</f>
        <v>#VALUE!</v>
      </c>
      <c r="M31">
        <v>24</v>
      </c>
      <c r="N31" t="e">
        <f t="shared" si="1"/>
        <v>#VALUE!</v>
      </c>
      <c r="O31" s="27" t="e">
        <f>IF(Inputs!$B$101&gt;=6,(IF(Inputs!$B$101&gt;=6,G31)),"")</f>
        <v>#VALUE!</v>
      </c>
      <c r="P31" t="e">
        <f>IF(Inputs!$B$102&gt;=6,(IF(Inputs!$B$102&gt;6,$G36,Inputs!C122)),"")</f>
        <v>#VALUE!</v>
      </c>
      <c r="Q31" t="e">
        <f>IF(Inputs!$B$102&gt;=6,(IF(Inputs!$B$102&gt;6,$G37,Inputs!C123)),"")</f>
        <v>#VALUE!</v>
      </c>
      <c r="R31" t="e">
        <f>IF(Inputs!$B$101&gt;=6,(IF(Inputs!$B$101&gt;=6,G32)),"")</f>
        <v>#VALUE!</v>
      </c>
      <c r="S31" t="e">
        <f t="shared" si="2"/>
        <v>#VALUE!</v>
      </c>
      <c r="T31" t="e">
        <f t="shared" si="3"/>
        <v>#VALUE!</v>
      </c>
      <c r="U31" s="28"/>
    </row>
    <row r="32" spans="2:21" hidden="1" x14ac:dyDescent="0.25">
      <c r="B32">
        <v>25</v>
      </c>
      <c r="C32" t="str">
        <f t="shared" si="0"/>
        <v/>
      </c>
      <c r="D32" s="8" t="s">
        <v>166</v>
      </c>
      <c r="E32">
        <v>5</v>
      </c>
      <c r="F32" t="s">
        <v>176</v>
      </c>
      <c r="G32" s="42" t="e">
        <f>IF(E32&lt;Inputs!$B$102,CONCATENATE(D32,E32,F32),"")</f>
        <v>#VALUE!</v>
      </c>
      <c r="H32" s="43" t="e">
        <f>IF(E32&lt;Inputs!$B$102,Inputs!$B$111,"")</f>
        <v>#VALUE!</v>
      </c>
      <c r="I32" s="43" t="e">
        <f>IF(E32&lt;Inputs!$B$102,Inputs!$B$105,"")</f>
        <v>#VALUE!</v>
      </c>
      <c r="J32" s="49" t="e">
        <f>IF(E32&lt;Inputs!$B$102,Inputs!$B$97-(E32*Inputs!$D$80),"")</f>
        <v>#VALUE!</v>
      </c>
      <c r="M32">
        <v>25</v>
      </c>
      <c r="N32" t="e">
        <f t="shared" si="1"/>
        <v>#VALUE!</v>
      </c>
      <c r="O32" s="44" t="e">
        <f>IF(Inputs!$B$101&gt;=7,(IF(Inputs!$B$101&gt;=7,G33)),"")</f>
        <v>#VALUE!</v>
      </c>
      <c r="P32" s="45" t="e">
        <f>IF(Inputs!$B$102&gt;=7,(IF(Inputs!$B$102&gt;7,$G38,Inputs!C119)),"")</f>
        <v>#VALUE!</v>
      </c>
      <c r="Q32" s="45" t="e">
        <f>IF(Inputs!$B$102&gt;=7,(IF(Inputs!$B$102&gt;7,$G39,Inputs!C120)),"")</f>
        <v>#VALUE!</v>
      </c>
      <c r="R32" s="45" t="e">
        <f>IF(Inputs!$B$101&gt;=7,(IF(Inputs!$B$101&gt;=7,G34)),"")</f>
        <v>#VALUE!</v>
      </c>
      <c r="S32" s="45" t="e">
        <f t="shared" si="2"/>
        <v>#VALUE!</v>
      </c>
      <c r="T32" s="45" t="e">
        <f t="shared" si="3"/>
        <v>#VALUE!</v>
      </c>
      <c r="U32" s="46"/>
    </row>
    <row r="33" spans="2:21" hidden="1" x14ac:dyDescent="0.25">
      <c r="B33">
        <v>26</v>
      </c>
      <c r="C33" t="str">
        <f t="shared" si="0"/>
        <v/>
      </c>
      <c r="D33" s="8" t="s">
        <v>166</v>
      </c>
      <c r="E33">
        <v>6</v>
      </c>
      <c r="F33" t="s">
        <v>160</v>
      </c>
      <c r="G33" s="27" t="e">
        <f>IF(E33&lt;Inputs!$B$102,CONCATENATE(D33,E33,F33),"")</f>
        <v>#VALUE!</v>
      </c>
      <c r="H33" t="e">
        <f>IF(E33&lt;Inputs!$B$102,Inputs!$B$107,"")</f>
        <v>#VALUE!</v>
      </c>
      <c r="I33" t="e">
        <f>IF(E33&lt;Inputs!$B$102,Inputs!$B$105,"")</f>
        <v>#VALUE!</v>
      </c>
      <c r="J33" t="e">
        <f>IF(E33&lt;Inputs!$B$102,Inputs!$B$97-(E33*Inputs!$D$80),"")</f>
        <v>#VALUE!</v>
      </c>
      <c r="M33">
        <v>26</v>
      </c>
      <c r="N33" t="e">
        <f t="shared" si="1"/>
        <v>#VALUE!</v>
      </c>
      <c r="O33" s="44" t="e">
        <f>IF(Inputs!$B$101&gt;=7,(IF(Inputs!$B$101&gt;=7,G34)),"")</f>
        <v>#VALUE!</v>
      </c>
      <c r="P33" s="45" t="e">
        <f>IF(Inputs!$B$102&gt;=7,(IF(Inputs!$B$102&gt;7,$G39,Inputs!C120)),"")</f>
        <v>#VALUE!</v>
      </c>
      <c r="Q33" s="45" t="e">
        <f>IF(Inputs!$B$102&gt;=7,(IF(Inputs!$B$102&gt;7,$G40,Inputs!C121)),"")</f>
        <v>#VALUE!</v>
      </c>
      <c r="R33" s="45" t="e">
        <f>IF(Inputs!$B$101&gt;=7,(IF(Inputs!$B$101&gt;=7,G35)),"")</f>
        <v>#VALUE!</v>
      </c>
      <c r="S33" s="45" t="e">
        <f t="shared" si="2"/>
        <v>#VALUE!</v>
      </c>
      <c r="T33" s="45" t="e">
        <f t="shared" si="3"/>
        <v>#VALUE!</v>
      </c>
      <c r="U33" s="46"/>
    </row>
    <row r="34" spans="2:21" hidden="1" x14ac:dyDescent="0.25">
      <c r="B34">
        <v>27</v>
      </c>
      <c r="C34" t="str">
        <f t="shared" si="0"/>
        <v/>
      </c>
      <c r="D34" s="8" t="s">
        <v>166</v>
      </c>
      <c r="E34">
        <v>6</v>
      </c>
      <c r="F34" t="s">
        <v>164</v>
      </c>
      <c r="G34" s="27" t="e">
        <f>IF(E34&lt;Inputs!$B$102,CONCATENATE(D34,E34,F34),"")</f>
        <v>#VALUE!</v>
      </c>
      <c r="H34" t="e">
        <f>IF(E34&lt;Inputs!$B$102,Inputs!$B$108,"")</f>
        <v>#VALUE!</v>
      </c>
      <c r="I34" t="e">
        <f>IF(E34&lt;Inputs!$B$102,Inputs!$B$105,"")</f>
        <v>#VALUE!</v>
      </c>
      <c r="J34" t="e">
        <f>IF(E34&lt;Inputs!$B$102,Inputs!$B$97-(E34*Inputs!$D$80),"")</f>
        <v>#VALUE!</v>
      </c>
      <c r="M34">
        <v>27</v>
      </c>
      <c r="N34" t="e">
        <f t="shared" si="1"/>
        <v>#VALUE!</v>
      </c>
      <c r="O34" s="44" t="e">
        <f>IF(Inputs!$B$101&gt;=7,(IF(Inputs!$B$101&gt;=7,G35)),"")</f>
        <v>#VALUE!</v>
      </c>
      <c r="P34" s="45" t="e">
        <f>IF(Inputs!$B$102&gt;=7,(IF(Inputs!$B$102&gt;7,$G40,Inputs!C121)),"")</f>
        <v>#VALUE!</v>
      </c>
      <c r="Q34" s="45" t="e">
        <f>IF(Inputs!$B$102&gt;=7,(IF(Inputs!$B$102&gt;7,$G41,Inputs!C122)),"")</f>
        <v>#VALUE!</v>
      </c>
      <c r="R34" s="45" t="e">
        <f>IF(Inputs!$B$101&gt;=7,(IF(Inputs!$B$101&gt;=7,G36)),"")</f>
        <v>#VALUE!</v>
      </c>
      <c r="S34" s="45" t="e">
        <f t="shared" si="2"/>
        <v>#VALUE!</v>
      </c>
      <c r="T34" s="45" t="e">
        <f t="shared" si="3"/>
        <v>#VALUE!</v>
      </c>
      <c r="U34" s="46"/>
    </row>
    <row r="35" spans="2:21" hidden="1" x14ac:dyDescent="0.25">
      <c r="B35">
        <v>28</v>
      </c>
      <c r="C35" t="str">
        <f t="shared" si="0"/>
        <v/>
      </c>
      <c r="D35" s="8" t="s">
        <v>166</v>
      </c>
      <c r="E35">
        <v>6</v>
      </c>
      <c r="F35" t="s">
        <v>168</v>
      </c>
      <c r="G35" s="27" t="e">
        <f>IF(E35&lt;Inputs!$B$102,CONCATENATE(D35,E35,F35),"")</f>
        <v>#VALUE!</v>
      </c>
      <c r="H35" t="e">
        <f>IF(E35&lt;Inputs!$B$102,Inputs!$B$109,"")</f>
        <v>#VALUE!</v>
      </c>
      <c r="I35" t="e">
        <f>IF(E35&lt;Inputs!$B$102,Inputs!$B$105,"")</f>
        <v>#VALUE!</v>
      </c>
      <c r="J35" t="e">
        <f>IF(E35&lt;Inputs!$B$102,Inputs!$B$97-(E35*Inputs!$D$80),"")</f>
        <v>#VALUE!</v>
      </c>
      <c r="M35">
        <v>28</v>
      </c>
      <c r="N35" t="e">
        <f t="shared" si="1"/>
        <v>#VALUE!</v>
      </c>
      <c r="O35" s="44" t="e">
        <f>IF(Inputs!$B$101&gt;=7,(IF(Inputs!$B$101&gt;=7,G36)),"")</f>
        <v>#VALUE!</v>
      </c>
      <c r="P35" s="45" t="e">
        <f>IF(Inputs!$B$102&gt;=7,(IF(Inputs!$B$102&gt;7,$G41,Inputs!C122)),"")</f>
        <v>#VALUE!</v>
      </c>
      <c r="Q35" s="45" t="e">
        <f>IF(Inputs!$B$102&gt;=7,(IF(Inputs!$B$102&gt;7,$G42,Inputs!C123)),"")</f>
        <v>#VALUE!</v>
      </c>
      <c r="R35" s="45" t="e">
        <f>IF(Inputs!$B$101&gt;=7,(IF(Inputs!$B$101&gt;=7,G37)),"")</f>
        <v>#VALUE!</v>
      </c>
      <c r="S35" s="45" t="e">
        <f t="shared" si="2"/>
        <v>#VALUE!</v>
      </c>
      <c r="T35" s="45" t="e">
        <f t="shared" si="3"/>
        <v>#VALUE!</v>
      </c>
      <c r="U35" s="46"/>
    </row>
    <row r="36" spans="2:21" hidden="1" x14ac:dyDescent="0.25">
      <c r="B36">
        <v>29</v>
      </c>
      <c r="C36" t="str">
        <f t="shared" si="0"/>
        <v/>
      </c>
      <c r="D36" s="8" t="s">
        <v>166</v>
      </c>
      <c r="E36">
        <v>6</v>
      </c>
      <c r="F36" t="s">
        <v>172</v>
      </c>
      <c r="G36" s="27" t="e">
        <f>IF(E36&lt;Inputs!$B$102,CONCATENATE(D36,E36,F36),"")</f>
        <v>#VALUE!</v>
      </c>
      <c r="H36" t="e">
        <f>IF(E36&lt;Inputs!$B$102,Inputs!$B$110,"")</f>
        <v>#VALUE!</v>
      </c>
      <c r="I36" t="e">
        <f>IF(E36&lt;Inputs!$B$102,Inputs!$B$105,"")</f>
        <v>#VALUE!</v>
      </c>
      <c r="J36" t="e">
        <f>IF(E36&lt;Inputs!$B$102,Inputs!$B$97-(E36*Inputs!$D$80),"")</f>
        <v>#VALUE!</v>
      </c>
      <c r="M36">
        <v>29</v>
      </c>
      <c r="N36" t="e">
        <f t="shared" si="1"/>
        <v>#VALUE!</v>
      </c>
      <c r="O36" s="27" t="e">
        <f>IF(Inputs!$B$101&gt;=8,(IF(Inputs!$B$101&gt;=8,G38)),"")</f>
        <v>#VALUE!</v>
      </c>
      <c r="P36" t="e">
        <f>IF(Inputs!$B$102&gt;=8,(IF(Inputs!$B$102&gt;8,$G43,Inputs!C119)),"")</f>
        <v>#VALUE!</v>
      </c>
      <c r="Q36" t="e">
        <f>IF(Inputs!$B$102&gt;=8,(IF(Inputs!$B$102&gt;8,$G44,Inputs!C120)),"")</f>
        <v>#VALUE!</v>
      </c>
      <c r="R36" t="e">
        <f>IF(Inputs!$B$101&gt;=8,(IF(Inputs!$B$101&gt;=8,G39)),"")</f>
        <v>#VALUE!</v>
      </c>
      <c r="S36" t="e">
        <f t="shared" si="2"/>
        <v>#VALUE!</v>
      </c>
      <c r="T36" t="e">
        <f t="shared" si="3"/>
        <v>#VALUE!</v>
      </c>
      <c r="U36" s="28"/>
    </row>
    <row r="37" spans="2:21" hidden="1" x14ac:dyDescent="0.25">
      <c r="B37">
        <v>30</v>
      </c>
      <c r="C37" t="str">
        <f t="shared" si="0"/>
        <v/>
      </c>
      <c r="D37" s="8" t="s">
        <v>166</v>
      </c>
      <c r="E37">
        <v>6</v>
      </c>
      <c r="F37" t="s">
        <v>176</v>
      </c>
      <c r="G37" s="27" t="e">
        <f>IF(E37&lt;Inputs!$B$102,CONCATENATE(D37,E37,F37),"")</f>
        <v>#VALUE!</v>
      </c>
      <c r="H37" t="e">
        <f>IF(E37&lt;Inputs!$B$102,Inputs!$B$111,"")</f>
        <v>#VALUE!</v>
      </c>
      <c r="I37" t="e">
        <f>IF(E37&lt;Inputs!$B$102,Inputs!$B$105,"")</f>
        <v>#VALUE!</v>
      </c>
      <c r="J37" t="e">
        <f>IF(E37&lt;Inputs!$B$102,Inputs!$B$97-(E37*Inputs!$D$80),"")</f>
        <v>#VALUE!</v>
      </c>
      <c r="M37">
        <v>30</v>
      </c>
      <c r="N37" t="e">
        <f t="shared" si="1"/>
        <v>#VALUE!</v>
      </c>
      <c r="O37" s="27" t="e">
        <f>IF(Inputs!$B$101&gt;=8,(IF(Inputs!$B$101&gt;=8,G39)),"")</f>
        <v>#VALUE!</v>
      </c>
      <c r="P37" t="e">
        <f>IF(Inputs!$B$102&gt;=8,(IF(Inputs!$B$102&gt;8,$G44,Inputs!C120)),"")</f>
        <v>#VALUE!</v>
      </c>
      <c r="Q37" t="e">
        <f>IF(Inputs!$B$102&gt;=8,(IF(Inputs!$B$102&gt;8,$G45,Inputs!C121)),"")</f>
        <v>#VALUE!</v>
      </c>
      <c r="R37" t="e">
        <f>IF(Inputs!$B$101&gt;=8,(IF(Inputs!$B$101&gt;=8,G40)),"")</f>
        <v>#VALUE!</v>
      </c>
      <c r="S37" t="e">
        <f t="shared" si="2"/>
        <v>#VALUE!</v>
      </c>
      <c r="T37" t="e">
        <f t="shared" si="3"/>
        <v>#VALUE!</v>
      </c>
      <c r="U37" s="28"/>
    </row>
    <row r="38" spans="2:21" hidden="1" x14ac:dyDescent="0.25">
      <c r="B38">
        <v>31</v>
      </c>
      <c r="C38" t="str">
        <f t="shared" si="0"/>
        <v/>
      </c>
      <c r="D38" s="8" t="s">
        <v>166</v>
      </c>
      <c r="E38">
        <v>7</v>
      </c>
      <c r="F38" t="s">
        <v>160</v>
      </c>
      <c r="G38" s="42" t="e">
        <f>IF(E38&lt;Inputs!$B$102,CONCATENATE(D38,E38,F38),"")</f>
        <v>#VALUE!</v>
      </c>
      <c r="H38" s="43" t="e">
        <f>IF(E38&lt;Inputs!$B$102,Inputs!$B$107,"")</f>
        <v>#VALUE!</v>
      </c>
      <c r="I38" s="43" t="e">
        <f>IF(E38&lt;Inputs!$B$102,Inputs!$B$105,"")</f>
        <v>#VALUE!</v>
      </c>
      <c r="J38" s="49" t="e">
        <f>IF(E38&lt;Inputs!$B$102,Inputs!$B$97-(E38*Inputs!$D$80),"")</f>
        <v>#VALUE!</v>
      </c>
      <c r="M38">
        <v>31</v>
      </c>
      <c r="N38" t="e">
        <f t="shared" si="1"/>
        <v>#VALUE!</v>
      </c>
      <c r="O38" s="27" t="e">
        <f>IF(Inputs!$B$101&gt;=8,(IF(Inputs!$B$101&gt;=8,G40)),"")</f>
        <v>#VALUE!</v>
      </c>
      <c r="P38" t="e">
        <f>IF(Inputs!$B$102&gt;=8,(IF(Inputs!$B$102&gt;8,$G45,Inputs!C121)),"")</f>
        <v>#VALUE!</v>
      </c>
      <c r="Q38" t="e">
        <f>IF(Inputs!$B$102&gt;=8,(IF(Inputs!$B$102&gt;8,$G46,Inputs!C122)),"")</f>
        <v>#VALUE!</v>
      </c>
      <c r="R38" t="e">
        <f>IF(Inputs!$B$101&gt;=8,(IF(Inputs!$B$101&gt;=8,G41)),"")</f>
        <v>#VALUE!</v>
      </c>
      <c r="S38" t="e">
        <f t="shared" si="2"/>
        <v>#VALUE!</v>
      </c>
      <c r="T38" t="e">
        <f t="shared" si="3"/>
        <v>#VALUE!</v>
      </c>
      <c r="U38" s="28"/>
    </row>
    <row r="39" spans="2:21" hidden="1" x14ac:dyDescent="0.25">
      <c r="B39">
        <v>32</v>
      </c>
      <c r="C39" t="str">
        <f t="shared" si="0"/>
        <v/>
      </c>
      <c r="D39" s="8" t="s">
        <v>166</v>
      </c>
      <c r="E39">
        <v>7</v>
      </c>
      <c r="F39" t="s">
        <v>164</v>
      </c>
      <c r="G39" s="42" t="e">
        <f>IF(E39&lt;Inputs!$B$102,CONCATENATE(D39,E39,F39),"")</f>
        <v>#VALUE!</v>
      </c>
      <c r="H39" s="43" t="e">
        <f>IF(E39&lt;Inputs!$B$102,Inputs!$B$108,"")</f>
        <v>#VALUE!</v>
      </c>
      <c r="I39" s="43" t="e">
        <f>IF(E39&lt;Inputs!$B$102,Inputs!$B$105,"")</f>
        <v>#VALUE!</v>
      </c>
      <c r="J39" s="49" t="e">
        <f>IF(E39&lt;Inputs!$B$102,Inputs!$B$97-(E39*Inputs!$D$80),"")</f>
        <v>#VALUE!</v>
      </c>
      <c r="M39">
        <v>32</v>
      </c>
      <c r="N39" t="e">
        <f t="shared" si="1"/>
        <v>#VALUE!</v>
      </c>
      <c r="O39" s="27" t="e">
        <f>IF(Inputs!$B$101&gt;=8,(IF(Inputs!$B$101&gt;=8,G41)),"")</f>
        <v>#VALUE!</v>
      </c>
      <c r="P39" t="e">
        <f>IF(Inputs!$B$102&gt;=8,(IF(Inputs!$B$102&gt;8,$G46,Inputs!C122)),"")</f>
        <v>#VALUE!</v>
      </c>
      <c r="Q39" t="e">
        <f>IF(Inputs!$B$102&gt;=8,(IF(Inputs!$B$102&gt;8,$G47,Inputs!C123)),"")</f>
        <v>#VALUE!</v>
      </c>
      <c r="R39" t="e">
        <f>IF(Inputs!$B$101&gt;=8,(IF(Inputs!$B$101&gt;=8,G42)),"")</f>
        <v>#VALUE!</v>
      </c>
      <c r="S39" t="e">
        <f t="shared" si="2"/>
        <v>#VALUE!</v>
      </c>
      <c r="T39" t="e">
        <f t="shared" si="3"/>
        <v>#VALUE!</v>
      </c>
      <c r="U39" s="28"/>
    </row>
    <row r="40" spans="2:21" hidden="1" x14ac:dyDescent="0.25">
      <c r="B40">
        <v>33</v>
      </c>
      <c r="C40" t="str">
        <f t="shared" ref="C40:C71" si="4">IF(ISNUMBER(H40),B40,"")</f>
        <v/>
      </c>
      <c r="D40" s="8" t="s">
        <v>166</v>
      </c>
      <c r="E40">
        <v>7</v>
      </c>
      <c r="F40" t="s">
        <v>168</v>
      </c>
      <c r="G40" s="42" t="e">
        <f>IF(E40&lt;Inputs!$B$102,CONCATENATE(D40,E40,F40),"")</f>
        <v>#VALUE!</v>
      </c>
      <c r="H40" s="43" t="e">
        <f>IF(E40&lt;Inputs!$B$102,Inputs!$B$109,"")</f>
        <v>#VALUE!</v>
      </c>
      <c r="I40" s="43" t="e">
        <f>IF(E40&lt;Inputs!$B$102,Inputs!$B$105,"")</f>
        <v>#VALUE!</v>
      </c>
      <c r="J40" s="49" t="e">
        <f>IF(E40&lt;Inputs!$B$102,Inputs!$B$97-(E40*Inputs!$D$80),"")</f>
        <v>#VALUE!</v>
      </c>
      <c r="M40">
        <v>33</v>
      </c>
      <c r="N40" t="e">
        <f t="shared" ref="N40:N71" si="5">IF(S40="Perp",M40,"")</f>
        <v>#VALUE!</v>
      </c>
      <c r="O40" s="44" t="e">
        <f>IF(Inputs!$B$101&gt;=9,(IF(Inputs!$B$101&gt;=9,G43)),"")</f>
        <v>#VALUE!</v>
      </c>
      <c r="P40" s="45" t="e">
        <f>IF(Inputs!$B$102&gt;=9,(IF(Inputs!$B$102&gt;9,$G48,Inputs!C119)),"")</f>
        <v>#VALUE!</v>
      </c>
      <c r="Q40" s="45" t="e">
        <f>IF(Inputs!$B$102&gt;=9,(IF(Inputs!$B$102&gt;9,$G49,Inputs!C120)),"")</f>
        <v>#VALUE!</v>
      </c>
      <c r="R40" s="45" t="e">
        <f>IF(Inputs!$B$101&gt;=9,(IF(Inputs!$B$101&gt;=9,G44)),"")</f>
        <v>#VALUE!</v>
      </c>
      <c r="S40" s="45" t="e">
        <f t="shared" ref="S40:S71" si="6">IF(R40="","","Perp")</f>
        <v>#VALUE!</v>
      </c>
      <c r="T40" s="45" t="e">
        <f t="shared" ref="T40:T71" si="7">IF(R40="","","A-B")</f>
        <v>#VALUE!</v>
      </c>
      <c r="U40" s="46"/>
    </row>
    <row r="41" spans="2:21" hidden="1" x14ac:dyDescent="0.25">
      <c r="B41">
        <v>34</v>
      </c>
      <c r="C41" t="str">
        <f t="shared" si="4"/>
        <v/>
      </c>
      <c r="D41" s="8" t="s">
        <v>166</v>
      </c>
      <c r="E41">
        <v>7</v>
      </c>
      <c r="F41" t="s">
        <v>172</v>
      </c>
      <c r="G41" s="42" t="e">
        <f>IF(E41&lt;Inputs!$B$102,CONCATENATE(D41,E41,F41),"")</f>
        <v>#VALUE!</v>
      </c>
      <c r="H41" s="43" t="e">
        <f>IF(E41&lt;Inputs!$B$102,Inputs!$B$110,"")</f>
        <v>#VALUE!</v>
      </c>
      <c r="I41" s="43" t="e">
        <f>IF(E41&lt;Inputs!$B$102,Inputs!$B$105,"")</f>
        <v>#VALUE!</v>
      </c>
      <c r="J41" s="49" t="e">
        <f>IF(E41&lt;Inputs!$B$102,Inputs!$B$97-(E41*Inputs!$D$80),"")</f>
        <v>#VALUE!</v>
      </c>
      <c r="M41">
        <v>34</v>
      </c>
      <c r="N41" t="e">
        <f t="shared" si="5"/>
        <v>#VALUE!</v>
      </c>
      <c r="O41" s="44" t="e">
        <f>IF(Inputs!$B$101&gt;=9,(IF(Inputs!$B$101&gt;=9,G44)),"")</f>
        <v>#VALUE!</v>
      </c>
      <c r="P41" s="45" t="e">
        <f>IF(Inputs!$B$102&gt;=9,(IF(Inputs!$B$102&gt;9,$G49,Inputs!C120)),"")</f>
        <v>#VALUE!</v>
      </c>
      <c r="Q41" s="45" t="e">
        <f>IF(Inputs!$B$102&gt;=9,(IF(Inputs!$B$102&gt;9,$G50,Inputs!C121)),"")</f>
        <v>#VALUE!</v>
      </c>
      <c r="R41" s="45" t="e">
        <f>IF(Inputs!$B$101&gt;=9,(IF(Inputs!$B$101&gt;=9,G45)),"")</f>
        <v>#VALUE!</v>
      </c>
      <c r="S41" s="45" t="e">
        <f t="shared" si="6"/>
        <v>#VALUE!</v>
      </c>
      <c r="T41" s="45" t="e">
        <f t="shared" si="7"/>
        <v>#VALUE!</v>
      </c>
      <c r="U41" s="46"/>
    </row>
    <row r="42" spans="2:21" hidden="1" x14ac:dyDescent="0.25">
      <c r="B42">
        <v>35</v>
      </c>
      <c r="C42" t="str">
        <f t="shared" si="4"/>
        <v/>
      </c>
      <c r="D42" s="8" t="s">
        <v>166</v>
      </c>
      <c r="E42">
        <v>7</v>
      </c>
      <c r="F42" t="s">
        <v>176</v>
      </c>
      <c r="G42" s="42" t="e">
        <f>IF(E42&lt;Inputs!$B$102,CONCATENATE(D42,E42,F42),"")</f>
        <v>#VALUE!</v>
      </c>
      <c r="H42" s="43" t="e">
        <f>IF(E42&lt;Inputs!$B$102,Inputs!$B$111,"")</f>
        <v>#VALUE!</v>
      </c>
      <c r="I42" s="43" t="e">
        <f>IF(E42&lt;Inputs!$B$102,Inputs!$B$105,"")</f>
        <v>#VALUE!</v>
      </c>
      <c r="J42" s="49" t="e">
        <f>IF(E42&lt;Inputs!$B$102,Inputs!$B$97-(E42*Inputs!$D$80),"")</f>
        <v>#VALUE!</v>
      </c>
      <c r="M42">
        <v>35</v>
      </c>
      <c r="N42" t="e">
        <f t="shared" si="5"/>
        <v>#VALUE!</v>
      </c>
      <c r="O42" s="44" t="e">
        <f>IF(Inputs!$B$101&gt;=9,(IF(Inputs!$B$101&gt;=9,G45)),"")</f>
        <v>#VALUE!</v>
      </c>
      <c r="P42" s="45" t="e">
        <f>IF(Inputs!$B$102&gt;=9,(IF(Inputs!$B$102&gt;9,$G50,Inputs!C121)),"")</f>
        <v>#VALUE!</v>
      </c>
      <c r="Q42" s="45" t="e">
        <f>IF(Inputs!$B$102&gt;=9,(IF(Inputs!$B$102&gt;9,$G51,Inputs!C122)),"")</f>
        <v>#VALUE!</v>
      </c>
      <c r="R42" s="45" t="e">
        <f>IF(Inputs!$B$101&gt;=9,(IF(Inputs!$B$101&gt;=9,G46)),"")</f>
        <v>#VALUE!</v>
      </c>
      <c r="S42" s="45" t="e">
        <f t="shared" si="6"/>
        <v>#VALUE!</v>
      </c>
      <c r="T42" s="45" t="e">
        <f t="shared" si="7"/>
        <v>#VALUE!</v>
      </c>
      <c r="U42" s="46"/>
    </row>
    <row r="43" spans="2:21" hidden="1" x14ac:dyDescent="0.25">
      <c r="B43">
        <v>36</v>
      </c>
      <c r="C43" t="str">
        <f t="shared" si="4"/>
        <v/>
      </c>
      <c r="D43" s="8" t="s">
        <v>166</v>
      </c>
      <c r="E43">
        <v>8</v>
      </c>
      <c r="F43" t="s">
        <v>160</v>
      </c>
      <c r="G43" s="27" t="e">
        <f>IF(E43&lt;Inputs!$B$102,CONCATENATE(D43,E43,F43),"")</f>
        <v>#VALUE!</v>
      </c>
      <c r="H43" t="e">
        <f>IF(E43&lt;Inputs!$B$102,Inputs!$B$107,"")</f>
        <v>#VALUE!</v>
      </c>
      <c r="I43" t="e">
        <f>IF(E43&lt;Inputs!$B$102,Inputs!$B$105,"")</f>
        <v>#VALUE!</v>
      </c>
      <c r="J43" t="e">
        <f>IF(E43&lt;Inputs!$B$102,Inputs!$B$97-(E43*Inputs!$D$80),"")</f>
        <v>#VALUE!</v>
      </c>
      <c r="M43">
        <v>36</v>
      </c>
      <c r="N43" t="e">
        <f t="shared" si="5"/>
        <v>#VALUE!</v>
      </c>
      <c r="O43" s="44" t="e">
        <f>IF(Inputs!$B$101&gt;=9,(IF(Inputs!$B$101&gt;=9,G46)),"")</f>
        <v>#VALUE!</v>
      </c>
      <c r="P43" s="45" t="e">
        <f>IF(Inputs!$B$102&gt;=9,(IF(Inputs!$B$102&gt;9,$G51,Inputs!C122)),"")</f>
        <v>#VALUE!</v>
      </c>
      <c r="Q43" s="45" t="e">
        <f>IF(Inputs!$B$102&gt;=9,(IF(Inputs!$B$102&gt;9,$G52,Inputs!C123)),"")</f>
        <v>#VALUE!</v>
      </c>
      <c r="R43" s="45" t="e">
        <f>IF(Inputs!$B$101&gt;=9,(IF(Inputs!$B$101&gt;=9,G47)),"")</f>
        <v>#VALUE!</v>
      </c>
      <c r="S43" s="45" t="e">
        <f t="shared" si="6"/>
        <v>#VALUE!</v>
      </c>
      <c r="T43" s="45" t="e">
        <f t="shared" si="7"/>
        <v>#VALUE!</v>
      </c>
      <c r="U43" s="46"/>
    </row>
    <row r="44" spans="2:21" hidden="1" x14ac:dyDescent="0.25">
      <c r="B44">
        <v>37</v>
      </c>
      <c r="C44" t="str">
        <f t="shared" si="4"/>
        <v/>
      </c>
      <c r="D44" s="8" t="s">
        <v>166</v>
      </c>
      <c r="E44">
        <v>8</v>
      </c>
      <c r="F44" t="s">
        <v>164</v>
      </c>
      <c r="G44" s="27" t="e">
        <f>IF(E44&lt;Inputs!$B$102,CONCATENATE(D44,E44,F44),"")</f>
        <v>#VALUE!</v>
      </c>
      <c r="H44" t="e">
        <f>IF(E44&lt;Inputs!$B$102,Inputs!$B$108,"")</f>
        <v>#VALUE!</v>
      </c>
      <c r="I44" t="e">
        <f>IF(E44&lt;Inputs!$B$102,Inputs!$B$105,"")</f>
        <v>#VALUE!</v>
      </c>
      <c r="J44" t="e">
        <f>IF(E44&lt;Inputs!$B$102,Inputs!$B$97-(E44*Inputs!$D$80),"")</f>
        <v>#VALUE!</v>
      </c>
      <c r="M44">
        <v>37</v>
      </c>
      <c r="N44" t="e">
        <f t="shared" si="5"/>
        <v>#VALUE!</v>
      </c>
      <c r="O44" s="27" t="e">
        <f>IF(Inputs!$B$101&gt;=10,(IF(Inputs!$B$101&gt;=10,G48)),"")</f>
        <v>#VALUE!</v>
      </c>
      <c r="P44" t="e">
        <f>IF(Inputs!$B$102&gt;=10,(IF(Inputs!$B$102&gt;10,$G53,Inputs!C119)),"")</f>
        <v>#VALUE!</v>
      </c>
      <c r="Q44" t="e">
        <f>IF(Inputs!$B$102&gt;=10,(IF(Inputs!$B$102&gt;10,$G54,Inputs!C120)),"")</f>
        <v>#VALUE!</v>
      </c>
      <c r="R44" t="e">
        <f>IF(Inputs!$B$101&gt;=10,(IF(Inputs!$B$101&gt;=10,G49)),"")</f>
        <v>#VALUE!</v>
      </c>
      <c r="S44" t="e">
        <f t="shared" si="6"/>
        <v>#VALUE!</v>
      </c>
      <c r="T44" t="e">
        <f t="shared" si="7"/>
        <v>#VALUE!</v>
      </c>
      <c r="U44" s="28"/>
    </row>
    <row r="45" spans="2:21" hidden="1" x14ac:dyDescent="0.25">
      <c r="B45">
        <v>38</v>
      </c>
      <c r="C45" t="str">
        <f t="shared" si="4"/>
        <v/>
      </c>
      <c r="D45" s="8" t="s">
        <v>166</v>
      </c>
      <c r="E45">
        <v>8</v>
      </c>
      <c r="F45" t="s">
        <v>168</v>
      </c>
      <c r="G45" s="27" t="e">
        <f>IF(E45&lt;Inputs!$B$102,CONCATENATE(D45,E45,F45),"")</f>
        <v>#VALUE!</v>
      </c>
      <c r="H45" t="e">
        <f>IF(E45&lt;Inputs!$B$102,Inputs!$B$109,"")</f>
        <v>#VALUE!</v>
      </c>
      <c r="I45" t="e">
        <f>IF(E45&lt;Inputs!$B$102,Inputs!$B$105,"")</f>
        <v>#VALUE!</v>
      </c>
      <c r="J45" t="e">
        <f>IF(E45&lt;Inputs!$B$102,Inputs!$B$97-(E45*Inputs!$D$80),"")</f>
        <v>#VALUE!</v>
      </c>
      <c r="M45">
        <v>38</v>
      </c>
      <c r="N45" t="e">
        <f t="shared" si="5"/>
        <v>#VALUE!</v>
      </c>
      <c r="O45" s="27" t="e">
        <f>IF(Inputs!$B$101&gt;=10,(IF(Inputs!$B$101&gt;=10,G49)),"")</f>
        <v>#VALUE!</v>
      </c>
      <c r="P45" t="e">
        <f>IF(Inputs!$B$102&gt;=10,(IF(Inputs!$B$102&gt;10,$G54,Inputs!C120)),"")</f>
        <v>#VALUE!</v>
      </c>
      <c r="Q45" t="e">
        <f>IF(Inputs!$B$102&gt;=10,(IF(Inputs!$B$102&gt;10,$G55,Inputs!C121)),"")</f>
        <v>#VALUE!</v>
      </c>
      <c r="R45" t="e">
        <f>IF(Inputs!$B$101&gt;=10,(IF(Inputs!$B$101&gt;=10,G50)),"")</f>
        <v>#VALUE!</v>
      </c>
      <c r="S45" t="e">
        <f t="shared" si="6"/>
        <v>#VALUE!</v>
      </c>
      <c r="T45" t="e">
        <f t="shared" si="7"/>
        <v>#VALUE!</v>
      </c>
      <c r="U45" s="28"/>
    </row>
    <row r="46" spans="2:21" hidden="1" x14ac:dyDescent="0.25">
      <c r="B46">
        <v>39</v>
      </c>
      <c r="C46" t="str">
        <f t="shared" si="4"/>
        <v/>
      </c>
      <c r="D46" s="8" t="s">
        <v>166</v>
      </c>
      <c r="E46">
        <v>8</v>
      </c>
      <c r="F46" t="s">
        <v>172</v>
      </c>
      <c r="G46" s="27" t="e">
        <f>IF(E46&lt;Inputs!$B$102,CONCATENATE(D46,E46,F46),"")</f>
        <v>#VALUE!</v>
      </c>
      <c r="H46" t="e">
        <f>IF(E46&lt;Inputs!$B$102,Inputs!$B$110,"")</f>
        <v>#VALUE!</v>
      </c>
      <c r="I46" t="e">
        <f>IF(E46&lt;Inputs!$B$102,Inputs!$B$105,"")</f>
        <v>#VALUE!</v>
      </c>
      <c r="J46" t="e">
        <f>IF(E46&lt;Inputs!$B$102,Inputs!$B$97-(E46*Inputs!$D$80),"")</f>
        <v>#VALUE!</v>
      </c>
      <c r="M46">
        <v>39</v>
      </c>
      <c r="N46" t="e">
        <f t="shared" si="5"/>
        <v>#VALUE!</v>
      </c>
      <c r="O46" s="27" t="e">
        <f>IF(Inputs!$B$101&gt;=10,(IF(Inputs!$B$101&gt;=10,G50)),"")</f>
        <v>#VALUE!</v>
      </c>
      <c r="P46" t="e">
        <f>IF(Inputs!$B$102&gt;=10,(IF(Inputs!$B$102&gt;10,$G55,Inputs!C121)),"")</f>
        <v>#VALUE!</v>
      </c>
      <c r="Q46" t="e">
        <f>IF(Inputs!$B$102&gt;=10,(IF(Inputs!$B$102&gt;10,$G56,Inputs!C122)),"")</f>
        <v>#VALUE!</v>
      </c>
      <c r="R46" t="e">
        <f>IF(Inputs!$B$101&gt;=10,(IF(Inputs!$B$101&gt;=10,G51)),"")</f>
        <v>#VALUE!</v>
      </c>
      <c r="S46" t="e">
        <f t="shared" si="6"/>
        <v>#VALUE!</v>
      </c>
      <c r="T46" t="e">
        <f t="shared" si="7"/>
        <v>#VALUE!</v>
      </c>
      <c r="U46" s="28"/>
    </row>
    <row r="47" spans="2:21" hidden="1" x14ac:dyDescent="0.25">
      <c r="B47">
        <v>40</v>
      </c>
      <c r="C47" t="str">
        <f t="shared" si="4"/>
        <v/>
      </c>
      <c r="D47" s="8" t="s">
        <v>166</v>
      </c>
      <c r="E47">
        <v>8</v>
      </c>
      <c r="F47" t="s">
        <v>176</v>
      </c>
      <c r="G47" s="27" t="e">
        <f>IF(E47&lt;Inputs!$B$102,CONCATENATE(D47,E47,F47),"")</f>
        <v>#VALUE!</v>
      </c>
      <c r="H47" t="e">
        <f>IF(E47&lt;Inputs!$B$102,Inputs!$B$111,"")</f>
        <v>#VALUE!</v>
      </c>
      <c r="I47" t="e">
        <f>IF(E47&lt;Inputs!$B$102,Inputs!$B$105,"")</f>
        <v>#VALUE!</v>
      </c>
      <c r="J47" t="e">
        <f>IF(E47&lt;Inputs!$B$102,Inputs!$B$97-(E47*Inputs!$D$80),"")</f>
        <v>#VALUE!</v>
      </c>
      <c r="M47">
        <v>40</v>
      </c>
      <c r="N47" t="e">
        <f t="shared" si="5"/>
        <v>#VALUE!</v>
      </c>
      <c r="O47" s="27" t="e">
        <f>IF(Inputs!$B$101&gt;=10,(IF(Inputs!$B$101&gt;=10,G51)),"")</f>
        <v>#VALUE!</v>
      </c>
      <c r="P47" t="e">
        <f>IF(Inputs!$B$102&gt;=10,(IF(Inputs!$B$102&gt;10,$G56,Inputs!C122)),"")</f>
        <v>#VALUE!</v>
      </c>
      <c r="Q47" t="e">
        <f>IF(Inputs!$B$102&gt;=10,(IF(Inputs!$B$102&gt;10,$G57,Inputs!C123)),"")</f>
        <v>#VALUE!</v>
      </c>
      <c r="R47" t="e">
        <f>IF(Inputs!$B$101&gt;=10,(IF(Inputs!$B$101&gt;=10,G52)),"")</f>
        <v>#VALUE!</v>
      </c>
      <c r="S47" t="e">
        <f t="shared" si="6"/>
        <v>#VALUE!</v>
      </c>
      <c r="T47" t="e">
        <f t="shared" si="7"/>
        <v>#VALUE!</v>
      </c>
      <c r="U47" s="28"/>
    </row>
    <row r="48" spans="2:21" hidden="1" x14ac:dyDescent="0.25">
      <c r="B48">
        <v>41</v>
      </c>
      <c r="C48" t="str">
        <f t="shared" si="4"/>
        <v/>
      </c>
      <c r="D48" s="8" t="s">
        <v>166</v>
      </c>
      <c r="E48">
        <v>9</v>
      </c>
      <c r="F48" t="s">
        <v>160</v>
      </c>
      <c r="G48" s="42" t="e">
        <f>IF(E48&lt;Inputs!$B$102,CONCATENATE(D48,E48,F48),"")</f>
        <v>#VALUE!</v>
      </c>
      <c r="H48" s="43" t="e">
        <f>IF(E48&lt;Inputs!$B$102,Inputs!$B$107,"")</f>
        <v>#VALUE!</v>
      </c>
      <c r="I48" s="43" t="e">
        <f>IF(E48&lt;Inputs!$B$102,Inputs!$B$105,"")</f>
        <v>#VALUE!</v>
      </c>
      <c r="J48" s="49" t="e">
        <f>IF(E48&lt;Inputs!$B$102,Inputs!$B$97-(E48*Inputs!$D$80),"")</f>
        <v>#VALUE!</v>
      </c>
      <c r="M48">
        <v>41</v>
      </c>
      <c r="N48" t="e">
        <f t="shared" si="5"/>
        <v>#VALUE!</v>
      </c>
      <c r="O48" s="44" t="e">
        <f>IF(Inputs!$B$101&gt;=11,(IF(Inputs!$B$101&gt;=11,G53)),"")</f>
        <v>#VALUE!</v>
      </c>
      <c r="P48" s="45" t="e">
        <f>IF(Inputs!$B$102&gt;=11,(IF(Inputs!$B$102&gt;11,$G58,Inputs!C119)),"")</f>
        <v>#VALUE!</v>
      </c>
      <c r="Q48" s="45" t="e">
        <f>IF(Inputs!$B$102&gt;=11,(IF(Inputs!$B$102&gt;11,$G59,Inputs!C120)),"")</f>
        <v>#VALUE!</v>
      </c>
      <c r="R48" s="45" t="e">
        <f>IF(Inputs!$B$101&gt;=11,(IF(Inputs!$B$101&gt;=11,G54)),"")</f>
        <v>#VALUE!</v>
      </c>
      <c r="S48" s="45" t="e">
        <f t="shared" si="6"/>
        <v>#VALUE!</v>
      </c>
      <c r="T48" s="45" t="e">
        <f t="shared" si="7"/>
        <v>#VALUE!</v>
      </c>
      <c r="U48" s="46"/>
    </row>
    <row r="49" spans="2:21" hidden="1" x14ac:dyDescent="0.25">
      <c r="B49">
        <v>42</v>
      </c>
      <c r="C49" t="str">
        <f t="shared" si="4"/>
        <v/>
      </c>
      <c r="D49" s="8" t="s">
        <v>166</v>
      </c>
      <c r="E49">
        <v>9</v>
      </c>
      <c r="F49" t="s">
        <v>164</v>
      </c>
      <c r="G49" s="42" t="e">
        <f>IF(E49&lt;Inputs!$B$102,CONCATENATE(D49,E49,F49),"")</f>
        <v>#VALUE!</v>
      </c>
      <c r="H49" s="43" t="e">
        <f>IF(E49&lt;Inputs!$B$102,Inputs!$B$108,"")</f>
        <v>#VALUE!</v>
      </c>
      <c r="I49" s="43" t="e">
        <f>IF(E49&lt;Inputs!$B$102,Inputs!$B$105,"")</f>
        <v>#VALUE!</v>
      </c>
      <c r="J49" s="49" t="e">
        <f>IF(E49&lt;Inputs!$B$102,Inputs!$B$97-(E49*Inputs!$D$80),"")</f>
        <v>#VALUE!</v>
      </c>
      <c r="M49">
        <v>42</v>
      </c>
      <c r="N49" t="e">
        <f t="shared" si="5"/>
        <v>#VALUE!</v>
      </c>
      <c r="O49" s="44" t="e">
        <f>IF(Inputs!$B$101&gt;=11,(IF(Inputs!$B$101&gt;=11,G54)),"")</f>
        <v>#VALUE!</v>
      </c>
      <c r="P49" s="45" t="e">
        <f>IF(Inputs!$B$102&gt;=11,(IF(Inputs!$B$102&gt;11,$G59,Inputs!C120)),"")</f>
        <v>#VALUE!</v>
      </c>
      <c r="Q49" s="45" t="e">
        <f>IF(Inputs!$B$102&gt;=11,(IF(Inputs!$B$102&gt;11,$G60,Inputs!C121)),"")</f>
        <v>#VALUE!</v>
      </c>
      <c r="R49" s="45" t="e">
        <f>IF(Inputs!$B$101&gt;=11,(IF(Inputs!$B$101&gt;=11,G55)),"")</f>
        <v>#VALUE!</v>
      </c>
      <c r="S49" s="45" t="e">
        <f t="shared" si="6"/>
        <v>#VALUE!</v>
      </c>
      <c r="T49" s="45" t="e">
        <f t="shared" si="7"/>
        <v>#VALUE!</v>
      </c>
      <c r="U49" s="46"/>
    </row>
    <row r="50" spans="2:21" hidden="1" x14ac:dyDescent="0.25">
      <c r="B50">
        <v>43</v>
      </c>
      <c r="C50" t="str">
        <f t="shared" si="4"/>
        <v/>
      </c>
      <c r="D50" s="8" t="s">
        <v>166</v>
      </c>
      <c r="E50">
        <v>9</v>
      </c>
      <c r="F50" t="s">
        <v>168</v>
      </c>
      <c r="G50" s="42" t="e">
        <f>IF(E50&lt;Inputs!$B$102,CONCATENATE(D50,E50,F50),"")</f>
        <v>#VALUE!</v>
      </c>
      <c r="H50" s="43" t="e">
        <f>IF(E50&lt;Inputs!$B$102,Inputs!$B$109,"")</f>
        <v>#VALUE!</v>
      </c>
      <c r="I50" s="43" t="e">
        <f>IF(E50&lt;Inputs!$B$102,Inputs!$B$105,"")</f>
        <v>#VALUE!</v>
      </c>
      <c r="J50" s="49" t="e">
        <f>IF(E50&lt;Inputs!$B$102,Inputs!$B$97-(E50*Inputs!$D$80),"")</f>
        <v>#VALUE!</v>
      </c>
      <c r="M50">
        <v>43</v>
      </c>
      <c r="N50" t="e">
        <f t="shared" si="5"/>
        <v>#VALUE!</v>
      </c>
      <c r="O50" s="44" t="e">
        <f>IF(Inputs!$B$101&gt;=11,(IF(Inputs!$B$101&gt;=11,G55)),"")</f>
        <v>#VALUE!</v>
      </c>
      <c r="P50" s="45" t="e">
        <f>IF(Inputs!$B$102&gt;=11,(IF(Inputs!$B$102&gt;11,$G60,Inputs!C121)),"")</f>
        <v>#VALUE!</v>
      </c>
      <c r="Q50" s="45" t="e">
        <f>IF(Inputs!$B$102&gt;=11,(IF(Inputs!$B$102&gt;11,$G61,Inputs!C122)),"")</f>
        <v>#VALUE!</v>
      </c>
      <c r="R50" s="45" t="e">
        <f>IF(Inputs!$B$101&gt;=11,(IF(Inputs!$B$101&gt;=11,G56)),"")</f>
        <v>#VALUE!</v>
      </c>
      <c r="S50" s="45" t="e">
        <f t="shared" si="6"/>
        <v>#VALUE!</v>
      </c>
      <c r="T50" s="45" t="e">
        <f t="shared" si="7"/>
        <v>#VALUE!</v>
      </c>
      <c r="U50" s="46"/>
    </row>
    <row r="51" spans="2:21" hidden="1" x14ac:dyDescent="0.25">
      <c r="B51">
        <v>44</v>
      </c>
      <c r="C51" t="str">
        <f t="shared" si="4"/>
        <v/>
      </c>
      <c r="D51" s="8" t="s">
        <v>166</v>
      </c>
      <c r="E51">
        <v>9</v>
      </c>
      <c r="F51" t="s">
        <v>172</v>
      </c>
      <c r="G51" s="42" t="e">
        <f>IF(E51&lt;Inputs!$B$102,CONCATENATE(D51,E51,F51),"")</f>
        <v>#VALUE!</v>
      </c>
      <c r="H51" s="43" t="e">
        <f>IF(E51&lt;Inputs!$B$102,Inputs!$B$110,"")</f>
        <v>#VALUE!</v>
      </c>
      <c r="I51" s="43" t="e">
        <f>IF(E51&lt;Inputs!$B$102,Inputs!$B$105,"")</f>
        <v>#VALUE!</v>
      </c>
      <c r="J51" s="49" t="e">
        <f>IF(E51&lt;Inputs!$B$102,Inputs!$B$97-(E51*Inputs!$D$80),"")</f>
        <v>#VALUE!</v>
      </c>
      <c r="M51">
        <v>44</v>
      </c>
      <c r="N51" t="e">
        <f t="shared" si="5"/>
        <v>#VALUE!</v>
      </c>
      <c r="O51" s="44" t="e">
        <f>IF(Inputs!$B$101&gt;=11,(IF(Inputs!$B$101&gt;=11,G56)),"")</f>
        <v>#VALUE!</v>
      </c>
      <c r="P51" s="45" t="e">
        <f>IF(Inputs!$B$102&gt;=11,(IF(Inputs!$B$102&gt;11,$G61,Inputs!C122)),"")</f>
        <v>#VALUE!</v>
      </c>
      <c r="Q51" s="45" t="e">
        <f>IF(Inputs!$B$102&gt;=11,(IF(Inputs!$B$102&gt;11,$G62,Inputs!C123)),"")</f>
        <v>#VALUE!</v>
      </c>
      <c r="R51" s="45" t="e">
        <f>IF(Inputs!$B$101&gt;=11,(IF(Inputs!$B$101&gt;=11,G57)),"")</f>
        <v>#VALUE!</v>
      </c>
      <c r="S51" s="45" t="e">
        <f t="shared" si="6"/>
        <v>#VALUE!</v>
      </c>
      <c r="T51" s="45" t="e">
        <f t="shared" si="7"/>
        <v>#VALUE!</v>
      </c>
      <c r="U51" s="46"/>
    </row>
    <row r="52" spans="2:21" hidden="1" x14ac:dyDescent="0.25">
      <c r="B52">
        <v>45</v>
      </c>
      <c r="C52" t="str">
        <f t="shared" si="4"/>
        <v/>
      </c>
      <c r="D52" s="8" t="s">
        <v>166</v>
      </c>
      <c r="E52">
        <v>9</v>
      </c>
      <c r="F52" t="s">
        <v>176</v>
      </c>
      <c r="G52" s="42" t="e">
        <f>IF(E52&lt;Inputs!$B$102,CONCATENATE(D52,E52,F52),"")</f>
        <v>#VALUE!</v>
      </c>
      <c r="H52" s="43" t="e">
        <f>IF(E52&lt;Inputs!$B$102,Inputs!$B$111,"")</f>
        <v>#VALUE!</v>
      </c>
      <c r="I52" s="43" t="e">
        <f>IF(E52&lt;Inputs!$B$102,Inputs!$B$105,"")</f>
        <v>#VALUE!</v>
      </c>
      <c r="J52" s="49" t="e">
        <f>IF(E52&lt;Inputs!$B$102,Inputs!$B$97-(E52*Inputs!$D$80),"")</f>
        <v>#VALUE!</v>
      </c>
      <c r="M52">
        <v>45</v>
      </c>
      <c r="N52" t="e">
        <f t="shared" si="5"/>
        <v>#VALUE!</v>
      </c>
      <c r="O52" s="27" t="e">
        <f>IF(Inputs!$B$101&gt;=12,(IF(Inputs!$B$101&gt;=12,G58)),"")</f>
        <v>#VALUE!</v>
      </c>
      <c r="P52" t="e">
        <f>IF(Inputs!$B$102&gt;=12,(IF(Inputs!$B$102&gt;12,$G63,Inputs!C119)),"")</f>
        <v>#VALUE!</v>
      </c>
      <c r="Q52" t="e">
        <f>IF(Inputs!$B$102&gt;=12,(IF(Inputs!$B$102&gt;12,$G64,Inputs!C120)),"")</f>
        <v>#VALUE!</v>
      </c>
      <c r="R52" t="e">
        <f>IF(Inputs!$B$101&gt;=12,(IF(Inputs!$B$101&gt;=12,G59)),"")</f>
        <v>#VALUE!</v>
      </c>
      <c r="S52" t="e">
        <f t="shared" si="6"/>
        <v>#VALUE!</v>
      </c>
      <c r="T52" t="e">
        <f t="shared" si="7"/>
        <v>#VALUE!</v>
      </c>
      <c r="U52" s="28"/>
    </row>
    <row r="53" spans="2:21" hidden="1" x14ac:dyDescent="0.25">
      <c r="B53">
        <v>46</v>
      </c>
      <c r="C53" t="str">
        <f t="shared" si="4"/>
        <v/>
      </c>
      <c r="D53" s="8" t="s">
        <v>166</v>
      </c>
      <c r="E53">
        <v>10</v>
      </c>
      <c r="F53" t="s">
        <v>160</v>
      </c>
      <c r="G53" s="27" t="e">
        <f>IF(E53&lt;Inputs!$B$102,CONCATENATE(D53,E53,F53),"")</f>
        <v>#VALUE!</v>
      </c>
      <c r="H53" t="e">
        <f>IF(E53&lt;Inputs!$B$102,Inputs!$B$107,"")</f>
        <v>#VALUE!</v>
      </c>
      <c r="I53" t="e">
        <f>IF(E53&lt;Inputs!$B$102,Inputs!$B$105,"")</f>
        <v>#VALUE!</v>
      </c>
      <c r="J53" t="e">
        <f>IF(E53&lt;Inputs!$B$102,Inputs!$B$97-(E53*Inputs!$D$80),"")</f>
        <v>#VALUE!</v>
      </c>
      <c r="M53">
        <v>46</v>
      </c>
      <c r="N53" t="e">
        <f t="shared" si="5"/>
        <v>#VALUE!</v>
      </c>
      <c r="O53" s="27" t="e">
        <f>IF(Inputs!$B$101&gt;=12,(IF(Inputs!$B$101&gt;=12,G59)),"")</f>
        <v>#VALUE!</v>
      </c>
      <c r="P53" t="e">
        <f>IF(Inputs!$B$102&gt;=12,(IF(Inputs!$B$102&gt;12,$G64,Inputs!C120)),"")</f>
        <v>#VALUE!</v>
      </c>
      <c r="Q53" t="e">
        <f>IF(Inputs!$B$102&gt;=12,(IF(Inputs!$B$102&gt;12,$G65,Inputs!C121)),"")</f>
        <v>#VALUE!</v>
      </c>
      <c r="R53" t="e">
        <f>IF(Inputs!$B$101&gt;=12,(IF(Inputs!$B$101&gt;=12,G60)),"")</f>
        <v>#VALUE!</v>
      </c>
      <c r="S53" t="e">
        <f t="shared" si="6"/>
        <v>#VALUE!</v>
      </c>
      <c r="T53" t="e">
        <f t="shared" si="7"/>
        <v>#VALUE!</v>
      </c>
      <c r="U53" s="28"/>
    </row>
    <row r="54" spans="2:21" hidden="1" x14ac:dyDescent="0.25">
      <c r="B54">
        <v>47</v>
      </c>
      <c r="C54" t="str">
        <f t="shared" si="4"/>
        <v/>
      </c>
      <c r="D54" s="8" t="s">
        <v>166</v>
      </c>
      <c r="E54">
        <v>10</v>
      </c>
      <c r="F54" t="s">
        <v>164</v>
      </c>
      <c r="G54" s="27" t="e">
        <f>IF(E54&lt;Inputs!$B$102,CONCATENATE(D54,E54,F54),"")</f>
        <v>#VALUE!</v>
      </c>
      <c r="H54" t="e">
        <f>IF(E54&lt;Inputs!$B$102,Inputs!$B$108,"")</f>
        <v>#VALUE!</v>
      </c>
      <c r="I54" t="e">
        <f>IF(E54&lt;Inputs!$B$102,Inputs!$B$105,"")</f>
        <v>#VALUE!</v>
      </c>
      <c r="J54" t="e">
        <f>IF(E54&lt;Inputs!$B$102,Inputs!$B$97-(E54*Inputs!$D$80),"")</f>
        <v>#VALUE!</v>
      </c>
      <c r="M54">
        <v>47</v>
      </c>
      <c r="N54" t="e">
        <f t="shared" si="5"/>
        <v>#VALUE!</v>
      </c>
      <c r="O54" s="27" t="e">
        <f>IF(Inputs!$B$101&gt;=12,(IF(Inputs!$B$101&gt;=12,G60)),"")</f>
        <v>#VALUE!</v>
      </c>
      <c r="P54" t="e">
        <f>IF(Inputs!$B$102&gt;=12,(IF(Inputs!$B$102&gt;12,$G65,Inputs!C121)),"")</f>
        <v>#VALUE!</v>
      </c>
      <c r="Q54" t="e">
        <f>IF(Inputs!$B$102&gt;=12,(IF(Inputs!$B$102&gt;12,$G66,Inputs!C122)),"")</f>
        <v>#VALUE!</v>
      </c>
      <c r="R54" t="e">
        <f>IF(Inputs!$B$101&gt;=12,(IF(Inputs!$B$101&gt;=12,G61)),"")</f>
        <v>#VALUE!</v>
      </c>
      <c r="S54" t="e">
        <f t="shared" si="6"/>
        <v>#VALUE!</v>
      </c>
      <c r="T54" t="e">
        <f t="shared" si="7"/>
        <v>#VALUE!</v>
      </c>
      <c r="U54" s="28"/>
    </row>
    <row r="55" spans="2:21" hidden="1" x14ac:dyDescent="0.25">
      <c r="B55">
        <v>48</v>
      </c>
      <c r="C55" t="str">
        <f t="shared" si="4"/>
        <v/>
      </c>
      <c r="D55" s="8" t="s">
        <v>166</v>
      </c>
      <c r="E55">
        <v>10</v>
      </c>
      <c r="F55" t="s">
        <v>168</v>
      </c>
      <c r="G55" s="27" t="e">
        <f>IF(E55&lt;Inputs!$B$102,CONCATENATE(D55,E55,F55),"")</f>
        <v>#VALUE!</v>
      </c>
      <c r="H55" t="e">
        <f>IF(E55&lt;Inputs!$B$102,Inputs!$B$109,"")</f>
        <v>#VALUE!</v>
      </c>
      <c r="I55" t="e">
        <f>IF(E55&lt;Inputs!$B$102,Inputs!$B$105,"")</f>
        <v>#VALUE!</v>
      </c>
      <c r="J55" t="e">
        <f>IF(E55&lt;Inputs!$B$102,Inputs!$B$97-(E55*Inputs!$D$80),"")</f>
        <v>#VALUE!</v>
      </c>
      <c r="M55">
        <v>48</v>
      </c>
      <c r="N55" t="e">
        <f t="shared" si="5"/>
        <v>#VALUE!</v>
      </c>
      <c r="O55" s="27" t="e">
        <f>IF(Inputs!$B$101&gt;=12,(IF(Inputs!$B$101&gt;=12,G61)),"")</f>
        <v>#VALUE!</v>
      </c>
      <c r="P55" t="e">
        <f>IF(Inputs!$B$102&gt;=12,(IF(Inputs!$B$102&gt;12,$G66,Inputs!C122)),"")</f>
        <v>#VALUE!</v>
      </c>
      <c r="Q55" t="e">
        <f>IF(Inputs!$B$102&gt;=12,(IF(Inputs!$B$102&gt;12,$G67,Inputs!C123)),"")</f>
        <v>#VALUE!</v>
      </c>
      <c r="R55" t="e">
        <f>IF(Inputs!$B$101&gt;=12,(IF(Inputs!$B$101&gt;=12,G62)),"")</f>
        <v>#VALUE!</v>
      </c>
      <c r="S55" t="e">
        <f t="shared" si="6"/>
        <v>#VALUE!</v>
      </c>
      <c r="T55" t="e">
        <f t="shared" si="7"/>
        <v>#VALUE!</v>
      </c>
      <c r="U55" s="28"/>
    </row>
    <row r="56" spans="2:21" hidden="1" x14ac:dyDescent="0.25">
      <c r="B56">
        <v>49</v>
      </c>
      <c r="C56" t="str">
        <f t="shared" si="4"/>
        <v/>
      </c>
      <c r="D56" s="8" t="s">
        <v>166</v>
      </c>
      <c r="E56">
        <v>10</v>
      </c>
      <c r="F56" t="s">
        <v>172</v>
      </c>
      <c r="G56" s="27" t="e">
        <f>IF(E56&lt;Inputs!$B$102,CONCATENATE(D56,E56,F56),"")</f>
        <v>#VALUE!</v>
      </c>
      <c r="H56" t="e">
        <f>IF(E56&lt;Inputs!$B$102,Inputs!$B$110,"")</f>
        <v>#VALUE!</v>
      </c>
      <c r="I56" t="e">
        <f>IF(E56&lt;Inputs!$B$102,Inputs!$B$105,"")</f>
        <v>#VALUE!</v>
      </c>
      <c r="J56" t="e">
        <f>IF(E56&lt;Inputs!$B$102,Inputs!$B$97-(E56*Inputs!$D$80),"")</f>
        <v>#VALUE!</v>
      </c>
      <c r="M56">
        <v>49</v>
      </c>
      <c r="N56" s="28" t="e">
        <f t="shared" si="5"/>
        <v>#VALUE!</v>
      </c>
      <c r="O56" s="43" t="e">
        <f>IF(Inputs!$B$101&gt;=13,(IF(Inputs!$B$101&gt;=13,G63)),"")</f>
        <v>#VALUE!</v>
      </c>
      <c r="P56" s="43" t="e">
        <f>IF(Inputs!$B$102&gt;=13,(IF(Inputs!$B$102&gt;13,$G68,Inputs!C119)),"")</f>
        <v>#VALUE!</v>
      </c>
      <c r="Q56" s="43" t="e">
        <f>IF(Inputs!$B$102&gt;=13,(IF(Inputs!$B$102&gt;13,$G69,Inputs!C120)),"")</f>
        <v>#VALUE!</v>
      </c>
      <c r="R56" s="43" t="e">
        <f>IF(Inputs!$B$101&gt;=13,(IF(Inputs!$B$101&gt;=13,G64)),"")</f>
        <v>#VALUE!</v>
      </c>
      <c r="S56" s="43" t="e">
        <f t="shared" si="6"/>
        <v>#VALUE!</v>
      </c>
      <c r="T56" s="43" t="e">
        <f t="shared" si="7"/>
        <v>#VALUE!</v>
      </c>
      <c r="U56" s="49"/>
    </row>
    <row r="57" spans="2:21" hidden="1" x14ac:dyDescent="0.25">
      <c r="B57">
        <v>50</v>
      </c>
      <c r="C57" t="str">
        <f t="shared" si="4"/>
        <v/>
      </c>
      <c r="D57" s="8" t="s">
        <v>166</v>
      </c>
      <c r="E57">
        <v>10</v>
      </c>
      <c r="F57" t="s">
        <v>176</v>
      </c>
      <c r="G57" s="27" t="e">
        <f>IF(E57&lt;Inputs!$B$102,CONCATENATE(D57,E57,F57),"")</f>
        <v>#VALUE!</v>
      </c>
      <c r="H57" t="e">
        <f>IF(E57&lt;Inputs!$B$102,Inputs!$B$111,"")</f>
        <v>#VALUE!</v>
      </c>
      <c r="I57" t="e">
        <f>IF(E57&lt;Inputs!$B$102,Inputs!$B$105,"")</f>
        <v>#VALUE!</v>
      </c>
      <c r="J57" t="e">
        <f>IF(E57&lt;Inputs!$B$102,Inputs!$B$97-(E57*Inputs!$D$80),"")</f>
        <v>#VALUE!</v>
      </c>
      <c r="M57">
        <v>50</v>
      </c>
      <c r="N57" s="28" t="e">
        <f t="shared" si="5"/>
        <v>#VALUE!</v>
      </c>
      <c r="O57" s="43" t="e">
        <f>IF(Inputs!$B$101&gt;=13,(IF(Inputs!$B$101&gt;=13,G64)),"")</f>
        <v>#VALUE!</v>
      </c>
      <c r="P57" s="43" t="e">
        <f>IF(Inputs!$B$102&gt;=13,(IF(Inputs!$B$102&gt;13,$G69,Inputs!C120)),"")</f>
        <v>#VALUE!</v>
      </c>
      <c r="Q57" s="43" t="e">
        <f>IF(Inputs!$B$102&gt;=13,(IF(Inputs!$B$102&gt;13,$G70,Inputs!C121)),"")</f>
        <v>#VALUE!</v>
      </c>
      <c r="R57" s="43" t="e">
        <f>IF(Inputs!$B$101&gt;=13,(IF(Inputs!$B$101&gt;=13,G65)),"")</f>
        <v>#VALUE!</v>
      </c>
      <c r="S57" s="43" t="e">
        <f t="shared" si="6"/>
        <v>#VALUE!</v>
      </c>
      <c r="T57" s="43" t="e">
        <f t="shared" si="7"/>
        <v>#VALUE!</v>
      </c>
      <c r="U57" s="49"/>
    </row>
    <row r="58" spans="2:21" hidden="1" x14ac:dyDescent="0.25">
      <c r="B58">
        <v>51</v>
      </c>
      <c r="C58" t="str">
        <f t="shared" si="4"/>
        <v/>
      </c>
      <c r="D58" s="8" t="s">
        <v>166</v>
      </c>
      <c r="E58">
        <v>11</v>
      </c>
      <c r="F58" t="s">
        <v>160</v>
      </c>
      <c r="G58" s="42" t="e">
        <f>IF(E58&lt;Inputs!$B$102,CONCATENATE(D58,E58,F58),"")</f>
        <v>#VALUE!</v>
      </c>
      <c r="H58" s="43" t="e">
        <f>IF(E58&lt;Inputs!$B$102,Inputs!$B$107,"")</f>
        <v>#VALUE!</v>
      </c>
      <c r="I58" s="43" t="e">
        <f>IF(E58&lt;Inputs!$B$102,Inputs!$B$105,"")</f>
        <v>#VALUE!</v>
      </c>
      <c r="J58" s="49" t="e">
        <f>IF(E58&lt;Inputs!$B$102,Inputs!$B$97-(E58*Inputs!$D$80),"")</f>
        <v>#VALUE!</v>
      </c>
      <c r="M58">
        <v>51</v>
      </c>
      <c r="N58" s="28" t="e">
        <f t="shared" si="5"/>
        <v>#VALUE!</v>
      </c>
      <c r="O58" s="43" t="e">
        <f>IF(Inputs!$B$101&gt;=13,(IF(Inputs!$B$101&gt;=13,G65)),"")</f>
        <v>#VALUE!</v>
      </c>
      <c r="P58" s="43" t="e">
        <f>IF(Inputs!$B$102&gt;=13,(IF(Inputs!$B$102&gt;13,$G70,Inputs!C121)),"")</f>
        <v>#VALUE!</v>
      </c>
      <c r="Q58" s="43" t="e">
        <f>IF(Inputs!$B$102&gt;=13,(IF(Inputs!$B$102&gt;13,$G71,Inputs!C122)),"")</f>
        <v>#VALUE!</v>
      </c>
      <c r="R58" s="43" t="e">
        <f>IF(Inputs!$B$101&gt;=13,(IF(Inputs!$B$101&gt;=13,G66)),"")</f>
        <v>#VALUE!</v>
      </c>
      <c r="S58" s="43" t="e">
        <f t="shared" si="6"/>
        <v>#VALUE!</v>
      </c>
      <c r="T58" s="43" t="e">
        <f t="shared" si="7"/>
        <v>#VALUE!</v>
      </c>
      <c r="U58" s="49"/>
    </row>
    <row r="59" spans="2:21" hidden="1" x14ac:dyDescent="0.25">
      <c r="B59">
        <v>52</v>
      </c>
      <c r="C59" t="str">
        <f t="shared" si="4"/>
        <v/>
      </c>
      <c r="D59" s="8" t="s">
        <v>166</v>
      </c>
      <c r="E59">
        <v>11</v>
      </c>
      <c r="F59" t="s">
        <v>164</v>
      </c>
      <c r="G59" s="42" t="e">
        <f>IF(E59&lt;Inputs!$B$102,CONCATENATE(D59,E59,F59),"")</f>
        <v>#VALUE!</v>
      </c>
      <c r="H59" s="43" t="e">
        <f>IF(E59&lt;Inputs!$B$102,Inputs!$B$108,"")</f>
        <v>#VALUE!</v>
      </c>
      <c r="I59" s="43" t="e">
        <f>IF(E59&lt;Inputs!$B$102,Inputs!$B$105,"")</f>
        <v>#VALUE!</v>
      </c>
      <c r="J59" s="49" t="e">
        <f>IF(E59&lt;Inputs!$B$102,Inputs!$B$97-(E59*Inputs!$D$80),"")</f>
        <v>#VALUE!</v>
      </c>
      <c r="M59">
        <v>52</v>
      </c>
      <c r="N59" s="28" t="e">
        <f t="shared" si="5"/>
        <v>#VALUE!</v>
      </c>
      <c r="O59" s="43" t="e">
        <f>IF(Inputs!$B$101&gt;=13,(IF(Inputs!$B$101&gt;=13,G66)),"")</f>
        <v>#VALUE!</v>
      </c>
      <c r="P59" s="43" t="e">
        <f>IF(Inputs!$B$102&gt;=13,(IF(Inputs!$B$102&gt;13,$G71,Inputs!C122)),"")</f>
        <v>#VALUE!</v>
      </c>
      <c r="Q59" s="43" t="e">
        <f>IF(Inputs!$B$102&gt;=13,(IF(Inputs!$B$102&gt;13,$G72,Inputs!C123)),"")</f>
        <v>#VALUE!</v>
      </c>
      <c r="R59" s="43" t="e">
        <f>IF(Inputs!$B$101&gt;=13,(IF(Inputs!$B$101&gt;=13,G67)),"")</f>
        <v>#VALUE!</v>
      </c>
      <c r="S59" s="43" t="e">
        <f t="shared" si="6"/>
        <v>#VALUE!</v>
      </c>
      <c r="T59" s="43" t="e">
        <f t="shared" si="7"/>
        <v>#VALUE!</v>
      </c>
      <c r="U59" s="49"/>
    </row>
    <row r="60" spans="2:21" hidden="1" x14ac:dyDescent="0.25">
      <c r="B60">
        <v>53</v>
      </c>
      <c r="C60" t="str">
        <f t="shared" si="4"/>
        <v/>
      </c>
      <c r="D60" s="8" t="s">
        <v>166</v>
      </c>
      <c r="E60">
        <v>11</v>
      </c>
      <c r="F60" t="s">
        <v>168</v>
      </c>
      <c r="G60" s="42" t="e">
        <f>IF(E60&lt;Inputs!$B$102,CONCATENATE(D60,E60,F60),"")</f>
        <v>#VALUE!</v>
      </c>
      <c r="H60" s="43" t="e">
        <f>IF(E60&lt;Inputs!$B$102,Inputs!$B$109,"")</f>
        <v>#VALUE!</v>
      </c>
      <c r="I60" s="43" t="e">
        <f>IF(E60&lt;Inputs!$B$102,Inputs!$B$105,"")</f>
        <v>#VALUE!</v>
      </c>
      <c r="J60" s="49" t="e">
        <f>IF(E60&lt;Inputs!$B$102,Inputs!$B$97-(E60*Inputs!$D$80),"")</f>
        <v>#VALUE!</v>
      </c>
      <c r="M60">
        <v>53</v>
      </c>
      <c r="N60" s="28" t="e">
        <f t="shared" si="5"/>
        <v>#VALUE!</v>
      </c>
      <c r="O60" t="e">
        <f>IF(Inputs!$B$101&gt;=14,(IF(Inputs!$B$101&gt;=14,G68)),"")</f>
        <v>#VALUE!</v>
      </c>
      <c r="P60" t="e">
        <f>IF(Inputs!$B$102&gt;=14,(IF(Inputs!$B$102&gt;14,$G73,Inputs!C119)),"")</f>
        <v>#VALUE!</v>
      </c>
      <c r="Q60" t="e">
        <f>IF(Inputs!$B$102&gt;=14,(IF(Inputs!$B$102&gt;14,$G74,Inputs!C120)),"")</f>
        <v>#VALUE!</v>
      </c>
      <c r="R60" t="e">
        <f>IF(Inputs!$B$101&gt;=14,(IF(Inputs!$B$101&gt;=14,G69)),"")</f>
        <v>#VALUE!</v>
      </c>
      <c r="S60" t="e">
        <f t="shared" si="6"/>
        <v>#VALUE!</v>
      </c>
      <c r="T60" t="e">
        <f t="shared" si="7"/>
        <v>#VALUE!</v>
      </c>
      <c r="U60" s="28"/>
    </row>
    <row r="61" spans="2:21" hidden="1" x14ac:dyDescent="0.25">
      <c r="B61">
        <v>54</v>
      </c>
      <c r="C61" t="str">
        <f t="shared" si="4"/>
        <v/>
      </c>
      <c r="D61" s="8" t="s">
        <v>166</v>
      </c>
      <c r="E61">
        <v>11</v>
      </c>
      <c r="F61" t="s">
        <v>172</v>
      </c>
      <c r="G61" s="42" t="e">
        <f>IF(E61&lt;Inputs!$B$102,CONCATENATE(D61,E61,F61),"")</f>
        <v>#VALUE!</v>
      </c>
      <c r="H61" s="43" t="e">
        <f>IF(E61&lt;Inputs!$B$102,Inputs!$B$110,"")</f>
        <v>#VALUE!</v>
      </c>
      <c r="I61" s="43" t="e">
        <f>IF(E61&lt;Inputs!$B$102,Inputs!$B$105,"")</f>
        <v>#VALUE!</v>
      </c>
      <c r="J61" s="49" t="e">
        <f>IF(E61&lt;Inputs!$B$102,Inputs!$B$97-(E61*Inputs!$D$80),"")</f>
        <v>#VALUE!</v>
      </c>
      <c r="M61">
        <v>54</v>
      </c>
      <c r="N61" s="28" t="e">
        <f t="shared" si="5"/>
        <v>#VALUE!</v>
      </c>
      <c r="O61" t="e">
        <f>IF(Inputs!$B$101&gt;=14,(IF(Inputs!$B$101&gt;=14,G69)),"")</f>
        <v>#VALUE!</v>
      </c>
      <c r="P61" t="e">
        <f>IF(Inputs!$B$102&gt;=14,(IF(Inputs!$B$102&gt;14,$G74,Inputs!C120)),"")</f>
        <v>#VALUE!</v>
      </c>
      <c r="Q61" t="e">
        <f>IF(Inputs!$B$102&gt;=14,(IF(Inputs!$B$102&gt;14,$G75,Inputs!C121)),"")</f>
        <v>#VALUE!</v>
      </c>
      <c r="R61" t="e">
        <f>IF(Inputs!$B$101&gt;=14,(IF(Inputs!$B$101&gt;=14,G70)),"")</f>
        <v>#VALUE!</v>
      </c>
      <c r="S61" t="e">
        <f t="shared" si="6"/>
        <v>#VALUE!</v>
      </c>
      <c r="T61" t="e">
        <f t="shared" si="7"/>
        <v>#VALUE!</v>
      </c>
      <c r="U61" s="28"/>
    </row>
    <row r="62" spans="2:21" hidden="1" x14ac:dyDescent="0.25">
      <c r="B62">
        <v>55</v>
      </c>
      <c r="C62" t="str">
        <f t="shared" si="4"/>
        <v/>
      </c>
      <c r="D62" s="8" t="s">
        <v>166</v>
      </c>
      <c r="E62">
        <v>11</v>
      </c>
      <c r="F62" t="s">
        <v>176</v>
      </c>
      <c r="G62" s="42" t="e">
        <f>IF(E62&lt;Inputs!$B$102,CONCATENATE(D62,E62,F62),"")</f>
        <v>#VALUE!</v>
      </c>
      <c r="H62" s="43" t="e">
        <f>IF(E62&lt;Inputs!$B$102,Inputs!$B$111,"")</f>
        <v>#VALUE!</v>
      </c>
      <c r="I62" s="43" t="e">
        <f>IF(E62&lt;Inputs!$B$102,Inputs!$B$105,"")</f>
        <v>#VALUE!</v>
      </c>
      <c r="J62" s="49" t="e">
        <f>IF(E62&lt;Inputs!$B$102,Inputs!$B$97-(E62*Inputs!$D$80),"")</f>
        <v>#VALUE!</v>
      </c>
      <c r="M62">
        <v>55</v>
      </c>
      <c r="N62" s="28" t="e">
        <f t="shared" si="5"/>
        <v>#VALUE!</v>
      </c>
      <c r="O62" t="e">
        <f>IF(Inputs!$B$101&gt;=14,(IF(Inputs!$B$101&gt;=14,G70)),"")</f>
        <v>#VALUE!</v>
      </c>
      <c r="P62" t="e">
        <f>IF(Inputs!$B$102&gt;=14,(IF(Inputs!$B$102&gt;14,$G75,Inputs!C121)),"")</f>
        <v>#VALUE!</v>
      </c>
      <c r="Q62" t="e">
        <f>IF(Inputs!$B$102&gt;=14,(IF(Inputs!$B$102&gt;14,$G76,Inputs!C122)),"")</f>
        <v>#VALUE!</v>
      </c>
      <c r="R62" t="e">
        <f>IF(Inputs!$B$101&gt;=14,(IF(Inputs!$B$101&gt;=14,G71)),"")</f>
        <v>#VALUE!</v>
      </c>
      <c r="S62" t="e">
        <f t="shared" si="6"/>
        <v>#VALUE!</v>
      </c>
      <c r="T62" t="e">
        <f t="shared" si="7"/>
        <v>#VALUE!</v>
      </c>
      <c r="U62" s="28"/>
    </row>
    <row r="63" spans="2:21" hidden="1" x14ac:dyDescent="0.25">
      <c r="B63">
        <v>56</v>
      </c>
      <c r="C63" t="str">
        <f t="shared" si="4"/>
        <v/>
      </c>
      <c r="D63" s="8" t="s">
        <v>166</v>
      </c>
      <c r="E63">
        <v>12</v>
      </c>
      <c r="F63" t="s">
        <v>160</v>
      </c>
      <c r="G63" s="251" t="e">
        <f>IF(E63&lt;Inputs!$B$102,CONCATENATE(D63,E63,F63),"")</f>
        <v>#VALUE!</v>
      </c>
      <c r="H63" s="252" t="e">
        <f>IF(E63&lt;Inputs!$B$102,Inputs!$B$107,"")</f>
        <v>#VALUE!</v>
      </c>
      <c r="I63" s="252" t="e">
        <f>IF(E63&lt;Inputs!$B$102,Inputs!$B$105,"")</f>
        <v>#VALUE!</v>
      </c>
      <c r="J63" s="253" t="e">
        <f>IF(E63&lt;Inputs!$B$102,Inputs!$B$97-(E63*Inputs!$D$80),"")</f>
        <v>#VALUE!</v>
      </c>
      <c r="M63">
        <v>56</v>
      </c>
      <c r="N63" s="28" t="e">
        <f t="shared" si="5"/>
        <v>#VALUE!</v>
      </c>
      <c r="O63" t="e">
        <f>IF(Inputs!$B$101&gt;=14,(IF(Inputs!$B$101&gt;=14,G71)),"")</f>
        <v>#VALUE!</v>
      </c>
      <c r="P63" t="e">
        <f>IF(Inputs!$B$102&gt;=14,(IF(Inputs!$B$102&gt;14,$G76,Inputs!C122)),"")</f>
        <v>#VALUE!</v>
      </c>
      <c r="Q63" t="e">
        <f>IF(Inputs!$B$102&gt;=14,(IF(Inputs!$B$102&gt;14,$G77,Inputs!C123)),"")</f>
        <v>#VALUE!</v>
      </c>
      <c r="R63" t="e">
        <f>IF(Inputs!$B$101&gt;=14,(IF(Inputs!$B$101&gt;=14,G72)),"")</f>
        <v>#VALUE!</v>
      </c>
      <c r="S63" t="e">
        <f t="shared" si="6"/>
        <v>#VALUE!</v>
      </c>
      <c r="T63" t="e">
        <f t="shared" si="7"/>
        <v>#VALUE!</v>
      </c>
      <c r="U63" s="28"/>
    </row>
    <row r="64" spans="2:21" hidden="1" x14ac:dyDescent="0.25">
      <c r="B64">
        <v>57</v>
      </c>
      <c r="C64" t="str">
        <f t="shared" si="4"/>
        <v/>
      </c>
      <c r="D64" s="8" t="s">
        <v>166</v>
      </c>
      <c r="E64">
        <v>12</v>
      </c>
      <c r="F64" t="s">
        <v>164</v>
      </c>
      <c r="G64" s="251" t="e">
        <f>IF(E64&lt;Inputs!$B$102,CONCATENATE(D64,E64,F64),"")</f>
        <v>#VALUE!</v>
      </c>
      <c r="H64" s="252" t="e">
        <f>IF(E64&lt;Inputs!$B$102,Inputs!$B$108,"")</f>
        <v>#VALUE!</v>
      </c>
      <c r="I64" s="252" t="e">
        <f>IF(E64&lt;Inputs!$B$102,Inputs!$B$105,"")</f>
        <v>#VALUE!</v>
      </c>
      <c r="J64" s="253" t="e">
        <f>IF(E64&lt;Inputs!$B$102,Inputs!$B$97-(E64*Inputs!$D$80),"")</f>
        <v>#VALUE!</v>
      </c>
      <c r="M64">
        <v>57</v>
      </c>
      <c r="N64" s="28" t="e">
        <f t="shared" si="5"/>
        <v>#VALUE!</v>
      </c>
      <c r="O64" s="43" t="e">
        <f>IF(Inputs!$B$101&gt;=15,(IF(Inputs!$B$101&gt;=15,G73)),"")</f>
        <v>#VALUE!</v>
      </c>
      <c r="P64" s="43" t="e">
        <f>IF(Inputs!$B$102&gt;=15,(IF(Inputs!$B$102&gt;15,$G78,Inputs!C119)),"")</f>
        <v>#VALUE!</v>
      </c>
      <c r="Q64" s="43" t="e">
        <f>IF(Inputs!$B$102&gt;=15,(IF(Inputs!$B$102&gt;15,$G79,Inputs!C120)),"")</f>
        <v>#VALUE!</v>
      </c>
      <c r="R64" s="43" t="e">
        <f>IF(Inputs!$B$101&gt;=15,(IF(Inputs!$B$101&gt;=15,G74)),"")</f>
        <v>#VALUE!</v>
      </c>
      <c r="S64" s="43" t="e">
        <f t="shared" si="6"/>
        <v>#VALUE!</v>
      </c>
      <c r="T64" s="43" t="e">
        <f t="shared" si="7"/>
        <v>#VALUE!</v>
      </c>
      <c r="U64" s="49"/>
    </row>
    <row r="65" spans="2:21" hidden="1" x14ac:dyDescent="0.25">
      <c r="B65">
        <v>58</v>
      </c>
      <c r="C65" t="str">
        <f t="shared" si="4"/>
        <v/>
      </c>
      <c r="D65" s="8" t="s">
        <v>166</v>
      </c>
      <c r="E65">
        <v>12</v>
      </c>
      <c r="F65" t="s">
        <v>168</v>
      </c>
      <c r="G65" s="251" t="e">
        <f>IF(E65&lt;Inputs!$B$102,CONCATENATE(D65,E65,F65),"")</f>
        <v>#VALUE!</v>
      </c>
      <c r="H65" s="252" t="e">
        <f>IF(E65&lt;Inputs!$B$102,Inputs!$B$109,"")</f>
        <v>#VALUE!</v>
      </c>
      <c r="I65" s="252" t="e">
        <f>IF(E65&lt;Inputs!$B$102,Inputs!$B$105,"")</f>
        <v>#VALUE!</v>
      </c>
      <c r="J65" s="253" t="e">
        <f>IF(E65&lt;Inputs!$B$102,Inputs!$B$97-(E65*Inputs!$D$80),"")</f>
        <v>#VALUE!</v>
      </c>
      <c r="M65">
        <v>58</v>
      </c>
      <c r="N65" s="28" t="e">
        <f t="shared" si="5"/>
        <v>#VALUE!</v>
      </c>
      <c r="O65" s="43" t="e">
        <f>IF(Inputs!$B$101&gt;=15,(IF(Inputs!$B$101&gt;=15,G74)),"")</f>
        <v>#VALUE!</v>
      </c>
      <c r="P65" s="43" t="e">
        <f>IF(Inputs!$B$102&gt;=15,(IF(Inputs!$B$102&gt;15,$G79,Inputs!C120)),"")</f>
        <v>#VALUE!</v>
      </c>
      <c r="Q65" s="43" t="e">
        <f>IF(Inputs!$B$102&gt;=15,(IF(Inputs!$B$102&gt;15,$G80,Inputs!C121)),"")</f>
        <v>#VALUE!</v>
      </c>
      <c r="R65" s="43" t="e">
        <f>IF(Inputs!$B$101&gt;=15,(IF(Inputs!$B$101&gt;=15,G75)),"")</f>
        <v>#VALUE!</v>
      </c>
      <c r="S65" s="43" t="e">
        <f t="shared" si="6"/>
        <v>#VALUE!</v>
      </c>
      <c r="T65" s="43" t="e">
        <f t="shared" si="7"/>
        <v>#VALUE!</v>
      </c>
      <c r="U65" s="49"/>
    </row>
    <row r="66" spans="2:21" hidden="1" x14ac:dyDescent="0.25">
      <c r="B66">
        <v>59</v>
      </c>
      <c r="C66" t="str">
        <f t="shared" si="4"/>
        <v/>
      </c>
      <c r="D66" s="8" t="s">
        <v>166</v>
      </c>
      <c r="E66">
        <v>12</v>
      </c>
      <c r="F66" t="s">
        <v>172</v>
      </c>
      <c r="G66" s="251" t="e">
        <f>IF(E66&lt;Inputs!$B$102,CONCATENATE(D66,E66,F66),"")</f>
        <v>#VALUE!</v>
      </c>
      <c r="H66" s="252" t="e">
        <f>IF(E66&lt;Inputs!$B$102,Inputs!$B$110,"")</f>
        <v>#VALUE!</v>
      </c>
      <c r="I66" s="252" t="e">
        <f>IF(E66&lt;Inputs!$B$102,Inputs!$B$105,"")</f>
        <v>#VALUE!</v>
      </c>
      <c r="J66" s="253" t="e">
        <f>IF(E66&lt;Inputs!$B$102,Inputs!$B$97-(E66*Inputs!$D$80),"")</f>
        <v>#VALUE!</v>
      </c>
      <c r="M66">
        <v>59</v>
      </c>
      <c r="N66" s="28" t="e">
        <f t="shared" si="5"/>
        <v>#VALUE!</v>
      </c>
      <c r="O66" s="43" t="e">
        <f>IF(Inputs!$B$101&gt;=15,(IF(Inputs!$B$101&gt;=15,G75)),"")</f>
        <v>#VALUE!</v>
      </c>
      <c r="P66" s="43" t="e">
        <f>IF(Inputs!$B$102&gt;=15,(IF(Inputs!$B$102&gt;15,$G80,Inputs!C121)),"")</f>
        <v>#VALUE!</v>
      </c>
      <c r="Q66" s="43" t="e">
        <f>IF(Inputs!$B$102&gt;=15,(IF(Inputs!$B$102&gt;15,$G81,Inputs!C122)),"")</f>
        <v>#VALUE!</v>
      </c>
      <c r="R66" s="43" t="e">
        <f>IF(Inputs!$B$101&gt;=15,(IF(Inputs!$B$101&gt;=15,G76)),"")</f>
        <v>#VALUE!</v>
      </c>
      <c r="S66" s="43" t="e">
        <f t="shared" si="6"/>
        <v>#VALUE!</v>
      </c>
      <c r="T66" s="43" t="e">
        <f t="shared" si="7"/>
        <v>#VALUE!</v>
      </c>
      <c r="U66" s="49"/>
    </row>
    <row r="67" spans="2:21" hidden="1" x14ac:dyDescent="0.25">
      <c r="B67">
        <v>60</v>
      </c>
      <c r="C67" t="str">
        <f t="shared" si="4"/>
        <v/>
      </c>
      <c r="D67" s="8" t="s">
        <v>166</v>
      </c>
      <c r="E67">
        <v>12</v>
      </c>
      <c r="F67" t="s">
        <v>176</v>
      </c>
      <c r="G67" s="254" t="e">
        <f>IF(E67&lt;Inputs!$B$102,CONCATENATE(D67,E67,F67),"")</f>
        <v>#VALUE!</v>
      </c>
      <c r="H67" s="255" t="e">
        <f>IF(E67&lt;Inputs!$B$102,Inputs!$B$111,"")</f>
        <v>#VALUE!</v>
      </c>
      <c r="I67" s="255" t="e">
        <f>IF(E67&lt;Inputs!$B$102,Inputs!$B$105,"")</f>
        <v>#VALUE!</v>
      </c>
      <c r="J67" s="253" t="e">
        <f>IF(E67&lt;Inputs!$B$102,Inputs!$B$97-(E67*Inputs!$D$80),"")</f>
        <v>#VALUE!</v>
      </c>
      <c r="M67">
        <v>60</v>
      </c>
      <c r="N67" s="28" t="e">
        <f t="shared" si="5"/>
        <v>#VALUE!</v>
      </c>
      <c r="O67" s="43" t="e">
        <f>IF(Inputs!$B$101&gt;=15,(IF(Inputs!$B$101&gt;=15,G76)),"")</f>
        <v>#VALUE!</v>
      </c>
      <c r="P67" s="43" t="e">
        <f>IF(Inputs!$B$102&gt;=15,(IF(Inputs!$B$102&gt;15,$G81,Inputs!C122)),"")</f>
        <v>#VALUE!</v>
      </c>
      <c r="Q67" s="43" t="e">
        <f>IF(Inputs!$B$102&gt;=15,(IF(Inputs!$B$102&gt;15,$G82,Inputs!C123)),"")</f>
        <v>#VALUE!</v>
      </c>
      <c r="R67" s="43" t="e">
        <f>IF(Inputs!$B$101&gt;=15,(IF(Inputs!$B$101&gt;=15,G77)),"")</f>
        <v>#VALUE!</v>
      </c>
      <c r="S67" s="43" t="e">
        <f t="shared" si="6"/>
        <v>#VALUE!</v>
      </c>
      <c r="T67" s="43" t="e">
        <f t="shared" si="7"/>
        <v>#VALUE!</v>
      </c>
      <c r="U67" s="49"/>
    </row>
    <row r="68" spans="2:21" hidden="1" x14ac:dyDescent="0.25">
      <c r="B68">
        <v>61</v>
      </c>
      <c r="C68" t="str">
        <f t="shared" si="4"/>
        <v/>
      </c>
      <c r="D68" s="8" t="s">
        <v>166</v>
      </c>
      <c r="E68">
        <v>13</v>
      </c>
      <c r="F68" t="s">
        <v>160</v>
      </c>
      <c r="G68" s="256" t="e">
        <f>IF(E68&lt;Inputs!$B$102,CONCATENATE(D68,E68,F68),"")</f>
        <v>#VALUE!</v>
      </c>
      <c r="H68" s="257" t="e">
        <f>IF(E68&lt;Inputs!$B$102,Inputs!$B$107,"")</f>
        <v>#VALUE!</v>
      </c>
      <c r="I68" s="257" t="e">
        <f>IF(E68&lt;Inputs!$B$102,Inputs!$B$105,"")</f>
        <v>#VALUE!</v>
      </c>
      <c r="J68" s="46" t="e">
        <f>IF(E68&lt;Inputs!$B$102,Inputs!$B$97-(E68*Inputs!$D$80),"")</f>
        <v>#VALUE!</v>
      </c>
      <c r="M68">
        <v>61</v>
      </c>
      <c r="N68" s="28" t="e">
        <f t="shared" si="5"/>
        <v>#VALUE!</v>
      </c>
      <c r="O68" t="e">
        <f>IF(Inputs!$B$101&gt;=16,(IF(Inputs!$B$101&gt;=16,G78)),"")</f>
        <v>#VALUE!</v>
      </c>
      <c r="P68" t="e">
        <f>IF(Inputs!$B$102&gt;=16,(IF(Inputs!$B$102&gt;16,$G83,Inputs!C119)),"")</f>
        <v>#VALUE!</v>
      </c>
      <c r="Q68" t="e">
        <f>IF(Inputs!$B$102&gt;=16,(IF(Inputs!$B$102&gt;16,$G84,Inputs!C120)),"")</f>
        <v>#VALUE!</v>
      </c>
      <c r="R68" t="e">
        <f>IF(Inputs!$B$101&gt;=16,(IF(Inputs!$B$101&gt;=16,G79)),"")</f>
        <v>#VALUE!</v>
      </c>
      <c r="S68" t="e">
        <f t="shared" si="6"/>
        <v>#VALUE!</v>
      </c>
      <c r="T68" t="e">
        <f t="shared" si="7"/>
        <v>#VALUE!</v>
      </c>
      <c r="U68" s="28"/>
    </row>
    <row r="69" spans="2:21" hidden="1" x14ac:dyDescent="0.25">
      <c r="B69">
        <v>62</v>
      </c>
      <c r="C69" t="str">
        <f t="shared" si="4"/>
        <v/>
      </c>
      <c r="D69" s="8" t="s">
        <v>166</v>
      </c>
      <c r="E69">
        <v>13</v>
      </c>
      <c r="F69" t="s">
        <v>164</v>
      </c>
      <c r="G69" s="256" t="e">
        <f>IF(E69&lt;Inputs!$B$102,CONCATENATE(D69,E69,F69),"")</f>
        <v>#VALUE!</v>
      </c>
      <c r="H69" s="257" t="e">
        <f>IF(E69&lt;Inputs!$B$102,Inputs!$B$108,"")</f>
        <v>#VALUE!</v>
      </c>
      <c r="I69" s="257" t="e">
        <f>IF(E69&lt;Inputs!$B$102,Inputs!$B$105,"")</f>
        <v>#VALUE!</v>
      </c>
      <c r="J69" s="46" t="e">
        <f>IF(E69&lt;Inputs!$B$102,Inputs!$B$97-(E69*Inputs!$D$80),"")</f>
        <v>#VALUE!</v>
      </c>
      <c r="M69">
        <v>62</v>
      </c>
      <c r="N69" s="28" t="e">
        <f t="shared" si="5"/>
        <v>#VALUE!</v>
      </c>
      <c r="O69" t="e">
        <f>IF(Inputs!$B$101&gt;=16,(IF(Inputs!$B$101&gt;=16,G79)),"")</f>
        <v>#VALUE!</v>
      </c>
      <c r="P69" t="e">
        <f>IF(Inputs!$B$102&gt;=16,(IF(Inputs!$B$102&gt;16,$G84,Inputs!C120)),"")</f>
        <v>#VALUE!</v>
      </c>
      <c r="Q69" t="e">
        <f>IF(Inputs!$B$102&gt;=16,(IF(Inputs!$B$102&gt;16,$G85,Inputs!C121)),"")</f>
        <v>#VALUE!</v>
      </c>
      <c r="R69" t="e">
        <f>IF(Inputs!$B$101&gt;=16,(IF(Inputs!$B$101&gt;=16,G80)),"")</f>
        <v>#VALUE!</v>
      </c>
      <c r="S69" t="e">
        <f t="shared" si="6"/>
        <v>#VALUE!</v>
      </c>
      <c r="T69" t="e">
        <f t="shared" si="7"/>
        <v>#VALUE!</v>
      </c>
      <c r="U69" s="28"/>
    </row>
    <row r="70" spans="2:21" hidden="1" x14ac:dyDescent="0.25">
      <c r="B70">
        <v>63</v>
      </c>
      <c r="C70" t="str">
        <f t="shared" si="4"/>
        <v/>
      </c>
      <c r="D70" s="8" t="s">
        <v>166</v>
      </c>
      <c r="E70">
        <v>13</v>
      </c>
      <c r="F70" t="s">
        <v>168</v>
      </c>
      <c r="G70" s="256" t="e">
        <f>IF(E70&lt;Inputs!$B$102,CONCATENATE(D70,E70,F70),"")</f>
        <v>#VALUE!</v>
      </c>
      <c r="H70" s="257" t="e">
        <f>IF(E70&lt;Inputs!$B$102,Inputs!$B$109,"")</f>
        <v>#VALUE!</v>
      </c>
      <c r="I70" s="257" t="e">
        <f>IF(E70&lt;Inputs!$B$102,Inputs!$B$105,"")</f>
        <v>#VALUE!</v>
      </c>
      <c r="J70" s="46" t="e">
        <f>IF(E70&lt;Inputs!$B$102,Inputs!$B$97-(E70*Inputs!$D$80),"")</f>
        <v>#VALUE!</v>
      </c>
      <c r="M70">
        <v>63</v>
      </c>
      <c r="N70" s="28" t="e">
        <f t="shared" si="5"/>
        <v>#VALUE!</v>
      </c>
      <c r="O70" t="e">
        <f>IF(Inputs!$B$101&gt;=16,(IF(Inputs!$B$101&gt;=16,G80)),"")</f>
        <v>#VALUE!</v>
      </c>
      <c r="P70" t="e">
        <f>IF(Inputs!$B$102&gt;=16,(IF(Inputs!$B$102&gt;16,$G85,Inputs!C121)),"")</f>
        <v>#VALUE!</v>
      </c>
      <c r="Q70" t="e">
        <f>IF(Inputs!$B$102&gt;=16,(IF(Inputs!$B$102&gt;16,$G86,Inputs!C122)),"")</f>
        <v>#VALUE!</v>
      </c>
      <c r="R70" t="e">
        <f>IF(Inputs!$B$101&gt;=16,(IF(Inputs!$B$101&gt;=16,G81)),"")</f>
        <v>#VALUE!</v>
      </c>
      <c r="S70" t="e">
        <f t="shared" si="6"/>
        <v>#VALUE!</v>
      </c>
      <c r="T70" t="e">
        <f t="shared" si="7"/>
        <v>#VALUE!</v>
      </c>
      <c r="U70" s="28"/>
    </row>
    <row r="71" spans="2:21" hidden="1" x14ac:dyDescent="0.25">
      <c r="B71">
        <v>64</v>
      </c>
      <c r="C71" t="str">
        <f t="shared" si="4"/>
        <v/>
      </c>
      <c r="D71" s="8" t="s">
        <v>166</v>
      </c>
      <c r="E71">
        <v>13</v>
      </c>
      <c r="F71" t="s">
        <v>172</v>
      </c>
      <c r="G71" s="256" t="e">
        <f>IF(E71&lt;Inputs!$B$102,CONCATENATE(D71,E71,F71),"")</f>
        <v>#VALUE!</v>
      </c>
      <c r="H71" s="257" t="e">
        <f>IF(E71&lt;Inputs!$B$102,Inputs!$B$110,"")</f>
        <v>#VALUE!</v>
      </c>
      <c r="I71" s="257" t="e">
        <f>IF(E71&lt;Inputs!$B$102,Inputs!$B$105,"")</f>
        <v>#VALUE!</v>
      </c>
      <c r="J71" s="46" t="e">
        <f>IF(E71&lt;Inputs!$B$102,Inputs!$B$97-(E71*Inputs!$D$80),"")</f>
        <v>#VALUE!</v>
      </c>
      <c r="M71">
        <v>64</v>
      </c>
      <c r="N71" s="28" t="e">
        <f t="shared" si="5"/>
        <v>#VALUE!</v>
      </c>
      <c r="O71" s="29" t="e">
        <f>IF(Inputs!$B$101&gt;=16,(IF(Inputs!$B$101&gt;=16,G81)),"")</f>
        <v>#VALUE!</v>
      </c>
      <c r="P71" s="30" t="e">
        <f>IF(Inputs!$B$102&gt;=16,(IF(Inputs!$B$102&gt;16,$G86,Inputs!C122)),"")</f>
        <v>#VALUE!</v>
      </c>
      <c r="Q71" s="30" t="e">
        <f>IF(Inputs!$B$102&gt;=16,(IF(Inputs!$B$102&gt;16,$G87,Inputs!C123)),"")</f>
        <v>#VALUE!</v>
      </c>
      <c r="R71" s="30" t="e">
        <f>IF(Inputs!$B$101&gt;=16,(IF(Inputs!$B$101&gt;=16,G82)),"")</f>
        <v>#VALUE!</v>
      </c>
      <c r="S71" s="30" t="e">
        <f t="shared" si="6"/>
        <v>#VALUE!</v>
      </c>
      <c r="T71" s="30" t="e">
        <f t="shared" si="7"/>
        <v>#VALUE!</v>
      </c>
      <c r="U71" s="31"/>
    </row>
    <row r="72" spans="2:21" hidden="1" x14ac:dyDescent="0.25">
      <c r="B72">
        <v>65</v>
      </c>
      <c r="C72" t="str">
        <f t="shared" ref="C72:C103" si="8">IF(ISNUMBER(H72),B72,"")</f>
        <v/>
      </c>
      <c r="D72" s="8" t="s">
        <v>166</v>
      </c>
      <c r="E72">
        <v>13</v>
      </c>
      <c r="F72" t="s">
        <v>176</v>
      </c>
      <c r="G72" s="256" t="e">
        <f>IF(E72&lt;Inputs!$B$102,CONCATENATE(D72,E72,F72),"")</f>
        <v>#VALUE!</v>
      </c>
      <c r="H72" s="257" t="e">
        <f>IF(E72&lt;Inputs!$B$102,Inputs!$B$111,"")</f>
        <v>#VALUE!</v>
      </c>
      <c r="I72" s="257" t="e">
        <f>IF(E72&lt;Inputs!$B$102,Inputs!$B$105,"")</f>
        <v>#VALUE!</v>
      </c>
      <c r="J72" s="46" t="e">
        <f>IF(E72&lt;Inputs!$B$102,Inputs!$B$97-(E72*Inputs!$D$80),"")</f>
        <v>#VALUE!</v>
      </c>
      <c r="N72" t="str">
        <f t="shared" ref="N72:N103" si="9">IF(S72="Perp",M72,"")</f>
        <v/>
      </c>
      <c r="S72" t="str">
        <f t="shared" ref="S72:S103" si="10">IF(R72="","","Perp")</f>
        <v/>
      </c>
      <c r="T72" t="str">
        <f t="shared" ref="T72:T83" si="11">IF(R72="","","A-B")</f>
        <v/>
      </c>
    </row>
    <row r="73" spans="2:21" hidden="1" x14ac:dyDescent="0.25">
      <c r="B73">
        <v>66</v>
      </c>
      <c r="C73" t="str">
        <f t="shared" si="8"/>
        <v/>
      </c>
      <c r="D73" s="8" t="s">
        <v>166</v>
      </c>
      <c r="E73">
        <v>14</v>
      </c>
      <c r="F73" t="s">
        <v>160</v>
      </c>
      <c r="G73" s="254" t="e">
        <f>IF(E73&lt;Inputs!$B$102,CONCATENATE(D73,E73,F73),"")</f>
        <v>#VALUE!</v>
      </c>
      <c r="H73" s="255" t="e">
        <f>IF(E73&lt;Inputs!$B$102,Inputs!$B$107,"")</f>
        <v>#VALUE!</v>
      </c>
      <c r="I73" s="255" t="e">
        <f>IF(E73&lt;Inputs!$B$102,Inputs!$B$105,"")</f>
        <v>#VALUE!</v>
      </c>
      <c r="J73" s="253" t="e">
        <f>IF(E73&lt;Inputs!$B$102,Inputs!$B$97-(E73*Inputs!$D$80),"")</f>
        <v>#VALUE!</v>
      </c>
      <c r="N73" t="str">
        <f t="shared" si="9"/>
        <v/>
      </c>
      <c r="S73" t="str">
        <f t="shared" si="10"/>
        <v/>
      </c>
      <c r="T73" t="str">
        <f t="shared" si="11"/>
        <v/>
      </c>
    </row>
    <row r="74" spans="2:21" hidden="1" x14ac:dyDescent="0.25">
      <c r="B74">
        <v>67</v>
      </c>
      <c r="C74" t="str">
        <f t="shared" si="8"/>
        <v/>
      </c>
      <c r="D74" s="8" t="s">
        <v>166</v>
      </c>
      <c r="E74">
        <v>14</v>
      </c>
      <c r="F74" t="s">
        <v>164</v>
      </c>
      <c r="G74" s="254" t="e">
        <f>IF(E74&lt;Inputs!$B$102,CONCATENATE(D74,E74,F74),"")</f>
        <v>#VALUE!</v>
      </c>
      <c r="H74" s="255" t="e">
        <f>IF(E74&lt;Inputs!$B$102,Inputs!$B$108,"")</f>
        <v>#VALUE!</v>
      </c>
      <c r="I74" s="255" t="e">
        <f>IF(E74&lt;Inputs!$B$102,Inputs!$B$105,"")</f>
        <v>#VALUE!</v>
      </c>
      <c r="J74" s="253" t="e">
        <f>IF(E74&lt;Inputs!$B$102,Inputs!$B$97-(E74*Inputs!$D$80),"")</f>
        <v>#VALUE!</v>
      </c>
      <c r="N74" t="str">
        <f t="shared" si="9"/>
        <v/>
      </c>
      <c r="S74" t="str">
        <f t="shared" si="10"/>
        <v/>
      </c>
      <c r="T74" t="str">
        <f t="shared" si="11"/>
        <v/>
      </c>
    </row>
    <row r="75" spans="2:21" hidden="1" x14ac:dyDescent="0.25">
      <c r="B75">
        <v>68</v>
      </c>
      <c r="C75" t="str">
        <f t="shared" si="8"/>
        <v/>
      </c>
      <c r="D75" s="8" t="s">
        <v>166</v>
      </c>
      <c r="E75">
        <v>14</v>
      </c>
      <c r="F75" t="s">
        <v>168</v>
      </c>
      <c r="G75" s="254" t="e">
        <f>IF(E75&lt;Inputs!$B$102,CONCATENATE(D75,E75,F75),"")</f>
        <v>#VALUE!</v>
      </c>
      <c r="H75" s="255" t="e">
        <f>IF(E75&lt;Inputs!$B$102,Inputs!$B$109,"")</f>
        <v>#VALUE!</v>
      </c>
      <c r="I75" s="255" t="e">
        <f>IF(E75&lt;Inputs!$B$102,Inputs!$B$105,"")</f>
        <v>#VALUE!</v>
      </c>
      <c r="J75" s="253" t="e">
        <f>IF(E75&lt;Inputs!$B$102,Inputs!$B$97-(E75*Inputs!$D$80),"")</f>
        <v>#VALUE!</v>
      </c>
      <c r="N75" t="str">
        <f t="shared" si="9"/>
        <v/>
      </c>
      <c r="S75" t="str">
        <f t="shared" si="10"/>
        <v/>
      </c>
      <c r="T75" t="str">
        <f t="shared" si="11"/>
        <v/>
      </c>
    </row>
    <row r="76" spans="2:21" hidden="1" x14ac:dyDescent="0.25">
      <c r="B76">
        <v>69</v>
      </c>
      <c r="C76" t="str">
        <f t="shared" si="8"/>
        <v/>
      </c>
      <c r="D76" s="8" t="s">
        <v>166</v>
      </c>
      <c r="E76">
        <v>14</v>
      </c>
      <c r="F76" t="s">
        <v>172</v>
      </c>
      <c r="G76" s="254" t="e">
        <f>IF(E76&lt;Inputs!$B$102,CONCATENATE(D76,E76,F76),"")</f>
        <v>#VALUE!</v>
      </c>
      <c r="H76" s="255" t="e">
        <f>IF(E76&lt;Inputs!$B$102,Inputs!$B$110,"")</f>
        <v>#VALUE!</v>
      </c>
      <c r="I76" s="255" t="e">
        <f>IF(E76&lt;Inputs!$B$102,Inputs!$B$105,"")</f>
        <v>#VALUE!</v>
      </c>
      <c r="J76" s="253" t="e">
        <f>IF(E76&lt;Inputs!$B$102,Inputs!$B$97-(E76*Inputs!$D$80),"")</f>
        <v>#VALUE!</v>
      </c>
      <c r="N76" t="str">
        <f t="shared" si="9"/>
        <v/>
      </c>
      <c r="S76" t="str">
        <f t="shared" si="10"/>
        <v/>
      </c>
      <c r="T76" t="str">
        <f t="shared" si="11"/>
        <v/>
      </c>
    </row>
    <row r="77" spans="2:21" hidden="1" x14ac:dyDescent="0.25">
      <c r="B77">
        <v>70</v>
      </c>
      <c r="C77" t="str">
        <f t="shared" si="8"/>
        <v/>
      </c>
      <c r="D77" s="8" t="s">
        <v>166</v>
      </c>
      <c r="E77">
        <v>14</v>
      </c>
      <c r="F77" t="s">
        <v>176</v>
      </c>
      <c r="G77" s="254" t="e">
        <f>IF(E77&lt;Inputs!$B$102,CONCATENATE(D77,E77,F77),"")</f>
        <v>#VALUE!</v>
      </c>
      <c r="H77" s="255" t="e">
        <f>IF(E77&lt;Inputs!$B$102,Inputs!$B$111,"")</f>
        <v>#VALUE!</v>
      </c>
      <c r="I77" s="255" t="e">
        <f>IF(E77&lt;Inputs!$B$102,Inputs!$B$105,"")</f>
        <v>#VALUE!</v>
      </c>
      <c r="J77" s="253" t="e">
        <f>IF(E77&lt;Inputs!$B$102,Inputs!$B$97-(E77*Inputs!$D$80),"")</f>
        <v>#VALUE!</v>
      </c>
      <c r="N77" t="str">
        <f t="shared" si="9"/>
        <v/>
      </c>
      <c r="S77" t="str">
        <f t="shared" si="10"/>
        <v/>
      </c>
      <c r="T77" t="str">
        <f t="shared" si="11"/>
        <v/>
      </c>
    </row>
    <row r="78" spans="2:21" hidden="1" x14ac:dyDescent="0.25">
      <c r="B78">
        <v>71</v>
      </c>
      <c r="C78" t="str">
        <f t="shared" si="8"/>
        <v/>
      </c>
      <c r="D78" s="8" t="s">
        <v>166</v>
      </c>
      <c r="E78">
        <v>15</v>
      </c>
      <c r="F78" t="s">
        <v>160</v>
      </c>
      <c r="G78" s="256" t="e">
        <f>IF(E78&lt;Inputs!$B$102,CONCATENATE(D78,E78,F78),"")</f>
        <v>#VALUE!</v>
      </c>
      <c r="H78" s="257" t="e">
        <f>IF(E78&lt;Inputs!$B$102,Inputs!$B$107,"")</f>
        <v>#VALUE!</v>
      </c>
      <c r="I78" s="257" t="e">
        <f>IF(E78&lt;Inputs!$B$102,Inputs!$B$105,"")</f>
        <v>#VALUE!</v>
      </c>
      <c r="J78" s="46" t="e">
        <f>IF(E78&lt;Inputs!$B$102,Inputs!$B$97-(E78*Inputs!$D$80),"")</f>
        <v>#VALUE!</v>
      </c>
      <c r="N78" t="str">
        <f t="shared" si="9"/>
        <v/>
      </c>
      <c r="S78" t="str">
        <f t="shared" si="10"/>
        <v/>
      </c>
      <c r="T78" t="str">
        <f t="shared" si="11"/>
        <v/>
      </c>
    </row>
    <row r="79" spans="2:21" hidden="1" x14ac:dyDescent="0.25">
      <c r="B79">
        <v>72</v>
      </c>
      <c r="C79" t="str">
        <f t="shared" si="8"/>
        <v/>
      </c>
      <c r="D79" s="8" t="s">
        <v>166</v>
      </c>
      <c r="E79">
        <v>15</v>
      </c>
      <c r="F79" t="s">
        <v>164</v>
      </c>
      <c r="G79" s="256" t="e">
        <f>IF(E79&lt;Inputs!$B$102,CONCATENATE(D79,E79,F79),"")</f>
        <v>#VALUE!</v>
      </c>
      <c r="H79" s="257" t="e">
        <f>IF(E79&lt;Inputs!$B$102,Inputs!$B$108,"")</f>
        <v>#VALUE!</v>
      </c>
      <c r="I79" s="257" t="e">
        <f>IF(E79&lt;Inputs!$B$102,Inputs!$B$105,"")</f>
        <v>#VALUE!</v>
      </c>
      <c r="J79" s="46" t="e">
        <f>IF(E79&lt;Inputs!$B$102,Inputs!$B$97-(E79*Inputs!$D$80),"")</f>
        <v>#VALUE!</v>
      </c>
      <c r="N79" t="str">
        <f t="shared" si="9"/>
        <v/>
      </c>
      <c r="S79" t="str">
        <f t="shared" si="10"/>
        <v/>
      </c>
      <c r="T79" t="str">
        <f t="shared" si="11"/>
        <v/>
      </c>
    </row>
    <row r="80" spans="2:21" hidden="1" x14ac:dyDescent="0.25">
      <c r="B80">
        <v>73</v>
      </c>
      <c r="C80" t="str">
        <f t="shared" si="8"/>
        <v/>
      </c>
      <c r="D80" s="8" t="s">
        <v>166</v>
      </c>
      <c r="E80">
        <v>15</v>
      </c>
      <c r="F80" t="s">
        <v>168</v>
      </c>
      <c r="G80" s="256" t="e">
        <f>IF(E80&lt;Inputs!$B$102,CONCATENATE(D80,E80,F80),"")</f>
        <v>#VALUE!</v>
      </c>
      <c r="H80" s="257" t="e">
        <f>IF(E80&lt;Inputs!$B$102,Inputs!$B$109,"")</f>
        <v>#VALUE!</v>
      </c>
      <c r="I80" s="257" t="e">
        <f>IF(E80&lt;Inputs!$B$102,Inputs!$B$105,"")</f>
        <v>#VALUE!</v>
      </c>
      <c r="J80" s="46" t="e">
        <f>IF(E80&lt;Inputs!$B$102,Inputs!$B$97-(E80*Inputs!$D$80),"")</f>
        <v>#VALUE!</v>
      </c>
      <c r="N80" t="str">
        <f t="shared" si="9"/>
        <v/>
      </c>
      <c r="S80" t="str">
        <f t="shared" si="10"/>
        <v/>
      </c>
      <c r="T80" t="str">
        <f t="shared" si="11"/>
        <v/>
      </c>
    </row>
    <row r="81" spans="2:26" hidden="1" x14ac:dyDescent="0.25">
      <c r="B81">
        <v>74</v>
      </c>
      <c r="C81" t="str">
        <f t="shared" si="8"/>
        <v/>
      </c>
      <c r="D81" s="8" t="s">
        <v>166</v>
      </c>
      <c r="E81">
        <v>15</v>
      </c>
      <c r="F81" t="s">
        <v>172</v>
      </c>
      <c r="G81" s="256" t="e">
        <f>IF(E81&lt;Inputs!$B$102,CONCATENATE(D81,E81,F81),"")</f>
        <v>#VALUE!</v>
      </c>
      <c r="H81" s="257" t="e">
        <f>IF(E81&lt;Inputs!$B$102,Inputs!$B$110,"")</f>
        <v>#VALUE!</v>
      </c>
      <c r="I81" s="257" t="e">
        <f>IF(E81&lt;Inputs!$B$102,Inputs!$B$105,"")</f>
        <v>#VALUE!</v>
      </c>
      <c r="J81" s="46" t="e">
        <f>IF(E81&lt;Inputs!$B$102,Inputs!$B$97-(E81*Inputs!$D$80),"")</f>
        <v>#VALUE!</v>
      </c>
      <c r="N81" t="str">
        <f t="shared" si="9"/>
        <v/>
      </c>
      <c r="S81" t="str">
        <f t="shared" si="10"/>
        <v/>
      </c>
      <c r="T81" t="str">
        <f t="shared" si="11"/>
        <v/>
      </c>
    </row>
    <row r="82" spans="2:26" hidden="1" x14ac:dyDescent="0.25">
      <c r="B82">
        <v>75</v>
      </c>
      <c r="C82" t="str">
        <f t="shared" si="8"/>
        <v/>
      </c>
      <c r="D82" s="8" t="s">
        <v>166</v>
      </c>
      <c r="E82">
        <v>15</v>
      </c>
      <c r="F82" t="s">
        <v>176</v>
      </c>
      <c r="G82" s="256" t="e">
        <f>IF(E82&lt;Inputs!$B$102,CONCATENATE(D82,E82,F82),"")</f>
        <v>#VALUE!</v>
      </c>
      <c r="H82" s="257" t="e">
        <f>IF(E82&lt;Inputs!$B$102,Inputs!$B$111,"")</f>
        <v>#VALUE!</v>
      </c>
      <c r="I82" s="257" t="e">
        <f>IF(E82&lt;Inputs!$B$102,Inputs!$B$105,"")</f>
        <v>#VALUE!</v>
      </c>
      <c r="J82" s="46" t="e">
        <f>IF(E82&lt;Inputs!$B$102,Inputs!$B$97-(E82*Inputs!$D$80),"")</f>
        <v>#VALUE!</v>
      </c>
      <c r="N82" t="str">
        <f t="shared" si="9"/>
        <v/>
      </c>
      <c r="S82" t="str">
        <f t="shared" si="10"/>
        <v/>
      </c>
      <c r="T82" t="str">
        <f t="shared" si="11"/>
        <v/>
      </c>
    </row>
    <row r="83" spans="2:26" hidden="1" x14ac:dyDescent="0.25">
      <c r="B83">
        <v>76</v>
      </c>
      <c r="C83" t="str">
        <f t="shared" si="8"/>
        <v/>
      </c>
      <c r="D83" s="8" t="s">
        <v>166</v>
      </c>
      <c r="E83">
        <v>16</v>
      </c>
      <c r="F83" t="s">
        <v>160</v>
      </c>
      <c r="G83" s="254" t="e">
        <f>IF(E83&lt;Inputs!$B$102,CONCATENATE(D83,E83,F83),"")</f>
        <v>#VALUE!</v>
      </c>
      <c r="H83" s="255" t="e">
        <f>IF(E83&lt;Inputs!$B$102,Inputs!$B$107,"")</f>
        <v>#VALUE!</v>
      </c>
      <c r="I83" s="255" t="e">
        <f>IF(E83&lt;Inputs!$B$102,Inputs!$B$105,"")</f>
        <v>#VALUE!</v>
      </c>
      <c r="J83" s="253" t="e">
        <f>IF(E83&lt;Inputs!$B$102,Inputs!$B$97-(E83*Inputs!$D$80),"")</f>
        <v>#VALUE!</v>
      </c>
      <c r="N83" t="str">
        <f t="shared" si="9"/>
        <v/>
      </c>
      <c r="S83" t="str">
        <f t="shared" si="10"/>
        <v/>
      </c>
      <c r="T83" t="str">
        <f t="shared" si="11"/>
        <v/>
      </c>
    </row>
    <row r="84" spans="2:26" hidden="1" x14ac:dyDescent="0.25">
      <c r="B84">
        <v>77</v>
      </c>
      <c r="C84" t="str">
        <f t="shared" si="8"/>
        <v/>
      </c>
      <c r="D84" s="8" t="s">
        <v>166</v>
      </c>
      <c r="E84">
        <v>16</v>
      </c>
      <c r="F84" t="s">
        <v>164</v>
      </c>
      <c r="G84" s="254" t="e">
        <f>IF(E84&lt;Inputs!$B$102,CONCATENATE(D84,E84,F84),"")</f>
        <v>#VALUE!</v>
      </c>
      <c r="H84" s="255" t="e">
        <f>IF(E84&lt;Inputs!$B$102,Inputs!$B$108,"")</f>
        <v>#VALUE!</v>
      </c>
      <c r="I84" s="255" t="e">
        <f>IF(E84&lt;Inputs!$B$102,Inputs!$B$105,"")</f>
        <v>#VALUE!</v>
      </c>
      <c r="J84" s="253" t="e">
        <f>IF(E84&lt;Inputs!$B$102,Inputs!$B$97-(E84*Inputs!$D$80),"")</f>
        <v>#VALUE!</v>
      </c>
      <c r="N84" t="str">
        <f t="shared" si="9"/>
        <v/>
      </c>
    </row>
    <row r="85" spans="2:26" hidden="1" x14ac:dyDescent="0.25">
      <c r="B85">
        <v>78</v>
      </c>
      <c r="C85" t="str">
        <f t="shared" si="8"/>
        <v/>
      </c>
      <c r="D85" s="8" t="s">
        <v>166</v>
      </c>
      <c r="E85">
        <v>16</v>
      </c>
      <c r="F85" t="s">
        <v>168</v>
      </c>
      <c r="G85" s="254" t="e">
        <f>IF(E85&lt;Inputs!$B$102,CONCATENATE(D85,E85,F85),"")</f>
        <v>#VALUE!</v>
      </c>
      <c r="H85" s="255" t="e">
        <f>IF(E85&lt;Inputs!$B$102,Inputs!$B$109,"")</f>
        <v>#VALUE!</v>
      </c>
      <c r="I85" s="255" t="e">
        <f>IF(E85&lt;Inputs!$B$102,Inputs!$B$105,"")</f>
        <v>#VALUE!</v>
      </c>
      <c r="J85" s="253" t="e">
        <f>IF(E85&lt;Inputs!$B$102,Inputs!$B$97-(E85*Inputs!$D$80),"")</f>
        <v>#VALUE!</v>
      </c>
    </row>
    <row r="86" spans="2:26" hidden="1" x14ac:dyDescent="0.25">
      <c r="B86">
        <v>79</v>
      </c>
      <c r="C86" t="str">
        <f t="shared" si="8"/>
        <v/>
      </c>
      <c r="D86" s="8" t="s">
        <v>166</v>
      </c>
      <c r="E86">
        <v>16</v>
      </c>
      <c r="F86" t="s">
        <v>172</v>
      </c>
      <c r="G86" s="254" t="e">
        <f>IF(E86&lt;Inputs!$B$102,CONCATENATE(D86,E86,F86),"")</f>
        <v>#VALUE!</v>
      </c>
      <c r="H86" s="255" t="e">
        <f>IF(E86&lt;Inputs!$B$102,Inputs!$B$110,"")</f>
        <v>#VALUE!</v>
      </c>
      <c r="I86" s="255" t="e">
        <f>IF(E86&lt;Inputs!$B$102,Inputs!$B$105,"")</f>
        <v>#VALUE!</v>
      </c>
      <c r="J86" s="253" t="e">
        <f>IF(E86&lt;Inputs!$B$102,Inputs!$B$97-(E86*Inputs!$D$80),"")</f>
        <v>#VALUE!</v>
      </c>
    </row>
    <row r="87" spans="2:26" hidden="1" x14ac:dyDescent="0.25">
      <c r="B87">
        <v>80</v>
      </c>
      <c r="C87" t="str">
        <f t="shared" si="8"/>
        <v/>
      </c>
      <c r="D87" s="8" t="s">
        <v>166</v>
      </c>
      <c r="E87">
        <v>16</v>
      </c>
      <c r="F87" t="s">
        <v>176</v>
      </c>
      <c r="G87" s="254" t="e">
        <f>IF(E87&lt;Inputs!$B$102,CONCATENATE(D87,E87,F87),"")</f>
        <v>#VALUE!</v>
      </c>
      <c r="H87" s="255" t="e">
        <f>IF(E87&lt;Inputs!$B$102,Inputs!$B$111,"")</f>
        <v>#VALUE!</v>
      </c>
      <c r="I87" s="255" t="e">
        <f>IF(E87&lt;Inputs!$B$102,Inputs!$B$105,"")</f>
        <v>#VALUE!</v>
      </c>
      <c r="J87" s="253" t="e">
        <f>IF(E87&lt;Inputs!$B$102,Inputs!$B$97-(E87*Inputs!$D$80),"")</f>
        <v>#VALUE!</v>
      </c>
    </row>
    <row r="88" spans="2:26" ht="15.75" hidden="1" customHeight="1" thickBot="1" x14ac:dyDescent="0.3">
      <c r="D88" s="8"/>
      <c r="G88" s="27"/>
      <c r="J88" s="28"/>
    </row>
    <row r="89" spans="2:26" ht="15.75" hidden="1" customHeight="1" thickBot="1" x14ac:dyDescent="0.3">
      <c r="D89" s="8"/>
      <c r="G89" s="577" t="s">
        <v>435</v>
      </c>
      <c r="H89" s="544"/>
      <c r="I89" s="544"/>
      <c r="J89" s="578"/>
      <c r="O89" s="571" t="s">
        <v>426</v>
      </c>
      <c r="P89" s="572"/>
      <c r="Q89" s="572"/>
      <c r="R89" s="572"/>
      <c r="S89" s="572"/>
      <c r="T89" s="572"/>
      <c r="U89" s="554"/>
    </row>
    <row r="90" spans="2:26" hidden="1" x14ac:dyDescent="0.25">
      <c r="D90" s="9" t="s">
        <v>427</v>
      </c>
      <c r="E90" s="9" t="s">
        <v>428</v>
      </c>
      <c r="F90" s="9" t="s">
        <v>429</v>
      </c>
      <c r="G90" s="6" t="s">
        <v>430</v>
      </c>
      <c r="H90" s="6" t="s">
        <v>431</v>
      </c>
      <c r="I90" s="6" t="s">
        <v>432</v>
      </c>
      <c r="J90" s="6" t="s">
        <v>433</v>
      </c>
      <c r="O90" s="576" t="s">
        <v>436</v>
      </c>
      <c r="P90" s="574"/>
      <c r="Q90" s="574"/>
      <c r="R90" s="574"/>
      <c r="S90" s="574"/>
      <c r="T90" s="574"/>
      <c r="U90" s="563"/>
    </row>
    <row r="91" spans="2:26" hidden="1" x14ac:dyDescent="0.25">
      <c r="B91">
        <v>81</v>
      </c>
      <c r="C91">
        <v>81</v>
      </c>
      <c r="D91" t="s">
        <v>171</v>
      </c>
      <c r="E91">
        <v>1</v>
      </c>
      <c r="F91" t="s">
        <v>160</v>
      </c>
      <c r="G91" s="42" t="e">
        <f>IF(E91&lt;Inputs!$B$102,CONCATENATE(D91,E91,F91),"")</f>
        <v>#VALUE!</v>
      </c>
      <c r="H91" s="43" t="e">
        <f>IF(E91&lt;Inputs!$B$102,Inputs!$B$107,"")</f>
        <v>#VALUE!</v>
      </c>
      <c r="I91" s="43" t="e">
        <f>IF(E91&lt;Inputs!$B$102,Inputs!$B$105,"")</f>
        <v>#VALUE!</v>
      </c>
      <c r="J91" s="49" t="e">
        <f>IF(E91&lt;Inputs!$B$102,(E91*Inputs!$D$80)-Inputs!$B$98,"")</f>
        <v>#VALUE!</v>
      </c>
      <c r="O91" s="24"/>
      <c r="P91" s="25"/>
      <c r="Q91" s="25"/>
      <c r="R91" s="25"/>
      <c r="S91" s="79"/>
      <c r="T91" s="47"/>
      <c r="U91" s="48"/>
    </row>
    <row r="92" spans="2:26" hidden="1" x14ac:dyDescent="0.25">
      <c r="B92">
        <v>82</v>
      </c>
      <c r="C92">
        <v>82</v>
      </c>
      <c r="D92" t="s">
        <v>171</v>
      </c>
      <c r="E92">
        <v>1</v>
      </c>
      <c r="F92" t="s">
        <v>164</v>
      </c>
      <c r="G92" s="42" t="e">
        <f>IF(E92&lt;Inputs!$B$102,CONCATENATE(D92,E92,F92),"")</f>
        <v>#VALUE!</v>
      </c>
      <c r="H92" s="43" t="e">
        <f>IF(E92&lt;Inputs!$B$102,Inputs!$B$108,"")</f>
        <v>#VALUE!</v>
      </c>
      <c r="I92" s="43" t="e">
        <f>IF(E92&lt;Inputs!$B$102,Inputs!$B$105,"")</f>
        <v>#VALUE!</v>
      </c>
      <c r="J92" s="49" t="e">
        <f>IF(E92&lt;Inputs!$B$102,(E92*Inputs!$D$80)-Inputs!$B$98,"")</f>
        <v>#VALUE!</v>
      </c>
      <c r="M92">
        <v>65</v>
      </c>
      <c r="N92">
        <v>65</v>
      </c>
      <c r="O92" s="42" t="str">
        <f>Inputs!E119</f>
        <v>P</v>
      </c>
      <c r="P92" s="45" t="str">
        <f>Inputs!E120</f>
        <v>Q</v>
      </c>
      <c r="Q92" s="43" t="e">
        <f>IF(Inputs!$B$102&gt;=1,$G92,Inputs!$D$119)</f>
        <v>#VALUE!</v>
      </c>
      <c r="R92" s="43" t="e">
        <f>IF(Inputs!$B$102&gt;=1,$G91,Inputs!$D$120)</f>
        <v>#VALUE!</v>
      </c>
      <c r="S92" s="43" t="e">
        <f t="shared" ref="S92:S123" si="12">IF(R92="","","Perp")</f>
        <v>#VALUE!</v>
      </c>
      <c r="T92" s="43" t="e">
        <f t="shared" ref="T92:T123" si="13">IF(R92="","","A-B")</f>
        <v>#VALUE!</v>
      </c>
      <c r="U92" s="49"/>
      <c r="Y92" t="s">
        <v>166</v>
      </c>
      <c r="Z92" t="s">
        <v>162</v>
      </c>
    </row>
    <row r="93" spans="2:26" hidden="1" x14ac:dyDescent="0.25">
      <c r="B93">
        <v>83</v>
      </c>
      <c r="C93">
        <v>83</v>
      </c>
      <c r="D93" t="s">
        <v>171</v>
      </c>
      <c r="E93">
        <v>1</v>
      </c>
      <c r="F93" t="s">
        <v>168</v>
      </c>
      <c r="G93" s="42" t="e">
        <f>IF(E93&lt;Inputs!$B$102,CONCATENATE(D93,E93,F93),"")</f>
        <v>#VALUE!</v>
      </c>
      <c r="H93" s="43" t="e">
        <f>IF(E93&lt;Inputs!$B$102,Inputs!$B$109,"")</f>
        <v>#VALUE!</v>
      </c>
      <c r="I93" s="43" t="e">
        <f>IF(E93&lt;Inputs!$B$102,Inputs!$B$105,"")</f>
        <v>#VALUE!</v>
      </c>
      <c r="J93" s="49" t="e">
        <f>IF(E93&lt;Inputs!$B$102,(E93*Inputs!$D$80)-Inputs!$B$98,"")</f>
        <v>#VALUE!</v>
      </c>
      <c r="M93">
        <v>66</v>
      </c>
      <c r="N93">
        <v>66</v>
      </c>
      <c r="O93" s="42" t="str">
        <f>Inputs!E120</f>
        <v>Q</v>
      </c>
      <c r="P93" s="45" t="str">
        <f>Inputs!E121</f>
        <v>R</v>
      </c>
      <c r="Q93" s="43" t="e">
        <f>IF(Inputs!$B$102&gt;=1,$G93,Inputs!$D$119)</f>
        <v>#VALUE!</v>
      </c>
      <c r="R93" s="43" t="e">
        <f>IF(Inputs!$B$102&gt;=1,$G92,Inputs!$D$120)</f>
        <v>#VALUE!</v>
      </c>
      <c r="S93" s="43" t="e">
        <f t="shared" si="12"/>
        <v>#VALUE!</v>
      </c>
      <c r="T93" s="43" t="e">
        <f t="shared" si="13"/>
        <v>#VALUE!</v>
      </c>
      <c r="U93" s="49"/>
      <c r="Y93" t="s">
        <v>170</v>
      </c>
      <c r="Z93" t="s">
        <v>166</v>
      </c>
    </row>
    <row r="94" spans="2:26" hidden="1" x14ac:dyDescent="0.25">
      <c r="B94">
        <v>84</v>
      </c>
      <c r="C94">
        <v>84</v>
      </c>
      <c r="D94" t="s">
        <v>171</v>
      </c>
      <c r="E94">
        <v>1</v>
      </c>
      <c r="F94" t="s">
        <v>172</v>
      </c>
      <c r="G94" s="42" t="e">
        <f>IF(E94&lt;Inputs!$B$102,CONCATENATE(D94,E94,F94),"")</f>
        <v>#VALUE!</v>
      </c>
      <c r="H94" s="43" t="e">
        <f>IF(E94&lt;Inputs!$B$102,Inputs!$B$110,"")</f>
        <v>#VALUE!</v>
      </c>
      <c r="I94" s="43" t="e">
        <f>IF(E94&lt;Inputs!$B$102,Inputs!$B$105,"")</f>
        <v>#VALUE!</v>
      </c>
      <c r="J94" s="49" t="e">
        <f>IF(E94&lt;Inputs!$B$102,(E94*Inputs!$D$80)-Inputs!$B$98,"")</f>
        <v>#VALUE!</v>
      </c>
      <c r="M94">
        <v>67</v>
      </c>
      <c r="N94">
        <v>67</v>
      </c>
      <c r="O94" s="42" t="str">
        <f>Inputs!E121</f>
        <v>R</v>
      </c>
      <c r="P94" s="45" t="str">
        <f>Inputs!E122</f>
        <v>S</v>
      </c>
      <c r="Q94" s="43" t="e">
        <f>IF(Inputs!$B$102&gt;=1,$G94,Inputs!$D$119)</f>
        <v>#VALUE!</v>
      </c>
      <c r="R94" s="43" t="e">
        <f>IF(Inputs!$B$102&gt;=1,$G93,Inputs!$D$120)</f>
        <v>#VALUE!</v>
      </c>
      <c r="S94" s="43" t="e">
        <f t="shared" si="12"/>
        <v>#VALUE!</v>
      </c>
      <c r="T94" s="43" t="e">
        <f t="shared" si="13"/>
        <v>#VALUE!</v>
      </c>
      <c r="U94" s="49"/>
      <c r="Y94" t="s">
        <v>174</v>
      </c>
      <c r="Z94" t="s">
        <v>170</v>
      </c>
    </row>
    <row r="95" spans="2:26" hidden="1" x14ac:dyDescent="0.25">
      <c r="B95">
        <v>85</v>
      </c>
      <c r="C95">
        <v>85</v>
      </c>
      <c r="D95" t="s">
        <v>171</v>
      </c>
      <c r="E95">
        <v>1</v>
      </c>
      <c r="F95" t="s">
        <v>176</v>
      </c>
      <c r="G95" s="42" t="e">
        <f>IF(E95&lt;Inputs!$B$102,CONCATENATE(D95,E95,F95),"")</f>
        <v>#VALUE!</v>
      </c>
      <c r="H95" s="43" t="e">
        <f>IF(E95&lt;Inputs!$B$102,Inputs!$B$111,"")</f>
        <v>#VALUE!</v>
      </c>
      <c r="I95" s="43" t="e">
        <f>IF(E95&lt;Inputs!$B$102,Inputs!$B$105,"")</f>
        <v>#VALUE!</v>
      </c>
      <c r="J95" s="49" t="e">
        <f>IF(E95&lt;Inputs!$B$102,(E95*Inputs!$D$80)-Inputs!$B$98,"")</f>
        <v>#VALUE!</v>
      </c>
      <c r="M95">
        <v>68</v>
      </c>
      <c r="N95">
        <v>68</v>
      </c>
      <c r="O95" s="42" t="str">
        <f>Inputs!E122</f>
        <v>S</v>
      </c>
      <c r="P95" s="45" t="str">
        <f>Inputs!E123</f>
        <v>T</v>
      </c>
      <c r="Q95" s="43" t="e">
        <f>IF(Inputs!$B$102&gt;=1,$G95,Inputs!$D$119)</f>
        <v>#VALUE!</v>
      </c>
      <c r="R95" s="43" t="e">
        <f>IF(Inputs!$B$102&gt;=1,$G94,Inputs!$D$120)</f>
        <v>#VALUE!</v>
      </c>
      <c r="S95" s="43" t="e">
        <f t="shared" si="12"/>
        <v>#VALUE!</v>
      </c>
      <c r="T95" s="43" t="e">
        <f t="shared" si="13"/>
        <v>#VALUE!</v>
      </c>
      <c r="U95" s="49"/>
      <c r="Y95" t="s">
        <v>178</v>
      </c>
      <c r="Z95" t="s">
        <v>174</v>
      </c>
    </row>
    <row r="96" spans="2:26" hidden="1" x14ac:dyDescent="0.25">
      <c r="B96">
        <v>86</v>
      </c>
      <c r="C96">
        <v>86</v>
      </c>
      <c r="D96" t="s">
        <v>171</v>
      </c>
      <c r="E96">
        <v>2</v>
      </c>
      <c r="F96" t="s">
        <v>160</v>
      </c>
      <c r="G96" s="27" t="e">
        <f>IF(E96&lt;Inputs!$B$102,CONCATENATE(D96,E96,F96),"")</f>
        <v>#VALUE!</v>
      </c>
      <c r="H96" t="e">
        <f>IF(E96&lt;Inputs!$B$102,Inputs!$B$107,"")</f>
        <v>#VALUE!</v>
      </c>
      <c r="I96" t="e">
        <f>IF(E96&lt;Inputs!$B$102,Inputs!$B$105,"")</f>
        <v>#VALUE!</v>
      </c>
      <c r="J96" t="e">
        <f>IF(E96&lt;Inputs!$B$102,(E96*Inputs!$D$80)-Inputs!$B$98,"")</f>
        <v>#VALUE!</v>
      </c>
      <c r="M96">
        <v>69</v>
      </c>
      <c r="N96">
        <v>69</v>
      </c>
      <c r="O96" s="27" t="e">
        <f>IF(Inputs!$B$102&gt;=2,(IF(Inputs!$B$102&gt;=2,G91)),"")</f>
        <v>#VALUE!</v>
      </c>
      <c r="P96" t="e">
        <f>IF(Inputs!$B$102&gt;=2,(IF(Inputs!$B$102&gt;=2,G92)),"")</f>
        <v>#VALUE!</v>
      </c>
      <c r="Q96" t="e">
        <f>IF(Inputs!$B$102&gt;=2,(IF(Inputs!$B$102&gt;2,$G97,Inputs!D120)),"")</f>
        <v>#VALUE!</v>
      </c>
      <c r="R96" t="e">
        <f>IF(Inputs!$B$102&gt;=2,(IF(Inputs!$B$102&gt;2,$G96,Inputs!D119)),"")</f>
        <v>#VALUE!</v>
      </c>
      <c r="S96" t="e">
        <f t="shared" si="12"/>
        <v>#VALUE!</v>
      </c>
      <c r="T96" t="e">
        <f t="shared" si="13"/>
        <v>#VALUE!</v>
      </c>
      <c r="U96" s="28"/>
    </row>
    <row r="97" spans="2:21" hidden="1" x14ac:dyDescent="0.25">
      <c r="B97">
        <v>87</v>
      </c>
      <c r="C97">
        <v>87</v>
      </c>
      <c r="D97" t="s">
        <v>171</v>
      </c>
      <c r="E97">
        <v>2</v>
      </c>
      <c r="F97" t="s">
        <v>164</v>
      </c>
      <c r="G97" s="27" t="e">
        <f>IF(E97&lt;Inputs!$B$102,CONCATENATE(D97,E97,F97),"")</f>
        <v>#VALUE!</v>
      </c>
      <c r="H97" t="e">
        <f>IF(E97&lt;Inputs!$B$102,Inputs!$B$108,"")</f>
        <v>#VALUE!</v>
      </c>
      <c r="I97" t="e">
        <f>IF(E97&lt;Inputs!$B$102,Inputs!$B$105,"")</f>
        <v>#VALUE!</v>
      </c>
      <c r="J97" t="e">
        <f>IF(E97&lt;Inputs!$B$102,(E97*Inputs!$D$80)-Inputs!$B$98,"")</f>
        <v>#VALUE!</v>
      </c>
      <c r="M97">
        <v>70</v>
      </c>
      <c r="N97">
        <v>70</v>
      </c>
      <c r="O97" s="27" t="e">
        <f>IF(Inputs!$B$102&gt;=2,(IF(Inputs!$B$102&gt;=2,G92)),"")</f>
        <v>#VALUE!</v>
      </c>
      <c r="P97" t="e">
        <f>IF(Inputs!$B$102&gt;=2,(IF(Inputs!$B$102&gt;=2,G93)),"")</f>
        <v>#VALUE!</v>
      </c>
      <c r="Q97" t="e">
        <f>IF(Inputs!$B$102&gt;=2,(IF(Inputs!$B$102&gt;2,$G98,Inputs!D121)),"")</f>
        <v>#VALUE!</v>
      </c>
      <c r="R97" t="e">
        <f>IF(Inputs!$B$102&gt;=2,(IF(Inputs!$B$102&gt;2,$G97,Inputs!D120)),"")</f>
        <v>#VALUE!</v>
      </c>
      <c r="S97" t="e">
        <f t="shared" si="12"/>
        <v>#VALUE!</v>
      </c>
      <c r="T97" t="e">
        <f t="shared" si="13"/>
        <v>#VALUE!</v>
      </c>
      <c r="U97" s="28"/>
    </row>
    <row r="98" spans="2:21" hidden="1" x14ac:dyDescent="0.25">
      <c r="B98">
        <v>88</v>
      </c>
      <c r="C98">
        <v>88</v>
      </c>
      <c r="D98" t="s">
        <v>171</v>
      </c>
      <c r="E98">
        <v>2</v>
      </c>
      <c r="F98" t="s">
        <v>168</v>
      </c>
      <c r="G98" s="27" t="e">
        <f>IF(E98&lt;Inputs!$B$102,CONCATENATE(D98,E98,F98),"")</f>
        <v>#VALUE!</v>
      </c>
      <c r="H98" t="e">
        <f>IF(E98&lt;Inputs!$B$102,Inputs!$B$109,"")</f>
        <v>#VALUE!</v>
      </c>
      <c r="I98" t="e">
        <f>IF(E98&lt;Inputs!$B$102,Inputs!$B$105,"")</f>
        <v>#VALUE!</v>
      </c>
      <c r="J98" t="e">
        <f>IF(E98&lt;Inputs!$B$102,(E98*Inputs!$D$80)-Inputs!$B$98,"")</f>
        <v>#VALUE!</v>
      </c>
      <c r="M98">
        <v>71</v>
      </c>
      <c r="N98">
        <v>71</v>
      </c>
      <c r="O98" s="27" t="e">
        <f>IF(Inputs!$B$102&gt;=2,(IF(Inputs!$B$102&gt;=2,G93)),"")</f>
        <v>#VALUE!</v>
      </c>
      <c r="P98" t="e">
        <f>IF(Inputs!$B$102&gt;=2,(IF(Inputs!$B$102&gt;=2,G94)),"")</f>
        <v>#VALUE!</v>
      </c>
      <c r="Q98" t="e">
        <f>IF(Inputs!$B$102&gt;=2,(IF(Inputs!$B$102&gt;2,$G99,Inputs!D122)),"")</f>
        <v>#VALUE!</v>
      </c>
      <c r="R98" t="e">
        <f>IF(Inputs!$B$102&gt;=2,(IF(Inputs!$B$102&gt;2,$G98,Inputs!D121)),"")</f>
        <v>#VALUE!</v>
      </c>
      <c r="S98" t="e">
        <f t="shared" si="12"/>
        <v>#VALUE!</v>
      </c>
      <c r="T98" t="e">
        <f t="shared" si="13"/>
        <v>#VALUE!</v>
      </c>
      <c r="U98" s="28"/>
    </row>
    <row r="99" spans="2:21" hidden="1" x14ac:dyDescent="0.25">
      <c r="B99">
        <v>89</v>
      </c>
      <c r="C99">
        <v>89</v>
      </c>
      <c r="D99" t="s">
        <v>171</v>
      </c>
      <c r="E99">
        <v>2</v>
      </c>
      <c r="F99" t="s">
        <v>172</v>
      </c>
      <c r="G99" s="27" t="e">
        <f>IF(E99&lt;Inputs!$B$102,CONCATENATE(D99,E99,F99),"")</f>
        <v>#VALUE!</v>
      </c>
      <c r="H99" t="e">
        <f>IF(E99&lt;Inputs!$B$102,Inputs!$B$110,"")</f>
        <v>#VALUE!</v>
      </c>
      <c r="I99" t="e">
        <f>IF(E99&lt;Inputs!$B$102,Inputs!$B$105,"")</f>
        <v>#VALUE!</v>
      </c>
      <c r="J99" t="e">
        <f>IF(E99&lt;Inputs!$B$102,(E99*Inputs!$D$80)-Inputs!$B$98,"")</f>
        <v>#VALUE!</v>
      </c>
      <c r="M99">
        <v>72</v>
      </c>
      <c r="N99">
        <v>72</v>
      </c>
      <c r="O99" s="27" t="e">
        <f>IF(Inputs!$B$102&gt;=2,(IF(Inputs!$B$102&gt;=2,G94)),"")</f>
        <v>#VALUE!</v>
      </c>
      <c r="P99" t="e">
        <f>IF(Inputs!$B$102&gt;=2,(IF(Inputs!$B$102&gt;=2,G95)),"")</f>
        <v>#VALUE!</v>
      </c>
      <c r="Q99" t="e">
        <f>IF(Inputs!$B$102&gt;=2,(IF(Inputs!$B$102&gt;2,$G100,Inputs!D123)),"")</f>
        <v>#VALUE!</v>
      </c>
      <c r="R99" t="e">
        <f>IF(Inputs!$B$102&gt;=2,(IF(Inputs!$B$102&gt;2,$G99,Inputs!D122)),"")</f>
        <v>#VALUE!</v>
      </c>
      <c r="S99" t="e">
        <f t="shared" si="12"/>
        <v>#VALUE!</v>
      </c>
      <c r="T99" t="e">
        <f t="shared" si="13"/>
        <v>#VALUE!</v>
      </c>
      <c r="U99" s="28"/>
    </row>
    <row r="100" spans="2:21" hidden="1" x14ac:dyDescent="0.25">
      <c r="B100">
        <v>90</v>
      </c>
      <c r="C100">
        <v>90</v>
      </c>
      <c r="D100" t="s">
        <v>171</v>
      </c>
      <c r="E100">
        <v>2</v>
      </c>
      <c r="F100" t="s">
        <v>176</v>
      </c>
      <c r="G100" s="27" t="e">
        <f>IF(E100&lt;Inputs!$B$102,CONCATENATE(D100,E100,F100),"")</f>
        <v>#VALUE!</v>
      </c>
      <c r="H100" t="e">
        <f>IF(E100&lt;Inputs!$B$102,Inputs!$B$111,"")</f>
        <v>#VALUE!</v>
      </c>
      <c r="I100" t="e">
        <f>IF(E100&lt;Inputs!$B$102,Inputs!$B$105,"")</f>
        <v>#VALUE!</v>
      </c>
      <c r="J100" t="e">
        <f>IF(E100&lt;Inputs!$B$102,(E100*Inputs!$D$80)-Inputs!$B$98,"")</f>
        <v>#VALUE!</v>
      </c>
      <c r="M100">
        <v>73</v>
      </c>
      <c r="N100">
        <v>73</v>
      </c>
      <c r="O100" s="42" t="e">
        <f>IF(Inputs!$B$102&gt;=3,(IF(Inputs!$B$102&gt;=3,G96)),"")</f>
        <v>#VALUE!</v>
      </c>
      <c r="P100" s="43" t="e">
        <f>IF(Inputs!$B$102&gt;=3,(IF(Inputs!$B$102&gt;=3,G97)),"")</f>
        <v>#VALUE!</v>
      </c>
      <c r="Q100" s="43" t="e">
        <f>IF(Inputs!$B$102&gt;=3,(IF(Inputs!$B$102&gt;3,$G102,Inputs!D120)),"")</f>
        <v>#VALUE!</v>
      </c>
      <c r="R100" s="43" t="e">
        <f>IF(Inputs!$B$102&gt;=3,(IF(Inputs!$B$102&gt;3,$G101,Inputs!D119)),"")</f>
        <v>#VALUE!</v>
      </c>
      <c r="S100" s="43" t="e">
        <f t="shared" si="12"/>
        <v>#VALUE!</v>
      </c>
      <c r="T100" s="43" t="e">
        <f t="shared" si="13"/>
        <v>#VALUE!</v>
      </c>
      <c r="U100" s="49"/>
    </row>
    <row r="101" spans="2:21" hidden="1" x14ac:dyDescent="0.25">
      <c r="B101">
        <v>91</v>
      </c>
      <c r="C101">
        <v>91</v>
      </c>
      <c r="D101" t="s">
        <v>171</v>
      </c>
      <c r="E101">
        <v>3</v>
      </c>
      <c r="F101" t="s">
        <v>160</v>
      </c>
      <c r="G101" s="42" t="e">
        <f>IF(E101&lt;Inputs!$B$102,CONCATENATE(D101,E101,F101),"")</f>
        <v>#VALUE!</v>
      </c>
      <c r="H101" s="43" t="e">
        <f>IF(E101&lt;Inputs!$B$102,Inputs!$B$107,"")</f>
        <v>#VALUE!</v>
      </c>
      <c r="I101" s="43" t="e">
        <f>IF(E101&lt;Inputs!$B$102,Inputs!$B$105,"")</f>
        <v>#VALUE!</v>
      </c>
      <c r="J101" s="49" t="e">
        <f>IF(E101&lt;Inputs!$B$102,(E101*Inputs!$D$80)-Inputs!$B$98,"")</f>
        <v>#VALUE!</v>
      </c>
      <c r="M101">
        <v>74</v>
      </c>
      <c r="N101">
        <v>74</v>
      </c>
      <c r="O101" s="42" t="e">
        <f>IF(Inputs!$B$102&gt;=3,(IF(Inputs!$B$102&gt;=3,G97)),"")</f>
        <v>#VALUE!</v>
      </c>
      <c r="P101" s="43" t="e">
        <f>IF(Inputs!$B$102&gt;=3,(IF(Inputs!$B$102&gt;=3,G98)),"")</f>
        <v>#VALUE!</v>
      </c>
      <c r="Q101" s="43" t="e">
        <f>IF(Inputs!$B$102&gt;=3,(IF(Inputs!$B$102&gt;3,$G103,Inputs!D121)),"")</f>
        <v>#VALUE!</v>
      </c>
      <c r="R101" s="43" t="e">
        <f>IF(Inputs!$B$102&gt;=3,(IF(Inputs!$B$102&gt;3,$G102,Inputs!D120)),"")</f>
        <v>#VALUE!</v>
      </c>
      <c r="S101" s="43" t="e">
        <f t="shared" si="12"/>
        <v>#VALUE!</v>
      </c>
      <c r="T101" s="43" t="e">
        <f t="shared" si="13"/>
        <v>#VALUE!</v>
      </c>
      <c r="U101" s="49"/>
    </row>
    <row r="102" spans="2:21" hidden="1" x14ac:dyDescent="0.25">
      <c r="B102">
        <v>92</v>
      </c>
      <c r="C102">
        <v>92</v>
      </c>
      <c r="D102" t="s">
        <v>171</v>
      </c>
      <c r="E102">
        <v>3</v>
      </c>
      <c r="F102" t="s">
        <v>164</v>
      </c>
      <c r="G102" s="42" t="e">
        <f>IF(E102&lt;Inputs!$B$102,CONCATENATE(D102,E102,F102),"")</f>
        <v>#VALUE!</v>
      </c>
      <c r="H102" s="43" t="e">
        <f>IF(E102&lt;Inputs!$B$102,Inputs!$B$108,"")</f>
        <v>#VALUE!</v>
      </c>
      <c r="I102" s="43" t="e">
        <f>IF(E102&lt;Inputs!$B$102,Inputs!$B$105,"")</f>
        <v>#VALUE!</v>
      </c>
      <c r="J102" s="49" t="e">
        <f>IF(E102&lt;Inputs!$B$102,(E102*Inputs!$D$80)-Inputs!$B$98,"")</f>
        <v>#VALUE!</v>
      </c>
      <c r="M102">
        <v>75</v>
      </c>
      <c r="N102">
        <v>75</v>
      </c>
      <c r="O102" s="42" t="e">
        <f>IF(Inputs!$B$102&gt;=3,(IF(Inputs!$B$102&gt;=3,G98)),"")</f>
        <v>#VALUE!</v>
      </c>
      <c r="P102" s="43" t="e">
        <f>IF(Inputs!$B$102&gt;=3,(IF(Inputs!$B$102&gt;=3,G99)),"")</f>
        <v>#VALUE!</v>
      </c>
      <c r="Q102" s="43" t="e">
        <f>IF(Inputs!$B$102&gt;=3,(IF(Inputs!$B$102&gt;3,$G104,Inputs!D122)),"")</f>
        <v>#VALUE!</v>
      </c>
      <c r="R102" s="43" t="e">
        <f>IF(Inputs!$B$102&gt;=3,(IF(Inputs!$B$102&gt;3,$G103,Inputs!D121)),"")</f>
        <v>#VALUE!</v>
      </c>
      <c r="S102" s="43" t="e">
        <f t="shared" si="12"/>
        <v>#VALUE!</v>
      </c>
      <c r="T102" s="43" t="e">
        <f t="shared" si="13"/>
        <v>#VALUE!</v>
      </c>
      <c r="U102" s="49"/>
    </row>
    <row r="103" spans="2:21" hidden="1" x14ac:dyDescent="0.25">
      <c r="B103">
        <v>93</v>
      </c>
      <c r="C103">
        <v>93</v>
      </c>
      <c r="D103" t="s">
        <v>171</v>
      </c>
      <c r="E103">
        <v>3</v>
      </c>
      <c r="F103" t="s">
        <v>168</v>
      </c>
      <c r="G103" s="42" t="e">
        <f>IF(E103&lt;Inputs!$B$102,CONCATENATE(D103,E103,F103),"")</f>
        <v>#VALUE!</v>
      </c>
      <c r="H103" s="43" t="e">
        <f>IF(E103&lt;Inputs!$B$102,Inputs!$B$109,"")</f>
        <v>#VALUE!</v>
      </c>
      <c r="I103" s="43" t="e">
        <f>IF(E103&lt;Inputs!$B$102,Inputs!$B$105,"")</f>
        <v>#VALUE!</v>
      </c>
      <c r="J103" s="49" t="e">
        <f>IF(E103&lt;Inputs!$B$102,(E103*Inputs!$D$80)-Inputs!$B$98,"")</f>
        <v>#VALUE!</v>
      </c>
      <c r="M103">
        <v>76</v>
      </c>
      <c r="N103">
        <v>76</v>
      </c>
      <c r="O103" s="42" t="e">
        <f>IF(Inputs!$B$102&gt;=3,(IF(Inputs!$B$102&gt;=3,G99)),"")</f>
        <v>#VALUE!</v>
      </c>
      <c r="P103" s="43" t="e">
        <f>IF(Inputs!$B$102&gt;=3,(IF(Inputs!$B$102&gt;=3,G100)),"")</f>
        <v>#VALUE!</v>
      </c>
      <c r="Q103" s="43" t="e">
        <f>IF(Inputs!$B$102&gt;=3,(IF(Inputs!$B$102&gt;3,$G105,Inputs!D123)),"")</f>
        <v>#VALUE!</v>
      </c>
      <c r="R103" s="43" t="e">
        <f>IF(Inputs!$B$102&gt;=3,(IF(Inputs!$B$102&gt;3,$G104,Inputs!D122)),"")</f>
        <v>#VALUE!</v>
      </c>
      <c r="S103" s="43" t="e">
        <f t="shared" si="12"/>
        <v>#VALUE!</v>
      </c>
      <c r="T103" s="43" t="e">
        <f t="shared" si="13"/>
        <v>#VALUE!</v>
      </c>
      <c r="U103" s="49"/>
    </row>
    <row r="104" spans="2:21" hidden="1" x14ac:dyDescent="0.25">
      <c r="B104">
        <v>94</v>
      </c>
      <c r="C104">
        <v>94</v>
      </c>
      <c r="D104" t="s">
        <v>171</v>
      </c>
      <c r="E104">
        <v>3</v>
      </c>
      <c r="F104" t="s">
        <v>172</v>
      </c>
      <c r="G104" s="42" t="e">
        <f>IF(E104&lt;Inputs!$B$102,CONCATENATE(D104,E104,F104),"")</f>
        <v>#VALUE!</v>
      </c>
      <c r="H104" s="43" t="e">
        <f>IF(E104&lt;Inputs!$B$102,Inputs!$B$110,"")</f>
        <v>#VALUE!</v>
      </c>
      <c r="I104" s="43" t="e">
        <f>IF(E104&lt;Inputs!$B$102,Inputs!$B$105,"")</f>
        <v>#VALUE!</v>
      </c>
      <c r="J104" s="49" t="e">
        <f>IF(E104&lt;Inputs!$B$102,(E104*Inputs!$D$80)-Inputs!$B$98,"")</f>
        <v>#VALUE!</v>
      </c>
      <c r="M104">
        <v>77</v>
      </c>
      <c r="N104">
        <v>77</v>
      </c>
      <c r="O104" s="27" t="e">
        <f>IF(Inputs!$B$102&gt;=4,(IF(Inputs!$B$102&gt;=4,G101)),"")</f>
        <v>#VALUE!</v>
      </c>
      <c r="P104" t="e">
        <f>IF(Inputs!$B$102&gt;=4,(IF(Inputs!$B$102&gt;=4,G102)),"")</f>
        <v>#VALUE!</v>
      </c>
      <c r="Q104" t="e">
        <f>IF(Inputs!$B$102&gt;=4,(IF(Inputs!$B$102&gt;4,$G107,Inputs!D120)),"")</f>
        <v>#VALUE!</v>
      </c>
      <c r="R104" t="e">
        <f>IF(Inputs!$B$102&gt;=4,(IF(Inputs!$B$102&gt;4,$G106,Inputs!D119)),"")</f>
        <v>#VALUE!</v>
      </c>
      <c r="S104" t="e">
        <f t="shared" si="12"/>
        <v>#VALUE!</v>
      </c>
      <c r="T104" t="e">
        <f t="shared" si="13"/>
        <v>#VALUE!</v>
      </c>
      <c r="U104" s="28"/>
    </row>
    <row r="105" spans="2:21" hidden="1" x14ac:dyDescent="0.25">
      <c r="B105">
        <v>95</v>
      </c>
      <c r="C105">
        <v>95</v>
      </c>
      <c r="D105" t="s">
        <v>171</v>
      </c>
      <c r="E105">
        <v>3</v>
      </c>
      <c r="F105" t="s">
        <v>176</v>
      </c>
      <c r="G105" s="42" t="e">
        <f>IF(E105&lt;Inputs!$B$102,CONCATENATE(D105,E105,F105),"")</f>
        <v>#VALUE!</v>
      </c>
      <c r="H105" s="43" t="e">
        <f>IF(E105&lt;Inputs!$B$102,Inputs!$B$111,"")</f>
        <v>#VALUE!</v>
      </c>
      <c r="I105" s="43" t="e">
        <f>IF(E105&lt;Inputs!$B$102,Inputs!$B$105,"")</f>
        <v>#VALUE!</v>
      </c>
      <c r="J105" s="49" t="e">
        <f>IF(E105&lt;Inputs!$B$102,(E105*Inputs!$D$80)-Inputs!$B$98,"")</f>
        <v>#VALUE!</v>
      </c>
      <c r="M105">
        <v>78</v>
      </c>
      <c r="N105">
        <v>78</v>
      </c>
      <c r="O105" s="27" t="e">
        <f>IF(Inputs!$B$102&gt;=4,(IF(Inputs!$B$102&gt;=4,G102)),"")</f>
        <v>#VALUE!</v>
      </c>
      <c r="P105" t="e">
        <f>IF(Inputs!$B$102&gt;=4,(IF(Inputs!$B$102&gt;=4,G103)),"")</f>
        <v>#VALUE!</v>
      </c>
      <c r="Q105" t="e">
        <f>IF(Inputs!$B$102&gt;=4,(IF(Inputs!$B$102&gt;4,$G108,Inputs!D121)),"")</f>
        <v>#VALUE!</v>
      </c>
      <c r="R105" t="e">
        <f>IF(Inputs!$B$102&gt;=4,(IF(Inputs!$B$102&gt;4,$G107,Inputs!D120)),"")</f>
        <v>#VALUE!</v>
      </c>
      <c r="S105" t="e">
        <f t="shared" si="12"/>
        <v>#VALUE!</v>
      </c>
      <c r="T105" t="e">
        <f t="shared" si="13"/>
        <v>#VALUE!</v>
      </c>
      <c r="U105" s="28"/>
    </row>
    <row r="106" spans="2:21" hidden="1" x14ac:dyDescent="0.25">
      <c r="B106">
        <v>96</v>
      </c>
      <c r="C106">
        <v>96</v>
      </c>
      <c r="D106" t="s">
        <v>171</v>
      </c>
      <c r="E106">
        <v>4</v>
      </c>
      <c r="F106" t="s">
        <v>160</v>
      </c>
      <c r="G106" s="27" t="e">
        <f>IF(E106&lt;Inputs!$B$102,CONCATENATE(D106,E106,F106),"")</f>
        <v>#VALUE!</v>
      </c>
      <c r="H106" t="e">
        <f>IF(E106&lt;Inputs!$B$102,Inputs!$B$107,"")</f>
        <v>#VALUE!</v>
      </c>
      <c r="I106" t="e">
        <f>IF(E106&lt;Inputs!$B$102,Inputs!$B$105,"")</f>
        <v>#VALUE!</v>
      </c>
      <c r="J106" t="e">
        <f>IF(E106&lt;Inputs!$B$102,(E106*Inputs!$D$80)-Inputs!$B$98,"")</f>
        <v>#VALUE!</v>
      </c>
      <c r="M106">
        <v>79</v>
      </c>
      <c r="N106">
        <v>79</v>
      </c>
      <c r="O106" s="27" t="e">
        <f>IF(Inputs!$B$102&gt;=4,(IF(Inputs!$B$102&gt;=4,G103)),"")</f>
        <v>#VALUE!</v>
      </c>
      <c r="P106" t="e">
        <f>IF(Inputs!$B$102&gt;=4,(IF(Inputs!$B$102&gt;=4,G104)),"")</f>
        <v>#VALUE!</v>
      </c>
      <c r="Q106" t="e">
        <f>IF(Inputs!$B$102&gt;=4,(IF(Inputs!$B$102&gt;4,$G109,Inputs!D122)),"")</f>
        <v>#VALUE!</v>
      </c>
      <c r="R106" t="e">
        <f>IF(Inputs!$B$102&gt;=4,(IF(Inputs!$B$102&gt;4,$G108,Inputs!D121)),"")</f>
        <v>#VALUE!</v>
      </c>
      <c r="S106" t="e">
        <f t="shared" si="12"/>
        <v>#VALUE!</v>
      </c>
      <c r="T106" t="e">
        <f t="shared" si="13"/>
        <v>#VALUE!</v>
      </c>
      <c r="U106" s="28"/>
    </row>
    <row r="107" spans="2:21" hidden="1" x14ac:dyDescent="0.25">
      <c r="B107">
        <v>97</v>
      </c>
      <c r="C107">
        <v>97</v>
      </c>
      <c r="D107" t="s">
        <v>171</v>
      </c>
      <c r="E107">
        <v>4</v>
      </c>
      <c r="F107" t="s">
        <v>164</v>
      </c>
      <c r="G107" s="27" t="e">
        <f>IF(E107&lt;Inputs!$B$102,CONCATENATE(D107,E107,F107),"")</f>
        <v>#VALUE!</v>
      </c>
      <c r="H107" t="e">
        <f>IF(E107&lt;Inputs!$B$102,Inputs!$B$108,"")</f>
        <v>#VALUE!</v>
      </c>
      <c r="I107" t="e">
        <f>IF(E107&lt;Inputs!$B$102,Inputs!$B$105,"")</f>
        <v>#VALUE!</v>
      </c>
      <c r="J107" t="e">
        <f>IF(E107&lt;Inputs!$B$102,(E107*Inputs!$D$80)-Inputs!$B$98,"")</f>
        <v>#VALUE!</v>
      </c>
      <c r="M107">
        <v>80</v>
      </c>
      <c r="N107">
        <v>80</v>
      </c>
      <c r="O107" s="27" t="e">
        <f>IF(Inputs!$B$102&gt;=4,(IF(Inputs!$B$102&gt;=4,G104)),"")</f>
        <v>#VALUE!</v>
      </c>
      <c r="P107" t="e">
        <f>IF(Inputs!$B$102&gt;=4,(IF(Inputs!$B$102&gt;=4,G105)),"")</f>
        <v>#VALUE!</v>
      </c>
      <c r="Q107" t="e">
        <f>IF(Inputs!$B$102&gt;=4,(IF(Inputs!$B$102&gt;4,$G110,Inputs!D123)),"")</f>
        <v>#VALUE!</v>
      </c>
      <c r="R107" t="e">
        <f>IF(Inputs!$B$102&gt;=4,(IF(Inputs!$B$102&gt;4,$G109,Inputs!D122)),"")</f>
        <v>#VALUE!</v>
      </c>
      <c r="S107" t="e">
        <f t="shared" si="12"/>
        <v>#VALUE!</v>
      </c>
      <c r="T107" t="e">
        <f t="shared" si="13"/>
        <v>#VALUE!</v>
      </c>
      <c r="U107" s="28"/>
    </row>
    <row r="108" spans="2:21" hidden="1" x14ac:dyDescent="0.25">
      <c r="B108">
        <v>98</v>
      </c>
      <c r="C108">
        <v>98</v>
      </c>
      <c r="D108" t="s">
        <v>171</v>
      </c>
      <c r="E108">
        <v>4</v>
      </c>
      <c r="F108" t="s">
        <v>168</v>
      </c>
      <c r="G108" s="27" t="e">
        <f>IF(E108&lt;Inputs!$B$102,CONCATENATE(D108,E108,F108),"")</f>
        <v>#VALUE!</v>
      </c>
      <c r="H108" t="e">
        <f>IF(E108&lt;Inputs!$B$102,Inputs!$B$109,"")</f>
        <v>#VALUE!</v>
      </c>
      <c r="I108" t="e">
        <f>IF(E108&lt;Inputs!$B$102,Inputs!$B$105,"")</f>
        <v>#VALUE!</v>
      </c>
      <c r="J108" t="e">
        <f>IF(E108&lt;Inputs!$B$102,(E108*Inputs!$D$80)-Inputs!$B$98,"")</f>
        <v>#VALUE!</v>
      </c>
      <c r="M108">
        <v>81</v>
      </c>
      <c r="N108">
        <v>81</v>
      </c>
      <c r="O108" s="42" t="e">
        <f>IF(Inputs!$B$102&gt;=5,(IF(Inputs!$B$102&gt;=5,G106)),"")</f>
        <v>#VALUE!</v>
      </c>
      <c r="P108" s="43" t="e">
        <f>IF(Inputs!$B$102&gt;=5,(IF(Inputs!$B$102&gt;=5,G107)),"")</f>
        <v>#VALUE!</v>
      </c>
      <c r="Q108" t="e">
        <f>IF(Inputs!$B$102&gt;=5,(IF(Inputs!$B$102&gt;5,$G112,Inputs!D124)),"")</f>
        <v>#VALUE!</v>
      </c>
      <c r="R108" t="e">
        <f>IF(Inputs!$B$102&gt;=5,(IF(Inputs!$B$102&gt;5,$G111,Inputs!D123)),"")</f>
        <v>#VALUE!</v>
      </c>
      <c r="S108" s="43" t="e">
        <f t="shared" si="12"/>
        <v>#VALUE!</v>
      </c>
      <c r="T108" s="43" t="e">
        <f t="shared" si="13"/>
        <v>#VALUE!</v>
      </c>
      <c r="U108" s="49"/>
    </row>
    <row r="109" spans="2:21" hidden="1" x14ac:dyDescent="0.25">
      <c r="B109">
        <v>99</v>
      </c>
      <c r="C109">
        <v>99</v>
      </c>
      <c r="D109" t="s">
        <v>171</v>
      </c>
      <c r="E109">
        <v>4</v>
      </c>
      <c r="F109" t="s">
        <v>172</v>
      </c>
      <c r="G109" s="27" t="e">
        <f>IF(E109&lt;Inputs!$B$102,CONCATENATE(D109,E109,F109),"")</f>
        <v>#VALUE!</v>
      </c>
      <c r="H109" t="e">
        <f>IF(E109&lt;Inputs!$B$102,Inputs!$B$110,"")</f>
        <v>#VALUE!</v>
      </c>
      <c r="I109" t="e">
        <f>IF(E109&lt;Inputs!$B$102,Inputs!$B$105,"")</f>
        <v>#VALUE!</v>
      </c>
      <c r="J109" t="e">
        <f>IF(E109&lt;Inputs!$B$102,(E109*Inputs!$D$80)-Inputs!$B$98,"")</f>
        <v>#VALUE!</v>
      </c>
      <c r="M109">
        <v>82</v>
      </c>
      <c r="N109">
        <v>82</v>
      </c>
      <c r="O109" s="42" t="e">
        <f>IF(Inputs!$B$102&gt;=5,(IF(Inputs!$B$102&gt;=5,G107)),"")</f>
        <v>#VALUE!</v>
      </c>
      <c r="P109" s="43" t="e">
        <f>IF(Inputs!$B$102&gt;=5,(IF(Inputs!$B$102&gt;=5,G108)),"")</f>
        <v>#VALUE!</v>
      </c>
      <c r="Q109" t="e">
        <f>IF(Inputs!$B$102&gt;=5,(IF(Inputs!$B$102&gt;5,$G113,Inputs!D125)),"")</f>
        <v>#VALUE!</v>
      </c>
      <c r="R109" t="e">
        <f>IF(Inputs!$B$102&gt;=5,(IF(Inputs!$B$102&gt;5,$G112,Inputs!D124)),"")</f>
        <v>#VALUE!</v>
      </c>
      <c r="S109" s="43" t="e">
        <f t="shared" si="12"/>
        <v>#VALUE!</v>
      </c>
      <c r="T109" s="43" t="e">
        <f t="shared" si="13"/>
        <v>#VALUE!</v>
      </c>
      <c r="U109" s="49"/>
    </row>
    <row r="110" spans="2:21" hidden="1" x14ac:dyDescent="0.25">
      <c r="B110">
        <v>100</v>
      </c>
      <c r="C110">
        <v>100</v>
      </c>
      <c r="D110" t="s">
        <v>171</v>
      </c>
      <c r="E110">
        <v>4</v>
      </c>
      <c r="F110" t="s">
        <v>176</v>
      </c>
      <c r="G110" s="27" t="e">
        <f>IF(E110&lt;Inputs!$B$102,CONCATENATE(D110,E110,F110),"")</f>
        <v>#VALUE!</v>
      </c>
      <c r="H110" t="e">
        <f>IF(E110&lt;Inputs!$B$102,Inputs!$B$111,"")</f>
        <v>#VALUE!</v>
      </c>
      <c r="I110" t="e">
        <f>IF(E110&lt;Inputs!$B$102,Inputs!$B$105,"")</f>
        <v>#VALUE!</v>
      </c>
      <c r="J110" t="e">
        <f>IF(E110&lt;Inputs!$B$102,(E110*Inputs!$D$80)-Inputs!$B$98,"")</f>
        <v>#VALUE!</v>
      </c>
      <c r="M110">
        <v>83</v>
      </c>
      <c r="N110">
        <v>83</v>
      </c>
      <c r="O110" s="42" t="e">
        <f>IF(Inputs!$B$102&gt;=5,(IF(Inputs!$B$102&gt;=5,G108)),"")</f>
        <v>#VALUE!</v>
      </c>
      <c r="P110" s="43" t="e">
        <f>IF(Inputs!$B$102&gt;=5,(IF(Inputs!$B$102&gt;=5,G109)),"")</f>
        <v>#VALUE!</v>
      </c>
      <c r="Q110" t="e">
        <f>IF(Inputs!$B$102&gt;=5,(IF(Inputs!$B$102&gt;5,$G114,Inputs!D127)),"")</f>
        <v>#VALUE!</v>
      </c>
      <c r="R110" t="e">
        <f>IF(Inputs!$B$102&gt;=5,(IF(Inputs!$B$102&gt;5,$G113,Inputs!D125)),"")</f>
        <v>#VALUE!</v>
      </c>
      <c r="S110" s="43" t="e">
        <f t="shared" si="12"/>
        <v>#VALUE!</v>
      </c>
      <c r="T110" s="43" t="e">
        <f t="shared" si="13"/>
        <v>#VALUE!</v>
      </c>
      <c r="U110" s="49"/>
    </row>
    <row r="111" spans="2:21" hidden="1" x14ac:dyDescent="0.25">
      <c r="B111">
        <v>101</v>
      </c>
      <c r="C111">
        <v>101</v>
      </c>
      <c r="D111" t="s">
        <v>171</v>
      </c>
      <c r="E111">
        <v>5</v>
      </c>
      <c r="F111" t="s">
        <v>160</v>
      </c>
      <c r="G111" s="42" t="e">
        <f>IF(E111&lt;Inputs!$B$102,CONCATENATE(D111,E111,F111),"")</f>
        <v>#VALUE!</v>
      </c>
      <c r="H111" s="43" t="e">
        <f>IF(E111&lt;Inputs!$B$102,Inputs!$B$107,"")</f>
        <v>#VALUE!</v>
      </c>
      <c r="I111" s="43" t="e">
        <f>IF(E111&lt;Inputs!$B$102,Inputs!$B$105,"")</f>
        <v>#VALUE!</v>
      </c>
      <c r="J111" s="49" t="e">
        <f>IF(E111&lt;Inputs!$B$102,(E111*Inputs!$D$80)-Inputs!$B$98,"")</f>
        <v>#VALUE!</v>
      </c>
      <c r="M111">
        <v>84</v>
      </c>
      <c r="N111">
        <v>84</v>
      </c>
      <c r="O111" s="42" t="e">
        <f>IF(Inputs!$B$102&gt;=5,(IF(Inputs!$B$102&gt;=5,G109)),"")</f>
        <v>#VALUE!</v>
      </c>
      <c r="P111" s="43" t="e">
        <f>IF(Inputs!$B$102&gt;=5,(IF(Inputs!$B$102&gt;=5,G110)),"")</f>
        <v>#VALUE!</v>
      </c>
      <c r="Q111" t="e">
        <f>IF(Inputs!$B$102&gt;=5,(IF(Inputs!$B$102&gt;5,$G115,Inputs!D130)),"")</f>
        <v>#VALUE!</v>
      </c>
      <c r="R111" t="e">
        <f>IF(Inputs!$B$102&gt;=5,(IF(Inputs!$B$102&gt;5,$G114,Inputs!D127)),"")</f>
        <v>#VALUE!</v>
      </c>
      <c r="S111" s="43" t="e">
        <f t="shared" si="12"/>
        <v>#VALUE!</v>
      </c>
      <c r="T111" s="43" t="e">
        <f t="shared" si="13"/>
        <v>#VALUE!</v>
      </c>
      <c r="U111" s="49"/>
    </row>
    <row r="112" spans="2:21" hidden="1" x14ac:dyDescent="0.25">
      <c r="B112">
        <v>102</v>
      </c>
      <c r="C112">
        <v>102</v>
      </c>
      <c r="D112" t="s">
        <v>171</v>
      </c>
      <c r="E112">
        <v>5</v>
      </c>
      <c r="F112" t="s">
        <v>164</v>
      </c>
      <c r="G112" s="42" t="e">
        <f>IF(E112&lt;Inputs!$B$102,CONCATENATE(D112,E112,F112),"")</f>
        <v>#VALUE!</v>
      </c>
      <c r="H112" s="43" t="e">
        <f>IF(E112&lt;Inputs!$B$102,Inputs!$B$108,"")</f>
        <v>#VALUE!</v>
      </c>
      <c r="I112" s="43" t="e">
        <f>IF(E112&lt;Inputs!$B$102,Inputs!$B$105,"")</f>
        <v>#VALUE!</v>
      </c>
      <c r="J112" s="49" t="e">
        <f>IF(E112&lt;Inputs!$B$102,(E112*Inputs!$D$80)-Inputs!$B$98,"")</f>
        <v>#VALUE!</v>
      </c>
      <c r="M112">
        <v>85</v>
      </c>
      <c r="N112">
        <v>85</v>
      </c>
      <c r="O112" s="27" t="e">
        <f>IF(Inputs!$B$102&gt;=6,(IF(Inputs!$B$102&gt;=6,G111)),"")</f>
        <v>#VALUE!</v>
      </c>
      <c r="P112" t="e">
        <f>IF(Inputs!$B$102&gt;=6,(IF(Inputs!$B$102&gt;=6,G112)),"")</f>
        <v>#VALUE!</v>
      </c>
      <c r="Q112" t="e">
        <f>IF(Inputs!$B$102&gt;=6,(IF(Inputs!$B$102&gt;6,$G117,Inputs!D120)),"")</f>
        <v>#VALUE!</v>
      </c>
      <c r="R112" t="e">
        <f>IF(Inputs!$B$102&gt;=6,(IF(Inputs!$B$102&gt;6,$G116,Inputs!D119)),"")</f>
        <v>#VALUE!</v>
      </c>
      <c r="S112" t="e">
        <f t="shared" si="12"/>
        <v>#VALUE!</v>
      </c>
      <c r="T112" t="e">
        <f t="shared" si="13"/>
        <v>#VALUE!</v>
      </c>
      <c r="U112" s="28"/>
    </row>
    <row r="113" spans="2:21" hidden="1" x14ac:dyDescent="0.25">
      <c r="B113">
        <v>103</v>
      </c>
      <c r="C113">
        <v>103</v>
      </c>
      <c r="D113" t="s">
        <v>171</v>
      </c>
      <c r="E113">
        <v>5</v>
      </c>
      <c r="F113" t="s">
        <v>168</v>
      </c>
      <c r="G113" s="42" t="e">
        <f>IF(E113&lt;Inputs!$B$102,CONCATENATE(D113,E113,F113),"")</f>
        <v>#VALUE!</v>
      </c>
      <c r="H113" s="43" t="e">
        <f>IF(E113&lt;Inputs!$B$102,Inputs!$B$109,"")</f>
        <v>#VALUE!</v>
      </c>
      <c r="I113" s="43" t="e">
        <f>IF(E113&lt;Inputs!$B$102,Inputs!$B$105,"")</f>
        <v>#VALUE!</v>
      </c>
      <c r="J113" s="49" t="e">
        <f>IF(E113&lt;Inputs!$B$102,(E113*Inputs!$D$80)-Inputs!$B$98,"")</f>
        <v>#VALUE!</v>
      </c>
      <c r="M113">
        <v>86</v>
      </c>
      <c r="N113">
        <v>86</v>
      </c>
      <c r="O113" s="27" t="e">
        <f>IF(Inputs!$B$102&gt;=6,(IF(Inputs!$B$102&gt;=6,G112)),"")</f>
        <v>#VALUE!</v>
      </c>
      <c r="P113" t="e">
        <f>IF(Inputs!$B$102&gt;=6,(IF(Inputs!$B$102&gt;=6,G113)),"")</f>
        <v>#VALUE!</v>
      </c>
      <c r="Q113" t="e">
        <f>IF(Inputs!$B$102&gt;=6,(IF(Inputs!$B$102&gt;6,$G118,Inputs!D121)),"")</f>
        <v>#VALUE!</v>
      </c>
      <c r="R113" t="e">
        <f>IF(Inputs!$B$102&gt;=6,(IF(Inputs!$B$102&gt;6,$G117,Inputs!D120)),"")</f>
        <v>#VALUE!</v>
      </c>
      <c r="S113" t="e">
        <f t="shared" si="12"/>
        <v>#VALUE!</v>
      </c>
      <c r="T113" t="e">
        <f t="shared" si="13"/>
        <v>#VALUE!</v>
      </c>
      <c r="U113" s="28"/>
    </row>
    <row r="114" spans="2:21" hidden="1" x14ac:dyDescent="0.25">
      <c r="B114">
        <v>104</v>
      </c>
      <c r="C114">
        <v>104</v>
      </c>
      <c r="D114" t="s">
        <v>171</v>
      </c>
      <c r="E114">
        <v>5</v>
      </c>
      <c r="F114" t="s">
        <v>172</v>
      </c>
      <c r="G114" s="42" t="e">
        <f>IF(E114&lt;Inputs!$B$102,CONCATENATE(D114,E114,F114),"")</f>
        <v>#VALUE!</v>
      </c>
      <c r="H114" s="43" t="e">
        <f>IF(E114&lt;Inputs!$B$102,Inputs!$B$110,"")</f>
        <v>#VALUE!</v>
      </c>
      <c r="I114" s="43" t="e">
        <f>IF(E114&lt;Inputs!$B$102,Inputs!$B$105,"")</f>
        <v>#VALUE!</v>
      </c>
      <c r="J114" s="49" t="e">
        <f>IF(E114&lt;Inputs!$B$102,(E114*Inputs!$D$80)-Inputs!$B$98,"")</f>
        <v>#VALUE!</v>
      </c>
      <c r="M114">
        <v>87</v>
      </c>
      <c r="N114">
        <v>87</v>
      </c>
      <c r="O114" s="27" t="e">
        <f>IF(Inputs!$B$102&gt;=6,(IF(Inputs!$B$102&gt;=6,G113)),"")</f>
        <v>#VALUE!</v>
      </c>
      <c r="P114" t="e">
        <f>IF(Inputs!$B$102&gt;=6,(IF(Inputs!$B$102&gt;=6,G114)),"")</f>
        <v>#VALUE!</v>
      </c>
      <c r="Q114" t="e">
        <f>IF(Inputs!$B$102&gt;=6,(IF(Inputs!$B$102&gt;6,$G119,Inputs!D122)),"")</f>
        <v>#VALUE!</v>
      </c>
      <c r="R114" t="e">
        <f>IF(Inputs!$B$102&gt;=6,(IF(Inputs!$B$102&gt;6,$G118,Inputs!D121)),"")</f>
        <v>#VALUE!</v>
      </c>
      <c r="S114" t="e">
        <f t="shared" si="12"/>
        <v>#VALUE!</v>
      </c>
      <c r="T114" t="e">
        <f t="shared" si="13"/>
        <v>#VALUE!</v>
      </c>
      <c r="U114" s="28"/>
    </row>
    <row r="115" spans="2:21" hidden="1" x14ac:dyDescent="0.25">
      <c r="B115">
        <v>105</v>
      </c>
      <c r="C115">
        <v>105</v>
      </c>
      <c r="D115" t="s">
        <v>171</v>
      </c>
      <c r="E115">
        <v>5</v>
      </c>
      <c r="F115" t="s">
        <v>176</v>
      </c>
      <c r="G115" s="42" t="e">
        <f>IF(E115&lt;Inputs!$B$102,CONCATENATE(D115,E115,F115),"")</f>
        <v>#VALUE!</v>
      </c>
      <c r="H115" s="43" t="e">
        <f>IF(E115&lt;Inputs!$B$102,Inputs!$B$111,"")</f>
        <v>#VALUE!</v>
      </c>
      <c r="I115" s="43" t="e">
        <f>IF(E115&lt;Inputs!$B$102,Inputs!$B$105,"")</f>
        <v>#VALUE!</v>
      </c>
      <c r="J115" s="49" t="e">
        <f>IF(E115&lt;Inputs!$B$102,(E115*Inputs!$D$80)-Inputs!$B$98,"")</f>
        <v>#VALUE!</v>
      </c>
      <c r="M115">
        <v>88</v>
      </c>
      <c r="N115">
        <v>88</v>
      </c>
      <c r="O115" s="27" t="e">
        <f>IF(Inputs!$B$102&gt;=6,(IF(Inputs!$B$102&gt;=6,G114)),"")</f>
        <v>#VALUE!</v>
      </c>
      <c r="P115" t="e">
        <f>IF(Inputs!$B$102&gt;=6,(IF(Inputs!$B$102&gt;=6,G115)),"")</f>
        <v>#VALUE!</v>
      </c>
      <c r="Q115" t="e">
        <f>IF(Inputs!$B$102&gt;=6,(IF(Inputs!$B$102&gt;6,$G120,Inputs!D123)),"")</f>
        <v>#VALUE!</v>
      </c>
      <c r="R115" t="e">
        <f>IF(Inputs!$B$102&gt;=6,(IF(Inputs!$B$102&gt;6,$G119,Inputs!D122)),"")</f>
        <v>#VALUE!</v>
      </c>
      <c r="S115" t="e">
        <f t="shared" si="12"/>
        <v>#VALUE!</v>
      </c>
      <c r="T115" t="e">
        <f t="shared" si="13"/>
        <v>#VALUE!</v>
      </c>
      <c r="U115" s="28"/>
    </row>
    <row r="116" spans="2:21" hidden="1" x14ac:dyDescent="0.25">
      <c r="B116">
        <v>106</v>
      </c>
      <c r="C116">
        <v>106</v>
      </c>
      <c r="D116" t="s">
        <v>171</v>
      </c>
      <c r="E116">
        <v>6</v>
      </c>
      <c r="F116" t="s">
        <v>160</v>
      </c>
      <c r="G116" s="27" t="e">
        <f>IF(E116&lt;Inputs!$B$102,CONCATENATE(D116,E116,F116),"")</f>
        <v>#VALUE!</v>
      </c>
      <c r="H116" t="e">
        <f>IF(E116&lt;Inputs!$B$102,Inputs!$B$107,"")</f>
        <v>#VALUE!</v>
      </c>
      <c r="I116" t="e">
        <f>IF(E116&lt;Inputs!$B$102,Inputs!$B$105,"")</f>
        <v>#VALUE!</v>
      </c>
      <c r="J116" t="e">
        <f>IF(E116&lt;Inputs!$B$102,(E116*Inputs!$D$80)-Inputs!$B$98,"")</f>
        <v>#VALUE!</v>
      </c>
      <c r="M116">
        <v>89</v>
      </c>
      <c r="N116">
        <v>89</v>
      </c>
      <c r="O116" s="42" t="e">
        <f>IF(Inputs!$B$102&gt;=7,(IF(Inputs!$B$102&gt;=7,G116)),"")</f>
        <v>#VALUE!</v>
      </c>
      <c r="P116" s="43" t="e">
        <f>IF(Inputs!$B$102&gt;=7,(IF(Inputs!$B$102&gt;=7,G117)),"")</f>
        <v>#VALUE!</v>
      </c>
      <c r="Q116" s="43" t="e">
        <f>IF(Inputs!$B$102&gt;=7,(IF(Inputs!$B$102&gt;7,$G122,Inputs!D120)),"")</f>
        <v>#VALUE!</v>
      </c>
      <c r="R116" s="43" t="e">
        <f>IF(Inputs!$B$102&gt;=7,(IF(Inputs!$B$102&gt;7,$G121,Inputs!D119)),"")</f>
        <v>#VALUE!</v>
      </c>
      <c r="S116" s="43" t="e">
        <f t="shared" si="12"/>
        <v>#VALUE!</v>
      </c>
      <c r="T116" s="43" t="e">
        <f t="shared" si="13"/>
        <v>#VALUE!</v>
      </c>
      <c r="U116" s="49"/>
    </row>
    <row r="117" spans="2:21" hidden="1" x14ac:dyDescent="0.25">
      <c r="B117">
        <v>107</v>
      </c>
      <c r="C117">
        <v>107</v>
      </c>
      <c r="D117" t="s">
        <v>171</v>
      </c>
      <c r="E117">
        <v>6</v>
      </c>
      <c r="F117" t="s">
        <v>164</v>
      </c>
      <c r="G117" s="27" t="e">
        <f>IF(E117&lt;Inputs!$B$102,CONCATENATE(D117,E117,F117),"")</f>
        <v>#VALUE!</v>
      </c>
      <c r="H117" t="e">
        <f>IF(E117&lt;Inputs!$B$102,Inputs!$B$108,"")</f>
        <v>#VALUE!</v>
      </c>
      <c r="I117" t="e">
        <f>IF(E117&lt;Inputs!$B$102,Inputs!$B$105,"")</f>
        <v>#VALUE!</v>
      </c>
      <c r="J117" t="e">
        <f>IF(E117&lt;Inputs!$B$102,(E117*Inputs!$D$80)-Inputs!$B$98,"")</f>
        <v>#VALUE!</v>
      </c>
      <c r="M117">
        <v>90</v>
      </c>
      <c r="N117">
        <v>90</v>
      </c>
      <c r="O117" s="42" t="e">
        <f>IF(Inputs!$B$102&gt;=7,(IF(Inputs!$B$102&gt;=7,G117)),"")</f>
        <v>#VALUE!</v>
      </c>
      <c r="P117" s="43" t="e">
        <f>IF(Inputs!$B$102&gt;=7,(IF(Inputs!$B$102&gt;=7,G118)),"")</f>
        <v>#VALUE!</v>
      </c>
      <c r="Q117" s="43" t="e">
        <f>IF(Inputs!$B$102&gt;=7,(IF(Inputs!$B$102&gt;7,$G123,Inputs!D121)),"")</f>
        <v>#VALUE!</v>
      </c>
      <c r="R117" s="43" t="e">
        <f>IF(Inputs!$B$102&gt;=7,(IF(Inputs!$B$102&gt;7,$G122,Inputs!D120)),"")</f>
        <v>#VALUE!</v>
      </c>
      <c r="S117" s="43" t="e">
        <f t="shared" si="12"/>
        <v>#VALUE!</v>
      </c>
      <c r="T117" s="43" t="e">
        <f t="shared" si="13"/>
        <v>#VALUE!</v>
      </c>
      <c r="U117" s="49"/>
    </row>
    <row r="118" spans="2:21" hidden="1" x14ac:dyDescent="0.25">
      <c r="B118">
        <v>108</v>
      </c>
      <c r="C118">
        <v>108</v>
      </c>
      <c r="D118" t="s">
        <v>171</v>
      </c>
      <c r="E118">
        <v>6</v>
      </c>
      <c r="F118" t="s">
        <v>168</v>
      </c>
      <c r="G118" s="27" t="e">
        <f>IF(E118&lt;Inputs!$B$102,CONCATENATE(D118,E118,F118),"")</f>
        <v>#VALUE!</v>
      </c>
      <c r="H118" t="e">
        <f>IF(E118&lt;Inputs!$B$102,Inputs!$B$109,"")</f>
        <v>#VALUE!</v>
      </c>
      <c r="I118" t="e">
        <f>IF(E118&lt;Inputs!$B$102,Inputs!$B$105,"")</f>
        <v>#VALUE!</v>
      </c>
      <c r="J118" t="e">
        <f>IF(E118&lt;Inputs!$B$102,(E118*Inputs!$D$80)-Inputs!$B$98,"")</f>
        <v>#VALUE!</v>
      </c>
      <c r="M118">
        <v>91</v>
      </c>
      <c r="N118">
        <v>91</v>
      </c>
      <c r="O118" s="42" t="e">
        <f>IF(Inputs!$B$102&gt;=7,(IF(Inputs!$B$102&gt;=7,G118)),"")</f>
        <v>#VALUE!</v>
      </c>
      <c r="P118" s="43" t="e">
        <f>IF(Inputs!$B$102&gt;=7,(IF(Inputs!$B$102&gt;=7,G119)),"")</f>
        <v>#VALUE!</v>
      </c>
      <c r="Q118" s="43" t="e">
        <f>IF(Inputs!$B$102&gt;=7,(IF(Inputs!$B$102&gt;7,$G124,Inputs!D122)),"")</f>
        <v>#VALUE!</v>
      </c>
      <c r="R118" s="43" t="e">
        <f>IF(Inputs!$B$102&gt;=7,(IF(Inputs!$B$102&gt;7,$G123,Inputs!D121)),"")</f>
        <v>#VALUE!</v>
      </c>
      <c r="S118" s="43" t="e">
        <f t="shared" si="12"/>
        <v>#VALUE!</v>
      </c>
      <c r="T118" s="43" t="e">
        <f t="shared" si="13"/>
        <v>#VALUE!</v>
      </c>
      <c r="U118" s="49"/>
    </row>
    <row r="119" spans="2:21" hidden="1" x14ac:dyDescent="0.25">
      <c r="B119">
        <v>109</v>
      </c>
      <c r="C119">
        <v>109</v>
      </c>
      <c r="D119" t="s">
        <v>171</v>
      </c>
      <c r="E119">
        <v>6</v>
      </c>
      <c r="F119" t="s">
        <v>172</v>
      </c>
      <c r="G119" s="27" t="e">
        <f>IF(E119&lt;Inputs!$B$102,CONCATENATE(D119,E119,F119),"")</f>
        <v>#VALUE!</v>
      </c>
      <c r="H119" t="e">
        <f>IF(E119&lt;Inputs!$B$102,Inputs!$B$110,"")</f>
        <v>#VALUE!</v>
      </c>
      <c r="I119" t="e">
        <f>IF(E119&lt;Inputs!$B$102,Inputs!$B$105,"")</f>
        <v>#VALUE!</v>
      </c>
      <c r="J119" t="e">
        <f>IF(E119&lt;Inputs!$B$102,(E119*Inputs!$D$80)-Inputs!$B$98,"")</f>
        <v>#VALUE!</v>
      </c>
      <c r="M119">
        <v>92</v>
      </c>
      <c r="N119">
        <v>92</v>
      </c>
      <c r="O119" s="42" t="e">
        <f>IF(Inputs!$B$102&gt;=7,(IF(Inputs!$B$102&gt;=7,G119)),"")</f>
        <v>#VALUE!</v>
      </c>
      <c r="P119" s="43" t="e">
        <f>IF(Inputs!$B$102&gt;=7,(IF(Inputs!$B$102&gt;=7,G120)),"")</f>
        <v>#VALUE!</v>
      </c>
      <c r="Q119" s="43" t="e">
        <f>IF(Inputs!$B$102&gt;=7,(IF(Inputs!$B$102&gt;7,$G125,Inputs!D123)),"")</f>
        <v>#VALUE!</v>
      </c>
      <c r="R119" s="43" t="e">
        <f>IF(Inputs!$B$102&gt;=7,(IF(Inputs!$B$102&gt;7,$G124,Inputs!D122)),"")</f>
        <v>#VALUE!</v>
      </c>
      <c r="S119" s="43" t="e">
        <f t="shared" si="12"/>
        <v>#VALUE!</v>
      </c>
      <c r="T119" s="43" t="e">
        <f t="shared" si="13"/>
        <v>#VALUE!</v>
      </c>
      <c r="U119" s="49"/>
    </row>
    <row r="120" spans="2:21" hidden="1" x14ac:dyDescent="0.25">
      <c r="B120">
        <v>110</v>
      </c>
      <c r="C120">
        <v>110</v>
      </c>
      <c r="D120" t="s">
        <v>171</v>
      </c>
      <c r="E120">
        <v>6</v>
      </c>
      <c r="F120" t="s">
        <v>176</v>
      </c>
      <c r="G120" s="27" t="e">
        <f>IF(E120&lt;Inputs!$B$102,CONCATENATE(D120,E120,F120),"")</f>
        <v>#VALUE!</v>
      </c>
      <c r="H120" t="e">
        <f>IF(E120&lt;Inputs!$B$102,Inputs!$B$111,"")</f>
        <v>#VALUE!</v>
      </c>
      <c r="I120" t="e">
        <f>IF(E120&lt;Inputs!$B$102,Inputs!$B$105,"")</f>
        <v>#VALUE!</v>
      </c>
      <c r="J120" t="e">
        <f>IF(E120&lt;Inputs!$B$102,(E120*Inputs!$D$80)-Inputs!$B$98,"")</f>
        <v>#VALUE!</v>
      </c>
      <c r="M120">
        <v>93</v>
      </c>
      <c r="N120">
        <v>93</v>
      </c>
      <c r="O120" s="27" t="e">
        <f>IF(Inputs!$B$102&gt;=8,(IF(Inputs!$B$102&gt;=8,G121)),"")</f>
        <v>#VALUE!</v>
      </c>
      <c r="P120" t="e">
        <f>IF(Inputs!$B$102&gt;=8,(IF(Inputs!$B$102&gt;=8,G122)),"")</f>
        <v>#VALUE!</v>
      </c>
      <c r="Q120" t="e">
        <f>IF(Inputs!$B$102&gt;=8,(IF(Inputs!$B$102&gt;8,$G127,Inputs!D120)),"")</f>
        <v>#VALUE!</v>
      </c>
      <c r="R120" t="e">
        <f>IF(Inputs!$B$102&gt;=8,(IF(Inputs!$B$102&gt;8,$G126,Inputs!D119)),"")</f>
        <v>#VALUE!</v>
      </c>
      <c r="S120" t="e">
        <f t="shared" si="12"/>
        <v>#VALUE!</v>
      </c>
      <c r="T120" t="e">
        <f t="shared" si="13"/>
        <v>#VALUE!</v>
      </c>
      <c r="U120" s="28"/>
    </row>
    <row r="121" spans="2:21" hidden="1" x14ac:dyDescent="0.25">
      <c r="B121">
        <v>111</v>
      </c>
      <c r="C121">
        <v>111</v>
      </c>
      <c r="D121" t="s">
        <v>171</v>
      </c>
      <c r="E121">
        <v>7</v>
      </c>
      <c r="F121" t="s">
        <v>160</v>
      </c>
      <c r="G121" s="42" t="e">
        <f>IF(E121&lt;Inputs!$B$102,CONCATENATE(D121,E121,F121),"")</f>
        <v>#VALUE!</v>
      </c>
      <c r="H121" s="43" t="e">
        <f>IF(E121&lt;Inputs!$B$102,Inputs!$B$107,"")</f>
        <v>#VALUE!</v>
      </c>
      <c r="I121" s="43" t="e">
        <f>IF(E121&lt;Inputs!$B$102,Inputs!$B$105,"")</f>
        <v>#VALUE!</v>
      </c>
      <c r="J121" s="49" t="e">
        <f>IF(E121&lt;Inputs!$B$102,(E121*Inputs!$D$80)-Inputs!$B$98,"")</f>
        <v>#VALUE!</v>
      </c>
      <c r="M121">
        <v>94</v>
      </c>
      <c r="N121">
        <v>94</v>
      </c>
      <c r="O121" s="27" t="e">
        <f>IF(Inputs!$B$102&gt;=8,(IF(Inputs!$B$102&gt;=8,G122)),"")</f>
        <v>#VALUE!</v>
      </c>
      <c r="P121" t="e">
        <f>IF(Inputs!$B$102&gt;=8,(IF(Inputs!$B$102&gt;=8,G123)),"")</f>
        <v>#VALUE!</v>
      </c>
      <c r="Q121" t="e">
        <f>IF(Inputs!$B$102&gt;=8,(IF(Inputs!$B$102&gt;8,$G128,Inputs!D121)),"")</f>
        <v>#VALUE!</v>
      </c>
      <c r="R121" t="e">
        <f>IF(Inputs!$B$102&gt;=8,(IF(Inputs!$B$102&gt;8,$G127,Inputs!D120)),"")</f>
        <v>#VALUE!</v>
      </c>
      <c r="S121" t="e">
        <f t="shared" si="12"/>
        <v>#VALUE!</v>
      </c>
      <c r="T121" t="e">
        <f t="shared" si="13"/>
        <v>#VALUE!</v>
      </c>
      <c r="U121" s="28"/>
    </row>
    <row r="122" spans="2:21" hidden="1" x14ac:dyDescent="0.25">
      <c r="B122">
        <v>112</v>
      </c>
      <c r="C122">
        <v>112</v>
      </c>
      <c r="D122" t="s">
        <v>171</v>
      </c>
      <c r="E122">
        <v>7</v>
      </c>
      <c r="F122" t="s">
        <v>164</v>
      </c>
      <c r="G122" s="42" t="e">
        <f>IF(E122&lt;Inputs!$B$102,CONCATENATE(D122,E122,F122),"")</f>
        <v>#VALUE!</v>
      </c>
      <c r="H122" s="43" t="e">
        <f>IF(E122&lt;Inputs!$B$102,Inputs!$B$108,"")</f>
        <v>#VALUE!</v>
      </c>
      <c r="I122" s="43" t="e">
        <f>IF(E122&lt;Inputs!$B$102,Inputs!$B$105,"")</f>
        <v>#VALUE!</v>
      </c>
      <c r="J122" s="49" t="e">
        <f>IF(E122&lt;Inputs!$B$102,(E122*Inputs!$D$80)-Inputs!$B$98,"")</f>
        <v>#VALUE!</v>
      </c>
      <c r="M122">
        <v>95</v>
      </c>
      <c r="N122">
        <v>95</v>
      </c>
      <c r="O122" s="27" t="e">
        <f>IF(Inputs!$B$102&gt;=8,(IF(Inputs!$B$102&gt;=8,G123)),"")</f>
        <v>#VALUE!</v>
      </c>
      <c r="P122" t="e">
        <f>IF(Inputs!$B$102&gt;=8,(IF(Inputs!$B$102&gt;=8,G124)),"")</f>
        <v>#VALUE!</v>
      </c>
      <c r="Q122" t="e">
        <f>IF(Inputs!$B$102&gt;=8,(IF(Inputs!$B$102&gt;8,$G129,Inputs!D122)),"")</f>
        <v>#VALUE!</v>
      </c>
      <c r="R122" t="e">
        <f>IF(Inputs!$B$102&gt;=8,(IF(Inputs!$B$102&gt;8,$G128,Inputs!D121)),"")</f>
        <v>#VALUE!</v>
      </c>
      <c r="S122" t="e">
        <f t="shared" si="12"/>
        <v>#VALUE!</v>
      </c>
      <c r="T122" t="e">
        <f t="shared" si="13"/>
        <v>#VALUE!</v>
      </c>
      <c r="U122" s="28"/>
    </row>
    <row r="123" spans="2:21" hidden="1" x14ac:dyDescent="0.25">
      <c r="B123">
        <v>113</v>
      </c>
      <c r="C123">
        <v>113</v>
      </c>
      <c r="D123" t="s">
        <v>171</v>
      </c>
      <c r="E123">
        <v>7</v>
      </c>
      <c r="F123" t="s">
        <v>168</v>
      </c>
      <c r="G123" s="42" t="e">
        <f>IF(E123&lt;Inputs!$B$102,CONCATENATE(D123,E123,F123),"")</f>
        <v>#VALUE!</v>
      </c>
      <c r="H123" s="43" t="e">
        <f>IF(E123&lt;Inputs!$B$102,Inputs!$B$109,"")</f>
        <v>#VALUE!</v>
      </c>
      <c r="I123" s="43" t="e">
        <f>IF(E123&lt;Inputs!$B$102,Inputs!$B$105,"")</f>
        <v>#VALUE!</v>
      </c>
      <c r="J123" s="49" t="e">
        <f>IF(E123&lt;Inputs!$B$102,(E123*Inputs!$D$80)-Inputs!$B$98,"")</f>
        <v>#VALUE!</v>
      </c>
      <c r="M123">
        <v>96</v>
      </c>
      <c r="N123">
        <v>96</v>
      </c>
      <c r="O123" s="27" t="e">
        <f>IF(Inputs!$B$102&gt;=8,(IF(Inputs!$B$102&gt;=8,G124)),"")</f>
        <v>#VALUE!</v>
      </c>
      <c r="P123" t="e">
        <f>IF(Inputs!$B$102&gt;=8,(IF(Inputs!$B$102&gt;=8,G125)),"")</f>
        <v>#VALUE!</v>
      </c>
      <c r="Q123" t="e">
        <f>IF(Inputs!$B$102&gt;=8,(IF(Inputs!$B$102&gt;8,$G130,Inputs!D123)),"")</f>
        <v>#VALUE!</v>
      </c>
      <c r="R123" t="e">
        <f>IF(Inputs!$B$102&gt;=8,(IF(Inputs!$B$102&gt;8,$G129,Inputs!D122)),"")</f>
        <v>#VALUE!</v>
      </c>
      <c r="S123" t="e">
        <f t="shared" si="12"/>
        <v>#VALUE!</v>
      </c>
      <c r="T123" t="e">
        <f t="shared" si="13"/>
        <v>#VALUE!</v>
      </c>
      <c r="U123" s="28"/>
    </row>
    <row r="124" spans="2:21" hidden="1" x14ac:dyDescent="0.25">
      <c r="B124">
        <v>114</v>
      </c>
      <c r="C124">
        <v>114</v>
      </c>
      <c r="D124" t="s">
        <v>171</v>
      </c>
      <c r="E124">
        <v>7</v>
      </c>
      <c r="F124" t="s">
        <v>172</v>
      </c>
      <c r="G124" s="42" t="e">
        <f>IF(E124&lt;Inputs!$B$102,CONCATENATE(D124,E124,F124),"")</f>
        <v>#VALUE!</v>
      </c>
      <c r="H124" s="43" t="e">
        <f>IF(E124&lt;Inputs!$B$102,Inputs!$B$110,"")</f>
        <v>#VALUE!</v>
      </c>
      <c r="I124" s="43" t="e">
        <f>IF(E124&lt;Inputs!$B$102,Inputs!$B$105,"")</f>
        <v>#VALUE!</v>
      </c>
      <c r="J124" s="49" t="e">
        <f>IF(E124&lt;Inputs!$B$102,(E124*Inputs!$D$80)-Inputs!$B$98,"")</f>
        <v>#VALUE!</v>
      </c>
      <c r="M124">
        <v>97</v>
      </c>
      <c r="N124">
        <v>97</v>
      </c>
      <c r="O124" s="42" t="e">
        <f>IF(Inputs!$B$102&gt;=9,(IF(Inputs!$B$102&gt;=9,G126)),"")</f>
        <v>#VALUE!</v>
      </c>
      <c r="P124" s="43" t="e">
        <f>IF(Inputs!$B$102&gt;=9,(IF(Inputs!$B$102&gt;=9,G127)),"")</f>
        <v>#VALUE!</v>
      </c>
      <c r="Q124" s="43" t="e">
        <f>IF(Inputs!$B$102&gt;=9,(IF(Inputs!$B$102&gt;9,$G132,Inputs!D120)),"")</f>
        <v>#VALUE!</v>
      </c>
      <c r="R124" s="43" t="e">
        <f>IF(Inputs!$B$102&gt;=9,(IF(Inputs!$B$102&gt;9,$G131,Inputs!D119)),"")</f>
        <v>#VALUE!</v>
      </c>
      <c r="S124" s="43" t="e">
        <f t="shared" ref="S124:S155" si="14">IF(R124="","","Perp")</f>
        <v>#VALUE!</v>
      </c>
      <c r="T124" s="43" t="e">
        <f t="shared" ref="T124:T155" si="15">IF(R124="","","A-B")</f>
        <v>#VALUE!</v>
      </c>
      <c r="U124" s="49"/>
    </row>
    <row r="125" spans="2:21" hidden="1" x14ac:dyDescent="0.25">
      <c r="B125">
        <v>115</v>
      </c>
      <c r="C125">
        <v>115</v>
      </c>
      <c r="D125" t="s">
        <v>171</v>
      </c>
      <c r="E125">
        <v>7</v>
      </c>
      <c r="F125" t="s">
        <v>176</v>
      </c>
      <c r="G125" s="42" t="e">
        <f>IF(E125&lt;Inputs!$B$102,CONCATENATE(D125,E125,F125),"")</f>
        <v>#VALUE!</v>
      </c>
      <c r="H125" s="43" t="e">
        <f>IF(E125&lt;Inputs!$B$102,Inputs!$B$111,"")</f>
        <v>#VALUE!</v>
      </c>
      <c r="I125" s="43" t="e">
        <f>IF(E125&lt;Inputs!$B$102,Inputs!$B$105,"")</f>
        <v>#VALUE!</v>
      </c>
      <c r="J125" s="49" t="e">
        <f>IF(E125&lt;Inputs!$B$102,(E125*Inputs!$D$80)-Inputs!$B$98,"")</f>
        <v>#VALUE!</v>
      </c>
      <c r="M125">
        <v>98</v>
      </c>
      <c r="N125">
        <v>98</v>
      </c>
      <c r="O125" s="42" t="e">
        <f>IF(Inputs!$B$102&gt;=9,(IF(Inputs!$B$102&gt;=9,G127)),"")</f>
        <v>#VALUE!</v>
      </c>
      <c r="P125" s="43" t="e">
        <f>IF(Inputs!$B$102&gt;=9,(IF(Inputs!$B$102&gt;=9,G128)),"")</f>
        <v>#VALUE!</v>
      </c>
      <c r="Q125" s="43" t="e">
        <f>IF(Inputs!$B$102&gt;=9,(IF(Inputs!$B$102&gt;9,$G133,Inputs!D121)),"")</f>
        <v>#VALUE!</v>
      </c>
      <c r="R125" s="43" t="e">
        <f>IF(Inputs!$B$102&gt;=9,(IF(Inputs!$B$102&gt;9,$G132,Inputs!D120)),"")</f>
        <v>#VALUE!</v>
      </c>
      <c r="S125" s="43" t="e">
        <f t="shared" si="14"/>
        <v>#VALUE!</v>
      </c>
      <c r="T125" s="43" t="e">
        <f t="shared" si="15"/>
        <v>#VALUE!</v>
      </c>
      <c r="U125" s="49"/>
    </row>
    <row r="126" spans="2:21" hidden="1" x14ac:dyDescent="0.25">
      <c r="B126">
        <v>116</v>
      </c>
      <c r="C126">
        <v>116</v>
      </c>
      <c r="D126" t="s">
        <v>171</v>
      </c>
      <c r="E126">
        <v>8</v>
      </c>
      <c r="F126" t="s">
        <v>160</v>
      </c>
      <c r="G126" s="27" t="e">
        <f>IF(E126&lt;Inputs!$B$102,CONCATENATE(D126,E126,F126),"")</f>
        <v>#VALUE!</v>
      </c>
      <c r="H126" t="e">
        <f>IF(E126&lt;Inputs!$B$102,Inputs!$B$107,"")</f>
        <v>#VALUE!</v>
      </c>
      <c r="I126" t="e">
        <f>IF(E126&lt;Inputs!$B$102,Inputs!$B$105,"")</f>
        <v>#VALUE!</v>
      </c>
      <c r="J126" t="e">
        <f>IF(E126&lt;Inputs!$B$102,(E126*Inputs!$D$80)-Inputs!$B$98,"")</f>
        <v>#VALUE!</v>
      </c>
      <c r="M126">
        <v>99</v>
      </c>
      <c r="N126">
        <v>99</v>
      </c>
      <c r="O126" s="42" t="e">
        <f>IF(Inputs!$B$102&gt;=9,(IF(Inputs!$B$102&gt;=9,G128)),"")</f>
        <v>#VALUE!</v>
      </c>
      <c r="P126" s="43" t="e">
        <f>IF(Inputs!$B$102&gt;=9,(IF(Inputs!$B$102&gt;=9,G129)),"")</f>
        <v>#VALUE!</v>
      </c>
      <c r="Q126" s="43" t="e">
        <f>IF(Inputs!$B$102&gt;=9,(IF(Inputs!$B$102&gt;9,$G134,Inputs!D122)),"")</f>
        <v>#VALUE!</v>
      </c>
      <c r="R126" s="43" t="e">
        <f>IF(Inputs!$B$102&gt;=9,(IF(Inputs!$B$102&gt;9,$G133,Inputs!D121)),"")</f>
        <v>#VALUE!</v>
      </c>
      <c r="S126" s="43" t="e">
        <f t="shared" si="14"/>
        <v>#VALUE!</v>
      </c>
      <c r="T126" s="43" t="e">
        <f t="shared" si="15"/>
        <v>#VALUE!</v>
      </c>
      <c r="U126" s="49"/>
    </row>
    <row r="127" spans="2:21" hidden="1" x14ac:dyDescent="0.25">
      <c r="B127">
        <v>117</v>
      </c>
      <c r="C127">
        <v>117</v>
      </c>
      <c r="D127" t="s">
        <v>171</v>
      </c>
      <c r="E127">
        <v>8</v>
      </c>
      <c r="F127" t="s">
        <v>164</v>
      </c>
      <c r="G127" s="27" t="e">
        <f>IF(E127&lt;Inputs!$B$102,CONCATENATE(D127,E127,F127),"")</f>
        <v>#VALUE!</v>
      </c>
      <c r="H127" t="e">
        <f>IF(E127&lt;Inputs!$B$102,Inputs!$B$108,"")</f>
        <v>#VALUE!</v>
      </c>
      <c r="I127" t="e">
        <f>IF(E127&lt;Inputs!$B$102,Inputs!$B$105,"")</f>
        <v>#VALUE!</v>
      </c>
      <c r="J127" t="e">
        <f>IF(E127&lt;Inputs!$B$102,(E127*Inputs!$D$80)-Inputs!$B$98,"")</f>
        <v>#VALUE!</v>
      </c>
      <c r="M127">
        <v>100</v>
      </c>
      <c r="N127">
        <v>100</v>
      </c>
      <c r="O127" s="42" t="e">
        <f>IF(Inputs!$B$102&gt;=9,(IF(Inputs!$B$102&gt;=9,G129)),"")</f>
        <v>#VALUE!</v>
      </c>
      <c r="P127" s="43" t="e">
        <f>IF(Inputs!$B$102&gt;=9,(IF(Inputs!$B$102&gt;=9,G130)),"")</f>
        <v>#VALUE!</v>
      </c>
      <c r="Q127" s="43" t="e">
        <f>IF(Inputs!$B$102&gt;=9,(IF(Inputs!$B$102&gt;9,$G135,Inputs!D123)),"")</f>
        <v>#VALUE!</v>
      </c>
      <c r="R127" s="43" t="e">
        <f>IF(Inputs!$B$102&gt;=9,(IF(Inputs!$B$102&gt;9,$G134,Inputs!D122)),"")</f>
        <v>#VALUE!</v>
      </c>
      <c r="S127" s="43" t="e">
        <f t="shared" si="14"/>
        <v>#VALUE!</v>
      </c>
      <c r="T127" s="43" t="e">
        <f t="shared" si="15"/>
        <v>#VALUE!</v>
      </c>
      <c r="U127" s="49"/>
    </row>
    <row r="128" spans="2:21" hidden="1" x14ac:dyDescent="0.25">
      <c r="B128">
        <v>118</v>
      </c>
      <c r="C128">
        <v>118</v>
      </c>
      <c r="D128" t="s">
        <v>171</v>
      </c>
      <c r="E128">
        <v>8</v>
      </c>
      <c r="F128" t="s">
        <v>168</v>
      </c>
      <c r="G128" s="27" t="e">
        <f>IF(E128&lt;Inputs!$B$102,CONCATENATE(D128,E128,F128),"")</f>
        <v>#VALUE!</v>
      </c>
      <c r="H128" t="e">
        <f>IF(E128&lt;Inputs!$B$102,Inputs!$B$109,"")</f>
        <v>#VALUE!</v>
      </c>
      <c r="I128" t="e">
        <f>IF(E128&lt;Inputs!$B$102,Inputs!$B$105,"")</f>
        <v>#VALUE!</v>
      </c>
      <c r="J128" t="e">
        <f>IF(E128&lt;Inputs!$B$102,(E128*Inputs!$D$80)-Inputs!$B$98,"")</f>
        <v>#VALUE!</v>
      </c>
      <c r="M128">
        <v>101</v>
      </c>
      <c r="N128">
        <v>101</v>
      </c>
      <c r="O128" s="27" t="e">
        <f>IF(Inputs!$B$102&gt;=10,(IF(Inputs!$B$102&gt;=10,G131)),"")</f>
        <v>#VALUE!</v>
      </c>
      <c r="P128" t="e">
        <f>IF(Inputs!$B$102&gt;=10,(IF(Inputs!$B$102&gt;=10,G132)),"")</f>
        <v>#VALUE!</v>
      </c>
      <c r="Q128" t="e">
        <f>IF(Inputs!$B$102&gt;=10,(IF(Inputs!$B$102&gt;10,$G137,Inputs!D120)),"")</f>
        <v>#VALUE!</v>
      </c>
      <c r="R128" t="e">
        <f>IF(Inputs!$B$102&gt;=10,(IF(Inputs!$B$102&gt;10,$G136,Inputs!D119)),"")</f>
        <v>#VALUE!</v>
      </c>
      <c r="S128" t="e">
        <f t="shared" si="14"/>
        <v>#VALUE!</v>
      </c>
      <c r="T128" t="e">
        <f t="shared" si="15"/>
        <v>#VALUE!</v>
      </c>
      <c r="U128" s="28"/>
    </row>
    <row r="129" spans="2:21" hidden="1" x14ac:dyDescent="0.25">
      <c r="B129">
        <v>119</v>
      </c>
      <c r="C129">
        <v>119</v>
      </c>
      <c r="D129" t="s">
        <v>171</v>
      </c>
      <c r="E129">
        <v>8</v>
      </c>
      <c r="F129" t="s">
        <v>172</v>
      </c>
      <c r="G129" s="27" t="e">
        <f>IF(E129&lt;Inputs!$B$102,CONCATENATE(D129,E129,F129),"")</f>
        <v>#VALUE!</v>
      </c>
      <c r="H129" t="e">
        <f>IF(E129&lt;Inputs!$B$102,Inputs!$B$110,"")</f>
        <v>#VALUE!</v>
      </c>
      <c r="I129" t="e">
        <f>IF(E129&lt;Inputs!$B$102,Inputs!$B$105,"")</f>
        <v>#VALUE!</v>
      </c>
      <c r="J129" t="e">
        <f>IF(E129&lt;Inputs!$B$102,(E129*Inputs!$D$80)-Inputs!$B$98,"")</f>
        <v>#VALUE!</v>
      </c>
      <c r="M129">
        <v>102</v>
      </c>
      <c r="N129">
        <v>102</v>
      </c>
      <c r="O129" s="27" t="e">
        <f>IF(Inputs!$B$102&gt;=10,(IF(Inputs!$B$102&gt;=10,G132)),"")</f>
        <v>#VALUE!</v>
      </c>
      <c r="P129" t="e">
        <f>IF(Inputs!$B$102&gt;=10,(IF(Inputs!$B$102&gt;=10,G133)),"")</f>
        <v>#VALUE!</v>
      </c>
      <c r="Q129" t="e">
        <f>IF(Inputs!$B$102&gt;=10,(IF(Inputs!$B$102&gt;10,$G138,Inputs!D121)),"")</f>
        <v>#VALUE!</v>
      </c>
      <c r="R129" t="e">
        <f>IF(Inputs!$B$102&gt;=10,(IF(Inputs!$B$102&gt;10,$G137,Inputs!D120)),"")</f>
        <v>#VALUE!</v>
      </c>
      <c r="S129" t="e">
        <f t="shared" si="14"/>
        <v>#VALUE!</v>
      </c>
      <c r="T129" t="e">
        <f t="shared" si="15"/>
        <v>#VALUE!</v>
      </c>
      <c r="U129" s="28"/>
    </row>
    <row r="130" spans="2:21" hidden="1" x14ac:dyDescent="0.25">
      <c r="B130">
        <v>120</v>
      </c>
      <c r="C130">
        <v>120</v>
      </c>
      <c r="D130" t="s">
        <v>171</v>
      </c>
      <c r="E130">
        <v>8</v>
      </c>
      <c r="F130" t="s">
        <v>176</v>
      </c>
      <c r="G130" s="27" t="e">
        <f>IF(E130&lt;Inputs!$B$102,CONCATENATE(D130,E130,F130),"")</f>
        <v>#VALUE!</v>
      </c>
      <c r="H130" t="e">
        <f>IF(E130&lt;Inputs!$B$102,Inputs!$B$111,"")</f>
        <v>#VALUE!</v>
      </c>
      <c r="I130" t="e">
        <f>IF(E130&lt;Inputs!$B$102,Inputs!$B$105,"")</f>
        <v>#VALUE!</v>
      </c>
      <c r="J130" t="e">
        <f>IF(E130&lt;Inputs!$B$102,(E130*Inputs!$D$80)-Inputs!$B$98,"")</f>
        <v>#VALUE!</v>
      </c>
      <c r="M130">
        <v>103</v>
      </c>
      <c r="N130">
        <v>103</v>
      </c>
      <c r="O130" s="27" t="e">
        <f>IF(Inputs!$B$102&gt;=10,(IF(Inputs!$B$102&gt;=10,G133)),"")</f>
        <v>#VALUE!</v>
      </c>
      <c r="P130" t="e">
        <f>IF(Inputs!$B$102&gt;=10,(IF(Inputs!$B$102&gt;=10,G134)),"")</f>
        <v>#VALUE!</v>
      </c>
      <c r="Q130" t="e">
        <f>IF(Inputs!$B$102&gt;=10,(IF(Inputs!$B$102&gt;10,$G139,Inputs!D122)),"")</f>
        <v>#VALUE!</v>
      </c>
      <c r="R130" t="e">
        <f>IF(Inputs!$B$102&gt;=10,(IF(Inputs!$B$102&gt;10,$G138,Inputs!D121)),"")</f>
        <v>#VALUE!</v>
      </c>
      <c r="S130" t="e">
        <f t="shared" si="14"/>
        <v>#VALUE!</v>
      </c>
      <c r="T130" t="e">
        <f t="shared" si="15"/>
        <v>#VALUE!</v>
      </c>
      <c r="U130" s="28"/>
    </row>
    <row r="131" spans="2:21" hidden="1" x14ac:dyDescent="0.25">
      <c r="B131">
        <v>121</v>
      </c>
      <c r="C131">
        <v>121</v>
      </c>
      <c r="D131" t="s">
        <v>171</v>
      </c>
      <c r="E131">
        <v>9</v>
      </c>
      <c r="F131" t="s">
        <v>160</v>
      </c>
      <c r="G131" s="42" t="e">
        <f>IF(E131&lt;Inputs!$B$102,CONCATENATE(D131,E131,F131),"")</f>
        <v>#VALUE!</v>
      </c>
      <c r="H131" s="43" t="e">
        <f>IF(E131&lt;Inputs!$B$102,Inputs!$B$107,"")</f>
        <v>#VALUE!</v>
      </c>
      <c r="I131" s="43" t="e">
        <f>IF(E131&lt;Inputs!$B$102,Inputs!$B$105,"")</f>
        <v>#VALUE!</v>
      </c>
      <c r="J131" s="49" t="e">
        <f>IF(E131&lt;Inputs!$B$102,(E131*Inputs!$D$80)-Inputs!$B$98,"")</f>
        <v>#VALUE!</v>
      </c>
      <c r="M131">
        <v>104</v>
      </c>
      <c r="N131">
        <v>104</v>
      </c>
      <c r="O131" s="27" t="e">
        <f>IF(Inputs!$B$102&gt;=10,(IF(Inputs!$B$102&gt;=10,G134)),"")</f>
        <v>#VALUE!</v>
      </c>
      <c r="P131" t="e">
        <f>IF(Inputs!$B$102&gt;=10,(IF(Inputs!$B$102&gt;=10,G135)),"")</f>
        <v>#VALUE!</v>
      </c>
      <c r="Q131" t="e">
        <f>IF(Inputs!$B$102&gt;=10,(IF(Inputs!$B$102&gt;10,$G140,Inputs!D123)),"")</f>
        <v>#VALUE!</v>
      </c>
      <c r="R131" t="e">
        <f>IF(Inputs!$B$102&gt;=10,(IF(Inputs!$B$102&gt;10,$G139,Inputs!D122)),"")</f>
        <v>#VALUE!</v>
      </c>
      <c r="S131" t="e">
        <f t="shared" si="14"/>
        <v>#VALUE!</v>
      </c>
      <c r="T131" t="e">
        <f t="shared" si="15"/>
        <v>#VALUE!</v>
      </c>
      <c r="U131" s="28"/>
    </row>
    <row r="132" spans="2:21" hidden="1" x14ac:dyDescent="0.25">
      <c r="B132">
        <v>122</v>
      </c>
      <c r="C132">
        <v>122</v>
      </c>
      <c r="D132" t="s">
        <v>171</v>
      </c>
      <c r="E132">
        <v>9</v>
      </c>
      <c r="F132" t="s">
        <v>164</v>
      </c>
      <c r="G132" s="42" t="e">
        <f>IF(E132&lt;Inputs!$B$102,CONCATENATE(D132,E132,F132),"")</f>
        <v>#VALUE!</v>
      </c>
      <c r="H132" s="43" t="e">
        <f>IF(E132&lt;Inputs!$B$102,Inputs!$B$108,"")</f>
        <v>#VALUE!</v>
      </c>
      <c r="I132" s="43" t="e">
        <f>IF(E132&lt;Inputs!$B$102,Inputs!$B$105,"")</f>
        <v>#VALUE!</v>
      </c>
      <c r="J132" s="49" t="e">
        <f>IF(E132&lt;Inputs!$B$102,(E132*Inputs!$D$80)-Inputs!$B$98,"")</f>
        <v>#VALUE!</v>
      </c>
      <c r="M132">
        <v>105</v>
      </c>
      <c r="N132">
        <v>105</v>
      </c>
      <c r="O132" s="42" t="e">
        <f>IF(Inputs!$B$102&gt;=11,(IF(Inputs!$B$102&gt;=11,G136)),"")</f>
        <v>#VALUE!</v>
      </c>
      <c r="P132" s="43" t="e">
        <f>IF(Inputs!$B$102&gt;=11,(IF(Inputs!$B$102&gt;=11,G137)),"")</f>
        <v>#VALUE!</v>
      </c>
      <c r="Q132" s="43" t="e">
        <f>IF(Inputs!$B$102&gt;=11,(IF(Inputs!$B$102&gt;11,$G142,Inputs!D120)),"")</f>
        <v>#VALUE!</v>
      </c>
      <c r="R132" s="43" t="e">
        <f>IF(Inputs!$B$102&gt;=11,(IF(Inputs!$B$102&gt;11,$G141,Inputs!D119)),"")</f>
        <v>#VALUE!</v>
      </c>
      <c r="S132" s="43" t="e">
        <f t="shared" si="14"/>
        <v>#VALUE!</v>
      </c>
      <c r="T132" s="43" t="e">
        <f t="shared" si="15"/>
        <v>#VALUE!</v>
      </c>
      <c r="U132" s="49"/>
    </row>
    <row r="133" spans="2:21" hidden="1" x14ac:dyDescent="0.25">
      <c r="B133">
        <v>123</v>
      </c>
      <c r="C133">
        <v>123</v>
      </c>
      <c r="D133" t="s">
        <v>171</v>
      </c>
      <c r="E133">
        <v>9</v>
      </c>
      <c r="F133" t="s">
        <v>168</v>
      </c>
      <c r="G133" s="42" t="e">
        <f>IF(E133&lt;Inputs!$B$102,CONCATENATE(D133,E133,F133),"")</f>
        <v>#VALUE!</v>
      </c>
      <c r="H133" s="43" t="e">
        <f>IF(E133&lt;Inputs!$B$102,Inputs!$B$109,"")</f>
        <v>#VALUE!</v>
      </c>
      <c r="I133" s="43" t="e">
        <f>IF(E133&lt;Inputs!$B$102,Inputs!$B$105,"")</f>
        <v>#VALUE!</v>
      </c>
      <c r="J133" s="49" t="e">
        <f>IF(E133&lt;Inputs!$B$102,(E133*Inputs!$D$80)-Inputs!$B$98,"")</f>
        <v>#VALUE!</v>
      </c>
      <c r="M133">
        <v>106</v>
      </c>
      <c r="N133">
        <v>106</v>
      </c>
      <c r="O133" s="42" t="e">
        <f>IF(Inputs!$B$102&gt;=11,(IF(Inputs!$B$102&gt;=11,G137)),"")</f>
        <v>#VALUE!</v>
      </c>
      <c r="P133" s="43" t="e">
        <f>IF(Inputs!$B$102&gt;=11,(IF(Inputs!$B$102&gt;=11,G138)),"")</f>
        <v>#VALUE!</v>
      </c>
      <c r="Q133" s="43" t="e">
        <f>IF(Inputs!$B$102&gt;=11,(IF(Inputs!$B$102&gt;11,$G143,Inputs!D121)),"")</f>
        <v>#VALUE!</v>
      </c>
      <c r="R133" s="43" t="e">
        <f>IF(Inputs!$B$102&gt;=11,(IF(Inputs!$B$102&gt;11,$G142,Inputs!D120)),"")</f>
        <v>#VALUE!</v>
      </c>
      <c r="S133" s="43" t="e">
        <f t="shared" si="14"/>
        <v>#VALUE!</v>
      </c>
      <c r="T133" s="43" t="e">
        <f t="shared" si="15"/>
        <v>#VALUE!</v>
      </c>
      <c r="U133" s="49"/>
    </row>
    <row r="134" spans="2:21" hidden="1" x14ac:dyDescent="0.25">
      <c r="B134">
        <v>124</v>
      </c>
      <c r="C134">
        <v>124</v>
      </c>
      <c r="D134" t="s">
        <v>171</v>
      </c>
      <c r="E134">
        <v>9</v>
      </c>
      <c r="F134" t="s">
        <v>172</v>
      </c>
      <c r="G134" s="42" t="e">
        <f>IF(E134&lt;Inputs!$B$102,CONCATENATE(D134,E134,F134),"")</f>
        <v>#VALUE!</v>
      </c>
      <c r="H134" s="43" t="e">
        <f>IF(E134&lt;Inputs!$B$102,Inputs!$B$110,"")</f>
        <v>#VALUE!</v>
      </c>
      <c r="I134" s="43" t="e">
        <f>IF(E134&lt;Inputs!$B$102,Inputs!$B$105,"")</f>
        <v>#VALUE!</v>
      </c>
      <c r="J134" s="49" t="e">
        <f>IF(E134&lt;Inputs!$B$102,(E134*Inputs!$D$80)-Inputs!$B$98,"")</f>
        <v>#VALUE!</v>
      </c>
      <c r="M134">
        <v>107</v>
      </c>
      <c r="N134">
        <v>107</v>
      </c>
      <c r="O134" s="42" t="e">
        <f>IF(Inputs!$B$102&gt;=11,(IF(Inputs!$B$102&gt;=11,G138)),"")</f>
        <v>#VALUE!</v>
      </c>
      <c r="P134" s="43" t="e">
        <f>IF(Inputs!$B$102&gt;=11,(IF(Inputs!$B$102&gt;=11,G139)),"")</f>
        <v>#VALUE!</v>
      </c>
      <c r="Q134" s="43" t="e">
        <f>IF(Inputs!$B$102&gt;=11,(IF(Inputs!$B$102&gt;11,$G144,Inputs!D122)),"")</f>
        <v>#VALUE!</v>
      </c>
      <c r="R134" s="43" t="e">
        <f>IF(Inputs!$B$102&gt;=11,(IF(Inputs!$B$102&gt;11,$G143,Inputs!D121)),"")</f>
        <v>#VALUE!</v>
      </c>
      <c r="S134" s="43" t="e">
        <f t="shared" si="14"/>
        <v>#VALUE!</v>
      </c>
      <c r="T134" s="43" t="e">
        <f t="shared" si="15"/>
        <v>#VALUE!</v>
      </c>
      <c r="U134" s="49"/>
    </row>
    <row r="135" spans="2:21" hidden="1" x14ac:dyDescent="0.25">
      <c r="B135">
        <v>125</v>
      </c>
      <c r="C135">
        <v>125</v>
      </c>
      <c r="D135" t="s">
        <v>171</v>
      </c>
      <c r="E135">
        <v>9</v>
      </c>
      <c r="F135" t="s">
        <v>176</v>
      </c>
      <c r="G135" s="42" t="e">
        <f>IF(E135&lt;Inputs!$B$102,CONCATENATE(D135,E135,F135),"")</f>
        <v>#VALUE!</v>
      </c>
      <c r="H135" s="43" t="e">
        <f>IF(E135&lt;Inputs!$B$102,Inputs!$B$111,"")</f>
        <v>#VALUE!</v>
      </c>
      <c r="I135" s="43" t="e">
        <f>IF(E135&lt;Inputs!$B$102,Inputs!$B$105,"")</f>
        <v>#VALUE!</v>
      </c>
      <c r="J135" s="49" t="e">
        <f>IF(E135&lt;Inputs!$B$102,(E135*Inputs!$D$80)-Inputs!$B$98,"")</f>
        <v>#VALUE!</v>
      </c>
      <c r="M135">
        <v>108</v>
      </c>
      <c r="N135">
        <v>108</v>
      </c>
      <c r="O135" s="42" t="e">
        <f>IF(Inputs!$B$102&gt;=11,(IF(Inputs!$B$102&gt;=11,G139)),"")</f>
        <v>#VALUE!</v>
      </c>
      <c r="P135" s="43" t="e">
        <f>IF(Inputs!$B$102&gt;=11,(IF(Inputs!$B$102&gt;=11,G140)),"")</f>
        <v>#VALUE!</v>
      </c>
      <c r="Q135" s="43" t="e">
        <f>IF(Inputs!$B$102&gt;=11,(IF(Inputs!$B$102&gt;11,$G145,Inputs!D123)),"")</f>
        <v>#VALUE!</v>
      </c>
      <c r="R135" s="43" t="e">
        <f>IF(Inputs!$B$102&gt;=11,(IF(Inputs!$B$102&gt;11,$G144,Inputs!D122)),"")</f>
        <v>#VALUE!</v>
      </c>
      <c r="S135" s="43" t="e">
        <f t="shared" si="14"/>
        <v>#VALUE!</v>
      </c>
      <c r="T135" s="43" t="e">
        <f t="shared" si="15"/>
        <v>#VALUE!</v>
      </c>
      <c r="U135" s="49"/>
    </row>
    <row r="136" spans="2:21" hidden="1" x14ac:dyDescent="0.25">
      <c r="B136">
        <v>126</v>
      </c>
      <c r="C136">
        <v>126</v>
      </c>
      <c r="D136" t="s">
        <v>171</v>
      </c>
      <c r="E136">
        <v>10</v>
      </c>
      <c r="F136" t="s">
        <v>160</v>
      </c>
      <c r="G136" s="27" t="e">
        <f>IF(E136&lt;Inputs!$B$102,CONCATENATE(D136,E136,F136),"")</f>
        <v>#VALUE!</v>
      </c>
      <c r="H136" t="e">
        <f>IF(E136&lt;Inputs!$B$102,Inputs!$B$107,"")</f>
        <v>#VALUE!</v>
      </c>
      <c r="I136" t="e">
        <f>IF(E136&lt;Inputs!$B$102,Inputs!$B$105,"")</f>
        <v>#VALUE!</v>
      </c>
      <c r="J136" t="e">
        <f>IF(E136&lt;Inputs!$B$102,(E136*Inputs!$D$80)-Inputs!$B$98,"")</f>
        <v>#VALUE!</v>
      </c>
      <c r="M136">
        <v>109</v>
      </c>
      <c r="N136">
        <v>109</v>
      </c>
      <c r="O136" s="27" t="e">
        <f>IF(Inputs!$B$102&gt;=12,(IF(Inputs!$B$102&gt;=12,G141)),"")</f>
        <v>#VALUE!</v>
      </c>
      <c r="P136" t="e">
        <f>IF(Inputs!$B$102&gt;=12,(IF(Inputs!$B$102&gt;=12,G142)),"")</f>
        <v>#VALUE!</v>
      </c>
      <c r="Q136" t="e">
        <f>IF(Inputs!$B$102&gt;=12,(IF(Inputs!$B$102&gt;12,$G147,Inputs!D120)),"")</f>
        <v>#VALUE!</v>
      </c>
      <c r="R136" t="e">
        <f>IF(Inputs!$B$102&gt;=12,(IF(Inputs!$B$102&gt;12,$G146,Inputs!D119)),"")</f>
        <v>#VALUE!</v>
      </c>
      <c r="S136" t="e">
        <f t="shared" si="14"/>
        <v>#VALUE!</v>
      </c>
      <c r="T136" t="e">
        <f t="shared" si="15"/>
        <v>#VALUE!</v>
      </c>
      <c r="U136" s="28"/>
    </row>
    <row r="137" spans="2:21" hidden="1" x14ac:dyDescent="0.25">
      <c r="B137">
        <v>127</v>
      </c>
      <c r="C137">
        <v>127</v>
      </c>
      <c r="D137" t="s">
        <v>171</v>
      </c>
      <c r="E137">
        <v>10</v>
      </c>
      <c r="F137" t="s">
        <v>164</v>
      </c>
      <c r="G137" s="27" t="e">
        <f>IF(E137&lt;Inputs!$B$102,CONCATENATE(D137,E137,F137),"")</f>
        <v>#VALUE!</v>
      </c>
      <c r="H137" t="e">
        <f>IF(E137&lt;Inputs!$B$102,Inputs!$B$108,"")</f>
        <v>#VALUE!</v>
      </c>
      <c r="I137" t="e">
        <f>IF(E137&lt;Inputs!$B$102,Inputs!$B$105,"")</f>
        <v>#VALUE!</v>
      </c>
      <c r="J137" t="e">
        <f>IF(E137&lt;Inputs!$B$102,(E137*Inputs!$D$80)-Inputs!$B$98,"")</f>
        <v>#VALUE!</v>
      </c>
      <c r="M137">
        <v>110</v>
      </c>
      <c r="N137">
        <v>110</v>
      </c>
      <c r="O137" s="27" t="e">
        <f>IF(Inputs!$B$102&gt;=12,(IF(Inputs!$B$102&gt;=12,G142)),"")</f>
        <v>#VALUE!</v>
      </c>
      <c r="P137" t="e">
        <f>IF(Inputs!$B$102&gt;=12,(IF(Inputs!$B$102&gt;=12,G143)),"")</f>
        <v>#VALUE!</v>
      </c>
      <c r="Q137" t="e">
        <f>IF(Inputs!$B$102&gt;=12,(IF(Inputs!$B$102&gt;12,$G148,Inputs!D121)),"")</f>
        <v>#VALUE!</v>
      </c>
      <c r="R137" t="e">
        <f>IF(Inputs!$B$102&gt;=12,(IF(Inputs!$B$102&gt;12,$G147,Inputs!D120)),"")</f>
        <v>#VALUE!</v>
      </c>
      <c r="S137" t="e">
        <f t="shared" si="14"/>
        <v>#VALUE!</v>
      </c>
      <c r="T137" t="e">
        <f t="shared" si="15"/>
        <v>#VALUE!</v>
      </c>
      <c r="U137" s="28"/>
    </row>
    <row r="138" spans="2:21" hidden="1" x14ac:dyDescent="0.25">
      <c r="B138">
        <v>128</v>
      </c>
      <c r="C138">
        <v>128</v>
      </c>
      <c r="D138" t="s">
        <v>171</v>
      </c>
      <c r="E138">
        <v>10</v>
      </c>
      <c r="F138" t="s">
        <v>168</v>
      </c>
      <c r="G138" s="27" t="e">
        <f>IF(E138&lt;Inputs!$B$102,CONCATENATE(D138,E138,F138),"")</f>
        <v>#VALUE!</v>
      </c>
      <c r="H138" t="e">
        <f>IF(E138&lt;Inputs!$B$102,Inputs!$B$109,"")</f>
        <v>#VALUE!</v>
      </c>
      <c r="I138" t="e">
        <f>IF(E138&lt;Inputs!$B$102,Inputs!$B$105,"")</f>
        <v>#VALUE!</v>
      </c>
      <c r="J138" t="e">
        <f>IF(E138&lt;Inputs!$B$102,(E138*Inputs!$D$80)-Inputs!$B$98,"")</f>
        <v>#VALUE!</v>
      </c>
      <c r="M138">
        <v>111</v>
      </c>
      <c r="N138">
        <v>111</v>
      </c>
      <c r="O138" s="27" t="e">
        <f>IF(Inputs!$B$102&gt;=12,(IF(Inputs!$B$102&gt;=12,G143)),"")</f>
        <v>#VALUE!</v>
      </c>
      <c r="P138" t="e">
        <f>IF(Inputs!$B$102&gt;=12,(IF(Inputs!$B$102&gt;=12,G144)),"")</f>
        <v>#VALUE!</v>
      </c>
      <c r="Q138" t="e">
        <f>IF(Inputs!$B$102&gt;=12,(IF(Inputs!$B$102&gt;12,$G149,Inputs!D122)),"")</f>
        <v>#VALUE!</v>
      </c>
      <c r="R138" t="e">
        <f>IF(Inputs!$B$102&gt;=12,(IF(Inputs!$B$102&gt;12,$G148,Inputs!D121)),"")</f>
        <v>#VALUE!</v>
      </c>
      <c r="S138" t="e">
        <f t="shared" si="14"/>
        <v>#VALUE!</v>
      </c>
      <c r="T138" t="e">
        <f t="shared" si="15"/>
        <v>#VALUE!</v>
      </c>
      <c r="U138" s="28"/>
    </row>
    <row r="139" spans="2:21" hidden="1" x14ac:dyDescent="0.25">
      <c r="B139">
        <v>129</v>
      </c>
      <c r="C139">
        <v>129</v>
      </c>
      <c r="D139" t="s">
        <v>171</v>
      </c>
      <c r="E139">
        <v>10</v>
      </c>
      <c r="F139" t="s">
        <v>172</v>
      </c>
      <c r="G139" s="27" t="e">
        <f>IF(E139&lt;Inputs!$B$102,CONCATENATE(D139,E139,F139),"")</f>
        <v>#VALUE!</v>
      </c>
      <c r="H139" t="e">
        <f>IF(E139&lt;Inputs!$B$102,Inputs!$B$110,"")</f>
        <v>#VALUE!</v>
      </c>
      <c r="I139" t="e">
        <f>IF(E139&lt;Inputs!$B$102,Inputs!$B$105,"")</f>
        <v>#VALUE!</v>
      </c>
      <c r="J139" t="e">
        <f>IF(E139&lt;Inputs!$B$102,(E139*Inputs!$D$80)-Inputs!$B$98,"")</f>
        <v>#VALUE!</v>
      </c>
      <c r="M139">
        <v>112</v>
      </c>
      <c r="N139">
        <v>112</v>
      </c>
      <c r="O139" s="29" t="e">
        <f>IF(Inputs!$B$102&gt;=12,(IF(Inputs!$B$102&gt;=12,G144)),"")</f>
        <v>#VALUE!</v>
      </c>
      <c r="P139" s="30" t="e">
        <f>IF(Inputs!$B$102&gt;=12,(IF(Inputs!$B$102&gt;=12,G145)),"")</f>
        <v>#VALUE!</v>
      </c>
      <c r="Q139" s="30" t="e">
        <f>IF(Inputs!$B$102&gt;=12,(IF(Inputs!$B$102&gt;12,$G150,Inputs!D123)),"")</f>
        <v>#VALUE!</v>
      </c>
      <c r="R139" s="30" t="e">
        <f>IF(Inputs!$B$102&gt;=12,(IF(Inputs!$B$102&gt;12,$G149,Inputs!D122)),"")</f>
        <v>#VALUE!</v>
      </c>
      <c r="S139" s="30" t="e">
        <f t="shared" si="14"/>
        <v>#VALUE!</v>
      </c>
      <c r="T139" s="30" t="e">
        <f t="shared" si="15"/>
        <v>#VALUE!</v>
      </c>
      <c r="U139" s="31"/>
    </row>
    <row r="140" spans="2:21" hidden="1" x14ac:dyDescent="0.25">
      <c r="B140">
        <v>130</v>
      </c>
      <c r="C140">
        <v>130</v>
      </c>
      <c r="D140" t="s">
        <v>171</v>
      </c>
      <c r="E140">
        <v>10</v>
      </c>
      <c r="F140" t="s">
        <v>176</v>
      </c>
      <c r="G140" s="27" t="e">
        <f>IF(E140&lt;Inputs!$B$102,CONCATENATE(D140,E140,F140),"")</f>
        <v>#VALUE!</v>
      </c>
      <c r="H140" t="e">
        <f>IF(E140&lt;Inputs!$B$102,Inputs!$B$111,"")</f>
        <v>#VALUE!</v>
      </c>
      <c r="I140" t="e">
        <f>IF(E140&lt;Inputs!$B$102,Inputs!$B$105,"")</f>
        <v>#VALUE!</v>
      </c>
      <c r="J140" t="e">
        <f>IF(E140&lt;Inputs!$B$102,(E140*Inputs!$D$80)-Inputs!$B$98,"")</f>
        <v>#VALUE!</v>
      </c>
      <c r="M140">
        <v>113</v>
      </c>
      <c r="N140">
        <v>113</v>
      </c>
      <c r="O140" s="43" t="e">
        <f>IF(Inputs!$B$101&gt;=13,(IF(Inputs!$B$101&gt;=13,G146)),"")</f>
        <v>#VALUE!</v>
      </c>
      <c r="P140" s="43" t="e">
        <f>IF(Inputs!$B$101&gt;=13,(IF(Inputs!$B$101&gt;=13,$G147)),"")</f>
        <v>#VALUE!</v>
      </c>
      <c r="Q140" s="43" t="e">
        <f>IF(Inputs!$B$102&gt;=13,(IF(Inputs!$B$101&gt;13,$G152,Inputs!D120)),"")</f>
        <v>#VALUE!</v>
      </c>
      <c r="R140" s="43" t="e">
        <f>IF(Inputs!$B$102&gt;=13,(IF(Inputs!$B$102&gt;13,$G151,Inputs!D119)),"")</f>
        <v>#VALUE!</v>
      </c>
      <c r="S140" s="43" t="e">
        <f t="shared" si="14"/>
        <v>#VALUE!</v>
      </c>
      <c r="T140" s="43" t="e">
        <f t="shared" si="15"/>
        <v>#VALUE!</v>
      </c>
      <c r="U140" s="49"/>
    </row>
    <row r="141" spans="2:21" hidden="1" x14ac:dyDescent="0.25">
      <c r="B141">
        <v>131</v>
      </c>
      <c r="C141">
        <v>131</v>
      </c>
      <c r="D141" t="s">
        <v>171</v>
      </c>
      <c r="E141">
        <v>11</v>
      </c>
      <c r="F141" t="s">
        <v>160</v>
      </c>
      <c r="G141" s="42" t="e">
        <f>IF(E141&lt;Inputs!$B$102,CONCATENATE(D141,E141,F141),"")</f>
        <v>#VALUE!</v>
      </c>
      <c r="H141" s="43" t="e">
        <f>IF(E141&lt;Inputs!$B$102,Inputs!$B$107,"")</f>
        <v>#VALUE!</v>
      </c>
      <c r="I141" s="43" t="e">
        <f>IF(E141&lt;Inputs!$B$102,Inputs!$B$105,"")</f>
        <v>#VALUE!</v>
      </c>
      <c r="J141" s="49" t="e">
        <f>IF(E141&lt;Inputs!$B$102,(E141*Inputs!$D$80)-Inputs!$B$98,"")</f>
        <v>#VALUE!</v>
      </c>
      <c r="M141">
        <v>114</v>
      </c>
      <c r="N141">
        <v>114</v>
      </c>
      <c r="O141" s="43" t="e">
        <f>IF(Inputs!$B$101&gt;=13,(IF(Inputs!$B$101&gt;=13,G147)),"")</f>
        <v>#VALUE!</v>
      </c>
      <c r="P141" s="43" t="e">
        <f>IF(Inputs!$B$101&gt;=13,(IF(Inputs!$B$101&gt;=13,$G148)),"")</f>
        <v>#VALUE!</v>
      </c>
      <c r="Q141" s="43" t="e">
        <f>IF(Inputs!$B$102&gt;=13,(IF(Inputs!$B$101&gt;13,$G153,Inputs!D121)),"")</f>
        <v>#VALUE!</v>
      </c>
      <c r="R141" s="43" t="e">
        <f>IF(Inputs!$B$102&gt;=13,(IF(Inputs!$B$102&gt;13,$G152,Inputs!D120)),"")</f>
        <v>#VALUE!</v>
      </c>
      <c r="S141" s="43" t="e">
        <f t="shared" si="14"/>
        <v>#VALUE!</v>
      </c>
      <c r="T141" s="43" t="e">
        <f t="shared" si="15"/>
        <v>#VALUE!</v>
      </c>
      <c r="U141" s="49"/>
    </row>
    <row r="142" spans="2:21" hidden="1" x14ac:dyDescent="0.25">
      <c r="B142">
        <v>132</v>
      </c>
      <c r="C142">
        <v>132</v>
      </c>
      <c r="D142" t="s">
        <v>171</v>
      </c>
      <c r="E142">
        <v>11</v>
      </c>
      <c r="F142" t="s">
        <v>164</v>
      </c>
      <c r="G142" s="42" t="e">
        <f>IF(E142&lt;Inputs!$B$102,CONCATENATE(D142,E142,F142),"")</f>
        <v>#VALUE!</v>
      </c>
      <c r="H142" s="43" t="e">
        <f>IF(E142&lt;Inputs!$B$102,Inputs!$B$108,"")</f>
        <v>#VALUE!</v>
      </c>
      <c r="I142" s="43" t="e">
        <f>IF(E142&lt;Inputs!$B$102,Inputs!$B$105,"")</f>
        <v>#VALUE!</v>
      </c>
      <c r="J142" s="49" t="e">
        <f>IF(E142&lt;Inputs!$B$102,(E142*Inputs!$D$80)-Inputs!$B$98,"")</f>
        <v>#VALUE!</v>
      </c>
      <c r="M142">
        <v>115</v>
      </c>
      <c r="N142">
        <v>115</v>
      </c>
      <c r="O142" s="43" t="e">
        <f>IF(Inputs!$B$101&gt;=13,(IF(Inputs!$B$101&gt;=13,G148)),"")</f>
        <v>#VALUE!</v>
      </c>
      <c r="P142" s="43" t="e">
        <f>IF(Inputs!$B$101&gt;=13,(IF(Inputs!$B$101&gt;=13,$G149)),"")</f>
        <v>#VALUE!</v>
      </c>
      <c r="Q142" s="43" t="e">
        <f>IF(Inputs!$B$102&gt;=13,(IF(Inputs!$B$101&gt;13,$G154,Inputs!D122)),"")</f>
        <v>#VALUE!</v>
      </c>
      <c r="R142" s="43" t="e">
        <f>IF(Inputs!$B$102&gt;=13,(IF(Inputs!$B$102&gt;13,$G153,Inputs!D121)),"")</f>
        <v>#VALUE!</v>
      </c>
      <c r="S142" s="43" t="e">
        <f t="shared" si="14"/>
        <v>#VALUE!</v>
      </c>
      <c r="T142" s="43" t="e">
        <f t="shared" si="15"/>
        <v>#VALUE!</v>
      </c>
      <c r="U142" s="49"/>
    </row>
    <row r="143" spans="2:21" hidden="1" x14ac:dyDescent="0.25">
      <c r="B143">
        <v>133</v>
      </c>
      <c r="C143">
        <v>133</v>
      </c>
      <c r="D143" t="s">
        <v>171</v>
      </c>
      <c r="E143">
        <v>11</v>
      </c>
      <c r="F143" t="s">
        <v>168</v>
      </c>
      <c r="G143" s="42" t="e">
        <f>IF(E143&lt;Inputs!$B$102,CONCATENATE(D143,E143,F143),"")</f>
        <v>#VALUE!</v>
      </c>
      <c r="H143" s="43" t="e">
        <f>IF(E143&lt;Inputs!$B$102,Inputs!$B$109,"")</f>
        <v>#VALUE!</v>
      </c>
      <c r="I143" s="43" t="e">
        <f>IF(E143&lt;Inputs!$B$102,Inputs!$B$105,"")</f>
        <v>#VALUE!</v>
      </c>
      <c r="J143" s="49" t="e">
        <f>IF(E143&lt;Inputs!$B$102,(E143*Inputs!$D$80)-Inputs!$B$98,"")</f>
        <v>#VALUE!</v>
      </c>
      <c r="M143">
        <v>116</v>
      </c>
      <c r="N143">
        <v>116</v>
      </c>
      <c r="O143" s="43" t="e">
        <f>IF(Inputs!$B$101&gt;=13,(IF(Inputs!$B$101&gt;=13,G149)),"")</f>
        <v>#VALUE!</v>
      </c>
      <c r="P143" s="43" t="e">
        <f>IF(Inputs!$B$101&gt;=13,(IF(Inputs!$B$101&gt;=13,$G150)),"")</f>
        <v>#VALUE!</v>
      </c>
      <c r="Q143" s="43" t="e">
        <f>IF(Inputs!$B$102&gt;=13,(IF(Inputs!$B$101&gt;13,$G155,Inputs!D123)),"")</f>
        <v>#VALUE!</v>
      </c>
      <c r="R143" s="43" t="e">
        <f>IF(Inputs!$B$102&gt;=13,(IF(Inputs!$B$102&gt;13,$G154,Inputs!D122)),"")</f>
        <v>#VALUE!</v>
      </c>
      <c r="S143" s="43" t="e">
        <f t="shared" si="14"/>
        <v>#VALUE!</v>
      </c>
      <c r="T143" s="43" t="e">
        <f t="shared" si="15"/>
        <v>#VALUE!</v>
      </c>
      <c r="U143" s="49"/>
    </row>
    <row r="144" spans="2:21" hidden="1" x14ac:dyDescent="0.25">
      <c r="B144">
        <v>134</v>
      </c>
      <c r="C144">
        <v>134</v>
      </c>
      <c r="D144" t="s">
        <v>171</v>
      </c>
      <c r="E144">
        <v>11</v>
      </c>
      <c r="F144" t="s">
        <v>172</v>
      </c>
      <c r="G144" s="42" t="e">
        <f>IF(E144&lt;Inputs!$B$102,CONCATENATE(D144,E144,F144),"")</f>
        <v>#VALUE!</v>
      </c>
      <c r="H144" s="43" t="e">
        <f>IF(E144&lt;Inputs!$B$102,Inputs!$B$110,"")</f>
        <v>#VALUE!</v>
      </c>
      <c r="I144" s="43" t="e">
        <f>IF(E144&lt;Inputs!$B$102,Inputs!$B$105,"")</f>
        <v>#VALUE!</v>
      </c>
      <c r="J144" s="49" t="e">
        <f>IF(E144&lt;Inputs!$B$102,(E144*Inputs!$D$80)-Inputs!$B$98,"")</f>
        <v>#VALUE!</v>
      </c>
      <c r="M144">
        <v>117</v>
      </c>
      <c r="N144">
        <v>117</v>
      </c>
      <c r="O144" t="e">
        <f>IF(Inputs!$B$101&gt;=14,(IF(Inputs!$B$101&gt;=14,G151)),"")</f>
        <v>#VALUE!</v>
      </c>
      <c r="P144" t="e">
        <f>IF(Inputs!$B$101&gt;=14,(IF(Inputs!$B$101&gt;=14,$G152)),"")</f>
        <v>#VALUE!</v>
      </c>
      <c r="Q144" t="e">
        <f>IF(Inputs!$B$102&gt;=14,(IF(Inputs!$B$101&gt;14,$G157,Inputs!D120)),"")</f>
        <v>#VALUE!</v>
      </c>
      <c r="R144" t="e">
        <f>IF(Inputs!$B$102&gt;=14,(IF(Inputs!$B$102&gt;14,$G156,Inputs!D119)),"")</f>
        <v>#VALUE!</v>
      </c>
      <c r="S144" t="e">
        <f t="shared" si="14"/>
        <v>#VALUE!</v>
      </c>
      <c r="T144" t="e">
        <f t="shared" si="15"/>
        <v>#VALUE!</v>
      </c>
      <c r="U144" s="28"/>
    </row>
    <row r="145" spans="2:21" hidden="1" x14ac:dyDescent="0.25">
      <c r="B145">
        <v>135</v>
      </c>
      <c r="C145">
        <v>135</v>
      </c>
      <c r="D145" t="s">
        <v>171</v>
      </c>
      <c r="E145">
        <v>11</v>
      </c>
      <c r="F145" t="s">
        <v>176</v>
      </c>
      <c r="G145" s="42" t="e">
        <f>IF(E145&lt;Inputs!$B$102,CONCATENATE(D145,E145,F145),"")</f>
        <v>#VALUE!</v>
      </c>
      <c r="H145" s="43" t="e">
        <f>IF(E145&lt;Inputs!$B$102,Inputs!$B$111,"")</f>
        <v>#VALUE!</v>
      </c>
      <c r="I145" s="43" t="e">
        <f>IF(E145&lt;Inputs!$B$102,Inputs!$B$105,"")</f>
        <v>#VALUE!</v>
      </c>
      <c r="J145" s="49" t="e">
        <f>IF(E145&lt;Inputs!$B$102,(E145*Inputs!$D$80)-Inputs!$B$98,"")</f>
        <v>#VALUE!</v>
      </c>
      <c r="M145">
        <v>118</v>
      </c>
      <c r="N145">
        <v>118</v>
      </c>
      <c r="O145" t="e">
        <f>IF(Inputs!$B$101&gt;=14,(IF(Inputs!$B$101&gt;=14,G152)),"")</f>
        <v>#VALUE!</v>
      </c>
      <c r="P145" t="e">
        <f>IF(Inputs!$B$101&gt;=14,(IF(Inputs!$B$101&gt;=14,$G153)),"")</f>
        <v>#VALUE!</v>
      </c>
      <c r="Q145" t="e">
        <f>IF(Inputs!$B$102&gt;=14,(IF(Inputs!$B$101&gt;14,$G158,Inputs!D121)),"")</f>
        <v>#VALUE!</v>
      </c>
      <c r="R145" t="e">
        <f>IF(Inputs!$B$102&gt;=14,(IF(Inputs!$B$102&gt;14,$G157,Inputs!D120)),"")</f>
        <v>#VALUE!</v>
      </c>
      <c r="S145" t="e">
        <f t="shared" si="14"/>
        <v>#VALUE!</v>
      </c>
      <c r="T145" t="e">
        <f t="shared" si="15"/>
        <v>#VALUE!</v>
      </c>
      <c r="U145" s="28"/>
    </row>
    <row r="146" spans="2:21" hidden="1" x14ac:dyDescent="0.25">
      <c r="B146">
        <v>136</v>
      </c>
      <c r="C146">
        <v>136</v>
      </c>
      <c r="D146" t="s">
        <v>171</v>
      </c>
      <c r="E146">
        <v>12</v>
      </c>
      <c r="F146" t="s">
        <v>160</v>
      </c>
      <c r="G146" s="251" t="e">
        <f>IF(E146&lt;Inputs!$B$102,CONCATENATE(D146,E146,F146),"")</f>
        <v>#VALUE!</v>
      </c>
      <c r="H146" s="252" t="e">
        <f>IF(E146&lt;Inputs!$B$102,Inputs!$B$107,"")</f>
        <v>#VALUE!</v>
      </c>
      <c r="I146" s="252" t="e">
        <f>IF(E146&lt;Inputs!$B$102,Inputs!$B$105,"")</f>
        <v>#VALUE!</v>
      </c>
      <c r="J146" s="253" t="e">
        <f>IF(E146&lt;Inputs!$B$102,(E146*Inputs!$D$80)-Inputs!$B$98,"")</f>
        <v>#VALUE!</v>
      </c>
      <c r="M146">
        <v>119</v>
      </c>
      <c r="N146">
        <v>119</v>
      </c>
      <c r="O146" t="e">
        <f>IF(Inputs!$B$101&gt;=14,(IF(Inputs!$B$101&gt;=14,G153)),"")</f>
        <v>#VALUE!</v>
      </c>
      <c r="P146" t="e">
        <f>IF(Inputs!$B$101&gt;=14,(IF(Inputs!$B$101&gt;=14,$G154)),"")</f>
        <v>#VALUE!</v>
      </c>
      <c r="Q146" t="e">
        <f>IF(Inputs!$B$102&gt;=14,(IF(Inputs!$B$101&gt;14,$G159,Inputs!D122)),"")</f>
        <v>#VALUE!</v>
      </c>
      <c r="R146" t="e">
        <f>IF(Inputs!$B$102&gt;=14,(IF(Inputs!$B$102&gt;14,$G158,Inputs!D121)),"")</f>
        <v>#VALUE!</v>
      </c>
      <c r="S146" t="e">
        <f t="shared" si="14"/>
        <v>#VALUE!</v>
      </c>
      <c r="T146" t="e">
        <f t="shared" si="15"/>
        <v>#VALUE!</v>
      </c>
      <c r="U146" s="28"/>
    </row>
    <row r="147" spans="2:21" hidden="1" x14ac:dyDescent="0.25">
      <c r="B147">
        <v>137</v>
      </c>
      <c r="C147">
        <v>137</v>
      </c>
      <c r="D147" t="s">
        <v>171</v>
      </c>
      <c r="E147">
        <v>12</v>
      </c>
      <c r="F147" t="s">
        <v>164</v>
      </c>
      <c r="G147" s="251" t="e">
        <f>IF(E147&lt;Inputs!$B$102,CONCATENATE(D147,E147,F147),"")</f>
        <v>#VALUE!</v>
      </c>
      <c r="H147" s="252" t="e">
        <f>IF(E147&lt;Inputs!$B$102,Inputs!$B$108,"")</f>
        <v>#VALUE!</v>
      </c>
      <c r="I147" s="252" t="e">
        <f>IF(E147&lt;Inputs!$B$102,Inputs!$B$105,"")</f>
        <v>#VALUE!</v>
      </c>
      <c r="J147" s="253" t="e">
        <f>IF(E147&lt;Inputs!$B$102,(E147*Inputs!$D$80)-Inputs!$B$98,"")</f>
        <v>#VALUE!</v>
      </c>
      <c r="M147">
        <v>120</v>
      </c>
      <c r="N147">
        <v>120</v>
      </c>
      <c r="O147" t="e">
        <f>IF(Inputs!$B$101&gt;=14,(IF(Inputs!$B$101&gt;=14,G154)),"")</f>
        <v>#VALUE!</v>
      </c>
      <c r="P147" t="e">
        <f>IF(Inputs!$B$101&gt;=14,(IF(Inputs!$B$101&gt;=14,$G155)),"")</f>
        <v>#VALUE!</v>
      </c>
      <c r="Q147" t="e">
        <f>IF(Inputs!$B$102&gt;=14,(IF(Inputs!$B$101&gt;14,$G160,Inputs!D123)),"")</f>
        <v>#VALUE!</v>
      </c>
      <c r="R147" t="e">
        <f>IF(Inputs!$B$102&gt;=14,(IF(Inputs!$B$102&gt;14,$G159,Inputs!D122)),"")</f>
        <v>#VALUE!</v>
      </c>
      <c r="S147" t="e">
        <f t="shared" si="14"/>
        <v>#VALUE!</v>
      </c>
      <c r="T147" t="e">
        <f t="shared" si="15"/>
        <v>#VALUE!</v>
      </c>
      <c r="U147" s="28"/>
    </row>
    <row r="148" spans="2:21" hidden="1" x14ac:dyDescent="0.25">
      <c r="B148">
        <v>138</v>
      </c>
      <c r="C148">
        <v>138</v>
      </c>
      <c r="D148" t="s">
        <v>171</v>
      </c>
      <c r="E148">
        <v>12</v>
      </c>
      <c r="F148" t="s">
        <v>168</v>
      </c>
      <c r="G148" s="251" t="e">
        <f>IF(E148&lt;Inputs!$B$102,CONCATENATE(D148,E148,F148),"")</f>
        <v>#VALUE!</v>
      </c>
      <c r="H148" s="252" t="e">
        <f>IF(E148&lt;Inputs!$B$102,Inputs!$B$109,"")</f>
        <v>#VALUE!</v>
      </c>
      <c r="I148" s="252" t="e">
        <f>IF(E148&lt;Inputs!$B$102,Inputs!$B$105,"")</f>
        <v>#VALUE!</v>
      </c>
      <c r="J148" s="253" t="e">
        <f>IF(E148&lt;Inputs!$B$102,(E148*Inputs!$D$80)-Inputs!$B$98,"")</f>
        <v>#VALUE!</v>
      </c>
      <c r="M148">
        <v>121</v>
      </c>
      <c r="N148">
        <v>121</v>
      </c>
      <c r="O148" s="43" t="e">
        <f>IF(Inputs!$B$101&gt;=15,(IF(Inputs!$B$101&gt;=15,G156)),"")</f>
        <v>#VALUE!</v>
      </c>
      <c r="P148" s="43" t="e">
        <f>IF(Inputs!$B$101&gt;=15,(IF(Inputs!$B$101&gt;=15,$G157)),"")</f>
        <v>#VALUE!</v>
      </c>
      <c r="Q148" s="43" t="e">
        <f>IF(Inputs!$B$102&gt;=15,(IF(Inputs!$B$101&gt;15,$G162,Inputs!D120)),"")</f>
        <v>#VALUE!</v>
      </c>
      <c r="R148" s="43" t="e">
        <f>IF(Inputs!$B$102&gt;=15,(IF(Inputs!$B$102&gt;15,$G161,Inputs!D119)),"")</f>
        <v>#VALUE!</v>
      </c>
      <c r="S148" s="43" t="e">
        <f t="shared" si="14"/>
        <v>#VALUE!</v>
      </c>
      <c r="T148" s="43" t="e">
        <f t="shared" si="15"/>
        <v>#VALUE!</v>
      </c>
      <c r="U148" s="49"/>
    </row>
    <row r="149" spans="2:21" hidden="1" x14ac:dyDescent="0.25">
      <c r="B149">
        <v>139</v>
      </c>
      <c r="C149">
        <v>139</v>
      </c>
      <c r="D149" t="s">
        <v>171</v>
      </c>
      <c r="E149">
        <v>12</v>
      </c>
      <c r="F149" t="s">
        <v>172</v>
      </c>
      <c r="G149" s="251" t="e">
        <f>IF(E149&lt;Inputs!$B$102,CONCATENATE(D149,E149,F149),"")</f>
        <v>#VALUE!</v>
      </c>
      <c r="H149" s="252" t="e">
        <f>IF(E149&lt;Inputs!$B$102,Inputs!$B$110,"")</f>
        <v>#VALUE!</v>
      </c>
      <c r="I149" s="252" t="e">
        <f>IF(E149&lt;Inputs!$B$102,Inputs!$B$105,"")</f>
        <v>#VALUE!</v>
      </c>
      <c r="J149" s="253" t="e">
        <f>IF(E149&lt;Inputs!$B$102,(E149*Inputs!$D$80)-Inputs!$B$98,"")</f>
        <v>#VALUE!</v>
      </c>
      <c r="M149">
        <v>122</v>
      </c>
      <c r="N149">
        <v>122</v>
      </c>
      <c r="O149" s="43" t="e">
        <f>IF(Inputs!$B$101&gt;=15,(IF(Inputs!$B$101&gt;=15,G157)),"")</f>
        <v>#VALUE!</v>
      </c>
      <c r="P149" s="43" t="e">
        <f>IF(Inputs!$B$101&gt;=15,(IF(Inputs!$B$101&gt;=15,$G158)),"")</f>
        <v>#VALUE!</v>
      </c>
      <c r="Q149" s="43" t="e">
        <f>IF(Inputs!$B$102&gt;=15,(IF(Inputs!$B$101&gt;15,$G163,Inputs!D121)),"")</f>
        <v>#VALUE!</v>
      </c>
      <c r="R149" s="43" t="e">
        <f>IF(Inputs!$B$102&gt;=15,(IF(Inputs!$B$102&gt;15,$G162,Inputs!D120)),"")</f>
        <v>#VALUE!</v>
      </c>
      <c r="S149" s="43" t="e">
        <f t="shared" si="14"/>
        <v>#VALUE!</v>
      </c>
      <c r="T149" s="43" t="e">
        <f t="shared" si="15"/>
        <v>#VALUE!</v>
      </c>
      <c r="U149" s="49"/>
    </row>
    <row r="150" spans="2:21" hidden="1" x14ac:dyDescent="0.25">
      <c r="B150">
        <v>140</v>
      </c>
      <c r="C150">
        <v>140</v>
      </c>
      <c r="D150" t="s">
        <v>171</v>
      </c>
      <c r="E150">
        <v>12</v>
      </c>
      <c r="F150" t="s">
        <v>176</v>
      </c>
      <c r="G150" s="254" t="e">
        <f>IF(E150&lt;Inputs!$B$102,CONCATENATE(D150,E150,F150),"")</f>
        <v>#VALUE!</v>
      </c>
      <c r="H150" s="255" t="e">
        <f>IF(E150&lt;Inputs!$B$102,Inputs!$B$111,"")</f>
        <v>#VALUE!</v>
      </c>
      <c r="I150" s="255" t="e">
        <f>IF(E150&lt;Inputs!$B$102,Inputs!$B$105,"")</f>
        <v>#VALUE!</v>
      </c>
      <c r="J150" s="253" t="e">
        <f>IF(E150&lt;Inputs!$B$102,(E150*Inputs!$D$80)-Inputs!$B$98,"")</f>
        <v>#VALUE!</v>
      </c>
      <c r="M150">
        <v>123</v>
      </c>
      <c r="N150">
        <v>123</v>
      </c>
      <c r="O150" s="43" t="e">
        <f>IF(Inputs!$B$101&gt;=15,(IF(Inputs!$B$101&gt;=15,G158)),"")</f>
        <v>#VALUE!</v>
      </c>
      <c r="P150" s="43" t="e">
        <f>IF(Inputs!$B$101&gt;=15,(IF(Inputs!$B$101&gt;=15,$G159)),"")</f>
        <v>#VALUE!</v>
      </c>
      <c r="Q150" s="43" t="e">
        <f>IF(Inputs!$B$102&gt;=15,(IF(Inputs!$B$101&gt;15,$G164,Inputs!D122)),"")</f>
        <v>#VALUE!</v>
      </c>
      <c r="R150" s="43" t="e">
        <f>IF(Inputs!$B$102&gt;=15,(IF(Inputs!$B$102&gt;15,$G163,Inputs!D121)),"")</f>
        <v>#VALUE!</v>
      </c>
      <c r="S150" s="43" t="e">
        <f t="shared" si="14"/>
        <v>#VALUE!</v>
      </c>
      <c r="T150" s="43" t="e">
        <f t="shared" si="15"/>
        <v>#VALUE!</v>
      </c>
      <c r="U150" s="49"/>
    </row>
    <row r="151" spans="2:21" hidden="1" x14ac:dyDescent="0.25">
      <c r="B151">
        <v>141</v>
      </c>
      <c r="C151">
        <v>141</v>
      </c>
      <c r="D151" t="s">
        <v>171</v>
      </c>
      <c r="E151">
        <v>13</v>
      </c>
      <c r="F151" t="s">
        <v>160</v>
      </c>
      <c r="G151" s="256" t="e">
        <f>IF(E151&lt;Inputs!$B$102,CONCATENATE(D151,E151,F151),"")</f>
        <v>#VALUE!</v>
      </c>
      <c r="H151" s="257" t="e">
        <f>IF(E151&lt;Inputs!$B$102,Inputs!$B$107,"")</f>
        <v>#VALUE!</v>
      </c>
      <c r="I151" s="257" t="e">
        <f>IF(E151&lt;Inputs!$B$102,Inputs!$B$105,"")</f>
        <v>#VALUE!</v>
      </c>
      <c r="J151" s="46" t="e">
        <f>IF(E151&lt;Inputs!$B$102,(E151*Inputs!$D$80)-Inputs!$B$98,"")</f>
        <v>#VALUE!</v>
      </c>
      <c r="M151">
        <v>124</v>
      </c>
      <c r="N151">
        <v>124</v>
      </c>
      <c r="O151" s="43" t="e">
        <f>IF(Inputs!$B$101&gt;=15,(IF(Inputs!$B$101&gt;=15,G159)),"")</f>
        <v>#VALUE!</v>
      </c>
      <c r="P151" s="43" t="e">
        <f>IF(Inputs!$B$101&gt;=15,(IF(Inputs!$B$101&gt;=15,$G160)),"")</f>
        <v>#VALUE!</v>
      </c>
      <c r="Q151" s="43" t="e">
        <f>IF(Inputs!$B$102&gt;=15,(IF(Inputs!$B$101&gt;15,$G165,Inputs!D123)),"")</f>
        <v>#VALUE!</v>
      </c>
      <c r="R151" s="43" t="e">
        <f>IF(Inputs!$B$102&gt;=15,(IF(Inputs!$B$102&gt;15,$G164,Inputs!D122)),"")</f>
        <v>#VALUE!</v>
      </c>
      <c r="S151" s="43" t="e">
        <f t="shared" si="14"/>
        <v>#VALUE!</v>
      </c>
      <c r="T151" s="43" t="e">
        <f t="shared" si="15"/>
        <v>#VALUE!</v>
      </c>
      <c r="U151" s="49"/>
    </row>
    <row r="152" spans="2:21" hidden="1" x14ac:dyDescent="0.25">
      <c r="B152">
        <v>142</v>
      </c>
      <c r="C152">
        <v>142</v>
      </c>
      <c r="D152" t="s">
        <v>171</v>
      </c>
      <c r="E152">
        <v>13</v>
      </c>
      <c r="F152" t="s">
        <v>164</v>
      </c>
      <c r="G152" s="256" t="e">
        <f>IF(E152&lt;Inputs!$B$102,CONCATENATE(D152,E152,F152),"")</f>
        <v>#VALUE!</v>
      </c>
      <c r="H152" s="257" t="e">
        <f>IF(E152&lt;Inputs!$B$102,Inputs!$B$108,"")</f>
        <v>#VALUE!</v>
      </c>
      <c r="I152" s="257" t="e">
        <f>IF(E152&lt;Inputs!$B$102,Inputs!$B$105,"")</f>
        <v>#VALUE!</v>
      </c>
      <c r="J152" s="46" t="e">
        <f>IF(E152&lt;Inputs!$B$102,(E152*Inputs!$D$80)-Inputs!$B$98,"")</f>
        <v>#VALUE!</v>
      </c>
      <c r="M152">
        <v>125</v>
      </c>
      <c r="N152">
        <v>125</v>
      </c>
      <c r="O152" t="e">
        <f>IF(Inputs!$B$101&gt;=16,(IF(Inputs!$B$101&gt;=16,G161)),"")</f>
        <v>#VALUE!</v>
      </c>
      <c r="P152" t="e">
        <f>IF(Inputs!$B$101&gt;=16,(IF(Inputs!$B$101&gt;=16,$G162)),"")</f>
        <v>#VALUE!</v>
      </c>
      <c r="Q152" t="e">
        <f>IF(Inputs!$B$102&gt;=16,(IF(Inputs!$B$101&gt;16,$G167,Inputs!D120)),"")</f>
        <v>#VALUE!</v>
      </c>
      <c r="R152" t="e">
        <f>IF(Inputs!$B$102&gt;=16,(IF(Inputs!$B$102&gt;16,$G166,Inputs!D119)),"")</f>
        <v>#VALUE!</v>
      </c>
      <c r="S152" t="e">
        <f t="shared" si="14"/>
        <v>#VALUE!</v>
      </c>
      <c r="T152" t="e">
        <f t="shared" si="15"/>
        <v>#VALUE!</v>
      </c>
      <c r="U152" s="28"/>
    </row>
    <row r="153" spans="2:21" hidden="1" x14ac:dyDescent="0.25">
      <c r="B153">
        <v>143</v>
      </c>
      <c r="C153">
        <v>143</v>
      </c>
      <c r="D153" t="s">
        <v>171</v>
      </c>
      <c r="E153">
        <v>13</v>
      </c>
      <c r="F153" t="s">
        <v>168</v>
      </c>
      <c r="G153" s="256" t="e">
        <f>IF(E153&lt;Inputs!$B$102,CONCATENATE(D153,E153,F153),"")</f>
        <v>#VALUE!</v>
      </c>
      <c r="H153" s="257" t="e">
        <f>IF(E153&lt;Inputs!$B$102,Inputs!$B$109,"")</f>
        <v>#VALUE!</v>
      </c>
      <c r="I153" s="257" t="e">
        <f>IF(E153&lt;Inputs!$B$102,Inputs!$B$105,"")</f>
        <v>#VALUE!</v>
      </c>
      <c r="J153" s="46" t="e">
        <f>IF(E153&lt;Inputs!$B$102,(E153*Inputs!$D$80)-Inputs!$B$98,"")</f>
        <v>#VALUE!</v>
      </c>
      <c r="M153">
        <v>126</v>
      </c>
      <c r="N153">
        <v>126</v>
      </c>
      <c r="O153" t="e">
        <f>IF(Inputs!$B$101&gt;=16,(IF(Inputs!$B$101&gt;=16,G162)),"")</f>
        <v>#VALUE!</v>
      </c>
      <c r="P153" t="e">
        <f>IF(Inputs!$B$101&gt;=16,(IF(Inputs!$B$101&gt;=16,$G163)),"")</f>
        <v>#VALUE!</v>
      </c>
      <c r="Q153" t="e">
        <f>IF(Inputs!$B$102&gt;=16,(IF(Inputs!$B$101&gt;16,$G168,Inputs!D121)),"")</f>
        <v>#VALUE!</v>
      </c>
      <c r="R153" t="e">
        <f>IF(Inputs!$B$102&gt;=16,(IF(Inputs!$B$102&gt;16,$G167,Inputs!D120)),"")</f>
        <v>#VALUE!</v>
      </c>
      <c r="S153" t="e">
        <f t="shared" si="14"/>
        <v>#VALUE!</v>
      </c>
      <c r="T153" t="e">
        <f t="shared" si="15"/>
        <v>#VALUE!</v>
      </c>
      <c r="U153" s="28"/>
    </row>
    <row r="154" spans="2:21" hidden="1" x14ac:dyDescent="0.25">
      <c r="B154">
        <v>144</v>
      </c>
      <c r="C154">
        <v>144</v>
      </c>
      <c r="D154" t="s">
        <v>171</v>
      </c>
      <c r="E154">
        <v>13</v>
      </c>
      <c r="F154" t="s">
        <v>172</v>
      </c>
      <c r="G154" s="256" t="e">
        <f>IF(E154&lt;Inputs!$B$102,CONCATENATE(D154,E154,F154),"")</f>
        <v>#VALUE!</v>
      </c>
      <c r="H154" s="257" t="e">
        <f>IF(E154&lt;Inputs!$B$102,Inputs!$B$110,"")</f>
        <v>#VALUE!</v>
      </c>
      <c r="I154" s="257" t="e">
        <f>IF(E154&lt;Inputs!$B$102,Inputs!$B$105,"")</f>
        <v>#VALUE!</v>
      </c>
      <c r="J154" s="46" t="e">
        <f>IF(E154&lt;Inputs!$B$102,(E154*Inputs!$D$80)-Inputs!$B$98,"")</f>
        <v>#VALUE!</v>
      </c>
      <c r="M154">
        <v>127</v>
      </c>
      <c r="N154">
        <v>127</v>
      </c>
      <c r="O154" t="e">
        <f>IF(Inputs!$B$101&gt;=16,(IF(Inputs!$B$101&gt;=16,G163)),"")</f>
        <v>#VALUE!</v>
      </c>
      <c r="P154" t="e">
        <f>IF(Inputs!$B$101&gt;=16,(IF(Inputs!$B$101&gt;=16,$G164)),"")</f>
        <v>#VALUE!</v>
      </c>
      <c r="Q154" t="e">
        <f>IF(Inputs!$B$102&gt;=16,(IF(Inputs!$B$101&gt;16,$G169,Inputs!D122)),"")</f>
        <v>#VALUE!</v>
      </c>
      <c r="R154" t="e">
        <f>IF(Inputs!$B$102&gt;=16,(IF(Inputs!$B$102&gt;16,$G168,Inputs!D121)),"")</f>
        <v>#VALUE!</v>
      </c>
      <c r="S154" t="e">
        <f t="shared" si="14"/>
        <v>#VALUE!</v>
      </c>
      <c r="T154" t="e">
        <f t="shared" si="15"/>
        <v>#VALUE!</v>
      </c>
      <c r="U154" s="28"/>
    </row>
    <row r="155" spans="2:21" hidden="1" x14ac:dyDescent="0.25">
      <c r="B155">
        <v>145</v>
      </c>
      <c r="C155">
        <v>145</v>
      </c>
      <c r="D155" t="s">
        <v>171</v>
      </c>
      <c r="E155">
        <v>13</v>
      </c>
      <c r="F155" t="s">
        <v>176</v>
      </c>
      <c r="G155" s="256" t="e">
        <f>IF(E155&lt;Inputs!$B$102,CONCATENATE(D155,E155,F155),"")</f>
        <v>#VALUE!</v>
      </c>
      <c r="H155" s="257" t="e">
        <f>IF(E155&lt;Inputs!$B$102,Inputs!$B$111,"")</f>
        <v>#VALUE!</v>
      </c>
      <c r="I155" s="257" t="e">
        <f>IF(E155&lt;Inputs!$B$102,Inputs!$B$105,"")</f>
        <v>#VALUE!</v>
      </c>
      <c r="J155" s="46" t="e">
        <f>IF(E155&lt;Inputs!$B$102,(E155*Inputs!$D$80)-Inputs!$B$98,"")</f>
        <v>#VALUE!</v>
      </c>
      <c r="M155">
        <v>128</v>
      </c>
      <c r="N155">
        <v>128</v>
      </c>
      <c r="O155" t="e">
        <f>IF(Inputs!$B$101&gt;=16,(IF(Inputs!$B$101&gt;=16,G164)),"")</f>
        <v>#VALUE!</v>
      </c>
      <c r="P155" t="e">
        <f>IF(Inputs!$B$101&gt;=16,(IF(Inputs!$B$101&gt;=16,$G165)),"")</f>
        <v>#VALUE!</v>
      </c>
      <c r="Q155" t="e">
        <f>IF(Inputs!$B$102&gt;=16,(IF(Inputs!$B$101&gt;16,$G170,Inputs!D123)),"")</f>
        <v>#VALUE!</v>
      </c>
      <c r="R155" t="e">
        <f>IF(Inputs!$B$102&gt;=16,(IF(Inputs!$B$102&gt;16,$G169,Inputs!D122)),"")</f>
        <v>#VALUE!</v>
      </c>
      <c r="S155" s="30" t="e">
        <f t="shared" si="14"/>
        <v>#VALUE!</v>
      </c>
      <c r="T155" s="30" t="e">
        <f t="shared" si="15"/>
        <v>#VALUE!</v>
      </c>
      <c r="U155" s="31"/>
    </row>
    <row r="156" spans="2:21" hidden="1" x14ac:dyDescent="0.25">
      <c r="B156">
        <v>146</v>
      </c>
      <c r="C156">
        <v>146</v>
      </c>
      <c r="D156" t="s">
        <v>171</v>
      </c>
      <c r="E156">
        <v>14</v>
      </c>
      <c r="F156" t="s">
        <v>160</v>
      </c>
      <c r="G156" s="254" t="e">
        <f>IF(E156&lt;Inputs!$B$102,CONCATENATE(D156,E156,F156),"")</f>
        <v>#VALUE!</v>
      </c>
      <c r="H156" s="255" t="e">
        <f>IF(E156&lt;Inputs!$B$102,Inputs!$B$107,"")</f>
        <v>#VALUE!</v>
      </c>
      <c r="I156" s="255" t="e">
        <f>IF(E156&lt;Inputs!$B$102,Inputs!$B$105,"")</f>
        <v>#VALUE!</v>
      </c>
      <c r="J156" s="253" t="e">
        <f>IF(E156&lt;Inputs!$B$102,(E156*Inputs!$D$80)-Inputs!$B$98,"")</f>
        <v>#VALUE!</v>
      </c>
    </row>
    <row r="157" spans="2:21" hidden="1" x14ac:dyDescent="0.25">
      <c r="B157">
        <v>147</v>
      </c>
      <c r="C157">
        <v>147</v>
      </c>
      <c r="D157" t="s">
        <v>171</v>
      </c>
      <c r="E157">
        <v>14</v>
      </c>
      <c r="F157" t="s">
        <v>164</v>
      </c>
      <c r="G157" s="254" t="e">
        <f>IF(E157&lt;Inputs!$B$102,CONCATENATE(D157,E157,F157),"")</f>
        <v>#VALUE!</v>
      </c>
      <c r="H157" s="255" t="e">
        <f>IF(E157&lt;Inputs!$B$102,Inputs!$B$108,"")</f>
        <v>#VALUE!</v>
      </c>
      <c r="I157" s="255" t="e">
        <f>IF(E157&lt;Inputs!$B$102,Inputs!$B$105,"")</f>
        <v>#VALUE!</v>
      </c>
      <c r="J157" s="253" t="e">
        <f>IF(E157&lt;Inputs!$B$102,(E157*Inputs!$D$80)-Inputs!$B$98,"")</f>
        <v>#VALUE!</v>
      </c>
    </row>
    <row r="158" spans="2:21" hidden="1" x14ac:dyDescent="0.25">
      <c r="B158">
        <v>148</v>
      </c>
      <c r="C158">
        <v>148</v>
      </c>
      <c r="D158" t="s">
        <v>171</v>
      </c>
      <c r="E158">
        <v>14</v>
      </c>
      <c r="F158" t="s">
        <v>168</v>
      </c>
      <c r="G158" s="254" t="e">
        <f>IF(E158&lt;Inputs!$B$102,CONCATENATE(D158,E158,F158),"")</f>
        <v>#VALUE!</v>
      </c>
      <c r="H158" s="255" t="e">
        <f>IF(E158&lt;Inputs!$B$102,Inputs!$B$109,"")</f>
        <v>#VALUE!</v>
      </c>
      <c r="I158" s="255" t="e">
        <f>IF(E158&lt;Inputs!$B$102,Inputs!$B$105,"")</f>
        <v>#VALUE!</v>
      </c>
      <c r="J158" s="253" t="e">
        <f>IF(E158&lt;Inputs!$B$102,(E158*Inputs!$D$80)-Inputs!$B$98,"")</f>
        <v>#VALUE!</v>
      </c>
    </row>
    <row r="159" spans="2:21" hidden="1" x14ac:dyDescent="0.25">
      <c r="B159">
        <v>149</v>
      </c>
      <c r="C159">
        <v>149</v>
      </c>
      <c r="D159" t="s">
        <v>171</v>
      </c>
      <c r="E159">
        <v>14</v>
      </c>
      <c r="F159" t="s">
        <v>172</v>
      </c>
      <c r="G159" s="254" t="e">
        <f>IF(E159&lt;Inputs!$B$102,CONCATENATE(D159,E159,F159),"")</f>
        <v>#VALUE!</v>
      </c>
      <c r="H159" s="255" t="e">
        <f>IF(E159&lt;Inputs!$B$102,Inputs!$B$110,"")</f>
        <v>#VALUE!</v>
      </c>
      <c r="I159" s="255" t="e">
        <f>IF(E159&lt;Inputs!$B$102,Inputs!$B$105,"")</f>
        <v>#VALUE!</v>
      </c>
      <c r="J159" s="253" t="e">
        <f>IF(E159&lt;Inputs!$B$102,(E159*Inputs!$D$80)-Inputs!$B$98,"")</f>
        <v>#VALUE!</v>
      </c>
    </row>
    <row r="160" spans="2:21" hidden="1" x14ac:dyDescent="0.25">
      <c r="B160">
        <v>150</v>
      </c>
      <c r="C160">
        <v>150</v>
      </c>
      <c r="D160" t="s">
        <v>171</v>
      </c>
      <c r="E160">
        <v>14</v>
      </c>
      <c r="F160" t="s">
        <v>176</v>
      </c>
      <c r="G160" s="254" t="e">
        <f>IF(E160&lt;Inputs!$B$102,CONCATENATE(D160,E160,F160),"")</f>
        <v>#VALUE!</v>
      </c>
      <c r="H160" s="255" t="e">
        <f>IF(E160&lt;Inputs!$B$102,Inputs!$B$111,"")</f>
        <v>#VALUE!</v>
      </c>
      <c r="I160" s="255" t="e">
        <f>IF(E160&lt;Inputs!$B$102,Inputs!$B$105,"")</f>
        <v>#VALUE!</v>
      </c>
      <c r="J160" s="253" t="e">
        <f>IF(E160&lt;Inputs!$B$102,(E160*Inputs!$D$80)-Inputs!$B$98,"")</f>
        <v>#VALUE!</v>
      </c>
    </row>
    <row r="161" spans="1:44" hidden="1" x14ac:dyDescent="0.25">
      <c r="B161">
        <v>151</v>
      </c>
      <c r="C161">
        <v>151</v>
      </c>
      <c r="D161" t="s">
        <v>171</v>
      </c>
      <c r="E161">
        <v>15</v>
      </c>
      <c r="F161" t="s">
        <v>160</v>
      </c>
      <c r="G161" s="256" t="e">
        <f>IF(E161&lt;Inputs!$B$102,CONCATENATE(D161,E161,F161),"")</f>
        <v>#VALUE!</v>
      </c>
      <c r="H161" s="257" t="e">
        <f>IF(E161&lt;Inputs!$B$102,Inputs!$B$107,"")</f>
        <v>#VALUE!</v>
      </c>
      <c r="I161" s="257" t="e">
        <f>IF(E161&lt;Inputs!$B$102,Inputs!$B$105,"")</f>
        <v>#VALUE!</v>
      </c>
      <c r="J161" s="46" t="e">
        <f>IF(E161&lt;Inputs!$B$102,(E161*Inputs!$D$80)-Inputs!$B$98,"")</f>
        <v>#VALUE!</v>
      </c>
    </row>
    <row r="162" spans="1:44" hidden="1" x14ac:dyDescent="0.25">
      <c r="B162">
        <v>152</v>
      </c>
      <c r="C162">
        <v>152</v>
      </c>
      <c r="D162" t="s">
        <v>171</v>
      </c>
      <c r="E162">
        <v>15</v>
      </c>
      <c r="F162" t="s">
        <v>164</v>
      </c>
      <c r="G162" s="256" t="e">
        <f>IF(E162&lt;Inputs!$B$102,CONCATENATE(D162,E162,F162),"")</f>
        <v>#VALUE!</v>
      </c>
      <c r="H162" s="257" t="e">
        <f>IF(E162&lt;Inputs!$B$102,Inputs!$B$108,"")</f>
        <v>#VALUE!</v>
      </c>
      <c r="I162" s="257" t="e">
        <f>IF(E162&lt;Inputs!$B$102,Inputs!$B$105,"")</f>
        <v>#VALUE!</v>
      </c>
      <c r="J162" s="46" t="e">
        <f>IF(E162&lt;Inputs!$B$102,(E162*Inputs!$D$80)-Inputs!$B$98,"")</f>
        <v>#VALUE!</v>
      </c>
    </row>
    <row r="163" spans="1:44" hidden="1" x14ac:dyDescent="0.25">
      <c r="B163">
        <v>153</v>
      </c>
      <c r="C163">
        <v>153</v>
      </c>
      <c r="D163" t="s">
        <v>171</v>
      </c>
      <c r="E163">
        <v>15</v>
      </c>
      <c r="F163" t="s">
        <v>168</v>
      </c>
      <c r="G163" s="256" t="e">
        <f>IF(E163&lt;Inputs!$B$102,CONCATENATE(D163,E163,F163),"")</f>
        <v>#VALUE!</v>
      </c>
      <c r="H163" s="257" t="e">
        <f>IF(E163&lt;Inputs!$B$102,Inputs!$B$109,"")</f>
        <v>#VALUE!</v>
      </c>
      <c r="I163" s="257" t="e">
        <f>IF(E163&lt;Inputs!$B$102,Inputs!$B$105,"")</f>
        <v>#VALUE!</v>
      </c>
      <c r="J163" s="46" t="e">
        <f>IF(E163&lt;Inputs!$B$102,(E163*Inputs!$D$80)-Inputs!$B$98,"")</f>
        <v>#VALUE!</v>
      </c>
    </row>
    <row r="164" spans="1:44" hidden="1" x14ac:dyDescent="0.25">
      <c r="B164">
        <v>154</v>
      </c>
      <c r="C164">
        <v>154</v>
      </c>
      <c r="D164" t="s">
        <v>171</v>
      </c>
      <c r="E164">
        <v>15</v>
      </c>
      <c r="F164" t="s">
        <v>172</v>
      </c>
      <c r="G164" s="256" t="e">
        <f>IF(E164&lt;Inputs!$B$102,CONCATENATE(D164,E164,F164),"")</f>
        <v>#VALUE!</v>
      </c>
      <c r="H164" s="257" t="e">
        <f>IF(E164&lt;Inputs!$B$102,Inputs!$B$110,"")</f>
        <v>#VALUE!</v>
      </c>
      <c r="I164" s="257" t="e">
        <f>IF(E164&lt;Inputs!$B$102,Inputs!$B$105,"")</f>
        <v>#VALUE!</v>
      </c>
      <c r="J164" s="46" t="e">
        <f>IF(E164&lt;Inputs!$B$102,(E164*Inputs!$D$80)-Inputs!$B$98,"")</f>
        <v>#VALUE!</v>
      </c>
    </row>
    <row r="165" spans="1:44" hidden="1" x14ac:dyDescent="0.25">
      <c r="B165">
        <v>155</v>
      </c>
      <c r="C165">
        <v>155</v>
      </c>
      <c r="D165" t="s">
        <v>171</v>
      </c>
      <c r="E165">
        <v>15</v>
      </c>
      <c r="F165" t="s">
        <v>176</v>
      </c>
      <c r="G165" s="256" t="e">
        <f>IF(E165&lt;Inputs!$B$102,CONCATENATE(D165,E165,F165),"")</f>
        <v>#VALUE!</v>
      </c>
      <c r="H165" s="257" t="e">
        <f>IF(E165&lt;Inputs!$B$102,Inputs!$B$111,"")</f>
        <v>#VALUE!</v>
      </c>
      <c r="I165" s="257" t="e">
        <f>IF(E165&lt;Inputs!$B$102,Inputs!$B$105,"")</f>
        <v>#VALUE!</v>
      </c>
      <c r="J165" s="46" t="e">
        <f>IF(E165&lt;Inputs!$B$102,(E165*Inputs!$D$80)-Inputs!$B$98,"")</f>
        <v>#VALUE!</v>
      </c>
    </row>
    <row r="166" spans="1:44" hidden="1" x14ac:dyDescent="0.25">
      <c r="B166">
        <v>156</v>
      </c>
      <c r="D166" t="s">
        <v>171</v>
      </c>
      <c r="E166">
        <v>16</v>
      </c>
      <c r="F166" t="s">
        <v>160</v>
      </c>
      <c r="G166" s="29" t="e">
        <f>IF(E166&lt;Inputs!$B$102,CONCATENATE(D166,E166,F166),"")</f>
        <v>#VALUE!</v>
      </c>
      <c r="H166" s="30" t="e">
        <f>IF(E166&lt;Inputs!$B$102,Inputs!$B$107,"")</f>
        <v>#VALUE!</v>
      </c>
      <c r="I166" s="30" t="e">
        <f>IF(E166&lt;Inputs!$B$102,Inputs!$B$105,"")</f>
        <v>#VALUE!</v>
      </c>
      <c r="J166" s="49" t="e">
        <f>IF(E166&lt;Inputs!$B$102,(E166*Inputs!$D$80)-Inputs!$B$98,"")</f>
        <v>#VALUE!</v>
      </c>
    </row>
    <row r="167" spans="1:44" hidden="1" x14ac:dyDescent="0.25">
      <c r="B167">
        <v>157</v>
      </c>
      <c r="D167" t="s">
        <v>171</v>
      </c>
      <c r="E167">
        <v>16</v>
      </c>
      <c r="F167" t="s">
        <v>164</v>
      </c>
      <c r="G167" s="29" t="e">
        <f>IF(E167&lt;Inputs!$B$102,CONCATENATE(D167,E167,F167),"")</f>
        <v>#VALUE!</v>
      </c>
      <c r="H167" s="30" t="e">
        <f>IF(E167&lt;Inputs!$B$102,Inputs!$B$108,"")</f>
        <v>#VALUE!</v>
      </c>
      <c r="I167" s="30" t="e">
        <f>IF(E167&lt;Inputs!$B$102,Inputs!$B$105,"")</f>
        <v>#VALUE!</v>
      </c>
      <c r="J167" s="49" t="e">
        <f>IF(E167&lt;Inputs!$B$102,(E167*Inputs!$D$80)-Inputs!$B$98,"")</f>
        <v>#VALUE!</v>
      </c>
    </row>
    <row r="168" spans="1:44" hidden="1" x14ac:dyDescent="0.25">
      <c r="B168">
        <v>158</v>
      </c>
      <c r="D168" t="s">
        <v>171</v>
      </c>
      <c r="E168">
        <v>16</v>
      </c>
      <c r="F168" t="s">
        <v>168</v>
      </c>
      <c r="G168" s="29" t="e">
        <f>IF(E168&lt;Inputs!$B$102,CONCATENATE(D168,E168,F168),"")</f>
        <v>#VALUE!</v>
      </c>
      <c r="H168" s="30" t="e">
        <f>IF(E168&lt;Inputs!$B$102,Inputs!$B$109,"")</f>
        <v>#VALUE!</v>
      </c>
      <c r="I168" s="30" t="e">
        <f>IF(E168&lt;Inputs!$B$102,Inputs!$B$105,"")</f>
        <v>#VALUE!</v>
      </c>
      <c r="J168" s="49" t="e">
        <f>IF(E168&lt;Inputs!$B$102,(E168*Inputs!$D$80)-Inputs!$B$98,"")</f>
        <v>#VALUE!</v>
      </c>
    </row>
    <row r="169" spans="1:44" hidden="1" x14ac:dyDescent="0.25">
      <c r="B169">
        <v>159</v>
      </c>
      <c r="D169" t="s">
        <v>171</v>
      </c>
      <c r="E169">
        <v>16</v>
      </c>
      <c r="F169" t="s">
        <v>172</v>
      </c>
      <c r="G169" s="29" t="e">
        <f>IF(E169&lt;Inputs!$B$102,CONCATENATE(D169,E169,F169),"")</f>
        <v>#VALUE!</v>
      </c>
      <c r="H169" s="30" t="e">
        <f>IF(E169&lt;Inputs!$B$102,Inputs!$B$110,"")</f>
        <v>#VALUE!</v>
      </c>
      <c r="I169" s="30" t="e">
        <f>IF(E169&lt;Inputs!$B$102,Inputs!$B$105,"")</f>
        <v>#VALUE!</v>
      </c>
      <c r="J169" s="49" t="e">
        <f>IF(E169&lt;Inputs!$B$102,(E169*Inputs!$D$80)-Inputs!$B$98,"")</f>
        <v>#VALUE!</v>
      </c>
    </row>
    <row r="170" spans="1:44" hidden="1" x14ac:dyDescent="0.25">
      <c r="B170">
        <v>160</v>
      </c>
      <c r="D170" t="s">
        <v>171</v>
      </c>
      <c r="E170">
        <v>16</v>
      </c>
      <c r="F170" t="s">
        <v>176</v>
      </c>
      <c r="G170" s="29" t="e">
        <f>IF(E170&lt;Inputs!$B$102,CONCATENATE(D170,E170,F170),"")</f>
        <v>#VALUE!</v>
      </c>
      <c r="H170" s="30" t="e">
        <f>IF(E170&lt;Inputs!$B$102,Inputs!$B$111,"")</f>
        <v>#VALUE!</v>
      </c>
      <c r="I170" s="30" t="e">
        <f>IF(E170&lt;Inputs!$B$102,Inputs!$B$105,"")</f>
        <v>#VALUE!</v>
      </c>
      <c r="J170" s="49" t="e">
        <f>IF(E170&lt;Inputs!$B$102,(E170*Inputs!$D$80)-Inputs!$B$98,"")</f>
        <v>#VALUE!</v>
      </c>
    </row>
    <row r="171" spans="1:44" ht="18.75" customHeight="1" x14ac:dyDescent="0.25"/>
    <row r="172" spans="1:44" x14ac:dyDescent="0.25">
      <c r="A172" s="158"/>
      <c r="G172" s="571" t="s">
        <v>437</v>
      </c>
      <c r="H172" s="572"/>
      <c r="I172" s="572"/>
      <c r="J172" s="554"/>
      <c r="N172" s="571" t="s">
        <v>426</v>
      </c>
      <c r="O172" s="572"/>
      <c r="P172" s="572"/>
      <c r="Q172" s="572"/>
      <c r="R172" s="572"/>
      <c r="S172" s="572"/>
      <c r="T172" s="554"/>
      <c r="V172" s="575" t="s">
        <v>438</v>
      </c>
      <c r="W172" s="574"/>
      <c r="X172" s="574"/>
      <c r="Y172" s="574"/>
      <c r="Z172" s="574"/>
      <c r="AA172" s="574"/>
      <c r="AB172" s="563"/>
      <c r="AD172" s="575" t="s">
        <v>439</v>
      </c>
      <c r="AE172" s="574"/>
      <c r="AF172" s="574"/>
      <c r="AG172" s="574"/>
      <c r="AH172" s="574"/>
      <c r="AI172" s="574"/>
      <c r="AJ172" s="563"/>
      <c r="AL172" s="575" t="s">
        <v>440</v>
      </c>
      <c r="AM172" s="574"/>
      <c r="AN172" s="574"/>
      <c r="AO172" s="574"/>
      <c r="AP172" s="574"/>
      <c r="AQ172" s="574"/>
      <c r="AR172" s="563"/>
    </row>
    <row r="173" spans="1:44" ht="14.25" customHeight="1" x14ac:dyDescent="0.25">
      <c r="A173" s="158"/>
      <c r="G173" s="9" t="s">
        <v>441</v>
      </c>
      <c r="H173" s="9" t="s">
        <v>431</v>
      </c>
      <c r="I173" s="9" t="s">
        <v>432</v>
      </c>
      <c r="J173" s="9" t="s">
        <v>433</v>
      </c>
      <c r="N173" s="573" t="str">
        <f>$B$3&amp;" "&amp;$B$2</f>
        <v>HalfTracker Zone 1</v>
      </c>
      <c r="O173" s="574"/>
      <c r="P173" s="574"/>
      <c r="Q173" s="574"/>
      <c r="R173" s="574"/>
      <c r="S173" s="574"/>
      <c r="T173" s="563"/>
      <c r="V173" s="573" t="str">
        <f>$B$3&amp;" "&amp;$B$2</f>
        <v>HalfTracker Zone 1</v>
      </c>
      <c r="W173" s="574"/>
      <c r="X173" s="574"/>
      <c r="Y173" s="574"/>
      <c r="Z173" s="574"/>
      <c r="AA173" s="574"/>
      <c r="AB173" s="563"/>
      <c r="AD173" s="573" t="str">
        <f>$B$3&amp;" "&amp;$B$2</f>
        <v>HalfTracker Zone 1</v>
      </c>
      <c r="AE173" s="574"/>
      <c r="AF173" s="574"/>
      <c r="AG173" s="574"/>
      <c r="AH173" s="574"/>
      <c r="AI173" s="574"/>
      <c r="AJ173" s="563"/>
      <c r="AL173" s="573" t="str">
        <f>$B$3&amp;" "&amp;$B$2</f>
        <v>HalfTracker Zone 1</v>
      </c>
      <c r="AM173" s="574"/>
      <c r="AN173" s="574"/>
      <c r="AO173" s="574"/>
      <c r="AP173" s="574"/>
      <c r="AQ173" s="574"/>
      <c r="AR173" s="563"/>
    </row>
    <row r="174" spans="1:44" x14ac:dyDescent="0.25">
      <c r="A174" s="158"/>
      <c r="F174">
        <v>1</v>
      </c>
      <c r="G174" s="24" t="str">
        <f t="shared" ref="G174:G205" si="16">IFERROR(VLOOKUP(SMALL($C$8:$C$170,F174),$C$8:$J$170,5,FALSE),"")</f>
        <v/>
      </c>
      <c r="H174" s="25" t="str">
        <f t="shared" ref="H174:H205" si="17">IFERROR(VLOOKUP(SMALL($C$8:$C$170,F174),$C$8:$J$170,6,FALSE),"")</f>
        <v/>
      </c>
      <c r="I174" s="25" t="str">
        <f t="shared" ref="I174:I205" si="18">IFERROR(VLOOKUP(SMALL($C$8:$C$170,F174),$C$8:$J$170,7,FALSE),"")</f>
        <v/>
      </c>
      <c r="J174" s="26" t="str">
        <f t="shared" ref="J174:J205" si="19">IFERROR(VLOOKUP(SMALL($C$8:$C$170,F174),$C$8:$J$170,8,FALSE),"")</f>
        <v/>
      </c>
      <c r="M174">
        <v>1</v>
      </c>
      <c r="N174" s="24" t="str">
        <f t="shared" ref="N174:N205" si="20">IFERROR(VLOOKUP(SMALL($N$8:$N$155,$M174),$N$8:$T$155,2,FALSE),"")</f>
        <v/>
      </c>
      <c r="O174" s="25" t="str">
        <f t="shared" ref="O174:O205" si="21">IFERROR(VLOOKUP(SMALL($N$8:$N$155,$M174),$N$8:$T$155,3,FALSE),"")</f>
        <v/>
      </c>
      <c r="P174" s="25" t="str">
        <f t="shared" ref="P174:P205" si="22">IFERROR(VLOOKUP(SMALL($N$8:$N$155,$M174),$N$8:$T$155,4,FALSE),"")</f>
        <v/>
      </c>
      <c r="Q174" s="25" t="str">
        <f t="shared" ref="Q174:Q205" si="23">IFERROR(VLOOKUP(SMALL($N$8:$N$155,$M174),$N$8:$T$155,5,FALSE),"")</f>
        <v/>
      </c>
      <c r="R174" s="25" t="str">
        <f t="shared" ref="R174:R205" si="24">IFERROR(VLOOKUP(SMALL($N$8:$N$155,$M174),$N$8:$T$155,6,FALSE),"")</f>
        <v/>
      </c>
      <c r="S174" s="25" t="str">
        <f t="shared" ref="S174:S205" si="25">IFERROR(VLOOKUP(SMALL($N$8:$N$155,$M174),$N$8:$T$155,7,FALSE),"")</f>
        <v/>
      </c>
      <c r="T174" s="241" t="str">
        <f>IF(AND($B$3="Cantilever",$B$2="Zone 1"),'GCM_Cantilever 1.0'!$F365,IF(AND($B$3="Cantilever",$B$2="Zone 2"),'GCM_Cantilever 1.0'!J365,IF(AND($B$3="HalfTracker",$B$2="Zone 1"),'GCM_Halftracker 1.0'!E380,IF(AND($B$3="HalfTracker",$B$2="Zone 2"),'GCM_Halftracker 1.0'!I380,IF(AND($B$3="Purlin",$B$2="Zone 1"),'GCM_Purlin 1.0'!E435,IF(AND($B$3="Purlin",$B$2="Zone 2"),'GCM_Purlin 1.0'!M435,IF(AND($B$3="Purlin",$B$2="Zone 3"),'GCM_Purlin 1.0'!X435,IF(AND($B$3="Purlin",$B$2="Zone 4"),'GCM_Purlin 1.0'!AF435,IF(AND($B$3="Purlin",$B$2="Zone 5"),'GCM_Purlin 1.0'!AQ435,IF(AND($B$3="Clip",$B$2="Zone 1"),'GCN_Clip 1.0'!G4,IF(AND($B$3="Clip",$B$2="Zone 2"),'GCN_Clip 1.0'!C5,IF(AND($B$3="Clip",$B$2="Zone 3"),'GCN_Clip 1.0'!G6,IF(AND($B$3="Clip",$B$2="Zone 4"),'GCN_Clip 1.0'!G7,IF(AND($B$3="Clip",$B$2="Zone 5"),'GCN_Clip 1.0'!G8,IF(AND($B$3="Post",$B$2="Zone 1"),'GCN_Post 1.0'!E288,IF(AND($B$3="Post",$B$2="Zone 2"),'GCN_Post 1.0'!F288,IF(AND($B$3="Post",$B$2="Zone 3"),'GCN_Post 1.0'!G288,IF(AND($B$3="Post",$B$2="Zone 4"),'GCN_Post 1.0'!H288,IF(AND($B$3="Post",$B$2="Zone 5"),'GCN_Post 1.0'!I288,"ERROR")))))))))))))))))))</f>
        <v/>
      </c>
      <c r="V174" s="24" t="str">
        <f t="shared" ref="V174:V205" si="26">IFERROR(VLOOKUP(SMALL($N$8:$N$155,$M174),$N$8:$T$155,2,FALSE),"")</f>
        <v/>
      </c>
      <c r="W174" s="25" t="str">
        <f t="shared" ref="W174:W205" si="27">IFERROR(VLOOKUP(SMALL($N$8:$N$155,$M174),$N$8:$T$155,3,FALSE),"")</f>
        <v/>
      </c>
      <c r="X174" s="25" t="str">
        <f t="shared" ref="X174:X205" si="28">IFERROR(VLOOKUP(SMALL($N$8:$N$155,$M174),$N$8:$T$155,4,FALSE),"")</f>
        <v/>
      </c>
      <c r="Y174" s="25" t="str">
        <f t="shared" ref="Y174:Y205" si="29">IFERROR(VLOOKUP(SMALL($N$8:$N$155,$M174),$N$8:$T$155,5,FALSE),"")</f>
        <v/>
      </c>
      <c r="Z174" s="25" t="str">
        <f t="shared" ref="Z174:Z205" si="30">IFERROR(VLOOKUP(SMALL($N$8:$N$155,$M174),$N$8:$T$155,6,FALSE),"")</f>
        <v/>
      </c>
      <c r="AA174" s="25" t="str">
        <f t="shared" ref="AA174:AA205" si="31">IFERROR(VLOOKUP(SMALL($N$8:$N$155,$M174),$N$8:$T$155,7,FALSE),"")</f>
        <v/>
      </c>
      <c r="AB174" s="241" t="str">
        <f>IF(AND($B$3="Cantilever",$B$2="Zone 1"),'GCM_Cantilever 1.0'!$G365,IF(AND($B$3="Cantilever",$B$2="Zone 2"),'GCM_Cantilever 1.0'!K365,IF(AND($B$3="HalfTracker",$B$2="Zone 1"),'GCM_Halftracker 1.0'!F380,IF(AND($B$3="HalfTracker",$B$2="Zone 2"),'GCM_Halftracker 1.0'!J380,IF(AND($B$3="Purlin",$B$2="Zone 1"),'GCM_Purlin 1.0'!F435,IF(AND($B$3="Purlin",$B$2="Zone 2"),'GCM_Purlin 1.0'!N435,IF(AND($B$3="Purlin",$B$2="Zone 3"),'GCM_Purlin 1.0'!Y435,IF(AND($B$3="Purlin",$B$2="Zone 4"),'GCM_Purlin 1.0'!AG435,IF(AND($B$3="Purlin",$B$2="Zone 5"),'GCM_Purlin 1.0'!AR435,IF(AND($B$3="Clip",$B$2="Zone 1"),'GCN_Clip 1.0'!H4,IF(AND($B$3="Clip",$B$2="Zone 2"),'GCN_Clip 1.0'!H5,IF(AND($B$3="Clip",$B$2="Zone 3"),'GCN_Clip 1.0'!H6,IF(AND($B$3="Clip",$B$2="Zone 4"),'GCN_Clip 1.0'!H7,IF(AND($B$3="Clip",$B$2="Zone 5"),'GCN_Clip 1.0'!H8,IF(AND($B$3="Post",$B$2="Zone 1"),'GCN_Post 1.0'!J288,IF(AND($B$3="Post",$B$2="Zone 2"),'GCN_Post 1.0'!K288,IF(AND($B$3="Post",$B$2="Zone 3"),'GCN_Post 1.0'!N288,IF(AND($B$3="Post",$B$2="Zone 4"),'GCN_Post 1.0'!O288,IF(AND($B$3="Post",$B$2="Zone 5"),'GCN_Post 1.0'!P288,"ERROR")))))))))))))))))))</f>
        <v/>
      </c>
      <c r="AD174" s="24" t="str">
        <f t="shared" ref="AD174:AD205" si="32">IFERROR(VLOOKUP(SMALL($N$8:$N$155,$M174),$N$8:$T$155,2,FALSE),"")</f>
        <v/>
      </c>
      <c r="AE174" s="25" t="str">
        <f t="shared" ref="AE174:AE205" si="33">IFERROR(VLOOKUP(SMALL($N$8:$N$155,$M174),$N$8:$T$155,3,FALSE),"")</f>
        <v/>
      </c>
      <c r="AF174" s="25" t="str">
        <f t="shared" ref="AF174:AF205" si="34">IFERROR(VLOOKUP(SMALL($N$8:$N$155,$M174),$N$8:$T$155,4,FALSE),"")</f>
        <v/>
      </c>
      <c r="AG174" s="25" t="str">
        <f t="shared" ref="AG174:AG205" si="35">IFERROR(VLOOKUP(SMALL($N$8:$N$155,$M174),$N$8:$T$155,5,FALSE),"")</f>
        <v/>
      </c>
      <c r="AH174" s="25" t="str">
        <f t="shared" ref="AH174:AH205" si="36">IFERROR(VLOOKUP(SMALL($N$8:$N$155,$M174),$N$8:$T$155,6,FALSE),"")</f>
        <v/>
      </c>
      <c r="AI174" s="25" t="str">
        <f t="shared" ref="AI174:AI205" si="37">IFERROR(VLOOKUP(SMALL($N$8:$N$155,$M174),$N$8:$T$155,7,FALSE),"")</f>
        <v/>
      </c>
      <c r="AJ174" s="241" t="str">
        <f>IF(AND($B$3="Cantilever",$B$2="Zone 1"),'GCM_Cantilever 1.0'!$H365,IF(AND($B$3="Cantilever",$B$2="Zone 2"),'GCM_Cantilever 1.0'!L365,IF(AND($B$3="HalfTracker",$B$2="Zone 1"),'GCM_Halftracker 1.0'!G380,IF(AND($B$3="HalfTracker",$B$2="Zone 2"),'GCM_Halftracker 1.0'!K380,IF(AND($B$3="Purlin",$B$2="Zone 1"),'GCM_Purlin 1.0'!G435,IF(AND($B$3="Purlin",$B$2="Zone 2"),'GCM_Purlin 1.0'!O435,IF(AND($B$3="Purlin",$B$2="Zone 3"),'GCM_Purlin 1.0'!Z435,IF(AND($B$3="Purlin",$B$2="Zone 4"),'GCM_Purlin 1.0'!AH435,IF(AND($B$3="Purlin",$B$2="Zone 5"),'GCM_Purlin 1.0'!AS435,IF(AND($B$3="Clip",$B$2="Zone 1"),'GCN_Clip 1.0'!#REF!,IF(AND($B$3="Clip",$B$2="Zone 2"),'GCN_Clip 1.0'!#REF!,IF(AND($B$3="Clip",$B$2="Zone 3"),'GCN_Clip 1.0'!#REF!,IF(AND($B$3="Clip",$B$2="Zone 4"),'GCN_Clip 1.0'!#REF!,IF(AND($B$3="Clip",$B$2="Zone 5"),'GCN_Clip 1.0'!#REF!,IF(AND($B$3="Post",$B$2="Zone 1"),'GCN_Post 1.0'!Q288,IF(AND($B$3="Post",$B$2="Zone 2"),'GCN_Post 1.0'!R288,IF(AND($B$3="Post",$B$2="Zone 3"),'GCN_Post 1.0'!S288,IF(AND($B$3="Post",$B$2="Zone 4"),'GCN_Post 1.0'!T288,IF(AND($B$3="Post",$B$2="Zone 5"),'GCN_Post 1.0'!V288,"ERROR")))))))))))))))))))</f>
        <v/>
      </c>
      <c r="AL174" s="24" t="str">
        <f t="shared" ref="AL174:AL205" si="38">IFERROR(VLOOKUP(SMALL($N$8:$N$155,$M174),$N$8:$T$155,2,FALSE),"")</f>
        <v/>
      </c>
      <c r="AM174" s="25" t="str">
        <f t="shared" ref="AM174:AM205" si="39">IFERROR(VLOOKUP(SMALL($N$8:$N$155,$M174),$N$8:$T$155,3,FALSE),"")</f>
        <v/>
      </c>
      <c r="AN174" s="25" t="str">
        <f t="shared" ref="AN174:AN205" si="40">IFERROR(VLOOKUP(SMALL($N$8:$N$155,$M174),$N$8:$T$155,4,FALSE),"")</f>
        <v/>
      </c>
      <c r="AO174" s="25" t="str">
        <f t="shared" ref="AO174:AO205" si="41">IFERROR(VLOOKUP(SMALL($N$8:$N$155,$M174),$N$8:$T$155,5,FALSE),"")</f>
        <v/>
      </c>
      <c r="AP174" s="25" t="str">
        <f t="shared" ref="AP174:AP205" si="42">IFERROR(VLOOKUP(SMALL($N$8:$N$155,$M174),$N$8:$T$155,6,FALSE),"")</f>
        <v/>
      </c>
      <c r="AQ174" s="25" t="str">
        <f t="shared" ref="AQ174:AQ205" si="43">IFERROR(VLOOKUP(SMALL($N$8:$N$155,$M174),$N$8:$T$155,7,FALSE),"")</f>
        <v/>
      </c>
      <c r="AR174" s="241" t="str">
        <f>IF(AND($B$3="Cantilever",$B$2="Zone 1"),'GCM_Cantilever 1.0'!$I365,IF(AND($B$3="Cantilever",$B$2="Zone 2"),'GCM_Cantilever 1.0'!M365,IF(AND($B$3="HalfTracker",$B$2="Zone 1"),'GCM_Halftracker 1.0'!H380,IF(AND($B$3="HalfTracker",$B$2="Zone 2"),'GCM_Halftracker 1.0'!L380,IF(AND($B$3="Purlin",$B$2="Zone 1"),'GCM_Purlin 1.0'!H435,IF(AND($B$3="Purlin",$B$2="Zone 2"),'GCM_Purlin 1.0'!P435,IF(AND($B$3="Purlin",$B$2="Zone 3"),'GCM_Purlin 1.0'!AA435,IF(AND($B$3="Purlin",$B$2="Zone 4"),'GCM_Purlin 1.0'!AI435,IF(AND($B$3="Purlin",$B$2="Zone 5"),'GCM_Purlin 1.0'!AT435,IF(AND($B$3="Clip",$B$2="Zone 1"),'GCN_Clip 1.0'!#REF!,IF(AND($B$3="Clip",$B$2="Zone 2"),'GCN_Clip 1.0'!#REF!,IF(AND($B$3="Clip",$B$2="Zone 3"),'GCN_Clip 1.0'!#REF!,IF(AND($B$3="Clip",$B$2="Zone 4"),'GCN_Clip 1.0'!#REF!,IF(AND($B$3="Clip",$B$2="Zone 5"),'GCN_Clip 1.0'!#REF!,IF(AND($B$3="Post",$B$2="Zone 1"),'GCN_Post 1.0'!W288,IF(AND($B$3="Post",$B$2="Zone 2"),'GCN_Post 1.0'!X288,IF(AND($B$3="Post",$B$2="Zone 3"),'GCN_Post 1.0'!Y288,IF(AND($B$3="Post",$B$2="Zone 4"),'GCN_Post 1.0'!Z288,IF(AND($B$3="Post",$B$2="Zone 5"),'GCN_Post 1.0'!AA288,"ERROR")))))))))))))))))))</f>
        <v/>
      </c>
    </row>
    <row r="175" spans="1:44" x14ac:dyDescent="0.25">
      <c r="F175">
        <v>2</v>
      </c>
      <c r="G175" s="27" t="str">
        <f t="shared" si="16"/>
        <v/>
      </c>
      <c r="H175" t="str">
        <f t="shared" si="17"/>
        <v/>
      </c>
      <c r="I175" t="str">
        <f t="shared" si="18"/>
        <v/>
      </c>
      <c r="J175" s="28" t="str">
        <f t="shared" si="19"/>
        <v/>
      </c>
      <c r="M175">
        <v>2</v>
      </c>
      <c r="N175" s="27" t="str">
        <f t="shared" si="20"/>
        <v/>
      </c>
      <c r="O175" t="str">
        <f t="shared" si="21"/>
        <v/>
      </c>
      <c r="P175" t="str">
        <f t="shared" si="22"/>
        <v/>
      </c>
      <c r="Q175" t="str">
        <f t="shared" si="23"/>
        <v/>
      </c>
      <c r="R175" t="str">
        <f t="shared" si="24"/>
        <v/>
      </c>
      <c r="S175" t="str">
        <f t="shared" si="25"/>
        <v/>
      </c>
      <c r="T175" s="82" t="str">
        <f>IF(AND($B$3="Cantilever",$B$2="Zone 1"),'GCM_Cantilever 1.0'!$F366,IF(AND($B$3="Cantilever",$B$2="Zone 2"),'GCM_Cantilever 1.0'!J366,IF(AND($B$3="HalfTracker",$B$2="Zone 1"),'GCM_Halftracker 1.0'!E381,IF(AND($B$3="HalfTracker",$B$2="Zone 2"),'GCM_Halftracker 1.0'!I381,IF(AND($B$3="Purlin",$B$2="Zone 1"),'GCM_Purlin 1.0'!E436,IF(AND($B$3="Purlin",$B$2="Zone 2"),'GCM_Purlin 1.0'!M436,IF(AND($B$3="Purlin",$B$2="Zone 3"),'GCM_Purlin 1.0'!X436,IF(AND($B$3="Purlin",$B$2="Zone 4"),'GCM_Purlin 1.0'!AF436,IF(AND($B$3="Purlin",$B$2="Zone 5"),'GCM_Purlin 1.0'!AQ436,IF(AND($B$3="Clip",$B$2="Zone 1"),'GCN_Clip 1.0'!G5,IF(AND($B$3="Clip",$B$2="Zone 2"),'GCN_Clip 1.0'!C6,IF(AND($B$3="Clip",$B$2="Zone 3"),'GCN_Clip 1.0'!G7,IF(AND($B$3="Clip",$B$2="Zone 4"),'GCN_Clip 1.0'!G8,IF(AND($B$3="Clip",$B$2="Zone 5"),'GCN_Clip 1.0'!G9,IF(AND($B$3="Post",$B$2="Zone 1"),'GCN_Post 1.0'!E289,IF(AND($B$3="Post",$B$2="Zone 2"),'GCN_Post 1.0'!F289,IF(AND($B$3="Post",$B$2="Zone 3"),'GCN_Post 1.0'!G289,IF(AND($B$3="Post",$B$2="Zone 4"),'GCN_Post 1.0'!H289,IF(AND($B$3="Post",$B$2="Zone 5"),'GCN_Post 1.0'!I289,"ERROR")))))))))))))))))))</f>
        <v/>
      </c>
      <c r="V175" s="27" t="str">
        <f t="shared" si="26"/>
        <v/>
      </c>
      <c r="W175" t="str">
        <f t="shared" si="27"/>
        <v/>
      </c>
      <c r="X175" t="str">
        <f t="shared" si="28"/>
        <v/>
      </c>
      <c r="Y175" t="str">
        <f t="shared" si="29"/>
        <v/>
      </c>
      <c r="Z175" t="str">
        <f t="shared" si="30"/>
        <v/>
      </c>
      <c r="AA175" t="str">
        <f t="shared" si="31"/>
        <v/>
      </c>
      <c r="AB175" s="82" t="str">
        <f>IF(AND($B$3="Cantilever",$B$2="Zone 1"),'GCM_Cantilever 1.0'!$G366,IF(AND($B$3="Cantilever",$B$2="Zone 2"),'GCM_Cantilever 1.0'!K366,IF(AND($B$3="HalfTracker",$B$2="Zone 1"),'GCM_Halftracker 1.0'!F381,IF(AND($B$3="HalfTracker",$B$2="Zone 2"),'GCM_Halftracker 1.0'!J381,IF(AND($B$3="Purlin",$B$2="Zone 1"),'GCM_Purlin 1.0'!F436,IF(AND($B$3="Purlin",$B$2="Zone 2"),'GCM_Purlin 1.0'!N436,IF(AND($B$3="Purlin",$B$2="Zone 3"),'GCM_Purlin 1.0'!Y436,IF(AND($B$3="Purlin",$B$2="Zone 4"),'GCM_Purlin 1.0'!AG436,IF(AND($B$3="Purlin",$B$2="Zone 5"),'GCM_Purlin 1.0'!AR436,IF(AND($B$3="Clip",$B$2="Zone 1"),'GCN_Clip 1.0'!H5,IF(AND($B$3="Clip",$B$2="Zone 2"),'GCN_Clip 1.0'!H6,IF(AND($B$3="Clip",$B$2="Zone 3"),'GCN_Clip 1.0'!H7,IF(AND($B$3="Clip",$B$2="Zone 4"),'GCN_Clip 1.0'!H8,IF(AND($B$3="Clip",$B$2="Zone 5"),'GCN_Clip 1.0'!H9,IF(AND($B$3="Post",$B$2="Zone 1"),'GCN_Post 1.0'!J289,IF(AND($B$3="Post",$B$2="Zone 2"),'GCN_Post 1.0'!K289,IF(AND($B$3="Post",$B$2="Zone 3"),'GCN_Post 1.0'!N289,IF(AND($B$3="Post",$B$2="Zone 4"),'GCN_Post 1.0'!O289,IF(AND($B$3="Post",$B$2="Zone 5"),'GCN_Post 1.0'!P289,"ERROR")))))))))))))))))))</f>
        <v/>
      </c>
      <c r="AD175" s="27" t="str">
        <f t="shared" si="32"/>
        <v/>
      </c>
      <c r="AE175" t="str">
        <f t="shared" si="33"/>
        <v/>
      </c>
      <c r="AF175" t="str">
        <f t="shared" si="34"/>
        <v/>
      </c>
      <c r="AG175" t="str">
        <f t="shared" si="35"/>
        <v/>
      </c>
      <c r="AH175" t="str">
        <f t="shared" si="36"/>
        <v/>
      </c>
      <c r="AI175" t="str">
        <f t="shared" si="37"/>
        <v/>
      </c>
      <c r="AJ175" s="82" t="str">
        <f>IF(AND($B$3="Cantilever",$B$2="Zone 1"),'GCM_Cantilever 1.0'!$H366,IF(AND($B$3="Cantilever",$B$2="Zone 2"),'GCM_Cantilever 1.0'!L366,IF(AND($B$3="HalfTracker",$B$2="Zone 1"),'GCM_Halftracker 1.0'!G381,IF(AND($B$3="HalfTracker",$B$2="Zone 2"),'GCM_Halftracker 1.0'!K381,IF(AND($B$3="Purlin",$B$2="Zone 1"),'GCM_Purlin 1.0'!G436,IF(AND($B$3="Purlin",$B$2="Zone 2"),'GCM_Purlin 1.0'!O436,IF(AND($B$3="Purlin",$B$2="Zone 3"),'GCM_Purlin 1.0'!Z436,IF(AND($B$3="Purlin",$B$2="Zone 4"),'GCM_Purlin 1.0'!AH436,IF(AND($B$3="Purlin",$B$2="Zone 5"),'GCM_Purlin 1.0'!AS436,IF(AND($B$3="Clip",$B$2="Zone 1"),'GCN_Clip 1.0'!#REF!,IF(AND($B$3="Clip",$B$2="Zone 2"),'GCN_Clip 1.0'!#REF!,IF(AND($B$3="Clip",$B$2="Zone 3"),'GCN_Clip 1.0'!#REF!,IF(AND($B$3="Clip",$B$2="Zone 4"),'GCN_Clip 1.0'!#REF!,IF(AND($B$3="Clip",$B$2="Zone 5"),'GCN_Clip 1.0'!#REF!,IF(AND($B$3="Post",$B$2="Zone 1"),'GCN_Post 1.0'!Q289,IF(AND($B$3="Post",$B$2="Zone 2"),'GCN_Post 1.0'!R289,IF(AND($B$3="Post",$B$2="Zone 3"),'GCN_Post 1.0'!S289,IF(AND($B$3="Post",$B$2="Zone 4"),'GCN_Post 1.0'!T289,IF(AND($B$3="Post",$B$2="Zone 5"),'GCN_Post 1.0'!V289,"ERROR")))))))))))))))))))</f>
        <v/>
      </c>
      <c r="AL175" s="27" t="str">
        <f t="shared" si="38"/>
        <v/>
      </c>
      <c r="AM175" t="str">
        <f t="shared" si="39"/>
        <v/>
      </c>
      <c r="AN175" t="str">
        <f t="shared" si="40"/>
        <v/>
      </c>
      <c r="AO175" t="str">
        <f t="shared" si="41"/>
        <v/>
      </c>
      <c r="AP175" t="str">
        <f t="shared" si="42"/>
        <v/>
      </c>
      <c r="AQ175" t="str">
        <f t="shared" si="43"/>
        <v/>
      </c>
      <c r="AR175" s="82" t="str">
        <f>IF(AND($B$3="Cantilever",$B$2="Zone 1"),'GCM_Cantilever 1.0'!$I366,IF(AND($B$3="Cantilever",$B$2="Zone 2"),'GCM_Cantilever 1.0'!M366,IF(AND($B$3="HalfTracker",$B$2="Zone 1"),'GCM_Halftracker 1.0'!H381,IF(AND($B$3="HalfTracker",$B$2="Zone 2"),'GCM_Halftracker 1.0'!L381,IF(AND($B$3="Purlin",$B$2="Zone 1"),'GCM_Purlin 1.0'!H436,IF(AND($B$3="Purlin",$B$2="Zone 2"),'GCM_Purlin 1.0'!P436,IF(AND($B$3="Purlin",$B$2="Zone 3"),'GCM_Purlin 1.0'!AA436,IF(AND($B$3="Purlin",$B$2="Zone 4"),'GCM_Purlin 1.0'!AI436,IF(AND($B$3="Purlin",$B$2="Zone 5"),'GCM_Purlin 1.0'!AT436,IF(AND($B$3="Clip",$B$2="Zone 1"),'GCN_Clip 1.0'!#REF!,IF(AND($B$3="Clip",$B$2="Zone 2"),'GCN_Clip 1.0'!#REF!,IF(AND($B$3="Clip",$B$2="Zone 3"),'GCN_Clip 1.0'!#REF!,IF(AND($B$3="Clip",$B$2="Zone 4"),'GCN_Clip 1.0'!#REF!,IF(AND($B$3="Clip",$B$2="Zone 5"),'GCN_Clip 1.0'!#REF!,IF(AND($B$3="Post",$B$2="Zone 1"),'GCN_Post 1.0'!W289,IF(AND($B$3="Post",$B$2="Zone 2"),'GCN_Post 1.0'!X289,IF(AND($B$3="Post",$B$2="Zone 3"),'GCN_Post 1.0'!Y289,IF(AND($B$3="Post",$B$2="Zone 4"),'GCN_Post 1.0'!Z289,IF(AND($B$3="Post",$B$2="Zone 5"),'GCN_Post 1.0'!AA289,"ERROR")))))))))))))))))))</f>
        <v/>
      </c>
    </row>
    <row r="176" spans="1:44" x14ac:dyDescent="0.25">
      <c r="F176">
        <v>3</v>
      </c>
      <c r="G176" s="27" t="str">
        <f t="shared" si="16"/>
        <v/>
      </c>
      <c r="H176" t="str">
        <f t="shared" si="17"/>
        <v/>
      </c>
      <c r="I176" t="str">
        <f t="shared" si="18"/>
        <v/>
      </c>
      <c r="J176" s="28" t="str">
        <f t="shared" si="19"/>
        <v/>
      </c>
      <c r="M176">
        <v>3</v>
      </c>
      <c r="N176" s="27" t="str">
        <f t="shared" si="20"/>
        <v/>
      </c>
      <c r="O176" t="str">
        <f t="shared" si="21"/>
        <v/>
      </c>
      <c r="P176" t="str">
        <f t="shared" si="22"/>
        <v/>
      </c>
      <c r="Q176" t="str">
        <f t="shared" si="23"/>
        <v/>
      </c>
      <c r="R176" t="str">
        <f t="shared" si="24"/>
        <v/>
      </c>
      <c r="S176" t="str">
        <f t="shared" si="25"/>
        <v/>
      </c>
      <c r="T176" s="82" t="str">
        <f>IF(AND($B$3="Cantilever",$B$2="Zone 1"),'GCM_Cantilever 1.0'!$F367,IF(AND($B$3="Cantilever",$B$2="Zone 2"),'GCM_Cantilever 1.0'!J367,IF(AND($B$3="HalfTracker",$B$2="Zone 1"),'GCM_Halftracker 1.0'!E382,IF(AND($B$3="HalfTracker",$B$2="Zone 2"),'GCM_Halftracker 1.0'!I382,IF(AND($B$3="Purlin",$B$2="Zone 1"),'GCM_Purlin 1.0'!E437,IF(AND($B$3="Purlin",$B$2="Zone 2"),'GCM_Purlin 1.0'!M437,IF(AND($B$3="Purlin",$B$2="Zone 3"),'GCM_Purlin 1.0'!X437,IF(AND($B$3="Purlin",$B$2="Zone 4"),'GCM_Purlin 1.0'!AF437,IF(AND($B$3="Purlin",$B$2="Zone 5"),'GCM_Purlin 1.0'!AQ437,IF(AND($B$3="Clip",$B$2="Zone 1"),'GCN_Clip 1.0'!G6,IF(AND($B$3="Clip",$B$2="Zone 2"),'GCN_Clip 1.0'!C7,IF(AND($B$3="Clip",$B$2="Zone 3"),'GCN_Clip 1.0'!G8,IF(AND($B$3="Clip",$B$2="Zone 4"),'GCN_Clip 1.0'!G9,IF(AND($B$3="Clip",$B$2="Zone 5"),'GCN_Clip 1.0'!G10,IF(AND($B$3="Post",$B$2="Zone 1"),'GCN_Post 1.0'!E290,IF(AND($B$3="Post",$B$2="Zone 2"),'GCN_Post 1.0'!F290,IF(AND($B$3="Post",$B$2="Zone 3"),'GCN_Post 1.0'!G290,IF(AND($B$3="Post",$B$2="Zone 4"),'GCN_Post 1.0'!H290,IF(AND($B$3="Post",$B$2="Zone 5"),'GCN_Post 1.0'!I290,"ERROR")))))))))))))))))))</f>
        <v/>
      </c>
      <c r="V176" s="27" t="str">
        <f t="shared" si="26"/>
        <v/>
      </c>
      <c r="W176" t="str">
        <f t="shared" si="27"/>
        <v/>
      </c>
      <c r="X176" t="str">
        <f t="shared" si="28"/>
        <v/>
      </c>
      <c r="Y176" t="str">
        <f t="shared" si="29"/>
        <v/>
      </c>
      <c r="Z176" t="str">
        <f t="shared" si="30"/>
        <v/>
      </c>
      <c r="AA176" t="str">
        <f t="shared" si="31"/>
        <v/>
      </c>
      <c r="AB176" s="82" t="str">
        <f>IF(AND($B$3="Cantilever",$B$2="Zone 1"),'GCM_Cantilever 1.0'!$G367,IF(AND($B$3="Cantilever",$B$2="Zone 2"),'GCM_Cantilever 1.0'!K367,IF(AND($B$3="HalfTracker",$B$2="Zone 1"),'GCM_Halftracker 1.0'!F382,IF(AND($B$3="HalfTracker",$B$2="Zone 2"),'GCM_Halftracker 1.0'!J382,IF(AND($B$3="Purlin",$B$2="Zone 1"),'GCM_Purlin 1.0'!F437,IF(AND($B$3="Purlin",$B$2="Zone 2"),'GCM_Purlin 1.0'!N437,IF(AND($B$3="Purlin",$B$2="Zone 3"),'GCM_Purlin 1.0'!Y437,IF(AND($B$3="Purlin",$B$2="Zone 4"),'GCM_Purlin 1.0'!AG437,IF(AND($B$3="Purlin",$B$2="Zone 5"),'GCM_Purlin 1.0'!AR437,IF(AND($B$3="Clip",$B$2="Zone 1"),'GCN_Clip 1.0'!H6,IF(AND($B$3="Clip",$B$2="Zone 2"),'GCN_Clip 1.0'!H7,IF(AND($B$3="Clip",$B$2="Zone 3"),'GCN_Clip 1.0'!H8,IF(AND($B$3="Clip",$B$2="Zone 4"),'GCN_Clip 1.0'!H9,IF(AND($B$3="Clip",$B$2="Zone 5"),'GCN_Clip 1.0'!H10,IF(AND($B$3="Post",$B$2="Zone 1"),'GCN_Post 1.0'!J290,IF(AND($B$3="Post",$B$2="Zone 2"),'GCN_Post 1.0'!K290,IF(AND($B$3="Post",$B$2="Zone 3"),'GCN_Post 1.0'!N290,IF(AND($B$3="Post",$B$2="Zone 4"),'GCN_Post 1.0'!O290,IF(AND($B$3="Post",$B$2="Zone 5"),'GCN_Post 1.0'!P290,"ERROR")))))))))))))))))))</f>
        <v/>
      </c>
      <c r="AD176" s="27" t="str">
        <f t="shared" si="32"/>
        <v/>
      </c>
      <c r="AE176" t="str">
        <f t="shared" si="33"/>
        <v/>
      </c>
      <c r="AF176" t="str">
        <f t="shared" si="34"/>
        <v/>
      </c>
      <c r="AG176" t="str">
        <f t="shared" si="35"/>
        <v/>
      </c>
      <c r="AH176" t="str">
        <f t="shared" si="36"/>
        <v/>
      </c>
      <c r="AI176" t="str">
        <f t="shared" si="37"/>
        <v/>
      </c>
      <c r="AJ176" s="82" t="str">
        <f>IF(AND($B$3="Cantilever",$B$2="Zone 1"),'GCM_Cantilever 1.0'!$H367,IF(AND($B$3="Cantilever",$B$2="Zone 2"),'GCM_Cantilever 1.0'!L367,IF(AND($B$3="HalfTracker",$B$2="Zone 1"),'GCM_Halftracker 1.0'!G382,IF(AND($B$3="HalfTracker",$B$2="Zone 2"),'GCM_Halftracker 1.0'!K382,IF(AND($B$3="Purlin",$B$2="Zone 1"),'GCM_Purlin 1.0'!G437,IF(AND($B$3="Purlin",$B$2="Zone 2"),'GCM_Purlin 1.0'!O437,IF(AND($B$3="Purlin",$B$2="Zone 3"),'GCM_Purlin 1.0'!Z437,IF(AND($B$3="Purlin",$B$2="Zone 4"),'GCM_Purlin 1.0'!AH437,IF(AND($B$3="Purlin",$B$2="Zone 5"),'GCM_Purlin 1.0'!AS437,IF(AND($B$3="Clip",$B$2="Zone 1"),'GCN_Clip 1.0'!#REF!,IF(AND($B$3="Clip",$B$2="Zone 2"),'GCN_Clip 1.0'!#REF!,IF(AND($B$3="Clip",$B$2="Zone 3"),'GCN_Clip 1.0'!#REF!,IF(AND($B$3="Clip",$B$2="Zone 4"),'GCN_Clip 1.0'!#REF!,IF(AND($B$3="Clip",$B$2="Zone 5"),'GCN_Clip 1.0'!#REF!,IF(AND($B$3="Post",$B$2="Zone 1"),'GCN_Post 1.0'!Q290,IF(AND($B$3="Post",$B$2="Zone 2"),'GCN_Post 1.0'!R290,IF(AND($B$3="Post",$B$2="Zone 3"),'GCN_Post 1.0'!S290,IF(AND($B$3="Post",$B$2="Zone 4"),'GCN_Post 1.0'!T290,IF(AND($B$3="Post",$B$2="Zone 5"),'GCN_Post 1.0'!V290,"ERROR")))))))))))))))))))</f>
        <v/>
      </c>
      <c r="AL176" s="27" t="str">
        <f t="shared" si="38"/>
        <v/>
      </c>
      <c r="AM176" t="str">
        <f t="shared" si="39"/>
        <v/>
      </c>
      <c r="AN176" t="str">
        <f t="shared" si="40"/>
        <v/>
      </c>
      <c r="AO176" t="str">
        <f t="shared" si="41"/>
        <v/>
      </c>
      <c r="AP176" t="str">
        <f t="shared" si="42"/>
        <v/>
      </c>
      <c r="AQ176" t="str">
        <f t="shared" si="43"/>
        <v/>
      </c>
      <c r="AR176" s="82" t="str">
        <f>IF(AND($B$3="Cantilever",$B$2="Zone 1"),'GCM_Cantilever 1.0'!$I367,IF(AND($B$3="Cantilever",$B$2="Zone 2"),'GCM_Cantilever 1.0'!M367,IF(AND($B$3="HalfTracker",$B$2="Zone 1"),'GCM_Halftracker 1.0'!H382,IF(AND($B$3="HalfTracker",$B$2="Zone 2"),'GCM_Halftracker 1.0'!L382,IF(AND($B$3="Purlin",$B$2="Zone 1"),'GCM_Purlin 1.0'!H437,IF(AND($B$3="Purlin",$B$2="Zone 2"),'GCM_Purlin 1.0'!P437,IF(AND($B$3="Purlin",$B$2="Zone 3"),'GCM_Purlin 1.0'!AA437,IF(AND($B$3="Purlin",$B$2="Zone 4"),'GCM_Purlin 1.0'!AI437,IF(AND($B$3="Purlin",$B$2="Zone 5"),'GCM_Purlin 1.0'!AT437,IF(AND($B$3="Clip",$B$2="Zone 1"),'GCN_Clip 1.0'!#REF!,IF(AND($B$3="Clip",$B$2="Zone 2"),'GCN_Clip 1.0'!#REF!,IF(AND($B$3="Clip",$B$2="Zone 3"),'GCN_Clip 1.0'!#REF!,IF(AND($B$3="Clip",$B$2="Zone 4"),'GCN_Clip 1.0'!#REF!,IF(AND($B$3="Clip",$B$2="Zone 5"),'GCN_Clip 1.0'!#REF!,IF(AND($B$3="Post",$B$2="Zone 1"),'GCN_Post 1.0'!W290,IF(AND($B$3="Post",$B$2="Zone 2"),'GCN_Post 1.0'!X290,IF(AND($B$3="Post",$B$2="Zone 3"),'GCN_Post 1.0'!Y290,IF(AND($B$3="Post",$B$2="Zone 4"),'GCN_Post 1.0'!Z290,IF(AND($B$3="Post",$B$2="Zone 5"),'GCN_Post 1.0'!AA290,"ERROR")))))))))))))))))))</f>
        <v/>
      </c>
    </row>
    <row r="177" spans="6:44" x14ac:dyDescent="0.25">
      <c r="F177">
        <v>4</v>
      </c>
      <c r="G177" s="27" t="str">
        <f t="shared" si="16"/>
        <v/>
      </c>
      <c r="H177" t="str">
        <f t="shared" si="17"/>
        <v/>
      </c>
      <c r="I177" t="str">
        <f t="shared" si="18"/>
        <v/>
      </c>
      <c r="J177" s="28" t="str">
        <f t="shared" si="19"/>
        <v/>
      </c>
      <c r="M177">
        <v>4</v>
      </c>
      <c r="N177" s="27" t="str">
        <f t="shared" si="20"/>
        <v/>
      </c>
      <c r="O177" t="str">
        <f t="shared" si="21"/>
        <v/>
      </c>
      <c r="P177" t="str">
        <f t="shared" si="22"/>
        <v/>
      </c>
      <c r="Q177" t="str">
        <f t="shared" si="23"/>
        <v/>
      </c>
      <c r="R177" t="str">
        <f t="shared" si="24"/>
        <v/>
      </c>
      <c r="S177" t="str">
        <f t="shared" si="25"/>
        <v/>
      </c>
      <c r="T177" s="82" t="str">
        <f>IF(AND($B$3="Cantilever",$B$2="Zone 1"),'GCM_Cantilever 1.0'!$F368,IF(AND($B$3="Cantilever",$B$2="Zone 2"),'GCM_Cantilever 1.0'!J368,IF(AND($B$3="HalfTracker",$B$2="Zone 1"),'GCM_Halftracker 1.0'!E383,IF(AND($B$3="HalfTracker",$B$2="Zone 2"),'GCM_Halftracker 1.0'!I383,IF(AND($B$3="Purlin",$B$2="Zone 1"),'GCM_Purlin 1.0'!E438,IF(AND($B$3="Purlin",$B$2="Zone 2"),'GCM_Purlin 1.0'!M438,IF(AND($B$3="Purlin",$B$2="Zone 3"),'GCM_Purlin 1.0'!X438,IF(AND($B$3="Purlin",$B$2="Zone 4"),'GCM_Purlin 1.0'!AF438,IF(AND($B$3="Purlin",$B$2="Zone 5"),'GCM_Purlin 1.0'!AQ438,IF(AND($B$3="Clip",$B$2="Zone 1"),'GCN_Clip 1.0'!G7,IF(AND($B$3="Clip",$B$2="Zone 2"),'GCN_Clip 1.0'!C8,IF(AND($B$3="Clip",$B$2="Zone 3"),'GCN_Clip 1.0'!G9,IF(AND($B$3="Clip",$B$2="Zone 4"),'GCN_Clip 1.0'!G10,IF(AND($B$3="Clip",$B$2="Zone 5"),'GCN_Clip 1.0'!G11,IF(AND($B$3="Post",$B$2="Zone 1"),'GCN_Post 1.0'!E291,IF(AND($B$3="Post",$B$2="Zone 2"),'GCN_Post 1.0'!F291,IF(AND($B$3="Post",$B$2="Zone 3"),'GCN_Post 1.0'!G291,IF(AND($B$3="Post",$B$2="Zone 4"),'GCN_Post 1.0'!H291,IF(AND($B$3="Post",$B$2="Zone 5"),'GCN_Post 1.0'!I291,"ERROR")))))))))))))))))))</f>
        <v/>
      </c>
      <c r="V177" s="27" t="str">
        <f t="shared" si="26"/>
        <v/>
      </c>
      <c r="W177" t="str">
        <f t="shared" si="27"/>
        <v/>
      </c>
      <c r="X177" t="str">
        <f t="shared" si="28"/>
        <v/>
      </c>
      <c r="Y177" t="str">
        <f t="shared" si="29"/>
        <v/>
      </c>
      <c r="Z177" t="str">
        <f t="shared" si="30"/>
        <v/>
      </c>
      <c r="AA177" t="str">
        <f t="shared" si="31"/>
        <v/>
      </c>
      <c r="AB177" s="82" t="str">
        <f>IF(AND($B$3="Cantilever",$B$2="Zone 1"),'GCM_Cantilever 1.0'!$G368,IF(AND($B$3="Cantilever",$B$2="Zone 2"),'GCM_Cantilever 1.0'!K368,IF(AND($B$3="HalfTracker",$B$2="Zone 1"),'GCM_Halftracker 1.0'!F383,IF(AND($B$3="HalfTracker",$B$2="Zone 2"),'GCM_Halftracker 1.0'!J383,IF(AND($B$3="Purlin",$B$2="Zone 1"),'GCM_Purlin 1.0'!F438,IF(AND($B$3="Purlin",$B$2="Zone 2"),'GCM_Purlin 1.0'!N438,IF(AND($B$3="Purlin",$B$2="Zone 3"),'GCM_Purlin 1.0'!Y438,IF(AND($B$3="Purlin",$B$2="Zone 4"),'GCM_Purlin 1.0'!AG438,IF(AND($B$3="Purlin",$B$2="Zone 5"),'GCM_Purlin 1.0'!AR438,IF(AND($B$3="Clip",$B$2="Zone 1"),'GCN_Clip 1.0'!H7,IF(AND($B$3="Clip",$B$2="Zone 2"),'GCN_Clip 1.0'!H8,IF(AND($B$3="Clip",$B$2="Zone 3"),'GCN_Clip 1.0'!H9,IF(AND($B$3="Clip",$B$2="Zone 4"),'GCN_Clip 1.0'!H10,IF(AND($B$3="Clip",$B$2="Zone 5"),'GCN_Clip 1.0'!H11,IF(AND($B$3="Post",$B$2="Zone 1"),'GCN_Post 1.0'!J291,IF(AND($B$3="Post",$B$2="Zone 2"),'GCN_Post 1.0'!K291,IF(AND($B$3="Post",$B$2="Zone 3"),'GCN_Post 1.0'!N291,IF(AND($B$3="Post",$B$2="Zone 4"),'GCN_Post 1.0'!O291,IF(AND($B$3="Post",$B$2="Zone 5"),'GCN_Post 1.0'!P291,"ERROR")))))))))))))))))))</f>
        <v/>
      </c>
      <c r="AD177" s="27" t="str">
        <f t="shared" si="32"/>
        <v/>
      </c>
      <c r="AE177" t="str">
        <f t="shared" si="33"/>
        <v/>
      </c>
      <c r="AF177" t="str">
        <f t="shared" si="34"/>
        <v/>
      </c>
      <c r="AG177" t="str">
        <f t="shared" si="35"/>
        <v/>
      </c>
      <c r="AH177" t="str">
        <f t="shared" si="36"/>
        <v/>
      </c>
      <c r="AI177" t="str">
        <f t="shared" si="37"/>
        <v/>
      </c>
      <c r="AJ177" s="82" t="str">
        <f>IF(AND($B$3="Cantilever",$B$2="Zone 1"),'GCM_Cantilever 1.0'!$H368,IF(AND($B$3="Cantilever",$B$2="Zone 2"),'GCM_Cantilever 1.0'!L368,IF(AND($B$3="HalfTracker",$B$2="Zone 1"),'GCM_Halftracker 1.0'!G383,IF(AND($B$3="HalfTracker",$B$2="Zone 2"),'GCM_Halftracker 1.0'!K383,IF(AND($B$3="Purlin",$B$2="Zone 1"),'GCM_Purlin 1.0'!G438,IF(AND($B$3="Purlin",$B$2="Zone 2"),'GCM_Purlin 1.0'!O438,IF(AND($B$3="Purlin",$B$2="Zone 3"),'GCM_Purlin 1.0'!Z438,IF(AND($B$3="Purlin",$B$2="Zone 4"),'GCM_Purlin 1.0'!AH438,IF(AND($B$3="Purlin",$B$2="Zone 5"),'GCM_Purlin 1.0'!AS438,IF(AND($B$3="Clip",$B$2="Zone 1"),'GCN_Clip 1.0'!#REF!,IF(AND($B$3="Clip",$B$2="Zone 2"),'GCN_Clip 1.0'!#REF!,IF(AND($B$3="Clip",$B$2="Zone 3"),'GCN_Clip 1.0'!#REF!,IF(AND($B$3="Clip",$B$2="Zone 4"),'GCN_Clip 1.0'!#REF!,IF(AND($B$3="Clip",$B$2="Zone 5"),'GCN_Clip 1.0'!#REF!,IF(AND($B$3="Post",$B$2="Zone 1"),'GCN_Post 1.0'!Q291,IF(AND($B$3="Post",$B$2="Zone 2"),'GCN_Post 1.0'!R291,IF(AND($B$3="Post",$B$2="Zone 3"),'GCN_Post 1.0'!S291,IF(AND($B$3="Post",$B$2="Zone 4"),'GCN_Post 1.0'!T291,IF(AND($B$3="Post",$B$2="Zone 5"),'GCN_Post 1.0'!V291,"ERROR")))))))))))))))))))</f>
        <v/>
      </c>
      <c r="AL177" s="27" t="str">
        <f t="shared" si="38"/>
        <v/>
      </c>
      <c r="AM177" t="str">
        <f t="shared" si="39"/>
        <v/>
      </c>
      <c r="AN177" t="str">
        <f t="shared" si="40"/>
        <v/>
      </c>
      <c r="AO177" t="str">
        <f t="shared" si="41"/>
        <v/>
      </c>
      <c r="AP177" t="str">
        <f t="shared" si="42"/>
        <v/>
      </c>
      <c r="AQ177" t="str">
        <f t="shared" si="43"/>
        <v/>
      </c>
      <c r="AR177" s="82" t="str">
        <f>IF(AND($B$3="Cantilever",$B$2="Zone 1"),'GCM_Cantilever 1.0'!$I368,IF(AND($B$3="Cantilever",$B$2="Zone 2"),'GCM_Cantilever 1.0'!M368,IF(AND($B$3="HalfTracker",$B$2="Zone 1"),'GCM_Halftracker 1.0'!H383,IF(AND($B$3="HalfTracker",$B$2="Zone 2"),'GCM_Halftracker 1.0'!L383,IF(AND($B$3="Purlin",$B$2="Zone 1"),'GCM_Purlin 1.0'!H438,IF(AND($B$3="Purlin",$B$2="Zone 2"),'GCM_Purlin 1.0'!P438,IF(AND($B$3="Purlin",$B$2="Zone 3"),'GCM_Purlin 1.0'!AA438,IF(AND($B$3="Purlin",$B$2="Zone 4"),'GCM_Purlin 1.0'!AI438,IF(AND($B$3="Purlin",$B$2="Zone 5"),'GCM_Purlin 1.0'!AT438,IF(AND($B$3="Clip",$B$2="Zone 1"),'GCN_Clip 1.0'!#REF!,IF(AND($B$3="Clip",$B$2="Zone 2"),'GCN_Clip 1.0'!#REF!,IF(AND($B$3="Clip",$B$2="Zone 3"),'GCN_Clip 1.0'!#REF!,IF(AND($B$3="Clip",$B$2="Zone 4"),'GCN_Clip 1.0'!#REF!,IF(AND($B$3="Clip",$B$2="Zone 5"),'GCN_Clip 1.0'!#REF!,IF(AND($B$3="Post",$B$2="Zone 1"),'GCN_Post 1.0'!W291,IF(AND($B$3="Post",$B$2="Zone 2"),'GCN_Post 1.0'!X291,IF(AND($B$3="Post",$B$2="Zone 3"),'GCN_Post 1.0'!Y291,IF(AND($B$3="Post",$B$2="Zone 4"),'GCN_Post 1.0'!Z291,IF(AND($B$3="Post",$B$2="Zone 5"),'GCN_Post 1.0'!AA291,"ERROR")))))))))))))))))))</f>
        <v/>
      </c>
    </row>
    <row r="178" spans="6:44" x14ac:dyDescent="0.25">
      <c r="F178">
        <v>5</v>
      </c>
      <c r="G178" s="27" t="str">
        <f t="shared" si="16"/>
        <v/>
      </c>
      <c r="H178" t="str">
        <f t="shared" si="17"/>
        <v/>
      </c>
      <c r="I178" t="str">
        <f t="shared" si="18"/>
        <v/>
      </c>
      <c r="J178" s="28" t="str">
        <f t="shared" si="19"/>
        <v/>
      </c>
      <c r="M178">
        <v>5</v>
      </c>
      <c r="N178" s="27" t="str">
        <f t="shared" si="20"/>
        <v/>
      </c>
      <c r="O178" t="str">
        <f t="shared" si="21"/>
        <v/>
      </c>
      <c r="P178" t="str">
        <f t="shared" si="22"/>
        <v/>
      </c>
      <c r="Q178" t="str">
        <f t="shared" si="23"/>
        <v/>
      </c>
      <c r="R178" t="str">
        <f t="shared" si="24"/>
        <v/>
      </c>
      <c r="S178" t="str">
        <f t="shared" si="25"/>
        <v/>
      </c>
      <c r="T178" s="82" t="str">
        <f>IF(AND($B$3="Cantilever",$B$2="Zone 1"),'GCM_Cantilever 1.0'!$F369,IF(AND($B$3="Cantilever",$B$2="Zone 2"),'GCM_Cantilever 1.0'!J369,IF(AND($B$3="HalfTracker",$B$2="Zone 1"),'GCM_Halftracker 1.0'!E384,IF(AND($B$3="HalfTracker",$B$2="Zone 2"),'GCM_Halftracker 1.0'!I384,IF(AND($B$3="Purlin",$B$2="Zone 1"),'GCM_Purlin 1.0'!E439,IF(AND($B$3="Purlin",$B$2="Zone 2"),'GCM_Purlin 1.0'!M439,IF(AND($B$3="Purlin",$B$2="Zone 3"),'GCM_Purlin 1.0'!X439,IF(AND($B$3="Purlin",$B$2="Zone 4"),'GCM_Purlin 1.0'!AF439,IF(AND($B$3="Purlin",$B$2="Zone 5"),'GCM_Purlin 1.0'!AQ439,IF(AND($B$3="Clip",$B$2="Zone 1"),'GCN_Clip 1.0'!G8,IF(AND($B$3="Clip",$B$2="Zone 2"),'GCN_Clip 1.0'!C9,IF(AND($B$3="Clip",$B$2="Zone 3"),'GCN_Clip 1.0'!G10,IF(AND($B$3="Clip",$B$2="Zone 4"),'GCN_Clip 1.0'!G11,IF(AND($B$3="Clip",$B$2="Zone 5"),'GCN_Clip 1.0'!G12,IF(AND($B$3="Post",$B$2="Zone 1"),'GCN_Post 1.0'!E292,IF(AND($B$3="Post",$B$2="Zone 2"),'GCN_Post 1.0'!F292,IF(AND($B$3="Post",$B$2="Zone 3"),'GCN_Post 1.0'!G292,IF(AND($B$3="Post",$B$2="Zone 4"),'GCN_Post 1.0'!H292,IF(AND($B$3="Post",$B$2="Zone 5"),'GCN_Post 1.0'!I292,"ERROR")))))))))))))))))))</f>
        <v/>
      </c>
      <c r="V178" s="27" t="str">
        <f t="shared" si="26"/>
        <v/>
      </c>
      <c r="W178" t="str">
        <f t="shared" si="27"/>
        <v/>
      </c>
      <c r="X178" t="str">
        <f t="shared" si="28"/>
        <v/>
      </c>
      <c r="Y178" t="str">
        <f t="shared" si="29"/>
        <v/>
      </c>
      <c r="Z178" t="str">
        <f t="shared" si="30"/>
        <v/>
      </c>
      <c r="AA178" t="str">
        <f t="shared" si="31"/>
        <v/>
      </c>
      <c r="AB178" s="82" t="str">
        <f>IF(AND($B$3="Cantilever",$B$2="Zone 1"),'GCM_Cantilever 1.0'!$G369,IF(AND($B$3="Cantilever",$B$2="Zone 2"),'GCM_Cantilever 1.0'!K369,IF(AND($B$3="HalfTracker",$B$2="Zone 1"),'GCM_Halftracker 1.0'!F384,IF(AND($B$3="HalfTracker",$B$2="Zone 2"),'GCM_Halftracker 1.0'!J384,IF(AND($B$3="Purlin",$B$2="Zone 1"),'GCM_Purlin 1.0'!F439,IF(AND($B$3="Purlin",$B$2="Zone 2"),'GCM_Purlin 1.0'!N439,IF(AND($B$3="Purlin",$B$2="Zone 3"),'GCM_Purlin 1.0'!Y439,IF(AND($B$3="Purlin",$B$2="Zone 4"),'GCM_Purlin 1.0'!AG439,IF(AND($B$3="Purlin",$B$2="Zone 5"),'GCM_Purlin 1.0'!AR439,IF(AND($B$3="Clip",$B$2="Zone 1"),'GCN_Clip 1.0'!H8,IF(AND($B$3="Clip",$B$2="Zone 2"),'GCN_Clip 1.0'!H9,IF(AND($B$3="Clip",$B$2="Zone 3"),'GCN_Clip 1.0'!H10,IF(AND($B$3="Clip",$B$2="Zone 4"),'GCN_Clip 1.0'!H11,IF(AND($B$3="Clip",$B$2="Zone 5"),'GCN_Clip 1.0'!H12,IF(AND($B$3="Post",$B$2="Zone 1"),'GCN_Post 1.0'!J292,IF(AND($B$3="Post",$B$2="Zone 2"),'GCN_Post 1.0'!K292,IF(AND($B$3="Post",$B$2="Zone 3"),'GCN_Post 1.0'!N292,IF(AND($B$3="Post",$B$2="Zone 4"),'GCN_Post 1.0'!O292,IF(AND($B$3="Post",$B$2="Zone 5"),'GCN_Post 1.0'!P292,"ERROR")))))))))))))))))))</f>
        <v/>
      </c>
      <c r="AD178" s="27" t="str">
        <f t="shared" si="32"/>
        <v/>
      </c>
      <c r="AE178" t="str">
        <f t="shared" si="33"/>
        <v/>
      </c>
      <c r="AF178" t="str">
        <f t="shared" si="34"/>
        <v/>
      </c>
      <c r="AG178" t="str">
        <f t="shared" si="35"/>
        <v/>
      </c>
      <c r="AH178" t="str">
        <f t="shared" si="36"/>
        <v/>
      </c>
      <c r="AI178" t="str">
        <f t="shared" si="37"/>
        <v/>
      </c>
      <c r="AJ178" s="82" t="str">
        <f>IF(AND($B$3="Cantilever",$B$2="Zone 1"),'GCM_Cantilever 1.0'!$H369,IF(AND($B$3="Cantilever",$B$2="Zone 2"),'GCM_Cantilever 1.0'!L369,IF(AND($B$3="HalfTracker",$B$2="Zone 1"),'GCM_Halftracker 1.0'!G384,IF(AND($B$3="HalfTracker",$B$2="Zone 2"),'GCM_Halftracker 1.0'!K384,IF(AND($B$3="Purlin",$B$2="Zone 1"),'GCM_Purlin 1.0'!G439,IF(AND($B$3="Purlin",$B$2="Zone 2"),'GCM_Purlin 1.0'!O439,IF(AND($B$3="Purlin",$B$2="Zone 3"),'GCM_Purlin 1.0'!Z439,IF(AND($B$3="Purlin",$B$2="Zone 4"),'GCM_Purlin 1.0'!AH439,IF(AND($B$3="Purlin",$B$2="Zone 5"),'GCM_Purlin 1.0'!AS439,IF(AND($B$3="Clip",$B$2="Zone 1"),'GCN_Clip 1.0'!#REF!,IF(AND($B$3="Clip",$B$2="Zone 2"),'GCN_Clip 1.0'!#REF!,IF(AND($B$3="Clip",$B$2="Zone 3"),'GCN_Clip 1.0'!#REF!,IF(AND($B$3="Clip",$B$2="Zone 4"),'GCN_Clip 1.0'!#REF!,IF(AND($B$3="Clip",$B$2="Zone 5"),'GCN_Clip 1.0'!#REF!,IF(AND($B$3="Post",$B$2="Zone 1"),'GCN_Post 1.0'!Q292,IF(AND($B$3="Post",$B$2="Zone 2"),'GCN_Post 1.0'!R292,IF(AND($B$3="Post",$B$2="Zone 3"),'GCN_Post 1.0'!S292,IF(AND($B$3="Post",$B$2="Zone 4"),'GCN_Post 1.0'!T292,IF(AND($B$3="Post",$B$2="Zone 5"),'GCN_Post 1.0'!V292,"ERROR")))))))))))))))))))</f>
        <v/>
      </c>
      <c r="AL178" s="27" t="str">
        <f t="shared" si="38"/>
        <v/>
      </c>
      <c r="AM178" t="str">
        <f t="shared" si="39"/>
        <v/>
      </c>
      <c r="AN178" t="str">
        <f t="shared" si="40"/>
        <v/>
      </c>
      <c r="AO178" t="str">
        <f t="shared" si="41"/>
        <v/>
      </c>
      <c r="AP178" t="str">
        <f t="shared" si="42"/>
        <v/>
      </c>
      <c r="AQ178" t="str">
        <f t="shared" si="43"/>
        <v/>
      </c>
      <c r="AR178" s="82" t="str">
        <f>IF(AND($B$3="Cantilever",$B$2="Zone 1"),'GCM_Cantilever 1.0'!$I369,IF(AND($B$3="Cantilever",$B$2="Zone 2"),'GCM_Cantilever 1.0'!M369,IF(AND($B$3="HalfTracker",$B$2="Zone 1"),'GCM_Halftracker 1.0'!H384,IF(AND($B$3="HalfTracker",$B$2="Zone 2"),'GCM_Halftracker 1.0'!L384,IF(AND($B$3="Purlin",$B$2="Zone 1"),'GCM_Purlin 1.0'!H439,IF(AND($B$3="Purlin",$B$2="Zone 2"),'GCM_Purlin 1.0'!P439,IF(AND($B$3="Purlin",$B$2="Zone 3"),'GCM_Purlin 1.0'!AA439,IF(AND($B$3="Purlin",$B$2="Zone 4"),'GCM_Purlin 1.0'!AI439,IF(AND($B$3="Purlin",$B$2="Zone 5"),'GCM_Purlin 1.0'!AT439,IF(AND($B$3="Clip",$B$2="Zone 1"),'GCN_Clip 1.0'!#REF!,IF(AND($B$3="Clip",$B$2="Zone 2"),'GCN_Clip 1.0'!#REF!,IF(AND($B$3="Clip",$B$2="Zone 3"),'GCN_Clip 1.0'!#REF!,IF(AND($B$3="Clip",$B$2="Zone 4"),'GCN_Clip 1.0'!#REF!,IF(AND($B$3="Clip",$B$2="Zone 5"),'GCN_Clip 1.0'!#REF!,IF(AND($B$3="Post",$B$2="Zone 1"),'GCN_Post 1.0'!W292,IF(AND($B$3="Post",$B$2="Zone 2"),'GCN_Post 1.0'!X292,IF(AND($B$3="Post",$B$2="Zone 3"),'GCN_Post 1.0'!Y292,IF(AND($B$3="Post",$B$2="Zone 4"),'GCN_Post 1.0'!Z292,IF(AND($B$3="Post",$B$2="Zone 5"),'GCN_Post 1.0'!AA292,"ERROR")))))))))))))))))))</f>
        <v/>
      </c>
    </row>
    <row r="179" spans="6:44" x14ac:dyDescent="0.25">
      <c r="F179">
        <v>6</v>
      </c>
      <c r="G179" s="27" t="str">
        <f t="shared" si="16"/>
        <v/>
      </c>
      <c r="H179" t="str">
        <f t="shared" si="17"/>
        <v/>
      </c>
      <c r="I179" t="str">
        <f t="shared" si="18"/>
        <v/>
      </c>
      <c r="J179" s="28" t="str">
        <f t="shared" si="19"/>
        <v/>
      </c>
      <c r="M179">
        <v>6</v>
      </c>
      <c r="N179" s="27" t="str">
        <f t="shared" si="20"/>
        <v/>
      </c>
      <c r="O179" t="str">
        <f t="shared" si="21"/>
        <v/>
      </c>
      <c r="P179" t="str">
        <f t="shared" si="22"/>
        <v/>
      </c>
      <c r="Q179" t="str">
        <f t="shared" si="23"/>
        <v/>
      </c>
      <c r="R179" t="str">
        <f t="shared" si="24"/>
        <v/>
      </c>
      <c r="S179" t="str">
        <f t="shared" si="25"/>
        <v/>
      </c>
      <c r="T179" s="82" t="str">
        <f>IF(AND($B$3="Cantilever",$B$2="Zone 1"),'GCM_Cantilever 1.0'!$F370,IF(AND($B$3="Cantilever",$B$2="Zone 2"),'GCM_Cantilever 1.0'!J370,IF(AND($B$3="HalfTracker",$B$2="Zone 1"),'GCM_Halftracker 1.0'!E385,IF(AND($B$3="HalfTracker",$B$2="Zone 2"),'GCM_Halftracker 1.0'!I385,IF(AND($B$3="Purlin",$B$2="Zone 1"),'GCM_Purlin 1.0'!E440,IF(AND($B$3="Purlin",$B$2="Zone 2"),'GCM_Purlin 1.0'!M440,IF(AND($B$3="Purlin",$B$2="Zone 3"),'GCM_Purlin 1.0'!X440,IF(AND($B$3="Purlin",$B$2="Zone 4"),'GCM_Purlin 1.0'!AF440,IF(AND($B$3="Purlin",$B$2="Zone 5"),'GCM_Purlin 1.0'!AQ440,IF(AND($B$3="Clip",$B$2="Zone 1"),'GCN_Clip 1.0'!G9,IF(AND($B$3="Clip",$B$2="Zone 2"),'GCN_Clip 1.0'!C10,IF(AND($B$3="Clip",$B$2="Zone 3"),'GCN_Clip 1.0'!G11,IF(AND($B$3="Clip",$B$2="Zone 4"),'GCN_Clip 1.0'!G12,IF(AND($B$3="Clip",$B$2="Zone 5"),'GCN_Clip 1.0'!G13,IF(AND($B$3="Post",$B$2="Zone 1"),'GCN_Post 1.0'!E293,IF(AND($B$3="Post",$B$2="Zone 2"),'GCN_Post 1.0'!F293,IF(AND($B$3="Post",$B$2="Zone 3"),'GCN_Post 1.0'!G293,IF(AND($B$3="Post",$B$2="Zone 4"),'GCN_Post 1.0'!H293,IF(AND($B$3="Post",$B$2="Zone 5"),'GCN_Post 1.0'!I293,"ERROR")))))))))))))))))))</f>
        <v/>
      </c>
      <c r="V179" s="27" t="str">
        <f t="shared" si="26"/>
        <v/>
      </c>
      <c r="W179" t="str">
        <f t="shared" si="27"/>
        <v/>
      </c>
      <c r="X179" t="str">
        <f t="shared" si="28"/>
        <v/>
      </c>
      <c r="Y179" t="str">
        <f t="shared" si="29"/>
        <v/>
      </c>
      <c r="Z179" t="str">
        <f t="shared" si="30"/>
        <v/>
      </c>
      <c r="AA179" t="str">
        <f t="shared" si="31"/>
        <v/>
      </c>
      <c r="AB179" s="82" t="str">
        <f>IF(AND($B$3="Cantilever",$B$2="Zone 1"),'GCM_Cantilever 1.0'!$G370,IF(AND($B$3="Cantilever",$B$2="Zone 2"),'GCM_Cantilever 1.0'!K370,IF(AND($B$3="HalfTracker",$B$2="Zone 1"),'GCM_Halftracker 1.0'!F385,IF(AND($B$3="HalfTracker",$B$2="Zone 2"),'GCM_Halftracker 1.0'!J385,IF(AND($B$3="Purlin",$B$2="Zone 1"),'GCM_Purlin 1.0'!F440,IF(AND($B$3="Purlin",$B$2="Zone 2"),'GCM_Purlin 1.0'!N440,IF(AND($B$3="Purlin",$B$2="Zone 3"),'GCM_Purlin 1.0'!Y440,IF(AND($B$3="Purlin",$B$2="Zone 4"),'GCM_Purlin 1.0'!AG440,IF(AND($B$3="Purlin",$B$2="Zone 5"),'GCM_Purlin 1.0'!AR440,IF(AND($B$3="Clip",$B$2="Zone 1"),'GCN_Clip 1.0'!H9,IF(AND($B$3="Clip",$B$2="Zone 2"),'GCN_Clip 1.0'!H10,IF(AND($B$3="Clip",$B$2="Zone 3"),'GCN_Clip 1.0'!H11,IF(AND($B$3="Clip",$B$2="Zone 4"),'GCN_Clip 1.0'!H12,IF(AND($B$3="Clip",$B$2="Zone 5"),'GCN_Clip 1.0'!H13,IF(AND($B$3="Post",$B$2="Zone 1"),'GCN_Post 1.0'!J293,IF(AND($B$3="Post",$B$2="Zone 2"),'GCN_Post 1.0'!K293,IF(AND($B$3="Post",$B$2="Zone 3"),'GCN_Post 1.0'!N293,IF(AND($B$3="Post",$B$2="Zone 4"),'GCN_Post 1.0'!O293,IF(AND($B$3="Post",$B$2="Zone 5"),'GCN_Post 1.0'!P293,"ERROR")))))))))))))))))))</f>
        <v/>
      </c>
      <c r="AD179" s="27" t="str">
        <f t="shared" si="32"/>
        <v/>
      </c>
      <c r="AE179" t="str">
        <f t="shared" si="33"/>
        <v/>
      </c>
      <c r="AF179" t="str">
        <f t="shared" si="34"/>
        <v/>
      </c>
      <c r="AG179" t="str">
        <f t="shared" si="35"/>
        <v/>
      </c>
      <c r="AH179" t="str">
        <f t="shared" si="36"/>
        <v/>
      </c>
      <c r="AI179" t="str">
        <f t="shared" si="37"/>
        <v/>
      </c>
      <c r="AJ179" s="82" t="str">
        <f>IF(AND($B$3="Cantilever",$B$2="Zone 1"),'GCM_Cantilever 1.0'!$H370,IF(AND($B$3="Cantilever",$B$2="Zone 2"),'GCM_Cantilever 1.0'!L370,IF(AND($B$3="HalfTracker",$B$2="Zone 1"),'GCM_Halftracker 1.0'!G385,IF(AND($B$3="HalfTracker",$B$2="Zone 2"),'GCM_Halftracker 1.0'!K385,IF(AND($B$3="Purlin",$B$2="Zone 1"),'GCM_Purlin 1.0'!G440,IF(AND($B$3="Purlin",$B$2="Zone 2"),'GCM_Purlin 1.0'!O440,IF(AND($B$3="Purlin",$B$2="Zone 3"),'GCM_Purlin 1.0'!Z440,IF(AND($B$3="Purlin",$B$2="Zone 4"),'GCM_Purlin 1.0'!AH440,IF(AND($B$3="Purlin",$B$2="Zone 5"),'GCM_Purlin 1.0'!AS440,IF(AND($B$3="Clip",$B$2="Zone 1"),'GCN_Clip 1.0'!#REF!,IF(AND($B$3="Clip",$B$2="Zone 2"),'GCN_Clip 1.0'!#REF!,IF(AND($B$3="Clip",$B$2="Zone 3"),'GCN_Clip 1.0'!#REF!,IF(AND($B$3="Clip",$B$2="Zone 4"),'GCN_Clip 1.0'!#REF!,IF(AND($B$3="Clip",$B$2="Zone 5"),'GCN_Clip 1.0'!#REF!,IF(AND($B$3="Post",$B$2="Zone 1"),'GCN_Post 1.0'!Q293,IF(AND($B$3="Post",$B$2="Zone 2"),'GCN_Post 1.0'!R293,IF(AND($B$3="Post",$B$2="Zone 3"),'GCN_Post 1.0'!S293,IF(AND($B$3="Post",$B$2="Zone 4"),'GCN_Post 1.0'!T293,IF(AND($B$3="Post",$B$2="Zone 5"),'GCN_Post 1.0'!V293,"ERROR")))))))))))))))))))</f>
        <v/>
      </c>
      <c r="AL179" s="27" t="str">
        <f t="shared" si="38"/>
        <v/>
      </c>
      <c r="AM179" t="str">
        <f t="shared" si="39"/>
        <v/>
      </c>
      <c r="AN179" t="str">
        <f t="shared" si="40"/>
        <v/>
      </c>
      <c r="AO179" t="str">
        <f t="shared" si="41"/>
        <v/>
      </c>
      <c r="AP179" t="str">
        <f t="shared" si="42"/>
        <v/>
      </c>
      <c r="AQ179" t="str">
        <f t="shared" si="43"/>
        <v/>
      </c>
      <c r="AR179" s="82" t="str">
        <f>IF(AND($B$3="Cantilever",$B$2="Zone 1"),'GCM_Cantilever 1.0'!$I370,IF(AND($B$3="Cantilever",$B$2="Zone 2"),'GCM_Cantilever 1.0'!M370,IF(AND($B$3="HalfTracker",$B$2="Zone 1"),'GCM_Halftracker 1.0'!H385,IF(AND($B$3="HalfTracker",$B$2="Zone 2"),'GCM_Halftracker 1.0'!L385,IF(AND($B$3="Purlin",$B$2="Zone 1"),'GCM_Purlin 1.0'!H440,IF(AND($B$3="Purlin",$B$2="Zone 2"),'GCM_Purlin 1.0'!P440,IF(AND($B$3="Purlin",$B$2="Zone 3"),'GCM_Purlin 1.0'!AA440,IF(AND($B$3="Purlin",$B$2="Zone 4"),'GCM_Purlin 1.0'!AI440,IF(AND($B$3="Purlin",$B$2="Zone 5"),'GCM_Purlin 1.0'!AT440,IF(AND($B$3="Clip",$B$2="Zone 1"),'GCN_Clip 1.0'!#REF!,IF(AND($B$3="Clip",$B$2="Zone 2"),'GCN_Clip 1.0'!#REF!,IF(AND($B$3="Clip",$B$2="Zone 3"),'GCN_Clip 1.0'!#REF!,IF(AND($B$3="Clip",$B$2="Zone 4"),'GCN_Clip 1.0'!#REF!,IF(AND($B$3="Clip",$B$2="Zone 5"),'GCN_Clip 1.0'!#REF!,IF(AND($B$3="Post",$B$2="Zone 1"),'GCN_Post 1.0'!W293,IF(AND($B$3="Post",$B$2="Zone 2"),'GCN_Post 1.0'!X293,IF(AND($B$3="Post",$B$2="Zone 3"),'GCN_Post 1.0'!Y293,IF(AND($B$3="Post",$B$2="Zone 4"),'GCN_Post 1.0'!Z293,IF(AND($B$3="Post",$B$2="Zone 5"),'GCN_Post 1.0'!AA293,"ERROR")))))))))))))))))))</f>
        <v/>
      </c>
    </row>
    <row r="180" spans="6:44" x14ac:dyDescent="0.25">
      <c r="F180">
        <v>7</v>
      </c>
      <c r="G180" s="27" t="str">
        <f t="shared" si="16"/>
        <v/>
      </c>
      <c r="H180" t="str">
        <f t="shared" si="17"/>
        <v/>
      </c>
      <c r="I180" t="str">
        <f t="shared" si="18"/>
        <v/>
      </c>
      <c r="J180" s="28" t="str">
        <f t="shared" si="19"/>
        <v/>
      </c>
      <c r="M180">
        <v>7</v>
      </c>
      <c r="N180" s="27" t="str">
        <f t="shared" si="20"/>
        <v/>
      </c>
      <c r="O180" t="str">
        <f t="shared" si="21"/>
        <v/>
      </c>
      <c r="P180" t="str">
        <f t="shared" si="22"/>
        <v/>
      </c>
      <c r="Q180" t="str">
        <f t="shared" si="23"/>
        <v/>
      </c>
      <c r="R180" t="str">
        <f t="shared" si="24"/>
        <v/>
      </c>
      <c r="S180" t="str">
        <f t="shared" si="25"/>
        <v/>
      </c>
      <c r="T180" s="82" t="str">
        <f>IF(AND($B$3="Cantilever",$B$2="Zone 1"),'GCM_Cantilever 1.0'!$F371,IF(AND($B$3="Cantilever",$B$2="Zone 2"),'GCM_Cantilever 1.0'!J371,IF(AND($B$3="HalfTracker",$B$2="Zone 1"),'GCM_Halftracker 1.0'!E386,IF(AND($B$3="HalfTracker",$B$2="Zone 2"),'GCM_Halftracker 1.0'!I386,IF(AND($B$3="Purlin",$B$2="Zone 1"),'GCM_Purlin 1.0'!E441,IF(AND($B$3="Purlin",$B$2="Zone 2"),'GCM_Purlin 1.0'!M441,IF(AND($B$3="Purlin",$B$2="Zone 3"),'GCM_Purlin 1.0'!X441,IF(AND($B$3="Purlin",$B$2="Zone 4"),'GCM_Purlin 1.0'!AF441,IF(AND($B$3="Purlin",$B$2="Zone 5"),'GCM_Purlin 1.0'!AQ441,IF(AND($B$3="Clip",$B$2="Zone 1"),'GCN_Clip 1.0'!G10,IF(AND($B$3="Clip",$B$2="Zone 2"),'GCN_Clip 1.0'!C11,IF(AND($B$3="Clip",$B$2="Zone 3"),'GCN_Clip 1.0'!G12,IF(AND($B$3="Clip",$B$2="Zone 4"),'GCN_Clip 1.0'!G13,IF(AND($B$3="Clip",$B$2="Zone 5"),'GCN_Clip 1.0'!G14,IF(AND($B$3="Post",$B$2="Zone 1"),'GCN_Post 1.0'!E294,IF(AND($B$3="Post",$B$2="Zone 2"),'GCN_Post 1.0'!F294,IF(AND($B$3="Post",$B$2="Zone 3"),'GCN_Post 1.0'!G294,IF(AND($B$3="Post",$B$2="Zone 4"),'GCN_Post 1.0'!H294,IF(AND($B$3="Post",$B$2="Zone 5"),'GCN_Post 1.0'!I294,"ERROR")))))))))))))))))))</f>
        <v/>
      </c>
      <c r="V180" s="27" t="str">
        <f t="shared" si="26"/>
        <v/>
      </c>
      <c r="W180" t="str">
        <f t="shared" si="27"/>
        <v/>
      </c>
      <c r="X180" t="str">
        <f t="shared" si="28"/>
        <v/>
      </c>
      <c r="Y180" t="str">
        <f t="shared" si="29"/>
        <v/>
      </c>
      <c r="Z180" t="str">
        <f t="shared" si="30"/>
        <v/>
      </c>
      <c r="AA180" t="str">
        <f t="shared" si="31"/>
        <v/>
      </c>
      <c r="AB180" s="82" t="str">
        <f>IF(AND($B$3="Cantilever",$B$2="Zone 1"),'GCM_Cantilever 1.0'!$G371,IF(AND($B$3="Cantilever",$B$2="Zone 2"),'GCM_Cantilever 1.0'!K371,IF(AND($B$3="HalfTracker",$B$2="Zone 1"),'GCM_Halftracker 1.0'!F386,IF(AND($B$3="HalfTracker",$B$2="Zone 2"),'GCM_Halftracker 1.0'!J386,IF(AND($B$3="Purlin",$B$2="Zone 1"),'GCM_Purlin 1.0'!F441,IF(AND($B$3="Purlin",$B$2="Zone 2"),'GCM_Purlin 1.0'!N441,IF(AND($B$3="Purlin",$B$2="Zone 3"),'GCM_Purlin 1.0'!Y441,IF(AND($B$3="Purlin",$B$2="Zone 4"),'GCM_Purlin 1.0'!AG441,IF(AND($B$3="Purlin",$B$2="Zone 5"),'GCM_Purlin 1.0'!AR441,IF(AND($B$3="Clip",$B$2="Zone 1"),'GCN_Clip 1.0'!H10,IF(AND($B$3="Clip",$B$2="Zone 2"),'GCN_Clip 1.0'!H11,IF(AND($B$3="Clip",$B$2="Zone 3"),'GCN_Clip 1.0'!H12,IF(AND($B$3="Clip",$B$2="Zone 4"),'GCN_Clip 1.0'!H13,IF(AND($B$3="Clip",$B$2="Zone 5"),'GCN_Clip 1.0'!H14,IF(AND($B$3="Post",$B$2="Zone 1"),'GCN_Post 1.0'!J294,IF(AND($B$3="Post",$B$2="Zone 2"),'GCN_Post 1.0'!K294,IF(AND($B$3="Post",$B$2="Zone 3"),'GCN_Post 1.0'!N294,IF(AND($B$3="Post",$B$2="Zone 4"),'GCN_Post 1.0'!O294,IF(AND($B$3="Post",$B$2="Zone 5"),'GCN_Post 1.0'!P294,"ERROR")))))))))))))))))))</f>
        <v/>
      </c>
      <c r="AD180" s="27" t="str">
        <f t="shared" si="32"/>
        <v/>
      </c>
      <c r="AE180" t="str">
        <f t="shared" si="33"/>
        <v/>
      </c>
      <c r="AF180" t="str">
        <f t="shared" si="34"/>
        <v/>
      </c>
      <c r="AG180" t="str">
        <f t="shared" si="35"/>
        <v/>
      </c>
      <c r="AH180" t="str">
        <f t="shared" si="36"/>
        <v/>
      </c>
      <c r="AI180" t="str">
        <f t="shared" si="37"/>
        <v/>
      </c>
      <c r="AJ180" s="82" t="str">
        <f>IF(AND($B$3="Cantilever",$B$2="Zone 1"),'GCM_Cantilever 1.0'!$H371,IF(AND($B$3="Cantilever",$B$2="Zone 2"),'GCM_Cantilever 1.0'!L371,IF(AND($B$3="HalfTracker",$B$2="Zone 1"),'GCM_Halftracker 1.0'!G386,IF(AND($B$3="HalfTracker",$B$2="Zone 2"),'GCM_Halftracker 1.0'!K386,IF(AND($B$3="Purlin",$B$2="Zone 1"),'GCM_Purlin 1.0'!G441,IF(AND($B$3="Purlin",$B$2="Zone 2"),'GCM_Purlin 1.0'!O441,IF(AND($B$3="Purlin",$B$2="Zone 3"),'GCM_Purlin 1.0'!Z441,IF(AND($B$3="Purlin",$B$2="Zone 4"),'GCM_Purlin 1.0'!AH441,IF(AND($B$3="Purlin",$B$2="Zone 5"),'GCM_Purlin 1.0'!AS441,IF(AND($B$3="Clip",$B$2="Zone 1"),'GCN_Clip 1.0'!#REF!,IF(AND($B$3="Clip",$B$2="Zone 2"),'GCN_Clip 1.0'!#REF!,IF(AND($B$3="Clip",$B$2="Zone 3"),'GCN_Clip 1.0'!#REF!,IF(AND($B$3="Clip",$B$2="Zone 4"),'GCN_Clip 1.0'!#REF!,IF(AND($B$3="Clip",$B$2="Zone 5"),'GCN_Clip 1.0'!#REF!,IF(AND($B$3="Post",$B$2="Zone 1"),'GCN_Post 1.0'!Q294,IF(AND($B$3="Post",$B$2="Zone 2"),'GCN_Post 1.0'!R294,IF(AND($B$3="Post",$B$2="Zone 3"),'GCN_Post 1.0'!S294,IF(AND($B$3="Post",$B$2="Zone 4"),'GCN_Post 1.0'!T294,IF(AND($B$3="Post",$B$2="Zone 5"),'GCN_Post 1.0'!V294,"ERROR")))))))))))))))))))</f>
        <v/>
      </c>
      <c r="AL180" s="27" t="str">
        <f t="shared" si="38"/>
        <v/>
      </c>
      <c r="AM180" t="str">
        <f t="shared" si="39"/>
        <v/>
      </c>
      <c r="AN180" t="str">
        <f t="shared" si="40"/>
        <v/>
      </c>
      <c r="AO180" t="str">
        <f t="shared" si="41"/>
        <v/>
      </c>
      <c r="AP180" t="str">
        <f t="shared" si="42"/>
        <v/>
      </c>
      <c r="AQ180" t="str">
        <f t="shared" si="43"/>
        <v/>
      </c>
      <c r="AR180" s="82" t="str">
        <f>IF(AND($B$3="Cantilever",$B$2="Zone 1"),'GCM_Cantilever 1.0'!$I371,IF(AND($B$3="Cantilever",$B$2="Zone 2"),'GCM_Cantilever 1.0'!M371,IF(AND($B$3="HalfTracker",$B$2="Zone 1"),'GCM_Halftracker 1.0'!H386,IF(AND($B$3="HalfTracker",$B$2="Zone 2"),'GCM_Halftracker 1.0'!L386,IF(AND($B$3="Purlin",$B$2="Zone 1"),'GCM_Purlin 1.0'!H441,IF(AND($B$3="Purlin",$B$2="Zone 2"),'GCM_Purlin 1.0'!P441,IF(AND($B$3="Purlin",$B$2="Zone 3"),'GCM_Purlin 1.0'!AA441,IF(AND($B$3="Purlin",$B$2="Zone 4"),'GCM_Purlin 1.0'!AI441,IF(AND($B$3="Purlin",$B$2="Zone 5"),'GCM_Purlin 1.0'!AT441,IF(AND($B$3="Clip",$B$2="Zone 1"),'GCN_Clip 1.0'!#REF!,IF(AND($B$3="Clip",$B$2="Zone 2"),'GCN_Clip 1.0'!#REF!,IF(AND($B$3="Clip",$B$2="Zone 3"),'GCN_Clip 1.0'!#REF!,IF(AND($B$3="Clip",$B$2="Zone 4"),'GCN_Clip 1.0'!#REF!,IF(AND($B$3="Clip",$B$2="Zone 5"),'GCN_Clip 1.0'!#REF!,IF(AND($B$3="Post",$B$2="Zone 1"),'GCN_Post 1.0'!W294,IF(AND($B$3="Post",$B$2="Zone 2"),'GCN_Post 1.0'!X294,IF(AND($B$3="Post",$B$2="Zone 3"),'GCN_Post 1.0'!Y294,IF(AND($B$3="Post",$B$2="Zone 4"),'GCN_Post 1.0'!Z294,IF(AND($B$3="Post",$B$2="Zone 5"),'GCN_Post 1.0'!AA294,"ERROR")))))))))))))))))))</f>
        <v/>
      </c>
    </row>
    <row r="181" spans="6:44" x14ac:dyDescent="0.25">
      <c r="F181">
        <v>8</v>
      </c>
      <c r="G181" s="27" t="str">
        <f t="shared" si="16"/>
        <v/>
      </c>
      <c r="H181" t="str">
        <f t="shared" si="17"/>
        <v/>
      </c>
      <c r="I181" t="str">
        <f t="shared" si="18"/>
        <v/>
      </c>
      <c r="J181" s="28" t="str">
        <f t="shared" si="19"/>
        <v/>
      </c>
      <c r="M181">
        <v>8</v>
      </c>
      <c r="N181" s="27" t="str">
        <f t="shared" si="20"/>
        <v/>
      </c>
      <c r="O181" t="str">
        <f t="shared" si="21"/>
        <v/>
      </c>
      <c r="P181" t="str">
        <f t="shared" si="22"/>
        <v/>
      </c>
      <c r="Q181" t="str">
        <f t="shared" si="23"/>
        <v/>
      </c>
      <c r="R181" t="str">
        <f t="shared" si="24"/>
        <v/>
      </c>
      <c r="S181" t="str">
        <f t="shared" si="25"/>
        <v/>
      </c>
      <c r="T181" s="82" t="str">
        <f>IF(AND($B$3="Cantilever",$B$2="Zone 1"),'GCM_Cantilever 1.0'!$F372,IF(AND($B$3="Cantilever",$B$2="Zone 2"),'GCM_Cantilever 1.0'!J372,IF(AND($B$3="HalfTracker",$B$2="Zone 1"),'GCM_Halftracker 1.0'!E387,IF(AND($B$3="HalfTracker",$B$2="Zone 2"),'GCM_Halftracker 1.0'!I387,IF(AND($B$3="Purlin",$B$2="Zone 1"),'GCM_Purlin 1.0'!E442,IF(AND($B$3="Purlin",$B$2="Zone 2"),'GCM_Purlin 1.0'!M442,IF(AND($B$3="Purlin",$B$2="Zone 3"),'GCM_Purlin 1.0'!X442,IF(AND($B$3="Purlin",$B$2="Zone 4"),'GCM_Purlin 1.0'!AF442,IF(AND($B$3="Purlin",$B$2="Zone 5"),'GCM_Purlin 1.0'!AQ442,IF(AND($B$3="Clip",$B$2="Zone 1"),'GCN_Clip 1.0'!G11,IF(AND($B$3="Clip",$B$2="Zone 2"),'GCN_Clip 1.0'!C12,IF(AND($B$3="Clip",$B$2="Zone 3"),'GCN_Clip 1.0'!G13,IF(AND($B$3="Clip",$B$2="Zone 4"),'GCN_Clip 1.0'!G14,IF(AND($B$3="Clip",$B$2="Zone 5"),'GCN_Clip 1.0'!G15,IF(AND($B$3="Post",$B$2="Zone 1"),'GCN_Post 1.0'!E295,IF(AND($B$3="Post",$B$2="Zone 2"),'GCN_Post 1.0'!F295,IF(AND($B$3="Post",$B$2="Zone 3"),'GCN_Post 1.0'!G295,IF(AND($B$3="Post",$B$2="Zone 4"),'GCN_Post 1.0'!H295,IF(AND($B$3="Post",$B$2="Zone 5"),'GCN_Post 1.0'!I295,"ERROR")))))))))))))))))))</f>
        <v/>
      </c>
      <c r="V181" s="27" t="str">
        <f t="shared" si="26"/>
        <v/>
      </c>
      <c r="W181" t="str">
        <f t="shared" si="27"/>
        <v/>
      </c>
      <c r="X181" t="str">
        <f t="shared" si="28"/>
        <v/>
      </c>
      <c r="Y181" t="str">
        <f t="shared" si="29"/>
        <v/>
      </c>
      <c r="Z181" t="str">
        <f t="shared" si="30"/>
        <v/>
      </c>
      <c r="AA181" t="str">
        <f t="shared" si="31"/>
        <v/>
      </c>
      <c r="AB181" s="82" t="str">
        <f>IF(AND($B$3="Cantilever",$B$2="Zone 1"),'GCM_Cantilever 1.0'!$G372,IF(AND($B$3="Cantilever",$B$2="Zone 2"),'GCM_Cantilever 1.0'!K372,IF(AND($B$3="HalfTracker",$B$2="Zone 1"),'GCM_Halftracker 1.0'!F387,IF(AND($B$3="HalfTracker",$B$2="Zone 2"),'GCM_Halftracker 1.0'!J387,IF(AND($B$3="Purlin",$B$2="Zone 1"),'GCM_Purlin 1.0'!F442,IF(AND($B$3="Purlin",$B$2="Zone 2"),'GCM_Purlin 1.0'!N442,IF(AND($B$3="Purlin",$B$2="Zone 3"),'GCM_Purlin 1.0'!Y442,IF(AND($B$3="Purlin",$B$2="Zone 4"),'GCM_Purlin 1.0'!AG442,IF(AND($B$3="Purlin",$B$2="Zone 5"),'GCM_Purlin 1.0'!AR442,IF(AND($B$3="Clip",$B$2="Zone 1"),'GCN_Clip 1.0'!H11,IF(AND($B$3="Clip",$B$2="Zone 2"),'GCN_Clip 1.0'!H12,IF(AND($B$3="Clip",$B$2="Zone 3"),'GCN_Clip 1.0'!H13,IF(AND($B$3="Clip",$B$2="Zone 4"),'GCN_Clip 1.0'!H14,IF(AND($B$3="Clip",$B$2="Zone 5"),'GCN_Clip 1.0'!H15,IF(AND($B$3="Post",$B$2="Zone 1"),'GCN_Post 1.0'!J295,IF(AND($B$3="Post",$B$2="Zone 2"),'GCN_Post 1.0'!K295,IF(AND($B$3="Post",$B$2="Zone 3"),'GCN_Post 1.0'!N295,IF(AND($B$3="Post",$B$2="Zone 4"),'GCN_Post 1.0'!O295,IF(AND($B$3="Post",$B$2="Zone 5"),'GCN_Post 1.0'!P295,"ERROR")))))))))))))))))))</f>
        <v/>
      </c>
      <c r="AD181" s="27" t="str">
        <f t="shared" si="32"/>
        <v/>
      </c>
      <c r="AE181" t="str">
        <f t="shared" si="33"/>
        <v/>
      </c>
      <c r="AF181" t="str">
        <f t="shared" si="34"/>
        <v/>
      </c>
      <c r="AG181" t="str">
        <f t="shared" si="35"/>
        <v/>
      </c>
      <c r="AH181" t="str">
        <f t="shared" si="36"/>
        <v/>
      </c>
      <c r="AI181" t="str">
        <f t="shared" si="37"/>
        <v/>
      </c>
      <c r="AJ181" s="82" t="str">
        <f>IF(AND($B$3="Cantilever",$B$2="Zone 1"),'GCM_Cantilever 1.0'!$H372,IF(AND($B$3="Cantilever",$B$2="Zone 2"),'GCM_Cantilever 1.0'!L372,IF(AND($B$3="HalfTracker",$B$2="Zone 1"),'GCM_Halftracker 1.0'!G387,IF(AND($B$3="HalfTracker",$B$2="Zone 2"),'GCM_Halftracker 1.0'!K387,IF(AND($B$3="Purlin",$B$2="Zone 1"),'GCM_Purlin 1.0'!G442,IF(AND($B$3="Purlin",$B$2="Zone 2"),'GCM_Purlin 1.0'!O442,IF(AND($B$3="Purlin",$B$2="Zone 3"),'GCM_Purlin 1.0'!Z442,IF(AND($B$3="Purlin",$B$2="Zone 4"),'GCM_Purlin 1.0'!AH442,IF(AND($B$3="Purlin",$B$2="Zone 5"),'GCM_Purlin 1.0'!AS442,IF(AND($B$3="Clip",$B$2="Zone 1"),'GCN_Clip 1.0'!#REF!,IF(AND($B$3="Clip",$B$2="Zone 2"),'GCN_Clip 1.0'!#REF!,IF(AND($B$3="Clip",$B$2="Zone 3"),'GCN_Clip 1.0'!#REF!,IF(AND($B$3="Clip",$B$2="Zone 4"),'GCN_Clip 1.0'!#REF!,IF(AND($B$3="Clip",$B$2="Zone 5"),'GCN_Clip 1.0'!#REF!,IF(AND($B$3="Post",$B$2="Zone 1"),'GCN_Post 1.0'!Q295,IF(AND($B$3="Post",$B$2="Zone 2"),'GCN_Post 1.0'!R295,IF(AND($B$3="Post",$B$2="Zone 3"),'GCN_Post 1.0'!S295,IF(AND($B$3="Post",$B$2="Zone 4"),'GCN_Post 1.0'!T295,IF(AND($B$3="Post",$B$2="Zone 5"),'GCN_Post 1.0'!V295,"ERROR")))))))))))))))))))</f>
        <v/>
      </c>
      <c r="AL181" s="27" t="str">
        <f t="shared" si="38"/>
        <v/>
      </c>
      <c r="AM181" t="str">
        <f t="shared" si="39"/>
        <v/>
      </c>
      <c r="AN181" t="str">
        <f t="shared" si="40"/>
        <v/>
      </c>
      <c r="AO181" t="str">
        <f t="shared" si="41"/>
        <v/>
      </c>
      <c r="AP181" t="str">
        <f t="shared" si="42"/>
        <v/>
      </c>
      <c r="AQ181" t="str">
        <f t="shared" si="43"/>
        <v/>
      </c>
      <c r="AR181" s="82" t="str">
        <f>IF(AND($B$3="Cantilever",$B$2="Zone 1"),'GCM_Cantilever 1.0'!$I372,IF(AND($B$3="Cantilever",$B$2="Zone 2"),'GCM_Cantilever 1.0'!M372,IF(AND($B$3="HalfTracker",$B$2="Zone 1"),'GCM_Halftracker 1.0'!H387,IF(AND($B$3="HalfTracker",$B$2="Zone 2"),'GCM_Halftracker 1.0'!L387,IF(AND($B$3="Purlin",$B$2="Zone 1"),'GCM_Purlin 1.0'!H442,IF(AND($B$3="Purlin",$B$2="Zone 2"),'GCM_Purlin 1.0'!P442,IF(AND($B$3="Purlin",$B$2="Zone 3"),'GCM_Purlin 1.0'!AA442,IF(AND($B$3="Purlin",$B$2="Zone 4"),'GCM_Purlin 1.0'!AI442,IF(AND($B$3="Purlin",$B$2="Zone 5"),'GCM_Purlin 1.0'!AT442,IF(AND($B$3="Clip",$B$2="Zone 1"),'GCN_Clip 1.0'!#REF!,IF(AND($B$3="Clip",$B$2="Zone 2"),'GCN_Clip 1.0'!#REF!,IF(AND($B$3="Clip",$B$2="Zone 3"),'GCN_Clip 1.0'!#REF!,IF(AND($B$3="Clip",$B$2="Zone 4"),'GCN_Clip 1.0'!#REF!,IF(AND($B$3="Clip",$B$2="Zone 5"),'GCN_Clip 1.0'!#REF!,IF(AND($B$3="Post",$B$2="Zone 1"),'GCN_Post 1.0'!W295,IF(AND($B$3="Post",$B$2="Zone 2"),'GCN_Post 1.0'!X295,IF(AND($B$3="Post",$B$2="Zone 3"),'GCN_Post 1.0'!Y295,IF(AND($B$3="Post",$B$2="Zone 4"),'GCN_Post 1.0'!Z295,IF(AND($B$3="Post",$B$2="Zone 5"),'GCN_Post 1.0'!AA295,"ERROR")))))))))))))))))))</f>
        <v/>
      </c>
    </row>
    <row r="182" spans="6:44" x14ac:dyDescent="0.25">
      <c r="F182">
        <v>9</v>
      </c>
      <c r="G182" s="27" t="str">
        <f t="shared" si="16"/>
        <v/>
      </c>
      <c r="H182" t="str">
        <f t="shared" si="17"/>
        <v/>
      </c>
      <c r="I182" t="str">
        <f t="shared" si="18"/>
        <v/>
      </c>
      <c r="J182" s="28" t="str">
        <f t="shared" si="19"/>
        <v/>
      </c>
      <c r="M182">
        <v>9</v>
      </c>
      <c r="N182" s="27" t="str">
        <f t="shared" si="20"/>
        <v/>
      </c>
      <c r="O182" t="str">
        <f t="shared" si="21"/>
        <v/>
      </c>
      <c r="P182" t="str">
        <f t="shared" si="22"/>
        <v/>
      </c>
      <c r="Q182" t="str">
        <f t="shared" si="23"/>
        <v/>
      </c>
      <c r="R182" t="str">
        <f t="shared" si="24"/>
        <v/>
      </c>
      <c r="S182" t="str">
        <f t="shared" si="25"/>
        <v/>
      </c>
      <c r="T182" s="82" t="str">
        <f>IF(AND($B$3="Cantilever",$B$2="Zone 1"),'GCM_Cantilever 1.0'!$F373,IF(AND($B$3="Cantilever",$B$2="Zone 2"),'GCM_Cantilever 1.0'!J373,IF(AND($B$3="HalfTracker",$B$2="Zone 1"),'GCM_Halftracker 1.0'!E388,IF(AND($B$3="HalfTracker",$B$2="Zone 2"),'GCM_Halftracker 1.0'!I388,IF(AND($B$3="Purlin",$B$2="Zone 1"),'GCM_Purlin 1.0'!E443,IF(AND($B$3="Purlin",$B$2="Zone 2"),'GCM_Purlin 1.0'!M443,IF(AND($B$3="Purlin",$B$2="Zone 3"),'GCM_Purlin 1.0'!X443,IF(AND($B$3="Purlin",$B$2="Zone 4"),'GCM_Purlin 1.0'!AF443,IF(AND($B$3="Purlin",$B$2="Zone 5"),'GCM_Purlin 1.0'!AQ443,IF(AND($B$3="Clip",$B$2="Zone 1"),'GCN_Clip 1.0'!G12,IF(AND($B$3="Clip",$B$2="Zone 2"),'GCN_Clip 1.0'!C13,IF(AND($B$3="Clip",$B$2="Zone 3"),'GCN_Clip 1.0'!G14,IF(AND($B$3="Clip",$B$2="Zone 4"),'GCN_Clip 1.0'!G15,IF(AND($B$3="Clip",$B$2="Zone 5"),'GCN_Clip 1.0'!G16,IF(AND($B$3="Post",$B$2="Zone 1"),'GCN_Post 1.0'!E296,IF(AND($B$3="Post",$B$2="Zone 2"),'GCN_Post 1.0'!F296,IF(AND($B$3="Post",$B$2="Zone 3"),'GCN_Post 1.0'!G296,IF(AND($B$3="Post",$B$2="Zone 4"),'GCN_Post 1.0'!H296,IF(AND($B$3="Post",$B$2="Zone 5"),'GCN_Post 1.0'!I296,"ERROR")))))))))))))))))))</f>
        <v/>
      </c>
      <c r="V182" s="27" t="str">
        <f t="shared" si="26"/>
        <v/>
      </c>
      <c r="W182" t="str">
        <f t="shared" si="27"/>
        <v/>
      </c>
      <c r="X182" t="str">
        <f t="shared" si="28"/>
        <v/>
      </c>
      <c r="Y182" t="str">
        <f t="shared" si="29"/>
        <v/>
      </c>
      <c r="Z182" t="str">
        <f t="shared" si="30"/>
        <v/>
      </c>
      <c r="AA182" t="str">
        <f t="shared" si="31"/>
        <v/>
      </c>
      <c r="AB182" s="82" t="str">
        <f>IF(AND($B$3="Cantilever",$B$2="Zone 1"),'GCM_Cantilever 1.0'!$G373,IF(AND($B$3="Cantilever",$B$2="Zone 2"),'GCM_Cantilever 1.0'!K373,IF(AND($B$3="HalfTracker",$B$2="Zone 1"),'GCM_Halftracker 1.0'!F388,IF(AND($B$3="HalfTracker",$B$2="Zone 2"),'GCM_Halftracker 1.0'!J388,IF(AND($B$3="Purlin",$B$2="Zone 1"),'GCM_Purlin 1.0'!F443,IF(AND($B$3="Purlin",$B$2="Zone 2"),'GCM_Purlin 1.0'!N443,IF(AND($B$3="Purlin",$B$2="Zone 3"),'GCM_Purlin 1.0'!Y443,IF(AND($B$3="Purlin",$B$2="Zone 4"),'GCM_Purlin 1.0'!AG443,IF(AND($B$3="Purlin",$B$2="Zone 5"),'GCM_Purlin 1.0'!AR443,IF(AND($B$3="Clip",$B$2="Zone 1"),'GCN_Clip 1.0'!H12,IF(AND($B$3="Clip",$B$2="Zone 2"),'GCN_Clip 1.0'!H13,IF(AND($B$3="Clip",$B$2="Zone 3"),'GCN_Clip 1.0'!H14,IF(AND($B$3="Clip",$B$2="Zone 4"),'GCN_Clip 1.0'!H15,IF(AND($B$3="Clip",$B$2="Zone 5"),'GCN_Clip 1.0'!H16,IF(AND($B$3="Post",$B$2="Zone 1"),'GCN_Post 1.0'!J296,IF(AND($B$3="Post",$B$2="Zone 2"),'GCN_Post 1.0'!K296,IF(AND($B$3="Post",$B$2="Zone 3"),'GCN_Post 1.0'!N296,IF(AND($B$3="Post",$B$2="Zone 4"),'GCN_Post 1.0'!O296,IF(AND($B$3="Post",$B$2="Zone 5"),'GCN_Post 1.0'!P296,"ERROR")))))))))))))))))))</f>
        <v/>
      </c>
      <c r="AD182" s="27" t="str">
        <f t="shared" si="32"/>
        <v/>
      </c>
      <c r="AE182" t="str">
        <f t="shared" si="33"/>
        <v/>
      </c>
      <c r="AF182" t="str">
        <f t="shared" si="34"/>
        <v/>
      </c>
      <c r="AG182" t="str">
        <f t="shared" si="35"/>
        <v/>
      </c>
      <c r="AH182" t="str">
        <f t="shared" si="36"/>
        <v/>
      </c>
      <c r="AI182" t="str">
        <f t="shared" si="37"/>
        <v/>
      </c>
      <c r="AJ182" s="82" t="str">
        <f>IF(AND($B$3="Cantilever",$B$2="Zone 1"),'GCM_Cantilever 1.0'!$H373,IF(AND($B$3="Cantilever",$B$2="Zone 2"),'GCM_Cantilever 1.0'!L373,IF(AND($B$3="HalfTracker",$B$2="Zone 1"),'GCM_Halftracker 1.0'!G388,IF(AND($B$3="HalfTracker",$B$2="Zone 2"),'GCM_Halftracker 1.0'!K388,IF(AND($B$3="Purlin",$B$2="Zone 1"),'GCM_Purlin 1.0'!G443,IF(AND($B$3="Purlin",$B$2="Zone 2"),'GCM_Purlin 1.0'!O443,IF(AND($B$3="Purlin",$B$2="Zone 3"),'GCM_Purlin 1.0'!Z443,IF(AND($B$3="Purlin",$B$2="Zone 4"),'GCM_Purlin 1.0'!AH443,IF(AND($B$3="Purlin",$B$2="Zone 5"),'GCM_Purlin 1.0'!AS443,IF(AND($B$3="Clip",$B$2="Zone 1"),'GCN_Clip 1.0'!#REF!,IF(AND($B$3="Clip",$B$2="Zone 2"),'GCN_Clip 1.0'!#REF!,IF(AND($B$3="Clip",$B$2="Zone 3"),'GCN_Clip 1.0'!#REF!,IF(AND($B$3="Clip",$B$2="Zone 4"),'GCN_Clip 1.0'!#REF!,IF(AND($B$3="Clip",$B$2="Zone 5"),'GCN_Clip 1.0'!#REF!,IF(AND($B$3="Post",$B$2="Zone 1"),'GCN_Post 1.0'!Q296,IF(AND($B$3="Post",$B$2="Zone 2"),'GCN_Post 1.0'!R296,IF(AND($B$3="Post",$B$2="Zone 3"),'GCN_Post 1.0'!S296,IF(AND($B$3="Post",$B$2="Zone 4"),'GCN_Post 1.0'!T296,IF(AND($B$3="Post",$B$2="Zone 5"),'GCN_Post 1.0'!V296,"ERROR")))))))))))))))))))</f>
        <v/>
      </c>
      <c r="AL182" s="27" t="str">
        <f t="shared" si="38"/>
        <v/>
      </c>
      <c r="AM182" t="str">
        <f t="shared" si="39"/>
        <v/>
      </c>
      <c r="AN182" t="str">
        <f t="shared" si="40"/>
        <v/>
      </c>
      <c r="AO182" t="str">
        <f t="shared" si="41"/>
        <v/>
      </c>
      <c r="AP182" t="str">
        <f t="shared" si="42"/>
        <v/>
      </c>
      <c r="AQ182" t="str">
        <f t="shared" si="43"/>
        <v/>
      </c>
      <c r="AR182" s="82" t="str">
        <f>IF(AND($B$3="Cantilever",$B$2="Zone 1"),'GCM_Cantilever 1.0'!$I373,IF(AND($B$3="Cantilever",$B$2="Zone 2"),'GCM_Cantilever 1.0'!M373,IF(AND($B$3="HalfTracker",$B$2="Zone 1"),'GCM_Halftracker 1.0'!H388,IF(AND($B$3="HalfTracker",$B$2="Zone 2"),'GCM_Halftracker 1.0'!L388,IF(AND($B$3="Purlin",$B$2="Zone 1"),'GCM_Purlin 1.0'!H443,IF(AND($B$3="Purlin",$B$2="Zone 2"),'GCM_Purlin 1.0'!P443,IF(AND($B$3="Purlin",$B$2="Zone 3"),'GCM_Purlin 1.0'!AA443,IF(AND($B$3="Purlin",$B$2="Zone 4"),'GCM_Purlin 1.0'!AI443,IF(AND($B$3="Purlin",$B$2="Zone 5"),'GCM_Purlin 1.0'!AT443,IF(AND($B$3="Clip",$B$2="Zone 1"),'GCN_Clip 1.0'!#REF!,IF(AND($B$3="Clip",$B$2="Zone 2"),'GCN_Clip 1.0'!#REF!,IF(AND($B$3="Clip",$B$2="Zone 3"),'GCN_Clip 1.0'!#REF!,IF(AND($B$3="Clip",$B$2="Zone 4"),'GCN_Clip 1.0'!#REF!,IF(AND($B$3="Clip",$B$2="Zone 5"),'GCN_Clip 1.0'!#REF!,IF(AND($B$3="Post",$B$2="Zone 1"),'GCN_Post 1.0'!W296,IF(AND($B$3="Post",$B$2="Zone 2"),'GCN_Post 1.0'!X296,IF(AND($B$3="Post",$B$2="Zone 3"),'GCN_Post 1.0'!Y296,IF(AND($B$3="Post",$B$2="Zone 4"),'GCN_Post 1.0'!Z296,IF(AND($B$3="Post",$B$2="Zone 5"),'GCN_Post 1.0'!AA296,"ERROR")))))))))))))))))))</f>
        <v/>
      </c>
    </row>
    <row r="183" spans="6:44" x14ac:dyDescent="0.25">
      <c r="F183">
        <v>10</v>
      </c>
      <c r="G183" s="27" t="str">
        <f t="shared" si="16"/>
        <v/>
      </c>
      <c r="H183" t="str">
        <f t="shared" si="17"/>
        <v/>
      </c>
      <c r="I183" t="str">
        <f t="shared" si="18"/>
        <v/>
      </c>
      <c r="J183" s="28" t="str">
        <f t="shared" si="19"/>
        <v/>
      </c>
      <c r="M183">
        <v>10</v>
      </c>
      <c r="N183" s="27" t="str">
        <f t="shared" si="20"/>
        <v/>
      </c>
      <c r="O183" t="str">
        <f t="shared" si="21"/>
        <v/>
      </c>
      <c r="P183" t="str">
        <f t="shared" si="22"/>
        <v/>
      </c>
      <c r="Q183" t="str">
        <f t="shared" si="23"/>
        <v/>
      </c>
      <c r="R183" t="str">
        <f t="shared" si="24"/>
        <v/>
      </c>
      <c r="S183" t="str">
        <f t="shared" si="25"/>
        <v/>
      </c>
      <c r="T183" s="82" t="str">
        <f>IF(AND($B$3="Cantilever",$B$2="Zone 1"),'GCM_Cantilever 1.0'!$F374,IF(AND($B$3="Cantilever",$B$2="Zone 2"),'GCM_Cantilever 1.0'!J374,IF(AND($B$3="HalfTracker",$B$2="Zone 1"),'GCM_Halftracker 1.0'!E389,IF(AND($B$3="HalfTracker",$B$2="Zone 2"),'GCM_Halftracker 1.0'!I389,IF(AND($B$3="Purlin",$B$2="Zone 1"),'GCM_Purlin 1.0'!E444,IF(AND($B$3="Purlin",$B$2="Zone 2"),'GCM_Purlin 1.0'!M444,IF(AND($B$3="Purlin",$B$2="Zone 3"),'GCM_Purlin 1.0'!X444,IF(AND($B$3="Purlin",$B$2="Zone 4"),'GCM_Purlin 1.0'!AF444,IF(AND($B$3="Purlin",$B$2="Zone 5"),'GCM_Purlin 1.0'!AQ444,IF(AND($B$3="Clip",$B$2="Zone 1"),'GCN_Clip 1.0'!G13,IF(AND($B$3="Clip",$B$2="Zone 2"),'GCN_Clip 1.0'!C14,IF(AND($B$3="Clip",$B$2="Zone 3"),'GCN_Clip 1.0'!G15,IF(AND($B$3="Clip",$B$2="Zone 4"),'GCN_Clip 1.0'!G16,IF(AND($B$3="Clip",$B$2="Zone 5"),'GCN_Clip 1.0'!G17,IF(AND($B$3="Post",$B$2="Zone 1"),'GCN_Post 1.0'!E297,IF(AND($B$3="Post",$B$2="Zone 2"),'GCN_Post 1.0'!F297,IF(AND($B$3="Post",$B$2="Zone 3"),'GCN_Post 1.0'!G297,IF(AND($B$3="Post",$B$2="Zone 4"),'GCN_Post 1.0'!H297,IF(AND($B$3="Post",$B$2="Zone 5"),'GCN_Post 1.0'!I297,"ERROR")))))))))))))))))))</f>
        <v/>
      </c>
      <c r="V183" s="27" t="str">
        <f t="shared" si="26"/>
        <v/>
      </c>
      <c r="W183" t="str">
        <f t="shared" si="27"/>
        <v/>
      </c>
      <c r="X183" t="str">
        <f t="shared" si="28"/>
        <v/>
      </c>
      <c r="Y183" t="str">
        <f t="shared" si="29"/>
        <v/>
      </c>
      <c r="Z183" t="str">
        <f t="shared" si="30"/>
        <v/>
      </c>
      <c r="AA183" t="str">
        <f t="shared" si="31"/>
        <v/>
      </c>
      <c r="AB183" s="82" t="str">
        <f>IF(AND($B$3="Cantilever",$B$2="Zone 1"),'GCM_Cantilever 1.0'!$G374,IF(AND($B$3="Cantilever",$B$2="Zone 2"),'GCM_Cantilever 1.0'!K374,IF(AND($B$3="HalfTracker",$B$2="Zone 1"),'GCM_Halftracker 1.0'!F389,IF(AND($B$3="HalfTracker",$B$2="Zone 2"),'GCM_Halftracker 1.0'!J389,IF(AND($B$3="Purlin",$B$2="Zone 1"),'GCM_Purlin 1.0'!F444,IF(AND($B$3="Purlin",$B$2="Zone 2"),'GCM_Purlin 1.0'!N444,IF(AND($B$3="Purlin",$B$2="Zone 3"),'GCM_Purlin 1.0'!Y444,IF(AND($B$3="Purlin",$B$2="Zone 4"),'GCM_Purlin 1.0'!AG444,IF(AND($B$3="Purlin",$B$2="Zone 5"),'GCM_Purlin 1.0'!AR444,IF(AND($B$3="Clip",$B$2="Zone 1"),'GCN_Clip 1.0'!H13,IF(AND($B$3="Clip",$B$2="Zone 2"),'GCN_Clip 1.0'!H14,IF(AND($B$3="Clip",$B$2="Zone 3"),'GCN_Clip 1.0'!H15,IF(AND($B$3="Clip",$B$2="Zone 4"),'GCN_Clip 1.0'!H16,IF(AND($B$3="Clip",$B$2="Zone 5"),'GCN_Clip 1.0'!H17,IF(AND($B$3="Post",$B$2="Zone 1"),'GCN_Post 1.0'!J297,IF(AND($B$3="Post",$B$2="Zone 2"),'GCN_Post 1.0'!K297,IF(AND($B$3="Post",$B$2="Zone 3"),'GCN_Post 1.0'!N297,IF(AND($B$3="Post",$B$2="Zone 4"),'GCN_Post 1.0'!O297,IF(AND($B$3="Post",$B$2="Zone 5"),'GCN_Post 1.0'!P297,"ERROR")))))))))))))))))))</f>
        <v/>
      </c>
      <c r="AD183" s="27" t="str">
        <f t="shared" si="32"/>
        <v/>
      </c>
      <c r="AE183" t="str">
        <f t="shared" si="33"/>
        <v/>
      </c>
      <c r="AF183" t="str">
        <f t="shared" si="34"/>
        <v/>
      </c>
      <c r="AG183" t="str">
        <f t="shared" si="35"/>
        <v/>
      </c>
      <c r="AH183" t="str">
        <f t="shared" si="36"/>
        <v/>
      </c>
      <c r="AI183" t="str">
        <f t="shared" si="37"/>
        <v/>
      </c>
      <c r="AJ183" s="82" t="str">
        <f>IF(AND($B$3="Cantilever",$B$2="Zone 1"),'GCM_Cantilever 1.0'!$H374,IF(AND($B$3="Cantilever",$B$2="Zone 2"),'GCM_Cantilever 1.0'!L374,IF(AND($B$3="HalfTracker",$B$2="Zone 1"),'GCM_Halftracker 1.0'!G389,IF(AND($B$3="HalfTracker",$B$2="Zone 2"),'GCM_Halftracker 1.0'!K389,IF(AND($B$3="Purlin",$B$2="Zone 1"),'GCM_Purlin 1.0'!G444,IF(AND($B$3="Purlin",$B$2="Zone 2"),'GCM_Purlin 1.0'!O444,IF(AND($B$3="Purlin",$B$2="Zone 3"),'GCM_Purlin 1.0'!Z444,IF(AND($B$3="Purlin",$B$2="Zone 4"),'GCM_Purlin 1.0'!AH444,IF(AND($B$3="Purlin",$B$2="Zone 5"),'GCM_Purlin 1.0'!AS444,IF(AND($B$3="Clip",$B$2="Zone 1"),'GCN_Clip 1.0'!#REF!,IF(AND($B$3="Clip",$B$2="Zone 2"),'GCN_Clip 1.0'!#REF!,IF(AND($B$3="Clip",$B$2="Zone 3"),'GCN_Clip 1.0'!#REF!,IF(AND($B$3="Clip",$B$2="Zone 4"),'GCN_Clip 1.0'!#REF!,IF(AND($B$3="Clip",$B$2="Zone 5"),'GCN_Clip 1.0'!#REF!,IF(AND($B$3="Post",$B$2="Zone 1"),'GCN_Post 1.0'!Q297,IF(AND($B$3="Post",$B$2="Zone 2"),'GCN_Post 1.0'!R297,IF(AND($B$3="Post",$B$2="Zone 3"),'GCN_Post 1.0'!S297,IF(AND($B$3="Post",$B$2="Zone 4"),'GCN_Post 1.0'!T297,IF(AND($B$3="Post",$B$2="Zone 5"),'GCN_Post 1.0'!V297,"ERROR")))))))))))))))))))</f>
        <v/>
      </c>
      <c r="AL183" s="27" t="str">
        <f t="shared" si="38"/>
        <v/>
      </c>
      <c r="AM183" t="str">
        <f t="shared" si="39"/>
        <v/>
      </c>
      <c r="AN183" t="str">
        <f t="shared" si="40"/>
        <v/>
      </c>
      <c r="AO183" t="str">
        <f t="shared" si="41"/>
        <v/>
      </c>
      <c r="AP183" t="str">
        <f t="shared" si="42"/>
        <v/>
      </c>
      <c r="AQ183" t="str">
        <f t="shared" si="43"/>
        <v/>
      </c>
      <c r="AR183" s="82" t="str">
        <f>IF(AND($B$3="Cantilever",$B$2="Zone 1"),'GCM_Cantilever 1.0'!$I374,IF(AND($B$3="Cantilever",$B$2="Zone 2"),'GCM_Cantilever 1.0'!M374,IF(AND($B$3="HalfTracker",$B$2="Zone 1"),'GCM_Halftracker 1.0'!H389,IF(AND($B$3="HalfTracker",$B$2="Zone 2"),'GCM_Halftracker 1.0'!L389,IF(AND($B$3="Purlin",$B$2="Zone 1"),'GCM_Purlin 1.0'!H444,IF(AND($B$3="Purlin",$B$2="Zone 2"),'GCM_Purlin 1.0'!P444,IF(AND($B$3="Purlin",$B$2="Zone 3"),'GCM_Purlin 1.0'!AA444,IF(AND($B$3="Purlin",$B$2="Zone 4"),'GCM_Purlin 1.0'!AI444,IF(AND($B$3="Purlin",$B$2="Zone 5"),'GCM_Purlin 1.0'!AT444,IF(AND($B$3="Clip",$B$2="Zone 1"),'GCN_Clip 1.0'!#REF!,IF(AND($B$3="Clip",$B$2="Zone 2"),'GCN_Clip 1.0'!#REF!,IF(AND($B$3="Clip",$B$2="Zone 3"),'GCN_Clip 1.0'!#REF!,IF(AND($B$3="Clip",$B$2="Zone 4"),'GCN_Clip 1.0'!#REF!,IF(AND($B$3="Clip",$B$2="Zone 5"),'GCN_Clip 1.0'!#REF!,IF(AND($B$3="Post",$B$2="Zone 1"),'GCN_Post 1.0'!W297,IF(AND($B$3="Post",$B$2="Zone 2"),'GCN_Post 1.0'!X297,IF(AND($B$3="Post",$B$2="Zone 3"),'GCN_Post 1.0'!Y297,IF(AND($B$3="Post",$B$2="Zone 4"),'GCN_Post 1.0'!Z297,IF(AND($B$3="Post",$B$2="Zone 5"),'GCN_Post 1.0'!AA297,"ERROR")))))))))))))))))))</f>
        <v/>
      </c>
    </row>
    <row r="184" spans="6:44" x14ac:dyDescent="0.25">
      <c r="F184">
        <v>11</v>
      </c>
      <c r="G184" s="27" t="str">
        <f t="shared" si="16"/>
        <v/>
      </c>
      <c r="H184" t="str">
        <f t="shared" si="17"/>
        <v/>
      </c>
      <c r="I184" t="str">
        <f t="shared" si="18"/>
        <v/>
      </c>
      <c r="J184" s="28" t="str">
        <f t="shared" si="19"/>
        <v/>
      </c>
      <c r="M184">
        <v>11</v>
      </c>
      <c r="N184" s="27" t="str">
        <f t="shared" si="20"/>
        <v/>
      </c>
      <c r="O184" t="str">
        <f t="shared" si="21"/>
        <v/>
      </c>
      <c r="P184" t="str">
        <f t="shared" si="22"/>
        <v/>
      </c>
      <c r="Q184" t="str">
        <f t="shared" si="23"/>
        <v/>
      </c>
      <c r="R184" t="str">
        <f t="shared" si="24"/>
        <v/>
      </c>
      <c r="S184" t="str">
        <f t="shared" si="25"/>
        <v/>
      </c>
      <c r="T184" s="82" t="str">
        <f>IF(AND($B$3="Cantilever",$B$2="Zone 1"),'GCM_Cantilever 1.0'!$F375,IF(AND($B$3="Cantilever",$B$2="Zone 2"),'GCM_Cantilever 1.0'!J375,IF(AND($B$3="HalfTracker",$B$2="Zone 1"),'GCM_Halftracker 1.0'!E390,IF(AND($B$3="HalfTracker",$B$2="Zone 2"),'GCM_Halftracker 1.0'!I390,IF(AND($B$3="Purlin",$B$2="Zone 1"),'GCM_Purlin 1.0'!E445,IF(AND($B$3="Purlin",$B$2="Zone 2"),'GCM_Purlin 1.0'!M445,IF(AND($B$3="Purlin",$B$2="Zone 3"),'GCM_Purlin 1.0'!X445,IF(AND($B$3="Purlin",$B$2="Zone 4"),'GCM_Purlin 1.0'!AF445,IF(AND($B$3="Purlin",$B$2="Zone 5"),'GCM_Purlin 1.0'!AQ445,IF(AND($B$3="Clip",$B$2="Zone 1"),'GCN_Clip 1.0'!G14,IF(AND($B$3="Clip",$B$2="Zone 2"),'GCN_Clip 1.0'!C15,IF(AND($B$3="Clip",$B$2="Zone 3"),'GCN_Clip 1.0'!G16,IF(AND($B$3="Clip",$B$2="Zone 4"),'GCN_Clip 1.0'!G17,IF(AND($B$3="Clip",$B$2="Zone 5"),'GCN_Clip 1.0'!G18,IF(AND($B$3="Post",$B$2="Zone 1"),'GCN_Post 1.0'!E298,IF(AND($B$3="Post",$B$2="Zone 2"),'GCN_Post 1.0'!F298,IF(AND($B$3="Post",$B$2="Zone 3"),'GCN_Post 1.0'!G298,IF(AND($B$3="Post",$B$2="Zone 4"),'GCN_Post 1.0'!H298,IF(AND($B$3="Post",$B$2="Zone 5"),'GCN_Post 1.0'!I298,"ERROR")))))))))))))))))))</f>
        <v/>
      </c>
      <c r="V184" s="27" t="str">
        <f t="shared" si="26"/>
        <v/>
      </c>
      <c r="W184" t="str">
        <f t="shared" si="27"/>
        <v/>
      </c>
      <c r="X184" t="str">
        <f t="shared" si="28"/>
        <v/>
      </c>
      <c r="Y184" t="str">
        <f t="shared" si="29"/>
        <v/>
      </c>
      <c r="Z184" t="str">
        <f t="shared" si="30"/>
        <v/>
      </c>
      <c r="AA184" t="str">
        <f t="shared" si="31"/>
        <v/>
      </c>
      <c r="AB184" s="82" t="str">
        <f>IF(AND($B$3="Cantilever",$B$2="Zone 1"),'GCM_Cantilever 1.0'!$G375,IF(AND($B$3="Cantilever",$B$2="Zone 2"),'GCM_Cantilever 1.0'!K375,IF(AND($B$3="HalfTracker",$B$2="Zone 1"),'GCM_Halftracker 1.0'!F390,IF(AND($B$3="HalfTracker",$B$2="Zone 2"),'GCM_Halftracker 1.0'!J390,IF(AND($B$3="Purlin",$B$2="Zone 1"),'GCM_Purlin 1.0'!F445,IF(AND($B$3="Purlin",$B$2="Zone 2"),'GCM_Purlin 1.0'!N445,IF(AND($B$3="Purlin",$B$2="Zone 3"),'GCM_Purlin 1.0'!Y445,IF(AND($B$3="Purlin",$B$2="Zone 4"),'GCM_Purlin 1.0'!AG445,IF(AND($B$3="Purlin",$B$2="Zone 5"),'GCM_Purlin 1.0'!AR445,IF(AND($B$3="Clip",$B$2="Zone 1"),'GCN_Clip 1.0'!H14,IF(AND($B$3="Clip",$B$2="Zone 2"),'GCN_Clip 1.0'!H15,IF(AND($B$3="Clip",$B$2="Zone 3"),'GCN_Clip 1.0'!H16,IF(AND($B$3="Clip",$B$2="Zone 4"),'GCN_Clip 1.0'!H17,IF(AND($B$3="Clip",$B$2="Zone 5"),'GCN_Clip 1.0'!H18,IF(AND($B$3="Post",$B$2="Zone 1"),'GCN_Post 1.0'!J298,IF(AND($B$3="Post",$B$2="Zone 2"),'GCN_Post 1.0'!K298,IF(AND($B$3="Post",$B$2="Zone 3"),'GCN_Post 1.0'!N298,IF(AND($B$3="Post",$B$2="Zone 4"),'GCN_Post 1.0'!O298,IF(AND($B$3="Post",$B$2="Zone 5"),'GCN_Post 1.0'!P298,"ERROR")))))))))))))))))))</f>
        <v/>
      </c>
      <c r="AD184" s="27" t="str">
        <f t="shared" si="32"/>
        <v/>
      </c>
      <c r="AE184" t="str">
        <f t="shared" si="33"/>
        <v/>
      </c>
      <c r="AF184" t="str">
        <f t="shared" si="34"/>
        <v/>
      </c>
      <c r="AG184" t="str">
        <f t="shared" si="35"/>
        <v/>
      </c>
      <c r="AH184" t="str">
        <f t="shared" si="36"/>
        <v/>
      </c>
      <c r="AI184" t="str">
        <f t="shared" si="37"/>
        <v/>
      </c>
      <c r="AJ184" s="82" t="str">
        <f>IF(AND($B$3="Cantilever",$B$2="Zone 1"),'GCM_Cantilever 1.0'!$H375,IF(AND($B$3="Cantilever",$B$2="Zone 2"),'GCM_Cantilever 1.0'!L375,IF(AND($B$3="HalfTracker",$B$2="Zone 1"),'GCM_Halftracker 1.0'!G390,IF(AND($B$3="HalfTracker",$B$2="Zone 2"),'GCM_Halftracker 1.0'!K390,IF(AND($B$3="Purlin",$B$2="Zone 1"),'GCM_Purlin 1.0'!G445,IF(AND($B$3="Purlin",$B$2="Zone 2"),'GCM_Purlin 1.0'!O445,IF(AND($B$3="Purlin",$B$2="Zone 3"),'GCM_Purlin 1.0'!Z445,IF(AND($B$3="Purlin",$B$2="Zone 4"),'GCM_Purlin 1.0'!AH445,IF(AND($B$3="Purlin",$B$2="Zone 5"),'GCM_Purlin 1.0'!AS445,IF(AND($B$3="Clip",$B$2="Zone 1"),'GCN_Clip 1.0'!#REF!,IF(AND($B$3="Clip",$B$2="Zone 2"),'GCN_Clip 1.0'!#REF!,IF(AND($B$3="Clip",$B$2="Zone 3"),'GCN_Clip 1.0'!#REF!,IF(AND($B$3="Clip",$B$2="Zone 4"),'GCN_Clip 1.0'!#REF!,IF(AND($B$3="Clip",$B$2="Zone 5"),'GCN_Clip 1.0'!#REF!,IF(AND($B$3="Post",$B$2="Zone 1"),'GCN_Post 1.0'!Q298,IF(AND($B$3="Post",$B$2="Zone 2"),'GCN_Post 1.0'!R298,IF(AND($B$3="Post",$B$2="Zone 3"),'GCN_Post 1.0'!S298,IF(AND($B$3="Post",$B$2="Zone 4"),'GCN_Post 1.0'!T298,IF(AND($B$3="Post",$B$2="Zone 5"),'GCN_Post 1.0'!V298,"ERROR")))))))))))))))))))</f>
        <v/>
      </c>
      <c r="AL184" s="27" t="str">
        <f t="shared" si="38"/>
        <v/>
      </c>
      <c r="AM184" t="str">
        <f t="shared" si="39"/>
        <v/>
      </c>
      <c r="AN184" t="str">
        <f t="shared" si="40"/>
        <v/>
      </c>
      <c r="AO184" t="str">
        <f t="shared" si="41"/>
        <v/>
      </c>
      <c r="AP184" t="str">
        <f t="shared" si="42"/>
        <v/>
      </c>
      <c r="AQ184" t="str">
        <f t="shared" si="43"/>
        <v/>
      </c>
      <c r="AR184" s="82" t="str">
        <f>IF(AND($B$3="Cantilever",$B$2="Zone 1"),'GCM_Cantilever 1.0'!$I375,IF(AND($B$3="Cantilever",$B$2="Zone 2"),'GCM_Cantilever 1.0'!M375,IF(AND($B$3="HalfTracker",$B$2="Zone 1"),'GCM_Halftracker 1.0'!H390,IF(AND($B$3="HalfTracker",$B$2="Zone 2"),'GCM_Halftracker 1.0'!L390,IF(AND($B$3="Purlin",$B$2="Zone 1"),'GCM_Purlin 1.0'!H445,IF(AND($B$3="Purlin",$B$2="Zone 2"),'GCM_Purlin 1.0'!P445,IF(AND($B$3="Purlin",$B$2="Zone 3"),'GCM_Purlin 1.0'!AA445,IF(AND($B$3="Purlin",$B$2="Zone 4"),'GCM_Purlin 1.0'!AI445,IF(AND($B$3="Purlin",$B$2="Zone 5"),'GCM_Purlin 1.0'!AT445,IF(AND($B$3="Clip",$B$2="Zone 1"),'GCN_Clip 1.0'!#REF!,IF(AND($B$3="Clip",$B$2="Zone 2"),'GCN_Clip 1.0'!#REF!,IF(AND($B$3="Clip",$B$2="Zone 3"),'GCN_Clip 1.0'!#REF!,IF(AND($B$3="Clip",$B$2="Zone 4"),'GCN_Clip 1.0'!#REF!,IF(AND($B$3="Clip",$B$2="Zone 5"),'GCN_Clip 1.0'!#REF!,IF(AND($B$3="Post",$B$2="Zone 1"),'GCN_Post 1.0'!W298,IF(AND($B$3="Post",$B$2="Zone 2"),'GCN_Post 1.0'!X298,IF(AND($B$3="Post",$B$2="Zone 3"),'GCN_Post 1.0'!Y298,IF(AND($B$3="Post",$B$2="Zone 4"),'GCN_Post 1.0'!Z298,IF(AND($B$3="Post",$B$2="Zone 5"),'GCN_Post 1.0'!AA298,"ERROR")))))))))))))))))))</f>
        <v/>
      </c>
    </row>
    <row r="185" spans="6:44" x14ac:dyDescent="0.25">
      <c r="F185">
        <v>12</v>
      </c>
      <c r="G185" s="27" t="str">
        <f t="shared" si="16"/>
        <v/>
      </c>
      <c r="H185" t="str">
        <f t="shared" si="17"/>
        <v/>
      </c>
      <c r="I185" t="str">
        <f t="shared" si="18"/>
        <v/>
      </c>
      <c r="J185" s="28" t="str">
        <f t="shared" si="19"/>
        <v/>
      </c>
      <c r="M185">
        <v>12</v>
      </c>
      <c r="N185" s="27" t="str">
        <f t="shared" si="20"/>
        <v/>
      </c>
      <c r="O185" t="str">
        <f t="shared" si="21"/>
        <v/>
      </c>
      <c r="P185" t="str">
        <f t="shared" si="22"/>
        <v/>
      </c>
      <c r="Q185" t="str">
        <f t="shared" si="23"/>
        <v/>
      </c>
      <c r="R185" t="str">
        <f t="shared" si="24"/>
        <v/>
      </c>
      <c r="S185" t="str">
        <f t="shared" si="25"/>
        <v/>
      </c>
      <c r="T185" s="82" t="str">
        <f>IF(AND($B$3="Cantilever",$B$2="Zone 1"),'GCM_Cantilever 1.0'!$F376,IF(AND($B$3="Cantilever",$B$2="Zone 2"),'GCM_Cantilever 1.0'!J376,IF(AND($B$3="HalfTracker",$B$2="Zone 1"),'GCM_Halftracker 1.0'!E391,IF(AND($B$3="HalfTracker",$B$2="Zone 2"),'GCM_Halftracker 1.0'!I391,IF(AND($B$3="Purlin",$B$2="Zone 1"),'GCM_Purlin 1.0'!E446,IF(AND($B$3="Purlin",$B$2="Zone 2"),'GCM_Purlin 1.0'!M446,IF(AND($B$3="Purlin",$B$2="Zone 3"),'GCM_Purlin 1.0'!X446,IF(AND($B$3="Purlin",$B$2="Zone 4"),'GCM_Purlin 1.0'!AF446,IF(AND($B$3="Purlin",$B$2="Zone 5"),'GCM_Purlin 1.0'!AQ446,IF(AND($B$3="Clip",$B$2="Zone 1"),'GCN_Clip 1.0'!G15,IF(AND($B$3="Clip",$B$2="Zone 2"),'GCN_Clip 1.0'!C16,IF(AND($B$3="Clip",$B$2="Zone 3"),'GCN_Clip 1.0'!G17,IF(AND($B$3="Clip",$B$2="Zone 4"),'GCN_Clip 1.0'!G18,IF(AND($B$3="Clip",$B$2="Zone 5"),'GCN_Clip 1.0'!G19,IF(AND($B$3="Post",$B$2="Zone 1"),'GCN_Post 1.0'!E299,IF(AND($B$3="Post",$B$2="Zone 2"),'GCN_Post 1.0'!F299,IF(AND($B$3="Post",$B$2="Zone 3"),'GCN_Post 1.0'!G299,IF(AND($B$3="Post",$B$2="Zone 4"),'GCN_Post 1.0'!H299,IF(AND($B$3="Post",$B$2="Zone 5"),'GCN_Post 1.0'!I299,"ERROR")))))))))))))))))))</f>
        <v/>
      </c>
      <c r="V185" s="27" t="str">
        <f t="shared" si="26"/>
        <v/>
      </c>
      <c r="W185" t="str">
        <f t="shared" si="27"/>
        <v/>
      </c>
      <c r="X185" t="str">
        <f t="shared" si="28"/>
        <v/>
      </c>
      <c r="Y185" t="str">
        <f t="shared" si="29"/>
        <v/>
      </c>
      <c r="Z185" t="str">
        <f t="shared" si="30"/>
        <v/>
      </c>
      <c r="AA185" t="str">
        <f t="shared" si="31"/>
        <v/>
      </c>
      <c r="AB185" s="82" t="str">
        <f>IF(AND($B$3="Cantilever",$B$2="Zone 1"),'GCM_Cantilever 1.0'!$G376,IF(AND($B$3="Cantilever",$B$2="Zone 2"),'GCM_Cantilever 1.0'!K376,IF(AND($B$3="HalfTracker",$B$2="Zone 1"),'GCM_Halftracker 1.0'!F391,IF(AND($B$3="HalfTracker",$B$2="Zone 2"),'GCM_Halftracker 1.0'!J391,IF(AND($B$3="Purlin",$B$2="Zone 1"),'GCM_Purlin 1.0'!F446,IF(AND($B$3="Purlin",$B$2="Zone 2"),'GCM_Purlin 1.0'!N446,IF(AND($B$3="Purlin",$B$2="Zone 3"),'GCM_Purlin 1.0'!Y446,IF(AND($B$3="Purlin",$B$2="Zone 4"),'GCM_Purlin 1.0'!AG446,IF(AND($B$3="Purlin",$B$2="Zone 5"),'GCM_Purlin 1.0'!AR446,IF(AND($B$3="Clip",$B$2="Zone 1"),'GCN_Clip 1.0'!H15,IF(AND($B$3="Clip",$B$2="Zone 2"),'GCN_Clip 1.0'!H16,IF(AND($B$3="Clip",$B$2="Zone 3"),'GCN_Clip 1.0'!H17,IF(AND($B$3="Clip",$B$2="Zone 4"),'GCN_Clip 1.0'!H18,IF(AND($B$3="Clip",$B$2="Zone 5"),'GCN_Clip 1.0'!H19,IF(AND($B$3="Post",$B$2="Zone 1"),'GCN_Post 1.0'!J299,IF(AND($B$3="Post",$B$2="Zone 2"),'GCN_Post 1.0'!K299,IF(AND($B$3="Post",$B$2="Zone 3"),'GCN_Post 1.0'!N299,IF(AND($B$3="Post",$B$2="Zone 4"),'GCN_Post 1.0'!O299,IF(AND($B$3="Post",$B$2="Zone 5"),'GCN_Post 1.0'!P299,"ERROR")))))))))))))))))))</f>
        <v/>
      </c>
      <c r="AD185" s="27" t="str">
        <f t="shared" si="32"/>
        <v/>
      </c>
      <c r="AE185" t="str">
        <f t="shared" si="33"/>
        <v/>
      </c>
      <c r="AF185" t="str">
        <f t="shared" si="34"/>
        <v/>
      </c>
      <c r="AG185" t="str">
        <f t="shared" si="35"/>
        <v/>
      </c>
      <c r="AH185" t="str">
        <f t="shared" si="36"/>
        <v/>
      </c>
      <c r="AI185" t="str">
        <f t="shared" si="37"/>
        <v/>
      </c>
      <c r="AJ185" s="82" t="str">
        <f>IF(AND($B$3="Cantilever",$B$2="Zone 1"),'GCM_Cantilever 1.0'!$H376,IF(AND($B$3="Cantilever",$B$2="Zone 2"),'GCM_Cantilever 1.0'!L376,IF(AND($B$3="HalfTracker",$B$2="Zone 1"),'GCM_Halftracker 1.0'!G391,IF(AND($B$3="HalfTracker",$B$2="Zone 2"),'GCM_Halftracker 1.0'!K391,IF(AND($B$3="Purlin",$B$2="Zone 1"),'GCM_Purlin 1.0'!G446,IF(AND($B$3="Purlin",$B$2="Zone 2"),'GCM_Purlin 1.0'!O446,IF(AND($B$3="Purlin",$B$2="Zone 3"),'GCM_Purlin 1.0'!Z446,IF(AND($B$3="Purlin",$B$2="Zone 4"),'GCM_Purlin 1.0'!AH446,IF(AND($B$3="Purlin",$B$2="Zone 5"),'GCM_Purlin 1.0'!AS446,IF(AND($B$3="Clip",$B$2="Zone 1"),'GCN_Clip 1.0'!#REF!,IF(AND($B$3="Clip",$B$2="Zone 2"),'GCN_Clip 1.0'!#REF!,IF(AND($B$3="Clip",$B$2="Zone 3"),'GCN_Clip 1.0'!#REF!,IF(AND($B$3="Clip",$B$2="Zone 4"),'GCN_Clip 1.0'!#REF!,IF(AND($B$3="Clip",$B$2="Zone 5"),'GCN_Clip 1.0'!#REF!,IF(AND($B$3="Post",$B$2="Zone 1"),'GCN_Post 1.0'!Q299,IF(AND($B$3="Post",$B$2="Zone 2"),'GCN_Post 1.0'!R299,IF(AND($B$3="Post",$B$2="Zone 3"),'GCN_Post 1.0'!S299,IF(AND($B$3="Post",$B$2="Zone 4"),'GCN_Post 1.0'!T299,IF(AND($B$3="Post",$B$2="Zone 5"),'GCN_Post 1.0'!V299,"ERROR")))))))))))))))))))</f>
        <v/>
      </c>
      <c r="AL185" s="27" t="str">
        <f t="shared" si="38"/>
        <v/>
      </c>
      <c r="AM185" t="str">
        <f t="shared" si="39"/>
        <v/>
      </c>
      <c r="AN185" t="str">
        <f t="shared" si="40"/>
        <v/>
      </c>
      <c r="AO185" t="str">
        <f t="shared" si="41"/>
        <v/>
      </c>
      <c r="AP185" t="str">
        <f t="shared" si="42"/>
        <v/>
      </c>
      <c r="AQ185" t="str">
        <f t="shared" si="43"/>
        <v/>
      </c>
      <c r="AR185" s="82" t="str">
        <f>IF(AND($B$3="Cantilever",$B$2="Zone 1"),'GCM_Cantilever 1.0'!$I376,IF(AND($B$3="Cantilever",$B$2="Zone 2"),'GCM_Cantilever 1.0'!M376,IF(AND($B$3="HalfTracker",$B$2="Zone 1"),'GCM_Halftracker 1.0'!H391,IF(AND($B$3="HalfTracker",$B$2="Zone 2"),'GCM_Halftracker 1.0'!L391,IF(AND($B$3="Purlin",$B$2="Zone 1"),'GCM_Purlin 1.0'!H446,IF(AND($B$3="Purlin",$B$2="Zone 2"),'GCM_Purlin 1.0'!P446,IF(AND($B$3="Purlin",$B$2="Zone 3"),'GCM_Purlin 1.0'!AA446,IF(AND($B$3="Purlin",$B$2="Zone 4"),'GCM_Purlin 1.0'!AI446,IF(AND($B$3="Purlin",$B$2="Zone 5"),'GCM_Purlin 1.0'!AT446,IF(AND($B$3="Clip",$B$2="Zone 1"),'GCN_Clip 1.0'!#REF!,IF(AND($B$3="Clip",$B$2="Zone 2"),'GCN_Clip 1.0'!#REF!,IF(AND($B$3="Clip",$B$2="Zone 3"),'GCN_Clip 1.0'!#REF!,IF(AND($B$3="Clip",$B$2="Zone 4"),'GCN_Clip 1.0'!#REF!,IF(AND($B$3="Clip",$B$2="Zone 5"),'GCN_Clip 1.0'!#REF!,IF(AND($B$3="Post",$B$2="Zone 1"),'GCN_Post 1.0'!W299,IF(AND($B$3="Post",$B$2="Zone 2"),'GCN_Post 1.0'!X299,IF(AND($B$3="Post",$B$2="Zone 3"),'GCN_Post 1.0'!Y299,IF(AND($B$3="Post",$B$2="Zone 4"),'GCN_Post 1.0'!Z299,IF(AND($B$3="Post",$B$2="Zone 5"),'GCN_Post 1.0'!AA299,"ERROR")))))))))))))))))))</f>
        <v/>
      </c>
    </row>
    <row r="186" spans="6:44" x14ac:dyDescent="0.25">
      <c r="F186">
        <v>13</v>
      </c>
      <c r="G186" s="27" t="str">
        <f t="shared" si="16"/>
        <v/>
      </c>
      <c r="H186" t="str">
        <f t="shared" si="17"/>
        <v/>
      </c>
      <c r="I186" t="str">
        <f t="shared" si="18"/>
        <v/>
      </c>
      <c r="J186" s="28" t="str">
        <f t="shared" si="19"/>
        <v/>
      </c>
      <c r="M186">
        <v>13</v>
      </c>
      <c r="N186" s="27" t="str">
        <f t="shared" si="20"/>
        <v/>
      </c>
      <c r="O186" t="str">
        <f t="shared" si="21"/>
        <v/>
      </c>
      <c r="P186" t="str">
        <f t="shared" si="22"/>
        <v/>
      </c>
      <c r="Q186" t="str">
        <f t="shared" si="23"/>
        <v/>
      </c>
      <c r="R186" t="str">
        <f t="shared" si="24"/>
        <v/>
      </c>
      <c r="S186" t="str">
        <f t="shared" si="25"/>
        <v/>
      </c>
      <c r="T186" s="82" t="str">
        <f>IF(AND($B$3="Cantilever",$B$2="Zone 1"),'GCM_Cantilever 1.0'!$F377,IF(AND($B$3="Cantilever",$B$2="Zone 2"),'GCM_Cantilever 1.0'!J377,IF(AND($B$3="HalfTracker",$B$2="Zone 1"),'GCM_Halftracker 1.0'!E392,IF(AND($B$3="HalfTracker",$B$2="Zone 2"),'GCM_Halftracker 1.0'!I392,IF(AND($B$3="Purlin",$B$2="Zone 1"),'GCM_Purlin 1.0'!E447,IF(AND($B$3="Purlin",$B$2="Zone 2"),'GCM_Purlin 1.0'!M447,IF(AND($B$3="Purlin",$B$2="Zone 3"),'GCM_Purlin 1.0'!X447,IF(AND($B$3="Purlin",$B$2="Zone 4"),'GCM_Purlin 1.0'!AF447,IF(AND($B$3="Purlin",$B$2="Zone 5"),'GCM_Purlin 1.0'!AQ447,IF(AND($B$3="Clip",$B$2="Zone 1"),'GCN_Clip 1.0'!G16,IF(AND($B$3="Clip",$B$2="Zone 2"),'GCN_Clip 1.0'!C17,IF(AND($B$3="Clip",$B$2="Zone 3"),'GCN_Clip 1.0'!G18,IF(AND($B$3="Clip",$B$2="Zone 4"),'GCN_Clip 1.0'!G19,IF(AND($B$3="Clip",$B$2="Zone 5"),'GCN_Clip 1.0'!G20,IF(AND($B$3="Post",$B$2="Zone 1"),'GCN_Post 1.0'!E300,IF(AND($B$3="Post",$B$2="Zone 2"),'GCN_Post 1.0'!F300,IF(AND($B$3="Post",$B$2="Zone 3"),'GCN_Post 1.0'!G300,IF(AND($B$3="Post",$B$2="Zone 4"),'GCN_Post 1.0'!H300,IF(AND($B$3="Post",$B$2="Zone 5"),'GCN_Post 1.0'!I300,"ERROR")))))))))))))))))))</f>
        <v/>
      </c>
      <c r="V186" s="27" t="str">
        <f t="shared" si="26"/>
        <v/>
      </c>
      <c r="W186" t="str">
        <f t="shared" si="27"/>
        <v/>
      </c>
      <c r="X186" t="str">
        <f t="shared" si="28"/>
        <v/>
      </c>
      <c r="Y186" t="str">
        <f t="shared" si="29"/>
        <v/>
      </c>
      <c r="Z186" t="str">
        <f t="shared" si="30"/>
        <v/>
      </c>
      <c r="AA186" t="str">
        <f t="shared" si="31"/>
        <v/>
      </c>
      <c r="AB186" s="82" t="str">
        <f>IF(AND($B$3="Cantilever",$B$2="Zone 1"),'GCM_Cantilever 1.0'!$G377,IF(AND($B$3="Cantilever",$B$2="Zone 2"),'GCM_Cantilever 1.0'!K377,IF(AND($B$3="HalfTracker",$B$2="Zone 1"),'GCM_Halftracker 1.0'!F392,IF(AND($B$3="HalfTracker",$B$2="Zone 2"),'GCM_Halftracker 1.0'!J392,IF(AND($B$3="Purlin",$B$2="Zone 1"),'GCM_Purlin 1.0'!F447,IF(AND($B$3="Purlin",$B$2="Zone 2"),'GCM_Purlin 1.0'!N447,IF(AND($B$3="Purlin",$B$2="Zone 3"),'GCM_Purlin 1.0'!Y447,IF(AND($B$3="Purlin",$B$2="Zone 4"),'GCM_Purlin 1.0'!AG447,IF(AND($B$3="Purlin",$B$2="Zone 5"),'GCM_Purlin 1.0'!AR447,IF(AND($B$3="Clip",$B$2="Zone 1"),'GCN_Clip 1.0'!H16,IF(AND($B$3="Clip",$B$2="Zone 2"),'GCN_Clip 1.0'!H17,IF(AND($B$3="Clip",$B$2="Zone 3"),'GCN_Clip 1.0'!H18,IF(AND($B$3="Clip",$B$2="Zone 4"),'GCN_Clip 1.0'!H19,IF(AND($B$3="Clip",$B$2="Zone 5"),'GCN_Clip 1.0'!H20,IF(AND($B$3="Post",$B$2="Zone 1"),'GCN_Post 1.0'!J300,IF(AND($B$3="Post",$B$2="Zone 2"),'GCN_Post 1.0'!K300,IF(AND($B$3="Post",$B$2="Zone 3"),'GCN_Post 1.0'!N300,IF(AND($B$3="Post",$B$2="Zone 4"),'GCN_Post 1.0'!O300,IF(AND($B$3="Post",$B$2="Zone 5"),'GCN_Post 1.0'!P300,"ERROR")))))))))))))))))))</f>
        <v/>
      </c>
      <c r="AD186" s="27" t="str">
        <f t="shared" si="32"/>
        <v/>
      </c>
      <c r="AE186" t="str">
        <f t="shared" si="33"/>
        <v/>
      </c>
      <c r="AF186" t="str">
        <f t="shared" si="34"/>
        <v/>
      </c>
      <c r="AG186" t="str">
        <f t="shared" si="35"/>
        <v/>
      </c>
      <c r="AH186" t="str">
        <f t="shared" si="36"/>
        <v/>
      </c>
      <c r="AI186" t="str">
        <f t="shared" si="37"/>
        <v/>
      </c>
      <c r="AJ186" s="82" t="str">
        <f>IF(AND($B$3="Cantilever",$B$2="Zone 1"),'GCM_Cantilever 1.0'!$H377,IF(AND($B$3="Cantilever",$B$2="Zone 2"),'GCM_Cantilever 1.0'!L377,IF(AND($B$3="HalfTracker",$B$2="Zone 1"),'GCM_Halftracker 1.0'!G392,IF(AND($B$3="HalfTracker",$B$2="Zone 2"),'GCM_Halftracker 1.0'!K392,IF(AND($B$3="Purlin",$B$2="Zone 1"),'GCM_Purlin 1.0'!G447,IF(AND($B$3="Purlin",$B$2="Zone 2"),'GCM_Purlin 1.0'!O447,IF(AND($B$3="Purlin",$B$2="Zone 3"),'GCM_Purlin 1.0'!Z447,IF(AND($B$3="Purlin",$B$2="Zone 4"),'GCM_Purlin 1.0'!AH447,IF(AND($B$3="Purlin",$B$2="Zone 5"),'GCM_Purlin 1.0'!AS447,IF(AND($B$3="Clip",$B$2="Zone 1"),'GCN_Clip 1.0'!#REF!,IF(AND($B$3="Clip",$B$2="Zone 2"),'GCN_Clip 1.0'!#REF!,IF(AND($B$3="Clip",$B$2="Zone 3"),'GCN_Clip 1.0'!#REF!,IF(AND($B$3="Clip",$B$2="Zone 4"),'GCN_Clip 1.0'!#REF!,IF(AND($B$3="Clip",$B$2="Zone 5"),'GCN_Clip 1.0'!#REF!,IF(AND($B$3="Post",$B$2="Zone 1"),'GCN_Post 1.0'!Q300,IF(AND($B$3="Post",$B$2="Zone 2"),'GCN_Post 1.0'!R300,IF(AND($B$3="Post",$B$2="Zone 3"),'GCN_Post 1.0'!S300,IF(AND($B$3="Post",$B$2="Zone 4"),'GCN_Post 1.0'!T300,IF(AND($B$3="Post",$B$2="Zone 5"),'GCN_Post 1.0'!V300,"ERROR")))))))))))))))))))</f>
        <v/>
      </c>
      <c r="AL186" s="27" t="str">
        <f t="shared" si="38"/>
        <v/>
      </c>
      <c r="AM186" t="str">
        <f t="shared" si="39"/>
        <v/>
      </c>
      <c r="AN186" t="str">
        <f t="shared" si="40"/>
        <v/>
      </c>
      <c r="AO186" t="str">
        <f t="shared" si="41"/>
        <v/>
      </c>
      <c r="AP186" t="str">
        <f t="shared" si="42"/>
        <v/>
      </c>
      <c r="AQ186" t="str">
        <f t="shared" si="43"/>
        <v/>
      </c>
      <c r="AR186" s="82" t="str">
        <f>IF(AND($B$3="Cantilever",$B$2="Zone 1"),'GCM_Cantilever 1.0'!$I377,IF(AND($B$3="Cantilever",$B$2="Zone 2"),'GCM_Cantilever 1.0'!M377,IF(AND($B$3="HalfTracker",$B$2="Zone 1"),'GCM_Halftracker 1.0'!H392,IF(AND($B$3="HalfTracker",$B$2="Zone 2"),'GCM_Halftracker 1.0'!L392,IF(AND($B$3="Purlin",$B$2="Zone 1"),'GCM_Purlin 1.0'!H447,IF(AND($B$3="Purlin",$B$2="Zone 2"),'GCM_Purlin 1.0'!P447,IF(AND($B$3="Purlin",$B$2="Zone 3"),'GCM_Purlin 1.0'!AA447,IF(AND($B$3="Purlin",$B$2="Zone 4"),'GCM_Purlin 1.0'!AI447,IF(AND($B$3="Purlin",$B$2="Zone 5"),'GCM_Purlin 1.0'!AT447,IF(AND($B$3="Clip",$B$2="Zone 1"),'GCN_Clip 1.0'!#REF!,IF(AND($B$3="Clip",$B$2="Zone 2"),'GCN_Clip 1.0'!#REF!,IF(AND($B$3="Clip",$B$2="Zone 3"),'GCN_Clip 1.0'!#REF!,IF(AND($B$3="Clip",$B$2="Zone 4"),'GCN_Clip 1.0'!#REF!,IF(AND($B$3="Clip",$B$2="Zone 5"),'GCN_Clip 1.0'!#REF!,IF(AND($B$3="Post",$B$2="Zone 1"),'GCN_Post 1.0'!W300,IF(AND($B$3="Post",$B$2="Zone 2"),'GCN_Post 1.0'!X300,IF(AND($B$3="Post",$B$2="Zone 3"),'GCN_Post 1.0'!Y300,IF(AND($B$3="Post",$B$2="Zone 4"),'GCN_Post 1.0'!Z300,IF(AND($B$3="Post",$B$2="Zone 5"),'GCN_Post 1.0'!AA300,"ERROR")))))))))))))))))))</f>
        <v/>
      </c>
    </row>
    <row r="187" spans="6:44" x14ac:dyDescent="0.25">
      <c r="F187">
        <v>14</v>
      </c>
      <c r="G187" s="27" t="str">
        <f t="shared" si="16"/>
        <v/>
      </c>
      <c r="H187" t="str">
        <f t="shared" si="17"/>
        <v/>
      </c>
      <c r="I187" t="str">
        <f t="shared" si="18"/>
        <v/>
      </c>
      <c r="J187" s="28" t="str">
        <f t="shared" si="19"/>
        <v/>
      </c>
      <c r="M187">
        <v>14</v>
      </c>
      <c r="N187" s="27" t="str">
        <f t="shared" si="20"/>
        <v/>
      </c>
      <c r="O187" t="str">
        <f t="shared" si="21"/>
        <v/>
      </c>
      <c r="P187" t="str">
        <f t="shared" si="22"/>
        <v/>
      </c>
      <c r="Q187" t="str">
        <f t="shared" si="23"/>
        <v/>
      </c>
      <c r="R187" t="str">
        <f t="shared" si="24"/>
        <v/>
      </c>
      <c r="S187" t="str">
        <f t="shared" si="25"/>
        <v/>
      </c>
      <c r="T187" s="82" t="str">
        <f>IF(AND($B$3="Cantilever",$B$2="Zone 1"),'GCM_Cantilever 1.0'!$F378,IF(AND($B$3="Cantilever",$B$2="Zone 2"),'GCM_Cantilever 1.0'!J378,IF(AND($B$3="HalfTracker",$B$2="Zone 1"),'GCM_Halftracker 1.0'!E393,IF(AND($B$3="HalfTracker",$B$2="Zone 2"),'GCM_Halftracker 1.0'!I393,IF(AND($B$3="Purlin",$B$2="Zone 1"),'GCM_Purlin 1.0'!E448,IF(AND($B$3="Purlin",$B$2="Zone 2"),'GCM_Purlin 1.0'!M448,IF(AND($B$3="Purlin",$B$2="Zone 3"),'GCM_Purlin 1.0'!X448,IF(AND($B$3="Purlin",$B$2="Zone 4"),'GCM_Purlin 1.0'!AF448,IF(AND($B$3="Purlin",$B$2="Zone 5"),'GCM_Purlin 1.0'!AQ448,IF(AND($B$3="Clip",$B$2="Zone 1"),'GCN_Clip 1.0'!G17,IF(AND($B$3="Clip",$B$2="Zone 2"),'GCN_Clip 1.0'!C18,IF(AND($B$3="Clip",$B$2="Zone 3"),'GCN_Clip 1.0'!G19,IF(AND($B$3="Clip",$B$2="Zone 4"),'GCN_Clip 1.0'!G20,IF(AND($B$3="Clip",$B$2="Zone 5"),'GCN_Clip 1.0'!G21,IF(AND($B$3="Post",$B$2="Zone 1"),'GCN_Post 1.0'!E301,IF(AND($B$3="Post",$B$2="Zone 2"),'GCN_Post 1.0'!F301,IF(AND($B$3="Post",$B$2="Zone 3"),'GCN_Post 1.0'!G301,IF(AND($B$3="Post",$B$2="Zone 4"),'GCN_Post 1.0'!H301,IF(AND($B$3="Post",$B$2="Zone 5"),'GCN_Post 1.0'!I301,"ERROR")))))))))))))))))))</f>
        <v/>
      </c>
      <c r="V187" s="27" t="str">
        <f t="shared" si="26"/>
        <v/>
      </c>
      <c r="W187" t="str">
        <f t="shared" si="27"/>
        <v/>
      </c>
      <c r="X187" t="str">
        <f t="shared" si="28"/>
        <v/>
      </c>
      <c r="Y187" t="str">
        <f t="shared" si="29"/>
        <v/>
      </c>
      <c r="Z187" t="str">
        <f t="shared" si="30"/>
        <v/>
      </c>
      <c r="AA187" t="str">
        <f t="shared" si="31"/>
        <v/>
      </c>
      <c r="AB187" s="82" t="str">
        <f>IF(AND($B$3="Cantilever",$B$2="Zone 1"),'GCM_Cantilever 1.0'!$G378,IF(AND($B$3="Cantilever",$B$2="Zone 2"),'GCM_Cantilever 1.0'!K378,IF(AND($B$3="HalfTracker",$B$2="Zone 1"),'GCM_Halftracker 1.0'!F393,IF(AND($B$3="HalfTracker",$B$2="Zone 2"),'GCM_Halftracker 1.0'!J393,IF(AND($B$3="Purlin",$B$2="Zone 1"),'GCM_Purlin 1.0'!F448,IF(AND($B$3="Purlin",$B$2="Zone 2"),'GCM_Purlin 1.0'!N448,IF(AND($B$3="Purlin",$B$2="Zone 3"),'GCM_Purlin 1.0'!Y448,IF(AND($B$3="Purlin",$B$2="Zone 4"),'GCM_Purlin 1.0'!AG448,IF(AND($B$3="Purlin",$B$2="Zone 5"),'GCM_Purlin 1.0'!AR448,IF(AND($B$3="Clip",$B$2="Zone 1"),'GCN_Clip 1.0'!H17,IF(AND($B$3="Clip",$B$2="Zone 2"),'GCN_Clip 1.0'!H18,IF(AND($B$3="Clip",$B$2="Zone 3"),'GCN_Clip 1.0'!H19,IF(AND($B$3="Clip",$B$2="Zone 4"),'GCN_Clip 1.0'!H20,IF(AND($B$3="Clip",$B$2="Zone 5"),'GCN_Clip 1.0'!H21,IF(AND($B$3="Post",$B$2="Zone 1"),'GCN_Post 1.0'!J301,IF(AND($B$3="Post",$B$2="Zone 2"),'GCN_Post 1.0'!K301,IF(AND($B$3="Post",$B$2="Zone 3"),'GCN_Post 1.0'!N301,IF(AND($B$3="Post",$B$2="Zone 4"),'GCN_Post 1.0'!O301,IF(AND($B$3="Post",$B$2="Zone 5"),'GCN_Post 1.0'!P301,"ERROR")))))))))))))))))))</f>
        <v/>
      </c>
      <c r="AD187" s="27" t="str">
        <f t="shared" si="32"/>
        <v/>
      </c>
      <c r="AE187" t="str">
        <f t="shared" si="33"/>
        <v/>
      </c>
      <c r="AF187" t="str">
        <f t="shared" si="34"/>
        <v/>
      </c>
      <c r="AG187" t="str">
        <f t="shared" si="35"/>
        <v/>
      </c>
      <c r="AH187" t="str">
        <f t="shared" si="36"/>
        <v/>
      </c>
      <c r="AI187" t="str">
        <f t="shared" si="37"/>
        <v/>
      </c>
      <c r="AJ187" s="82" t="str">
        <f>IF(AND($B$3="Cantilever",$B$2="Zone 1"),'GCM_Cantilever 1.0'!$H378,IF(AND($B$3="Cantilever",$B$2="Zone 2"),'GCM_Cantilever 1.0'!L378,IF(AND($B$3="HalfTracker",$B$2="Zone 1"),'GCM_Halftracker 1.0'!G393,IF(AND($B$3="HalfTracker",$B$2="Zone 2"),'GCM_Halftracker 1.0'!K393,IF(AND($B$3="Purlin",$B$2="Zone 1"),'GCM_Purlin 1.0'!G448,IF(AND($B$3="Purlin",$B$2="Zone 2"),'GCM_Purlin 1.0'!O448,IF(AND($B$3="Purlin",$B$2="Zone 3"),'GCM_Purlin 1.0'!Z448,IF(AND($B$3="Purlin",$B$2="Zone 4"),'GCM_Purlin 1.0'!AH448,IF(AND($B$3="Purlin",$B$2="Zone 5"),'GCM_Purlin 1.0'!AS448,IF(AND($B$3="Clip",$B$2="Zone 1"),'GCN_Clip 1.0'!#REF!,IF(AND($B$3="Clip",$B$2="Zone 2"),'GCN_Clip 1.0'!#REF!,IF(AND($B$3="Clip",$B$2="Zone 3"),'GCN_Clip 1.0'!#REF!,IF(AND($B$3="Clip",$B$2="Zone 4"),'GCN_Clip 1.0'!#REF!,IF(AND($B$3="Clip",$B$2="Zone 5"),'GCN_Clip 1.0'!#REF!,IF(AND($B$3="Post",$B$2="Zone 1"),'GCN_Post 1.0'!Q301,IF(AND($B$3="Post",$B$2="Zone 2"),'GCN_Post 1.0'!R301,IF(AND($B$3="Post",$B$2="Zone 3"),'GCN_Post 1.0'!S301,IF(AND($B$3="Post",$B$2="Zone 4"),'GCN_Post 1.0'!T301,IF(AND($B$3="Post",$B$2="Zone 5"),'GCN_Post 1.0'!V301,"ERROR")))))))))))))))))))</f>
        <v/>
      </c>
      <c r="AL187" s="27" t="str">
        <f t="shared" si="38"/>
        <v/>
      </c>
      <c r="AM187" t="str">
        <f t="shared" si="39"/>
        <v/>
      </c>
      <c r="AN187" t="str">
        <f t="shared" si="40"/>
        <v/>
      </c>
      <c r="AO187" t="str">
        <f t="shared" si="41"/>
        <v/>
      </c>
      <c r="AP187" t="str">
        <f t="shared" si="42"/>
        <v/>
      </c>
      <c r="AQ187" t="str">
        <f t="shared" si="43"/>
        <v/>
      </c>
      <c r="AR187" s="82" t="str">
        <f>IF(AND($B$3="Cantilever",$B$2="Zone 1"),'GCM_Cantilever 1.0'!$I378,IF(AND($B$3="Cantilever",$B$2="Zone 2"),'GCM_Cantilever 1.0'!M378,IF(AND($B$3="HalfTracker",$B$2="Zone 1"),'GCM_Halftracker 1.0'!H393,IF(AND($B$3="HalfTracker",$B$2="Zone 2"),'GCM_Halftracker 1.0'!L393,IF(AND($B$3="Purlin",$B$2="Zone 1"),'GCM_Purlin 1.0'!H448,IF(AND($B$3="Purlin",$B$2="Zone 2"),'GCM_Purlin 1.0'!P448,IF(AND($B$3="Purlin",$B$2="Zone 3"),'GCM_Purlin 1.0'!AA448,IF(AND($B$3="Purlin",$B$2="Zone 4"),'GCM_Purlin 1.0'!AI448,IF(AND($B$3="Purlin",$B$2="Zone 5"),'GCM_Purlin 1.0'!AT448,IF(AND($B$3="Clip",$B$2="Zone 1"),'GCN_Clip 1.0'!#REF!,IF(AND($B$3="Clip",$B$2="Zone 2"),'GCN_Clip 1.0'!#REF!,IF(AND($B$3="Clip",$B$2="Zone 3"),'GCN_Clip 1.0'!#REF!,IF(AND($B$3="Clip",$B$2="Zone 4"),'GCN_Clip 1.0'!#REF!,IF(AND($B$3="Clip",$B$2="Zone 5"),'GCN_Clip 1.0'!#REF!,IF(AND($B$3="Post",$B$2="Zone 1"),'GCN_Post 1.0'!W301,IF(AND($B$3="Post",$B$2="Zone 2"),'GCN_Post 1.0'!X301,IF(AND($B$3="Post",$B$2="Zone 3"),'GCN_Post 1.0'!Y301,IF(AND($B$3="Post",$B$2="Zone 4"),'GCN_Post 1.0'!Z301,IF(AND($B$3="Post",$B$2="Zone 5"),'GCN_Post 1.0'!AA301,"ERROR")))))))))))))))))))</f>
        <v/>
      </c>
    </row>
    <row r="188" spans="6:44" x14ac:dyDescent="0.25">
      <c r="F188">
        <v>15</v>
      </c>
      <c r="G188" s="27" t="str">
        <f t="shared" si="16"/>
        <v/>
      </c>
      <c r="H188" t="str">
        <f t="shared" si="17"/>
        <v/>
      </c>
      <c r="I188" t="str">
        <f t="shared" si="18"/>
        <v/>
      </c>
      <c r="J188" s="28" t="str">
        <f t="shared" si="19"/>
        <v/>
      </c>
      <c r="M188">
        <v>15</v>
      </c>
      <c r="N188" s="27" t="str">
        <f t="shared" si="20"/>
        <v/>
      </c>
      <c r="O188" t="str">
        <f t="shared" si="21"/>
        <v/>
      </c>
      <c r="P188" t="str">
        <f t="shared" si="22"/>
        <v/>
      </c>
      <c r="Q188" t="str">
        <f t="shared" si="23"/>
        <v/>
      </c>
      <c r="R188" t="str">
        <f t="shared" si="24"/>
        <v/>
      </c>
      <c r="S188" t="str">
        <f t="shared" si="25"/>
        <v/>
      </c>
      <c r="T188" s="82" t="str">
        <f>IF(AND($B$3="Cantilever",$B$2="Zone 1"),'GCM_Cantilever 1.0'!$F379,IF(AND($B$3="Cantilever",$B$2="Zone 2"),'GCM_Cantilever 1.0'!J379,IF(AND($B$3="HalfTracker",$B$2="Zone 1"),'GCM_Halftracker 1.0'!E394,IF(AND($B$3="HalfTracker",$B$2="Zone 2"),'GCM_Halftracker 1.0'!I394,IF(AND($B$3="Purlin",$B$2="Zone 1"),'GCM_Purlin 1.0'!E449,IF(AND($B$3="Purlin",$B$2="Zone 2"),'GCM_Purlin 1.0'!M449,IF(AND($B$3="Purlin",$B$2="Zone 3"),'GCM_Purlin 1.0'!X449,IF(AND($B$3="Purlin",$B$2="Zone 4"),'GCM_Purlin 1.0'!AF449,IF(AND($B$3="Purlin",$B$2="Zone 5"),'GCM_Purlin 1.0'!AQ449,IF(AND($B$3="Clip",$B$2="Zone 1"),'GCN_Clip 1.0'!G18,IF(AND($B$3="Clip",$B$2="Zone 2"),'GCN_Clip 1.0'!C19,IF(AND($B$3="Clip",$B$2="Zone 3"),'GCN_Clip 1.0'!G20,IF(AND($B$3="Clip",$B$2="Zone 4"),'GCN_Clip 1.0'!G21,IF(AND($B$3="Clip",$B$2="Zone 5"),'GCN_Clip 1.0'!G22,IF(AND($B$3="Post",$B$2="Zone 1"),'GCN_Post 1.0'!E302,IF(AND($B$3="Post",$B$2="Zone 2"),'GCN_Post 1.0'!F302,IF(AND($B$3="Post",$B$2="Zone 3"),'GCN_Post 1.0'!G302,IF(AND($B$3="Post",$B$2="Zone 4"),'GCN_Post 1.0'!H302,IF(AND($B$3="Post",$B$2="Zone 5"),'GCN_Post 1.0'!I302,"ERROR")))))))))))))))))))</f>
        <v/>
      </c>
      <c r="V188" s="27" t="str">
        <f t="shared" si="26"/>
        <v/>
      </c>
      <c r="W188" t="str">
        <f t="shared" si="27"/>
        <v/>
      </c>
      <c r="X188" t="str">
        <f t="shared" si="28"/>
        <v/>
      </c>
      <c r="Y188" t="str">
        <f t="shared" si="29"/>
        <v/>
      </c>
      <c r="Z188" t="str">
        <f t="shared" si="30"/>
        <v/>
      </c>
      <c r="AA188" t="str">
        <f t="shared" si="31"/>
        <v/>
      </c>
      <c r="AB188" s="82" t="str">
        <f>IF(AND($B$3="Cantilever",$B$2="Zone 1"),'GCM_Cantilever 1.0'!$G379,IF(AND($B$3="Cantilever",$B$2="Zone 2"),'GCM_Cantilever 1.0'!K379,IF(AND($B$3="HalfTracker",$B$2="Zone 1"),'GCM_Halftracker 1.0'!F394,IF(AND($B$3="HalfTracker",$B$2="Zone 2"),'GCM_Halftracker 1.0'!J394,IF(AND($B$3="Purlin",$B$2="Zone 1"),'GCM_Purlin 1.0'!F449,IF(AND($B$3="Purlin",$B$2="Zone 2"),'GCM_Purlin 1.0'!N449,IF(AND($B$3="Purlin",$B$2="Zone 3"),'GCM_Purlin 1.0'!Y449,IF(AND($B$3="Purlin",$B$2="Zone 4"),'GCM_Purlin 1.0'!AG449,IF(AND($B$3="Purlin",$B$2="Zone 5"),'GCM_Purlin 1.0'!AR449,IF(AND($B$3="Clip",$B$2="Zone 1"),'GCN_Clip 1.0'!H18,IF(AND($B$3="Clip",$B$2="Zone 2"),'GCN_Clip 1.0'!H19,IF(AND($B$3="Clip",$B$2="Zone 3"),'GCN_Clip 1.0'!H20,IF(AND($B$3="Clip",$B$2="Zone 4"),'GCN_Clip 1.0'!H21,IF(AND($B$3="Clip",$B$2="Zone 5"),'GCN_Clip 1.0'!H22,IF(AND($B$3="Post",$B$2="Zone 1"),'GCN_Post 1.0'!J302,IF(AND($B$3="Post",$B$2="Zone 2"),'GCN_Post 1.0'!K302,IF(AND($B$3="Post",$B$2="Zone 3"),'GCN_Post 1.0'!N302,IF(AND($B$3="Post",$B$2="Zone 4"),'GCN_Post 1.0'!O302,IF(AND($B$3="Post",$B$2="Zone 5"),'GCN_Post 1.0'!P302,"ERROR")))))))))))))))))))</f>
        <v/>
      </c>
      <c r="AD188" s="27" t="str">
        <f t="shared" si="32"/>
        <v/>
      </c>
      <c r="AE188" t="str">
        <f t="shared" si="33"/>
        <v/>
      </c>
      <c r="AF188" t="str">
        <f t="shared" si="34"/>
        <v/>
      </c>
      <c r="AG188" t="str">
        <f t="shared" si="35"/>
        <v/>
      </c>
      <c r="AH188" t="str">
        <f t="shared" si="36"/>
        <v/>
      </c>
      <c r="AI188" t="str">
        <f t="shared" si="37"/>
        <v/>
      </c>
      <c r="AJ188" s="82" t="str">
        <f>IF(AND($B$3="Cantilever",$B$2="Zone 1"),'GCM_Cantilever 1.0'!$H379,IF(AND($B$3="Cantilever",$B$2="Zone 2"),'GCM_Cantilever 1.0'!L379,IF(AND($B$3="HalfTracker",$B$2="Zone 1"),'GCM_Halftracker 1.0'!G394,IF(AND($B$3="HalfTracker",$B$2="Zone 2"),'GCM_Halftracker 1.0'!K394,IF(AND($B$3="Purlin",$B$2="Zone 1"),'GCM_Purlin 1.0'!G449,IF(AND($B$3="Purlin",$B$2="Zone 2"),'GCM_Purlin 1.0'!O449,IF(AND($B$3="Purlin",$B$2="Zone 3"),'GCM_Purlin 1.0'!Z449,IF(AND($B$3="Purlin",$B$2="Zone 4"),'GCM_Purlin 1.0'!AH449,IF(AND($B$3="Purlin",$B$2="Zone 5"),'GCM_Purlin 1.0'!AS449,IF(AND($B$3="Clip",$B$2="Zone 1"),'GCN_Clip 1.0'!#REF!,IF(AND($B$3="Clip",$B$2="Zone 2"),'GCN_Clip 1.0'!#REF!,IF(AND($B$3="Clip",$B$2="Zone 3"),'GCN_Clip 1.0'!#REF!,IF(AND($B$3="Clip",$B$2="Zone 4"),'GCN_Clip 1.0'!#REF!,IF(AND($B$3="Clip",$B$2="Zone 5"),'GCN_Clip 1.0'!#REF!,IF(AND($B$3="Post",$B$2="Zone 1"),'GCN_Post 1.0'!Q302,IF(AND($B$3="Post",$B$2="Zone 2"),'GCN_Post 1.0'!R302,IF(AND($B$3="Post",$B$2="Zone 3"),'GCN_Post 1.0'!S302,IF(AND($B$3="Post",$B$2="Zone 4"),'GCN_Post 1.0'!T302,IF(AND($B$3="Post",$B$2="Zone 5"),'GCN_Post 1.0'!V302,"ERROR")))))))))))))))))))</f>
        <v/>
      </c>
      <c r="AL188" s="27" t="str">
        <f t="shared" si="38"/>
        <v/>
      </c>
      <c r="AM188" t="str">
        <f t="shared" si="39"/>
        <v/>
      </c>
      <c r="AN188" t="str">
        <f t="shared" si="40"/>
        <v/>
      </c>
      <c r="AO188" t="str">
        <f t="shared" si="41"/>
        <v/>
      </c>
      <c r="AP188" t="str">
        <f t="shared" si="42"/>
        <v/>
      </c>
      <c r="AQ188" t="str">
        <f t="shared" si="43"/>
        <v/>
      </c>
      <c r="AR188" s="82" t="str">
        <f>IF(AND($B$3="Cantilever",$B$2="Zone 1"),'GCM_Cantilever 1.0'!$I379,IF(AND($B$3="Cantilever",$B$2="Zone 2"),'GCM_Cantilever 1.0'!M379,IF(AND($B$3="HalfTracker",$B$2="Zone 1"),'GCM_Halftracker 1.0'!H394,IF(AND($B$3="HalfTracker",$B$2="Zone 2"),'GCM_Halftracker 1.0'!L394,IF(AND($B$3="Purlin",$B$2="Zone 1"),'GCM_Purlin 1.0'!H449,IF(AND($B$3="Purlin",$B$2="Zone 2"),'GCM_Purlin 1.0'!P449,IF(AND($B$3="Purlin",$B$2="Zone 3"),'GCM_Purlin 1.0'!AA449,IF(AND($B$3="Purlin",$B$2="Zone 4"),'GCM_Purlin 1.0'!AI449,IF(AND($B$3="Purlin",$B$2="Zone 5"),'GCM_Purlin 1.0'!AT449,IF(AND($B$3="Clip",$B$2="Zone 1"),'GCN_Clip 1.0'!#REF!,IF(AND($B$3="Clip",$B$2="Zone 2"),'GCN_Clip 1.0'!#REF!,IF(AND($B$3="Clip",$B$2="Zone 3"),'GCN_Clip 1.0'!#REF!,IF(AND($B$3="Clip",$B$2="Zone 4"),'GCN_Clip 1.0'!#REF!,IF(AND($B$3="Clip",$B$2="Zone 5"),'GCN_Clip 1.0'!#REF!,IF(AND($B$3="Post",$B$2="Zone 1"),'GCN_Post 1.0'!W302,IF(AND($B$3="Post",$B$2="Zone 2"),'GCN_Post 1.0'!X302,IF(AND($B$3="Post",$B$2="Zone 3"),'GCN_Post 1.0'!Y302,IF(AND($B$3="Post",$B$2="Zone 4"),'GCN_Post 1.0'!Z302,IF(AND($B$3="Post",$B$2="Zone 5"),'GCN_Post 1.0'!AA302,"ERROR")))))))))))))))))))</f>
        <v/>
      </c>
    </row>
    <row r="189" spans="6:44" x14ac:dyDescent="0.25">
      <c r="F189">
        <v>16</v>
      </c>
      <c r="G189" s="27" t="str">
        <f t="shared" si="16"/>
        <v/>
      </c>
      <c r="H189" t="str">
        <f t="shared" si="17"/>
        <v/>
      </c>
      <c r="I189" t="str">
        <f t="shared" si="18"/>
        <v/>
      </c>
      <c r="J189" s="28" t="str">
        <f t="shared" si="19"/>
        <v/>
      </c>
      <c r="M189">
        <v>16</v>
      </c>
      <c r="N189" s="27" t="str">
        <f t="shared" si="20"/>
        <v/>
      </c>
      <c r="O189" t="str">
        <f t="shared" si="21"/>
        <v/>
      </c>
      <c r="P189" t="str">
        <f t="shared" si="22"/>
        <v/>
      </c>
      <c r="Q189" t="str">
        <f t="shared" si="23"/>
        <v/>
      </c>
      <c r="R189" t="str">
        <f t="shared" si="24"/>
        <v/>
      </c>
      <c r="S189" t="str">
        <f t="shared" si="25"/>
        <v/>
      </c>
      <c r="T189" s="82" t="str">
        <f>IF(AND($B$3="Cantilever",$B$2="Zone 1"),'GCM_Cantilever 1.0'!$F380,IF(AND($B$3="Cantilever",$B$2="Zone 2"),'GCM_Cantilever 1.0'!J380,IF(AND($B$3="HalfTracker",$B$2="Zone 1"),'GCM_Halftracker 1.0'!E395,IF(AND($B$3="HalfTracker",$B$2="Zone 2"),'GCM_Halftracker 1.0'!I395,IF(AND($B$3="Purlin",$B$2="Zone 1"),'GCM_Purlin 1.0'!E450,IF(AND($B$3="Purlin",$B$2="Zone 2"),'GCM_Purlin 1.0'!M450,IF(AND($B$3="Purlin",$B$2="Zone 3"),'GCM_Purlin 1.0'!X450,IF(AND($B$3="Purlin",$B$2="Zone 4"),'GCM_Purlin 1.0'!AF450,IF(AND($B$3="Purlin",$B$2="Zone 5"),'GCM_Purlin 1.0'!AQ450,IF(AND($B$3="Clip",$B$2="Zone 1"),'GCN_Clip 1.0'!G19,IF(AND($B$3="Clip",$B$2="Zone 2"),'GCN_Clip 1.0'!C20,IF(AND($B$3="Clip",$B$2="Zone 3"),'GCN_Clip 1.0'!G21,IF(AND($B$3="Clip",$B$2="Zone 4"),'GCN_Clip 1.0'!G22,IF(AND($B$3="Clip",$B$2="Zone 5"),'GCN_Clip 1.0'!G23,IF(AND($B$3="Post",$B$2="Zone 1"),'GCN_Post 1.0'!E303,IF(AND($B$3="Post",$B$2="Zone 2"),'GCN_Post 1.0'!F303,IF(AND($B$3="Post",$B$2="Zone 3"),'GCN_Post 1.0'!G303,IF(AND($B$3="Post",$B$2="Zone 4"),'GCN_Post 1.0'!H303,IF(AND($B$3="Post",$B$2="Zone 5"),'GCN_Post 1.0'!I303,"ERROR")))))))))))))))))))</f>
        <v/>
      </c>
      <c r="V189" s="27" t="str">
        <f t="shared" si="26"/>
        <v/>
      </c>
      <c r="W189" t="str">
        <f t="shared" si="27"/>
        <v/>
      </c>
      <c r="X189" t="str">
        <f t="shared" si="28"/>
        <v/>
      </c>
      <c r="Y189" t="str">
        <f t="shared" si="29"/>
        <v/>
      </c>
      <c r="Z189" t="str">
        <f t="shared" si="30"/>
        <v/>
      </c>
      <c r="AA189" t="str">
        <f t="shared" si="31"/>
        <v/>
      </c>
      <c r="AB189" s="82" t="str">
        <f>IF(AND($B$3="Cantilever",$B$2="Zone 1"),'GCM_Cantilever 1.0'!$G380,IF(AND($B$3="Cantilever",$B$2="Zone 2"),'GCM_Cantilever 1.0'!K380,IF(AND($B$3="HalfTracker",$B$2="Zone 1"),'GCM_Halftracker 1.0'!F395,IF(AND($B$3="HalfTracker",$B$2="Zone 2"),'GCM_Halftracker 1.0'!J395,IF(AND($B$3="Purlin",$B$2="Zone 1"),'GCM_Purlin 1.0'!F450,IF(AND($B$3="Purlin",$B$2="Zone 2"),'GCM_Purlin 1.0'!N450,IF(AND($B$3="Purlin",$B$2="Zone 3"),'GCM_Purlin 1.0'!Y450,IF(AND($B$3="Purlin",$B$2="Zone 4"),'GCM_Purlin 1.0'!AG450,IF(AND($B$3="Purlin",$B$2="Zone 5"),'GCM_Purlin 1.0'!AR450,IF(AND($B$3="Clip",$B$2="Zone 1"),'GCN_Clip 1.0'!H19,IF(AND($B$3="Clip",$B$2="Zone 2"),'GCN_Clip 1.0'!H20,IF(AND($B$3="Clip",$B$2="Zone 3"),'GCN_Clip 1.0'!H21,IF(AND($B$3="Clip",$B$2="Zone 4"),'GCN_Clip 1.0'!H22,IF(AND($B$3="Clip",$B$2="Zone 5"),'GCN_Clip 1.0'!H23,IF(AND($B$3="Post",$B$2="Zone 1"),'GCN_Post 1.0'!J303,IF(AND($B$3="Post",$B$2="Zone 2"),'GCN_Post 1.0'!K303,IF(AND($B$3="Post",$B$2="Zone 3"),'GCN_Post 1.0'!N303,IF(AND($B$3="Post",$B$2="Zone 4"),'GCN_Post 1.0'!O303,IF(AND($B$3="Post",$B$2="Zone 5"),'GCN_Post 1.0'!P303,"ERROR")))))))))))))))))))</f>
        <v/>
      </c>
      <c r="AD189" s="27" t="str">
        <f t="shared" si="32"/>
        <v/>
      </c>
      <c r="AE189" t="str">
        <f t="shared" si="33"/>
        <v/>
      </c>
      <c r="AF189" t="str">
        <f t="shared" si="34"/>
        <v/>
      </c>
      <c r="AG189" t="str">
        <f t="shared" si="35"/>
        <v/>
      </c>
      <c r="AH189" t="str">
        <f t="shared" si="36"/>
        <v/>
      </c>
      <c r="AI189" t="str">
        <f t="shared" si="37"/>
        <v/>
      </c>
      <c r="AJ189" s="82" t="str">
        <f>IF(AND($B$3="Cantilever",$B$2="Zone 1"),'GCM_Cantilever 1.0'!$H380,IF(AND($B$3="Cantilever",$B$2="Zone 2"),'GCM_Cantilever 1.0'!L380,IF(AND($B$3="HalfTracker",$B$2="Zone 1"),'GCM_Halftracker 1.0'!G395,IF(AND($B$3="HalfTracker",$B$2="Zone 2"),'GCM_Halftracker 1.0'!K395,IF(AND($B$3="Purlin",$B$2="Zone 1"),'GCM_Purlin 1.0'!G450,IF(AND($B$3="Purlin",$B$2="Zone 2"),'GCM_Purlin 1.0'!O450,IF(AND($B$3="Purlin",$B$2="Zone 3"),'GCM_Purlin 1.0'!Z450,IF(AND($B$3="Purlin",$B$2="Zone 4"),'GCM_Purlin 1.0'!AH450,IF(AND($B$3="Purlin",$B$2="Zone 5"),'GCM_Purlin 1.0'!AS450,IF(AND($B$3="Clip",$B$2="Zone 1"),'GCN_Clip 1.0'!#REF!,IF(AND($B$3="Clip",$B$2="Zone 2"),'GCN_Clip 1.0'!#REF!,IF(AND($B$3="Clip",$B$2="Zone 3"),'GCN_Clip 1.0'!#REF!,IF(AND($B$3="Clip",$B$2="Zone 4"),'GCN_Clip 1.0'!#REF!,IF(AND($B$3="Clip",$B$2="Zone 5"),'GCN_Clip 1.0'!#REF!,IF(AND($B$3="Post",$B$2="Zone 1"),'GCN_Post 1.0'!Q303,IF(AND($B$3="Post",$B$2="Zone 2"),'GCN_Post 1.0'!R303,IF(AND($B$3="Post",$B$2="Zone 3"),'GCN_Post 1.0'!S303,IF(AND($B$3="Post",$B$2="Zone 4"),'GCN_Post 1.0'!T303,IF(AND($B$3="Post",$B$2="Zone 5"),'GCN_Post 1.0'!V303,"ERROR")))))))))))))))))))</f>
        <v/>
      </c>
      <c r="AL189" s="27" t="str">
        <f t="shared" si="38"/>
        <v/>
      </c>
      <c r="AM189" t="str">
        <f t="shared" si="39"/>
        <v/>
      </c>
      <c r="AN189" t="str">
        <f t="shared" si="40"/>
        <v/>
      </c>
      <c r="AO189" t="str">
        <f t="shared" si="41"/>
        <v/>
      </c>
      <c r="AP189" t="str">
        <f t="shared" si="42"/>
        <v/>
      </c>
      <c r="AQ189" t="str">
        <f t="shared" si="43"/>
        <v/>
      </c>
      <c r="AR189" s="82" t="str">
        <f>IF(AND($B$3="Cantilever",$B$2="Zone 1"),'GCM_Cantilever 1.0'!$I380,IF(AND($B$3="Cantilever",$B$2="Zone 2"),'GCM_Cantilever 1.0'!M380,IF(AND($B$3="HalfTracker",$B$2="Zone 1"),'GCM_Halftracker 1.0'!H395,IF(AND($B$3="HalfTracker",$B$2="Zone 2"),'GCM_Halftracker 1.0'!L395,IF(AND($B$3="Purlin",$B$2="Zone 1"),'GCM_Purlin 1.0'!H450,IF(AND($B$3="Purlin",$B$2="Zone 2"),'GCM_Purlin 1.0'!P450,IF(AND($B$3="Purlin",$B$2="Zone 3"),'GCM_Purlin 1.0'!AA450,IF(AND($B$3="Purlin",$B$2="Zone 4"),'GCM_Purlin 1.0'!AI450,IF(AND($B$3="Purlin",$B$2="Zone 5"),'GCM_Purlin 1.0'!AT450,IF(AND($B$3="Clip",$B$2="Zone 1"),'GCN_Clip 1.0'!#REF!,IF(AND($B$3="Clip",$B$2="Zone 2"),'GCN_Clip 1.0'!#REF!,IF(AND($B$3="Clip",$B$2="Zone 3"),'GCN_Clip 1.0'!#REF!,IF(AND($B$3="Clip",$B$2="Zone 4"),'GCN_Clip 1.0'!#REF!,IF(AND($B$3="Clip",$B$2="Zone 5"),'GCN_Clip 1.0'!#REF!,IF(AND($B$3="Post",$B$2="Zone 1"),'GCN_Post 1.0'!W303,IF(AND($B$3="Post",$B$2="Zone 2"),'GCN_Post 1.0'!X303,IF(AND($B$3="Post",$B$2="Zone 3"),'GCN_Post 1.0'!Y303,IF(AND($B$3="Post",$B$2="Zone 4"),'GCN_Post 1.0'!Z303,IF(AND($B$3="Post",$B$2="Zone 5"),'GCN_Post 1.0'!AA303,"ERROR")))))))))))))))))))</f>
        <v/>
      </c>
    </row>
    <row r="190" spans="6:44" x14ac:dyDescent="0.25">
      <c r="F190">
        <v>17</v>
      </c>
      <c r="G190" s="27" t="str">
        <f t="shared" si="16"/>
        <v/>
      </c>
      <c r="H190" t="str">
        <f t="shared" si="17"/>
        <v/>
      </c>
      <c r="I190" t="str">
        <f t="shared" si="18"/>
        <v/>
      </c>
      <c r="J190" s="28" t="str">
        <f t="shared" si="19"/>
        <v/>
      </c>
      <c r="M190">
        <v>17</v>
      </c>
      <c r="N190" s="27" t="str">
        <f t="shared" si="20"/>
        <v/>
      </c>
      <c r="O190" t="str">
        <f t="shared" si="21"/>
        <v/>
      </c>
      <c r="P190" t="str">
        <f t="shared" si="22"/>
        <v/>
      </c>
      <c r="Q190" t="str">
        <f t="shared" si="23"/>
        <v/>
      </c>
      <c r="R190" t="str">
        <f t="shared" si="24"/>
        <v/>
      </c>
      <c r="S190" t="str">
        <f t="shared" si="25"/>
        <v/>
      </c>
      <c r="T190" s="82" t="str">
        <f>IF(AND($B$3="Cantilever",$B$2="Zone 1"),'GCM_Cantilever 1.0'!$F381,IF(AND($B$3="Cantilever",$B$2="Zone 2"),'GCM_Cantilever 1.0'!J381,IF(AND($B$3="HalfTracker",$B$2="Zone 1"),'GCM_Halftracker 1.0'!E396,IF(AND($B$3="HalfTracker",$B$2="Zone 2"),'GCM_Halftracker 1.0'!I396,IF(AND($B$3="Purlin",$B$2="Zone 1"),'GCM_Purlin 1.0'!E451,IF(AND($B$3="Purlin",$B$2="Zone 2"),'GCM_Purlin 1.0'!M451,IF(AND($B$3="Purlin",$B$2="Zone 3"),'GCM_Purlin 1.0'!X451,IF(AND($B$3="Purlin",$B$2="Zone 4"),'GCM_Purlin 1.0'!AF451,IF(AND($B$3="Purlin",$B$2="Zone 5"),'GCM_Purlin 1.0'!AQ451,IF(AND($B$3="Clip",$B$2="Zone 1"),'GCN_Clip 1.0'!G20,IF(AND($B$3="Clip",$B$2="Zone 2"),'GCN_Clip 1.0'!C21,IF(AND($B$3="Clip",$B$2="Zone 3"),'GCN_Clip 1.0'!G22,IF(AND($B$3="Clip",$B$2="Zone 4"),'GCN_Clip 1.0'!G23,IF(AND($B$3="Clip",$B$2="Zone 5"),'GCN_Clip 1.0'!G24,IF(AND($B$3="Post",$B$2="Zone 1"),'GCN_Post 1.0'!E304,IF(AND($B$3="Post",$B$2="Zone 2"),'GCN_Post 1.0'!F304,IF(AND($B$3="Post",$B$2="Zone 3"),'GCN_Post 1.0'!G304,IF(AND($B$3="Post",$B$2="Zone 4"),'GCN_Post 1.0'!H304,IF(AND($B$3="Post",$B$2="Zone 5"),'GCN_Post 1.0'!I304,"ERROR")))))))))))))))))))</f>
        <v/>
      </c>
      <c r="V190" s="27" t="str">
        <f t="shared" si="26"/>
        <v/>
      </c>
      <c r="W190" t="str">
        <f t="shared" si="27"/>
        <v/>
      </c>
      <c r="X190" t="str">
        <f t="shared" si="28"/>
        <v/>
      </c>
      <c r="Y190" t="str">
        <f t="shared" si="29"/>
        <v/>
      </c>
      <c r="Z190" t="str">
        <f t="shared" si="30"/>
        <v/>
      </c>
      <c r="AA190" t="str">
        <f t="shared" si="31"/>
        <v/>
      </c>
      <c r="AB190" s="82" t="str">
        <f>IF(AND($B$3="Cantilever",$B$2="Zone 1"),'GCM_Cantilever 1.0'!$G381,IF(AND($B$3="Cantilever",$B$2="Zone 2"),'GCM_Cantilever 1.0'!K381,IF(AND($B$3="HalfTracker",$B$2="Zone 1"),'GCM_Halftracker 1.0'!F396,IF(AND($B$3="HalfTracker",$B$2="Zone 2"),'GCM_Halftracker 1.0'!J396,IF(AND($B$3="Purlin",$B$2="Zone 1"),'GCM_Purlin 1.0'!F451,IF(AND($B$3="Purlin",$B$2="Zone 2"),'GCM_Purlin 1.0'!N451,IF(AND($B$3="Purlin",$B$2="Zone 3"),'GCM_Purlin 1.0'!Y451,IF(AND($B$3="Purlin",$B$2="Zone 4"),'GCM_Purlin 1.0'!AG451,IF(AND($B$3="Purlin",$B$2="Zone 5"),'GCM_Purlin 1.0'!AR451,IF(AND($B$3="Clip",$B$2="Zone 1"),'GCN_Clip 1.0'!H20,IF(AND($B$3="Clip",$B$2="Zone 2"),'GCN_Clip 1.0'!H21,IF(AND($B$3="Clip",$B$2="Zone 3"),'GCN_Clip 1.0'!H22,IF(AND($B$3="Clip",$B$2="Zone 4"),'GCN_Clip 1.0'!H23,IF(AND($B$3="Clip",$B$2="Zone 5"),'GCN_Clip 1.0'!H24,IF(AND($B$3="Post",$B$2="Zone 1"),'GCN_Post 1.0'!J304,IF(AND($B$3="Post",$B$2="Zone 2"),'GCN_Post 1.0'!K304,IF(AND($B$3="Post",$B$2="Zone 3"),'GCN_Post 1.0'!N304,IF(AND($B$3="Post",$B$2="Zone 4"),'GCN_Post 1.0'!O304,IF(AND($B$3="Post",$B$2="Zone 5"),'GCN_Post 1.0'!P304,"ERROR")))))))))))))))))))</f>
        <v/>
      </c>
      <c r="AD190" s="27" t="str">
        <f t="shared" si="32"/>
        <v/>
      </c>
      <c r="AE190" t="str">
        <f t="shared" si="33"/>
        <v/>
      </c>
      <c r="AF190" t="str">
        <f t="shared" si="34"/>
        <v/>
      </c>
      <c r="AG190" t="str">
        <f t="shared" si="35"/>
        <v/>
      </c>
      <c r="AH190" t="str">
        <f t="shared" si="36"/>
        <v/>
      </c>
      <c r="AI190" t="str">
        <f t="shared" si="37"/>
        <v/>
      </c>
      <c r="AJ190" s="82" t="str">
        <f>IF(AND($B$3="Cantilever",$B$2="Zone 1"),'GCM_Cantilever 1.0'!$H381,IF(AND($B$3="Cantilever",$B$2="Zone 2"),'GCM_Cantilever 1.0'!L381,IF(AND($B$3="HalfTracker",$B$2="Zone 1"),'GCM_Halftracker 1.0'!G396,IF(AND($B$3="HalfTracker",$B$2="Zone 2"),'GCM_Halftracker 1.0'!K396,IF(AND($B$3="Purlin",$B$2="Zone 1"),'GCM_Purlin 1.0'!G451,IF(AND($B$3="Purlin",$B$2="Zone 2"),'GCM_Purlin 1.0'!O451,IF(AND($B$3="Purlin",$B$2="Zone 3"),'GCM_Purlin 1.0'!Z451,IF(AND($B$3="Purlin",$B$2="Zone 4"),'GCM_Purlin 1.0'!AH451,IF(AND($B$3="Purlin",$B$2="Zone 5"),'GCM_Purlin 1.0'!AS451,IF(AND($B$3="Clip",$B$2="Zone 1"),'GCN_Clip 1.0'!#REF!,IF(AND($B$3="Clip",$B$2="Zone 2"),'GCN_Clip 1.0'!#REF!,IF(AND($B$3="Clip",$B$2="Zone 3"),'GCN_Clip 1.0'!#REF!,IF(AND($B$3="Clip",$B$2="Zone 4"),'GCN_Clip 1.0'!#REF!,IF(AND($B$3="Clip",$B$2="Zone 5"),'GCN_Clip 1.0'!#REF!,IF(AND($B$3="Post",$B$2="Zone 1"),'GCN_Post 1.0'!Q304,IF(AND($B$3="Post",$B$2="Zone 2"),'GCN_Post 1.0'!R304,IF(AND($B$3="Post",$B$2="Zone 3"),'GCN_Post 1.0'!S304,IF(AND($B$3="Post",$B$2="Zone 4"),'GCN_Post 1.0'!T304,IF(AND($B$3="Post",$B$2="Zone 5"),'GCN_Post 1.0'!V304,"ERROR")))))))))))))))))))</f>
        <v/>
      </c>
      <c r="AL190" s="27" t="str">
        <f t="shared" si="38"/>
        <v/>
      </c>
      <c r="AM190" t="str">
        <f t="shared" si="39"/>
        <v/>
      </c>
      <c r="AN190" t="str">
        <f t="shared" si="40"/>
        <v/>
      </c>
      <c r="AO190" t="str">
        <f t="shared" si="41"/>
        <v/>
      </c>
      <c r="AP190" t="str">
        <f t="shared" si="42"/>
        <v/>
      </c>
      <c r="AQ190" t="str">
        <f t="shared" si="43"/>
        <v/>
      </c>
      <c r="AR190" s="82" t="str">
        <f>IF(AND($B$3="Cantilever",$B$2="Zone 1"),'GCM_Cantilever 1.0'!$I381,IF(AND($B$3="Cantilever",$B$2="Zone 2"),'GCM_Cantilever 1.0'!M381,IF(AND($B$3="HalfTracker",$B$2="Zone 1"),'GCM_Halftracker 1.0'!H396,IF(AND($B$3="HalfTracker",$B$2="Zone 2"),'GCM_Halftracker 1.0'!L396,IF(AND($B$3="Purlin",$B$2="Zone 1"),'GCM_Purlin 1.0'!H451,IF(AND($B$3="Purlin",$B$2="Zone 2"),'GCM_Purlin 1.0'!P451,IF(AND($B$3="Purlin",$B$2="Zone 3"),'GCM_Purlin 1.0'!AA451,IF(AND($B$3="Purlin",$B$2="Zone 4"),'GCM_Purlin 1.0'!AI451,IF(AND($B$3="Purlin",$B$2="Zone 5"),'GCM_Purlin 1.0'!AT451,IF(AND($B$3="Clip",$B$2="Zone 1"),'GCN_Clip 1.0'!#REF!,IF(AND($B$3="Clip",$B$2="Zone 2"),'GCN_Clip 1.0'!#REF!,IF(AND($B$3="Clip",$B$2="Zone 3"),'GCN_Clip 1.0'!#REF!,IF(AND($B$3="Clip",$B$2="Zone 4"),'GCN_Clip 1.0'!#REF!,IF(AND($B$3="Clip",$B$2="Zone 5"),'GCN_Clip 1.0'!#REF!,IF(AND($B$3="Post",$B$2="Zone 1"),'GCN_Post 1.0'!W304,IF(AND($B$3="Post",$B$2="Zone 2"),'GCN_Post 1.0'!X304,IF(AND($B$3="Post",$B$2="Zone 3"),'GCN_Post 1.0'!Y304,IF(AND($B$3="Post",$B$2="Zone 4"),'GCN_Post 1.0'!Z304,IF(AND($B$3="Post",$B$2="Zone 5"),'GCN_Post 1.0'!AA304,"ERROR")))))))))))))))))))</f>
        <v/>
      </c>
    </row>
    <row r="191" spans="6:44" x14ac:dyDescent="0.25">
      <c r="F191">
        <v>18</v>
      </c>
      <c r="G191" s="27" t="str">
        <f t="shared" si="16"/>
        <v/>
      </c>
      <c r="H191" t="str">
        <f t="shared" si="17"/>
        <v/>
      </c>
      <c r="I191" t="str">
        <f t="shared" si="18"/>
        <v/>
      </c>
      <c r="J191" s="28" t="str">
        <f t="shared" si="19"/>
        <v/>
      </c>
      <c r="M191">
        <v>18</v>
      </c>
      <c r="N191" s="27" t="str">
        <f t="shared" si="20"/>
        <v/>
      </c>
      <c r="O191" t="str">
        <f t="shared" si="21"/>
        <v/>
      </c>
      <c r="P191" t="str">
        <f t="shared" si="22"/>
        <v/>
      </c>
      <c r="Q191" t="str">
        <f t="shared" si="23"/>
        <v/>
      </c>
      <c r="R191" t="str">
        <f t="shared" si="24"/>
        <v/>
      </c>
      <c r="S191" t="str">
        <f t="shared" si="25"/>
        <v/>
      </c>
      <c r="T191" s="82" t="str">
        <f>IF(AND($B$3="Cantilever",$B$2="Zone 1"),'GCM_Cantilever 1.0'!$F382,IF(AND($B$3="Cantilever",$B$2="Zone 2"),'GCM_Cantilever 1.0'!J382,IF(AND($B$3="HalfTracker",$B$2="Zone 1"),'GCM_Halftracker 1.0'!E397,IF(AND($B$3="HalfTracker",$B$2="Zone 2"),'GCM_Halftracker 1.0'!I397,IF(AND($B$3="Purlin",$B$2="Zone 1"),'GCM_Purlin 1.0'!E452,IF(AND($B$3="Purlin",$B$2="Zone 2"),'GCM_Purlin 1.0'!M452,IF(AND($B$3="Purlin",$B$2="Zone 3"),'GCM_Purlin 1.0'!X452,IF(AND($B$3="Purlin",$B$2="Zone 4"),'GCM_Purlin 1.0'!AF452,IF(AND($B$3="Purlin",$B$2="Zone 5"),'GCM_Purlin 1.0'!AQ452,IF(AND($B$3="Clip",$B$2="Zone 1"),'GCN_Clip 1.0'!G21,IF(AND($B$3="Clip",$B$2="Zone 2"),'GCN_Clip 1.0'!C22,IF(AND($B$3="Clip",$B$2="Zone 3"),'GCN_Clip 1.0'!G23,IF(AND($B$3="Clip",$B$2="Zone 4"),'GCN_Clip 1.0'!G24,IF(AND($B$3="Clip",$B$2="Zone 5"),'GCN_Clip 1.0'!G25,IF(AND($B$3="Post",$B$2="Zone 1"),'GCN_Post 1.0'!E305,IF(AND($B$3="Post",$B$2="Zone 2"),'GCN_Post 1.0'!F305,IF(AND($B$3="Post",$B$2="Zone 3"),'GCN_Post 1.0'!G305,IF(AND($B$3="Post",$B$2="Zone 4"),'GCN_Post 1.0'!H305,IF(AND($B$3="Post",$B$2="Zone 5"),'GCN_Post 1.0'!I305,"ERROR")))))))))))))))))))</f>
        <v/>
      </c>
      <c r="V191" s="27" t="str">
        <f t="shared" si="26"/>
        <v/>
      </c>
      <c r="W191" t="str">
        <f t="shared" si="27"/>
        <v/>
      </c>
      <c r="X191" t="str">
        <f t="shared" si="28"/>
        <v/>
      </c>
      <c r="Y191" t="str">
        <f t="shared" si="29"/>
        <v/>
      </c>
      <c r="Z191" t="str">
        <f t="shared" si="30"/>
        <v/>
      </c>
      <c r="AA191" t="str">
        <f t="shared" si="31"/>
        <v/>
      </c>
      <c r="AB191" s="82" t="str">
        <f>IF(AND($B$3="Cantilever",$B$2="Zone 1"),'GCM_Cantilever 1.0'!$G382,IF(AND($B$3="Cantilever",$B$2="Zone 2"),'GCM_Cantilever 1.0'!K382,IF(AND($B$3="HalfTracker",$B$2="Zone 1"),'GCM_Halftracker 1.0'!F397,IF(AND($B$3="HalfTracker",$B$2="Zone 2"),'GCM_Halftracker 1.0'!J397,IF(AND($B$3="Purlin",$B$2="Zone 1"),'GCM_Purlin 1.0'!F452,IF(AND($B$3="Purlin",$B$2="Zone 2"),'GCM_Purlin 1.0'!N452,IF(AND($B$3="Purlin",$B$2="Zone 3"),'GCM_Purlin 1.0'!Y452,IF(AND($B$3="Purlin",$B$2="Zone 4"),'GCM_Purlin 1.0'!AG452,IF(AND($B$3="Purlin",$B$2="Zone 5"),'GCM_Purlin 1.0'!AR452,IF(AND($B$3="Clip",$B$2="Zone 1"),'GCN_Clip 1.0'!H21,IF(AND($B$3="Clip",$B$2="Zone 2"),'GCN_Clip 1.0'!H22,IF(AND($B$3="Clip",$B$2="Zone 3"),'GCN_Clip 1.0'!H23,IF(AND($B$3="Clip",$B$2="Zone 4"),'GCN_Clip 1.0'!H24,IF(AND($B$3="Clip",$B$2="Zone 5"),'GCN_Clip 1.0'!H25,IF(AND($B$3="Post",$B$2="Zone 1"),'GCN_Post 1.0'!J305,IF(AND($B$3="Post",$B$2="Zone 2"),'GCN_Post 1.0'!K305,IF(AND($B$3="Post",$B$2="Zone 3"),'GCN_Post 1.0'!N305,IF(AND($B$3="Post",$B$2="Zone 4"),'GCN_Post 1.0'!O305,IF(AND($B$3="Post",$B$2="Zone 5"),'GCN_Post 1.0'!P305,"ERROR")))))))))))))))))))</f>
        <v/>
      </c>
      <c r="AD191" s="27" t="str">
        <f t="shared" si="32"/>
        <v/>
      </c>
      <c r="AE191" t="str">
        <f t="shared" si="33"/>
        <v/>
      </c>
      <c r="AF191" t="str">
        <f t="shared" si="34"/>
        <v/>
      </c>
      <c r="AG191" t="str">
        <f t="shared" si="35"/>
        <v/>
      </c>
      <c r="AH191" t="str">
        <f t="shared" si="36"/>
        <v/>
      </c>
      <c r="AI191" t="str">
        <f t="shared" si="37"/>
        <v/>
      </c>
      <c r="AJ191" s="82" t="str">
        <f>IF(AND($B$3="Cantilever",$B$2="Zone 1"),'GCM_Cantilever 1.0'!$H382,IF(AND($B$3="Cantilever",$B$2="Zone 2"),'GCM_Cantilever 1.0'!L382,IF(AND($B$3="HalfTracker",$B$2="Zone 1"),'GCM_Halftracker 1.0'!G397,IF(AND($B$3="HalfTracker",$B$2="Zone 2"),'GCM_Halftracker 1.0'!K397,IF(AND($B$3="Purlin",$B$2="Zone 1"),'GCM_Purlin 1.0'!G452,IF(AND($B$3="Purlin",$B$2="Zone 2"),'GCM_Purlin 1.0'!O452,IF(AND($B$3="Purlin",$B$2="Zone 3"),'GCM_Purlin 1.0'!Z452,IF(AND($B$3="Purlin",$B$2="Zone 4"),'GCM_Purlin 1.0'!AH452,IF(AND($B$3="Purlin",$B$2="Zone 5"),'GCM_Purlin 1.0'!AS452,IF(AND($B$3="Clip",$B$2="Zone 1"),'GCN_Clip 1.0'!#REF!,IF(AND($B$3="Clip",$B$2="Zone 2"),'GCN_Clip 1.0'!#REF!,IF(AND($B$3="Clip",$B$2="Zone 3"),'GCN_Clip 1.0'!#REF!,IF(AND($B$3="Clip",$B$2="Zone 4"),'GCN_Clip 1.0'!#REF!,IF(AND($B$3="Clip",$B$2="Zone 5"),'GCN_Clip 1.0'!#REF!,IF(AND($B$3="Post",$B$2="Zone 1"),'GCN_Post 1.0'!Q305,IF(AND($B$3="Post",$B$2="Zone 2"),'GCN_Post 1.0'!R305,IF(AND($B$3="Post",$B$2="Zone 3"),'GCN_Post 1.0'!S305,IF(AND($B$3="Post",$B$2="Zone 4"),'GCN_Post 1.0'!T305,IF(AND($B$3="Post",$B$2="Zone 5"),'GCN_Post 1.0'!V305,"ERROR")))))))))))))))))))</f>
        <v/>
      </c>
      <c r="AL191" s="27" t="str">
        <f t="shared" si="38"/>
        <v/>
      </c>
      <c r="AM191" t="str">
        <f t="shared" si="39"/>
        <v/>
      </c>
      <c r="AN191" t="str">
        <f t="shared" si="40"/>
        <v/>
      </c>
      <c r="AO191" t="str">
        <f t="shared" si="41"/>
        <v/>
      </c>
      <c r="AP191" t="str">
        <f t="shared" si="42"/>
        <v/>
      </c>
      <c r="AQ191" t="str">
        <f t="shared" si="43"/>
        <v/>
      </c>
      <c r="AR191" s="82" t="str">
        <f>IF(AND($B$3="Cantilever",$B$2="Zone 1"),'GCM_Cantilever 1.0'!$I382,IF(AND($B$3="Cantilever",$B$2="Zone 2"),'GCM_Cantilever 1.0'!M382,IF(AND($B$3="HalfTracker",$B$2="Zone 1"),'GCM_Halftracker 1.0'!H397,IF(AND($B$3="HalfTracker",$B$2="Zone 2"),'GCM_Halftracker 1.0'!L397,IF(AND($B$3="Purlin",$B$2="Zone 1"),'GCM_Purlin 1.0'!H452,IF(AND($B$3="Purlin",$B$2="Zone 2"),'GCM_Purlin 1.0'!P452,IF(AND($B$3="Purlin",$B$2="Zone 3"),'GCM_Purlin 1.0'!AA452,IF(AND($B$3="Purlin",$B$2="Zone 4"),'GCM_Purlin 1.0'!AI452,IF(AND($B$3="Purlin",$B$2="Zone 5"),'GCM_Purlin 1.0'!AT452,IF(AND($B$3="Clip",$B$2="Zone 1"),'GCN_Clip 1.0'!#REF!,IF(AND($B$3="Clip",$B$2="Zone 2"),'GCN_Clip 1.0'!#REF!,IF(AND($B$3="Clip",$B$2="Zone 3"),'GCN_Clip 1.0'!#REF!,IF(AND($B$3="Clip",$B$2="Zone 4"),'GCN_Clip 1.0'!#REF!,IF(AND($B$3="Clip",$B$2="Zone 5"),'GCN_Clip 1.0'!#REF!,IF(AND($B$3="Post",$B$2="Zone 1"),'GCN_Post 1.0'!W305,IF(AND($B$3="Post",$B$2="Zone 2"),'GCN_Post 1.0'!X305,IF(AND($B$3="Post",$B$2="Zone 3"),'GCN_Post 1.0'!Y305,IF(AND($B$3="Post",$B$2="Zone 4"),'GCN_Post 1.0'!Z305,IF(AND($B$3="Post",$B$2="Zone 5"),'GCN_Post 1.0'!AA305,"ERROR")))))))))))))))))))</f>
        <v/>
      </c>
    </row>
    <row r="192" spans="6:44" x14ac:dyDescent="0.25">
      <c r="F192">
        <v>19</v>
      </c>
      <c r="G192" s="27" t="str">
        <f t="shared" si="16"/>
        <v/>
      </c>
      <c r="H192" t="str">
        <f t="shared" si="17"/>
        <v/>
      </c>
      <c r="I192" t="str">
        <f t="shared" si="18"/>
        <v/>
      </c>
      <c r="J192" s="28" t="str">
        <f t="shared" si="19"/>
        <v/>
      </c>
      <c r="M192">
        <v>19</v>
      </c>
      <c r="N192" s="27" t="str">
        <f t="shared" si="20"/>
        <v/>
      </c>
      <c r="O192" t="str">
        <f t="shared" si="21"/>
        <v/>
      </c>
      <c r="P192" t="str">
        <f t="shared" si="22"/>
        <v/>
      </c>
      <c r="Q192" t="str">
        <f t="shared" si="23"/>
        <v/>
      </c>
      <c r="R192" t="str">
        <f t="shared" si="24"/>
        <v/>
      </c>
      <c r="S192" t="str">
        <f t="shared" si="25"/>
        <v/>
      </c>
      <c r="T192" s="82" t="str">
        <f>IF(AND($B$3="Cantilever",$B$2="Zone 1"),'GCM_Cantilever 1.0'!$F383,IF(AND($B$3="Cantilever",$B$2="Zone 2"),'GCM_Cantilever 1.0'!J383,IF(AND($B$3="HalfTracker",$B$2="Zone 1"),'GCM_Halftracker 1.0'!E398,IF(AND($B$3="HalfTracker",$B$2="Zone 2"),'GCM_Halftracker 1.0'!I398,IF(AND($B$3="Purlin",$B$2="Zone 1"),'GCM_Purlin 1.0'!E453,IF(AND($B$3="Purlin",$B$2="Zone 2"),'GCM_Purlin 1.0'!M453,IF(AND($B$3="Purlin",$B$2="Zone 3"),'GCM_Purlin 1.0'!X453,IF(AND($B$3="Purlin",$B$2="Zone 4"),'GCM_Purlin 1.0'!AF453,IF(AND($B$3="Purlin",$B$2="Zone 5"),'GCM_Purlin 1.0'!AQ453,IF(AND($B$3="Clip",$B$2="Zone 1"),'GCN_Clip 1.0'!G22,IF(AND($B$3="Clip",$B$2="Zone 2"),'GCN_Clip 1.0'!C23,IF(AND($B$3="Clip",$B$2="Zone 3"),'GCN_Clip 1.0'!G24,IF(AND($B$3="Clip",$B$2="Zone 4"),'GCN_Clip 1.0'!G25,IF(AND($B$3="Clip",$B$2="Zone 5"),'GCN_Clip 1.0'!G26,IF(AND($B$3="Post",$B$2="Zone 1"),'GCN_Post 1.0'!E306,IF(AND($B$3="Post",$B$2="Zone 2"),'GCN_Post 1.0'!F306,IF(AND($B$3="Post",$B$2="Zone 3"),'GCN_Post 1.0'!G306,IF(AND($B$3="Post",$B$2="Zone 4"),'GCN_Post 1.0'!H306,IF(AND($B$3="Post",$B$2="Zone 5"),'GCN_Post 1.0'!I306,"ERROR")))))))))))))))))))</f>
        <v/>
      </c>
      <c r="V192" s="27" t="str">
        <f t="shared" si="26"/>
        <v/>
      </c>
      <c r="W192" t="str">
        <f t="shared" si="27"/>
        <v/>
      </c>
      <c r="X192" t="str">
        <f t="shared" si="28"/>
        <v/>
      </c>
      <c r="Y192" t="str">
        <f t="shared" si="29"/>
        <v/>
      </c>
      <c r="Z192" t="str">
        <f t="shared" si="30"/>
        <v/>
      </c>
      <c r="AA192" t="str">
        <f t="shared" si="31"/>
        <v/>
      </c>
      <c r="AB192" s="82" t="str">
        <f>IF(AND($B$3="Cantilever",$B$2="Zone 1"),'GCM_Cantilever 1.0'!$G383,IF(AND($B$3="Cantilever",$B$2="Zone 2"),'GCM_Cantilever 1.0'!K383,IF(AND($B$3="HalfTracker",$B$2="Zone 1"),'GCM_Halftracker 1.0'!F398,IF(AND($B$3="HalfTracker",$B$2="Zone 2"),'GCM_Halftracker 1.0'!J398,IF(AND($B$3="Purlin",$B$2="Zone 1"),'GCM_Purlin 1.0'!F453,IF(AND($B$3="Purlin",$B$2="Zone 2"),'GCM_Purlin 1.0'!N453,IF(AND($B$3="Purlin",$B$2="Zone 3"),'GCM_Purlin 1.0'!Y453,IF(AND($B$3="Purlin",$B$2="Zone 4"),'GCM_Purlin 1.0'!AG453,IF(AND($B$3="Purlin",$B$2="Zone 5"),'GCM_Purlin 1.0'!AR453,IF(AND($B$3="Clip",$B$2="Zone 1"),'GCN_Clip 1.0'!H22,IF(AND($B$3="Clip",$B$2="Zone 2"),'GCN_Clip 1.0'!H23,IF(AND($B$3="Clip",$B$2="Zone 3"),'GCN_Clip 1.0'!H24,IF(AND($B$3="Clip",$B$2="Zone 4"),'GCN_Clip 1.0'!H25,IF(AND($B$3="Clip",$B$2="Zone 5"),'GCN_Clip 1.0'!H26,IF(AND($B$3="Post",$B$2="Zone 1"),'GCN_Post 1.0'!J306,IF(AND($B$3="Post",$B$2="Zone 2"),'GCN_Post 1.0'!K306,IF(AND($B$3="Post",$B$2="Zone 3"),'GCN_Post 1.0'!N306,IF(AND($B$3="Post",$B$2="Zone 4"),'GCN_Post 1.0'!O306,IF(AND($B$3="Post",$B$2="Zone 5"),'GCN_Post 1.0'!P306,"ERROR")))))))))))))))))))</f>
        <v/>
      </c>
      <c r="AD192" s="27" t="str">
        <f t="shared" si="32"/>
        <v/>
      </c>
      <c r="AE192" t="str">
        <f t="shared" si="33"/>
        <v/>
      </c>
      <c r="AF192" t="str">
        <f t="shared" si="34"/>
        <v/>
      </c>
      <c r="AG192" t="str">
        <f t="shared" si="35"/>
        <v/>
      </c>
      <c r="AH192" t="str">
        <f t="shared" si="36"/>
        <v/>
      </c>
      <c r="AI192" t="str">
        <f t="shared" si="37"/>
        <v/>
      </c>
      <c r="AJ192" s="82" t="str">
        <f>IF(AND($B$3="Cantilever",$B$2="Zone 1"),'GCM_Cantilever 1.0'!$H383,IF(AND($B$3="Cantilever",$B$2="Zone 2"),'GCM_Cantilever 1.0'!L383,IF(AND($B$3="HalfTracker",$B$2="Zone 1"),'GCM_Halftracker 1.0'!G398,IF(AND($B$3="HalfTracker",$B$2="Zone 2"),'GCM_Halftracker 1.0'!K398,IF(AND($B$3="Purlin",$B$2="Zone 1"),'GCM_Purlin 1.0'!G453,IF(AND($B$3="Purlin",$B$2="Zone 2"),'GCM_Purlin 1.0'!O453,IF(AND($B$3="Purlin",$B$2="Zone 3"),'GCM_Purlin 1.0'!Z453,IF(AND($B$3="Purlin",$B$2="Zone 4"),'GCM_Purlin 1.0'!AH453,IF(AND($B$3="Purlin",$B$2="Zone 5"),'GCM_Purlin 1.0'!AS453,IF(AND($B$3="Clip",$B$2="Zone 1"),'GCN_Clip 1.0'!#REF!,IF(AND($B$3="Clip",$B$2="Zone 2"),'GCN_Clip 1.0'!#REF!,IF(AND($B$3="Clip",$B$2="Zone 3"),'GCN_Clip 1.0'!#REF!,IF(AND($B$3="Clip",$B$2="Zone 4"),'GCN_Clip 1.0'!#REF!,IF(AND($B$3="Clip",$B$2="Zone 5"),'GCN_Clip 1.0'!#REF!,IF(AND($B$3="Post",$B$2="Zone 1"),'GCN_Post 1.0'!Q306,IF(AND($B$3="Post",$B$2="Zone 2"),'GCN_Post 1.0'!R306,IF(AND($B$3="Post",$B$2="Zone 3"),'GCN_Post 1.0'!S306,IF(AND($B$3="Post",$B$2="Zone 4"),'GCN_Post 1.0'!T306,IF(AND($B$3="Post",$B$2="Zone 5"),'GCN_Post 1.0'!V306,"ERROR")))))))))))))))))))</f>
        <v/>
      </c>
      <c r="AL192" s="27" t="str">
        <f t="shared" si="38"/>
        <v/>
      </c>
      <c r="AM192" t="str">
        <f t="shared" si="39"/>
        <v/>
      </c>
      <c r="AN192" t="str">
        <f t="shared" si="40"/>
        <v/>
      </c>
      <c r="AO192" t="str">
        <f t="shared" si="41"/>
        <v/>
      </c>
      <c r="AP192" t="str">
        <f t="shared" si="42"/>
        <v/>
      </c>
      <c r="AQ192" t="str">
        <f t="shared" si="43"/>
        <v/>
      </c>
      <c r="AR192" s="82" t="str">
        <f>IF(AND($B$3="Cantilever",$B$2="Zone 1"),'GCM_Cantilever 1.0'!$I383,IF(AND($B$3="Cantilever",$B$2="Zone 2"),'GCM_Cantilever 1.0'!M383,IF(AND($B$3="HalfTracker",$B$2="Zone 1"),'GCM_Halftracker 1.0'!H398,IF(AND($B$3="HalfTracker",$B$2="Zone 2"),'GCM_Halftracker 1.0'!L398,IF(AND($B$3="Purlin",$B$2="Zone 1"),'GCM_Purlin 1.0'!H453,IF(AND($B$3="Purlin",$B$2="Zone 2"),'GCM_Purlin 1.0'!P453,IF(AND($B$3="Purlin",$B$2="Zone 3"),'GCM_Purlin 1.0'!AA453,IF(AND($B$3="Purlin",$B$2="Zone 4"),'GCM_Purlin 1.0'!AI453,IF(AND($B$3="Purlin",$B$2="Zone 5"),'GCM_Purlin 1.0'!AT453,IF(AND($B$3="Clip",$B$2="Zone 1"),'GCN_Clip 1.0'!#REF!,IF(AND($B$3="Clip",$B$2="Zone 2"),'GCN_Clip 1.0'!#REF!,IF(AND($B$3="Clip",$B$2="Zone 3"),'GCN_Clip 1.0'!#REF!,IF(AND($B$3="Clip",$B$2="Zone 4"),'GCN_Clip 1.0'!#REF!,IF(AND($B$3="Clip",$B$2="Zone 5"),'GCN_Clip 1.0'!#REF!,IF(AND($B$3="Post",$B$2="Zone 1"),'GCN_Post 1.0'!W306,IF(AND($B$3="Post",$B$2="Zone 2"),'GCN_Post 1.0'!X306,IF(AND($B$3="Post",$B$2="Zone 3"),'GCN_Post 1.0'!Y306,IF(AND($B$3="Post",$B$2="Zone 4"),'GCN_Post 1.0'!Z306,IF(AND($B$3="Post",$B$2="Zone 5"),'GCN_Post 1.0'!AA306,"ERROR")))))))))))))))))))</f>
        <v/>
      </c>
    </row>
    <row r="193" spans="6:44" x14ac:dyDescent="0.25">
      <c r="F193">
        <v>20</v>
      </c>
      <c r="G193" s="27" t="str">
        <f t="shared" si="16"/>
        <v/>
      </c>
      <c r="H193" t="str">
        <f t="shared" si="17"/>
        <v/>
      </c>
      <c r="I193" t="str">
        <f t="shared" si="18"/>
        <v/>
      </c>
      <c r="J193" s="28" t="str">
        <f t="shared" si="19"/>
        <v/>
      </c>
      <c r="M193">
        <v>20</v>
      </c>
      <c r="N193" s="27" t="str">
        <f t="shared" si="20"/>
        <v/>
      </c>
      <c r="O193" t="str">
        <f t="shared" si="21"/>
        <v/>
      </c>
      <c r="P193" t="str">
        <f t="shared" si="22"/>
        <v/>
      </c>
      <c r="Q193" t="str">
        <f t="shared" si="23"/>
        <v/>
      </c>
      <c r="R193" t="str">
        <f t="shared" si="24"/>
        <v/>
      </c>
      <c r="S193" t="str">
        <f t="shared" si="25"/>
        <v/>
      </c>
      <c r="T193" s="82" t="str">
        <f>IF(AND($B$3="Cantilever",$B$2="Zone 1"),'GCM_Cantilever 1.0'!$F384,IF(AND($B$3="Cantilever",$B$2="Zone 2"),'GCM_Cantilever 1.0'!J384,IF(AND($B$3="HalfTracker",$B$2="Zone 1"),'GCM_Halftracker 1.0'!E399,IF(AND($B$3="HalfTracker",$B$2="Zone 2"),'GCM_Halftracker 1.0'!I399,IF(AND($B$3="Purlin",$B$2="Zone 1"),'GCM_Purlin 1.0'!E454,IF(AND($B$3="Purlin",$B$2="Zone 2"),'GCM_Purlin 1.0'!M454,IF(AND($B$3="Purlin",$B$2="Zone 3"),'GCM_Purlin 1.0'!X454,IF(AND($B$3="Purlin",$B$2="Zone 4"),'GCM_Purlin 1.0'!AF454,IF(AND($B$3="Purlin",$B$2="Zone 5"),'GCM_Purlin 1.0'!AQ454,IF(AND($B$3="Clip",$B$2="Zone 1"),'GCN_Clip 1.0'!G23,IF(AND($B$3="Clip",$B$2="Zone 2"),'GCN_Clip 1.0'!C24,IF(AND($B$3="Clip",$B$2="Zone 3"),'GCN_Clip 1.0'!G25,IF(AND($B$3="Clip",$B$2="Zone 4"),'GCN_Clip 1.0'!G26,IF(AND($B$3="Clip",$B$2="Zone 5"),'GCN_Clip 1.0'!G27,IF(AND($B$3="Post",$B$2="Zone 1"),'GCN_Post 1.0'!E307,IF(AND($B$3="Post",$B$2="Zone 2"),'GCN_Post 1.0'!F307,IF(AND($B$3="Post",$B$2="Zone 3"),'GCN_Post 1.0'!G307,IF(AND($B$3="Post",$B$2="Zone 4"),'GCN_Post 1.0'!H307,IF(AND($B$3="Post",$B$2="Zone 5"),'GCN_Post 1.0'!I307,"ERROR")))))))))))))))))))</f>
        <v/>
      </c>
      <c r="V193" s="27" t="str">
        <f t="shared" si="26"/>
        <v/>
      </c>
      <c r="W193" t="str">
        <f t="shared" si="27"/>
        <v/>
      </c>
      <c r="X193" t="str">
        <f t="shared" si="28"/>
        <v/>
      </c>
      <c r="Y193" t="str">
        <f t="shared" si="29"/>
        <v/>
      </c>
      <c r="Z193" t="str">
        <f t="shared" si="30"/>
        <v/>
      </c>
      <c r="AA193" t="str">
        <f t="shared" si="31"/>
        <v/>
      </c>
      <c r="AB193" s="82" t="str">
        <f>IF(AND($B$3="Cantilever",$B$2="Zone 1"),'GCM_Cantilever 1.0'!$G384,IF(AND($B$3="Cantilever",$B$2="Zone 2"),'GCM_Cantilever 1.0'!K384,IF(AND($B$3="HalfTracker",$B$2="Zone 1"),'GCM_Halftracker 1.0'!F399,IF(AND($B$3="HalfTracker",$B$2="Zone 2"),'GCM_Halftracker 1.0'!J399,IF(AND($B$3="Purlin",$B$2="Zone 1"),'GCM_Purlin 1.0'!F454,IF(AND($B$3="Purlin",$B$2="Zone 2"),'GCM_Purlin 1.0'!N454,IF(AND($B$3="Purlin",$B$2="Zone 3"),'GCM_Purlin 1.0'!Y454,IF(AND($B$3="Purlin",$B$2="Zone 4"),'GCM_Purlin 1.0'!AG454,IF(AND($B$3="Purlin",$B$2="Zone 5"),'GCM_Purlin 1.0'!AR454,IF(AND($B$3="Clip",$B$2="Zone 1"),'GCN_Clip 1.0'!H23,IF(AND($B$3="Clip",$B$2="Zone 2"),'GCN_Clip 1.0'!H24,IF(AND($B$3="Clip",$B$2="Zone 3"),'GCN_Clip 1.0'!H25,IF(AND($B$3="Clip",$B$2="Zone 4"),'GCN_Clip 1.0'!H26,IF(AND($B$3="Clip",$B$2="Zone 5"),'GCN_Clip 1.0'!H27,IF(AND($B$3="Post",$B$2="Zone 1"),'GCN_Post 1.0'!J307,IF(AND($B$3="Post",$B$2="Zone 2"),'GCN_Post 1.0'!K307,IF(AND($B$3="Post",$B$2="Zone 3"),'GCN_Post 1.0'!N307,IF(AND($B$3="Post",$B$2="Zone 4"),'GCN_Post 1.0'!O307,IF(AND($B$3="Post",$B$2="Zone 5"),'GCN_Post 1.0'!P307,"ERROR")))))))))))))))))))</f>
        <v/>
      </c>
      <c r="AD193" s="27" t="str">
        <f t="shared" si="32"/>
        <v/>
      </c>
      <c r="AE193" t="str">
        <f t="shared" si="33"/>
        <v/>
      </c>
      <c r="AF193" t="str">
        <f t="shared" si="34"/>
        <v/>
      </c>
      <c r="AG193" t="str">
        <f t="shared" si="35"/>
        <v/>
      </c>
      <c r="AH193" t="str">
        <f t="shared" si="36"/>
        <v/>
      </c>
      <c r="AI193" t="str">
        <f t="shared" si="37"/>
        <v/>
      </c>
      <c r="AJ193" s="82" t="str">
        <f>IF(AND($B$3="Cantilever",$B$2="Zone 1"),'GCM_Cantilever 1.0'!$H384,IF(AND($B$3="Cantilever",$B$2="Zone 2"),'GCM_Cantilever 1.0'!L384,IF(AND($B$3="HalfTracker",$B$2="Zone 1"),'GCM_Halftracker 1.0'!G399,IF(AND($B$3="HalfTracker",$B$2="Zone 2"),'GCM_Halftracker 1.0'!K399,IF(AND($B$3="Purlin",$B$2="Zone 1"),'GCM_Purlin 1.0'!G454,IF(AND($B$3="Purlin",$B$2="Zone 2"),'GCM_Purlin 1.0'!O454,IF(AND($B$3="Purlin",$B$2="Zone 3"),'GCM_Purlin 1.0'!Z454,IF(AND($B$3="Purlin",$B$2="Zone 4"),'GCM_Purlin 1.0'!AH454,IF(AND($B$3="Purlin",$B$2="Zone 5"),'GCM_Purlin 1.0'!AS454,IF(AND($B$3="Clip",$B$2="Zone 1"),'GCN_Clip 1.0'!#REF!,IF(AND($B$3="Clip",$B$2="Zone 2"),'GCN_Clip 1.0'!#REF!,IF(AND($B$3="Clip",$B$2="Zone 3"),'GCN_Clip 1.0'!#REF!,IF(AND($B$3="Clip",$B$2="Zone 4"),'GCN_Clip 1.0'!#REF!,IF(AND($B$3="Clip",$B$2="Zone 5"),'GCN_Clip 1.0'!#REF!,IF(AND($B$3="Post",$B$2="Zone 1"),'GCN_Post 1.0'!Q307,IF(AND($B$3="Post",$B$2="Zone 2"),'GCN_Post 1.0'!R307,IF(AND($B$3="Post",$B$2="Zone 3"),'GCN_Post 1.0'!S307,IF(AND($B$3="Post",$B$2="Zone 4"),'GCN_Post 1.0'!T307,IF(AND($B$3="Post",$B$2="Zone 5"),'GCN_Post 1.0'!V307,"ERROR")))))))))))))))))))</f>
        <v/>
      </c>
      <c r="AL193" s="27" t="str">
        <f t="shared" si="38"/>
        <v/>
      </c>
      <c r="AM193" t="str">
        <f t="shared" si="39"/>
        <v/>
      </c>
      <c r="AN193" t="str">
        <f t="shared" si="40"/>
        <v/>
      </c>
      <c r="AO193" t="str">
        <f t="shared" si="41"/>
        <v/>
      </c>
      <c r="AP193" t="str">
        <f t="shared" si="42"/>
        <v/>
      </c>
      <c r="AQ193" t="str">
        <f t="shared" si="43"/>
        <v/>
      </c>
      <c r="AR193" s="82" t="str">
        <f>IF(AND($B$3="Cantilever",$B$2="Zone 1"),'GCM_Cantilever 1.0'!$I384,IF(AND($B$3="Cantilever",$B$2="Zone 2"),'GCM_Cantilever 1.0'!M384,IF(AND($B$3="HalfTracker",$B$2="Zone 1"),'GCM_Halftracker 1.0'!H399,IF(AND($B$3="HalfTracker",$B$2="Zone 2"),'GCM_Halftracker 1.0'!L399,IF(AND($B$3="Purlin",$B$2="Zone 1"),'GCM_Purlin 1.0'!H454,IF(AND($B$3="Purlin",$B$2="Zone 2"),'GCM_Purlin 1.0'!P454,IF(AND($B$3="Purlin",$B$2="Zone 3"),'GCM_Purlin 1.0'!AA454,IF(AND($B$3="Purlin",$B$2="Zone 4"),'GCM_Purlin 1.0'!AI454,IF(AND($B$3="Purlin",$B$2="Zone 5"),'GCM_Purlin 1.0'!AT454,IF(AND($B$3="Clip",$B$2="Zone 1"),'GCN_Clip 1.0'!#REF!,IF(AND($B$3="Clip",$B$2="Zone 2"),'GCN_Clip 1.0'!#REF!,IF(AND($B$3="Clip",$B$2="Zone 3"),'GCN_Clip 1.0'!#REF!,IF(AND($B$3="Clip",$B$2="Zone 4"),'GCN_Clip 1.0'!#REF!,IF(AND($B$3="Clip",$B$2="Zone 5"),'GCN_Clip 1.0'!#REF!,IF(AND($B$3="Post",$B$2="Zone 1"),'GCN_Post 1.0'!W307,IF(AND($B$3="Post",$B$2="Zone 2"),'GCN_Post 1.0'!X307,IF(AND($B$3="Post",$B$2="Zone 3"),'GCN_Post 1.0'!Y307,IF(AND($B$3="Post",$B$2="Zone 4"),'GCN_Post 1.0'!Z307,IF(AND($B$3="Post",$B$2="Zone 5"),'GCN_Post 1.0'!AA307,"ERROR")))))))))))))))))))</f>
        <v/>
      </c>
    </row>
    <row r="194" spans="6:44" x14ac:dyDescent="0.25">
      <c r="F194">
        <v>21</v>
      </c>
      <c r="G194" s="27" t="str">
        <f t="shared" si="16"/>
        <v/>
      </c>
      <c r="H194" t="str">
        <f t="shared" si="17"/>
        <v/>
      </c>
      <c r="I194" t="str">
        <f t="shared" si="18"/>
        <v/>
      </c>
      <c r="J194" s="28" t="str">
        <f t="shared" si="19"/>
        <v/>
      </c>
      <c r="M194">
        <v>21</v>
      </c>
      <c r="N194" s="27" t="str">
        <f t="shared" si="20"/>
        <v/>
      </c>
      <c r="O194" t="str">
        <f t="shared" si="21"/>
        <v/>
      </c>
      <c r="P194" t="str">
        <f t="shared" si="22"/>
        <v/>
      </c>
      <c r="Q194" t="str">
        <f t="shared" si="23"/>
        <v/>
      </c>
      <c r="R194" t="str">
        <f t="shared" si="24"/>
        <v/>
      </c>
      <c r="S194" t="str">
        <f t="shared" si="25"/>
        <v/>
      </c>
      <c r="T194" s="82" t="str">
        <f>IF(AND($B$3="Cantilever",$B$2="Zone 1"),'GCM_Cantilever 1.0'!$F385,IF(AND($B$3="Cantilever",$B$2="Zone 2"),'GCM_Cantilever 1.0'!J385,IF(AND($B$3="HalfTracker",$B$2="Zone 1"),'GCM_Halftracker 1.0'!E400,IF(AND($B$3="HalfTracker",$B$2="Zone 2"),'GCM_Halftracker 1.0'!I400,IF(AND($B$3="Purlin",$B$2="Zone 1"),'GCM_Purlin 1.0'!E455,IF(AND($B$3="Purlin",$B$2="Zone 2"),'GCM_Purlin 1.0'!M455,IF(AND($B$3="Purlin",$B$2="Zone 3"),'GCM_Purlin 1.0'!X455,IF(AND($B$3="Purlin",$B$2="Zone 4"),'GCM_Purlin 1.0'!AF455,IF(AND($B$3="Purlin",$B$2="Zone 5"),'GCM_Purlin 1.0'!AQ455,IF(AND($B$3="Clip",$B$2="Zone 1"),'GCN_Clip 1.0'!G24,IF(AND($B$3="Clip",$B$2="Zone 2"),'GCN_Clip 1.0'!C25,IF(AND($B$3="Clip",$B$2="Zone 3"),'GCN_Clip 1.0'!G26,IF(AND($B$3="Clip",$B$2="Zone 4"),'GCN_Clip 1.0'!G27,IF(AND($B$3="Clip",$B$2="Zone 5"),'GCN_Clip 1.0'!G28,IF(AND($B$3="Post",$B$2="Zone 1"),'GCN_Post 1.0'!E308,IF(AND($B$3="Post",$B$2="Zone 2"),'GCN_Post 1.0'!F308,IF(AND($B$3="Post",$B$2="Zone 3"),'GCN_Post 1.0'!G308,IF(AND($B$3="Post",$B$2="Zone 4"),'GCN_Post 1.0'!H308,IF(AND($B$3="Post",$B$2="Zone 5"),'GCN_Post 1.0'!I308,"ERROR")))))))))))))))))))</f>
        <v/>
      </c>
      <c r="V194" s="27" t="str">
        <f t="shared" si="26"/>
        <v/>
      </c>
      <c r="W194" t="str">
        <f t="shared" si="27"/>
        <v/>
      </c>
      <c r="X194" t="str">
        <f t="shared" si="28"/>
        <v/>
      </c>
      <c r="Y194" t="str">
        <f t="shared" si="29"/>
        <v/>
      </c>
      <c r="Z194" t="str">
        <f t="shared" si="30"/>
        <v/>
      </c>
      <c r="AA194" t="str">
        <f t="shared" si="31"/>
        <v/>
      </c>
      <c r="AB194" s="82" t="str">
        <f>IF(AND($B$3="Cantilever",$B$2="Zone 1"),'GCM_Cantilever 1.0'!$G385,IF(AND($B$3="Cantilever",$B$2="Zone 2"),'GCM_Cantilever 1.0'!K385,IF(AND($B$3="HalfTracker",$B$2="Zone 1"),'GCM_Halftracker 1.0'!F400,IF(AND($B$3="HalfTracker",$B$2="Zone 2"),'GCM_Halftracker 1.0'!J400,IF(AND($B$3="Purlin",$B$2="Zone 1"),'GCM_Purlin 1.0'!F455,IF(AND($B$3="Purlin",$B$2="Zone 2"),'GCM_Purlin 1.0'!N455,IF(AND($B$3="Purlin",$B$2="Zone 3"),'GCM_Purlin 1.0'!Y455,IF(AND($B$3="Purlin",$B$2="Zone 4"),'GCM_Purlin 1.0'!AG455,IF(AND($B$3="Purlin",$B$2="Zone 5"),'GCM_Purlin 1.0'!AR455,IF(AND($B$3="Clip",$B$2="Zone 1"),'GCN_Clip 1.0'!H24,IF(AND($B$3="Clip",$B$2="Zone 2"),'GCN_Clip 1.0'!H25,IF(AND($B$3="Clip",$B$2="Zone 3"),'GCN_Clip 1.0'!H26,IF(AND($B$3="Clip",$B$2="Zone 4"),'GCN_Clip 1.0'!H27,IF(AND($B$3="Clip",$B$2="Zone 5"),'GCN_Clip 1.0'!H28,IF(AND($B$3="Post",$B$2="Zone 1"),'GCN_Post 1.0'!J308,IF(AND($B$3="Post",$B$2="Zone 2"),'GCN_Post 1.0'!K308,IF(AND($B$3="Post",$B$2="Zone 3"),'GCN_Post 1.0'!N308,IF(AND($B$3="Post",$B$2="Zone 4"),'GCN_Post 1.0'!O308,IF(AND($B$3="Post",$B$2="Zone 5"),'GCN_Post 1.0'!P308,"ERROR")))))))))))))))))))</f>
        <v/>
      </c>
      <c r="AD194" s="27" t="str">
        <f t="shared" si="32"/>
        <v/>
      </c>
      <c r="AE194" t="str">
        <f t="shared" si="33"/>
        <v/>
      </c>
      <c r="AF194" t="str">
        <f t="shared" si="34"/>
        <v/>
      </c>
      <c r="AG194" t="str">
        <f t="shared" si="35"/>
        <v/>
      </c>
      <c r="AH194" t="str">
        <f t="shared" si="36"/>
        <v/>
      </c>
      <c r="AI194" t="str">
        <f t="shared" si="37"/>
        <v/>
      </c>
      <c r="AJ194" s="82" t="str">
        <f>IF(AND($B$3="Cantilever",$B$2="Zone 1"),'GCM_Cantilever 1.0'!$H385,IF(AND($B$3="Cantilever",$B$2="Zone 2"),'GCM_Cantilever 1.0'!L385,IF(AND($B$3="HalfTracker",$B$2="Zone 1"),'GCM_Halftracker 1.0'!G400,IF(AND($B$3="HalfTracker",$B$2="Zone 2"),'GCM_Halftracker 1.0'!K400,IF(AND($B$3="Purlin",$B$2="Zone 1"),'GCM_Purlin 1.0'!G455,IF(AND($B$3="Purlin",$B$2="Zone 2"),'GCM_Purlin 1.0'!O455,IF(AND($B$3="Purlin",$B$2="Zone 3"),'GCM_Purlin 1.0'!Z455,IF(AND($B$3="Purlin",$B$2="Zone 4"),'GCM_Purlin 1.0'!AH455,IF(AND($B$3="Purlin",$B$2="Zone 5"),'GCM_Purlin 1.0'!AS455,IF(AND($B$3="Clip",$B$2="Zone 1"),'GCN_Clip 1.0'!#REF!,IF(AND($B$3="Clip",$B$2="Zone 2"),'GCN_Clip 1.0'!#REF!,IF(AND($B$3="Clip",$B$2="Zone 3"),'GCN_Clip 1.0'!#REF!,IF(AND($B$3="Clip",$B$2="Zone 4"),'GCN_Clip 1.0'!#REF!,IF(AND($B$3="Clip",$B$2="Zone 5"),'GCN_Clip 1.0'!#REF!,IF(AND($B$3="Post",$B$2="Zone 1"),'GCN_Post 1.0'!Q308,IF(AND($B$3="Post",$B$2="Zone 2"),'GCN_Post 1.0'!R308,IF(AND($B$3="Post",$B$2="Zone 3"),'GCN_Post 1.0'!S308,IF(AND($B$3="Post",$B$2="Zone 4"),'GCN_Post 1.0'!T308,IF(AND($B$3="Post",$B$2="Zone 5"),'GCN_Post 1.0'!V308,"ERROR")))))))))))))))))))</f>
        <v/>
      </c>
      <c r="AL194" s="27" t="str">
        <f t="shared" si="38"/>
        <v/>
      </c>
      <c r="AM194" t="str">
        <f t="shared" si="39"/>
        <v/>
      </c>
      <c r="AN194" t="str">
        <f t="shared" si="40"/>
        <v/>
      </c>
      <c r="AO194" t="str">
        <f t="shared" si="41"/>
        <v/>
      </c>
      <c r="AP194" t="str">
        <f t="shared" si="42"/>
        <v/>
      </c>
      <c r="AQ194" t="str">
        <f t="shared" si="43"/>
        <v/>
      </c>
      <c r="AR194" s="82" t="str">
        <f>IF(AND($B$3="Cantilever",$B$2="Zone 1"),'GCM_Cantilever 1.0'!$I385,IF(AND($B$3="Cantilever",$B$2="Zone 2"),'GCM_Cantilever 1.0'!M385,IF(AND($B$3="HalfTracker",$B$2="Zone 1"),'GCM_Halftracker 1.0'!H400,IF(AND($B$3="HalfTracker",$B$2="Zone 2"),'GCM_Halftracker 1.0'!L400,IF(AND($B$3="Purlin",$B$2="Zone 1"),'GCM_Purlin 1.0'!H455,IF(AND($B$3="Purlin",$B$2="Zone 2"),'GCM_Purlin 1.0'!P455,IF(AND($B$3="Purlin",$B$2="Zone 3"),'GCM_Purlin 1.0'!AA455,IF(AND($B$3="Purlin",$B$2="Zone 4"),'GCM_Purlin 1.0'!AI455,IF(AND($B$3="Purlin",$B$2="Zone 5"),'GCM_Purlin 1.0'!AT455,IF(AND($B$3="Clip",$B$2="Zone 1"),'GCN_Clip 1.0'!#REF!,IF(AND($B$3="Clip",$B$2="Zone 2"),'GCN_Clip 1.0'!#REF!,IF(AND($B$3="Clip",$B$2="Zone 3"),'GCN_Clip 1.0'!#REF!,IF(AND($B$3="Clip",$B$2="Zone 4"),'GCN_Clip 1.0'!#REF!,IF(AND($B$3="Clip",$B$2="Zone 5"),'GCN_Clip 1.0'!#REF!,IF(AND($B$3="Post",$B$2="Zone 1"),'GCN_Post 1.0'!W308,IF(AND($B$3="Post",$B$2="Zone 2"),'GCN_Post 1.0'!X308,IF(AND($B$3="Post",$B$2="Zone 3"),'GCN_Post 1.0'!Y308,IF(AND($B$3="Post",$B$2="Zone 4"),'GCN_Post 1.0'!Z308,IF(AND($B$3="Post",$B$2="Zone 5"),'GCN_Post 1.0'!AA308,"ERROR")))))))))))))))))))</f>
        <v/>
      </c>
    </row>
    <row r="195" spans="6:44" x14ac:dyDescent="0.25">
      <c r="F195">
        <v>22</v>
      </c>
      <c r="G195" s="27" t="str">
        <f t="shared" si="16"/>
        <v/>
      </c>
      <c r="H195" t="str">
        <f t="shared" si="17"/>
        <v/>
      </c>
      <c r="I195" t="str">
        <f t="shared" si="18"/>
        <v/>
      </c>
      <c r="J195" s="28" t="str">
        <f t="shared" si="19"/>
        <v/>
      </c>
      <c r="M195">
        <v>22</v>
      </c>
      <c r="N195" s="27" t="str">
        <f t="shared" si="20"/>
        <v/>
      </c>
      <c r="O195" t="str">
        <f t="shared" si="21"/>
        <v/>
      </c>
      <c r="P195" t="str">
        <f t="shared" si="22"/>
        <v/>
      </c>
      <c r="Q195" t="str">
        <f t="shared" si="23"/>
        <v/>
      </c>
      <c r="R195" t="str">
        <f t="shared" si="24"/>
        <v/>
      </c>
      <c r="S195" t="str">
        <f t="shared" si="25"/>
        <v/>
      </c>
      <c r="T195" s="82" t="str">
        <f>IF(AND($B$3="Cantilever",$B$2="Zone 1"),'GCM_Cantilever 1.0'!$F386,IF(AND($B$3="Cantilever",$B$2="Zone 2"),'GCM_Cantilever 1.0'!J386,IF(AND($B$3="HalfTracker",$B$2="Zone 1"),'GCM_Halftracker 1.0'!E401,IF(AND($B$3="HalfTracker",$B$2="Zone 2"),'GCM_Halftracker 1.0'!I401,IF(AND($B$3="Purlin",$B$2="Zone 1"),'GCM_Purlin 1.0'!E456,IF(AND($B$3="Purlin",$B$2="Zone 2"),'GCM_Purlin 1.0'!M456,IF(AND($B$3="Purlin",$B$2="Zone 3"),'GCM_Purlin 1.0'!X456,IF(AND($B$3="Purlin",$B$2="Zone 4"),'GCM_Purlin 1.0'!AF456,IF(AND($B$3="Purlin",$B$2="Zone 5"),'GCM_Purlin 1.0'!AQ456,IF(AND($B$3="Clip",$B$2="Zone 1"),'GCN_Clip 1.0'!G25,IF(AND($B$3="Clip",$B$2="Zone 2"),'GCN_Clip 1.0'!C26,IF(AND($B$3="Clip",$B$2="Zone 3"),'GCN_Clip 1.0'!G27,IF(AND($B$3="Clip",$B$2="Zone 4"),'GCN_Clip 1.0'!G28,IF(AND($B$3="Clip",$B$2="Zone 5"),'GCN_Clip 1.0'!G29,IF(AND($B$3="Post",$B$2="Zone 1"),'GCN_Post 1.0'!E309,IF(AND($B$3="Post",$B$2="Zone 2"),'GCN_Post 1.0'!F309,IF(AND($B$3="Post",$B$2="Zone 3"),'GCN_Post 1.0'!G309,IF(AND($B$3="Post",$B$2="Zone 4"),'GCN_Post 1.0'!H309,IF(AND($B$3="Post",$B$2="Zone 5"),'GCN_Post 1.0'!I309,"ERROR")))))))))))))))))))</f>
        <v/>
      </c>
      <c r="V195" s="27" t="str">
        <f t="shared" si="26"/>
        <v/>
      </c>
      <c r="W195" t="str">
        <f t="shared" si="27"/>
        <v/>
      </c>
      <c r="X195" t="str">
        <f t="shared" si="28"/>
        <v/>
      </c>
      <c r="Y195" t="str">
        <f t="shared" si="29"/>
        <v/>
      </c>
      <c r="Z195" t="str">
        <f t="shared" si="30"/>
        <v/>
      </c>
      <c r="AA195" t="str">
        <f t="shared" si="31"/>
        <v/>
      </c>
      <c r="AB195" s="82" t="str">
        <f>IF(AND($B$3="Cantilever",$B$2="Zone 1"),'GCM_Cantilever 1.0'!$G386,IF(AND($B$3="Cantilever",$B$2="Zone 2"),'GCM_Cantilever 1.0'!K386,IF(AND($B$3="HalfTracker",$B$2="Zone 1"),'GCM_Halftracker 1.0'!F401,IF(AND($B$3="HalfTracker",$B$2="Zone 2"),'GCM_Halftracker 1.0'!J401,IF(AND($B$3="Purlin",$B$2="Zone 1"),'GCM_Purlin 1.0'!F456,IF(AND($B$3="Purlin",$B$2="Zone 2"),'GCM_Purlin 1.0'!N456,IF(AND($B$3="Purlin",$B$2="Zone 3"),'GCM_Purlin 1.0'!Y456,IF(AND($B$3="Purlin",$B$2="Zone 4"),'GCM_Purlin 1.0'!AG456,IF(AND($B$3="Purlin",$B$2="Zone 5"),'GCM_Purlin 1.0'!AR456,IF(AND($B$3="Clip",$B$2="Zone 1"),'GCN_Clip 1.0'!H25,IF(AND($B$3="Clip",$B$2="Zone 2"),'GCN_Clip 1.0'!H26,IF(AND($B$3="Clip",$B$2="Zone 3"),'GCN_Clip 1.0'!H27,IF(AND($B$3="Clip",$B$2="Zone 4"),'GCN_Clip 1.0'!H28,IF(AND($B$3="Clip",$B$2="Zone 5"),'GCN_Clip 1.0'!H29,IF(AND($B$3="Post",$B$2="Zone 1"),'GCN_Post 1.0'!J309,IF(AND($B$3="Post",$B$2="Zone 2"),'GCN_Post 1.0'!K309,IF(AND($B$3="Post",$B$2="Zone 3"),'GCN_Post 1.0'!N309,IF(AND($B$3="Post",$B$2="Zone 4"),'GCN_Post 1.0'!O309,IF(AND($B$3="Post",$B$2="Zone 5"),'GCN_Post 1.0'!P309,"ERROR")))))))))))))))))))</f>
        <v/>
      </c>
      <c r="AD195" s="27" t="str">
        <f t="shared" si="32"/>
        <v/>
      </c>
      <c r="AE195" t="str">
        <f t="shared" si="33"/>
        <v/>
      </c>
      <c r="AF195" t="str">
        <f t="shared" si="34"/>
        <v/>
      </c>
      <c r="AG195" t="str">
        <f t="shared" si="35"/>
        <v/>
      </c>
      <c r="AH195" t="str">
        <f t="shared" si="36"/>
        <v/>
      </c>
      <c r="AI195" t="str">
        <f t="shared" si="37"/>
        <v/>
      </c>
      <c r="AJ195" s="82" t="str">
        <f>IF(AND($B$3="Cantilever",$B$2="Zone 1"),'GCM_Cantilever 1.0'!$H386,IF(AND($B$3="Cantilever",$B$2="Zone 2"),'GCM_Cantilever 1.0'!L386,IF(AND($B$3="HalfTracker",$B$2="Zone 1"),'GCM_Halftracker 1.0'!G401,IF(AND($B$3="HalfTracker",$B$2="Zone 2"),'GCM_Halftracker 1.0'!K401,IF(AND($B$3="Purlin",$B$2="Zone 1"),'GCM_Purlin 1.0'!G456,IF(AND($B$3="Purlin",$B$2="Zone 2"),'GCM_Purlin 1.0'!O456,IF(AND($B$3="Purlin",$B$2="Zone 3"),'GCM_Purlin 1.0'!Z456,IF(AND($B$3="Purlin",$B$2="Zone 4"),'GCM_Purlin 1.0'!AH456,IF(AND($B$3="Purlin",$B$2="Zone 5"),'GCM_Purlin 1.0'!AS456,IF(AND($B$3="Clip",$B$2="Zone 1"),'GCN_Clip 1.0'!#REF!,IF(AND($B$3="Clip",$B$2="Zone 2"),'GCN_Clip 1.0'!#REF!,IF(AND($B$3="Clip",$B$2="Zone 3"),'GCN_Clip 1.0'!#REF!,IF(AND($B$3="Clip",$B$2="Zone 4"),'GCN_Clip 1.0'!#REF!,IF(AND($B$3="Clip",$B$2="Zone 5"),'GCN_Clip 1.0'!#REF!,IF(AND($B$3="Post",$B$2="Zone 1"),'GCN_Post 1.0'!Q309,IF(AND($B$3="Post",$B$2="Zone 2"),'GCN_Post 1.0'!R309,IF(AND($B$3="Post",$B$2="Zone 3"),'GCN_Post 1.0'!S309,IF(AND($B$3="Post",$B$2="Zone 4"),'GCN_Post 1.0'!T309,IF(AND($B$3="Post",$B$2="Zone 5"),'GCN_Post 1.0'!V309,"ERROR")))))))))))))))))))</f>
        <v/>
      </c>
      <c r="AL195" s="27" t="str">
        <f t="shared" si="38"/>
        <v/>
      </c>
      <c r="AM195" t="str">
        <f t="shared" si="39"/>
        <v/>
      </c>
      <c r="AN195" t="str">
        <f t="shared" si="40"/>
        <v/>
      </c>
      <c r="AO195" t="str">
        <f t="shared" si="41"/>
        <v/>
      </c>
      <c r="AP195" t="str">
        <f t="shared" si="42"/>
        <v/>
      </c>
      <c r="AQ195" t="str">
        <f t="shared" si="43"/>
        <v/>
      </c>
      <c r="AR195" s="82" t="str">
        <f>IF(AND($B$3="Cantilever",$B$2="Zone 1"),'GCM_Cantilever 1.0'!$I386,IF(AND($B$3="Cantilever",$B$2="Zone 2"),'GCM_Cantilever 1.0'!M386,IF(AND($B$3="HalfTracker",$B$2="Zone 1"),'GCM_Halftracker 1.0'!H401,IF(AND($B$3="HalfTracker",$B$2="Zone 2"),'GCM_Halftracker 1.0'!L401,IF(AND($B$3="Purlin",$B$2="Zone 1"),'GCM_Purlin 1.0'!H456,IF(AND($B$3="Purlin",$B$2="Zone 2"),'GCM_Purlin 1.0'!P456,IF(AND($B$3="Purlin",$B$2="Zone 3"),'GCM_Purlin 1.0'!AA456,IF(AND($B$3="Purlin",$B$2="Zone 4"),'GCM_Purlin 1.0'!AI456,IF(AND($B$3="Purlin",$B$2="Zone 5"),'GCM_Purlin 1.0'!AT456,IF(AND($B$3="Clip",$B$2="Zone 1"),'GCN_Clip 1.0'!#REF!,IF(AND($B$3="Clip",$B$2="Zone 2"),'GCN_Clip 1.0'!#REF!,IF(AND($B$3="Clip",$B$2="Zone 3"),'GCN_Clip 1.0'!#REF!,IF(AND($B$3="Clip",$B$2="Zone 4"),'GCN_Clip 1.0'!#REF!,IF(AND($B$3="Clip",$B$2="Zone 5"),'GCN_Clip 1.0'!#REF!,IF(AND($B$3="Post",$B$2="Zone 1"),'GCN_Post 1.0'!W309,IF(AND($B$3="Post",$B$2="Zone 2"),'GCN_Post 1.0'!X309,IF(AND($B$3="Post",$B$2="Zone 3"),'GCN_Post 1.0'!Y309,IF(AND($B$3="Post",$B$2="Zone 4"),'GCN_Post 1.0'!Z309,IF(AND($B$3="Post",$B$2="Zone 5"),'GCN_Post 1.0'!AA309,"ERROR")))))))))))))))))))</f>
        <v/>
      </c>
    </row>
    <row r="196" spans="6:44" x14ac:dyDescent="0.25">
      <c r="F196">
        <v>23</v>
      </c>
      <c r="G196" s="27" t="str">
        <f t="shared" si="16"/>
        <v/>
      </c>
      <c r="H196" t="str">
        <f t="shared" si="17"/>
        <v/>
      </c>
      <c r="I196" t="str">
        <f t="shared" si="18"/>
        <v/>
      </c>
      <c r="J196" s="28" t="str">
        <f t="shared" si="19"/>
        <v/>
      </c>
      <c r="M196">
        <v>23</v>
      </c>
      <c r="N196" s="27" t="str">
        <f t="shared" si="20"/>
        <v/>
      </c>
      <c r="O196" t="str">
        <f t="shared" si="21"/>
        <v/>
      </c>
      <c r="P196" t="str">
        <f t="shared" si="22"/>
        <v/>
      </c>
      <c r="Q196" t="str">
        <f t="shared" si="23"/>
        <v/>
      </c>
      <c r="R196" t="str">
        <f t="shared" si="24"/>
        <v/>
      </c>
      <c r="S196" t="str">
        <f t="shared" si="25"/>
        <v/>
      </c>
      <c r="T196" s="82" t="str">
        <f>IF(AND($B$3="Cantilever",$B$2="Zone 1"),'GCM_Cantilever 1.0'!$F387,IF(AND($B$3="Cantilever",$B$2="Zone 2"),'GCM_Cantilever 1.0'!J387,IF(AND($B$3="HalfTracker",$B$2="Zone 1"),'GCM_Halftracker 1.0'!E402,IF(AND($B$3="HalfTracker",$B$2="Zone 2"),'GCM_Halftracker 1.0'!I402,IF(AND($B$3="Purlin",$B$2="Zone 1"),'GCM_Purlin 1.0'!E457,IF(AND($B$3="Purlin",$B$2="Zone 2"),'GCM_Purlin 1.0'!M457,IF(AND($B$3="Purlin",$B$2="Zone 3"),'GCM_Purlin 1.0'!X457,IF(AND($B$3="Purlin",$B$2="Zone 4"),'GCM_Purlin 1.0'!AF457,IF(AND($B$3="Purlin",$B$2="Zone 5"),'GCM_Purlin 1.0'!AQ457,IF(AND($B$3="Clip",$B$2="Zone 1"),'GCN_Clip 1.0'!G26,IF(AND($B$3="Clip",$B$2="Zone 2"),'GCN_Clip 1.0'!C27,IF(AND($B$3="Clip",$B$2="Zone 3"),'GCN_Clip 1.0'!G28,IF(AND($B$3="Clip",$B$2="Zone 4"),'GCN_Clip 1.0'!G29,IF(AND($B$3="Clip",$B$2="Zone 5"),'GCN_Clip 1.0'!G30,IF(AND($B$3="Post",$B$2="Zone 1"),'GCN_Post 1.0'!E310,IF(AND($B$3="Post",$B$2="Zone 2"),'GCN_Post 1.0'!F310,IF(AND($B$3="Post",$B$2="Zone 3"),'GCN_Post 1.0'!G310,IF(AND($B$3="Post",$B$2="Zone 4"),'GCN_Post 1.0'!H310,IF(AND($B$3="Post",$B$2="Zone 5"),'GCN_Post 1.0'!I310,"ERROR")))))))))))))))))))</f>
        <v/>
      </c>
      <c r="V196" s="27" t="str">
        <f t="shared" si="26"/>
        <v/>
      </c>
      <c r="W196" t="str">
        <f t="shared" si="27"/>
        <v/>
      </c>
      <c r="X196" t="str">
        <f t="shared" si="28"/>
        <v/>
      </c>
      <c r="Y196" t="str">
        <f t="shared" si="29"/>
        <v/>
      </c>
      <c r="Z196" t="str">
        <f t="shared" si="30"/>
        <v/>
      </c>
      <c r="AA196" t="str">
        <f t="shared" si="31"/>
        <v/>
      </c>
      <c r="AB196" s="82" t="str">
        <f>IF(AND($B$3="Cantilever",$B$2="Zone 1"),'GCM_Cantilever 1.0'!$G387,IF(AND($B$3="Cantilever",$B$2="Zone 2"),'GCM_Cantilever 1.0'!K387,IF(AND($B$3="HalfTracker",$B$2="Zone 1"),'GCM_Halftracker 1.0'!F402,IF(AND($B$3="HalfTracker",$B$2="Zone 2"),'GCM_Halftracker 1.0'!J402,IF(AND($B$3="Purlin",$B$2="Zone 1"),'GCM_Purlin 1.0'!F457,IF(AND($B$3="Purlin",$B$2="Zone 2"),'GCM_Purlin 1.0'!N457,IF(AND($B$3="Purlin",$B$2="Zone 3"),'GCM_Purlin 1.0'!Y457,IF(AND($B$3="Purlin",$B$2="Zone 4"),'GCM_Purlin 1.0'!AG457,IF(AND($B$3="Purlin",$B$2="Zone 5"),'GCM_Purlin 1.0'!AR457,IF(AND($B$3="Clip",$B$2="Zone 1"),'GCN_Clip 1.0'!H26,IF(AND($B$3="Clip",$B$2="Zone 2"),'GCN_Clip 1.0'!H27,IF(AND($B$3="Clip",$B$2="Zone 3"),'GCN_Clip 1.0'!H28,IF(AND($B$3="Clip",$B$2="Zone 4"),'GCN_Clip 1.0'!H29,IF(AND($B$3="Clip",$B$2="Zone 5"),'GCN_Clip 1.0'!H30,IF(AND($B$3="Post",$B$2="Zone 1"),'GCN_Post 1.0'!J310,IF(AND($B$3="Post",$B$2="Zone 2"),'GCN_Post 1.0'!K310,IF(AND($B$3="Post",$B$2="Zone 3"),'GCN_Post 1.0'!N310,IF(AND($B$3="Post",$B$2="Zone 4"),'GCN_Post 1.0'!O310,IF(AND($B$3="Post",$B$2="Zone 5"),'GCN_Post 1.0'!P310,"ERROR")))))))))))))))))))</f>
        <v/>
      </c>
      <c r="AD196" s="27" t="str">
        <f t="shared" si="32"/>
        <v/>
      </c>
      <c r="AE196" t="str">
        <f t="shared" si="33"/>
        <v/>
      </c>
      <c r="AF196" t="str">
        <f t="shared" si="34"/>
        <v/>
      </c>
      <c r="AG196" t="str">
        <f t="shared" si="35"/>
        <v/>
      </c>
      <c r="AH196" t="str">
        <f t="shared" si="36"/>
        <v/>
      </c>
      <c r="AI196" t="str">
        <f t="shared" si="37"/>
        <v/>
      </c>
      <c r="AJ196" s="82" t="str">
        <f>IF(AND($B$3="Cantilever",$B$2="Zone 1"),'GCM_Cantilever 1.0'!$H387,IF(AND($B$3="Cantilever",$B$2="Zone 2"),'GCM_Cantilever 1.0'!L387,IF(AND($B$3="HalfTracker",$B$2="Zone 1"),'GCM_Halftracker 1.0'!G402,IF(AND($B$3="HalfTracker",$B$2="Zone 2"),'GCM_Halftracker 1.0'!K402,IF(AND($B$3="Purlin",$B$2="Zone 1"),'GCM_Purlin 1.0'!G457,IF(AND($B$3="Purlin",$B$2="Zone 2"),'GCM_Purlin 1.0'!O457,IF(AND($B$3="Purlin",$B$2="Zone 3"),'GCM_Purlin 1.0'!Z457,IF(AND($B$3="Purlin",$B$2="Zone 4"),'GCM_Purlin 1.0'!AH457,IF(AND($B$3="Purlin",$B$2="Zone 5"),'GCM_Purlin 1.0'!AS457,IF(AND($B$3="Clip",$B$2="Zone 1"),'GCN_Clip 1.0'!#REF!,IF(AND($B$3="Clip",$B$2="Zone 2"),'GCN_Clip 1.0'!#REF!,IF(AND($B$3="Clip",$B$2="Zone 3"),'GCN_Clip 1.0'!#REF!,IF(AND($B$3="Clip",$B$2="Zone 4"),'GCN_Clip 1.0'!#REF!,IF(AND($B$3="Clip",$B$2="Zone 5"),'GCN_Clip 1.0'!#REF!,IF(AND($B$3="Post",$B$2="Zone 1"),'GCN_Post 1.0'!Q310,IF(AND($B$3="Post",$B$2="Zone 2"),'GCN_Post 1.0'!R310,IF(AND($B$3="Post",$B$2="Zone 3"),'GCN_Post 1.0'!S310,IF(AND($B$3="Post",$B$2="Zone 4"),'GCN_Post 1.0'!T310,IF(AND($B$3="Post",$B$2="Zone 5"),'GCN_Post 1.0'!V310,"ERROR")))))))))))))))))))</f>
        <v/>
      </c>
      <c r="AL196" s="27" t="str">
        <f t="shared" si="38"/>
        <v/>
      </c>
      <c r="AM196" t="str">
        <f t="shared" si="39"/>
        <v/>
      </c>
      <c r="AN196" t="str">
        <f t="shared" si="40"/>
        <v/>
      </c>
      <c r="AO196" t="str">
        <f t="shared" si="41"/>
        <v/>
      </c>
      <c r="AP196" t="str">
        <f t="shared" si="42"/>
        <v/>
      </c>
      <c r="AQ196" t="str">
        <f t="shared" si="43"/>
        <v/>
      </c>
      <c r="AR196" s="82" t="str">
        <f>IF(AND($B$3="Cantilever",$B$2="Zone 1"),'GCM_Cantilever 1.0'!$I387,IF(AND($B$3="Cantilever",$B$2="Zone 2"),'GCM_Cantilever 1.0'!M387,IF(AND($B$3="HalfTracker",$B$2="Zone 1"),'GCM_Halftracker 1.0'!H402,IF(AND($B$3="HalfTracker",$B$2="Zone 2"),'GCM_Halftracker 1.0'!L402,IF(AND($B$3="Purlin",$B$2="Zone 1"),'GCM_Purlin 1.0'!H457,IF(AND($B$3="Purlin",$B$2="Zone 2"),'GCM_Purlin 1.0'!P457,IF(AND($B$3="Purlin",$B$2="Zone 3"),'GCM_Purlin 1.0'!AA457,IF(AND($B$3="Purlin",$B$2="Zone 4"),'GCM_Purlin 1.0'!AI457,IF(AND($B$3="Purlin",$B$2="Zone 5"),'GCM_Purlin 1.0'!AT457,IF(AND($B$3="Clip",$B$2="Zone 1"),'GCN_Clip 1.0'!#REF!,IF(AND($B$3="Clip",$B$2="Zone 2"),'GCN_Clip 1.0'!#REF!,IF(AND($B$3="Clip",$B$2="Zone 3"),'GCN_Clip 1.0'!#REF!,IF(AND($B$3="Clip",$B$2="Zone 4"),'GCN_Clip 1.0'!#REF!,IF(AND($B$3="Clip",$B$2="Zone 5"),'GCN_Clip 1.0'!#REF!,IF(AND($B$3="Post",$B$2="Zone 1"),'GCN_Post 1.0'!W310,IF(AND($B$3="Post",$B$2="Zone 2"),'GCN_Post 1.0'!X310,IF(AND($B$3="Post",$B$2="Zone 3"),'GCN_Post 1.0'!Y310,IF(AND($B$3="Post",$B$2="Zone 4"),'GCN_Post 1.0'!Z310,IF(AND($B$3="Post",$B$2="Zone 5"),'GCN_Post 1.0'!AA310,"ERROR")))))))))))))))))))</f>
        <v/>
      </c>
    </row>
    <row r="197" spans="6:44" x14ac:dyDescent="0.25">
      <c r="F197">
        <v>24</v>
      </c>
      <c r="G197" s="27" t="str">
        <f t="shared" si="16"/>
        <v/>
      </c>
      <c r="H197" t="str">
        <f t="shared" si="17"/>
        <v/>
      </c>
      <c r="I197" t="str">
        <f t="shared" si="18"/>
        <v/>
      </c>
      <c r="J197" s="28" t="str">
        <f t="shared" si="19"/>
        <v/>
      </c>
      <c r="M197">
        <v>24</v>
      </c>
      <c r="N197" s="27" t="str">
        <f t="shared" si="20"/>
        <v/>
      </c>
      <c r="O197" t="str">
        <f t="shared" si="21"/>
        <v/>
      </c>
      <c r="P197" t="str">
        <f t="shared" si="22"/>
        <v/>
      </c>
      <c r="Q197" t="str">
        <f t="shared" si="23"/>
        <v/>
      </c>
      <c r="R197" t="str">
        <f t="shared" si="24"/>
        <v/>
      </c>
      <c r="S197" t="str">
        <f t="shared" si="25"/>
        <v/>
      </c>
      <c r="T197" s="82" t="str">
        <f>IF(AND($B$3="Cantilever",$B$2="Zone 1"),'GCM_Cantilever 1.0'!$F388,IF(AND($B$3="Cantilever",$B$2="Zone 2"),'GCM_Cantilever 1.0'!J388,IF(AND($B$3="HalfTracker",$B$2="Zone 1"),'GCM_Halftracker 1.0'!E403,IF(AND($B$3="HalfTracker",$B$2="Zone 2"),'GCM_Halftracker 1.0'!I403,IF(AND($B$3="Purlin",$B$2="Zone 1"),'GCM_Purlin 1.0'!E458,IF(AND($B$3="Purlin",$B$2="Zone 2"),'GCM_Purlin 1.0'!M458,IF(AND($B$3="Purlin",$B$2="Zone 3"),'GCM_Purlin 1.0'!X458,IF(AND($B$3="Purlin",$B$2="Zone 4"),'GCM_Purlin 1.0'!AF458,IF(AND($B$3="Purlin",$B$2="Zone 5"),'GCM_Purlin 1.0'!AQ458,IF(AND($B$3="Clip",$B$2="Zone 1"),'GCN_Clip 1.0'!G27,IF(AND($B$3="Clip",$B$2="Zone 2"),'GCN_Clip 1.0'!C28,IF(AND($B$3="Clip",$B$2="Zone 3"),'GCN_Clip 1.0'!G29,IF(AND($B$3="Clip",$B$2="Zone 4"),'GCN_Clip 1.0'!G30,IF(AND($B$3="Clip",$B$2="Zone 5"),'GCN_Clip 1.0'!G31,IF(AND($B$3="Post",$B$2="Zone 1"),'GCN_Post 1.0'!E311,IF(AND($B$3="Post",$B$2="Zone 2"),'GCN_Post 1.0'!F311,IF(AND($B$3="Post",$B$2="Zone 3"),'GCN_Post 1.0'!G311,IF(AND($B$3="Post",$B$2="Zone 4"),'GCN_Post 1.0'!H311,IF(AND($B$3="Post",$B$2="Zone 5"),'GCN_Post 1.0'!I311,"ERROR")))))))))))))))))))</f>
        <v/>
      </c>
      <c r="V197" s="27" t="str">
        <f t="shared" si="26"/>
        <v/>
      </c>
      <c r="W197" t="str">
        <f t="shared" si="27"/>
        <v/>
      </c>
      <c r="X197" t="str">
        <f t="shared" si="28"/>
        <v/>
      </c>
      <c r="Y197" t="str">
        <f t="shared" si="29"/>
        <v/>
      </c>
      <c r="Z197" t="str">
        <f t="shared" si="30"/>
        <v/>
      </c>
      <c r="AA197" t="str">
        <f t="shared" si="31"/>
        <v/>
      </c>
      <c r="AB197" s="82" t="str">
        <f>IF(AND($B$3="Cantilever",$B$2="Zone 1"),'GCM_Cantilever 1.0'!$G388,IF(AND($B$3="Cantilever",$B$2="Zone 2"),'GCM_Cantilever 1.0'!K388,IF(AND($B$3="HalfTracker",$B$2="Zone 1"),'GCM_Halftracker 1.0'!F403,IF(AND($B$3="HalfTracker",$B$2="Zone 2"),'GCM_Halftracker 1.0'!J403,IF(AND($B$3="Purlin",$B$2="Zone 1"),'GCM_Purlin 1.0'!F458,IF(AND($B$3="Purlin",$B$2="Zone 2"),'GCM_Purlin 1.0'!N458,IF(AND($B$3="Purlin",$B$2="Zone 3"),'GCM_Purlin 1.0'!Y458,IF(AND($B$3="Purlin",$B$2="Zone 4"),'GCM_Purlin 1.0'!AG458,IF(AND($B$3="Purlin",$B$2="Zone 5"),'GCM_Purlin 1.0'!AR458,IF(AND($B$3="Clip",$B$2="Zone 1"),'GCN_Clip 1.0'!H27,IF(AND($B$3="Clip",$B$2="Zone 2"),'GCN_Clip 1.0'!H28,IF(AND($B$3="Clip",$B$2="Zone 3"),'GCN_Clip 1.0'!H29,IF(AND($B$3="Clip",$B$2="Zone 4"),'GCN_Clip 1.0'!H30,IF(AND($B$3="Clip",$B$2="Zone 5"),'GCN_Clip 1.0'!H31,IF(AND($B$3="Post",$B$2="Zone 1"),'GCN_Post 1.0'!J311,IF(AND($B$3="Post",$B$2="Zone 2"),'GCN_Post 1.0'!K311,IF(AND($B$3="Post",$B$2="Zone 3"),'GCN_Post 1.0'!N311,IF(AND($B$3="Post",$B$2="Zone 4"),'GCN_Post 1.0'!O311,IF(AND($B$3="Post",$B$2="Zone 5"),'GCN_Post 1.0'!P311,"ERROR")))))))))))))))))))</f>
        <v/>
      </c>
      <c r="AD197" s="27" t="str">
        <f t="shared" si="32"/>
        <v/>
      </c>
      <c r="AE197" t="str">
        <f t="shared" si="33"/>
        <v/>
      </c>
      <c r="AF197" t="str">
        <f t="shared" si="34"/>
        <v/>
      </c>
      <c r="AG197" t="str">
        <f t="shared" si="35"/>
        <v/>
      </c>
      <c r="AH197" t="str">
        <f t="shared" si="36"/>
        <v/>
      </c>
      <c r="AI197" t="str">
        <f t="shared" si="37"/>
        <v/>
      </c>
      <c r="AJ197" s="82" t="str">
        <f>IF(AND($B$3="Cantilever",$B$2="Zone 1"),'GCM_Cantilever 1.0'!$H388,IF(AND($B$3="Cantilever",$B$2="Zone 2"),'GCM_Cantilever 1.0'!L388,IF(AND($B$3="HalfTracker",$B$2="Zone 1"),'GCM_Halftracker 1.0'!G403,IF(AND($B$3="HalfTracker",$B$2="Zone 2"),'GCM_Halftracker 1.0'!K403,IF(AND($B$3="Purlin",$B$2="Zone 1"),'GCM_Purlin 1.0'!G458,IF(AND($B$3="Purlin",$B$2="Zone 2"),'GCM_Purlin 1.0'!O458,IF(AND($B$3="Purlin",$B$2="Zone 3"),'GCM_Purlin 1.0'!Z458,IF(AND($B$3="Purlin",$B$2="Zone 4"),'GCM_Purlin 1.0'!AH458,IF(AND($B$3="Purlin",$B$2="Zone 5"),'GCM_Purlin 1.0'!AS458,IF(AND($B$3="Clip",$B$2="Zone 1"),'GCN_Clip 1.0'!#REF!,IF(AND($B$3="Clip",$B$2="Zone 2"),'GCN_Clip 1.0'!#REF!,IF(AND($B$3="Clip",$B$2="Zone 3"),'GCN_Clip 1.0'!#REF!,IF(AND($B$3="Clip",$B$2="Zone 4"),'GCN_Clip 1.0'!#REF!,IF(AND($B$3="Clip",$B$2="Zone 5"),'GCN_Clip 1.0'!#REF!,IF(AND($B$3="Post",$B$2="Zone 1"),'GCN_Post 1.0'!Q311,IF(AND($B$3="Post",$B$2="Zone 2"),'GCN_Post 1.0'!R311,IF(AND($B$3="Post",$B$2="Zone 3"),'GCN_Post 1.0'!S311,IF(AND($B$3="Post",$B$2="Zone 4"),'GCN_Post 1.0'!T311,IF(AND($B$3="Post",$B$2="Zone 5"),'GCN_Post 1.0'!V311,"ERROR")))))))))))))))))))</f>
        <v/>
      </c>
      <c r="AL197" s="27" t="str">
        <f t="shared" si="38"/>
        <v/>
      </c>
      <c r="AM197" t="str">
        <f t="shared" si="39"/>
        <v/>
      </c>
      <c r="AN197" t="str">
        <f t="shared" si="40"/>
        <v/>
      </c>
      <c r="AO197" t="str">
        <f t="shared" si="41"/>
        <v/>
      </c>
      <c r="AP197" t="str">
        <f t="shared" si="42"/>
        <v/>
      </c>
      <c r="AQ197" t="str">
        <f t="shared" si="43"/>
        <v/>
      </c>
      <c r="AR197" s="82" t="str">
        <f>IF(AND($B$3="Cantilever",$B$2="Zone 1"),'GCM_Cantilever 1.0'!$I388,IF(AND($B$3="Cantilever",$B$2="Zone 2"),'GCM_Cantilever 1.0'!M388,IF(AND($B$3="HalfTracker",$B$2="Zone 1"),'GCM_Halftracker 1.0'!H403,IF(AND($B$3="HalfTracker",$B$2="Zone 2"),'GCM_Halftracker 1.0'!L403,IF(AND($B$3="Purlin",$B$2="Zone 1"),'GCM_Purlin 1.0'!H458,IF(AND($B$3="Purlin",$B$2="Zone 2"),'GCM_Purlin 1.0'!P458,IF(AND($B$3="Purlin",$B$2="Zone 3"),'GCM_Purlin 1.0'!AA458,IF(AND($B$3="Purlin",$B$2="Zone 4"),'GCM_Purlin 1.0'!AI458,IF(AND($B$3="Purlin",$B$2="Zone 5"),'GCM_Purlin 1.0'!AT458,IF(AND($B$3="Clip",$B$2="Zone 1"),'GCN_Clip 1.0'!#REF!,IF(AND($B$3="Clip",$B$2="Zone 2"),'GCN_Clip 1.0'!#REF!,IF(AND($B$3="Clip",$B$2="Zone 3"),'GCN_Clip 1.0'!#REF!,IF(AND($B$3="Clip",$B$2="Zone 4"),'GCN_Clip 1.0'!#REF!,IF(AND($B$3="Clip",$B$2="Zone 5"),'GCN_Clip 1.0'!#REF!,IF(AND($B$3="Post",$B$2="Zone 1"),'GCN_Post 1.0'!W311,IF(AND($B$3="Post",$B$2="Zone 2"),'GCN_Post 1.0'!X311,IF(AND($B$3="Post",$B$2="Zone 3"),'GCN_Post 1.0'!Y311,IF(AND($B$3="Post",$B$2="Zone 4"),'GCN_Post 1.0'!Z311,IF(AND($B$3="Post",$B$2="Zone 5"),'GCN_Post 1.0'!AA311,"ERROR")))))))))))))))))))</f>
        <v/>
      </c>
    </row>
    <row r="198" spans="6:44" x14ac:dyDescent="0.25">
      <c r="F198">
        <v>25</v>
      </c>
      <c r="G198" s="27" t="str">
        <f t="shared" si="16"/>
        <v/>
      </c>
      <c r="H198" t="str">
        <f t="shared" si="17"/>
        <v/>
      </c>
      <c r="I198" t="str">
        <f t="shared" si="18"/>
        <v/>
      </c>
      <c r="J198" s="28" t="str">
        <f t="shared" si="19"/>
        <v/>
      </c>
      <c r="M198">
        <v>25</v>
      </c>
      <c r="N198" s="27" t="str">
        <f t="shared" si="20"/>
        <v/>
      </c>
      <c r="O198" t="str">
        <f t="shared" si="21"/>
        <v/>
      </c>
      <c r="P198" t="str">
        <f t="shared" si="22"/>
        <v/>
      </c>
      <c r="Q198" t="str">
        <f t="shared" si="23"/>
        <v/>
      </c>
      <c r="R198" t="str">
        <f t="shared" si="24"/>
        <v/>
      </c>
      <c r="S198" t="str">
        <f t="shared" si="25"/>
        <v/>
      </c>
      <c r="T198" s="82" t="str">
        <f>IF(AND($B$3="Cantilever",$B$2="Zone 1"),'GCM_Cantilever 1.0'!$F389,IF(AND($B$3="Cantilever",$B$2="Zone 2"),'GCM_Cantilever 1.0'!J389,IF(AND($B$3="HalfTracker",$B$2="Zone 1"),'GCM_Halftracker 1.0'!E404,IF(AND($B$3="HalfTracker",$B$2="Zone 2"),'GCM_Halftracker 1.0'!I404,IF(AND($B$3="Purlin",$B$2="Zone 1"),'GCM_Purlin 1.0'!E459,IF(AND($B$3="Purlin",$B$2="Zone 2"),'GCM_Purlin 1.0'!M459,IF(AND($B$3="Purlin",$B$2="Zone 3"),'GCM_Purlin 1.0'!X459,IF(AND($B$3="Purlin",$B$2="Zone 4"),'GCM_Purlin 1.0'!AF459,IF(AND($B$3="Purlin",$B$2="Zone 5"),'GCM_Purlin 1.0'!AQ459,IF(AND($B$3="Clip",$B$2="Zone 1"),'GCN_Clip 1.0'!G28,IF(AND($B$3="Clip",$B$2="Zone 2"),'GCN_Clip 1.0'!C29,IF(AND($B$3="Clip",$B$2="Zone 3"),'GCN_Clip 1.0'!G30,IF(AND($B$3="Clip",$B$2="Zone 4"),'GCN_Clip 1.0'!G31,IF(AND($B$3="Clip",$B$2="Zone 5"),'GCN_Clip 1.0'!G32,IF(AND($B$3="Post",$B$2="Zone 1"),'GCN_Post 1.0'!E312,IF(AND($B$3="Post",$B$2="Zone 2"),'GCN_Post 1.0'!F312,IF(AND($B$3="Post",$B$2="Zone 3"),'GCN_Post 1.0'!G312,IF(AND($B$3="Post",$B$2="Zone 4"),'GCN_Post 1.0'!H312,IF(AND($B$3="Post",$B$2="Zone 5"),'GCN_Post 1.0'!I312,"ERROR")))))))))))))))))))</f>
        <v/>
      </c>
      <c r="V198" s="27" t="str">
        <f t="shared" si="26"/>
        <v/>
      </c>
      <c r="W198" t="str">
        <f t="shared" si="27"/>
        <v/>
      </c>
      <c r="X198" t="str">
        <f t="shared" si="28"/>
        <v/>
      </c>
      <c r="Y198" t="str">
        <f t="shared" si="29"/>
        <v/>
      </c>
      <c r="Z198" t="str">
        <f t="shared" si="30"/>
        <v/>
      </c>
      <c r="AA198" t="str">
        <f t="shared" si="31"/>
        <v/>
      </c>
      <c r="AB198" s="82" t="str">
        <f>IF(AND($B$3="Cantilever",$B$2="Zone 1"),'GCM_Cantilever 1.0'!$G389,IF(AND($B$3="Cantilever",$B$2="Zone 2"),'GCM_Cantilever 1.0'!K389,IF(AND($B$3="HalfTracker",$B$2="Zone 1"),'GCM_Halftracker 1.0'!F404,IF(AND($B$3="HalfTracker",$B$2="Zone 2"),'GCM_Halftracker 1.0'!J404,IF(AND($B$3="Purlin",$B$2="Zone 1"),'GCM_Purlin 1.0'!F459,IF(AND($B$3="Purlin",$B$2="Zone 2"),'GCM_Purlin 1.0'!N459,IF(AND($B$3="Purlin",$B$2="Zone 3"),'GCM_Purlin 1.0'!Y459,IF(AND($B$3="Purlin",$B$2="Zone 4"),'GCM_Purlin 1.0'!AG459,IF(AND($B$3="Purlin",$B$2="Zone 5"),'GCM_Purlin 1.0'!AR459,IF(AND($B$3="Clip",$B$2="Zone 1"),'GCN_Clip 1.0'!H28,IF(AND($B$3="Clip",$B$2="Zone 2"),'GCN_Clip 1.0'!H29,IF(AND($B$3="Clip",$B$2="Zone 3"),'GCN_Clip 1.0'!H30,IF(AND($B$3="Clip",$B$2="Zone 4"),'GCN_Clip 1.0'!H31,IF(AND($B$3="Clip",$B$2="Zone 5"),'GCN_Clip 1.0'!H32,IF(AND($B$3="Post",$B$2="Zone 1"),'GCN_Post 1.0'!J312,IF(AND($B$3="Post",$B$2="Zone 2"),'GCN_Post 1.0'!K312,IF(AND($B$3="Post",$B$2="Zone 3"),'GCN_Post 1.0'!N312,IF(AND($B$3="Post",$B$2="Zone 4"),'GCN_Post 1.0'!O312,IF(AND($B$3="Post",$B$2="Zone 5"),'GCN_Post 1.0'!P312,"ERROR")))))))))))))))))))</f>
        <v/>
      </c>
      <c r="AD198" s="27" t="str">
        <f t="shared" si="32"/>
        <v/>
      </c>
      <c r="AE198" t="str">
        <f t="shared" si="33"/>
        <v/>
      </c>
      <c r="AF198" t="str">
        <f t="shared" si="34"/>
        <v/>
      </c>
      <c r="AG198" t="str">
        <f t="shared" si="35"/>
        <v/>
      </c>
      <c r="AH198" t="str">
        <f t="shared" si="36"/>
        <v/>
      </c>
      <c r="AI198" t="str">
        <f t="shared" si="37"/>
        <v/>
      </c>
      <c r="AJ198" s="82" t="str">
        <f>IF(AND($B$3="Cantilever",$B$2="Zone 1"),'GCM_Cantilever 1.0'!$H389,IF(AND($B$3="Cantilever",$B$2="Zone 2"),'GCM_Cantilever 1.0'!L389,IF(AND($B$3="HalfTracker",$B$2="Zone 1"),'GCM_Halftracker 1.0'!G404,IF(AND($B$3="HalfTracker",$B$2="Zone 2"),'GCM_Halftracker 1.0'!K404,IF(AND($B$3="Purlin",$B$2="Zone 1"),'GCM_Purlin 1.0'!G459,IF(AND($B$3="Purlin",$B$2="Zone 2"),'GCM_Purlin 1.0'!O459,IF(AND($B$3="Purlin",$B$2="Zone 3"),'GCM_Purlin 1.0'!Z459,IF(AND($B$3="Purlin",$B$2="Zone 4"),'GCM_Purlin 1.0'!AH459,IF(AND($B$3="Purlin",$B$2="Zone 5"),'GCM_Purlin 1.0'!AS459,IF(AND($B$3="Clip",$B$2="Zone 1"),'GCN_Clip 1.0'!#REF!,IF(AND($B$3="Clip",$B$2="Zone 2"),'GCN_Clip 1.0'!#REF!,IF(AND($B$3="Clip",$B$2="Zone 3"),'GCN_Clip 1.0'!#REF!,IF(AND($B$3="Clip",$B$2="Zone 4"),'GCN_Clip 1.0'!#REF!,IF(AND($B$3="Clip",$B$2="Zone 5"),'GCN_Clip 1.0'!#REF!,IF(AND($B$3="Post",$B$2="Zone 1"),'GCN_Post 1.0'!Q312,IF(AND($B$3="Post",$B$2="Zone 2"),'GCN_Post 1.0'!R312,IF(AND($B$3="Post",$B$2="Zone 3"),'GCN_Post 1.0'!S312,IF(AND($B$3="Post",$B$2="Zone 4"),'GCN_Post 1.0'!T312,IF(AND($B$3="Post",$B$2="Zone 5"),'GCN_Post 1.0'!V312,"ERROR")))))))))))))))))))</f>
        <v/>
      </c>
      <c r="AL198" s="27" t="str">
        <f t="shared" si="38"/>
        <v/>
      </c>
      <c r="AM198" t="str">
        <f t="shared" si="39"/>
        <v/>
      </c>
      <c r="AN198" t="str">
        <f t="shared" si="40"/>
        <v/>
      </c>
      <c r="AO198" t="str">
        <f t="shared" si="41"/>
        <v/>
      </c>
      <c r="AP198" t="str">
        <f t="shared" si="42"/>
        <v/>
      </c>
      <c r="AQ198" t="str">
        <f t="shared" si="43"/>
        <v/>
      </c>
      <c r="AR198" s="82" t="str">
        <f>IF(AND($B$3="Cantilever",$B$2="Zone 1"),'GCM_Cantilever 1.0'!$I389,IF(AND($B$3="Cantilever",$B$2="Zone 2"),'GCM_Cantilever 1.0'!M389,IF(AND($B$3="HalfTracker",$B$2="Zone 1"),'GCM_Halftracker 1.0'!H404,IF(AND($B$3="HalfTracker",$B$2="Zone 2"),'GCM_Halftracker 1.0'!L404,IF(AND($B$3="Purlin",$B$2="Zone 1"),'GCM_Purlin 1.0'!H459,IF(AND($B$3="Purlin",$B$2="Zone 2"),'GCM_Purlin 1.0'!P459,IF(AND($B$3="Purlin",$B$2="Zone 3"),'GCM_Purlin 1.0'!AA459,IF(AND($B$3="Purlin",$B$2="Zone 4"),'GCM_Purlin 1.0'!AI459,IF(AND($B$3="Purlin",$B$2="Zone 5"),'GCM_Purlin 1.0'!AT459,IF(AND($B$3="Clip",$B$2="Zone 1"),'GCN_Clip 1.0'!#REF!,IF(AND($B$3="Clip",$B$2="Zone 2"),'GCN_Clip 1.0'!#REF!,IF(AND($B$3="Clip",$B$2="Zone 3"),'GCN_Clip 1.0'!#REF!,IF(AND($B$3="Clip",$B$2="Zone 4"),'GCN_Clip 1.0'!#REF!,IF(AND($B$3="Clip",$B$2="Zone 5"),'GCN_Clip 1.0'!#REF!,IF(AND($B$3="Post",$B$2="Zone 1"),'GCN_Post 1.0'!W312,IF(AND($B$3="Post",$B$2="Zone 2"),'GCN_Post 1.0'!X312,IF(AND($B$3="Post",$B$2="Zone 3"),'GCN_Post 1.0'!Y312,IF(AND($B$3="Post",$B$2="Zone 4"),'GCN_Post 1.0'!Z312,IF(AND($B$3="Post",$B$2="Zone 5"),'GCN_Post 1.0'!AA312,"ERROR")))))))))))))))))))</f>
        <v/>
      </c>
    </row>
    <row r="199" spans="6:44" x14ac:dyDescent="0.25">
      <c r="F199">
        <v>26</v>
      </c>
      <c r="G199" s="27" t="str">
        <f t="shared" si="16"/>
        <v/>
      </c>
      <c r="H199" t="str">
        <f t="shared" si="17"/>
        <v/>
      </c>
      <c r="I199" t="str">
        <f t="shared" si="18"/>
        <v/>
      </c>
      <c r="J199" s="28" t="str">
        <f t="shared" si="19"/>
        <v/>
      </c>
      <c r="M199">
        <v>26</v>
      </c>
      <c r="N199" s="27" t="str">
        <f t="shared" si="20"/>
        <v/>
      </c>
      <c r="O199" t="str">
        <f t="shared" si="21"/>
        <v/>
      </c>
      <c r="P199" t="str">
        <f t="shared" si="22"/>
        <v/>
      </c>
      <c r="Q199" t="str">
        <f t="shared" si="23"/>
        <v/>
      </c>
      <c r="R199" t="str">
        <f t="shared" si="24"/>
        <v/>
      </c>
      <c r="S199" t="str">
        <f t="shared" si="25"/>
        <v/>
      </c>
      <c r="T199" s="82" t="str">
        <f>IF(AND($B$3="Cantilever",$B$2="Zone 1"),'GCM_Cantilever 1.0'!$F390,IF(AND($B$3="Cantilever",$B$2="Zone 2"),'GCM_Cantilever 1.0'!J390,IF(AND($B$3="HalfTracker",$B$2="Zone 1"),'GCM_Halftracker 1.0'!E405,IF(AND($B$3="HalfTracker",$B$2="Zone 2"),'GCM_Halftracker 1.0'!I405,IF(AND($B$3="Purlin",$B$2="Zone 1"),'GCM_Purlin 1.0'!E460,IF(AND($B$3="Purlin",$B$2="Zone 2"),'GCM_Purlin 1.0'!M460,IF(AND($B$3="Purlin",$B$2="Zone 3"),'GCM_Purlin 1.0'!X460,IF(AND($B$3="Purlin",$B$2="Zone 4"),'GCM_Purlin 1.0'!AF460,IF(AND($B$3="Purlin",$B$2="Zone 5"),'GCM_Purlin 1.0'!AQ460,IF(AND($B$3="Clip",$B$2="Zone 1"),'GCN_Clip 1.0'!G29,IF(AND($B$3="Clip",$B$2="Zone 2"),'GCN_Clip 1.0'!C30,IF(AND($B$3="Clip",$B$2="Zone 3"),'GCN_Clip 1.0'!G31,IF(AND($B$3="Clip",$B$2="Zone 4"),'GCN_Clip 1.0'!G32,IF(AND($B$3="Clip",$B$2="Zone 5"),'GCN_Clip 1.0'!G33,IF(AND($B$3="Post",$B$2="Zone 1"),'GCN_Post 1.0'!E313,IF(AND($B$3="Post",$B$2="Zone 2"),'GCN_Post 1.0'!F313,IF(AND($B$3="Post",$B$2="Zone 3"),'GCN_Post 1.0'!G313,IF(AND($B$3="Post",$B$2="Zone 4"),'GCN_Post 1.0'!H313,IF(AND($B$3="Post",$B$2="Zone 5"),'GCN_Post 1.0'!I313,"ERROR")))))))))))))))))))</f>
        <v/>
      </c>
      <c r="V199" s="27" t="str">
        <f t="shared" si="26"/>
        <v/>
      </c>
      <c r="W199" t="str">
        <f t="shared" si="27"/>
        <v/>
      </c>
      <c r="X199" t="str">
        <f t="shared" si="28"/>
        <v/>
      </c>
      <c r="Y199" t="str">
        <f t="shared" si="29"/>
        <v/>
      </c>
      <c r="Z199" t="str">
        <f t="shared" si="30"/>
        <v/>
      </c>
      <c r="AA199" t="str">
        <f t="shared" si="31"/>
        <v/>
      </c>
      <c r="AB199" s="82" t="str">
        <f>IF(AND($B$3="Cantilever",$B$2="Zone 1"),'GCM_Cantilever 1.0'!$G390,IF(AND($B$3="Cantilever",$B$2="Zone 2"),'GCM_Cantilever 1.0'!K390,IF(AND($B$3="HalfTracker",$B$2="Zone 1"),'GCM_Halftracker 1.0'!F405,IF(AND($B$3="HalfTracker",$B$2="Zone 2"),'GCM_Halftracker 1.0'!J405,IF(AND($B$3="Purlin",$B$2="Zone 1"),'GCM_Purlin 1.0'!F460,IF(AND($B$3="Purlin",$B$2="Zone 2"),'GCM_Purlin 1.0'!N460,IF(AND($B$3="Purlin",$B$2="Zone 3"),'GCM_Purlin 1.0'!Y460,IF(AND($B$3="Purlin",$B$2="Zone 4"),'GCM_Purlin 1.0'!AG460,IF(AND($B$3="Purlin",$B$2="Zone 5"),'GCM_Purlin 1.0'!AR460,IF(AND($B$3="Clip",$B$2="Zone 1"),'GCN_Clip 1.0'!H29,IF(AND($B$3="Clip",$B$2="Zone 2"),'GCN_Clip 1.0'!H30,IF(AND($B$3="Clip",$B$2="Zone 3"),'GCN_Clip 1.0'!H31,IF(AND($B$3="Clip",$B$2="Zone 4"),'GCN_Clip 1.0'!H32,IF(AND($B$3="Clip",$B$2="Zone 5"),'GCN_Clip 1.0'!H33,IF(AND($B$3="Post",$B$2="Zone 1"),'GCN_Post 1.0'!J313,IF(AND($B$3="Post",$B$2="Zone 2"),'GCN_Post 1.0'!K313,IF(AND($B$3="Post",$B$2="Zone 3"),'GCN_Post 1.0'!N313,IF(AND($B$3="Post",$B$2="Zone 4"),'GCN_Post 1.0'!O313,IF(AND($B$3="Post",$B$2="Zone 5"),'GCN_Post 1.0'!P313,"ERROR")))))))))))))))))))</f>
        <v/>
      </c>
      <c r="AD199" s="27" t="str">
        <f t="shared" si="32"/>
        <v/>
      </c>
      <c r="AE199" t="str">
        <f t="shared" si="33"/>
        <v/>
      </c>
      <c r="AF199" t="str">
        <f t="shared" si="34"/>
        <v/>
      </c>
      <c r="AG199" t="str">
        <f t="shared" si="35"/>
        <v/>
      </c>
      <c r="AH199" t="str">
        <f t="shared" si="36"/>
        <v/>
      </c>
      <c r="AI199" t="str">
        <f t="shared" si="37"/>
        <v/>
      </c>
      <c r="AJ199" s="82" t="str">
        <f>IF(AND($B$3="Cantilever",$B$2="Zone 1"),'GCM_Cantilever 1.0'!$H390,IF(AND($B$3="Cantilever",$B$2="Zone 2"),'GCM_Cantilever 1.0'!L390,IF(AND($B$3="HalfTracker",$B$2="Zone 1"),'GCM_Halftracker 1.0'!G405,IF(AND($B$3="HalfTracker",$B$2="Zone 2"),'GCM_Halftracker 1.0'!K405,IF(AND($B$3="Purlin",$B$2="Zone 1"),'GCM_Purlin 1.0'!G460,IF(AND($B$3="Purlin",$B$2="Zone 2"),'GCM_Purlin 1.0'!O460,IF(AND($B$3="Purlin",$B$2="Zone 3"),'GCM_Purlin 1.0'!Z460,IF(AND($B$3="Purlin",$B$2="Zone 4"),'GCM_Purlin 1.0'!AH460,IF(AND($B$3="Purlin",$B$2="Zone 5"),'GCM_Purlin 1.0'!AS460,IF(AND($B$3="Clip",$B$2="Zone 1"),'GCN_Clip 1.0'!#REF!,IF(AND($B$3="Clip",$B$2="Zone 2"),'GCN_Clip 1.0'!#REF!,IF(AND($B$3="Clip",$B$2="Zone 3"),'GCN_Clip 1.0'!#REF!,IF(AND($B$3="Clip",$B$2="Zone 4"),'GCN_Clip 1.0'!#REF!,IF(AND($B$3="Clip",$B$2="Zone 5"),'GCN_Clip 1.0'!#REF!,IF(AND($B$3="Post",$B$2="Zone 1"),'GCN_Post 1.0'!Q313,IF(AND($B$3="Post",$B$2="Zone 2"),'GCN_Post 1.0'!R313,IF(AND($B$3="Post",$B$2="Zone 3"),'GCN_Post 1.0'!S313,IF(AND($B$3="Post",$B$2="Zone 4"),'GCN_Post 1.0'!T313,IF(AND($B$3="Post",$B$2="Zone 5"),'GCN_Post 1.0'!V313,"ERROR")))))))))))))))))))</f>
        <v/>
      </c>
      <c r="AL199" s="27" t="str">
        <f t="shared" si="38"/>
        <v/>
      </c>
      <c r="AM199" t="str">
        <f t="shared" si="39"/>
        <v/>
      </c>
      <c r="AN199" t="str">
        <f t="shared" si="40"/>
        <v/>
      </c>
      <c r="AO199" t="str">
        <f t="shared" si="41"/>
        <v/>
      </c>
      <c r="AP199" t="str">
        <f t="shared" si="42"/>
        <v/>
      </c>
      <c r="AQ199" t="str">
        <f t="shared" si="43"/>
        <v/>
      </c>
      <c r="AR199" s="82" t="str">
        <f>IF(AND($B$3="Cantilever",$B$2="Zone 1"),'GCM_Cantilever 1.0'!$I390,IF(AND($B$3="Cantilever",$B$2="Zone 2"),'GCM_Cantilever 1.0'!M390,IF(AND($B$3="HalfTracker",$B$2="Zone 1"),'GCM_Halftracker 1.0'!H405,IF(AND($B$3="HalfTracker",$B$2="Zone 2"),'GCM_Halftracker 1.0'!L405,IF(AND($B$3="Purlin",$B$2="Zone 1"),'GCM_Purlin 1.0'!H460,IF(AND($B$3="Purlin",$B$2="Zone 2"),'GCM_Purlin 1.0'!P460,IF(AND($B$3="Purlin",$B$2="Zone 3"),'GCM_Purlin 1.0'!AA460,IF(AND($B$3="Purlin",$B$2="Zone 4"),'GCM_Purlin 1.0'!AI460,IF(AND($B$3="Purlin",$B$2="Zone 5"),'GCM_Purlin 1.0'!AT460,IF(AND($B$3="Clip",$B$2="Zone 1"),'GCN_Clip 1.0'!#REF!,IF(AND($B$3="Clip",$B$2="Zone 2"),'GCN_Clip 1.0'!#REF!,IF(AND($B$3="Clip",$B$2="Zone 3"),'GCN_Clip 1.0'!#REF!,IF(AND($B$3="Clip",$B$2="Zone 4"),'GCN_Clip 1.0'!#REF!,IF(AND($B$3="Clip",$B$2="Zone 5"),'GCN_Clip 1.0'!#REF!,IF(AND($B$3="Post",$B$2="Zone 1"),'GCN_Post 1.0'!W313,IF(AND($B$3="Post",$B$2="Zone 2"),'GCN_Post 1.0'!X313,IF(AND($B$3="Post",$B$2="Zone 3"),'GCN_Post 1.0'!Y313,IF(AND($B$3="Post",$B$2="Zone 4"),'GCN_Post 1.0'!Z313,IF(AND($B$3="Post",$B$2="Zone 5"),'GCN_Post 1.0'!AA313,"ERROR")))))))))))))))))))</f>
        <v/>
      </c>
    </row>
    <row r="200" spans="6:44" x14ac:dyDescent="0.25">
      <c r="F200">
        <v>27</v>
      </c>
      <c r="G200" s="27" t="str">
        <f t="shared" si="16"/>
        <v/>
      </c>
      <c r="H200" t="str">
        <f t="shared" si="17"/>
        <v/>
      </c>
      <c r="I200" t="str">
        <f t="shared" si="18"/>
        <v/>
      </c>
      <c r="J200" s="28" t="str">
        <f t="shared" si="19"/>
        <v/>
      </c>
      <c r="M200">
        <v>27</v>
      </c>
      <c r="N200" s="27" t="str">
        <f t="shared" si="20"/>
        <v/>
      </c>
      <c r="O200" t="str">
        <f t="shared" si="21"/>
        <v/>
      </c>
      <c r="P200" t="str">
        <f t="shared" si="22"/>
        <v/>
      </c>
      <c r="Q200" t="str">
        <f t="shared" si="23"/>
        <v/>
      </c>
      <c r="R200" t="str">
        <f t="shared" si="24"/>
        <v/>
      </c>
      <c r="S200" t="str">
        <f t="shared" si="25"/>
        <v/>
      </c>
      <c r="T200" s="82" t="str">
        <f>IF(AND($B$3="Cantilever",$B$2="Zone 1"),'GCM_Cantilever 1.0'!$F391,IF(AND($B$3="Cantilever",$B$2="Zone 2"),'GCM_Cantilever 1.0'!J391,IF(AND($B$3="HalfTracker",$B$2="Zone 1"),'GCM_Halftracker 1.0'!E406,IF(AND($B$3="HalfTracker",$B$2="Zone 2"),'GCM_Halftracker 1.0'!I406,IF(AND($B$3="Purlin",$B$2="Zone 1"),'GCM_Purlin 1.0'!E461,IF(AND($B$3="Purlin",$B$2="Zone 2"),'GCM_Purlin 1.0'!M461,IF(AND($B$3="Purlin",$B$2="Zone 3"),'GCM_Purlin 1.0'!X461,IF(AND($B$3="Purlin",$B$2="Zone 4"),'GCM_Purlin 1.0'!AF461,IF(AND($B$3="Purlin",$B$2="Zone 5"),'GCM_Purlin 1.0'!AQ461,IF(AND($B$3="Clip",$B$2="Zone 1"),'GCN_Clip 1.0'!G30,IF(AND($B$3="Clip",$B$2="Zone 2"),'GCN_Clip 1.0'!C31,IF(AND($B$3="Clip",$B$2="Zone 3"),'GCN_Clip 1.0'!G32,IF(AND($B$3="Clip",$B$2="Zone 4"),'GCN_Clip 1.0'!G33,IF(AND($B$3="Clip",$B$2="Zone 5"),'GCN_Clip 1.0'!G34,IF(AND($B$3="Post",$B$2="Zone 1"),'GCN_Post 1.0'!E314,IF(AND($B$3="Post",$B$2="Zone 2"),'GCN_Post 1.0'!F314,IF(AND($B$3="Post",$B$2="Zone 3"),'GCN_Post 1.0'!G314,IF(AND($B$3="Post",$B$2="Zone 4"),'GCN_Post 1.0'!H314,IF(AND($B$3="Post",$B$2="Zone 5"),'GCN_Post 1.0'!I314,"ERROR")))))))))))))))))))</f>
        <v/>
      </c>
      <c r="V200" s="27" t="str">
        <f t="shared" si="26"/>
        <v/>
      </c>
      <c r="W200" t="str">
        <f t="shared" si="27"/>
        <v/>
      </c>
      <c r="X200" t="str">
        <f t="shared" si="28"/>
        <v/>
      </c>
      <c r="Y200" t="str">
        <f t="shared" si="29"/>
        <v/>
      </c>
      <c r="Z200" t="str">
        <f t="shared" si="30"/>
        <v/>
      </c>
      <c r="AA200" t="str">
        <f t="shared" si="31"/>
        <v/>
      </c>
      <c r="AB200" s="82" t="str">
        <f>IF(AND($B$3="Cantilever",$B$2="Zone 1"),'GCM_Cantilever 1.0'!$G391,IF(AND($B$3="Cantilever",$B$2="Zone 2"),'GCM_Cantilever 1.0'!K391,IF(AND($B$3="HalfTracker",$B$2="Zone 1"),'GCM_Halftracker 1.0'!F406,IF(AND($B$3="HalfTracker",$B$2="Zone 2"),'GCM_Halftracker 1.0'!J406,IF(AND($B$3="Purlin",$B$2="Zone 1"),'GCM_Purlin 1.0'!F461,IF(AND($B$3="Purlin",$B$2="Zone 2"),'GCM_Purlin 1.0'!N461,IF(AND($B$3="Purlin",$B$2="Zone 3"),'GCM_Purlin 1.0'!Y461,IF(AND($B$3="Purlin",$B$2="Zone 4"),'GCM_Purlin 1.0'!AG461,IF(AND($B$3="Purlin",$B$2="Zone 5"),'GCM_Purlin 1.0'!AR461,IF(AND($B$3="Clip",$B$2="Zone 1"),'GCN_Clip 1.0'!H30,IF(AND($B$3="Clip",$B$2="Zone 2"),'GCN_Clip 1.0'!H31,IF(AND($B$3="Clip",$B$2="Zone 3"),'GCN_Clip 1.0'!H32,IF(AND($B$3="Clip",$B$2="Zone 4"),'GCN_Clip 1.0'!H33,IF(AND($B$3="Clip",$B$2="Zone 5"),'GCN_Clip 1.0'!H34,IF(AND($B$3="Post",$B$2="Zone 1"),'GCN_Post 1.0'!J314,IF(AND($B$3="Post",$B$2="Zone 2"),'GCN_Post 1.0'!K314,IF(AND($B$3="Post",$B$2="Zone 3"),'GCN_Post 1.0'!N314,IF(AND($B$3="Post",$B$2="Zone 4"),'GCN_Post 1.0'!O314,IF(AND($B$3="Post",$B$2="Zone 5"),'GCN_Post 1.0'!P314,"ERROR")))))))))))))))))))</f>
        <v/>
      </c>
      <c r="AD200" s="27" t="str">
        <f t="shared" si="32"/>
        <v/>
      </c>
      <c r="AE200" t="str">
        <f t="shared" si="33"/>
        <v/>
      </c>
      <c r="AF200" t="str">
        <f t="shared" si="34"/>
        <v/>
      </c>
      <c r="AG200" t="str">
        <f t="shared" si="35"/>
        <v/>
      </c>
      <c r="AH200" t="str">
        <f t="shared" si="36"/>
        <v/>
      </c>
      <c r="AI200" t="str">
        <f t="shared" si="37"/>
        <v/>
      </c>
      <c r="AJ200" s="82" t="str">
        <f>IF(AND($B$3="Cantilever",$B$2="Zone 1"),'GCM_Cantilever 1.0'!$H391,IF(AND($B$3="Cantilever",$B$2="Zone 2"),'GCM_Cantilever 1.0'!L391,IF(AND($B$3="HalfTracker",$B$2="Zone 1"),'GCM_Halftracker 1.0'!G406,IF(AND($B$3="HalfTracker",$B$2="Zone 2"),'GCM_Halftracker 1.0'!K406,IF(AND($B$3="Purlin",$B$2="Zone 1"),'GCM_Purlin 1.0'!G461,IF(AND($B$3="Purlin",$B$2="Zone 2"),'GCM_Purlin 1.0'!O461,IF(AND($B$3="Purlin",$B$2="Zone 3"),'GCM_Purlin 1.0'!Z461,IF(AND($B$3="Purlin",$B$2="Zone 4"),'GCM_Purlin 1.0'!AH461,IF(AND($B$3="Purlin",$B$2="Zone 5"),'GCM_Purlin 1.0'!AS461,IF(AND($B$3="Clip",$B$2="Zone 1"),'GCN_Clip 1.0'!#REF!,IF(AND($B$3="Clip",$B$2="Zone 2"),'GCN_Clip 1.0'!#REF!,IF(AND($B$3="Clip",$B$2="Zone 3"),'GCN_Clip 1.0'!#REF!,IF(AND($B$3="Clip",$B$2="Zone 4"),'GCN_Clip 1.0'!#REF!,IF(AND($B$3="Clip",$B$2="Zone 5"),'GCN_Clip 1.0'!#REF!,IF(AND($B$3="Post",$B$2="Zone 1"),'GCN_Post 1.0'!Q314,IF(AND($B$3="Post",$B$2="Zone 2"),'GCN_Post 1.0'!R314,IF(AND($B$3="Post",$B$2="Zone 3"),'GCN_Post 1.0'!S314,IF(AND($B$3="Post",$B$2="Zone 4"),'GCN_Post 1.0'!T314,IF(AND($B$3="Post",$B$2="Zone 5"),'GCN_Post 1.0'!V314,"ERROR")))))))))))))))))))</f>
        <v/>
      </c>
      <c r="AL200" s="27" t="str">
        <f t="shared" si="38"/>
        <v/>
      </c>
      <c r="AM200" t="str">
        <f t="shared" si="39"/>
        <v/>
      </c>
      <c r="AN200" t="str">
        <f t="shared" si="40"/>
        <v/>
      </c>
      <c r="AO200" t="str">
        <f t="shared" si="41"/>
        <v/>
      </c>
      <c r="AP200" t="str">
        <f t="shared" si="42"/>
        <v/>
      </c>
      <c r="AQ200" t="str">
        <f t="shared" si="43"/>
        <v/>
      </c>
      <c r="AR200" s="82" t="str">
        <f>IF(AND($B$3="Cantilever",$B$2="Zone 1"),'GCM_Cantilever 1.0'!$I391,IF(AND($B$3="Cantilever",$B$2="Zone 2"),'GCM_Cantilever 1.0'!M391,IF(AND($B$3="HalfTracker",$B$2="Zone 1"),'GCM_Halftracker 1.0'!H406,IF(AND($B$3="HalfTracker",$B$2="Zone 2"),'GCM_Halftracker 1.0'!L406,IF(AND($B$3="Purlin",$B$2="Zone 1"),'GCM_Purlin 1.0'!H461,IF(AND($B$3="Purlin",$B$2="Zone 2"),'GCM_Purlin 1.0'!P461,IF(AND($B$3="Purlin",$B$2="Zone 3"),'GCM_Purlin 1.0'!AA461,IF(AND($B$3="Purlin",$B$2="Zone 4"),'GCM_Purlin 1.0'!AI461,IF(AND($B$3="Purlin",$B$2="Zone 5"),'GCM_Purlin 1.0'!AT461,IF(AND($B$3="Clip",$B$2="Zone 1"),'GCN_Clip 1.0'!#REF!,IF(AND($B$3="Clip",$B$2="Zone 2"),'GCN_Clip 1.0'!#REF!,IF(AND($B$3="Clip",$B$2="Zone 3"),'GCN_Clip 1.0'!#REF!,IF(AND($B$3="Clip",$B$2="Zone 4"),'GCN_Clip 1.0'!#REF!,IF(AND($B$3="Clip",$B$2="Zone 5"),'GCN_Clip 1.0'!#REF!,IF(AND($B$3="Post",$B$2="Zone 1"),'GCN_Post 1.0'!W314,IF(AND($B$3="Post",$B$2="Zone 2"),'GCN_Post 1.0'!X314,IF(AND($B$3="Post",$B$2="Zone 3"),'GCN_Post 1.0'!Y314,IF(AND($B$3="Post",$B$2="Zone 4"),'GCN_Post 1.0'!Z314,IF(AND($B$3="Post",$B$2="Zone 5"),'GCN_Post 1.0'!AA314,"ERROR")))))))))))))))))))</f>
        <v/>
      </c>
    </row>
    <row r="201" spans="6:44" x14ac:dyDescent="0.25">
      <c r="F201">
        <v>28</v>
      </c>
      <c r="G201" s="27" t="str">
        <f t="shared" si="16"/>
        <v/>
      </c>
      <c r="H201" t="str">
        <f t="shared" si="17"/>
        <v/>
      </c>
      <c r="I201" t="str">
        <f t="shared" si="18"/>
        <v/>
      </c>
      <c r="J201" s="28" t="str">
        <f t="shared" si="19"/>
        <v/>
      </c>
      <c r="M201">
        <v>28</v>
      </c>
      <c r="N201" s="27" t="str">
        <f t="shared" si="20"/>
        <v/>
      </c>
      <c r="O201" t="str">
        <f t="shared" si="21"/>
        <v/>
      </c>
      <c r="P201" t="str">
        <f t="shared" si="22"/>
        <v/>
      </c>
      <c r="Q201" t="str">
        <f t="shared" si="23"/>
        <v/>
      </c>
      <c r="R201" t="str">
        <f t="shared" si="24"/>
        <v/>
      </c>
      <c r="S201" t="str">
        <f t="shared" si="25"/>
        <v/>
      </c>
      <c r="T201" s="82" t="str">
        <f>IF(AND($B$3="Cantilever",$B$2="Zone 1"),'GCM_Cantilever 1.0'!$F392,IF(AND($B$3="Cantilever",$B$2="Zone 2"),'GCM_Cantilever 1.0'!J392,IF(AND($B$3="HalfTracker",$B$2="Zone 1"),'GCM_Halftracker 1.0'!E407,IF(AND($B$3="HalfTracker",$B$2="Zone 2"),'GCM_Halftracker 1.0'!I407,IF(AND($B$3="Purlin",$B$2="Zone 1"),'GCM_Purlin 1.0'!E462,IF(AND($B$3="Purlin",$B$2="Zone 2"),'GCM_Purlin 1.0'!M462,IF(AND($B$3="Purlin",$B$2="Zone 3"),'GCM_Purlin 1.0'!X462,IF(AND($B$3="Purlin",$B$2="Zone 4"),'GCM_Purlin 1.0'!AF462,IF(AND($B$3="Purlin",$B$2="Zone 5"),'GCM_Purlin 1.0'!AQ462,IF(AND($B$3="Clip",$B$2="Zone 1"),'GCN_Clip 1.0'!G31,IF(AND($B$3="Clip",$B$2="Zone 2"),'GCN_Clip 1.0'!C32,IF(AND($B$3="Clip",$B$2="Zone 3"),'GCN_Clip 1.0'!G33,IF(AND($B$3="Clip",$B$2="Zone 4"),'GCN_Clip 1.0'!G34,IF(AND($B$3="Clip",$B$2="Zone 5"),'GCN_Clip 1.0'!G35,IF(AND($B$3="Post",$B$2="Zone 1"),'GCN_Post 1.0'!E315,IF(AND($B$3="Post",$B$2="Zone 2"),'GCN_Post 1.0'!F315,IF(AND($B$3="Post",$B$2="Zone 3"),'GCN_Post 1.0'!G315,IF(AND($B$3="Post",$B$2="Zone 4"),'GCN_Post 1.0'!H315,IF(AND($B$3="Post",$B$2="Zone 5"),'GCN_Post 1.0'!I315,"ERROR")))))))))))))))))))</f>
        <v/>
      </c>
      <c r="V201" s="27" t="str">
        <f t="shared" si="26"/>
        <v/>
      </c>
      <c r="W201" t="str">
        <f t="shared" si="27"/>
        <v/>
      </c>
      <c r="X201" t="str">
        <f t="shared" si="28"/>
        <v/>
      </c>
      <c r="Y201" t="str">
        <f t="shared" si="29"/>
        <v/>
      </c>
      <c r="Z201" t="str">
        <f t="shared" si="30"/>
        <v/>
      </c>
      <c r="AA201" t="str">
        <f t="shared" si="31"/>
        <v/>
      </c>
      <c r="AB201" s="82" t="str">
        <f>IF(AND($B$3="Cantilever",$B$2="Zone 1"),'GCM_Cantilever 1.0'!$G392,IF(AND($B$3="Cantilever",$B$2="Zone 2"),'GCM_Cantilever 1.0'!K392,IF(AND($B$3="HalfTracker",$B$2="Zone 1"),'GCM_Halftracker 1.0'!F407,IF(AND($B$3="HalfTracker",$B$2="Zone 2"),'GCM_Halftracker 1.0'!J407,IF(AND($B$3="Purlin",$B$2="Zone 1"),'GCM_Purlin 1.0'!F462,IF(AND($B$3="Purlin",$B$2="Zone 2"),'GCM_Purlin 1.0'!N462,IF(AND($B$3="Purlin",$B$2="Zone 3"),'GCM_Purlin 1.0'!Y462,IF(AND($B$3="Purlin",$B$2="Zone 4"),'GCM_Purlin 1.0'!AG462,IF(AND($B$3="Purlin",$B$2="Zone 5"),'GCM_Purlin 1.0'!AR462,IF(AND($B$3="Clip",$B$2="Zone 1"),'GCN_Clip 1.0'!H31,IF(AND($B$3="Clip",$B$2="Zone 2"),'GCN_Clip 1.0'!H32,IF(AND($B$3="Clip",$B$2="Zone 3"),'GCN_Clip 1.0'!H33,IF(AND($B$3="Clip",$B$2="Zone 4"),'GCN_Clip 1.0'!H34,IF(AND($B$3="Clip",$B$2="Zone 5"),'GCN_Clip 1.0'!H35,IF(AND($B$3="Post",$B$2="Zone 1"),'GCN_Post 1.0'!J315,IF(AND($B$3="Post",$B$2="Zone 2"),'GCN_Post 1.0'!K315,IF(AND($B$3="Post",$B$2="Zone 3"),'GCN_Post 1.0'!N315,IF(AND($B$3="Post",$B$2="Zone 4"),'GCN_Post 1.0'!O315,IF(AND($B$3="Post",$B$2="Zone 5"),'GCN_Post 1.0'!P315,"ERROR")))))))))))))))))))</f>
        <v/>
      </c>
      <c r="AD201" s="27" t="str">
        <f t="shared" si="32"/>
        <v/>
      </c>
      <c r="AE201" t="str">
        <f t="shared" si="33"/>
        <v/>
      </c>
      <c r="AF201" t="str">
        <f t="shared" si="34"/>
        <v/>
      </c>
      <c r="AG201" t="str">
        <f t="shared" si="35"/>
        <v/>
      </c>
      <c r="AH201" t="str">
        <f t="shared" si="36"/>
        <v/>
      </c>
      <c r="AI201" t="str">
        <f t="shared" si="37"/>
        <v/>
      </c>
      <c r="AJ201" s="82" t="str">
        <f>IF(AND($B$3="Cantilever",$B$2="Zone 1"),'GCM_Cantilever 1.0'!$H392,IF(AND($B$3="Cantilever",$B$2="Zone 2"),'GCM_Cantilever 1.0'!L392,IF(AND($B$3="HalfTracker",$B$2="Zone 1"),'GCM_Halftracker 1.0'!G407,IF(AND($B$3="HalfTracker",$B$2="Zone 2"),'GCM_Halftracker 1.0'!K407,IF(AND($B$3="Purlin",$B$2="Zone 1"),'GCM_Purlin 1.0'!G462,IF(AND($B$3="Purlin",$B$2="Zone 2"),'GCM_Purlin 1.0'!O462,IF(AND($B$3="Purlin",$B$2="Zone 3"),'GCM_Purlin 1.0'!Z462,IF(AND($B$3="Purlin",$B$2="Zone 4"),'GCM_Purlin 1.0'!AH462,IF(AND($B$3="Purlin",$B$2="Zone 5"),'GCM_Purlin 1.0'!AS462,IF(AND($B$3="Clip",$B$2="Zone 1"),'GCN_Clip 1.0'!#REF!,IF(AND($B$3="Clip",$B$2="Zone 2"),'GCN_Clip 1.0'!#REF!,IF(AND($B$3="Clip",$B$2="Zone 3"),'GCN_Clip 1.0'!#REF!,IF(AND($B$3="Clip",$B$2="Zone 4"),'GCN_Clip 1.0'!#REF!,IF(AND($B$3="Clip",$B$2="Zone 5"),'GCN_Clip 1.0'!#REF!,IF(AND($B$3="Post",$B$2="Zone 1"),'GCN_Post 1.0'!Q315,IF(AND($B$3="Post",$B$2="Zone 2"),'GCN_Post 1.0'!R315,IF(AND($B$3="Post",$B$2="Zone 3"),'GCN_Post 1.0'!S315,IF(AND($B$3="Post",$B$2="Zone 4"),'GCN_Post 1.0'!T315,IF(AND($B$3="Post",$B$2="Zone 5"),'GCN_Post 1.0'!V315,"ERROR")))))))))))))))))))</f>
        <v/>
      </c>
      <c r="AL201" s="27" t="str">
        <f t="shared" si="38"/>
        <v/>
      </c>
      <c r="AM201" t="str">
        <f t="shared" si="39"/>
        <v/>
      </c>
      <c r="AN201" t="str">
        <f t="shared" si="40"/>
        <v/>
      </c>
      <c r="AO201" t="str">
        <f t="shared" si="41"/>
        <v/>
      </c>
      <c r="AP201" t="str">
        <f t="shared" si="42"/>
        <v/>
      </c>
      <c r="AQ201" t="str">
        <f t="shared" si="43"/>
        <v/>
      </c>
      <c r="AR201" s="82" t="str">
        <f>IF(AND($B$3="Cantilever",$B$2="Zone 1"),'GCM_Cantilever 1.0'!$I392,IF(AND($B$3="Cantilever",$B$2="Zone 2"),'GCM_Cantilever 1.0'!M392,IF(AND($B$3="HalfTracker",$B$2="Zone 1"),'GCM_Halftracker 1.0'!H407,IF(AND($B$3="HalfTracker",$B$2="Zone 2"),'GCM_Halftracker 1.0'!L407,IF(AND($B$3="Purlin",$B$2="Zone 1"),'GCM_Purlin 1.0'!H462,IF(AND($B$3="Purlin",$B$2="Zone 2"),'GCM_Purlin 1.0'!P462,IF(AND($B$3="Purlin",$B$2="Zone 3"),'GCM_Purlin 1.0'!AA462,IF(AND($B$3="Purlin",$B$2="Zone 4"),'GCM_Purlin 1.0'!AI462,IF(AND($B$3="Purlin",$B$2="Zone 5"),'GCM_Purlin 1.0'!AT462,IF(AND($B$3="Clip",$B$2="Zone 1"),'GCN_Clip 1.0'!#REF!,IF(AND($B$3="Clip",$B$2="Zone 2"),'GCN_Clip 1.0'!#REF!,IF(AND($B$3="Clip",$B$2="Zone 3"),'GCN_Clip 1.0'!#REF!,IF(AND($B$3="Clip",$B$2="Zone 4"),'GCN_Clip 1.0'!#REF!,IF(AND($B$3="Clip",$B$2="Zone 5"),'GCN_Clip 1.0'!#REF!,IF(AND($B$3="Post",$B$2="Zone 1"),'GCN_Post 1.0'!W315,IF(AND($B$3="Post",$B$2="Zone 2"),'GCN_Post 1.0'!X315,IF(AND($B$3="Post",$B$2="Zone 3"),'GCN_Post 1.0'!Y315,IF(AND($B$3="Post",$B$2="Zone 4"),'GCN_Post 1.0'!Z315,IF(AND($B$3="Post",$B$2="Zone 5"),'GCN_Post 1.0'!AA315,"ERROR")))))))))))))))))))</f>
        <v/>
      </c>
    </row>
    <row r="202" spans="6:44" x14ac:dyDescent="0.25">
      <c r="F202">
        <v>29</v>
      </c>
      <c r="G202" s="27" t="str">
        <f t="shared" si="16"/>
        <v/>
      </c>
      <c r="H202" t="str">
        <f t="shared" si="17"/>
        <v/>
      </c>
      <c r="I202" t="str">
        <f t="shared" si="18"/>
        <v/>
      </c>
      <c r="J202" s="28" t="str">
        <f t="shared" si="19"/>
        <v/>
      </c>
      <c r="M202">
        <v>29</v>
      </c>
      <c r="N202" s="27" t="str">
        <f t="shared" si="20"/>
        <v/>
      </c>
      <c r="O202" t="str">
        <f t="shared" si="21"/>
        <v/>
      </c>
      <c r="P202" t="str">
        <f t="shared" si="22"/>
        <v/>
      </c>
      <c r="Q202" t="str">
        <f t="shared" si="23"/>
        <v/>
      </c>
      <c r="R202" t="str">
        <f t="shared" si="24"/>
        <v/>
      </c>
      <c r="S202" t="str">
        <f t="shared" si="25"/>
        <v/>
      </c>
      <c r="T202" s="82" t="str">
        <f>IF(AND($B$3="Cantilever",$B$2="Zone 1"),'GCM_Cantilever 1.0'!$F393,IF(AND($B$3="Cantilever",$B$2="Zone 2"),'GCM_Cantilever 1.0'!J393,IF(AND($B$3="HalfTracker",$B$2="Zone 1"),'GCM_Halftracker 1.0'!E408,IF(AND($B$3="HalfTracker",$B$2="Zone 2"),'GCM_Halftracker 1.0'!I408,IF(AND($B$3="Purlin",$B$2="Zone 1"),'GCM_Purlin 1.0'!E463,IF(AND($B$3="Purlin",$B$2="Zone 2"),'GCM_Purlin 1.0'!M463,IF(AND($B$3="Purlin",$B$2="Zone 3"),'GCM_Purlin 1.0'!X463,IF(AND($B$3="Purlin",$B$2="Zone 4"),'GCM_Purlin 1.0'!AF463,IF(AND($B$3="Purlin",$B$2="Zone 5"),'GCM_Purlin 1.0'!AQ463,IF(AND($B$3="Clip",$B$2="Zone 1"),'GCN_Clip 1.0'!G32,IF(AND($B$3="Clip",$B$2="Zone 2"),'GCN_Clip 1.0'!C33,IF(AND($B$3="Clip",$B$2="Zone 3"),'GCN_Clip 1.0'!G34,IF(AND($B$3="Clip",$B$2="Zone 4"),'GCN_Clip 1.0'!G35,IF(AND($B$3="Clip",$B$2="Zone 5"),'GCN_Clip 1.0'!G36,IF(AND($B$3="Post",$B$2="Zone 1"),'GCN_Post 1.0'!E316,IF(AND($B$3="Post",$B$2="Zone 2"),'GCN_Post 1.0'!F316,IF(AND($B$3="Post",$B$2="Zone 3"),'GCN_Post 1.0'!G316,IF(AND($B$3="Post",$B$2="Zone 4"),'GCN_Post 1.0'!H316,IF(AND($B$3="Post",$B$2="Zone 5"),'GCN_Post 1.0'!I316,"ERROR")))))))))))))))))))</f>
        <v/>
      </c>
      <c r="V202" s="27" t="str">
        <f t="shared" si="26"/>
        <v/>
      </c>
      <c r="W202" t="str">
        <f t="shared" si="27"/>
        <v/>
      </c>
      <c r="X202" t="str">
        <f t="shared" si="28"/>
        <v/>
      </c>
      <c r="Y202" t="str">
        <f t="shared" si="29"/>
        <v/>
      </c>
      <c r="Z202" t="str">
        <f t="shared" si="30"/>
        <v/>
      </c>
      <c r="AA202" t="str">
        <f t="shared" si="31"/>
        <v/>
      </c>
      <c r="AB202" s="82" t="str">
        <f>IF(AND($B$3="Cantilever",$B$2="Zone 1"),'GCM_Cantilever 1.0'!$G393,IF(AND($B$3="Cantilever",$B$2="Zone 2"),'GCM_Cantilever 1.0'!K393,IF(AND($B$3="HalfTracker",$B$2="Zone 1"),'GCM_Halftracker 1.0'!F408,IF(AND($B$3="HalfTracker",$B$2="Zone 2"),'GCM_Halftracker 1.0'!J408,IF(AND($B$3="Purlin",$B$2="Zone 1"),'GCM_Purlin 1.0'!F463,IF(AND($B$3="Purlin",$B$2="Zone 2"),'GCM_Purlin 1.0'!N463,IF(AND($B$3="Purlin",$B$2="Zone 3"),'GCM_Purlin 1.0'!Y463,IF(AND($B$3="Purlin",$B$2="Zone 4"),'GCM_Purlin 1.0'!AG463,IF(AND($B$3="Purlin",$B$2="Zone 5"),'GCM_Purlin 1.0'!AR463,IF(AND($B$3="Clip",$B$2="Zone 1"),'GCN_Clip 1.0'!H32,IF(AND($B$3="Clip",$B$2="Zone 2"),'GCN_Clip 1.0'!H33,IF(AND($B$3="Clip",$B$2="Zone 3"),'GCN_Clip 1.0'!H34,IF(AND($B$3="Clip",$B$2="Zone 4"),'GCN_Clip 1.0'!H35,IF(AND($B$3="Clip",$B$2="Zone 5"),'GCN_Clip 1.0'!H36,IF(AND($B$3="Post",$B$2="Zone 1"),'GCN_Post 1.0'!J316,IF(AND($B$3="Post",$B$2="Zone 2"),'GCN_Post 1.0'!K316,IF(AND($B$3="Post",$B$2="Zone 3"),'GCN_Post 1.0'!N316,IF(AND($B$3="Post",$B$2="Zone 4"),'GCN_Post 1.0'!O316,IF(AND($B$3="Post",$B$2="Zone 5"),'GCN_Post 1.0'!P316,"ERROR")))))))))))))))))))</f>
        <v/>
      </c>
      <c r="AD202" s="27" t="str">
        <f t="shared" si="32"/>
        <v/>
      </c>
      <c r="AE202" t="str">
        <f t="shared" si="33"/>
        <v/>
      </c>
      <c r="AF202" t="str">
        <f t="shared" si="34"/>
        <v/>
      </c>
      <c r="AG202" t="str">
        <f t="shared" si="35"/>
        <v/>
      </c>
      <c r="AH202" t="str">
        <f t="shared" si="36"/>
        <v/>
      </c>
      <c r="AI202" t="str">
        <f t="shared" si="37"/>
        <v/>
      </c>
      <c r="AJ202" s="82" t="str">
        <f>IF(AND($B$3="Cantilever",$B$2="Zone 1"),'GCM_Cantilever 1.0'!$H393,IF(AND($B$3="Cantilever",$B$2="Zone 2"),'GCM_Cantilever 1.0'!L393,IF(AND($B$3="HalfTracker",$B$2="Zone 1"),'GCM_Halftracker 1.0'!G408,IF(AND($B$3="HalfTracker",$B$2="Zone 2"),'GCM_Halftracker 1.0'!K408,IF(AND($B$3="Purlin",$B$2="Zone 1"),'GCM_Purlin 1.0'!G463,IF(AND($B$3="Purlin",$B$2="Zone 2"),'GCM_Purlin 1.0'!O463,IF(AND($B$3="Purlin",$B$2="Zone 3"),'GCM_Purlin 1.0'!Z463,IF(AND($B$3="Purlin",$B$2="Zone 4"),'GCM_Purlin 1.0'!AH463,IF(AND($B$3="Purlin",$B$2="Zone 5"),'GCM_Purlin 1.0'!AS463,IF(AND($B$3="Clip",$B$2="Zone 1"),'GCN_Clip 1.0'!#REF!,IF(AND($B$3="Clip",$B$2="Zone 2"),'GCN_Clip 1.0'!#REF!,IF(AND($B$3="Clip",$B$2="Zone 3"),'GCN_Clip 1.0'!#REF!,IF(AND($B$3="Clip",$B$2="Zone 4"),'GCN_Clip 1.0'!#REF!,IF(AND($B$3="Clip",$B$2="Zone 5"),'GCN_Clip 1.0'!#REF!,IF(AND($B$3="Post",$B$2="Zone 1"),'GCN_Post 1.0'!Q316,IF(AND($B$3="Post",$B$2="Zone 2"),'GCN_Post 1.0'!R316,IF(AND($B$3="Post",$B$2="Zone 3"),'GCN_Post 1.0'!S316,IF(AND($B$3="Post",$B$2="Zone 4"),'GCN_Post 1.0'!T316,IF(AND($B$3="Post",$B$2="Zone 5"),'GCN_Post 1.0'!V316,"ERROR")))))))))))))))))))</f>
        <v/>
      </c>
      <c r="AL202" s="27" t="str">
        <f t="shared" si="38"/>
        <v/>
      </c>
      <c r="AM202" t="str">
        <f t="shared" si="39"/>
        <v/>
      </c>
      <c r="AN202" t="str">
        <f t="shared" si="40"/>
        <v/>
      </c>
      <c r="AO202" t="str">
        <f t="shared" si="41"/>
        <v/>
      </c>
      <c r="AP202" t="str">
        <f t="shared" si="42"/>
        <v/>
      </c>
      <c r="AQ202" t="str">
        <f t="shared" si="43"/>
        <v/>
      </c>
      <c r="AR202" s="82" t="str">
        <f>IF(AND($B$3="Cantilever",$B$2="Zone 1"),'GCM_Cantilever 1.0'!$I393,IF(AND($B$3="Cantilever",$B$2="Zone 2"),'GCM_Cantilever 1.0'!M393,IF(AND($B$3="HalfTracker",$B$2="Zone 1"),'GCM_Halftracker 1.0'!H408,IF(AND($B$3="HalfTracker",$B$2="Zone 2"),'GCM_Halftracker 1.0'!L408,IF(AND($B$3="Purlin",$B$2="Zone 1"),'GCM_Purlin 1.0'!H463,IF(AND($B$3="Purlin",$B$2="Zone 2"),'GCM_Purlin 1.0'!P463,IF(AND($B$3="Purlin",$B$2="Zone 3"),'GCM_Purlin 1.0'!AA463,IF(AND($B$3="Purlin",$B$2="Zone 4"),'GCM_Purlin 1.0'!AI463,IF(AND($B$3="Purlin",$B$2="Zone 5"),'GCM_Purlin 1.0'!AT463,IF(AND($B$3="Clip",$B$2="Zone 1"),'GCN_Clip 1.0'!#REF!,IF(AND($B$3="Clip",$B$2="Zone 2"),'GCN_Clip 1.0'!#REF!,IF(AND($B$3="Clip",$B$2="Zone 3"),'GCN_Clip 1.0'!#REF!,IF(AND($B$3="Clip",$B$2="Zone 4"),'GCN_Clip 1.0'!#REF!,IF(AND($B$3="Clip",$B$2="Zone 5"),'GCN_Clip 1.0'!#REF!,IF(AND($B$3="Post",$B$2="Zone 1"),'GCN_Post 1.0'!W316,IF(AND($B$3="Post",$B$2="Zone 2"),'GCN_Post 1.0'!X316,IF(AND($B$3="Post",$B$2="Zone 3"),'GCN_Post 1.0'!Y316,IF(AND($B$3="Post",$B$2="Zone 4"),'GCN_Post 1.0'!Z316,IF(AND($B$3="Post",$B$2="Zone 5"),'GCN_Post 1.0'!AA316,"ERROR")))))))))))))))))))</f>
        <v/>
      </c>
    </row>
    <row r="203" spans="6:44" x14ac:dyDescent="0.25">
      <c r="F203">
        <v>30</v>
      </c>
      <c r="G203" s="27" t="str">
        <f t="shared" si="16"/>
        <v/>
      </c>
      <c r="H203" t="str">
        <f t="shared" si="17"/>
        <v/>
      </c>
      <c r="I203" t="str">
        <f t="shared" si="18"/>
        <v/>
      </c>
      <c r="J203" s="28" t="str">
        <f t="shared" si="19"/>
        <v/>
      </c>
      <c r="M203">
        <v>30</v>
      </c>
      <c r="N203" s="27" t="str">
        <f t="shared" si="20"/>
        <v/>
      </c>
      <c r="O203" t="str">
        <f t="shared" si="21"/>
        <v/>
      </c>
      <c r="P203" t="str">
        <f t="shared" si="22"/>
        <v/>
      </c>
      <c r="Q203" t="str">
        <f t="shared" si="23"/>
        <v/>
      </c>
      <c r="R203" t="str">
        <f t="shared" si="24"/>
        <v/>
      </c>
      <c r="S203" t="str">
        <f t="shared" si="25"/>
        <v/>
      </c>
      <c r="T203" s="82" t="str">
        <f>IF(AND($B$3="Cantilever",$B$2="Zone 1"),'GCM_Cantilever 1.0'!$F394,IF(AND($B$3="Cantilever",$B$2="Zone 2"),'GCM_Cantilever 1.0'!J394,IF(AND($B$3="HalfTracker",$B$2="Zone 1"),'GCM_Halftracker 1.0'!E409,IF(AND($B$3="HalfTracker",$B$2="Zone 2"),'GCM_Halftracker 1.0'!I409,IF(AND($B$3="Purlin",$B$2="Zone 1"),'GCM_Purlin 1.0'!E464,IF(AND($B$3="Purlin",$B$2="Zone 2"),'GCM_Purlin 1.0'!M464,IF(AND($B$3="Purlin",$B$2="Zone 3"),'GCM_Purlin 1.0'!X464,IF(AND($B$3="Purlin",$B$2="Zone 4"),'GCM_Purlin 1.0'!AF464,IF(AND($B$3="Purlin",$B$2="Zone 5"),'GCM_Purlin 1.0'!AQ464,IF(AND($B$3="Clip",$B$2="Zone 1"),'GCN_Clip 1.0'!G33,IF(AND($B$3="Clip",$B$2="Zone 2"),'GCN_Clip 1.0'!C34,IF(AND($B$3="Clip",$B$2="Zone 3"),'GCN_Clip 1.0'!G35,IF(AND($B$3="Clip",$B$2="Zone 4"),'GCN_Clip 1.0'!G36,IF(AND($B$3="Clip",$B$2="Zone 5"),'GCN_Clip 1.0'!G37,IF(AND($B$3="Post",$B$2="Zone 1"),'GCN_Post 1.0'!E317,IF(AND($B$3="Post",$B$2="Zone 2"),'GCN_Post 1.0'!F317,IF(AND($B$3="Post",$B$2="Zone 3"),'GCN_Post 1.0'!G317,IF(AND($B$3="Post",$B$2="Zone 4"),'GCN_Post 1.0'!H317,IF(AND($B$3="Post",$B$2="Zone 5"),'GCN_Post 1.0'!I317,"ERROR")))))))))))))))))))</f>
        <v/>
      </c>
      <c r="V203" s="27" t="str">
        <f t="shared" si="26"/>
        <v/>
      </c>
      <c r="W203" t="str">
        <f t="shared" si="27"/>
        <v/>
      </c>
      <c r="X203" t="str">
        <f t="shared" si="28"/>
        <v/>
      </c>
      <c r="Y203" t="str">
        <f t="shared" si="29"/>
        <v/>
      </c>
      <c r="Z203" t="str">
        <f t="shared" si="30"/>
        <v/>
      </c>
      <c r="AA203" t="str">
        <f t="shared" si="31"/>
        <v/>
      </c>
      <c r="AB203" s="82" t="str">
        <f>IF(AND($B$3="Cantilever",$B$2="Zone 1"),'GCM_Cantilever 1.0'!$G394,IF(AND($B$3="Cantilever",$B$2="Zone 2"),'GCM_Cantilever 1.0'!K394,IF(AND($B$3="HalfTracker",$B$2="Zone 1"),'GCM_Halftracker 1.0'!F409,IF(AND($B$3="HalfTracker",$B$2="Zone 2"),'GCM_Halftracker 1.0'!J409,IF(AND($B$3="Purlin",$B$2="Zone 1"),'GCM_Purlin 1.0'!F464,IF(AND($B$3="Purlin",$B$2="Zone 2"),'GCM_Purlin 1.0'!N464,IF(AND($B$3="Purlin",$B$2="Zone 3"),'GCM_Purlin 1.0'!Y464,IF(AND($B$3="Purlin",$B$2="Zone 4"),'GCM_Purlin 1.0'!AG464,IF(AND($B$3="Purlin",$B$2="Zone 5"),'GCM_Purlin 1.0'!AR464,IF(AND($B$3="Clip",$B$2="Zone 1"),'GCN_Clip 1.0'!H33,IF(AND($B$3="Clip",$B$2="Zone 2"),'GCN_Clip 1.0'!H34,IF(AND($B$3="Clip",$B$2="Zone 3"),'GCN_Clip 1.0'!H35,IF(AND($B$3="Clip",$B$2="Zone 4"),'GCN_Clip 1.0'!H36,IF(AND($B$3="Clip",$B$2="Zone 5"),'GCN_Clip 1.0'!H37,IF(AND($B$3="Post",$B$2="Zone 1"),'GCN_Post 1.0'!J317,IF(AND($B$3="Post",$B$2="Zone 2"),'GCN_Post 1.0'!K317,IF(AND($B$3="Post",$B$2="Zone 3"),'GCN_Post 1.0'!N317,IF(AND($B$3="Post",$B$2="Zone 4"),'GCN_Post 1.0'!O317,IF(AND($B$3="Post",$B$2="Zone 5"),'GCN_Post 1.0'!P317,"ERROR")))))))))))))))))))</f>
        <v/>
      </c>
      <c r="AD203" s="27" t="str">
        <f t="shared" si="32"/>
        <v/>
      </c>
      <c r="AE203" t="str">
        <f t="shared" si="33"/>
        <v/>
      </c>
      <c r="AF203" t="str">
        <f t="shared" si="34"/>
        <v/>
      </c>
      <c r="AG203" t="str">
        <f t="shared" si="35"/>
        <v/>
      </c>
      <c r="AH203" t="str">
        <f t="shared" si="36"/>
        <v/>
      </c>
      <c r="AI203" t="str">
        <f t="shared" si="37"/>
        <v/>
      </c>
      <c r="AJ203" s="82" t="str">
        <f>IF(AND($B$3="Cantilever",$B$2="Zone 1"),'GCM_Cantilever 1.0'!$H394,IF(AND($B$3="Cantilever",$B$2="Zone 2"),'GCM_Cantilever 1.0'!L394,IF(AND($B$3="HalfTracker",$B$2="Zone 1"),'GCM_Halftracker 1.0'!G409,IF(AND($B$3="HalfTracker",$B$2="Zone 2"),'GCM_Halftracker 1.0'!K409,IF(AND($B$3="Purlin",$B$2="Zone 1"),'GCM_Purlin 1.0'!G464,IF(AND($B$3="Purlin",$B$2="Zone 2"),'GCM_Purlin 1.0'!O464,IF(AND($B$3="Purlin",$B$2="Zone 3"),'GCM_Purlin 1.0'!Z464,IF(AND($B$3="Purlin",$B$2="Zone 4"),'GCM_Purlin 1.0'!AH464,IF(AND($B$3="Purlin",$B$2="Zone 5"),'GCM_Purlin 1.0'!AS464,IF(AND($B$3="Clip",$B$2="Zone 1"),'GCN_Clip 1.0'!#REF!,IF(AND($B$3="Clip",$B$2="Zone 2"),'GCN_Clip 1.0'!#REF!,IF(AND($B$3="Clip",$B$2="Zone 3"),'GCN_Clip 1.0'!#REF!,IF(AND($B$3="Clip",$B$2="Zone 4"),'GCN_Clip 1.0'!#REF!,IF(AND($B$3="Clip",$B$2="Zone 5"),'GCN_Clip 1.0'!#REF!,IF(AND($B$3="Post",$B$2="Zone 1"),'GCN_Post 1.0'!Q317,IF(AND($B$3="Post",$B$2="Zone 2"),'GCN_Post 1.0'!R317,IF(AND($B$3="Post",$B$2="Zone 3"),'GCN_Post 1.0'!S317,IF(AND($B$3="Post",$B$2="Zone 4"),'GCN_Post 1.0'!T317,IF(AND($B$3="Post",$B$2="Zone 5"),'GCN_Post 1.0'!V317,"ERROR")))))))))))))))))))</f>
        <v/>
      </c>
      <c r="AL203" s="27" t="str">
        <f t="shared" si="38"/>
        <v/>
      </c>
      <c r="AM203" t="str">
        <f t="shared" si="39"/>
        <v/>
      </c>
      <c r="AN203" t="str">
        <f t="shared" si="40"/>
        <v/>
      </c>
      <c r="AO203" t="str">
        <f t="shared" si="41"/>
        <v/>
      </c>
      <c r="AP203" t="str">
        <f t="shared" si="42"/>
        <v/>
      </c>
      <c r="AQ203" t="str">
        <f t="shared" si="43"/>
        <v/>
      </c>
      <c r="AR203" s="82" t="str">
        <f>IF(AND($B$3="Cantilever",$B$2="Zone 1"),'GCM_Cantilever 1.0'!$I394,IF(AND($B$3="Cantilever",$B$2="Zone 2"),'GCM_Cantilever 1.0'!M394,IF(AND($B$3="HalfTracker",$B$2="Zone 1"),'GCM_Halftracker 1.0'!H409,IF(AND($B$3="HalfTracker",$B$2="Zone 2"),'GCM_Halftracker 1.0'!L409,IF(AND($B$3="Purlin",$B$2="Zone 1"),'GCM_Purlin 1.0'!H464,IF(AND($B$3="Purlin",$B$2="Zone 2"),'GCM_Purlin 1.0'!P464,IF(AND($B$3="Purlin",$B$2="Zone 3"),'GCM_Purlin 1.0'!AA464,IF(AND($B$3="Purlin",$B$2="Zone 4"),'GCM_Purlin 1.0'!AI464,IF(AND($B$3="Purlin",$B$2="Zone 5"),'GCM_Purlin 1.0'!AT464,IF(AND($B$3="Clip",$B$2="Zone 1"),'GCN_Clip 1.0'!#REF!,IF(AND($B$3="Clip",$B$2="Zone 2"),'GCN_Clip 1.0'!#REF!,IF(AND($B$3="Clip",$B$2="Zone 3"),'GCN_Clip 1.0'!#REF!,IF(AND($B$3="Clip",$B$2="Zone 4"),'GCN_Clip 1.0'!#REF!,IF(AND($B$3="Clip",$B$2="Zone 5"),'GCN_Clip 1.0'!#REF!,IF(AND($B$3="Post",$B$2="Zone 1"),'GCN_Post 1.0'!W317,IF(AND($B$3="Post",$B$2="Zone 2"),'GCN_Post 1.0'!X317,IF(AND($B$3="Post",$B$2="Zone 3"),'GCN_Post 1.0'!Y317,IF(AND($B$3="Post",$B$2="Zone 4"),'GCN_Post 1.0'!Z317,IF(AND($B$3="Post",$B$2="Zone 5"),'GCN_Post 1.0'!AA317,"ERROR")))))))))))))))))))</f>
        <v/>
      </c>
    </row>
    <row r="204" spans="6:44" x14ac:dyDescent="0.25">
      <c r="F204">
        <v>31</v>
      </c>
      <c r="G204" s="27" t="str">
        <f t="shared" si="16"/>
        <v/>
      </c>
      <c r="H204" t="str">
        <f t="shared" si="17"/>
        <v/>
      </c>
      <c r="I204" t="str">
        <f t="shared" si="18"/>
        <v/>
      </c>
      <c r="J204" s="28" t="str">
        <f t="shared" si="19"/>
        <v/>
      </c>
      <c r="M204">
        <v>31</v>
      </c>
      <c r="N204" s="27" t="str">
        <f t="shared" si="20"/>
        <v/>
      </c>
      <c r="O204" t="str">
        <f t="shared" si="21"/>
        <v/>
      </c>
      <c r="P204" t="str">
        <f t="shared" si="22"/>
        <v/>
      </c>
      <c r="Q204" t="str">
        <f t="shared" si="23"/>
        <v/>
      </c>
      <c r="R204" t="str">
        <f t="shared" si="24"/>
        <v/>
      </c>
      <c r="S204" t="str">
        <f t="shared" si="25"/>
        <v/>
      </c>
      <c r="T204" s="82" t="str">
        <f>IF(AND($B$3="Cantilever",$B$2="Zone 1"),'GCM_Cantilever 1.0'!$F395,IF(AND($B$3="Cantilever",$B$2="Zone 2"),'GCM_Cantilever 1.0'!J395,IF(AND($B$3="HalfTracker",$B$2="Zone 1"),'GCM_Halftracker 1.0'!E410,IF(AND($B$3="HalfTracker",$B$2="Zone 2"),'GCM_Halftracker 1.0'!I410,IF(AND($B$3="Purlin",$B$2="Zone 1"),'GCM_Purlin 1.0'!E465,IF(AND($B$3="Purlin",$B$2="Zone 2"),'GCM_Purlin 1.0'!M465,IF(AND($B$3="Purlin",$B$2="Zone 3"),'GCM_Purlin 1.0'!X465,IF(AND($B$3="Purlin",$B$2="Zone 4"),'GCM_Purlin 1.0'!AF465,IF(AND($B$3="Purlin",$B$2="Zone 5"),'GCM_Purlin 1.0'!AQ465,IF(AND($B$3="Clip",$B$2="Zone 1"),'GCN_Clip 1.0'!G34,IF(AND($B$3="Clip",$B$2="Zone 2"),'GCN_Clip 1.0'!C35,IF(AND($B$3="Clip",$B$2="Zone 3"),'GCN_Clip 1.0'!G36,IF(AND($B$3="Clip",$B$2="Zone 4"),'GCN_Clip 1.0'!G37,IF(AND($B$3="Clip",$B$2="Zone 5"),'GCN_Clip 1.0'!G38,IF(AND($B$3="Post",$B$2="Zone 1"),'GCN_Post 1.0'!E318,IF(AND($B$3="Post",$B$2="Zone 2"),'GCN_Post 1.0'!F318,IF(AND($B$3="Post",$B$2="Zone 3"),'GCN_Post 1.0'!G318,IF(AND($B$3="Post",$B$2="Zone 4"),'GCN_Post 1.0'!H318,IF(AND($B$3="Post",$B$2="Zone 5"),'GCN_Post 1.0'!I318,"ERROR")))))))))))))))))))</f>
        <v/>
      </c>
      <c r="V204" s="27" t="str">
        <f t="shared" si="26"/>
        <v/>
      </c>
      <c r="W204" t="str">
        <f t="shared" si="27"/>
        <v/>
      </c>
      <c r="X204" t="str">
        <f t="shared" si="28"/>
        <v/>
      </c>
      <c r="Y204" t="str">
        <f t="shared" si="29"/>
        <v/>
      </c>
      <c r="Z204" t="str">
        <f t="shared" si="30"/>
        <v/>
      </c>
      <c r="AA204" t="str">
        <f t="shared" si="31"/>
        <v/>
      </c>
      <c r="AB204" s="82" t="str">
        <f>IF(AND($B$3="Cantilever",$B$2="Zone 1"),'GCM_Cantilever 1.0'!$G395,IF(AND($B$3="Cantilever",$B$2="Zone 2"),'GCM_Cantilever 1.0'!K395,IF(AND($B$3="HalfTracker",$B$2="Zone 1"),'GCM_Halftracker 1.0'!F410,IF(AND($B$3="HalfTracker",$B$2="Zone 2"),'GCM_Halftracker 1.0'!J410,IF(AND($B$3="Purlin",$B$2="Zone 1"),'GCM_Purlin 1.0'!F465,IF(AND($B$3="Purlin",$B$2="Zone 2"),'GCM_Purlin 1.0'!N465,IF(AND($B$3="Purlin",$B$2="Zone 3"),'GCM_Purlin 1.0'!Y465,IF(AND($B$3="Purlin",$B$2="Zone 4"),'GCM_Purlin 1.0'!AG465,IF(AND($B$3="Purlin",$B$2="Zone 5"),'GCM_Purlin 1.0'!AR465,IF(AND($B$3="Clip",$B$2="Zone 1"),'GCN_Clip 1.0'!H34,IF(AND($B$3="Clip",$B$2="Zone 2"),'GCN_Clip 1.0'!H35,IF(AND($B$3="Clip",$B$2="Zone 3"),'GCN_Clip 1.0'!H36,IF(AND($B$3="Clip",$B$2="Zone 4"),'GCN_Clip 1.0'!H37,IF(AND($B$3="Clip",$B$2="Zone 5"),'GCN_Clip 1.0'!H38,IF(AND($B$3="Post",$B$2="Zone 1"),'GCN_Post 1.0'!J318,IF(AND($B$3="Post",$B$2="Zone 2"),'GCN_Post 1.0'!K318,IF(AND($B$3="Post",$B$2="Zone 3"),'GCN_Post 1.0'!N318,IF(AND($B$3="Post",$B$2="Zone 4"),'GCN_Post 1.0'!O318,IF(AND($B$3="Post",$B$2="Zone 5"),'GCN_Post 1.0'!P318,"ERROR")))))))))))))))))))</f>
        <v/>
      </c>
      <c r="AD204" s="27" t="str">
        <f t="shared" si="32"/>
        <v/>
      </c>
      <c r="AE204" t="str">
        <f t="shared" si="33"/>
        <v/>
      </c>
      <c r="AF204" t="str">
        <f t="shared" si="34"/>
        <v/>
      </c>
      <c r="AG204" t="str">
        <f t="shared" si="35"/>
        <v/>
      </c>
      <c r="AH204" t="str">
        <f t="shared" si="36"/>
        <v/>
      </c>
      <c r="AI204" t="str">
        <f t="shared" si="37"/>
        <v/>
      </c>
      <c r="AJ204" s="82" t="str">
        <f>IF(AND($B$3="Cantilever",$B$2="Zone 1"),'GCM_Cantilever 1.0'!$H395,IF(AND($B$3="Cantilever",$B$2="Zone 2"),'GCM_Cantilever 1.0'!L395,IF(AND($B$3="HalfTracker",$B$2="Zone 1"),'GCM_Halftracker 1.0'!G410,IF(AND($B$3="HalfTracker",$B$2="Zone 2"),'GCM_Halftracker 1.0'!K410,IF(AND($B$3="Purlin",$B$2="Zone 1"),'GCM_Purlin 1.0'!G465,IF(AND($B$3="Purlin",$B$2="Zone 2"),'GCM_Purlin 1.0'!O465,IF(AND($B$3="Purlin",$B$2="Zone 3"),'GCM_Purlin 1.0'!Z465,IF(AND($B$3="Purlin",$B$2="Zone 4"),'GCM_Purlin 1.0'!AH465,IF(AND($B$3="Purlin",$B$2="Zone 5"),'GCM_Purlin 1.0'!AS465,IF(AND($B$3="Clip",$B$2="Zone 1"),'GCN_Clip 1.0'!#REF!,IF(AND($B$3="Clip",$B$2="Zone 2"),'GCN_Clip 1.0'!#REF!,IF(AND($B$3="Clip",$B$2="Zone 3"),'GCN_Clip 1.0'!#REF!,IF(AND($B$3="Clip",$B$2="Zone 4"),'GCN_Clip 1.0'!#REF!,IF(AND($B$3="Clip",$B$2="Zone 5"),'GCN_Clip 1.0'!#REF!,IF(AND($B$3="Post",$B$2="Zone 1"),'GCN_Post 1.0'!Q318,IF(AND($B$3="Post",$B$2="Zone 2"),'GCN_Post 1.0'!R318,IF(AND($B$3="Post",$B$2="Zone 3"),'GCN_Post 1.0'!S318,IF(AND($B$3="Post",$B$2="Zone 4"),'GCN_Post 1.0'!T318,IF(AND($B$3="Post",$B$2="Zone 5"),'GCN_Post 1.0'!V318,"ERROR")))))))))))))))))))</f>
        <v/>
      </c>
      <c r="AL204" s="27" t="str">
        <f t="shared" si="38"/>
        <v/>
      </c>
      <c r="AM204" t="str">
        <f t="shared" si="39"/>
        <v/>
      </c>
      <c r="AN204" t="str">
        <f t="shared" si="40"/>
        <v/>
      </c>
      <c r="AO204" t="str">
        <f t="shared" si="41"/>
        <v/>
      </c>
      <c r="AP204" t="str">
        <f t="shared" si="42"/>
        <v/>
      </c>
      <c r="AQ204" t="str">
        <f t="shared" si="43"/>
        <v/>
      </c>
      <c r="AR204" s="82" t="str">
        <f>IF(AND($B$3="Cantilever",$B$2="Zone 1"),'GCM_Cantilever 1.0'!$I395,IF(AND($B$3="Cantilever",$B$2="Zone 2"),'GCM_Cantilever 1.0'!M395,IF(AND($B$3="HalfTracker",$B$2="Zone 1"),'GCM_Halftracker 1.0'!H410,IF(AND($B$3="HalfTracker",$B$2="Zone 2"),'GCM_Halftracker 1.0'!L410,IF(AND($B$3="Purlin",$B$2="Zone 1"),'GCM_Purlin 1.0'!H465,IF(AND($B$3="Purlin",$B$2="Zone 2"),'GCM_Purlin 1.0'!P465,IF(AND($B$3="Purlin",$B$2="Zone 3"),'GCM_Purlin 1.0'!AA465,IF(AND($B$3="Purlin",$B$2="Zone 4"),'GCM_Purlin 1.0'!AI465,IF(AND($B$3="Purlin",$B$2="Zone 5"),'GCM_Purlin 1.0'!AT465,IF(AND($B$3="Clip",$B$2="Zone 1"),'GCN_Clip 1.0'!#REF!,IF(AND($B$3="Clip",$B$2="Zone 2"),'GCN_Clip 1.0'!#REF!,IF(AND($B$3="Clip",$B$2="Zone 3"),'GCN_Clip 1.0'!#REF!,IF(AND($B$3="Clip",$B$2="Zone 4"),'GCN_Clip 1.0'!#REF!,IF(AND($B$3="Clip",$B$2="Zone 5"),'GCN_Clip 1.0'!#REF!,IF(AND($B$3="Post",$B$2="Zone 1"),'GCN_Post 1.0'!W318,IF(AND($B$3="Post",$B$2="Zone 2"),'GCN_Post 1.0'!X318,IF(AND($B$3="Post",$B$2="Zone 3"),'GCN_Post 1.0'!Y318,IF(AND($B$3="Post",$B$2="Zone 4"),'GCN_Post 1.0'!Z318,IF(AND($B$3="Post",$B$2="Zone 5"),'GCN_Post 1.0'!AA318,"ERROR")))))))))))))))))))</f>
        <v/>
      </c>
    </row>
    <row r="205" spans="6:44" x14ac:dyDescent="0.25">
      <c r="F205">
        <v>32</v>
      </c>
      <c r="G205" s="27" t="str">
        <f t="shared" si="16"/>
        <v/>
      </c>
      <c r="H205" t="str">
        <f t="shared" si="17"/>
        <v/>
      </c>
      <c r="I205" t="str">
        <f t="shared" si="18"/>
        <v/>
      </c>
      <c r="J205" s="28" t="str">
        <f t="shared" si="19"/>
        <v/>
      </c>
      <c r="M205">
        <v>32</v>
      </c>
      <c r="N205" s="27" t="str">
        <f t="shared" si="20"/>
        <v/>
      </c>
      <c r="O205" t="str">
        <f t="shared" si="21"/>
        <v/>
      </c>
      <c r="P205" t="str">
        <f t="shared" si="22"/>
        <v/>
      </c>
      <c r="Q205" t="str">
        <f t="shared" si="23"/>
        <v/>
      </c>
      <c r="R205" t="str">
        <f t="shared" si="24"/>
        <v/>
      </c>
      <c r="S205" t="str">
        <f t="shared" si="25"/>
        <v/>
      </c>
      <c r="T205" s="82" t="str">
        <f>IF(AND($B$3="Cantilever",$B$2="Zone 1"),'GCM_Cantilever 1.0'!$F396,IF(AND($B$3="Cantilever",$B$2="Zone 2"),'GCM_Cantilever 1.0'!J396,IF(AND($B$3="HalfTracker",$B$2="Zone 1"),'GCM_Halftracker 1.0'!E411,IF(AND($B$3="HalfTracker",$B$2="Zone 2"),'GCM_Halftracker 1.0'!I411,IF(AND($B$3="Purlin",$B$2="Zone 1"),'GCM_Purlin 1.0'!E466,IF(AND($B$3="Purlin",$B$2="Zone 2"),'GCM_Purlin 1.0'!M466,IF(AND($B$3="Purlin",$B$2="Zone 3"),'GCM_Purlin 1.0'!X466,IF(AND($B$3="Purlin",$B$2="Zone 4"),'GCM_Purlin 1.0'!AF466,IF(AND($B$3="Purlin",$B$2="Zone 5"),'GCM_Purlin 1.0'!AQ466,IF(AND($B$3="Clip",$B$2="Zone 1"),'GCN_Clip 1.0'!G35,IF(AND($B$3="Clip",$B$2="Zone 2"),'GCN_Clip 1.0'!C36,IF(AND($B$3="Clip",$B$2="Zone 3"),'GCN_Clip 1.0'!G37,IF(AND($B$3="Clip",$B$2="Zone 4"),'GCN_Clip 1.0'!G38,IF(AND($B$3="Clip",$B$2="Zone 5"),'GCN_Clip 1.0'!G39,IF(AND($B$3="Post",$B$2="Zone 1"),'GCN_Post 1.0'!E319,IF(AND($B$3="Post",$B$2="Zone 2"),'GCN_Post 1.0'!F319,IF(AND($B$3="Post",$B$2="Zone 3"),'GCN_Post 1.0'!G319,IF(AND($B$3="Post",$B$2="Zone 4"),'GCN_Post 1.0'!H319,IF(AND($B$3="Post",$B$2="Zone 5"),'GCN_Post 1.0'!I319,"ERROR")))))))))))))))))))</f>
        <v/>
      </c>
      <c r="V205" s="27" t="str">
        <f t="shared" si="26"/>
        <v/>
      </c>
      <c r="W205" t="str">
        <f t="shared" si="27"/>
        <v/>
      </c>
      <c r="X205" t="str">
        <f t="shared" si="28"/>
        <v/>
      </c>
      <c r="Y205" t="str">
        <f t="shared" si="29"/>
        <v/>
      </c>
      <c r="Z205" t="str">
        <f t="shared" si="30"/>
        <v/>
      </c>
      <c r="AA205" t="str">
        <f t="shared" si="31"/>
        <v/>
      </c>
      <c r="AB205" s="82" t="str">
        <f>IF(AND($B$3="Cantilever",$B$2="Zone 1"),'GCM_Cantilever 1.0'!$G396,IF(AND($B$3="Cantilever",$B$2="Zone 2"),'GCM_Cantilever 1.0'!K396,IF(AND($B$3="HalfTracker",$B$2="Zone 1"),'GCM_Halftracker 1.0'!F411,IF(AND($B$3="HalfTracker",$B$2="Zone 2"),'GCM_Halftracker 1.0'!J411,IF(AND($B$3="Purlin",$B$2="Zone 1"),'GCM_Purlin 1.0'!F466,IF(AND($B$3="Purlin",$B$2="Zone 2"),'GCM_Purlin 1.0'!N466,IF(AND($B$3="Purlin",$B$2="Zone 3"),'GCM_Purlin 1.0'!Y466,IF(AND($B$3="Purlin",$B$2="Zone 4"),'GCM_Purlin 1.0'!AG466,IF(AND($B$3="Purlin",$B$2="Zone 5"),'GCM_Purlin 1.0'!AR466,IF(AND($B$3="Clip",$B$2="Zone 1"),'GCN_Clip 1.0'!H35,IF(AND($B$3="Clip",$B$2="Zone 2"),'GCN_Clip 1.0'!H36,IF(AND($B$3="Clip",$B$2="Zone 3"),'GCN_Clip 1.0'!H37,IF(AND($B$3="Clip",$B$2="Zone 4"),'GCN_Clip 1.0'!H38,IF(AND($B$3="Clip",$B$2="Zone 5"),'GCN_Clip 1.0'!H39,IF(AND($B$3="Post",$B$2="Zone 1"),'GCN_Post 1.0'!J319,IF(AND($B$3="Post",$B$2="Zone 2"),'GCN_Post 1.0'!K319,IF(AND($B$3="Post",$B$2="Zone 3"),'GCN_Post 1.0'!N319,IF(AND($B$3="Post",$B$2="Zone 4"),'GCN_Post 1.0'!O319,IF(AND($B$3="Post",$B$2="Zone 5"),'GCN_Post 1.0'!P319,"ERROR")))))))))))))))))))</f>
        <v/>
      </c>
      <c r="AD205" s="27" t="str">
        <f t="shared" si="32"/>
        <v/>
      </c>
      <c r="AE205" t="str">
        <f t="shared" si="33"/>
        <v/>
      </c>
      <c r="AF205" t="str">
        <f t="shared" si="34"/>
        <v/>
      </c>
      <c r="AG205" t="str">
        <f t="shared" si="35"/>
        <v/>
      </c>
      <c r="AH205" t="str">
        <f t="shared" si="36"/>
        <v/>
      </c>
      <c r="AI205" t="str">
        <f t="shared" si="37"/>
        <v/>
      </c>
      <c r="AJ205" s="82" t="str">
        <f>IF(AND($B$3="Cantilever",$B$2="Zone 1"),'GCM_Cantilever 1.0'!$H396,IF(AND($B$3="Cantilever",$B$2="Zone 2"),'GCM_Cantilever 1.0'!L396,IF(AND($B$3="HalfTracker",$B$2="Zone 1"),'GCM_Halftracker 1.0'!G411,IF(AND($B$3="HalfTracker",$B$2="Zone 2"),'GCM_Halftracker 1.0'!K411,IF(AND($B$3="Purlin",$B$2="Zone 1"),'GCM_Purlin 1.0'!G466,IF(AND($B$3="Purlin",$B$2="Zone 2"),'GCM_Purlin 1.0'!O466,IF(AND($B$3="Purlin",$B$2="Zone 3"),'GCM_Purlin 1.0'!Z466,IF(AND($B$3="Purlin",$B$2="Zone 4"),'GCM_Purlin 1.0'!AH466,IF(AND($B$3="Purlin",$B$2="Zone 5"),'GCM_Purlin 1.0'!AS466,IF(AND($B$3="Clip",$B$2="Zone 1"),'GCN_Clip 1.0'!#REF!,IF(AND($B$3="Clip",$B$2="Zone 2"),'GCN_Clip 1.0'!#REF!,IF(AND($B$3="Clip",$B$2="Zone 3"),'GCN_Clip 1.0'!#REF!,IF(AND($B$3="Clip",$B$2="Zone 4"),'GCN_Clip 1.0'!#REF!,IF(AND($B$3="Clip",$B$2="Zone 5"),'GCN_Clip 1.0'!#REF!,IF(AND($B$3="Post",$B$2="Zone 1"),'GCN_Post 1.0'!Q319,IF(AND($B$3="Post",$B$2="Zone 2"),'GCN_Post 1.0'!R319,IF(AND($B$3="Post",$B$2="Zone 3"),'GCN_Post 1.0'!S319,IF(AND($B$3="Post",$B$2="Zone 4"),'GCN_Post 1.0'!T319,IF(AND($B$3="Post",$B$2="Zone 5"),'GCN_Post 1.0'!V319,"ERROR")))))))))))))))))))</f>
        <v/>
      </c>
      <c r="AL205" s="27" t="str">
        <f t="shared" si="38"/>
        <v/>
      </c>
      <c r="AM205" t="str">
        <f t="shared" si="39"/>
        <v/>
      </c>
      <c r="AN205" t="str">
        <f t="shared" si="40"/>
        <v/>
      </c>
      <c r="AO205" t="str">
        <f t="shared" si="41"/>
        <v/>
      </c>
      <c r="AP205" t="str">
        <f t="shared" si="42"/>
        <v/>
      </c>
      <c r="AQ205" t="str">
        <f t="shared" si="43"/>
        <v/>
      </c>
      <c r="AR205" s="82" t="str">
        <f>IF(AND($B$3="Cantilever",$B$2="Zone 1"),'GCM_Cantilever 1.0'!$I396,IF(AND($B$3="Cantilever",$B$2="Zone 2"),'GCM_Cantilever 1.0'!M396,IF(AND($B$3="HalfTracker",$B$2="Zone 1"),'GCM_Halftracker 1.0'!H411,IF(AND($B$3="HalfTracker",$B$2="Zone 2"),'GCM_Halftracker 1.0'!L411,IF(AND($B$3="Purlin",$B$2="Zone 1"),'GCM_Purlin 1.0'!H466,IF(AND($B$3="Purlin",$B$2="Zone 2"),'GCM_Purlin 1.0'!P466,IF(AND($B$3="Purlin",$B$2="Zone 3"),'GCM_Purlin 1.0'!AA466,IF(AND($B$3="Purlin",$B$2="Zone 4"),'GCM_Purlin 1.0'!AI466,IF(AND($B$3="Purlin",$B$2="Zone 5"),'GCM_Purlin 1.0'!AT466,IF(AND($B$3="Clip",$B$2="Zone 1"),'GCN_Clip 1.0'!#REF!,IF(AND($B$3="Clip",$B$2="Zone 2"),'GCN_Clip 1.0'!#REF!,IF(AND($B$3="Clip",$B$2="Zone 3"),'GCN_Clip 1.0'!#REF!,IF(AND($B$3="Clip",$B$2="Zone 4"),'GCN_Clip 1.0'!#REF!,IF(AND($B$3="Clip",$B$2="Zone 5"),'GCN_Clip 1.0'!#REF!,IF(AND($B$3="Post",$B$2="Zone 1"),'GCN_Post 1.0'!W319,IF(AND($B$3="Post",$B$2="Zone 2"),'GCN_Post 1.0'!X319,IF(AND($B$3="Post",$B$2="Zone 3"),'GCN_Post 1.0'!Y319,IF(AND($B$3="Post",$B$2="Zone 4"),'GCN_Post 1.0'!Z319,IF(AND($B$3="Post",$B$2="Zone 5"),'GCN_Post 1.0'!AA319,"ERROR")))))))))))))))))))</f>
        <v/>
      </c>
    </row>
    <row r="206" spans="6:44" x14ac:dyDescent="0.25">
      <c r="F206">
        <v>33</v>
      </c>
      <c r="G206" s="27" t="str">
        <f t="shared" ref="G206:G237" si="44">IFERROR(VLOOKUP(SMALL($C$8:$C$170,F206),$C$8:$J$170,5,FALSE),"")</f>
        <v/>
      </c>
      <c r="H206" t="str">
        <f t="shared" ref="H206:H237" si="45">IFERROR(VLOOKUP(SMALL($C$8:$C$170,F206),$C$8:$J$170,6,FALSE),"")</f>
        <v/>
      </c>
      <c r="I206" t="str">
        <f t="shared" ref="I206:I237" si="46">IFERROR(VLOOKUP(SMALL($C$8:$C$170,F206),$C$8:$J$170,7,FALSE),"")</f>
        <v/>
      </c>
      <c r="J206" s="28" t="str">
        <f t="shared" ref="J206:J237" si="47">IFERROR(VLOOKUP(SMALL($C$8:$C$170,F206),$C$8:$J$170,8,FALSE),"")</f>
        <v/>
      </c>
      <c r="M206">
        <v>33</v>
      </c>
      <c r="N206" s="27" t="str">
        <f t="shared" ref="N206:N237" si="48">IFERROR(VLOOKUP(SMALL($N$8:$N$155,$M206),$N$8:$T$155,2,FALSE),"")</f>
        <v/>
      </c>
      <c r="O206" t="str">
        <f t="shared" ref="O206:O237" si="49">IFERROR(VLOOKUP(SMALL($N$8:$N$155,$M206),$N$8:$T$155,3,FALSE),"")</f>
        <v/>
      </c>
      <c r="P206" t="str">
        <f t="shared" ref="P206:P237" si="50">IFERROR(VLOOKUP(SMALL($N$8:$N$155,$M206),$N$8:$T$155,4,FALSE),"")</f>
        <v/>
      </c>
      <c r="Q206" t="str">
        <f t="shared" ref="Q206:Q237" si="51">IFERROR(VLOOKUP(SMALL($N$8:$N$155,$M206),$N$8:$T$155,5,FALSE),"")</f>
        <v/>
      </c>
      <c r="R206" t="str">
        <f t="shared" ref="R206:R237" si="52">IFERROR(VLOOKUP(SMALL($N$8:$N$155,$M206),$N$8:$T$155,6,FALSE),"")</f>
        <v/>
      </c>
      <c r="S206" t="str">
        <f t="shared" ref="S206:S237" si="53">IFERROR(VLOOKUP(SMALL($N$8:$N$155,$M206),$N$8:$T$155,7,FALSE),"")</f>
        <v/>
      </c>
      <c r="T206" s="82" t="str">
        <f>IF(AND($B$3="Cantilever",$B$2="Zone 1"),'GCM_Cantilever 1.0'!$F397,IF(AND($B$3="Cantilever",$B$2="Zone 2"),'GCM_Cantilever 1.0'!J397,IF(AND($B$3="HalfTracker",$B$2="Zone 1"),'GCM_Halftracker 1.0'!E412,IF(AND($B$3="HalfTracker",$B$2="Zone 2"),'GCM_Halftracker 1.0'!I412,IF(AND($B$3="Purlin",$B$2="Zone 1"),'GCM_Purlin 1.0'!E467,IF(AND($B$3="Purlin",$B$2="Zone 2"),'GCM_Purlin 1.0'!M467,IF(AND($B$3="Purlin",$B$2="Zone 3"),'GCM_Purlin 1.0'!X467,IF(AND($B$3="Purlin",$B$2="Zone 4"),'GCM_Purlin 1.0'!AF467,IF(AND($B$3="Purlin",$B$2="Zone 5"),'GCM_Purlin 1.0'!AQ467,IF(AND($B$3="Clip",$B$2="Zone 1"),'GCN_Clip 1.0'!G36,IF(AND($B$3="Clip",$B$2="Zone 2"),'GCN_Clip 1.0'!C37,IF(AND($B$3="Clip",$B$2="Zone 3"),'GCN_Clip 1.0'!G38,IF(AND($B$3="Clip",$B$2="Zone 4"),'GCN_Clip 1.0'!G39,IF(AND($B$3="Clip",$B$2="Zone 5"),'GCN_Clip 1.0'!G40,IF(AND($B$3="Post",$B$2="Zone 1"),'GCN_Post 1.0'!E320,IF(AND($B$3="Post",$B$2="Zone 2"),'GCN_Post 1.0'!F320,IF(AND($B$3="Post",$B$2="Zone 3"),'GCN_Post 1.0'!G320,IF(AND($B$3="Post",$B$2="Zone 4"),'GCN_Post 1.0'!H320,IF(AND($B$3="Post",$B$2="Zone 5"),'GCN_Post 1.0'!I320,"ERROR")))))))))))))))))))</f>
        <v/>
      </c>
      <c r="V206" s="27" t="str">
        <f t="shared" ref="V206:V237" si="54">IFERROR(VLOOKUP(SMALL($N$8:$N$155,$M206),$N$8:$T$155,2,FALSE),"")</f>
        <v/>
      </c>
      <c r="W206" t="str">
        <f t="shared" ref="W206:W237" si="55">IFERROR(VLOOKUP(SMALL($N$8:$N$155,$M206),$N$8:$T$155,3,FALSE),"")</f>
        <v/>
      </c>
      <c r="X206" t="str">
        <f t="shared" ref="X206:X237" si="56">IFERROR(VLOOKUP(SMALL($N$8:$N$155,$M206),$N$8:$T$155,4,FALSE),"")</f>
        <v/>
      </c>
      <c r="Y206" t="str">
        <f t="shared" ref="Y206:Y237" si="57">IFERROR(VLOOKUP(SMALL($N$8:$N$155,$M206),$N$8:$T$155,5,FALSE),"")</f>
        <v/>
      </c>
      <c r="Z206" t="str">
        <f t="shared" ref="Z206:Z237" si="58">IFERROR(VLOOKUP(SMALL($N$8:$N$155,$M206),$N$8:$T$155,6,FALSE),"")</f>
        <v/>
      </c>
      <c r="AA206" t="str">
        <f t="shared" ref="AA206:AA237" si="59">IFERROR(VLOOKUP(SMALL($N$8:$N$155,$M206),$N$8:$T$155,7,FALSE),"")</f>
        <v/>
      </c>
      <c r="AB206" s="82" t="str">
        <f>IF(AND($B$3="Cantilever",$B$2="Zone 1"),'GCM_Cantilever 1.0'!$G397,IF(AND($B$3="Cantilever",$B$2="Zone 2"),'GCM_Cantilever 1.0'!K397,IF(AND($B$3="HalfTracker",$B$2="Zone 1"),'GCM_Halftracker 1.0'!F412,IF(AND($B$3="HalfTracker",$B$2="Zone 2"),'GCM_Halftracker 1.0'!J412,IF(AND($B$3="Purlin",$B$2="Zone 1"),'GCM_Purlin 1.0'!F467,IF(AND($B$3="Purlin",$B$2="Zone 2"),'GCM_Purlin 1.0'!N467,IF(AND($B$3="Purlin",$B$2="Zone 3"),'GCM_Purlin 1.0'!Y467,IF(AND($B$3="Purlin",$B$2="Zone 4"),'GCM_Purlin 1.0'!AG467,IF(AND($B$3="Purlin",$B$2="Zone 5"),'GCM_Purlin 1.0'!AR467,IF(AND($B$3="Clip",$B$2="Zone 1"),'GCN_Clip 1.0'!H36,IF(AND($B$3="Clip",$B$2="Zone 2"),'GCN_Clip 1.0'!H37,IF(AND($B$3="Clip",$B$2="Zone 3"),'GCN_Clip 1.0'!H38,IF(AND($B$3="Clip",$B$2="Zone 4"),'GCN_Clip 1.0'!H39,IF(AND($B$3="Clip",$B$2="Zone 5"),'GCN_Clip 1.0'!H40,IF(AND($B$3="Post",$B$2="Zone 1"),'GCN_Post 1.0'!J320,IF(AND($B$3="Post",$B$2="Zone 2"),'GCN_Post 1.0'!K320,IF(AND($B$3="Post",$B$2="Zone 3"),'GCN_Post 1.0'!N320,IF(AND($B$3="Post",$B$2="Zone 4"),'GCN_Post 1.0'!O320,IF(AND($B$3="Post",$B$2="Zone 5"),'GCN_Post 1.0'!P320,"ERROR")))))))))))))))))))</f>
        <v/>
      </c>
      <c r="AD206" s="27" t="str">
        <f t="shared" ref="AD206:AD237" si="60">IFERROR(VLOOKUP(SMALL($N$8:$N$155,$M206),$N$8:$T$155,2,FALSE),"")</f>
        <v/>
      </c>
      <c r="AE206" t="str">
        <f t="shared" ref="AE206:AE237" si="61">IFERROR(VLOOKUP(SMALL($N$8:$N$155,$M206),$N$8:$T$155,3,FALSE),"")</f>
        <v/>
      </c>
      <c r="AF206" t="str">
        <f t="shared" ref="AF206:AF237" si="62">IFERROR(VLOOKUP(SMALL($N$8:$N$155,$M206),$N$8:$T$155,4,FALSE),"")</f>
        <v/>
      </c>
      <c r="AG206" t="str">
        <f t="shared" ref="AG206:AG237" si="63">IFERROR(VLOOKUP(SMALL($N$8:$N$155,$M206),$N$8:$T$155,5,FALSE),"")</f>
        <v/>
      </c>
      <c r="AH206" t="str">
        <f t="shared" ref="AH206:AH237" si="64">IFERROR(VLOOKUP(SMALL($N$8:$N$155,$M206),$N$8:$T$155,6,FALSE),"")</f>
        <v/>
      </c>
      <c r="AI206" t="str">
        <f t="shared" ref="AI206:AI237" si="65">IFERROR(VLOOKUP(SMALL($N$8:$N$155,$M206),$N$8:$T$155,7,FALSE),"")</f>
        <v/>
      </c>
      <c r="AJ206" s="82" t="str">
        <f>IF(AND($B$3="Cantilever",$B$2="Zone 1"),'GCM_Cantilever 1.0'!$H397,IF(AND($B$3="Cantilever",$B$2="Zone 2"),'GCM_Cantilever 1.0'!L397,IF(AND($B$3="HalfTracker",$B$2="Zone 1"),'GCM_Halftracker 1.0'!G412,IF(AND($B$3="HalfTracker",$B$2="Zone 2"),'GCM_Halftracker 1.0'!K412,IF(AND($B$3="Purlin",$B$2="Zone 1"),'GCM_Purlin 1.0'!G467,IF(AND($B$3="Purlin",$B$2="Zone 2"),'GCM_Purlin 1.0'!O467,IF(AND($B$3="Purlin",$B$2="Zone 3"),'GCM_Purlin 1.0'!Z467,IF(AND($B$3="Purlin",$B$2="Zone 4"),'GCM_Purlin 1.0'!AH467,IF(AND($B$3="Purlin",$B$2="Zone 5"),'GCM_Purlin 1.0'!AS467,IF(AND($B$3="Clip",$B$2="Zone 1"),'GCN_Clip 1.0'!#REF!,IF(AND($B$3="Clip",$B$2="Zone 2"),'GCN_Clip 1.0'!#REF!,IF(AND($B$3="Clip",$B$2="Zone 3"),'GCN_Clip 1.0'!#REF!,IF(AND($B$3="Clip",$B$2="Zone 4"),'GCN_Clip 1.0'!#REF!,IF(AND($B$3="Clip",$B$2="Zone 5"),'GCN_Clip 1.0'!#REF!,IF(AND($B$3="Post",$B$2="Zone 1"),'GCN_Post 1.0'!Q320,IF(AND($B$3="Post",$B$2="Zone 2"),'GCN_Post 1.0'!R320,IF(AND($B$3="Post",$B$2="Zone 3"),'GCN_Post 1.0'!S320,IF(AND($B$3="Post",$B$2="Zone 4"),'GCN_Post 1.0'!T320,IF(AND($B$3="Post",$B$2="Zone 5"),'GCN_Post 1.0'!V320,"ERROR")))))))))))))))))))</f>
        <v/>
      </c>
      <c r="AL206" s="27" t="str">
        <f t="shared" ref="AL206:AL237" si="66">IFERROR(VLOOKUP(SMALL($N$8:$N$155,$M206),$N$8:$T$155,2,FALSE),"")</f>
        <v/>
      </c>
      <c r="AM206" t="str">
        <f t="shared" ref="AM206:AM237" si="67">IFERROR(VLOOKUP(SMALL($N$8:$N$155,$M206),$N$8:$T$155,3,FALSE),"")</f>
        <v/>
      </c>
      <c r="AN206" t="str">
        <f t="shared" ref="AN206:AN237" si="68">IFERROR(VLOOKUP(SMALL($N$8:$N$155,$M206),$N$8:$T$155,4,FALSE),"")</f>
        <v/>
      </c>
      <c r="AO206" t="str">
        <f t="shared" ref="AO206:AO237" si="69">IFERROR(VLOOKUP(SMALL($N$8:$N$155,$M206),$N$8:$T$155,5,FALSE),"")</f>
        <v/>
      </c>
      <c r="AP206" t="str">
        <f t="shared" ref="AP206:AP237" si="70">IFERROR(VLOOKUP(SMALL($N$8:$N$155,$M206),$N$8:$T$155,6,FALSE),"")</f>
        <v/>
      </c>
      <c r="AQ206" t="str">
        <f t="shared" ref="AQ206:AQ237" si="71">IFERROR(VLOOKUP(SMALL($N$8:$N$155,$M206),$N$8:$T$155,7,FALSE),"")</f>
        <v/>
      </c>
      <c r="AR206" s="82" t="str">
        <f>IF(AND($B$3="Cantilever",$B$2="Zone 1"),'GCM_Cantilever 1.0'!$I397,IF(AND($B$3="Cantilever",$B$2="Zone 2"),'GCM_Cantilever 1.0'!M397,IF(AND($B$3="HalfTracker",$B$2="Zone 1"),'GCM_Halftracker 1.0'!H412,IF(AND($B$3="HalfTracker",$B$2="Zone 2"),'GCM_Halftracker 1.0'!L412,IF(AND($B$3="Purlin",$B$2="Zone 1"),'GCM_Purlin 1.0'!H467,IF(AND($B$3="Purlin",$B$2="Zone 2"),'GCM_Purlin 1.0'!P467,IF(AND($B$3="Purlin",$B$2="Zone 3"),'GCM_Purlin 1.0'!AA467,IF(AND($B$3="Purlin",$B$2="Zone 4"),'GCM_Purlin 1.0'!AI467,IF(AND($B$3="Purlin",$B$2="Zone 5"),'GCM_Purlin 1.0'!AT467,IF(AND($B$3="Clip",$B$2="Zone 1"),'GCN_Clip 1.0'!#REF!,IF(AND($B$3="Clip",$B$2="Zone 2"),'GCN_Clip 1.0'!#REF!,IF(AND($B$3="Clip",$B$2="Zone 3"),'GCN_Clip 1.0'!#REF!,IF(AND($B$3="Clip",$B$2="Zone 4"),'GCN_Clip 1.0'!#REF!,IF(AND($B$3="Clip",$B$2="Zone 5"),'GCN_Clip 1.0'!#REF!,IF(AND($B$3="Post",$B$2="Zone 1"),'GCN_Post 1.0'!W320,IF(AND($B$3="Post",$B$2="Zone 2"),'GCN_Post 1.0'!X320,IF(AND($B$3="Post",$B$2="Zone 3"),'GCN_Post 1.0'!Y320,IF(AND($B$3="Post",$B$2="Zone 4"),'GCN_Post 1.0'!Z320,IF(AND($B$3="Post",$B$2="Zone 5"),'GCN_Post 1.0'!AA320,"ERROR")))))))))))))))))))</f>
        <v/>
      </c>
    </row>
    <row r="207" spans="6:44" x14ac:dyDescent="0.25">
      <c r="F207">
        <v>34</v>
      </c>
      <c r="G207" s="27" t="str">
        <f t="shared" si="44"/>
        <v/>
      </c>
      <c r="H207" t="str">
        <f t="shared" si="45"/>
        <v/>
      </c>
      <c r="I207" t="str">
        <f t="shared" si="46"/>
        <v/>
      </c>
      <c r="J207" s="28" t="str">
        <f t="shared" si="47"/>
        <v/>
      </c>
      <c r="M207">
        <v>34</v>
      </c>
      <c r="N207" s="27" t="str">
        <f t="shared" si="48"/>
        <v/>
      </c>
      <c r="O207" t="str">
        <f t="shared" si="49"/>
        <v/>
      </c>
      <c r="P207" t="str">
        <f t="shared" si="50"/>
        <v/>
      </c>
      <c r="Q207" t="str">
        <f t="shared" si="51"/>
        <v/>
      </c>
      <c r="R207" t="str">
        <f t="shared" si="52"/>
        <v/>
      </c>
      <c r="S207" t="str">
        <f t="shared" si="53"/>
        <v/>
      </c>
      <c r="T207" s="82" t="str">
        <f>IF(AND($B$3="Cantilever",$B$2="Zone 1"),'GCM_Cantilever 1.0'!$F398,IF(AND($B$3="Cantilever",$B$2="Zone 2"),'GCM_Cantilever 1.0'!J398,IF(AND($B$3="HalfTracker",$B$2="Zone 1"),'GCM_Halftracker 1.0'!E413,IF(AND($B$3="HalfTracker",$B$2="Zone 2"),'GCM_Halftracker 1.0'!I413,IF(AND($B$3="Purlin",$B$2="Zone 1"),'GCM_Purlin 1.0'!E468,IF(AND($B$3="Purlin",$B$2="Zone 2"),'GCM_Purlin 1.0'!M468,IF(AND($B$3="Purlin",$B$2="Zone 3"),'GCM_Purlin 1.0'!X468,IF(AND($B$3="Purlin",$B$2="Zone 4"),'GCM_Purlin 1.0'!AF468,IF(AND($B$3="Purlin",$B$2="Zone 5"),'GCM_Purlin 1.0'!AQ468,IF(AND($B$3="Clip",$B$2="Zone 1"),'GCN_Clip 1.0'!G37,IF(AND($B$3="Clip",$B$2="Zone 2"),'GCN_Clip 1.0'!C38,IF(AND($B$3="Clip",$B$2="Zone 3"),'GCN_Clip 1.0'!G39,IF(AND($B$3="Clip",$B$2="Zone 4"),'GCN_Clip 1.0'!G40,IF(AND($B$3="Clip",$B$2="Zone 5"),'GCN_Clip 1.0'!G41,IF(AND($B$3="Post",$B$2="Zone 1"),'GCN_Post 1.0'!E321,IF(AND($B$3="Post",$B$2="Zone 2"),'GCN_Post 1.0'!F321,IF(AND($B$3="Post",$B$2="Zone 3"),'GCN_Post 1.0'!G321,IF(AND($B$3="Post",$B$2="Zone 4"),'GCN_Post 1.0'!H321,IF(AND($B$3="Post",$B$2="Zone 5"),'GCN_Post 1.0'!I321,"ERROR")))))))))))))))))))</f>
        <v/>
      </c>
      <c r="V207" s="27" t="str">
        <f t="shared" si="54"/>
        <v/>
      </c>
      <c r="W207" t="str">
        <f t="shared" si="55"/>
        <v/>
      </c>
      <c r="X207" t="str">
        <f t="shared" si="56"/>
        <v/>
      </c>
      <c r="Y207" t="str">
        <f t="shared" si="57"/>
        <v/>
      </c>
      <c r="Z207" t="str">
        <f t="shared" si="58"/>
        <v/>
      </c>
      <c r="AA207" t="str">
        <f t="shared" si="59"/>
        <v/>
      </c>
      <c r="AB207" s="82" t="str">
        <f>IF(AND($B$3="Cantilever",$B$2="Zone 1"),'GCM_Cantilever 1.0'!$G398,IF(AND($B$3="Cantilever",$B$2="Zone 2"),'GCM_Cantilever 1.0'!K398,IF(AND($B$3="HalfTracker",$B$2="Zone 1"),'GCM_Halftracker 1.0'!F413,IF(AND($B$3="HalfTracker",$B$2="Zone 2"),'GCM_Halftracker 1.0'!J413,IF(AND($B$3="Purlin",$B$2="Zone 1"),'GCM_Purlin 1.0'!F468,IF(AND($B$3="Purlin",$B$2="Zone 2"),'GCM_Purlin 1.0'!N468,IF(AND($B$3="Purlin",$B$2="Zone 3"),'GCM_Purlin 1.0'!Y468,IF(AND($B$3="Purlin",$B$2="Zone 4"),'GCM_Purlin 1.0'!AG468,IF(AND($B$3="Purlin",$B$2="Zone 5"),'GCM_Purlin 1.0'!AR468,IF(AND($B$3="Clip",$B$2="Zone 1"),'GCN_Clip 1.0'!H37,IF(AND($B$3="Clip",$B$2="Zone 2"),'GCN_Clip 1.0'!H38,IF(AND($B$3="Clip",$B$2="Zone 3"),'GCN_Clip 1.0'!H39,IF(AND($B$3="Clip",$B$2="Zone 4"),'GCN_Clip 1.0'!H40,IF(AND($B$3="Clip",$B$2="Zone 5"),'GCN_Clip 1.0'!H41,IF(AND($B$3="Post",$B$2="Zone 1"),'GCN_Post 1.0'!J321,IF(AND($B$3="Post",$B$2="Zone 2"),'GCN_Post 1.0'!K321,IF(AND($B$3="Post",$B$2="Zone 3"),'GCN_Post 1.0'!N321,IF(AND($B$3="Post",$B$2="Zone 4"),'GCN_Post 1.0'!O321,IF(AND($B$3="Post",$B$2="Zone 5"),'GCN_Post 1.0'!P321,"ERROR")))))))))))))))))))</f>
        <v/>
      </c>
      <c r="AD207" s="27" t="str">
        <f t="shared" si="60"/>
        <v/>
      </c>
      <c r="AE207" t="str">
        <f t="shared" si="61"/>
        <v/>
      </c>
      <c r="AF207" t="str">
        <f t="shared" si="62"/>
        <v/>
      </c>
      <c r="AG207" t="str">
        <f t="shared" si="63"/>
        <v/>
      </c>
      <c r="AH207" t="str">
        <f t="shared" si="64"/>
        <v/>
      </c>
      <c r="AI207" t="str">
        <f t="shared" si="65"/>
        <v/>
      </c>
      <c r="AJ207" s="82" t="str">
        <f>IF(AND($B$3="Cantilever",$B$2="Zone 1"),'GCM_Cantilever 1.0'!$H398,IF(AND($B$3="Cantilever",$B$2="Zone 2"),'GCM_Cantilever 1.0'!L398,IF(AND($B$3="HalfTracker",$B$2="Zone 1"),'GCM_Halftracker 1.0'!G413,IF(AND($B$3="HalfTracker",$B$2="Zone 2"),'GCM_Halftracker 1.0'!K413,IF(AND($B$3="Purlin",$B$2="Zone 1"),'GCM_Purlin 1.0'!G468,IF(AND($B$3="Purlin",$B$2="Zone 2"),'GCM_Purlin 1.0'!O468,IF(AND($B$3="Purlin",$B$2="Zone 3"),'GCM_Purlin 1.0'!Z468,IF(AND($B$3="Purlin",$B$2="Zone 4"),'GCM_Purlin 1.0'!AH468,IF(AND($B$3="Purlin",$B$2="Zone 5"),'GCM_Purlin 1.0'!AS468,IF(AND($B$3="Clip",$B$2="Zone 1"),'GCN_Clip 1.0'!#REF!,IF(AND($B$3="Clip",$B$2="Zone 2"),'GCN_Clip 1.0'!#REF!,IF(AND($B$3="Clip",$B$2="Zone 3"),'GCN_Clip 1.0'!#REF!,IF(AND($B$3="Clip",$B$2="Zone 4"),'GCN_Clip 1.0'!#REF!,IF(AND($B$3="Clip",$B$2="Zone 5"),'GCN_Clip 1.0'!#REF!,IF(AND($B$3="Post",$B$2="Zone 1"),'GCN_Post 1.0'!Q321,IF(AND($B$3="Post",$B$2="Zone 2"),'GCN_Post 1.0'!R321,IF(AND($B$3="Post",$B$2="Zone 3"),'GCN_Post 1.0'!S321,IF(AND($B$3="Post",$B$2="Zone 4"),'GCN_Post 1.0'!T321,IF(AND($B$3="Post",$B$2="Zone 5"),'GCN_Post 1.0'!V321,"ERROR")))))))))))))))))))</f>
        <v/>
      </c>
      <c r="AL207" s="27" t="str">
        <f t="shared" si="66"/>
        <v/>
      </c>
      <c r="AM207" t="str">
        <f t="shared" si="67"/>
        <v/>
      </c>
      <c r="AN207" t="str">
        <f t="shared" si="68"/>
        <v/>
      </c>
      <c r="AO207" t="str">
        <f t="shared" si="69"/>
        <v/>
      </c>
      <c r="AP207" t="str">
        <f t="shared" si="70"/>
        <v/>
      </c>
      <c r="AQ207" t="str">
        <f t="shared" si="71"/>
        <v/>
      </c>
      <c r="AR207" s="82" t="str">
        <f>IF(AND($B$3="Cantilever",$B$2="Zone 1"),'GCM_Cantilever 1.0'!$I398,IF(AND($B$3="Cantilever",$B$2="Zone 2"),'GCM_Cantilever 1.0'!M398,IF(AND($B$3="HalfTracker",$B$2="Zone 1"),'GCM_Halftracker 1.0'!H413,IF(AND($B$3="HalfTracker",$B$2="Zone 2"),'GCM_Halftracker 1.0'!L413,IF(AND($B$3="Purlin",$B$2="Zone 1"),'GCM_Purlin 1.0'!H468,IF(AND($B$3="Purlin",$B$2="Zone 2"),'GCM_Purlin 1.0'!P468,IF(AND($B$3="Purlin",$B$2="Zone 3"),'GCM_Purlin 1.0'!AA468,IF(AND($B$3="Purlin",$B$2="Zone 4"),'GCM_Purlin 1.0'!AI468,IF(AND($B$3="Purlin",$B$2="Zone 5"),'GCM_Purlin 1.0'!AT468,IF(AND($B$3="Clip",$B$2="Zone 1"),'GCN_Clip 1.0'!#REF!,IF(AND($B$3="Clip",$B$2="Zone 2"),'GCN_Clip 1.0'!#REF!,IF(AND($B$3="Clip",$B$2="Zone 3"),'GCN_Clip 1.0'!#REF!,IF(AND($B$3="Clip",$B$2="Zone 4"),'GCN_Clip 1.0'!#REF!,IF(AND($B$3="Clip",$B$2="Zone 5"),'GCN_Clip 1.0'!#REF!,IF(AND($B$3="Post",$B$2="Zone 1"),'GCN_Post 1.0'!W321,IF(AND($B$3="Post",$B$2="Zone 2"),'GCN_Post 1.0'!X321,IF(AND($B$3="Post",$B$2="Zone 3"),'GCN_Post 1.0'!Y321,IF(AND($B$3="Post",$B$2="Zone 4"),'GCN_Post 1.0'!Z321,IF(AND($B$3="Post",$B$2="Zone 5"),'GCN_Post 1.0'!AA321,"ERROR")))))))))))))))))))</f>
        <v/>
      </c>
    </row>
    <row r="208" spans="6:44" x14ac:dyDescent="0.25">
      <c r="F208">
        <v>35</v>
      </c>
      <c r="G208" s="27" t="str">
        <f t="shared" si="44"/>
        <v/>
      </c>
      <c r="H208" t="str">
        <f t="shared" si="45"/>
        <v/>
      </c>
      <c r="I208" t="str">
        <f t="shared" si="46"/>
        <v/>
      </c>
      <c r="J208" s="28" t="str">
        <f t="shared" si="47"/>
        <v/>
      </c>
      <c r="M208">
        <v>35</v>
      </c>
      <c r="N208" s="27" t="str">
        <f t="shared" si="48"/>
        <v/>
      </c>
      <c r="O208" t="str">
        <f t="shared" si="49"/>
        <v/>
      </c>
      <c r="P208" t="str">
        <f t="shared" si="50"/>
        <v/>
      </c>
      <c r="Q208" t="str">
        <f t="shared" si="51"/>
        <v/>
      </c>
      <c r="R208" t="str">
        <f t="shared" si="52"/>
        <v/>
      </c>
      <c r="S208" t="str">
        <f t="shared" si="53"/>
        <v/>
      </c>
      <c r="T208" s="82" t="str">
        <f>IF(AND($B$3="Cantilever",$B$2="Zone 1"),'GCM_Cantilever 1.0'!$F399,IF(AND($B$3="Cantilever",$B$2="Zone 2"),'GCM_Cantilever 1.0'!J399,IF(AND($B$3="HalfTracker",$B$2="Zone 1"),'GCM_Halftracker 1.0'!E414,IF(AND($B$3="HalfTracker",$B$2="Zone 2"),'GCM_Halftracker 1.0'!I414,IF(AND($B$3="Purlin",$B$2="Zone 1"),'GCM_Purlin 1.0'!E469,IF(AND($B$3="Purlin",$B$2="Zone 2"),'GCM_Purlin 1.0'!M469,IF(AND($B$3="Purlin",$B$2="Zone 3"),'GCM_Purlin 1.0'!X469,IF(AND($B$3="Purlin",$B$2="Zone 4"),'GCM_Purlin 1.0'!AF469,IF(AND($B$3="Purlin",$B$2="Zone 5"),'GCM_Purlin 1.0'!AQ469,IF(AND($B$3="Clip",$B$2="Zone 1"),'GCN_Clip 1.0'!G38,IF(AND($B$3="Clip",$B$2="Zone 2"),'GCN_Clip 1.0'!C39,IF(AND($B$3="Clip",$B$2="Zone 3"),'GCN_Clip 1.0'!G40,IF(AND($B$3="Clip",$B$2="Zone 4"),'GCN_Clip 1.0'!G41,IF(AND($B$3="Clip",$B$2="Zone 5"),'GCN_Clip 1.0'!G42,IF(AND($B$3="Post",$B$2="Zone 1"),'GCN_Post 1.0'!E322,IF(AND($B$3="Post",$B$2="Zone 2"),'GCN_Post 1.0'!F322,IF(AND($B$3="Post",$B$2="Zone 3"),'GCN_Post 1.0'!G322,IF(AND($B$3="Post",$B$2="Zone 4"),'GCN_Post 1.0'!H322,IF(AND($B$3="Post",$B$2="Zone 5"),'GCN_Post 1.0'!I322,"ERROR")))))))))))))))))))</f>
        <v/>
      </c>
      <c r="V208" s="27" t="str">
        <f t="shared" si="54"/>
        <v/>
      </c>
      <c r="W208" t="str">
        <f t="shared" si="55"/>
        <v/>
      </c>
      <c r="X208" t="str">
        <f t="shared" si="56"/>
        <v/>
      </c>
      <c r="Y208" t="str">
        <f t="shared" si="57"/>
        <v/>
      </c>
      <c r="Z208" t="str">
        <f t="shared" si="58"/>
        <v/>
      </c>
      <c r="AA208" t="str">
        <f t="shared" si="59"/>
        <v/>
      </c>
      <c r="AB208" s="82" t="str">
        <f>IF(AND($B$3="Cantilever",$B$2="Zone 1"),'GCM_Cantilever 1.0'!$G399,IF(AND($B$3="Cantilever",$B$2="Zone 2"),'GCM_Cantilever 1.0'!K399,IF(AND($B$3="HalfTracker",$B$2="Zone 1"),'GCM_Halftracker 1.0'!F414,IF(AND($B$3="HalfTracker",$B$2="Zone 2"),'GCM_Halftracker 1.0'!J414,IF(AND($B$3="Purlin",$B$2="Zone 1"),'GCM_Purlin 1.0'!F469,IF(AND($B$3="Purlin",$B$2="Zone 2"),'GCM_Purlin 1.0'!N469,IF(AND($B$3="Purlin",$B$2="Zone 3"),'GCM_Purlin 1.0'!Y469,IF(AND($B$3="Purlin",$B$2="Zone 4"),'GCM_Purlin 1.0'!AG469,IF(AND($B$3="Purlin",$B$2="Zone 5"),'GCM_Purlin 1.0'!AR469,IF(AND($B$3="Clip",$B$2="Zone 1"),'GCN_Clip 1.0'!H38,IF(AND($B$3="Clip",$B$2="Zone 2"),'GCN_Clip 1.0'!H39,IF(AND($B$3="Clip",$B$2="Zone 3"),'GCN_Clip 1.0'!H40,IF(AND($B$3="Clip",$B$2="Zone 4"),'GCN_Clip 1.0'!H41,IF(AND($B$3="Clip",$B$2="Zone 5"),'GCN_Clip 1.0'!H42,IF(AND($B$3="Post",$B$2="Zone 1"),'GCN_Post 1.0'!J322,IF(AND($B$3="Post",$B$2="Zone 2"),'GCN_Post 1.0'!K322,IF(AND($B$3="Post",$B$2="Zone 3"),'GCN_Post 1.0'!N322,IF(AND($B$3="Post",$B$2="Zone 4"),'GCN_Post 1.0'!O322,IF(AND($B$3="Post",$B$2="Zone 5"),'GCN_Post 1.0'!P322,"ERROR")))))))))))))))))))</f>
        <v/>
      </c>
      <c r="AD208" s="27" t="str">
        <f t="shared" si="60"/>
        <v/>
      </c>
      <c r="AE208" t="str">
        <f t="shared" si="61"/>
        <v/>
      </c>
      <c r="AF208" t="str">
        <f t="shared" si="62"/>
        <v/>
      </c>
      <c r="AG208" t="str">
        <f t="shared" si="63"/>
        <v/>
      </c>
      <c r="AH208" t="str">
        <f t="shared" si="64"/>
        <v/>
      </c>
      <c r="AI208" t="str">
        <f t="shared" si="65"/>
        <v/>
      </c>
      <c r="AJ208" s="82" t="str">
        <f>IF(AND($B$3="Cantilever",$B$2="Zone 1"),'GCM_Cantilever 1.0'!$H399,IF(AND($B$3="Cantilever",$B$2="Zone 2"),'GCM_Cantilever 1.0'!L399,IF(AND($B$3="HalfTracker",$B$2="Zone 1"),'GCM_Halftracker 1.0'!G414,IF(AND($B$3="HalfTracker",$B$2="Zone 2"),'GCM_Halftracker 1.0'!K414,IF(AND($B$3="Purlin",$B$2="Zone 1"),'GCM_Purlin 1.0'!G469,IF(AND($B$3="Purlin",$B$2="Zone 2"),'GCM_Purlin 1.0'!O469,IF(AND($B$3="Purlin",$B$2="Zone 3"),'GCM_Purlin 1.0'!Z469,IF(AND($B$3="Purlin",$B$2="Zone 4"),'GCM_Purlin 1.0'!AH469,IF(AND($B$3="Purlin",$B$2="Zone 5"),'GCM_Purlin 1.0'!AS469,IF(AND($B$3="Clip",$B$2="Zone 1"),'GCN_Clip 1.0'!#REF!,IF(AND($B$3="Clip",$B$2="Zone 2"),'GCN_Clip 1.0'!#REF!,IF(AND($B$3="Clip",$B$2="Zone 3"),'GCN_Clip 1.0'!#REF!,IF(AND($B$3="Clip",$B$2="Zone 4"),'GCN_Clip 1.0'!#REF!,IF(AND($B$3="Clip",$B$2="Zone 5"),'GCN_Clip 1.0'!#REF!,IF(AND($B$3="Post",$B$2="Zone 1"),'GCN_Post 1.0'!Q322,IF(AND($B$3="Post",$B$2="Zone 2"),'GCN_Post 1.0'!R322,IF(AND($B$3="Post",$B$2="Zone 3"),'GCN_Post 1.0'!S322,IF(AND($B$3="Post",$B$2="Zone 4"),'GCN_Post 1.0'!T322,IF(AND($B$3="Post",$B$2="Zone 5"),'GCN_Post 1.0'!V322,"ERROR")))))))))))))))))))</f>
        <v/>
      </c>
      <c r="AL208" s="27" t="str">
        <f t="shared" si="66"/>
        <v/>
      </c>
      <c r="AM208" t="str">
        <f t="shared" si="67"/>
        <v/>
      </c>
      <c r="AN208" t="str">
        <f t="shared" si="68"/>
        <v/>
      </c>
      <c r="AO208" t="str">
        <f t="shared" si="69"/>
        <v/>
      </c>
      <c r="AP208" t="str">
        <f t="shared" si="70"/>
        <v/>
      </c>
      <c r="AQ208" t="str">
        <f t="shared" si="71"/>
        <v/>
      </c>
      <c r="AR208" s="82" t="str">
        <f>IF(AND($B$3="Cantilever",$B$2="Zone 1"),'GCM_Cantilever 1.0'!$I399,IF(AND($B$3="Cantilever",$B$2="Zone 2"),'GCM_Cantilever 1.0'!M399,IF(AND($B$3="HalfTracker",$B$2="Zone 1"),'GCM_Halftracker 1.0'!H414,IF(AND($B$3="HalfTracker",$B$2="Zone 2"),'GCM_Halftracker 1.0'!L414,IF(AND($B$3="Purlin",$B$2="Zone 1"),'GCM_Purlin 1.0'!H469,IF(AND($B$3="Purlin",$B$2="Zone 2"),'GCM_Purlin 1.0'!P469,IF(AND($B$3="Purlin",$B$2="Zone 3"),'GCM_Purlin 1.0'!AA469,IF(AND($B$3="Purlin",$B$2="Zone 4"),'GCM_Purlin 1.0'!AI469,IF(AND($B$3="Purlin",$B$2="Zone 5"),'GCM_Purlin 1.0'!AT469,IF(AND($B$3="Clip",$B$2="Zone 1"),'GCN_Clip 1.0'!#REF!,IF(AND($B$3="Clip",$B$2="Zone 2"),'GCN_Clip 1.0'!#REF!,IF(AND($B$3="Clip",$B$2="Zone 3"),'GCN_Clip 1.0'!#REF!,IF(AND($B$3="Clip",$B$2="Zone 4"),'GCN_Clip 1.0'!#REF!,IF(AND($B$3="Clip",$B$2="Zone 5"),'GCN_Clip 1.0'!#REF!,IF(AND($B$3="Post",$B$2="Zone 1"),'GCN_Post 1.0'!W322,IF(AND($B$3="Post",$B$2="Zone 2"),'GCN_Post 1.0'!X322,IF(AND($B$3="Post",$B$2="Zone 3"),'GCN_Post 1.0'!Y322,IF(AND($B$3="Post",$B$2="Zone 4"),'GCN_Post 1.0'!Z322,IF(AND($B$3="Post",$B$2="Zone 5"),'GCN_Post 1.0'!AA322,"ERROR")))))))))))))))))))</f>
        <v/>
      </c>
    </row>
    <row r="209" spans="6:44" x14ac:dyDescent="0.25">
      <c r="F209">
        <v>36</v>
      </c>
      <c r="G209" s="27" t="str">
        <f t="shared" si="44"/>
        <v/>
      </c>
      <c r="H209" t="str">
        <f t="shared" si="45"/>
        <v/>
      </c>
      <c r="I209" t="str">
        <f t="shared" si="46"/>
        <v/>
      </c>
      <c r="J209" s="28" t="str">
        <f t="shared" si="47"/>
        <v/>
      </c>
      <c r="M209">
        <v>36</v>
      </c>
      <c r="N209" s="27" t="str">
        <f t="shared" si="48"/>
        <v/>
      </c>
      <c r="O209" t="str">
        <f t="shared" si="49"/>
        <v/>
      </c>
      <c r="P209" t="str">
        <f t="shared" si="50"/>
        <v/>
      </c>
      <c r="Q209" t="str">
        <f t="shared" si="51"/>
        <v/>
      </c>
      <c r="R209" t="str">
        <f t="shared" si="52"/>
        <v/>
      </c>
      <c r="S209" t="str">
        <f t="shared" si="53"/>
        <v/>
      </c>
      <c r="T209" s="82" t="str">
        <f>IF(AND($B$3="Cantilever",$B$2="Zone 1"),'GCM_Cantilever 1.0'!$F400,IF(AND($B$3="Cantilever",$B$2="Zone 2"),'GCM_Cantilever 1.0'!J400,IF(AND($B$3="HalfTracker",$B$2="Zone 1"),'GCM_Halftracker 1.0'!E415,IF(AND($B$3="HalfTracker",$B$2="Zone 2"),'GCM_Halftracker 1.0'!I415,IF(AND($B$3="Purlin",$B$2="Zone 1"),'GCM_Purlin 1.0'!E470,IF(AND($B$3="Purlin",$B$2="Zone 2"),'GCM_Purlin 1.0'!M470,IF(AND($B$3="Purlin",$B$2="Zone 3"),'GCM_Purlin 1.0'!X470,IF(AND($B$3="Purlin",$B$2="Zone 4"),'GCM_Purlin 1.0'!AF470,IF(AND($B$3="Purlin",$B$2="Zone 5"),'GCM_Purlin 1.0'!AQ470,IF(AND($B$3="Clip",$B$2="Zone 1"),'GCN_Clip 1.0'!G39,IF(AND($B$3="Clip",$B$2="Zone 2"),'GCN_Clip 1.0'!C40,IF(AND($B$3="Clip",$B$2="Zone 3"),'GCN_Clip 1.0'!G41,IF(AND($B$3="Clip",$B$2="Zone 4"),'GCN_Clip 1.0'!G42,IF(AND($B$3="Clip",$B$2="Zone 5"),'GCN_Clip 1.0'!G43,IF(AND($B$3="Post",$B$2="Zone 1"),'GCN_Post 1.0'!E323,IF(AND($B$3="Post",$B$2="Zone 2"),'GCN_Post 1.0'!F323,IF(AND($B$3="Post",$B$2="Zone 3"),'GCN_Post 1.0'!G323,IF(AND($B$3="Post",$B$2="Zone 4"),'GCN_Post 1.0'!H323,IF(AND($B$3="Post",$B$2="Zone 5"),'GCN_Post 1.0'!I323,"ERROR")))))))))))))))))))</f>
        <v/>
      </c>
      <c r="V209" s="27" t="str">
        <f t="shared" si="54"/>
        <v/>
      </c>
      <c r="W209" t="str">
        <f t="shared" si="55"/>
        <v/>
      </c>
      <c r="X209" t="str">
        <f t="shared" si="56"/>
        <v/>
      </c>
      <c r="Y209" t="str">
        <f t="shared" si="57"/>
        <v/>
      </c>
      <c r="Z209" t="str">
        <f t="shared" si="58"/>
        <v/>
      </c>
      <c r="AA209" t="str">
        <f t="shared" si="59"/>
        <v/>
      </c>
      <c r="AB209" s="82" t="str">
        <f>IF(AND($B$3="Cantilever",$B$2="Zone 1"),'GCM_Cantilever 1.0'!$G400,IF(AND($B$3="Cantilever",$B$2="Zone 2"),'GCM_Cantilever 1.0'!K400,IF(AND($B$3="HalfTracker",$B$2="Zone 1"),'GCM_Halftracker 1.0'!F415,IF(AND($B$3="HalfTracker",$B$2="Zone 2"),'GCM_Halftracker 1.0'!J415,IF(AND($B$3="Purlin",$B$2="Zone 1"),'GCM_Purlin 1.0'!F470,IF(AND($B$3="Purlin",$B$2="Zone 2"),'GCM_Purlin 1.0'!N470,IF(AND($B$3="Purlin",$B$2="Zone 3"),'GCM_Purlin 1.0'!Y470,IF(AND($B$3="Purlin",$B$2="Zone 4"),'GCM_Purlin 1.0'!AG470,IF(AND($B$3="Purlin",$B$2="Zone 5"),'GCM_Purlin 1.0'!AR470,IF(AND($B$3="Clip",$B$2="Zone 1"),'GCN_Clip 1.0'!H39,IF(AND($B$3="Clip",$B$2="Zone 2"),'GCN_Clip 1.0'!H40,IF(AND($B$3="Clip",$B$2="Zone 3"),'GCN_Clip 1.0'!H41,IF(AND($B$3="Clip",$B$2="Zone 4"),'GCN_Clip 1.0'!H42,IF(AND($B$3="Clip",$B$2="Zone 5"),'GCN_Clip 1.0'!H43,IF(AND($B$3="Post",$B$2="Zone 1"),'GCN_Post 1.0'!J323,IF(AND($B$3="Post",$B$2="Zone 2"),'GCN_Post 1.0'!K323,IF(AND($B$3="Post",$B$2="Zone 3"),'GCN_Post 1.0'!N323,IF(AND($B$3="Post",$B$2="Zone 4"),'GCN_Post 1.0'!O323,IF(AND($B$3="Post",$B$2="Zone 5"),'GCN_Post 1.0'!P323,"ERROR")))))))))))))))))))</f>
        <v/>
      </c>
      <c r="AD209" s="27" t="str">
        <f t="shared" si="60"/>
        <v/>
      </c>
      <c r="AE209" t="str">
        <f t="shared" si="61"/>
        <v/>
      </c>
      <c r="AF209" t="str">
        <f t="shared" si="62"/>
        <v/>
      </c>
      <c r="AG209" t="str">
        <f t="shared" si="63"/>
        <v/>
      </c>
      <c r="AH209" t="str">
        <f t="shared" si="64"/>
        <v/>
      </c>
      <c r="AI209" t="str">
        <f t="shared" si="65"/>
        <v/>
      </c>
      <c r="AJ209" s="82" t="str">
        <f>IF(AND($B$3="Cantilever",$B$2="Zone 1"),'GCM_Cantilever 1.0'!$H400,IF(AND($B$3="Cantilever",$B$2="Zone 2"),'GCM_Cantilever 1.0'!L400,IF(AND($B$3="HalfTracker",$B$2="Zone 1"),'GCM_Halftracker 1.0'!G415,IF(AND($B$3="HalfTracker",$B$2="Zone 2"),'GCM_Halftracker 1.0'!K415,IF(AND($B$3="Purlin",$B$2="Zone 1"),'GCM_Purlin 1.0'!G470,IF(AND($B$3="Purlin",$B$2="Zone 2"),'GCM_Purlin 1.0'!O470,IF(AND($B$3="Purlin",$B$2="Zone 3"),'GCM_Purlin 1.0'!Z470,IF(AND($B$3="Purlin",$B$2="Zone 4"),'GCM_Purlin 1.0'!AH470,IF(AND($B$3="Purlin",$B$2="Zone 5"),'GCM_Purlin 1.0'!AS470,IF(AND($B$3="Clip",$B$2="Zone 1"),'GCN_Clip 1.0'!#REF!,IF(AND($B$3="Clip",$B$2="Zone 2"),'GCN_Clip 1.0'!#REF!,IF(AND($B$3="Clip",$B$2="Zone 3"),'GCN_Clip 1.0'!#REF!,IF(AND($B$3="Clip",$B$2="Zone 4"),'GCN_Clip 1.0'!#REF!,IF(AND($B$3="Clip",$B$2="Zone 5"),'GCN_Clip 1.0'!#REF!,IF(AND($B$3="Post",$B$2="Zone 1"),'GCN_Post 1.0'!Q323,IF(AND($B$3="Post",$B$2="Zone 2"),'GCN_Post 1.0'!R323,IF(AND($B$3="Post",$B$2="Zone 3"),'GCN_Post 1.0'!S323,IF(AND($B$3="Post",$B$2="Zone 4"),'GCN_Post 1.0'!T323,IF(AND($B$3="Post",$B$2="Zone 5"),'GCN_Post 1.0'!V323,"ERROR")))))))))))))))))))</f>
        <v/>
      </c>
      <c r="AL209" s="27" t="str">
        <f t="shared" si="66"/>
        <v/>
      </c>
      <c r="AM209" t="str">
        <f t="shared" si="67"/>
        <v/>
      </c>
      <c r="AN209" t="str">
        <f t="shared" si="68"/>
        <v/>
      </c>
      <c r="AO209" t="str">
        <f t="shared" si="69"/>
        <v/>
      </c>
      <c r="AP209" t="str">
        <f t="shared" si="70"/>
        <v/>
      </c>
      <c r="AQ209" t="str">
        <f t="shared" si="71"/>
        <v/>
      </c>
      <c r="AR209" s="82" t="str">
        <f>IF(AND($B$3="Cantilever",$B$2="Zone 1"),'GCM_Cantilever 1.0'!$I400,IF(AND($B$3="Cantilever",$B$2="Zone 2"),'GCM_Cantilever 1.0'!M400,IF(AND($B$3="HalfTracker",$B$2="Zone 1"),'GCM_Halftracker 1.0'!H415,IF(AND($B$3="HalfTracker",$B$2="Zone 2"),'GCM_Halftracker 1.0'!L415,IF(AND($B$3="Purlin",$B$2="Zone 1"),'GCM_Purlin 1.0'!H470,IF(AND($B$3="Purlin",$B$2="Zone 2"),'GCM_Purlin 1.0'!P470,IF(AND($B$3="Purlin",$B$2="Zone 3"),'GCM_Purlin 1.0'!AA470,IF(AND($B$3="Purlin",$B$2="Zone 4"),'GCM_Purlin 1.0'!AI470,IF(AND($B$3="Purlin",$B$2="Zone 5"),'GCM_Purlin 1.0'!AT470,IF(AND($B$3="Clip",$B$2="Zone 1"),'GCN_Clip 1.0'!#REF!,IF(AND($B$3="Clip",$B$2="Zone 2"),'GCN_Clip 1.0'!#REF!,IF(AND($B$3="Clip",$B$2="Zone 3"),'GCN_Clip 1.0'!#REF!,IF(AND($B$3="Clip",$B$2="Zone 4"),'GCN_Clip 1.0'!#REF!,IF(AND($B$3="Clip",$B$2="Zone 5"),'GCN_Clip 1.0'!#REF!,IF(AND($B$3="Post",$B$2="Zone 1"),'GCN_Post 1.0'!W323,IF(AND($B$3="Post",$B$2="Zone 2"),'GCN_Post 1.0'!X323,IF(AND($B$3="Post",$B$2="Zone 3"),'GCN_Post 1.0'!Y323,IF(AND($B$3="Post",$B$2="Zone 4"),'GCN_Post 1.0'!Z323,IF(AND($B$3="Post",$B$2="Zone 5"),'GCN_Post 1.0'!AA323,"ERROR")))))))))))))))))))</f>
        <v/>
      </c>
    </row>
    <row r="210" spans="6:44" x14ac:dyDescent="0.25">
      <c r="F210">
        <v>37</v>
      </c>
      <c r="G210" s="27" t="str">
        <f t="shared" si="44"/>
        <v/>
      </c>
      <c r="H210" t="str">
        <f t="shared" si="45"/>
        <v/>
      </c>
      <c r="I210" t="str">
        <f t="shared" si="46"/>
        <v/>
      </c>
      <c r="J210" s="28" t="str">
        <f t="shared" si="47"/>
        <v/>
      </c>
      <c r="M210">
        <v>37</v>
      </c>
      <c r="N210" s="27" t="str">
        <f t="shared" si="48"/>
        <v/>
      </c>
      <c r="O210" t="str">
        <f t="shared" si="49"/>
        <v/>
      </c>
      <c r="P210" t="str">
        <f t="shared" si="50"/>
        <v/>
      </c>
      <c r="Q210" t="str">
        <f t="shared" si="51"/>
        <v/>
      </c>
      <c r="R210" t="str">
        <f t="shared" si="52"/>
        <v/>
      </c>
      <c r="S210" t="str">
        <f t="shared" si="53"/>
        <v/>
      </c>
      <c r="T210" s="82" t="str">
        <f>IF(AND($B$3="Cantilever",$B$2="Zone 1"),'GCM_Cantilever 1.0'!$F401,IF(AND($B$3="Cantilever",$B$2="Zone 2"),'GCM_Cantilever 1.0'!J401,IF(AND($B$3="HalfTracker",$B$2="Zone 1"),'GCM_Halftracker 1.0'!E416,IF(AND($B$3="HalfTracker",$B$2="Zone 2"),'GCM_Halftracker 1.0'!I416,IF(AND($B$3="Purlin",$B$2="Zone 1"),'GCM_Purlin 1.0'!E471,IF(AND($B$3="Purlin",$B$2="Zone 2"),'GCM_Purlin 1.0'!M471,IF(AND($B$3="Purlin",$B$2="Zone 3"),'GCM_Purlin 1.0'!X471,IF(AND($B$3="Purlin",$B$2="Zone 4"),'GCM_Purlin 1.0'!AF471,IF(AND($B$3="Purlin",$B$2="Zone 5"),'GCM_Purlin 1.0'!AQ471,IF(AND($B$3="Clip",$B$2="Zone 1"),'GCN_Clip 1.0'!G40,IF(AND($B$3="Clip",$B$2="Zone 2"),'GCN_Clip 1.0'!C41,IF(AND($B$3="Clip",$B$2="Zone 3"),'GCN_Clip 1.0'!G42,IF(AND($B$3="Clip",$B$2="Zone 4"),'GCN_Clip 1.0'!G43,IF(AND($B$3="Clip",$B$2="Zone 5"),'GCN_Clip 1.0'!G44,IF(AND($B$3="Post",$B$2="Zone 1"),'GCN_Post 1.0'!E324,IF(AND($B$3="Post",$B$2="Zone 2"),'GCN_Post 1.0'!F324,IF(AND($B$3="Post",$B$2="Zone 3"),'GCN_Post 1.0'!G324,IF(AND($B$3="Post",$B$2="Zone 4"),'GCN_Post 1.0'!H324,IF(AND($B$3="Post",$B$2="Zone 5"),'GCN_Post 1.0'!I324,"ERROR")))))))))))))))))))</f>
        <v/>
      </c>
      <c r="V210" s="27" t="str">
        <f t="shared" si="54"/>
        <v/>
      </c>
      <c r="W210" t="str">
        <f t="shared" si="55"/>
        <v/>
      </c>
      <c r="X210" t="str">
        <f t="shared" si="56"/>
        <v/>
      </c>
      <c r="Y210" t="str">
        <f t="shared" si="57"/>
        <v/>
      </c>
      <c r="Z210" t="str">
        <f t="shared" si="58"/>
        <v/>
      </c>
      <c r="AA210" t="str">
        <f t="shared" si="59"/>
        <v/>
      </c>
      <c r="AB210" s="82" t="str">
        <f>IF(AND($B$3="Cantilever",$B$2="Zone 1"),'GCM_Cantilever 1.0'!$G401,IF(AND($B$3="Cantilever",$B$2="Zone 2"),'GCM_Cantilever 1.0'!K401,IF(AND($B$3="HalfTracker",$B$2="Zone 1"),'GCM_Halftracker 1.0'!F416,IF(AND($B$3="HalfTracker",$B$2="Zone 2"),'GCM_Halftracker 1.0'!J416,IF(AND($B$3="Purlin",$B$2="Zone 1"),'GCM_Purlin 1.0'!F471,IF(AND($B$3="Purlin",$B$2="Zone 2"),'GCM_Purlin 1.0'!N471,IF(AND($B$3="Purlin",$B$2="Zone 3"),'GCM_Purlin 1.0'!Y471,IF(AND($B$3="Purlin",$B$2="Zone 4"),'GCM_Purlin 1.0'!AG471,IF(AND($B$3="Purlin",$B$2="Zone 5"),'GCM_Purlin 1.0'!AR471,IF(AND($B$3="Clip",$B$2="Zone 1"),'GCN_Clip 1.0'!H40,IF(AND($B$3="Clip",$B$2="Zone 2"),'GCN_Clip 1.0'!H41,IF(AND($B$3="Clip",$B$2="Zone 3"),'GCN_Clip 1.0'!H42,IF(AND($B$3="Clip",$B$2="Zone 4"),'GCN_Clip 1.0'!H43,IF(AND($B$3="Clip",$B$2="Zone 5"),'GCN_Clip 1.0'!H44,IF(AND($B$3="Post",$B$2="Zone 1"),'GCN_Post 1.0'!J324,IF(AND($B$3="Post",$B$2="Zone 2"),'GCN_Post 1.0'!K324,IF(AND($B$3="Post",$B$2="Zone 3"),'GCN_Post 1.0'!N324,IF(AND($B$3="Post",$B$2="Zone 4"),'GCN_Post 1.0'!O324,IF(AND($B$3="Post",$B$2="Zone 5"),'GCN_Post 1.0'!P324,"ERROR")))))))))))))))))))</f>
        <v/>
      </c>
      <c r="AD210" s="27" t="str">
        <f t="shared" si="60"/>
        <v/>
      </c>
      <c r="AE210" t="str">
        <f t="shared" si="61"/>
        <v/>
      </c>
      <c r="AF210" t="str">
        <f t="shared" si="62"/>
        <v/>
      </c>
      <c r="AG210" t="str">
        <f t="shared" si="63"/>
        <v/>
      </c>
      <c r="AH210" t="str">
        <f t="shared" si="64"/>
        <v/>
      </c>
      <c r="AI210" t="str">
        <f t="shared" si="65"/>
        <v/>
      </c>
      <c r="AJ210" s="82" t="str">
        <f>IF(AND($B$3="Cantilever",$B$2="Zone 1"),'GCM_Cantilever 1.0'!$H401,IF(AND($B$3="Cantilever",$B$2="Zone 2"),'GCM_Cantilever 1.0'!L401,IF(AND($B$3="HalfTracker",$B$2="Zone 1"),'GCM_Halftracker 1.0'!G416,IF(AND($B$3="HalfTracker",$B$2="Zone 2"),'GCM_Halftracker 1.0'!K416,IF(AND($B$3="Purlin",$B$2="Zone 1"),'GCM_Purlin 1.0'!G471,IF(AND($B$3="Purlin",$B$2="Zone 2"),'GCM_Purlin 1.0'!O471,IF(AND($B$3="Purlin",$B$2="Zone 3"),'GCM_Purlin 1.0'!Z471,IF(AND($B$3="Purlin",$B$2="Zone 4"),'GCM_Purlin 1.0'!AH471,IF(AND($B$3="Purlin",$B$2="Zone 5"),'GCM_Purlin 1.0'!AS471,IF(AND($B$3="Clip",$B$2="Zone 1"),'GCN_Clip 1.0'!#REF!,IF(AND($B$3="Clip",$B$2="Zone 2"),'GCN_Clip 1.0'!#REF!,IF(AND($B$3="Clip",$B$2="Zone 3"),'GCN_Clip 1.0'!#REF!,IF(AND($B$3="Clip",$B$2="Zone 4"),'GCN_Clip 1.0'!#REF!,IF(AND($B$3="Clip",$B$2="Zone 5"),'GCN_Clip 1.0'!#REF!,IF(AND($B$3="Post",$B$2="Zone 1"),'GCN_Post 1.0'!Q324,IF(AND($B$3="Post",$B$2="Zone 2"),'GCN_Post 1.0'!R324,IF(AND($B$3="Post",$B$2="Zone 3"),'GCN_Post 1.0'!S324,IF(AND($B$3="Post",$B$2="Zone 4"),'GCN_Post 1.0'!T324,IF(AND($B$3="Post",$B$2="Zone 5"),'GCN_Post 1.0'!V324,"ERROR")))))))))))))))))))</f>
        <v/>
      </c>
      <c r="AL210" s="27" t="str">
        <f t="shared" si="66"/>
        <v/>
      </c>
      <c r="AM210" t="str">
        <f t="shared" si="67"/>
        <v/>
      </c>
      <c r="AN210" t="str">
        <f t="shared" si="68"/>
        <v/>
      </c>
      <c r="AO210" t="str">
        <f t="shared" si="69"/>
        <v/>
      </c>
      <c r="AP210" t="str">
        <f t="shared" si="70"/>
        <v/>
      </c>
      <c r="AQ210" t="str">
        <f t="shared" si="71"/>
        <v/>
      </c>
      <c r="AR210" s="82" t="str">
        <f>IF(AND($B$3="Cantilever",$B$2="Zone 1"),'GCM_Cantilever 1.0'!$I401,IF(AND($B$3="Cantilever",$B$2="Zone 2"),'GCM_Cantilever 1.0'!M401,IF(AND($B$3="HalfTracker",$B$2="Zone 1"),'GCM_Halftracker 1.0'!H416,IF(AND($B$3="HalfTracker",$B$2="Zone 2"),'GCM_Halftracker 1.0'!L416,IF(AND($B$3="Purlin",$B$2="Zone 1"),'GCM_Purlin 1.0'!H471,IF(AND($B$3="Purlin",$B$2="Zone 2"),'GCM_Purlin 1.0'!P471,IF(AND($B$3="Purlin",$B$2="Zone 3"),'GCM_Purlin 1.0'!AA471,IF(AND($B$3="Purlin",$B$2="Zone 4"),'GCM_Purlin 1.0'!AI471,IF(AND($B$3="Purlin",$B$2="Zone 5"),'GCM_Purlin 1.0'!AT471,IF(AND($B$3="Clip",$B$2="Zone 1"),'GCN_Clip 1.0'!#REF!,IF(AND($B$3="Clip",$B$2="Zone 2"),'GCN_Clip 1.0'!#REF!,IF(AND($B$3="Clip",$B$2="Zone 3"),'GCN_Clip 1.0'!#REF!,IF(AND($B$3="Clip",$B$2="Zone 4"),'GCN_Clip 1.0'!#REF!,IF(AND($B$3="Clip",$B$2="Zone 5"),'GCN_Clip 1.0'!#REF!,IF(AND($B$3="Post",$B$2="Zone 1"),'GCN_Post 1.0'!W324,IF(AND($B$3="Post",$B$2="Zone 2"),'GCN_Post 1.0'!X324,IF(AND($B$3="Post",$B$2="Zone 3"),'GCN_Post 1.0'!Y324,IF(AND($B$3="Post",$B$2="Zone 4"),'GCN_Post 1.0'!Z324,IF(AND($B$3="Post",$B$2="Zone 5"),'GCN_Post 1.0'!AA324,"ERROR")))))))))))))))))))</f>
        <v/>
      </c>
    </row>
    <row r="211" spans="6:44" x14ac:dyDescent="0.25">
      <c r="F211">
        <v>38</v>
      </c>
      <c r="G211" s="27" t="str">
        <f t="shared" si="44"/>
        <v/>
      </c>
      <c r="H211" t="str">
        <f t="shared" si="45"/>
        <v/>
      </c>
      <c r="I211" t="str">
        <f t="shared" si="46"/>
        <v/>
      </c>
      <c r="J211" s="28" t="str">
        <f t="shared" si="47"/>
        <v/>
      </c>
      <c r="M211">
        <v>38</v>
      </c>
      <c r="N211" s="27" t="str">
        <f t="shared" si="48"/>
        <v/>
      </c>
      <c r="O211" t="str">
        <f t="shared" si="49"/>
        <v/>
      </c>
      <c r="P211" t="str">
        <f t="shared" si="50"/>
        <v/>
      </c>
      <c r="Q211" t="str">
        <f t="shared" si="51"/>
        <v/>
      </c>
      <c r="R211" t="str">
        <f t="shared" si="52"/>
        <v/>
      </c>
      <c r="S211" t="str">
        <f t="shared" si="53"/>
        <v/>
      </c>
      <c r="T211" s="82" t="str">
        <f>IF(AND($B$3="Cantilever",$B$2="Zone 1"),'GCM_Cantilever 1.0'!$F402,IF(AND($B$3="Cantilever",$B$2="Zone 2"),'GCM_Cantilever 1.0'!J402,IF(AND($B$3="HalfTracker",$B$2="Zone 1"),'GCM_Halftracker 1.0'!E417,IF(AND($B$3="HalfTracker",$B$2="Zone 2"),'GCM_Halftracker 1.0'!I417,IF(AND($B$3="Purlin",$B$2="Zone 1"),'GCM_Purlin 1.0'!E472,IF(AND($B$3="Purlin",$B$2="Zone 2"),'GCM_Purlin 1.0'!M472,IF(AND($B$3="Purlin",$B$2="Zone 3"),'GCM_Purlin 1.0'!X472,IF(AND($B$3="Purlin",$B$2="Zone 4"),'GCM_Purlin 1.0'!AF472,IF(AND($B$3="Purlin",$B$2="Zone 5"),'GCM_Purlin 1.0'!AQ472,IF(AND($B$3="Clip",$B$2="Zone 1"),'GCN_Clip 1.0'!G41,IF(AND($B$3="Clip",$B$2="Zone 2"),'GCN_Clip 1.0'!C42,IF(AND($B$3="Clip",$B$2="Zone 3"),'GCN_Clip 1.0'!G43,IF(AND($B$3="Clip",$B$2="Zone 4"),'GCN_Clip 1.0'!G44,IF(AND($B$3="Clip",$B$2="Zone 5"),'GCN_Clip 1.0'!G45,IF(AND($B$3="Post",$B$2="Zone 1"),'GCN_Post 1.0'!E325,IF(AND($B$3="Post",$B$2="Zone 2"),'GCN_Post 1.0'!F325,IF(AND($B$3="Post",$B$2="Zone 3"),'GCN_Post 1.0'!G325,IF(AND($B$3="Post",$B$2="Zone 4"),'GCN_Post 1.0'!H325,IF(AND($B$3="Post",$B$2="Zone 5"),'GCN_Post 1.0'!I325,"ERROR")))))))))))))))))))</f>
        <v/>
      </c>
      <c r="V211" s="27" t="str">
        <f t="shared" si="54"/>
        <v/>
      </c>
      <c r="W211" t="str">
        <f t="shared" si="55"/>
        <v/>
      </c>
      <c r="X211" t="str">
        <f t="shared" si="56"/>
        <v/>
      </c>
      <c r="Y211" t="str">
        <f t="shared" si="57"/>
        <v/>
      </c>
      <c r="Z211" t="str">
        <f t="shared" si="58"/>
        <v/>
      </c>
      <c r="AA211" t="str">
        <f t="shared" si="59"/>
        <v/>
      </c>
      <c r="AB211" s="82" t="str">
        <f>IF(AND($B$3="Cantilever",$B$2="Zone 1"),'GCM_Cantilever 1.0'!$G402,IF(AND($B$3="Cantilever",$B$2="Zone 2"),'GCM_Cantilever 1.0'!K402,IF(AND($B$3="HalfTracker",$B$2="Zone 1"),'GCM_Halftracker 1.0'!F417,IF(AND($B$3="HalfTracker",$B$2="Zone 2"),'GCM_Halftracker 1.0'!J417,IF(AND($B$3="Purlin",$B$2="Zone 1"),'GCM_Purlin 1.0'!F472,IF(AND($B$3="Purlin",$B$2="Zone 2"),'GCM_Purlin 1.0'!N472,IF(AND($B$3="Purlin",$B$2="Zone 3"),'GCM_Purlin 1.0'!Y472,IF(AND($B$3="Purlin",$B$2="Zone 4"),'GCM_Purlin 1.0'!AG472,IF(AND($B$3="Purlin",$B$2="Zone 5"),'GCM_Purlin 1.0'!AR472,IF(AND($B$3="Clip",$B$2="Zone 1"),'GCN_Clip 1.0'!H41,IF(AND($B$3="Clip",$B$2="Zone 2"),'GCN_Clip 1.0'!H42,IF(AND($B$3="Clip",$B$2="Zone 3"),'GCN_Clip 1.0'!H43,IF(AND($B$3="Clip",$B$2="Zone 4"),'GCN_Clip 1.0'!H44,IF(AND($B$3="Clip",$B$2="Zone 5"),'GCN_Clip 1.0'!H45,IF(AND($B$3="Post",$B$2="Zone 1"),'GCN_Post 1.0'!J325,IF(AND($B$3="Post",$B$2="Zone 2"),'GCN_Post 1.0'!K325,IF(AND($B$3="Post",$B$2="Zone 3"),'GCN_Post 1.0'!N325,IF(AND($B$3="Post",$B$2="Zone 4"),'GCN_Post 1.0'!O325,IF(AND($B$3="Post",$B$2="Zone 5"),'GCN_Post 1.0'!P325,"ERROR")))))))))))))))))))</f>
        <v/>
      </c>
      <c r="AD211" s="27" t="str">
        <f t="shared" si="60"/>
        <v/>
      </c>
      <c r="AE211" t="str">
        <f t="shared" si="61"/>
        <v/>
      </c>
      <c r="AF211" t="str">
        <f t="shared" si="62"/>
        <v/>
      </c>
      <c r="AG211" t="str">
        <f t="shared" si="63"/>
        <v/>
      </c>
      <c r="AH211" t="str">
        <f t="shared" si="64"/>
        <v/>
      </c>
      <c r="AI211" t="str">
        <f t="shared" si="65"/>
        <v/>
      </c>
      <c r="AJ211" s="82" t="str">
        <f>IF(AND($B$3="Cantilever",$B$2="Zone 1"),'GCM_Cantilever 1.0'!$H402,IF(AND($B$3="Cantilever",$B$2="Zone 2"),'GCM_Cantilever 1.0'!L402,IF(AND($B$3="HalfTracker",$B$2="Zone 1"),'GCM_Halftracker 1.0'!G417,IF(AND($B$3="HalfTracker",$B$2="Zone 2"),'GCM_Halftracker 1.0'!K417,IF(AND($B$3="Purlin",$B$2="Zone 1"),'GCM_Purlin 1.0'!G472,IF(AND($B$3="Purlin",$B$2="Zone 2"),'GCM_Purlin 1.0'!O472,IF(AND($B$3="Purlin",$B$2="Zone 3"),'GCM_Purlin 1.0'!Z472,IF(AND($B$3="Purlin",$B$2="Zone 4"),'GCM_Purlin 1.0'!AH472,IF(AND($B$3="Purlin",$B$2="Zone 5"),'GCM_Purlin 1.0'!AS472,IF(AND($B$3="Clip",$B$2="Zone 1"),'GCN_Clip 1.0'!#REF!,IF(AND($B$3="Clip",$B$2="Zone 2"),'GCN_Clip 1.0'!#REF!,IF(AND($B$3="Clip",$B$2="Zone 3"),'GCN_Clip 1.0'!#REF!,IF(AND($B$3="Clip",$B$2="Zone 4"),'GCN_Clip 1.0'!#REF!,IF(AND($B$3="Clip",$B$2="Zone 5"),'GCN_Clip 1.0'!#REF!,IF(AND($B$3="Post",$B$2="Zone 1"),'GCN_Post 1.0'!Q325,IF(AND($B$3="Post",$B$2="Zone 2"),'GCN_Post 1.0'!R325,IF(AND($B$3="Post",$B$2="Zone 3"),'GCN_Post 1.0'!S325,IF(AND($B$3="Post",$B$2="Zone 4"),'GCN_Post 1.0'!T325,IF(AND($B$3="Post",$B$2="Zone 5"),'GCN_Post 1.0'!V325,"ERROR")))))))))))))))))))</f>
        <v/>
      </c>
      <c r="AL211" s="27" t="str">
        <f t="shared" si="66"/>
        <v/>
      </c>
      <c r="AM211" t="str">
        <f t="shared" si="67"/>
        <v/>
      </c>
      <c r="AN211" t="str">
        <f t="shared" si="68"/>
        <v/>
      </c>
      <c r="AO211" t="str">
        <f t="shared" si="69"/>
        <v/>
      </c>
      <c r="AP211" t="str">
        <f t="shared" si="70"/>
        <v/>
      </c>
      <c r="AQ211" t="str">
        <f t="shared" si="71"/>
        <v/>
      </c>
      <c r="AR211" s="82" t="str">
        <f>IF(AND($B$3="Cantilever",$B$2="Zone 1"),'GCM_Cantilever 1.0'!$I402,IF(AND($B$3="Cantilever",$B$2="Zone 2"),'GCM_Cantilever 1.0'!M402,IF(AND($B$3="HalfTracker",$B$2="Zone 1"),'GCM_Halftracker 1.0'!H417,IF(AND($B$3="HalfTracker",$B$2="Zone 2"),'GCM_Halftracker 1.0'!L417,IF(AND($B$3="Purlin",$B$2="Zone 1"),'GCM_Purlin 1.0'!H472,IF(AND($B$3="Purlin",$B$2="Zone 2"),'GCM_Purlin 1.0'!P472,IF(AND($B$3="Purlin",$B$2="Zone 3"),'GCM_Purlin 1.0'!AA472,IF(AND($B$3="Purlin",$B$2="Zone 4"),'GCM_Purlin 1.0'!AI472,IF(AND($B$3="Purlin",$B$2="Zone 5"),'GCM_Purlin 1.0'!AT472,IF(AND($B$3="Clip",$B$2="Zone 1"),'GCN_Clip 1.0'!#REF!,IF(AND($B$3="Clip",$B$2="Zone 2"),'GCN_Clip 1.0'!#REF!,IF(AND($B$3="Clip",$B$2="Zone 3"),'GCN_Clip 1.0'!#REF!,IF(AND($B$3="Clip",$B$2="Zone 4"),'GCN_Clip 1.0'!#REF!,IF(AND($B$3="Clip",$B$2="Zone 5"),'GCN_Clip 1.0'!#REF!,IF(AND($B$3="Post",$B$2="Zone 1"),'GCN_Post 1.0'!W325,IF(AND($B$3="Post",$B$2="Zone 2"),'GCN_Post 1.0'!X325,IF(AND($B$3="Post",$B$2="Zone 3"),'GCN_Post 1.0'!Y325,IF(AND($B$3="Post",$B$2="Zone 4"),'GCN_Post 1.0'!Z325,IF(AND($B$3="Post",$B$2="Zone 5"),'GCN_Post 1.0'!AA325,"ERROR")))))))))))))))))))</f>
        <v/>
      </c>
    </row>
    <row r="212" spans="6:44" x14ac:dyDescent="0.25">
      <c r="F212">
        <v>39</v>
      </c>
      <c r="G212" s="27" t="str">
        <f t="shared" si="44"/>
        <v/>
      </c>
      <c r="H212" t="str">
        <f t="shared" si="45"/>
        <v/>
      </c>
      <c r="I212" t="str">
        <f t="shared" si="46"/>
        <v/>
      </c>
      <c r="J212" s="28" t="str">
        <f t="shared" si="47"/>
        <v/>
      </c>
      <c r="M212">
        <v>39</v>
      </c>
      <c r="N212" s="27" t="str">
        <f t="shared" si="48"/>
        <v/>
      </c>
      <c r="O212" t="str">
        <f t="shared" si="49"/>
        <v/>
      </c>
      <c r="P212" t="str">
        <f t="shared" si="50"/>
        <v/>
      </c>
      <c r="Q212" t="str">
        <f t="shared" si="51"/>
        <v/>
      </c>
      <c r="R212" t="str">
        <f t="shared" si="52"/>
        <v/>
      </c>
      <c r="S212" t="str">
        <f t="shared" si="53"/>
        <v/>
      </c>
      <c r="T212" s="82" t="str">
        <f>IF(AND($B$3="Cantilever",$B$2="Zone 1"),'GCM_Cantilever 1.0'!$F403,IF(AND($B$3="Cantilever",$B$2="Zone 2"),'GCM_Cantilever 1.0'!J403,IF(AND($B$3="HalfTracker",$B$2="Zone 1"),'GCM_Halftracker 1.0'!E418,IF(AND($B$3="HalfTracker",$B$2="Zone 2"),'GCM_Halftracker 1.0'!I418,IF(AND($B$3="Purlin",$B$2="Zone 1"),'GCM_Purlin 1.0'!E473,IF(AND($B$3="Purlin",$B$2="Zone 2"),'GCM_Purlin 1.0'!M473,IF(AND($B$3="Purlin",$B$2="Zone 3"),'GCM_Purlin 1.0'!X473,IF(AND($B$3="Purlin",$B$2="Zone 4"),'GCM_Purlin 1.0'!AF473,IF(AND($B$3="Purlin",$B$2="Zone 5"),'GCM_Purlin 1.0'!AQ473,IF(AND($B$3="Clip",$B$2="Zone 1"),'GCN_Clip 1.0'!G42,IF(AND($B$3="Clip",$B$2="Zone 2"),'GCN_Clip 1.0'!C43,IF(AND($B$3="Clip",$B$2="Zone 3"),'GCN_Clip 1.0'!G44,IF(AND($B$3="Clip",$B$2="Zone 4"),'GCN_Clip 1.0'!G45,IF(AND($B$3="Clip",$B$2="Zone 5"),'GCN_Clip 1.0'!G46,IF(AND($B$3="Post",$B$2="Zone 1"),'GCN_Post 1.0'!E326,IF(AND($B$3="Post",$B$2="Zone 2"),'GCN_Post 1.0'!F326,IF(AND($B$3="Post",$B$2="Zone 3"),'GCN_Post 1.0'!G326,IF(AND($B$3="Post",$B$2="Zone 4"),'GCN_Post 1.0'!H326,IF(AND($B$3="Post",$B$2="Zone 5"),'GCN_Post 1.0'!I326,"ERROR")))))))))))))))))))</f>
        <v/>
      </c>
      <c r="V212" s="27" t="str">
        <f t="shared" si="54"/>
        <v/>
      </c>
      <c r="W212" t="str">
        <f t="shared" si="55"/>
        <v/>
      </c>
      <c r="X212" t="str">
        <f t="shared" si="56"/>
        <v/>
      </c>
      <c r="Y212" t="str">
        <f t="shared" si="57"/>
        <v/>
      </c>
      <c r="Z212" t="str">
        <f t="shared" si="58"/>
        <v/>
      </c>
      <c r="AA212" t="str">
        <f t="shared" si="59"/>
        <v/>
      </c>
      <c r="AB212" s="82" t="str">
        <f>IF(AND($B$3="Cantilever",$B$2="Zone 1"),'GCM_Cantilever 1.0'!$G403,IF(AND($B$3="Cantilever",$B$2="Zone 2"),'GCM_Cantilever 1.0'!K403,IF(AND($B$3="HalfTracker",$B$2="Zone 1"),'GCM_Halftracker 1.0'!F418,IF(AND($B$3="HalfTracker",$B$2="Zone 2"),'GCM_Halftracker 1.0'!J418,IF(AND($B$3="Purlin",$B$2="Zone 1"),'GCM_Purlin 1.0'!F473,IF(AND($B$3="Purlin",$B$2="Zone 2"),'GCM_Purlin 1.0'!N473,IF(AND($B$3="Purlin",$B$2="Zone 3"),'GCM_Purlin 1.0'!Y473,IF(AND($B$3="Purlin",$B$2="Zone 4"),'GCM_Purlin 1.0'!AG473,IF(AND($B$3="Purlin",$B$2="Zone 5"),'GCM_Purlin 1.0'!AR473,IF(AND($B$3="Clip",$B$2="Zone 1"),'GCN_Clip 1.0'!H42,IF(AND($B$3="Clip",$B$2="Zone 2"),'GCN_Clip 1.0'!H43,IF(AND($B$3="Clip",$B$2="Zone 3"),'GCN_Clip 1.0'!H44,IF(AND($B$3="Clip",$B$2="Zone 4"),'GCN_Clip 1.0'!H45,IF(AND($B$3="Clip",$B$2="Zone 5"),'GCN_Clip 1.0'!H46,IF(AND($B$3="Post",$B$2="Zone 1"),'GCN_Post 1.0'!J326,IF(AND($B$3="Post",$B$2="Zone 2"),'GCN_Post 1.0'!K326,IF(AND($B$3="Post",$B$2="Zone 3"),'GCN_Post 1.0'!N326,IF(AND($B$3="Post",$B$2="Zone 4"),'GCN_Post 1.0'!O326,IF(AND($B$3="Post",$B$2="Zone 5"),'GCN_Post 1.0'!P326,"ERROR")))))))))))))))))))</f>
        <v/>
      </c>
      <c r="AD212" s="27" t="str">
        <f t="shared" si="60"/>
        <v/>
      </c>
      <c r="AE212" t="str">
        <f t="shared" si="61"/>
        <v/>
      </c>
      <c r="AF212" t="str">
        <f t="shared" si="62"/>
        <v/>
      </c>
      <c r="AG212" t="str">
        <f t="shared" si="63"/>
        <v/>
      </c>
      <c r="AH212" t="str">
        <f t="shared" si="64"/>
        <v/>
      </c>
      <c r="AI212" t="str">
        <f t="shared" si="65"/>
        <v/>
      </c>
      <c r="AJ212" s="82" t="str">
        <f>IF(AND($B$3="Cantilever",$B$2="Zone 1"),'GCM_Cantilever 1.0'!$H403,IF(AND($B$3="Cantilever",$B$2="Zone 2"),'GCM_Cantilever 1.0'!L403,IF(AND($B$3="HalfTracker",$B$2="Zone 1"),'GCM_Halftracker 1.0'!G418,IF(AND($B$3="HalfTracker",$B$2="Zone 2"),'GCM_Halftracker 1.0'!K418,IF(AND($B$3="Purlin",$B$2="Zone 1"),'GCM_Purlin 1.0'!G473,IF(AND($B$3="Purlin",$B$2="Zone 2"),'GCM_Purlin 1.0'!O473,IF(AND($B$3="Purlin",$B$2="Zone 3"),'GCM_Purlin 1.0'!Z473,IF(AND($B$3="Purlin",$B$2="Zone 4"),'GCM_Purlin 1.0'!AH473,IF(AND($B$3="Purlin",$B$2="Zone 5"),'GCM_Purlin 1.0'!AS473,IF(AND($B$3="Clip",$B$2="Zone 1"),'GCN_Clip 1.0'!#REF!,IF(AND($B$3="Clip",$B$2="Zone 2"),'GCN_Clip 1.0'!#REF!,IF(AND($B$3="Clip",$B$2="Zone 3"),'GCN_Clip 1.0'!#REF!,IF(AND($B$3="Clip",$B$2="Zone 4"),'GCN_Clip 1.0'!#REF!,IF(AND($B$3="Clip",$B$2="Zone 5"),'GCN_Clip 1.0'!#REF!,IF(AND($B$3="Post",$B$2="Zone 1"),'GCN_Post 1.0'!Q326,IF(AND($B$3="Post",$B$2="Zone 2"),'GCN_Post 1.0'!R326,IF(AND($B$3="Post",$B$2="Zone 3"),'GCN_Post 1.0'!S326,IF(AND($B$3="Post",$B$2="Zone 4"),'GCN_Post 1.0'!T326,IF(AND($B$3="Post",$B$2="Zone 5"),'GCN_Post 1.0'!V326,"ERROR")))))))))))))))))))</f>
        <v/>
      </c>
      <c r="AL212" s="27" t="str">
        <f t="shared" si="66"/>
        <v/>
      </c>
      <c r="AM212" t="str">
        <f t="shared" si="67"/>
        <v/>
      </c>
      <c r="AN212" t="str">
        <f t="shared" si="68"/>
        <v/>
      </c>
      <c r="AO212" t="str">
        <f t="shared" si="69"/>
        <v/>
      </c>
      <c r="AP212" t="str">
        <f t="shared" si="70"/>
        <v/>
      </c>
      <c r="AQ212" t="str">
        <f t="shared" si="71"/>
        <v/>
      </c>
      <c r="AR212" s="82" t="str">
        <f>IF(AND($B$3="Cantilever",$B$2="Zone 1"),'GCM_Cantilever 1.0'!$I403,IF(AND($B$3="Cantilever",$B$2="Zone 2"),'GCM_Cantilever 1.0'!M403,IF(AND($B$3="HalfTracker",$B$2="Zone 1"),'GCM_Halftracker 1.0'!H418,IF(AND($B$3="HalfTracker",$B$2="Zone 2"),'GCM_Halftracker 1.0'!L418,IF(AND($B$3="Purlin",$B$2="Zone 1"),'GCM_Purlin 1.0'!H473,IF(AND($B$3="Purlin",$B$2="Zone 2"),'GCM_Purlin 1.0'!P473,IF(AND($B$3="Purlin",$B$2="Zone 3"),'GCM_Purlin 1.0'!AA473,IF(AND($B$3="Purlin",$B$2="Zone 4"),'GCM_Purlin 1.0'!AI473,IF(AND($B$3="Purlin",$B$2="Zone 5"),'GCM_Purlin 1.0'!AT473,IF(AND($B$3="Clip",$B$2="Zone 1"),'GCN_Clip 1.0'!#REF!,IF(AND($B$3="Clip",$B$2="Zone 2"),'GCN_Clip 1.0'!#REF!,IF(AND($B$3="Clip",$B$2="Zone 3"),'GCN_Clip 1.0'!#REF!,IF(AND($B$3="Clip",$B$2="Zone 4"),'GCN_Clip 1.0'!#REF!,IF(AND($B$3="Clip",$B$2="Zone 5"),'GCN_Clip 1.0'!#REF!,IF(AND($B$3="Post",$B$2="Zone 1"),'GCN_Post 1.0'!W326,IF(AND($B$3="Post",$B$2="Zone 2"),'GCN_Post 1.0'!X326,IF(AND($B$3="Post",$B$2="Zone 3"),'GCN_Post 1.0'!Y326,IF(AND($B$3="Post",$B$2="Zone 4"),'GCN_Post 1.0'!Z326,IF(AND($B$3="Post",$B$2="Zone 5"),'GCN_Post 1.0'!AA326,"ERROR")))))))))))))))))))</f>
        <v/>
      </c>
    </row>
    <row r="213" spans="6:44" x14ac:dyDescent="0.25">
      <c r="F213">
        <v>40</v>
      </c>
      <c r="G213" s="27" t="str">
        <f t="shared" si="44"/>
        <v/>
      </c>
      <c r="H213" t="str">
        <f t="shared" si="45"/>
        <v/>
      </c>
      <c r="I213" t="str">
        <f t="shared" si="46"/>
        <v/>
      </c>
      <c r="J213" s="28" t="str">
        <f t="shared" si="47"/>
        <v/>
      </c>
      <c r="M213">
        <v>40</v>
      </c>
      <c r="N213" s="27" t="str">
        <f t="shared" si="48"/>
        <v/>
      </c>
      <c r="O213" t="str">
        <f t="shared" si="49"/>
        <v/>
      </c>
      <c r="P213" t="str">
        <f t="shared" si="50"/>
        <v/>
      </c>
      <c r="Q213" t="str">
        <f t="shared" si="51"/>
        <v/>
      </c>
      <c r="R213" t="str">
        <f t="shared" si="52"/>
        <v/>
      </c>
      <c r="S213" t="str">
        <f t="shared" si="53"/>
        <v/>
      </c>
      <c r="T213" s="82" t="str">
        <f>IF(AND($B$3="Cantilever",$B$2="Zone 1"),'GCM_Cantilever 1.0'!$F404,IF(AND($B$3="Cantilever",$B$2="Zone 2"),'GCM_Cantilever 1.0'!J404,IF(AND($B$3="HalfTracker",$B$2="Zone 1"),'GCM_Halftracker 1.0'!E419,IF(AND($B$3="HalfTracker",$B$2="Zone 2"),'GCM_Halftracker 1.0'!I419,IF(AND($B$3="Purlin",$B$2="Zone 1"),'GCM_Purlin 1.0'!E474,IF(AND($B$3="Purlin",$B$2="Zone 2"),'GCM_Purlin 1.0'!M474,IF(AND($B$3="Purlin",$B$2="Zone 3"),'GCM_Purlin 1.0'!X474,IF(AND($B$3="Purlin",$B$2="Zone 4"),'GCM_Purlin 1.0'!AF474,IF(AND($B$3="Purlin",$B$2="Zone 5"),'GCM_Purlin 1.0'!AQ474,IF(AND($B$3="Clip",$B$2="Zone 1"),'GCN_Clip 1.0'!G43,IF(AND($B$3="Clip",$B$2="Zone 2"),'GCN_Clip 1.0'!C44,IF(AND($B$3="Clip",$B$2="Zone 3"),'GCN_Clip 1.0'!G45,IF(AND($B$3="Clip",$B$2="Zone 4"),'GCN_Clip 1.0'!G46,IF(AND($B$3="Clip",$B$2="Zone 5"),'GCN_Clip 1.0'!G47,IF(AND($B$3="Post",$B$2="Zone 1"),'GCN_Post 1.0'!E327,IF(AND($B$3="Post",$B$2="Zone 2"),'GCN_Post 1.0'!F327,IF(AND($B$3="Post",$B$2="Zone 3"),'GCN_Post 1.0'!G327,IF(AND($B$3="Post",$B$2="Zone 4"),'GCN_Post 1.0'!H327,IF(AND($B$3="Post",$B$2="Zone 5"),'GCN_Post 1.0'!I327,"ERROR")))))))))))))))))))</f>
        <v/>
      </c>
      <c r="V213" s="27" t="str">
        <f t="shared" si="54"/>
        <v/>
      </c>
      <c r="W213" t="str">
        <f t="shared" si="55"/>
        <v/>
      </c>
      <c r="X213" t="str">
        <f t="shared" si="56"/>
        <v/>
      </c>
      <c r="Y213" t="str">
        <f t="shared" si="57"/>
        <v/>
      </c>
      <c r="Z213" t="str">
        <f t="shared" si="58"/>
        <v/>
      </c>
      <c r="AA213" t="str">
        <f t="shared" si="59"/>
        <v/>
      </c>
      <c r="AB213" s="82" t="str">
        <f>IF(AND($B$3="Cantilever",$B$2="Zone 1"),'GCM_Cantilever 1.0'!$G404,IF(AND($B$3="Cantilever",$B$2="Zone 2"),'GCM_Cantilever 1.0'!K404,IF(AND($B$3="HalfTracker",$B$2="Zone 1"),'GCM_Halftracker 1.0'!F419,IF(AND($B$3="HalfTracker",$B$2="Zone 2"),'GCM_Halftracker 1.0'!J419,IF(AND($B$3="Purlin",$B$2="Zone 1"),'GCM_Purlin 1.0'!F474,IF(AND($B$3="Purlin",$B$2="Zone 2"),'GCM_Purlin 1.0'!N474,IF(AND($B$3="Purlin",$B$2="Zone 3"),'GCM_Purlin 1.0'!Y474,IF(AND($B$3="Purlin",$B$2="Zone 4"),'GCM_Purlin 1.0'!AG474,IF(AND($B$3="Purlin",$B$2="Zone 5"),'GCM_Purlin 1.0'!AR474,IF(AND($B$3="Clip",$B$2="Zone 1"),'GCN_Clip 1.0'!H43,IF(AND($B$3="Clip",$B$2="Zone 2"),'GCN_Clip 1.0'!H44,IF(AND($B$3="Clip",$B$2="Zone 3"),'GCN_Clip 1.0'!H45,IF(AND($B$3="Clip",$B$2="Zone 4"),'GCN_Clip 1.0'!H46,IF(AND($B$3="Clip",$B$2="Zone 5"),'GCN_Clip 1.0'!H47,IF(AND($B$3="Post",$B$2="Zone 1"),'GCN_Post 1.0'!J327,IF(AND($B$3="Post",$B$2="Zone 2"),'GCN_Post 1.0'!K327,IF(AND($B$3="Post",$B$2="Zone 3"),'GCN_Post 1.0'!N327,IF(AND($B$3="Post",$B$2="Zone 4"),'GCN_Post 1.0'!O327,IF(AND($B$3="Post",$B$2="Zone 5"),'GCN_Post 1.0'!P327,"ERROR")))))))))))))))))))</f>
        <v/>
      </c>
      <c r="AD213" s="27" t="str">
        <f t="shared" si="60"/>
        <v/>
      </c>
      <c r="AE213" t="str">
        <f t="shared" si="61"/>
        <v/>
      </c>
      <c r="AF213" t="str">
        <f t="shared" si="62"/>
        <v/>
      </c>
      <c r="AG213" t="str">
        <f t="shared" si="63"/>
        <v/>
      </c>
      <c r="AH213" t="str">
        <f t="shared" si="64"/>
        <v/>
      </c>
      <c r="AI213" t="str">
        <f t="shared" si="65"/>
        <v/>
      </c>
      <c r="AJ213" s="82" t="str">
        <f>IF(AND($B$3="Cantilever",$B$2="Zone 1"),'GCM_Cantilever 1.0'!$H404,IF(AND($B$3="Cantilever",$B$2="Zone 2"),'GCM_Cantilever 1.0'!L404,IF(AND($B$3="HalfTracker",$B$2="Zone 1"),'GCM_Halftracker 1.0'!G419,IF(AND($B$3="HalfTracker",$B$2="Zone 2"),'GCM_Halftracker 1.0'!K419,IF(AND($B$3="Purlin",$B$2="Zone 1"),'GCM_Purlin 1.0'!G474,IF(AND($B$3="Purlin",$B$2="Zone 2"),'GCM_Purlin 1.0'!O474,IF(AND($B$3="Purlin",$B$2="Zone 3"),'GCM_Purlin 1.0'!Z474,IF(AND($B$3="Purlin",$B$2="Zone 4"),'GCM_Purlin 1.0'!AH474,IF(AND($B$3="Purlin",$B$2="Zone 5"),'GCM_Purlin 1.0'!AS474,IF(AND($B$3="Clip",$B$2="Zone 1"),'GCN_Clip 1.0'!#REF!,IF(AND($B$3="Clip",$B$2="Zone 2"),'GCN_Clip 1.0'!#REF!,IF(AND($B$3="Clip",$B$2="Zone 3"),'GCN_Clip 1.0'!#REF!,IF(AND($B$3="Clip",$B$2="Zone 4"),'GCN_Clip 1.0'!#REF!,IF(AND($B$3="Clip",$B$2="Zone 5"),'GCN_Clip 1.0'!#REF!,IF(AND($B$3="Post",$B$2="Zone 1"),'GCN_Post 1.0'!Q327,IF(AND($B$3="Post",$B$2="Zone 2"),'GCN_Post 1.0'!R327,IF(AND($B$3="Post",$B$2="Zone 3"),'GCN_Post 1.0'!S327,IF(AND($B$3="Post",$B$2="Zone 4"),'GCN_Post 1.0'!T327,IF(AND($B$3="Post",$B$2="Zone 5"),'GCN_Post 1.0'!V327,"ERROR")))))))))))))))))))</f>
        <v/>
      </c>
      <c r="AL213" s="27" t="str">
        <f t="shared" si="66"/>
        <v/>
      </c>
      <c r="AM213" t="str">
        <f t="shared" si="67"/>
        <v/>
      </c>
      <c r="AN213" t="str">
        <f t="shared" si="68"/>
        <v/>
      </c>
      <c r="AO213" t="str">
        <f t="shared" si="69"/>
        <v/>
      </c>
      <c r="AP213" t="str">
        <f t="shared" si="70"/>
        <v/>
      </c>
      <c r="AQ213" t="str">
        <f t="shared" si="71"/>
        <v/>
      </c>
      <c r="AR213" s="82" t="str">
        <f>IF(AND($B$3="Cantilever",$B$2="Zone 1"),'GCM_Cantilever 1.0'!$I404,IF(AND($B$3="Cantilever",$B$2="Zone 2"),'GCM_Cantilever 1.0'!M404,IF(AND($B$3="HalfTracker",$B$2="Zone 1"),'GCM_Halftracker 1.0'!H419,IF(AND($B$3="HalfTracker",$B$2="Zone 2"),'GCM_Halftracker 1.0'!L419,IF(AND($B$3="Purlin",$B$2="Zone 1"),'GCM_Purlin 1.0'!H474,IF(AND($B$3="Purlin",$B$2="Zone 2"),'GCM_Purlin 1.0'!P474,IF(AND($B$3="Purlin",$B$2="Zone 3"),'GCM_Purlin 1.0'!AA474,IF(AND($B$3="Purlin",$B$2="Zone 4"),'GCM_Purlin 1.0'!AI474,IF(AND($B$3="Purlin",$B$2="Zone 5"),'GCM_Purlin 1.0'!AT474,IF(AND($B$3="Clip",$B$2="Zone 1"),'GCN_Clip 1.0'!#REF!,IF(AND($B$3="Clip",$B$2="Zone 2"),'GCN_Clip 1.0'!#REF!,IF(AND($B$3="Clip",$B$2="Zone 3"),'GCN_Clip 1.0'!#REF!,IF(AND($B$3="Clip",$B$2="Zone 4"),'GCN_Clip 1.0'!#REF!,IF(AND($B$3="Clip",$B$2="Zone 5"),'GCN_Clip 1.0'!#REF!,IF(AND($B$3="Post",$B$2="Zone 1"),'GCN_Post 1.0'!W327,IF(AND($B$3="Post",$B$2="Zone 2"),'GCN_Post 1.0'!X327,IF(AND($B$3="Post",$B$2="Zone 3"),'GCN_Post 1.0'!Y327,IF(AND($B$3="Post",$B$2="Zone 4"),'GCN_Post 1.0'!Z327,IF(AND($B$3="Post",$B$2="Zone 5"),'GCN_Post 1.0'!AA327,"ERROR")))))))))))))))))))</f>
        <v/>
      </c>
    </row>
    <row r="214" spans="6:44" x14ac:dyDescent="0.25">
      <c r="F214">
        <v>41</v>
      </c>
      <c r="G214" s="27" t="str">
        <f t="shared" si="44"/>
        <v/>
      </c>
      <c r="H214" t="str">
        <f t="shared" si="45"/>
        <v/>
      </c>
      <c r="I214" t="str">
        <f t="shared" si="46"/>
        <v/>
      </c>
      <c r="J214" s="28" t="str">
        <f t="shared" si="47"/>
        <v/>
      </c>
      <c r="M214">
        <v>41</v>
      </c>
      <c r="N214" s="27" t="str">
        <f t="shared" si="48"/>
        <v/>
      </c>
      <c r="O214" t="str">
        <f t="shared" si="49"/>
        <v/>
      </c>
      <c r="P214" t="str">
        <f t="shared" si="50"/>
        <v/>
      </c>
      <c r="Q214" t="str">
        <f t="shared" si="51"/>
        <v/>
      </c>
      <c r="R214" t="str">
        <f t="shared" si="52"/>
        <v/>
      </c>
      <c r="S214" t="str">
        <f t="shared" si="53"/>
        <v/>
      </c>
      <c r="T214" s="82" t="str">
        <f>IF(AND($B$3="Cantilever",$B$2="Zone 1"),'GCM_Cantilever 1.0'!$F405,IF(AND($B$3="Cantilever",$B$2="Zone 2"),'GCM_Cantilever 1.0'!J405,IF(AND($B$3="HalfTracker",$B$2="Zone 1"),'GCM_Halftracker 1.0'!E420,IF(AND($B$3="HalfTracker",$B$2="Zone 2"),'GCM_Halftracker 1.0'!I420,IF(AND($B$3="Purlin",$B$2="Zone 1"),'GCM_Purlin 1.0'!E475,IF(AND($B$3="Purlin",$B$2="Zone 2"),'GCM_Purlin 1.0'!M475,IF(AND($B$3="Purlin",$B$2="Zone 3"),'GCM_Purlin 1.0'!X475,IF(AND($B$3="Purlin",$B$2="Zone 4"),'GCM_Purlin 1.0'!AF475,IF(AND($B$3="Purlin",$B$2="Zone 5"),'GCM_Purlin 1.0'!AQ475,IF(AND($B$3="Clip",$B$2="Zone 1"),'GCN_Clip 1.0'!G44,IF(AND($B$3="Clip",$B$2="Zone 2"),'GCN_Clip 1.0'!C45,IF(AND($B$3="Clip",$B$2="Zone 3"),'GCN_Clip 1.0'!G46,IF(AND($B$3="Clip",$B$2="Zone 4"),'GCN_Clip 1.0'!G47,IF(AND($B$3="Clip",$B$2="Zone 5"),'GCN_Clip 1.0'!G48,IF(AND($B$3="Post",$B$2="Zone 1"),'GCN_Post 1.0'!E328,IF(AND($B$3="Post",$B$2="Zone 2"),'GCN_Post 1.0'!F328,IF(AND($B$3="Post",$B$2="Zone 3"),'GCN_Post 1.0'!G328,IF(AND($B$3="Post",$B$2="Zone 4"),'GCN_Post 1.0'!H328,IF(AND($B$3="Post",$B$2="Zone 5"),'GCN_Post 1.0'!I328,"ERROR")))))))))))))))))))</f>
        <v/>
      </c>
      <c r="V214" s="27" t="str">
        <f t="shared" si="54"/>
        <v/>
      </c>
      <c r="W214" t="str">
        <f t="shared" si="55"/>
        <v/>
      </c>
      <c r="X214" t="str">
        <f t="shared" si="56"/>
        <v/>
      </c>
      <c r="Y214" t="str">
        <f t="shared" si="57"/>
        <v/>
      </c>
      <c r="Z214" t="str">
        <f t="shared" si="58"/>
        <v/>
      </c>
      <c r="AA214" t="str">
        <f t="shared" si="59"/>
        <v/>
      </c>
      <c r="AB214" s="82" t="str">
        <f>IF(AND($B$3="Cantilever",$B$2="Zone 1"),'GCM_Cantilever 1.0'!$G405,IF(AND($B$3="Cantilever",$B$2="Zone 2"),'GCM_Cantilever 1.0'!K405,IF(AND($B$3="HalfTracker",$B$2="Zone 1"),'GCM_Halftracker 1.0'!F420,IF(AND($B$3="HalfTracker",$B$2="Zone 2"),'GCM_Halftracker 1.0'!J420,IF(AND($B$3="Purlin",$B$2="Zone 1"),'GCM_Purlin 1.0'!F475,IF(AND($B$3="Purlin",$B$2="Zone 2"),'GCM_Purlin 1.0'!N475,IF(AND($B$3="Purlin",$B$2="Zone 3"),'GCM_Purlin 1.0'!Y475,IF(AND($B$3="Purlin",$B$2="Zone 4"),'GCM_Purlin 1.0'!AG475,IF(AND($B$3="Purlin",$B$2="Zone 5"),'GCM_Purlin 1.0'!AR475,IF(AND($B$3="Clip",$B$2="Zone 1"),'GCN_Clip 1.0'!H44,IF(AND($B$3="Clip",$B$2="Zone 2"),'GCN_Clip 1.0'!H45,IF(AND($B$3="Clip",$B$2="Zone 3"),'GCN_Clip 1.0'!H46,IF(AND($B$3="Clip",$B$2="Zone 4"),'GCN_Clip 1.0'!H47,IF(AND($B$3="Clip",$B$2="Zone 5"),'GCN_Clip 1.0'!H48,IF(AND($B$3="Post",$B$2="Zone 1"),'GCN_Post 1.0'!J328,IF(AND($B$3="Post",$B$2="Zone 2"),'GCN_Post 1.0'!K328,IF(AND($B$3="Post",$B$2="Zone 3"),'GCN_Post 1.0'!N328,IF(AND($B$3="Post",$B$2="Zone 4"),'GCN_Post 1.0'!O328,IF(AND($B$3="Post",$B$2="Zone 5"),'GCN_Post 1.0'!P328,"ERROR")))))))))))))))))))</f>
        <v/>
      </c>
      <c r="AD214" s="27" t="str">
        <f t="shared" si="60"/>
        <v/>
      </c>
      <c r="AE214" t="str">
        <f t="shared" si="61"/>
        <v/>
      </c>
      <c r="AF214" t="str">
        <f t="shared" si="62"/>
        <v/>
      </c>
      <c r="AG214" t="str">
        <f t="shared" si="63"/>
        <v/>
      </c>
      <c r="AH214" t="str">
        <f t="shared" si="64"/>
        <v/>
      </c>
      <c r="AI214" t="str">
        <f t="shared" si="65"/>
        <v/>
      </c>
      <c r="AJ214" s="82" t="str">
        <f>IF(AND($B$3="Cantilever",$B$2="Zone 1"),'GCM_Cantilever 1.0'!$H405,IF(AND($B$3="Cantilever",$B$2="Zone 2"),'GCM_Cantilever 1.0'!L405,IF(AND($B$3="HalfTracker",$B$2="Zone 1"),'GCM_Halftracker 1.0'!G420,IF(AND($B$3="HalfTracker",$B$2="Zone 2"),'GCM_Halftracker 1.0'!K420,IF(AND($B$3="Purlin",$B$2="Zone 1"),'GCM_Purlin 1.0'!G475,IF(AND($B$3="Purlin",$B$2="Zone 2"),'GCM_Purlin 1.0'!O475,IF(AND($B$3="Purlin",$B$2="Zone 3"),'GCM_Purlin 1.0'!Z475,IF(AND($B$3="Purlin",$B$2="Zone 4"),'GCM_Purlin 1.0'!AH475,IF(AND($B$3="Purlin",$B$2="Zone 5"),'GCM_Purlin 1.0'!AS475,IF(AND($B$3="Clip",$B$2="Zone 1"),'GCN_Clip 1.0'!#REF!,IF(AND($B$3="Clip",$B$2="Zone 2"),'GCN_Clip 1.0'!#REF!,IF(AND($B$3="Clip",$B$2="Zone 3"),'GCN_Clip 1.0'!#REF!,IF(AND($B$3="Clip",$B$2="Zone 4"),'GCN_Clip 1.0'!#REF!,IF(AND($B$3="Clip",$B$2="Zone 5"),'GCN_Clip 1.0'!#REF!,IF(AND($B$3="Post",$B$2="Zone 1"),'GCN_Post 1.0'!Q328,IF(AND($B$3="Post",$B$2="Zone 2"),'GCN_Post 1.0'!R328,IF(AND($B$3="Post",$B$2="Zone 3"),'GCN_Post 1.0'!S328,IF(AND($B$3="Post",$B$2="Zone 4"),'GCN_Post 1.0'!T328,IF(AND($B$3="Post",$B$2="Zone 5"),'GCN_Post 1.0'!V328,"ERROR")))))))))))))))))))</f>
        <v/>
      </c>
      <c r="AL214" s="27" t="str">
        <f t="shared" si="66"/>
        <v/>
      </c>
      <c r="AM214" t="str">
        <f t="shared" si="67"/>
        <v/>
      </c>
      <c r="AN214" t="str">
        <f t="shared" si="68"/>
        <v/>
      </c>
      <c r="AO214" t="str">
        <f t="shared" si="69"/>
        <v/>
      </c>
      <c r="AP214" t="str">
        <f t="shared" si="70"/>
        <v/>
      </c>
      <c r="AQ214" t="str">
        <f t="shared" si="71"/>
        <v/>
      </c>
      <c r="AR214" s="82" t="str">
        <f>IF(AND($B$3="Cantilever",$B$2="Zone 1"),'GCM_Cantilever 1.0'!$I405,IF(AND($B$3="Cantilever",$B$2="Zone 2"),'GCM_Cantilever 1.0'!M405,IF(AND($B$3="HalfTracker",$B$2="Zone 1"),'GCM_Halftracker 1.0'!H420,IF(AND($B$3="HalfTracker",$B$2="Zone 2"),'GCM_Halftracker 1.0'!L420,IF(AND($B$3="Purlin",$B$2="Zone 1"),'GCM_Purlin 1.0'!H475,IF(AND($B$3="Purlin",$B$2="Zone 2"),'GCM_Purlin 1.0'!P475,IF(AND($B$3="Purlin",$B$2="Zone 3"),'GCM_Purlin 1.0'!AA475,IF(AND($B$3="Purlin",$B$2="Zone 4"),'GCM_Purlin 1.0'!AI475,IF(AND($B$3="Purlin",$B$2="Zone 5"),'GCM_Purlin 1.0'!AT475,IF(AND($B$3="Clip",$B$2="Zone 1"),'GCN_Clip 1.0'!#REF!,IF(AND($B$3="Clip",$B$2="Zone 2"),'GCN_Clip 1.0'!#REF!,IF(AND($B$3="Clip",$B$2="Zone 3"),'GCN_Clip 1.0'!#REF!,IF(AND($B$3="Clip",$B$2="Zone 4"),'GCN_Clip 1.0'!#REF!,IF(AND($B$3="Clip",$B$2="Zone 5"),'GCN_Clip 1.0'!#REF!,IF(AND($B$3="Post",$B$2="Zone 1"),'GCN_Post 1.0'!W328,IF(AND($B$3="Post",$B$2="Zone 2"),'GCN_Post 1.0'!X328,IF(AND($B$3="Post",$B$2="Zone 3"),'GCN_Post 1.0'!Y328,IF(AND($B$3="Post",$B$2="Zone 4"),'GCN_Post 1.0'!Z328,IF(AND($B$3="Post",$B$2="Zone 5"),'GCN_Post 1.0'!AA328,"ERROR")))))))))))))))))))</f>
        <v/>
      </c>
    </row>
    <row r="215" spans="6:44" x14ac:dyDescent="0.25">
      <c r="F215">
        <v>42</v>
      </c>
      <c r="G215" s="27" t="str">
        <f t="shared" si="44"/>
        <v/>
      </c>
      <c r="H215" t="str">
        <f t="shared" si="45"/>
        <v/>
      </c>
      <c r="I215" t="str">
        <f t="shared" si="46"/>
        <v/>
      </c>
      <c r="J215" s="28" t="str">
        <f t="shared" si="47"/>
        <v/>
      </c>
      <c r="M215">
        <v>42</v>
      </c>
      <c r="N215" s="27" t="str">
        <f t="shared" si="48"/>
        <v/>
      </c>
      <c r="O215" t="str">
        <f t="shared" si="49"/>
        <v/>
      </c>
      <c r="P215" t="str">
        <f t="shared" si="50"/>
        <v/>
      </c>
      <c r="Q215" t="str">
        <f t="shared" si="51"/>
        <v/>
      </c>
      <c r="R215" t="str">
        <f t="shared" si="52"/>
        <v/>
      </c>
      <c r="S215" t="str">
        <f t="shared" si="53"/>
        <v/>
      </c>
      <c r="T215" s="82" t="str">
        <f>IF(AND($B$3="Cantilever",$B$2="Zone 1"),'GCM_Cantilever 1.0'!$F406,IF(AND($B$3="Cantilever",$B$2="Zone 2"),'GCM_Cantilever 1.0'!J406,IF(AND($B$3="HalfTracker",$B$2="Zone 1"),'GCM_Halftracker 1.0'!E421,IF(AND($B$3="HalfTracker",$B$2="Zone 2"),'GCM_Halftracker 1.0'!I421,IF(AND($B$3="Purlin",$B$2="Zone 1"),'GCM_Purlin 1.0'!E476,IF(AND($B$3="Purlin",$B$2="Zone 2"),'GCM_Purlin 1.0'!M476,IF(AND($B$3="Purlin",$B$2="Zone 3"),'GCM_Purlin 1.0'!X476,IF(AND($B$3="Purlin",$B$2="Zone 4"),'GCM_Purlin 1.0'!AF476,IF(AND($B$3="Purlin",$B$2="Zone 5"),'GCM_Purlin 1.0'!AQ476,IF(AND($B$3="Clip",$B$2="Zone 1"),'GCN_Clip 1.0'!G45,IF(AND($B$3="Clip",$B$2="Zone 2"),'GCN_Clip 1.0'!C46,IF(AND($B$3="Clip",$B$2="Zone 3"),'GCN_Clip 1.0'!G47,IF(AND($B$3="Clip",$B$2="Zone 4"),'GCN_Clip 1.0'!G48,IF(AND($B$3="Clip",$B$2="Zone 5"),'GCN_Clip 1.0'!G49,IF(AND($B$3="Post",$B$2="Zone 1"),'GCN_Post 1.0'!E329,IF(AND($B$3="Post",$B$2="Zone 2"),'GCN_Post 1.0'!F329,IF(AND($B$3="Post",$B$2="Zone 3"),'GCN_Post 1.0'!G329,IF(AND($B$3="Post",$B$2="Zone 4"),'GCN_Post 1.0'!H329,IF(AND($B$3="Post",$B$2="Zone 5"),'GCN_Post 1.0'!I329,"ERROR")))))))))))))))))))</f>
        <v/>
      </c>
      <c r="V215" s="27" t="str">
        <f t="shared" si="54"/>
        <v/>
      </c>
      <c r="W215" t="str">
        <f t="shared" si="55"/>
        <v/>
      </c>
      <c r="X215" t="str">
        <f t="shared" si="56"/>
        <v/>
      </c>
      <c r="Y215" t="str">
        <f t="shared" si="57"/>
        <v/>
      </c>
      <c r="Z215" t="str">
        <f t="shared" si="58"/>
        <v/>
      </c>
      <c r="AA215" t="str">
        <f t="shared" si="59"/>
        <v/>
      </c>
      <c r="AB215" s="82" t="str">
        <f>IF(AND($B$3="Cantilever",$B$2="Zone 1"),'GCM_Cantilever 1.0'!$G406,IF(AND($B$3="Cantilever",$B$2="Zone 2"),'GCM_Cantilever 1.0'!K406,IF(AND($B$3="HalfTracker",$B$2="Zone 1"),'GCM_Halftracker 1.0'!F421,IF(AND($B$3="HalfTracker",$B$2="Zone 2"),'GCM_Halftracker 1.0'!J421,IF(AND($B$3="Purlin",$B$2="Zone 1"),'GCM_Purlin 1.0'!F476,IF(AND($B$3="Purlin",$B$2="Zone 2"),'GCM_Purlin 1.0'!N476,IF(AND($B$3="Purlin",$B$2="Zone 3"),'GCM_Purlin 1.0'!Y476,IF(AND($B$3="Purlin",$B$2="Zone 4"),'GCM_Purlin 1.0'!AG476,IF(AND($B$3="Purlin",$B$2="Zone 5"),'GCM_Purlin 1.0'!AR476,IF(AND($B$3="Clip",$B$2="Zone 1"),'GCN_Clip 1.0'!H45,IF(AND($B$3="Clip",$B$2="Zone 2"),'GCN_Clip 1.0'!H46,IF(AND($B$3="Clip",$B$2="Zone 3"),'GCN_Clip 1.0'!H47,IF(AND($B$3="Clip",$B$2="Zone 4"),'GCN_Clip 1.0'!H48,IF(AND($B$3="Clip",$B$2="Zone 5"),'GCN_Clip 1.0'!H49,IF(AND($B$3="Post",$B$2="Zone 1"),'GCN_Post 1.0'!J329,IF(AND($B$3="Post",$B$2="Zone 2"),'GCN_Post 1.0'!K329,IF(AND($B$3="Post",$B$2="Zone 3"),'GCN_Post 1.0'!N329,IF(AND($B$3="Post",$B$2="Zone 4"),'GCN_Post 1.0'!O329,IF(AND($B$3="Post",$B$2="Zone 5"),'GCN_Post 1.0'!P329,"ERROR")))))))))))))))))))</f>
        <v/>
      </c>
      <c r="AD215" s="27" t="str">
        <f t="shared" si="60"/>
        <v/>
      </c>
      <c r="AE215" t="str">
        <f t="shared" si="61"/>
        <v/>
      </c>
      <c r="AF215" t="str">
        <f t="shared" si="62"/>
        <v/>
      </c>
      <c r="AG215" t="str">
        <f t="shared" si="63"/>
        <v/>
      </c>
      <c r="AH215" t="str">
        <f t="shared" si="64"/>
        <v/>
      </c>
      <c r="AI215" t="str">
        <f t="shared" si="65"/>
        <v/>
      </c>
      <c r="AJ215" s="82" t="str">
        <f>IF(AND($B$3="Cantilever",$B$2="Zone 1"),'GCM_Cantilever 1.0'!$H406,IF(AND($B$3="Cantilever",$B$2="Zone 2"),'GCM_Cantilever 1.0'!L406,IF(AND($B$3="HalfTracker",$B$2="Zone 1"),'GCM_Halftracker 1.0'!G421,IF(AND($B$3="HalfTracker",$B$2="Zone 2"),'GCM_Halftracker 1.0'!K421,IF(AND($B$3="Purlin",$B$2="Zone 1"),'GCM_Purlin 1.0'!G476,IF(AND($B$3="Purlin",$B$2="Zone 2"),'GCM_Purlin 1.0'!O476,IF(AND($B$3="Purlin",$B$2="Zone 3"),'GCM_Purlin 1.0'!Z476,IF(AND($B$3="Purlin",$B$2="Zone 4"),'GCM_Purlin 1.0'!AH476,IF(AND($B$3="Purlin",$B$2="Zone 5"),'GCM_Purlin 1.0'!AS476,IF(AND($B$3="Clip",$B$2="Zone 1"),'GCN_Clip 1.0'!#REF!,IF(AND($B$3="Clip",$B$2="Zone 2"),'GCN_Clip 1.0'!#REF!,IF(AND($B$3="Clip",$B$2="Zone 3"),'GCN_Clip 1.0'!#REF!,IF(AND($B$3="Clip",$B$2="Zone 4"),'GCN_Clip 1.0'!#REF!,IF(AND($B$3="Clip",$B$2="Zone 5"),'GCN_Clip 1.0'!#REF!,IF(AND($B$3="Post",$B$2="Zone 1"),'GCN_Post 1.0'!Q329,IF(AND($B$3="Post",$B$2="Zone 2"),'GCN_Post 1.0'!R329,IF(AND($B$3="Post",$B$2="Zone 3"),'GCN_Post 1.0'!S329,IF(AND($B$3="Post",$B$2="Zone 4"),'GCN_Post 1.0'!T329,IF(AND($B$3="Post",$B$2="Zone 5"),'GCN_Post 1.0'!V329,"ERROR")))))))))))))))))))</f>
        <v/>
      </c>
      <c r="AL215" s="27" t="str">
        <f t="shared" si="66"/>
        <v/>
      </c>
      <c r="AM215" t="str">
        <f t="shared" si="67"/>
        <v/>
      </c>
      <c r="AN215" t="str">
        <f t="shared" si="68"/>
        <v/>
      </c>
      <c r="AO215" t="str">
        <f t="shared" si="69"/>
        <v/>
      </c>
      <c r="AP215" t="str">
        <f t="shared" si="70"/>
        <v/>
      </c>
      <c r="AQ215" t="str">
        <f t="shared" si="71"/>
        <v/>
      </c>
      <c r="AR215" s="82" t="str">
        <f>IF(AND($B$3="Cantilever",$B$2="Zone 1"),'GCM_Cantilever 1.0'!$I406,IF(AND($B$3="Cantilever",$B$2="Zone 2"),'GCM_Cantilever 1.0'!M406,IF(AND($B$3="HalfTracker",$B$2="Zone 1"),'GCM_Halftracker 1.0'!H421,IF(AND($B$3="HalfTracker",$B$2="Zone 2"),'GCM_Halftracker 1.0'!L421,IF(AND($B$3="Purlin",$B$2="Zone 1"),'GCM_Purlin 1.0'!H476,IF(AND($B$3="Purlin",$B$2="Zone 2"),'GCM_Purlin 1.0'!P476,IF(AND($B$3="Purlin",$B$2="Zone 3"),'GCM_Purlin 1.0'!AA476,IF(AND($B$3="Purlin",$B$2="Zone 4"),'GCM_Purlin 1.0'!AI476,IF(AND($B$3="Purlin",$B$2="Zone 5"),'GCM_Purlin 1.0'!AT476,IF(AND($B$3="Clip",$B$2="Zone 1"),'GCN_Clip 1.0'!#REF!,IF(AND($B$3="Clip",$B$2="Zone 2"),'GCN_Clip 1.0'!#REF!,IF(AND($B$3="Clip",$B$2="Zone 3"),'GCN_Clip 1.0'!#REF!,IF(AND($B$3="Clip",$B$2="Zone 4"),'GCN_Clip 1.0'!#REF!,IF(AND($B$3="Clip",$B$2="Zone 5"),'GCN_Clip 1.0'!#REF!,IF(AND($B$3="Post",$B$2="Zone 1"),'GCN_Post 1.0'!W329,IF(AND($B$3="Post",$B$2="Zone 2"),'GCN_Post 1.0'!X329,IF(AND($B$3="Post",$B$2="Zone 3"),'GCN_Post 1.0'!Y329,IF(AND($B$3="Post",$B$2="Zone 4"),'GCN_Post 1.0'!Z329,IF(AND($B$3="Post",$B$2="Zone 5"),'GCN_Post 1.0'!AA329,"ERROR")))))))))))))))))))</f>
        <v/>
      </c>
    </row>
    <row r="216" spans="6:44" x14ac:dyDescent="0.25">
      <c r="F216">
        <v>43</v>
      </c>
      <c r="G216" s="27" t="str">
        <f t="shared" si="44"/>
        <v/>
      </c>
      <c r="H216" t="str">
        <f t="shared" si="45"/>
        <v/>
      </c>
      <c r="I216" t="str">
        <f t="shared" si="46"/>
        <v/>
      </c>
      <c r="J216" s="28" t="str">
        <f t="shared" si="47"/>
        <v/>
      </c>
      <c r="M216">
        <v>43</v>
      </c>
      <c r="N216" s="27" t="str">
        <f t="shared" si="48"/>
        <v/>
      </c>
      <c r="O216" t="str">
        <f t="shared" si="49"/>
        <v/>
      </c>
      <c r="P216" t="str">
        <f t="shared" si="50"/>
        <v/>
      </c>
      <c r="Q216" t="str">
        <f t="shared" si="51"/>
        <v/>
      </c>
      <c r="R216" t="str">
        <f t="shared" si="52"/>
        <v/>
      </c>
      <c r="S216" t="str">
        <f t="shared" si="53"/>
        <v/>
      </c>
      <c r="T216" s="82" t="str">
        <f>IF(AND($B$3="Cantilever",$B$2="Zone 1"),'GCM_Cantilever 1.0'!$F407,IF(AND($B$3="Cantilever",$B$2="Zone 2"),'GCM_Cantilever 1.0'!J407,IF(AND($B$3="HalfTracker",$B$2="Zone 1"),'GCM_Halftracker 1.0'!E422,IF(AND($B$3="HalfTracker",$B$2="Zone 2"),'GCM_Halftracker 1.0'!I422,IF(AND($B$3="Purlin",$B$2="Zone 1"),'GCM_Purlin 1.0'!E477,IF(AND($B$3="Purlin",$B$2="Zone 2"),'GCM_Purlin 1.0'!M477,IF(AND($B$3="Purlin",$B$2="Zone 3"),'GCM_Purlin 1.0'!X477,IF(AND($B$3="Purlin",$B$2="Zone 4"),'GCM_Purlin 1.0'!AF477,IF(AND($B$3="Purlin",$B$2="Zone 5"),'GCM_Purlin 1.0'!AQ477,IF(AND($B$3="Clip",$B$2="Zone 1"),'GCN_Clip 1.0'!G46,IF(AND($B$3="Clip",$B$2="Zone 2"),'GCN_Clip 1.0'!C47,IF(AND($B$3="Clip",$B$2="Zone 3"),'GCN_Clip 1.0'!G48,IF(AND($B$3="Clip",$B$2="Zone 4"),'GCN_Clip 1.0'!G49,IF(AND($B$3="Clip",$B$2="Zone 5"),'GCN_Clip 1.0'!G50,IF(AND($B$3="Post",$B$2="Zone 1"),'GCN_Post 1.0'!E330,IF(AND($B$3="Post",$B$2="Zone 2"),'GCN_Post 1.0'!F330,IF(AND($B$3="Post",$B$2="Zone 3"),'GCN_Post 1.0'!G330,IF(AND($B$3="Post",$B$2="Zone 4"),'GCN_Post 1.0'!H330,IF(AND($B$3="Post",$B$2="Zone 5"),'GCN_Post 1.0'!I330,"ERROR")))))))))))))))))))</f>
        <v/>
      </c>
      <c r="V216" s="27" t="str">
        <f t="shared" si="54"/>
        <v/>
      </c>
      <c r="W216" t="str">
        <f t="shared" si="55"/>
        <v/>
      </c>
      <c r="X216" t="str">
        <f t="shared" si="56"/>
        <v/>
      </c>
      <c r="Y216" t="str">
        <f t="shared" si="57"/>
        <v/>
      </c>
      <c r="Z216" t="str">
        <f t="shared" si="58"/>
        <v/>
      </c>
      <c r="AA216" t="str">
        <f t="shared" si="59"/>
        <v/>
      </c>
      <c r="AB216" s="82" t="str">
        <f>IF(AND($B$3="Cantilever",$B$2="Zone 1"),'GCM_Cantilever 1.0'!$G407,IF(AND($B$3="Cantilever",$B$2="Zone 2"),'GCM_Cantilever 1.0'!K407,IF(AND($B$3="HalfTracker",$B$2="Zone 1"),'GCM_Halftracker 1.0'!F422,IF(AND($B$3="HalfTracker",$B$2="Zone 2"),'GCM_Halftracker 1.0'!J422,IF(AND($B$3="Purlin",$B$2="Zone 1"),'GCM_Purlin 1.0'!F477,IF(AND($B$3="Purlin",$B$2="Zone 2"),'GCM_Purlin 1.0'!N477,IF(AND($B$3="Purlin",$B$2="Zone 3"),'GCM_Purlin 1.0'!Y477,IF(AND($B$3="Purlin",$B$2="Zone 4"),'GCM_Purlin 1.0'!AG477,IF(AND($B$3="Purlin",$B$2="Zone 5"),'GCM_Purlin 1.0'!AR477,IF(AND($B$3="Clip",$B$2="Zone 1"),'GCN_Clip 1.0'!H46,IF(AND($B$3="Clip",$B$2="Zone 2"),'GCN_Clip 1.0'!H47,IF(AND($B$3="Clip",$B$2="Zone 3"),'GCN_Clip 1.0'!H48,IF(AND($B$3="Clip",$B$2="Zone 4"),'GCN_Clip 1.0'!H49,IF(AND($B$3="Clip",$B$2="Zone 5"),'GCN_Clip 1.0'!H50,IF(AND($B$3="Post",$B$2="Zone 1"),'GCN_Post 1.0'!J330,IF(AND($B$3="Post",$B$2="Zone 2"),'GCN_Post 1.0'!K330,IF(AND($B$3="Post",$B$2="Zone 3"),'GCN_Post 1.0'!N330,IF(AND($B$3="Post",$B$2="Zone 4"),'GCN_Post 1.0'!O330,IF(AND($B$3="Post",$B$2="Zone 5"),'GCN_Post 1.0'!P330,"ERROR")))))))))))))))))))</f>
        <v/>
      </c>
      <c r="AD216" s="27" t="str">
        <f t="shared" si="60"/>
        <v/>
      </c>
      <c r="AE216" t="str">
        <f t="shared" si="61"/>
        <v/>
      </c>
      <c r="AF216" t="str">
        <f t="shared" si="62"/>
        <v/>
      </c>
      <c r="AG216" t="str">
        <f t="shared" si="63"/>
        <v/>
      </c>
      <c r="AH216" t="str">
        <f t="shared" si="64"/>
        <v/>
      </c>
      <c r="AI216" t="str">
        <f t="shared" si="65"/>
        <v/>
      </c>
      <c r="AJ216" s="82" t="str">
        <f>IF(AND($B$3="Cantilever",$B$2="Zone 1"),'GCM_Cantilever 1.0'!$H407,IF(AND($B$3="Cantilever",$B$2="Zone 2"),'GCM_Cantilever 1.0'!L407,IF(AND($B$3="HalfTracker",$B$2="Zone 1"),'GCM_Halftracker 1.0'!G422,IF(AND($B$3="HalfTracker",$B$2="Zone 2"),'GCM_Halftracker 1.0'!K422,IF(AND($B$3="Purlin",$B$2="Zone 1"),'GCM_Purlin 1.0'!G477,IF(AND($B$3="Purlin",$B$2="Zone 2"),'GCM_Purlin 1.0'!O477,IF(AND($B$3="Purlin",$B$2="Zone 3"),'GCM_Purlin 1.0'!Z477,IF(AND($B$3="Purlin",$B$2="Zone 4"),'GCM_Purlin 1.0'!AH477,IF(AND($B$3="Purlin",$B$2="Zone 5"),'GCM_Purlin 1.0'!AS477,IF(AND($B$3="Clip",$B$2="Zone 1"),'GCN_Clip 1.0'!#REF!,IF(AND($B$3="Clip",$B$2="Zone 2"),'GCN_Clip 1.0'!#REF!,IF(AND($B$3="Clip",$B$2="Zone 3"),'GCN_Clip 1.0'!#REF!,IF(AND($B$3="Clip",$B$2="Zone 4"),'GCN_Clip 1.0'!#REF!,IF(AND($B$3="Clip",$B$2="Zone 5"),'GCN_Clip 1.0'!#REF!,IF(AND($B$3="Post",$B$2="Zone 1"),'GCN_Post 1.0'!Q330,IF(AND($B$3="Post",$B$2="Zone 2"),'GCN_Post 1.0'!R330,IF(AND($B$3="Post",$B$2="Zone 3"),'GCN_Post 1.0'!S330,IF(AND($B$3="Post",$B$2="Zone 4"),'GCN_Post 1.0'!T330,IF(AND($B$3="Post",$B$2="Zone 5"),'GCN_Post 1.0'!V330,"ERROR")))))))))))))))))))</f>
        <v/>
      </c>
      <c r="AL216" s="27" t="str">
        <f t="shared" si="66"/>
        <v/>
      </c>
      <c r="AM216" t="str">
        <f t="shared" si="67"/>
        <v/>
      </c>
      <c r="AN216" t="str">
        <f t="shared" si="68"/>
        <v/>
      </c>
      <c r="AO216" t="str">
        <f t="shared" si="69"/>
        <v/>
      </c>
      <c r="AP216" t="str">
        <f t="shared" si="70"/>
        <v/>
      </c>
      <c r="AQ216" t="str">
        <f t="shared" si="71"/>
        <v/>
      </c>
      <c r="AR216" s="82" t="str">
        <f>IF(AND($B$3="Cantilever",$B$2="Zone 1"),'GCM_Cantilever 1.0'!$I407,IF(AND($B$3="Cantilever",$B$2="Zone 2"),'GCM_Cantilever 1.0'!M407,IF(AND($B$3="HalfTracker",$B$2="Zone 1"),'GCM_Halftracker 1.0'!H422,IF(AND($B$3="HalfTracker",$B$2="Zone 2"),'GCM_Halftracker 1.0'!L422,IF(AND($B$3="Purlin",$B$2="Zone 1"),'GCM_Purlin 1.0'!H477,IF(AND($B$3="Purlin",$B$2="Zone 2"),'GCM_Purlin 1.0'!P477,IF(AND($B$3="Purlin",$B$2="Zone 3"),'GCM_Purlin 1.0'!AA477,IF(AND($B$3="Purlin",$B$2="Zone 4"),'GCM_Purlin 1.0'!AI477,IF(AND($B$3="Purlin",$B$2="Zone 5"),'GCM_Purlin 1.0'!AT477,IF(AND($B$3="Clip",$B$2="Zone 1"),'GCN_Clip 1.0'!#REF!,IF(AND($B$3="Clip",$B$2="Zone 2"),'GCN_Clip 1.0'!#REF!,IF(AND($B$3="Clip",$B$2="Zone 3"),'GCN_Clip 1.0'!#REF!,IF(AND($B$3="Clip",$B$2="Zone 4"),'GCN_Clip 1.0'!#REF!,IF(AND($B$3="Clip",$B$2="Zone 5"),'GCN_Clip 1.0'!#REF!,IF(AND($B$3="Post",$B$2="Zone 1"),'GCN_Post 1.0'!W330,IF(AND($B$3="Post",$B$2="Zone 2"),'GCN_Post 1.0'!X330,IF(AND($B$3="Post",$B$2="Zone 3"),'GCN_Post 1.0'!Y330,IF(AND($B$3="Post",$B$2="Zone 4"),'GCN_Post 1.0'!Z330,IF(AND($B$3="Post",$B$2="Zone 5"),'GCN_Post 1.0'!AA330,"ERROR")))))))))))))))))))</f>
        <v/>
      </c>
    </row>
    <row r="217" spans="6:44" x14ac:dyDescent="0.25">
      <c r="F217">
        <v>44</v>
      </c>
      <c r="G217" s="27" t="str">
        <f t="shared" si="44"/>
        <v/>
      </c>
      <c r="H217" t="str">
        <f t="shared" si="45"/>
        <v/>
      </c>
      <c r="I217" t="str">
        <f t="shared" si="46"/>
        <v/>
      </c>
      <c r="J217" s="28" t="str">
        <f t="shared" si="47"/>
        <v/>
      </c>
      <c r="M217">
        <v>44</v>
      </c>
      <c r="N217" s="27" t="str">
        <f t="shared" si="48"/>
        <v/>
      </c>
      <c r="O217" t="str">
        <f t="shared" si="49"/>
        <v/>
      </c>
      <c r="P217" t="str">
        <f t="shared" si="50"/>
        <v/>
      </c>
      <c r="Q217" t="str">
        <f t="shared" si="51"/>
        <v/>
      </c>
      <c r="R217" t="str">
        <f t="shared" si="52"/>
        <v/>
      </c>
      <c r="S217" t="str">
        <f t="shared" si="53"/>
        <v/>
      </c>
      <c r="T217" s="82" t="str">
        <f>IF(AND($B$3="Cantilever",$B$2="Zone 1"),'GCM_Cantilever 1.0'!$F408,IF(AND($B$3="Cantilever",$B$2="Zone 2"),'GCM_Cantilever 1.0'!J408,IF(AND($B$3="HalfTracker",$B$2="Zone 1"),'GCM_Halftracker 1.0'!E423,IF(AND($B$3="HalfTracker",$B$2="Zone 2"),'GCM_Halftracker 1.0'!I423,IF(AND($B$3="Purlin",$B$2="Zone 1"),'GCM_Purlin 1.0'!E478,IF(AND($B$3="Purlin",$B$2="Zone 2"),'GCM_Purlin 1.0'!M478,IF(AND($B$3="Purlin",$B$2="Zone 3"),'GCM_Purlin 1.0'!X478,IF(AND($B$3="Purlin",$B$2="Zone 4"),'GCM_Purlin 1.0'!AF478,IF(AND($B$3="Purlin",$B$2="Zone 5"),'GCM_Purlin 1.0'!AQ478,IF(AND($B$3="Clip",$B$2="Zone 1"),'GCN_Clip 1.0'!G47,IF(AND($B$3="Clip",$B$2="Zone 2"),'GCN_Clip 1.0'!C48,IF(AND($B$3="Clip",$B$2="Zone 3"),'GCN_Clip 1.0'!G49,IF(AND($B$3="Clip",$B$2="Zone 4"),'GCN_Clip 1.0'!G50,IF(AND($B$3="Clip",$B$2="Zone 5"),'GCN_Clip 1.0'!G51,IF(AND($B$3="Post",$B$2="Zone 1"),'GCN_Post 1.0'!E331,IF(AND($B$3="Post",$B$2="Zone 2"),'GCN_Post 1.0'!F331,IF(AND($B$3="Post",$B$2="Zone 3"),'GCN_Post 1.0'!G331,IF(AND($B$3="Post",$B$2="Zone 4"),'GCN_Post 1.0'!H331,IF(AND($B$3="Post",$B$2="Zone 5"),'GCN_Post 1.0'!I331,"ERROR")))))))))))))))))))</f>
        <v/>
      </c>
      <c r="V217" s="27" t="str">
        <f t="shared" si="54"/>
        <v/>
      </c>
      <c r="W217" t="str">
        <f t="shared" si="55"/>
        <v/>
      </c>
      <c r="X217" t="str">
        <f t="shared" si="56"/>
        <v/>
      </c>
      <c r="Y217" t="str">
        <f t="shared" si="57"/>
        <v/>
      </c>
      <c r="Z217" t="str">
        <f t="shared" si="58"/>
        <v/>
      </c>
      <c r="AA217" t="str">
        <f t="shared" si="59"/>
        <v/>
      </c>
      <c r="AB217" s="82" t="str">
        <f>IF(AND($B$3="Cantilever",$B$2="Zone 1"),'GCM_Cantilever 1.0'!$G408,IF(AND($B$3="Cantilever",$B$2="Zone 2"),'GCM_Cantilever 1.0'!K408,IF(AND($B$3="HalfTracker",$B$2="Zone 1"),'GCM_Halftracker 1.0'!F423,IF(AND($B$3="HalfTracker",$B$2="Zone 2"),'GCM_Halftracker 1.0'!J423,IF(AND($B$3="Purlin",$B$2="Zone 1"),'GCM_Purlin 1.0'!F478,IF(AND($B$3="Purlin",$B$2="Zone 2"),'GCM_Purlin 1.0'!N478,IF(AND($B$3="Purlin",$B$2="Zone 3"),'GCM_Purlin 1.0'!Y478,IF(AND($B$3="Purlin",$B$2="Zone 4"),'GCM_Purlin 1.0'!AG478,IF(AND($B$3="Purlin",$B$2="Zone 5"),'GCM_Purlin 1.0'!AR478,IF(AND($B$3="Clip",$B$2="Zone 1"),'GCN_Clip 1.0'!H47,IF(AND($B$3="Clip",$B$2="Zone 2"),'GCN_Clip 1.0'!H48,IF(AND($B$3="Clip",$B$2="Zone 3"),'GCN_Clip 1.0'!H49,IF(AND($B$3="Clip",$B$2="Zone 4"),'GCN_Clip 1.0'!H50,IF(AND($B$3="Clip",$B$2="Zone 5"),'GCN_Clip 1.0'!H51,IF(AND($B$3="Post",$B$2="Zone 1"),'GCN_Post 1.0'!J331,IF(AND($B$3="Post",$B$2="Zone 2"),'GCN_Post 1.0'!K331,IF(AND($B$3="Post",$B$2="Zone 3"),'GCN_Post 1.0'!N331,IF(AND($B$3="Post",$B$2="Zone 4"),'GCN_Post 1.0'!O331,IF(AND($B$3="Post",$B$2="Zone 5"),'GCN_Post 1.0'!P331,"ERROR")))))))))))))))))))</f>
        <v/>
      </c>
      <c r="AD217" s="27" t="str">
        <f t="shared" si="60"/>
        <v/>
      </c>
      <c r="AE217" t="str">
        <f t="shared" si="61"/>
        <v/>
      </c>
      <c r="AF217" t="str">
        <f t="shared" si="62"/>
        <v/>
      </c>
      <c r="AG217" t="str">
        <f t="shared" si="63"/>
        <v/>
      </c>
      <c r="AH217" t="str">
        <f t="shared" si="64"/>
        <v/>
      </c>
      <c r="AI217" t="str">
        <f t="shared" si="65"/>
        <v/>
      </c>
      <c r="AJ217" s="82" t="str">
        <f>IF(AND($B$3="Cantilever",$B$2="Zone 1"),'GCM_Cantilever 1.0'!$H408,IF(AND($B$3="Cantilever",$B$2="Zone 2"),'GCM_Cantilever 1.0'!L408,IF(AND($B$3="HalfTracker",$B$2="Zone 1"),'GCM_Halftracker 1.0'!G423,IF(AND($B$3="HalfTracker",$B$2="Zone 2"),'GCM_Halftracker 1.0'!K423,IF(AND($B$3="Purlin",$B$2="Zone 1"),'GCM_Purlin 1.0'!G478,IF(AND($B$3="Purlin",$B$2="Zone 2"),'GCM_Purlin 1.0'!O478,IF(AND($B$3="Purlin",$B$2="Zone 3"),'GCM_Purlin 1.0'!Z478,IF(AND($B$3="Purlin",$B$2="Zone 4"),'GCM_Purlin 1.0'!AH478,IF(AND($B$3="Purlin",$B$2="Zone 5"),'GCM_Purlin 1.0'!AS478,IF(AND($B$3="Clip",$B$2="Zone 1"),'GCN_Clip 1.0'!#REF!,IF(AND($B$3="Clip",$B$2="Zone 2"),'GCN_Clip 1.0'!#REF!,IF(AND($B$3="Clip",$B$2="Zone 3"),'GCN_Clip 1.0'!#REF!,IF(AND($B$3="Clip",$B$2="Zone 4"),'GCN_Clip 1.0'!#REF!,IF(AND($B$3="Clip",$B$2="Zone 5"),'GCN_Clip 1.0'!#REF!,IF(AND($B$3="Post",$B$2="Zone 1"),'GCN_Post 1.0'!Q331,IF(AND($B$3="Post",$B$2="Zone 2"),'GCN_Post 1.0'!R331,IF(AND($B$3="Post",$B$2="Zone 3"),'GCN_Post 1.0'!S331,IF(AND($B$3="Post",$B$2="Zone 4"),'GCN_Post 1.0'!T331,IF(AND($B$3="Post",$B$2="Zone 5"),'GCN_Post 1.0'!V331,"ERROR")))))))))))))))))))</f>
        <v/>
      </c>
      <c r="AL217" s="27" t="str">
        <f t="shared" si="66"/>
        <v/>
      </c>
      <c r="AM217" t="str">
        <f t="shared" si="67"/>
        <v/>
      </c>
      <c r="AN217" t="str">
        <f t="shared" si="68"/>
        <v/>
      </c>
      <c r="AO217" t="str">
        <f t="shared" si="69"/>
        <v/>
      </c>
      <c r="AP217" t="str">
        <f t="shared" si="70"/>
        <v/>
      </c>
      <c r="AQ217" t="str">
        <f t="shared" si="71"/>
        <v/>
      </c>
      <c r="AR217" s="82" t="str">
        <f>IF(AND($B$3="Cantilever",$B$2="Zone 1"),'GCM_Cantilever 1.0'!$I408,IF(AND($B$3="Cantilever",$B$2="Zone 2"),'GCM_Cantilever 1.0'!M408,IF(AND($B$3="HalfTracker",$B$2="Zone 1"),'GCM_Halftracker 1.0'!H423,IF(AND($B$3="HalfTracker",$B$2="Zone 2"),'GCM_Halftracker 1.0'!L423,IF(AND($B$3="Purlin",$B$2="Zone 1"),'GCM_Purlin 1.0'!H478,IF(AND($B$3="Purlin",$B$2="Zone 2"),'GCM_Purlin 1.0'!P478,IF(AND($B$3="Purlin",$B$2="Zone 3"),'GCM_Purlin 1.0'!AA478,IF(AND($B$3="Purlin",$B$2="Zone 4"),'GCM_Purlin 1.0'!AI478,IF(AND($B$3="Purlin",$B$2="Zone 5"),'GCM_Purlin 1.0'!AT478,IF(AND($B$3="Clip",$B$2="Zone 1"),'GCN_Clip 1.0'!#REF!,IF(AND($B$3="Clip",$B$2="Zone 2"),'GCN_Clip 1.0'!#REF!,IF(AND($B$3="Clip",$B$2="Zone 3"),'GCN_Clip 1.0'!#REF!,IF(AND($B$3="Clip",$B$2="Zone 4"),'GCN_Clip 1.0'!#REF!,IF(AND($B$3="Clip",$B$2="Zone 5"),'GCN_Clip 1.0'!#REF!,IF(AND($B$3="Post",$B$2="Zone 1"),'GCN_Post 1.0'!W331,IF(AND($B$3="Post",$B$2="Zone 2"),'GCN_Post 1.0'!X331,IF(AND($B$3="Post",$B$2="Zone 3"),'GCN_Post 1.0'!Y331,IF(AND($B$3="Post",$B$2="Zone 4"),'GCN_Post 1.0'!Z331,IF(AND($B$3="Post",$B$2="Zone 5"),'GCN_Post 1.0'!AA331,"ERROR")))))))))))))))))))</f>
        <v/>
      </c>
    </row>
    <row r="218" spans="6:44" x14ac:dyDescent="0.25">
      <c r="F218">
        <v>45</v>
      </c>
      <c r="G218" s="27" t="str">
        <f t="shared" si="44"/>
        <v/>
      </c>
      <c r="H218" t="str">
        <f t="shared" si="45"/>
        <v/>
      </c>
      <c r="I218" t="str">
        <f t="shared" si="46"/>
        <v/>
      </c>
      <c r="J218" s="28" t="str">
        <f t="shared" si="47"/>
        <v/>
      </c>
      <c r="M218">
        <v>45</v>
      </c>
      <c r="N218" s="27" t="str">
        <f t="shared" si="48"/>
        <v/>
      </c>
      <c r="O218" t="str">
        <f t="shared" si="49"/>
        <v/>
      </c>
      <c r="P218" t="str">
        <f t="shared" si="50"/>
        <v/>
      </c>
      <c r="Q218" t="str">
        <f t="shared" si="51"/>
        <v/>
      </c>
      <c r="R218" t="str">
        <f t="shared" si="52"/>
        <v/>
      </c>
      <c r="S218" t="str">
        <f t="shared" si="53"/>
        <v/>
      </c>
      <c r="T218" s="82" t="str">
        <f>IF(AND($B$3="Cantilever",$B$2="Zone 1"),'GCM_Cantilever 1.0'!$F409,IF(AND($B$3="Cantilever",$B$2="Zone 2"),'GCM_Cantilever 1.0'!J409,IF(AND($B$3="HalfTracker",$B$2="Zone 1"),'GCM_Halftracker 1.0'!E424,IF(AND($B$3="HalfTracker",$B$2="Zone 2"),'GCM_Halftracker 1.0'!I424,IF(AND($B$3="Purlin",$B$2="Zone 1"),'GCM_Purlin 1.0'!E479,IF(AND($B$3="Purlin",$B$2="Zone 2"),'GCM_Purlin 1.0'!M479,IF(AND($B$3="Purlin",$B$2="Zone 3"),'GCM_Purlin 1.0'!X479,IF(AND($B$3="Purlin",$B$2="Zone 4"),'GCM_Purlin 1.0'!AF479,IF(AND($B$3="Purlin",$B$2="Zone 5"),'GCM_Purlin 1.0'!AQ479,IF(AND($B$3="Clip",$B$2="Zone 1"),'GCN_Clip 1.0'!G48,IF(AND($B$3="Clip",$B$2="Zone 2"),'GCN_Clip 1.0'!C49,IF(AND($B$3="Clip",$B$2="Zone 3"),'GCN_Clip 1.0'!G50,IF(AND($B$3="Clip",$B$2="Zone 4"),'GCN_Clip 1.0'!G51,IF(AND($B$3="Clip",$B$2="Zone 5"),'GCN_Clip 1.0'!G52,IF(AND($B$3="Post",$B$2="Zone 1"),'GCN_Post 1.0'!E332,IF(AND($B$3="Post",$B$2="Zone 2"),'GCN_Post 1.0'!F332,IF(AND($B$3="Post",$B$2="Zone 3"),'GCN_Post 1.0'!G332,IF(AND($B$3="Post",$B$2="Zone 4"),'GCN_Post 1.0'!H332,IF(AND($B$3="Post",$B$2="Zone 5"),'GCN_Post 1.0'!I332,"ERROR")))))))))))))))))))</f>
        <v/>
      </c>
      <c r="V218" s="27" t="str">
        <f t="shared" si="54"/>
        <v/>
      </c>
      <c r="W218" t="str">
        <f t="shared" si="55"/>
        <v/>
      </c>
      <c r="X218" t="str">
        <f t="shared" si="56"/>
        <v/>
      </c>
      <c r="Y218" t="str">
        <f t="shared" si="57"/>
        <v/>
      </c>
      <c r="Z218" t="str">
        <f t="shared" si="58"/>
        <v/>
      </c>
      <c r="AA218" t="str">
        <f t="shared" si="59"/>
        <v/>
      </c>
      <c r="AB218" s="82" t="str">
        <f>IF(AND($B$3="Cantilever",$B$2="Zone 1"),'GCM_Cantilever 1.0'!$G409,IF(AND($B$3="Cantilever",$B$2="Zone 2"),'GCM_Cantilever 1.0'!K409,IF(AND($B$3="HalfTracker",$B$2="Zone 1"),'GCM_Halftracker 1.0'!F424,IF(AND($B$3="HalfTracker",$B$2="Zone 2"),'GCM_Halftracker 1.0'!J424,IF(AND($B$3="Purlin",$B$2="Zone 1"),'GCM_Purlin 1.0'!F479,IF(AND($B$3="Purlin",$B$2="Zone 2"),'GCM_Purlin 1.0'!N479,IF(AND($B$3="Purlin",$B$2="Zone 3"),'GCM_Purlin 1.0'!Y479,IF(AND($B$3="Purlin",$B$2="Zone 4"),'GCM_Purlin 1.0'!AG479,IF(AND($B$3="Purlin",$B$2="Zone 5"),'GCM_Purlin 1.0'!AR479,IF(AND($B$3="Clip",$B$2="Zone 1"),'GCN_Clip 1.0'!H48,IF(AND($B$3="Clip",$B$2="Zone 2"),'GCN_Clip 1.0'!H49,IF(AND($B$3="Clip",$B$2="Zone 3"),'GCN_Clip 1.0'!H50,IF(AND($B$3="Clip",$B$2="Zone 4"),'GCN_Clip 1.0'!H51,IF(AND($B$3="Clip",$B$2="Zone 5"),'GCN_Clip 1.0'!H52,IF(AND($B$3="Post",$B$2="Zone 1"),'GCN_Post 1.0'!J332,IF(AND($B$3="Post",$B$2="Zone 2"),'GCN_Post 1.0'!K332,IF(AND($B$3="Post",$B$2="Zone 3"),'GCN_Post 1.0'!N332,IF(AND($B$3="Post",$B$2="Zone 4"),'GCN_Post 1.0'!O332,IF(AND($B$3="Post",$B$2="Zone 5"),'GCN_Post 1.0'!P332,"ERROR")))))))))))))))))))</f>
        <v/>
      </c>
      <c r="AD218" s="27" t="str">
        <f t="shared" si="60"/>
        <v/>
      </c>
      <c r="AE218" t="str">
        <f t="shared" si="61"/>
        <v/>
      </c>
      <c r="AF218" t="str">
        <f t="shared" si="62"/>
        <v/>
      </c>
      <c r="AG218" t="str">
        <f t="shared" si="63"/>
        <v/>
      </c>
      <c r="AH218" t="str">
        <f t="shared" si="64"/>
        <v/>
      </c>
      <c r="AI218" t="str">
        <f t="shared" si="65"/>
        <v/>
      </c>
      <c r="AJ218" s="82" t="str">
        <f>IF(AND($B$3="Cantilever",$B$2="Zone 1"),'GCM_Cantilever 1.0'!$H409,IF(AND($B$3="Cantilever",$B$2="Zone 2"),'GCM_Cantilever 1.0'!L409,IF(AND($B$3="HalfTracker",$B$2="Zone 1"),'GCM_Halftracker 1.0'!G424,IF(AND($B$3="HalfTracker",$B$2="Zone 2"),'GCM_Halftracker 1.0'!K424,IF(AND($B$3="Purlin",$B$2="Zone 1"),'GCM_Purlin 1.0'!G479,IF(AND($B$3="Purlin",$B$2="Zone 2"),'GCM_Purlin 1.0'!O479,IF(AND($B$3="Purlin",$B$2="Zone 3"),'GCM_Purlin 1.0'!Z479,IF(AND($B$3="Purlin",$B$2="Zone 4"),'GCM_Purlin 1.0'!AH479,IF(AND($B$3="Purlin",$B$2="Zone 5"),'GCM_Purlin 1.0'!AS479,IF(AND($B$3="Clip",$B$2="Zone 1"),'GCN_Clip 1.0'!#REF!,IF(AND($B$3="Clip",$B$2="Zone 2"),'GCN_Clip 1.0'!#REF!,IF(AND($B$3="Clip",$B$2="Zone 3"),'GCN_Clip 1.0'!#REF!,IF(AND($B$3="Clip",$B$2="Zone 4"),'GCN_Clip 1.0'!#REF!,IF(AND($B$3="Clip",$B$2="Zone 5"),'GCN_Clip 1.0'!#REF!,IF(AND($B$3="Post",$B$2="Zone 1"),'GCN_Post 1.0'!Q332,IF(AND($B$3="Post",$B$2="Zone 2"),'GCN_Post 1.0'!R332,IF(AND($B$3="Post",$B$2="Zone 3"),'GCN_Post 1.0'!S332,IF(AND($B$3="Post",$B$2="Zone 4"),'GCN_Post 1.0'!T332,IF(AND($B$3="Post",$B$2="Zone 5"),'GCN_Post 1.0'!V332,"ERROR")))))))))))))))))))</f>
        <v/>
      </c>
      <c r="AL218" s="27" t="str">
        <f t="shared" si="66"/>
        <v/>
      </c>
      <c r="AM218" t="str">
        <f t="shared" si="67"/>
        <v/>
      </c>
      <c r="AN218" t="str">
        <f t="shared" si="68"/>
        <v/>
      </c>
      <c r="AO218" t="str">
        <f t="shared" si="69"/>
        <v/>
      </c>
      <c r="AP218" t="str">
        <f t="shared" si="70"/>
        <v/>
      </c>
      <c r="AQ218" t="str">
        <f t="shared" si="71"/>
        <v/>
      </c>
      <c r="AR218" s="82" t="str">
        <f>IF(AND($B$3="Cantilever",$B$2="Zone 1"),'GCM_Cantilever 1.0'!$I409,IF(AND($B$3="Cantilever",$B$2="Zone 2"),'GCM_Cantilever 1.0'!M409,IF(AND($B$3="HalfTracker",$B$2="Zone 1"),'GCM_Halftracker 1.0'!H424,IF(AND($B$3="HalfTracker",$B$2="Zone 2"),'GCM_Halftracker 1.0'!L424,IF(AND($B$3="Purlin",$B$2="Zone 1"),'GCM_Purlin 1.0'!H479,IF(AND($B$3="Purlin",$B$2="Zone 2"),'GCM_Purlin 1.0'!P479,IF(AND($B$3="Purlin",$B$2="Zone 3"),'GCM_Purlin 1.0'!AA479,IF(AND($B$3="Purlin",$B$2="Zone 4"),'GCM_Purlin 1.0'!AI479,IF(AND($B$3="Purlin",$B$2="Zone 5"),'GCM_Purlin 1.0'!AT479,IF(AND($B$3="Clip",$B$2="Zone 1"),'GCN_Clip 1.0'!#REF!,IF(AND($B$3="Clip",$B$2="Zone 2"),'GCN_Clip 1.0'!#REF!,IF(AND($B$3="Clip",$B$2="Zone 3"),'GCN_Clip 1.0'!#REF!,IF(AND($B$3="Clip",$B$2="Zone 4"),'GCN_Clip 1.0'!#REF!,IF(AND($B$3="Clip",$B$2="Zone 5"),'GCN_Clip 1.0'!#REF!,IF(AND($B$3="Post",$B$2="Zone 1"),'GCN_Post 1.0'!W332,IF(AND($B$3="Post",$B$2="Zone 2"),'GCN_Post 1.0'!X332,IF(AND($B$3="Post",$B$2="Zone 3"),'GCN_Post 1.0'!Y332,IF(AND($B$3="Post",$B$2="Zone 4"),'GCN_Post 1.0'!Z332,IF(AND($B$3="Post",$B$2="Zone 5"),'GCN_Post 1.0'!AA332,"ERROR")))))))))))))))))))</f>
        <v/>
      </c>
    </row>
    <row r="219" spans="6:44" x14ac:dyDescent="0.25">
      <c r="F219">
        <v>46</v>
      </c>
      <c r="G219" s="27" t="str">
        <f t="shared" si="44"/>
        <v/>
      </c>
      <c r="H219" t="str">
        <f t="shared" si="45"/>
        <v/>
      </c>
      <c r="I219" t="str">
        <f t="shared" si="46"/>
        <v/>
      </c>
      <c r="J219" s="28" t="str">
        <f t="shared" si="47"/>
        <v/>
      </c>
      <c r="M219">
        <v>46</v>
      </c>
      <c r="N219" s="27" t="str">
        <f t="shared" si="48"/>
        <v/>
      </c>
      <c r="O219" t="str">
        <f t="shared" si="49"/>
        <v/>
      </c>
      <c r="P219" t="str">
        <f t="shared" si="50"/>
        <v/>
      </c>
      <c r="Q219" t="str">
        <f t="shared" si="51"/>
        <v/>
      </c>
      <c r="R219" t="str">
        <f t="shared" si="52"/>
        <v/>
      </c>
      <c r="S219" t="str">
        <f t="shared" si="53"/>
        <v/>
      </c>
      <c r="T219" s="82" t="str">
        <f>IF(AND($B$3="Cantilever",$B$2="Zone 1"),'GCM_Cantilever 1.0'!$F410,IF(AND($B$3="Cantilever",$B$2="Zone 2"),'GCM_Cantilever 1.0'!J410,IF(AND($B$3="HalfTracker",$B$2="Zone 1"),'GCM_Halftracker 1.0'!E425,IF(AND($B$3="HalfTracker",$B$2="Zone 2"),'GCM_Halftracker 1.0'!I425,IF(AND($B$3="Purlin",$B$2="Zone 1"),'GCM_Purlin 1.0'!E480,IF(AND($B$3="Purlin",$B$2="Zone 2"),'GCM_Purlin 1.0'!M480,IF(AND($B$3="Purlin",$B$2="Zone 3"),'GCM_Purlin 1.0'!X480,IF(AND($B$3="Purlin",$B$2="Zone 4"),'GCM_Purlin 1.0'!AF480,IF(AND($B$3="Purlin",$B$2="Zone 5"),'GCM_Purlin 1.0'!AQ480,IF(AND($B$3="Clip",$B$2="Zone 1"),'GCN_Clip 1.0'!G49,IF(AND($B$3="Clip",$B$2="Zone 2"),'GCN_Clip 1.0'!C50,IF(AND($B$3="Clip",$B$2="Zone 3"),'GCN_Clip 1.0'!G51,IF(AND($B$3="Clip",$B$2="Zone 4"),'GCN_Clip 1.0'!G52,IF(AND($B$3="Clip",$B$2="Zone 5"),'GCN_Clip 1.0'!G53,IF(AND($B$3="Post",$B$2="Zone 1"),'GCN_Post 1.0'!E333,IF(AND($B$3="Post",$B$2="Zone 2"),'GCN_Post 1.0'!F333,IF(AND($B$3="Post",$B$2="Zone 3"),'GCN_Post 1.0'!G333,IF(AND($B$3="Post",$B$2="Zone 4"),'GCN_Post 1.0'!H333,IF(AND($B$3="Post",$B$2="Zone 5"),'GCN_Post 1.0'!I333,"ERROR")))))))))))))))))))</f>
        <v/>
      </c>
      <c r="V219" s="27" t="str">
        <f t="shared" si="54"/>
        <v/>
      </c>
      <c r="W219" t="str">
        <f t="shared" si="55"/>
        <v/>
      </c>
      <c r="X219" t="str">
        <f t="shared" si="56"/>
        <v/>
      </c>
      <c r="Y219" t="str">
        <f t="shared" si="57"/>
        <v/>
      </c>
      <c r="Z219" t="str">
        <f t="shared" si="58"/>
        <v/>
      </c>
      <c r="AA219" t="str">
        <f t="shared" si="59"/>
        <v/>
      </c>
      <c r="AB219" s="82" t="str">
        <f>IF(AND($B$3="Cantilever",$B$2="Zone 1"),'GCM_Cantilever 1.0'!$G410,IF(AND($B$3="Cantilever",$B$2="Zone 2"),'GCM_Cantilever 1.0'!K410,IF(AND($B$3="HalfTracker",$B$2="Zone 1"),'GCM_Halftracker 1.0'!F425,IF(AND($B$3="HalfTracker",$B$2="Zone 2"),'GCM_Halftracker 1.0'!J425,IF(AND($B$3="Purlin",$B$2="Zone 1"),'GCM_Purlin 1.0'!F480,IF(AND($B$3="Purlin",$B$2="Zone 2"),'GCM_Purlin 1.0'!N480,IF(AND($B$3="Purlin",$B$2="Zone 3"),'GCM_Purlin 1.0'!Y480,IF(AND($B$3="Purlin",$B$2="Zone 4"),'GCM_Purlin 1.0'!AG480,IF(AND($B$3="Purlin",$B$2="Zone 5"),'GCM_Purlin 1.0'!AR480,IF(AND($B$3="Clip",$B$2="Zone 1"),'GCN_Clip 1.0'!H49,IF(AND($B$3="Clip",$B$2="Zone 2"),'GCN_Clip 1.0'!H50,IF(AND($B$3="Clip",$B$2="Zone 3"),'GCN_Clip 1.0'!H51,IF(AND($B$3="Clip",$B$2="Zone 4"),'GCN_Clip 1.0'!H52,IF(AND($B$3="Clip",$B$2="Zone 5"),'GCN_Clip 1.0'!H53,IF(AND($B$3="Post",$B$2="Zone 1"),'GCN_Post 1.0'!J333,IF(AND($B$3="Post",$B$2="Zone 2"),'GCN_Post 1.0'!K333,IF(AND($B$3="Post",$B$2="Zone 3"),'GCN_Post 1.0'!N333,IF(AND($B$3="Post",$B$2="Zone 4"),'GCN_Post 1.0'!O333,IF(AND($B$3="Post",$B$2="Zone 5"),'GCN_Post 1.0'!P333,"ERROR")))))))))))))))))))</f>
        <v/>
      </c>
      <c r="AD219" s="27" t="str">
        <f t="shared" si="60"/>
        <v/>
      </c>
      <c r="AE219" t="str">
        <f t="shared" si="61"/>
        <v/>
      </c>
      <c r="AF219" t="str">
        <f t="shared" si="62"/>
        <v/>
      </c>
      <c r="AG219" t="str">
        <f t="shared" si="63"/>
        <v/>
      </c>
      <c r="AH219" t="str">
        <f t="shared" si="64"/>
        <v/>
      </c>
      <c r="AI219" t="str">
        <f t="shared" si="65"/>
        <v/>
      </c>
      <c r="AJ219" s="82" t="str">
        <f>IF(AND($B$3="Cantilever",$B$2="Zone 1"),'GCM_Cantilever 1.0'!$H410,IF(AND($B$3="Cantilever",$B$2="Zone 2"),'GCM_Cantilever 1.0'!L410,IF(AND($B$3="HalfTracker",$B$2="Zone 1"),'GCM_Halftracker 1.0'!G425,IF(AND($B$3="HalfTracker",$B$2="Zone 2"),'GCM_Halftracker 1.0'!K425,IF(AND($B$3="Purlin",$B$2="Zone 1"),'GCM_Purlin 1.0'!G480,IF(AND($B$3="Purlin",$B$2="Zone 2"),'GCM_Purlin 1.0'!O480,IF(AND($B$3="Purlin",$B$2="Zone 3"),'GCM_Purlin 1.0'!Z480,IF(AND($B$3="Purlin",$B$2="Zone 4"),'GCM_Purlin 1.0'!AH480,IF(AND($B$3="Purlin",$B$2="Zone 5"),'GCM_Purlin 1.0'!AS480,IF(AND($B$3="Clip",$B$2="Zone 1"),'GCN_Clip 1.0'!#REF!,IF(AND($B$3="Clip",$B$2="Zone 2"),'GCN_Clip 1.0'!#REF!,IF(AND($B$3="Clip",$B$2="Zone 3"),'GCN_Clip 1.0'!#REF!,IF(AND($B$3="Clip",$B$2="Zone 4"),'GCN_Clip 1.0'!#REF!,IF(AND($B$3="Clip",$B$2="Zone 5"),'GCN_Clip 1.0'!#REF!,IF(AND($B$3="Post",$B$2="Zone 1"),'GCN_Post 1.0'!Q333,IF(AND($B$3="Post",$B$2="Zone 2"),'GCN_Post 1.0'!R333,IF(AND($B$3="Post",$B$2="Zone 3"),'GCN_Post 1.0'!S333,IF(AND($B$3="Post",$B$2="Zone 4"),'GCN_Post 1.0'!T333,IF(AND($B$3="Post",$B$2="Zone 5"),'GCN_Post 1.0'!V333,"ERROR")))))))))))))))))))</f>
        <v/>
      </c>
      <c r="AL219" s="27" t="str">
        <f t="shared" si="66"/>
        <v/>
      </c>
      <c r="AM219" t="str">
        <f t="shared" si="67"/>
        <v/>
      </c>
      <c r="AN219" t="str">
        <f t="shared" si="68"/>
        <v/>
      </c>
      <c r="AO219" t="str">
        <f t="shared" si="69"/>
        <v/>
      </c>
      <c r="AP219" t="str">
        <f t="shared" si="70"/>
        <v/>
      </c>
      <c r="AQ219" t="str">
        <f t="shared" si="71"/>
        <v/>
      </c>
      <c r="AR219" s="82" t="str">
        <f>IF(AND($B$3="Cantilever",$B$2="Zone 1"),'GCM_Cantilever 1.0'!$I410,IF(AND($B$3="Cantilever",$B$2="Zone 2"),'GCM_Cantilever 1.0'!M410,IF(AND($B$3="HalfTracker",$B$2="Zone 1"),'GCM_Halftracker 1.0'!H425,IF(AND($B$3="HalfTracker",$B$2="Zone 2"),'GCM_Halftracker 1.0'!L425,IF(AND($B$3="Purlin",$B$2="Zone 1"),'GCM_Purlin 1.0'!H480,IF(AND($B$3="Purlin",$B$2="Zone 2"),'GCM_Purlin 1.0'!P480,IF(AND($B$3="Purlin",$B$2="Zone 3"),'GCM_Purlin 1.0'!AA480,IF(AND($B$3="Purlin",$B$2="Zone 4"),'GCM_Purlin 1.0'!AI480,IF(AND($B$3="Purlin",$B$2="Zone 5"),'GCM_Purlin 1.0'!AT480,IF(AND($B$3="Clip",$B$2="Zone 1"),'GCN_Clip 1.0'!#REF!,IF(AND($B$3="Clip",$B$2="Zone 2"),'GCN_Clip 1.0'!#REF!,IF(AND($B$3="Clip",$B$2="Zone 3"),'GCN_Clip 1.0'!#REF!,IF(AND($B$3="Clip",$B$2="Zone 4"),'GCN_Clip 1.0'!#REF!,IF(AND($B$3="Clip",$B$2="Zone 5"),'GCN_Clip 1.0'!#REF!,IF(AND($B$3="Post",$B$2="Zone 1"),'GCN_Post 1.0'!W333,IF(AND($B$3="Post",$B$2="Zone 2"),'GCN_Post 1.0'!X333,IF(AND($B$3="Post",$B$2="Zone 3"),'GCN_Post 1.0'!Y333,IF(AND($B$3="Post",$B$2="Zone 4"),'GCN_Post 1.0'!Z333,IF(AND($B$3="Post",$B$2="Zone 5"),'GCN_Post 1.0'!AA333,"ERROR")))))))))))))))))))</f>
        <v/>
      </c>
    </row>
    <row r="220" spans="6:44" x14ac:dyDescent="0.25">
      <c r="F220">
        <v>47</v>
      </c>
      <c r="G220" s="27" t="str">
        <f t="shared" si="44"/>
        <v/>
      </c>
      <c r="H220" t="str">
        <f t="shared" si="45"/>
        <v/>
      </c>
      <c r="I220" t="str">
        <f t="shared" si="46"/>
        <v/>
      </c>
      <c r="J220" s="28" t="str">
        <f t="shared" si="47"/>
        <v/>
      </c>
      <c r="M220">
        <v>47</v>
      </c>
      <c r="N220" s="27" t="str">
        <f t="shared" si="48"/>
        <v/>
      </c>
      <c r="O220" t="str">
        <f t="shared" si="49"/>
        <v/>
      </c>
      <c r="P220" t="str">
        <f t="shared" si="50"/>
        <v/>
      </c>
      <c r="Q220" t="str">
        <f t="shared" si="51"/>
        <v/>
      </c>
      <c r="R220" t="str">
        <f t="shared" si="52"/>
        <v/>
      </c>
      <c r="S220" t="str">
        <f t="shared" si="53"/>
        <v/>
      </c>
      <c r="T220" s="82" t="str">
        <f>IF(AND($B$3="Cantilever",$B$2="Zone 1"),'GCM_Cantilever 1.0'!$F411,IF(AND($B$3="Cantilever",$B$2="Zone 2"),'GCM_Cantilever 1.0'!J411,IF(AND($B$3="HalfTracker",$B$2="Zone 1"),'GCM_Halftracker 1.0'!E426,IF(AND($B$3="HalfTracker",$B$2="Zone 2"),'GCM_Halftracker 1.0'!I426,IF(AND($B$3="Purlin",$B$2="Zone 1"),'GCM_Purlin 1.0'!E481,IF(AND($B$3="Purlin",$B$2="Zone 2"),'GCM_Purlin 1.0'!M481,IF(AND($B$3="Purlin",$B$2="Zone 3"),'GCM_Purlin 1.0'!X481,IF(AND($B$3="Purlin",$B$2="Zone 4"),'GCM_Purlin 1.0'!AF481,IF(AND($B$3="Purlin",$B$2="Zone 5"),'GCM_Purlin 1.0'!AQ481,IF(AND($B$3="Clip",$B$2="Zone 1"),'GCN_Clip 1.0'!G50,IF(AND($B$3="Clip",$B$2="Zone 2"),'GCN_Clip 1.0'!C51,IF(AND($B$3="Clip",$B$2="Zone 3"),'GCN_Clip 1.0'!G52,IF(AND($B$3="Clip",$B$2="Zone 4"),'GCN_Clip 1.0'!G53,IF(AND($B$3="Clip",$B$2="Zone 5"),'GCN_Clip 1.0'!G54,IF(AND($B$3="Post",$B$2="Zone 1"),'GCN_Post 1.0'!E334,IF(AND($B$3="Post",$B$2="Zone 2"),'GCN_Post 1.0'!F334,IF(AND($B$3="Post",$B$2="Zone 3"),'GCN_Post 1.0'!G334,IF(AND($B$3="Post",$B$2="Zone 4"),'GCN_Post 1.0'!H334,IF(AND($B$3="Post",$B$2="Zone 5"),'GCN_Post 1.0'!I334,"ERROR")))))))))))))))))))</f>
        <v/>
      </c>
      <c r="V220" s="27" t="str">
        <f t="shared" si="54"/>
        <v/>
      </c>
      <c r="W220" t="str">
        <f t="shared" si="55"/>
        <v/>
      </c>
      <c r="X220" t="str">
        <f t="shared" si="56"/>
        <v/>
      </c>
      <c r="Y220" t="str">
        <f t="shared" si="57"/>
        <v/>
      </c>
      <c r="Z220" t="str">
        <f t="shared" si="58"/>
        <v/>
      </c>
      <c r="AA220" t="str">
        <f t="shared" si="59"/>
        <v/>
      </c>
      <c r="AB220" s="82" t="str">
        <f>IF(AND($B$3="Cantilever",$B$2="Zone 1"),'GCM_Cantilever 1.0'!$G411,IF(AND($B$3="Cantilever",$B$2="Zone 2"),'GCM_Cantilever 1.0'!K411,IF(AND($B$3="HalfTracker",$B$2="Zone 1"),'GCM_Halftracker 1.0'!F426,IF(AND($B$3="HalfTracker",$B$2="Zone 2"),'GCM_Halftracker 1.0'!J426,IF(AND($B$3="Purlin",$B$2="Zone 1"),'GCM_Purlin 1.0'!F481,IF(AND($B$3="Purlin",$B$2="Zone 2"),'GCM_Purlin 1.0'!N481,IF(AND($B$3="Purlin",$B$2="Zone 3"),'GCM_Purlin 1.0'!Y481,IF(AND($B$3="Purlin",$B$2="Zone 4"),'GCM_Purlin 1.0'!AG481,IF(AND($B$3="Purlin",$B$2="Zone 5"),'GCM_Purlin 1.0'!AR481,IF(AND($B$3="Clip",$B$2="Zone 1"),'GCN_Clip 1.0'!H50,IF(AND($B$3="Clip",$B$2="Zone 2"),'GCN_Clip 1.0'!H51,IF(AND($B$3="Clip",$B$2="Zone 3"),'GCN_Clip 1.0'!H52,IF(AND($B$3="Clip",$B$2="Zone 4"),'GCN_Clip 1.0'!H53,IF(AND($B$3="Clip",$B$2="Zone 5"),'GCN_Clip 1.0'!H54,IF(AND($B$3="Post",$B$2="Zone 1"),'GCN_Post 1.0'!J334,IF(AND($B$3="Post",$B$2="Zone 2"),'GCN_Post 1.0'!K334,IF(AND($B$3="Post",$B$2="Zone 3"),'GCN_Post 1.0'!N334,IF(AND($B$3="Post",$B$2="Zone 4"),'GCN_Post 1.0'!O334,IF(AND($B$3="Post",$B$2="Zone 5"),'GCN_Post 1.0'!P334,"ERROR")))))))))))))))))))</f>
        <v/>
      </c>
      <c r="AD220" s="27" t="str">
        <f t="shared" si="60"/>
        <v/>
      </c>
      <c r="AE220" t="str">
        <f t="shared" si="61"/>
        <v/>
      </c>
      <c r="AF220" t="str">
        <f t="shared" si="62"/>
        <v/>
      </c>
      <c r="AG220" t="str">
        <f t="shared" si="63"/>
        <v/>
      </c>
      <c r="AH220" t="str">
        <f t="shared" si="64"/>
        <v/>
      </c>
      <c r="AI220" t="str">
        <f t="shared" si="65"/>
        <v/>
      </c>
      <c r="AJ220" s="82" t="str">
        <f>IF(AND($B$3="Cantilever",$B$2="Zone 1"),'GCM_Cantilever 1.0'!$H411,IF(AND($B$3="Cantilever",$B$2="Zone 2"),'GCM_Cantilever 1.0'!L411,IF(AND($B$3="HalfTracker",$B$2="Zone 1"),'GCM_Halftracker 1.0'!G426,IF(AND($B$3="HalfTracker",$B$2="Zone 2"),'GCM_Halftracker 1.0'!K426,IF(AND($B$3="Purlin",$B$2="Zone 1"),'GCM_Purlin 1.0'!G481,IF(AND($B$3="Purlin",$B$2="Zone 2"),'GCM_Purlin 1.0'!O481,IF(AND($B$3="Purlin",$B$2="Zone 3"),'GCM_Purlin 1.0'!Z481,IF(AND($B$3="Purlin",$B$2="Zone 4"),'GCM_Purlin 1.0'!AH481,IF(AND($B$3="Purlin",$B$2="Zone 5"),'GCM_Purlin 1.0'!AS481,IF(AND($B$3="Clip",$B$2="Zone 1"),'GCN_Clip 1.0'!#REF!,IF(AND($B$3="Clip",$B$2="Zone 2"),'GCN_Clip 1.0'!#REF!,IF(AND($B$3="Clip",$B$2="Zone 3"),'GCN_Clip 1.0'!#REF!,IF(AND($B$3="Clip",$B$2="Zone 4"),'GCN_Clip 1.0'!#REF!,IF(AND($B$3="Clip",$B$2="Zone 5"),'GCN_Clip 1.0'!#REF!,IF(AND($B$3="Post",$B$2="Zone 1"),'GCN_Post 1.0'!Q334,IF(AND($B$3="Post",$B$2="Zone 2"),'GCN_Post 1.0'!R334,IF(AND($B$3="Post",$B$2="Zone 3"),'GCN_Post 1.0'!S334,IF(AND($B$3="Post",$B$2="Zone 4"),'GCN_Post 1.0'!T334,IF(AND($B$3="Post",$B$2="Zone 5"),'GCN_Post 1.0'!V334,"ERROR")))))))))))))))))))</f>
        <v/>
      </c>
      <c r="AL220" s="27" t="str">
        <f t="shared" si="66"/>
        <v/>
      </c>
      <c r="AM220" t="str">
        <f t="shared" si="67"/>
        <v/>
      </c>
      <c r="AN220" t="str">
        <f t="shared" si="68"/>
        <v/>
      </c>
      <c r="AO220" t="str">
        <f t="shared" si="69"/>
        <v/>
      </c>
      <c r="AP220" t="str">
        <f t="shared" si="70"/>
        <v/>
      </c>
      <c r="AQ220" t="str">
        <f t="shared" si="71"/>
        <v/>
      </c>
      <c r="AR220" s="82" t="str">
        <f>IF(AND($B$3="Cantilever",$B$2="Zone 1"),'GCM_Cantilever 1.0'!$I411,IF(AND($B$3="Cantilever",$B$2="Zone 2"),'GCM_Cantilever 1.0'!M411,IF(AND($B$3="HalfTracker",$B$2="Zone 1"),'GCM_Halftracker 1.0'!H426,IF(AND($B$3="HalfTracker",$B$2="Zone 2"),'GCM_Halftracker 1.0'!L426,IF(AND($B$3="Purlin",$B$2="Zone 1"),'GCM_Purlin 1.0'!H481,IF(AND($B$3="Purlin",$B$2="Zone 2"),'GCM_Purlin 1.0'!P481,IF(AND($B$3="Purlin",$B$2="Zone 3"),'GCM_Purlin 1.0'!AA481,IF(AND($B$3="Purlin",$B$2="Zone 4"),'GCM_Purlin 1.0'!AI481,IF(AND($B$3="Purlin",$B$2="Zone 5"),'GCM_Purlin 1.0'!AT481,IF(AND($B$3="Clip",$B$2="Zone 1"),'GCN_Clip 1.0'!#REF!,IF(AND($B$3="Clip",$B$2="Zone 2"),'GCN_Clip 1.0'!#REF!,IF(AND($B$3="Clip",$B$2="Zone 3"),'GCN_Clip 1.0'!#REF!,IF(AND($B$3="Clip",$B$2="Zone 4"),'GCN_Clip 1.0'!#REF!,IF(AND($B$3="Clip",$B$2="Zone 5"),'GCN_Clip 1.0'!#REF!,IF(AND($B$3="Post",$B$2="Zone 1"),'GCN_Post 1.0'!W334,IF(AND($B$3="Post",$B$2="Zone 2"),'GCN_Post 1.0'!X334,IF(AND($B$3="Post",$B$2="Zone 3"),'GCN_Post 1.0'!Y334,IF(AND($B$3="Post",$B$2="Zone 4"),'GCN_Post 1.0'!Z334,IF(AND($B$3="Post",$B$2="Zone 5"),'GCN_Post 1.0'!AA334,"ERROR")))))))))))))))))))</f>
        <v/>
      </c>
    </row>
    <row r="221" spans="6:44" x14ac:dyDescent="0.25">
      <c r="F221">
        <v>48</v>
      </c>
      <c r="G221" s="27" t="str">
        <f t="shared" si="44"/>
        <v/>
      </c>
      <c r="H221" t="str">
        <f t="shared" si="45"/>
        <v/>
      </c>
      <c r="I221" t="str">
        <f t="shared" si="46"/>
        <v/>
      </c>
      <c r="J221" s="28" t="str">
        <f t="shared" si="47"/>
        <v/>
      </c>
      <c r="M221">
        <v>48</v>
      </c>
      <c r="N221" s="27" t="str">
        <f t="shared" si="48"/>
        <v/>
      </c>
      <c r="O221" t="str">
        <f t="shared" si="49"/>
        <v/>
      </c>
      <c r="P221" t="str">
        <f t="shared" si="50"/>
        <v/>
      </c>
      <c r="Q221" t="str">
        <f t="shared" si="51"/>
        <v/>
      </c>
      <c r="R221" t="str">
        <f t="shared" si="52"/>
        <v/>
      </c>
      <c r="S221" t="str">
        <f t="shared" si="53"/>
        <v/>
      </c>
      <c r="T221" s="82" t="str">
        <f>IF(AND($B$3="Cantilever",$B$2="Zone 1"),'GCM_Cantilever 1.0'!$F412,IF(AND($B$3="Cantilever",$B$2="Zone 2"),'GCM_Cantilever 1.0'!J412,IF(AND($B$3="HalfTracker",$B$2="Zone 1"),'GCM_Halftracker 1.0'!E427,IF(AND($B$3="HalfTracker",$B$2="Zone 2"),'GCM_Halftracker 1.0'!I427,IF(AND($B$3="Purlin",$B$2="Zone 1"),'GCM_Purlin 1.0'!E482,IF(AND($B$3="Purlin",$B$2="Zone 2"),'GCM_Purlin 1.0'!M482,IF(AND($B$3="Purlin",$B$2="Zone 3"),'GCM_Purlin 1.0'!X482,IF(AND($B$3="Purlin",$B$2="Zone 4"),'GCM_Purlin 1.0'!AF482,IF(AND($B$3="Purlin",$B$2="Zone 5"),'GCM_Purlin 1.0'!AQ482,IF(AND($B$3="Clip",$B$2="Zone 1"),'GCN_Clip 1.0'!G51,IF(AND($B$3="Clip",$B$2="Zone 2"),'GCN_Clip 1.0'!C52,IF(AND($B$3="Clip",$B$2="Zone 3"),'GCN_Clip 1.0'!G53,IF(AND($B$3="Clip",$B$2="Zone 4"),'GCN_Clip 1.0'!G54,IF(AND($B$3="Clip",$B$2="Zone 5"),'GCN_Clip 1.0'!G55,IF(AND($B$3="Post",$B$2="Zone 1"),'GCN_Post 1.0'!E335,IF(AND($B$3="Post",$B$2="Zone 2"),'GCN_Post 1.0'!F335,IF(AND($B$3="Post",$B$2="Zone 3"),'GCN_Post 1.0'!G335,IF(AND($B$3="Post",$B$2="Zone 4"),'GCN_Post 1.0'!H335,IF(AND($B$3="Post",$B$2="Zone 5"),'GCN_Post 1.0'!I335,"ERROR")))))))))))))))))))</f>
        <v/>
      </c>
      <c r="V221" s="27" t="str">
        <f t="shared" si="54"/>
        <v/>
      </c>
      <c r="W221" t="str">
        <f t="shared" si="55"/>
        <v/>
      </c>
      <c r="X221" t="str">
        <f t="shared" si="56"/>
        <v/>
      </c>
      <c r="Y221" t="str">
        <f t="shared" si="57"/>
        <v/>
      </c>
      <c r="Z221" t="str">
        <f t="shared" si="58"/>
        <v/>
      </c>
      <c r="AA221" t="str">
        <f t="shared" si="59"/>
        <v/>
      </c>
      <c r="AB221" s="82" t="str">
        <f>IF(AND($B$3="Cantilever",$B$2="Zone 1"),'GCM_Cantilever 1.0'!$G412,IF(AND($B$3="Cantilever",$B$2="Zone 2"),'GCM_Cantilever 1.0'!K412,IF(AND($B$3="HalfTracker",$B$2="Zone 1"),'GCM_Halftracker 1.0'!F427,IF(AND($B$3="HalfTracker",$B$2="Zone 2"),'GCM_Halftracker 1.0'!J427,IF(AND($B$3="Purlin",$B$2="Zone 1"),'GCM_Purlin 1.0'!F482,IF(AND($B$3="Purlin",$B$2="Zone 2"),'GCM_Purlin 1.0'!N482,IF(AND($B$3="Purlin",$B$2="Zone 3"),'GCM_Purlin 1.0'!Y482,IF(AND($B$3="Purlin",$B$2="Zone 4"),'GCM_Purlin 1.0'!AG482,IF(AND($B$3="Purlin",$B$2="Zone 5"),'GCM_Purlin 1.0'!AR482,IF(AND($B$3="Clip",$B$2="Zone 1"),'GCN_Clip 1.0'!H51,IF(AND($B$3="Clip",$B$2="Zone 2"),'GCN_Clip 1.0'!H52,IF(AND($B$3="Clip",$B$2="Zone 3"),'GCN_Clip 1.0'!H53,IF(AND($B$3="Clip",$B$2="Zone 4"),'GCN_Clip 1.0'!H54,IF(AND($B$3="Clip",$B$2="Zone 5"),'GCN_Clip 1.0'!H55,IF(AND($B$3="Post",$B$2="Zone 1"),'GCN_Post 1.0'!J335,IF(AND($B$3="Post",$B$2="Zone 2"),'GCN_Post 1.0'!K335,IF(AND($B$3="Post",$B$2="Zone 3"),'GCN_Post 1.0'!N335,IF(AND($B$3="Post",$B$2="Zone 4"),'GCN_Post 1.0'!O335,IF(AND($B$3="Post",$B$2="Zone 5"),'GCN_Post 1.0'!P335,"ERROR")))))))))))))))))))</f>
        <v/>
      </c>
      <c r="AD221" s="27" t="str">
        <f t="shared" si="60"/>
        <v/>
      </c>
      <c r="AE221" t="str">
        <f t="shared" si="61"/>
        <v/>
      </c>
      <c r="AF221" t="str">
        <f t="shared" si="62"/>
        <v/>
      </c>
      <c r="AG221" t="str">
        <f t="shared" si="63"/>
        <v/>
      </c>
      <c r="AH221" t="str">
        <f t="shared" si="64"/>
        <v/>
      </c>
      <c r="AI221" t="str">
        <f t="shared" si="65"/>
        <v/>
      </c>
      <c r="AJ221" s="82" t="str">
        <f>IF(AND($B$3="Cantilever",$B$2="Zone 1"),'GCM_Cantilever 1.0'!$H412,IF(AND($B$3="Cantilever",$B$2="Zone 2"),'GCM_Cantilever 1.0'!L412,IF(AND($B$3="HalfTracker",$B$2="Zone 1"),'GCM_Halftracker 1.0'!G427,IF(AND($B$3="HalfTracker",$B$2="Zone 2"),'GCM_Halftracker 1.0'!K427,IF(AND($B$3="Purlin",$B$2="Zone 1"),'GCM_Purlin 1.0'!G482,IF(AND($B$3="Purlin",$B$2="Zone 2"),'GCM_Purlin 1.0'!O482,IF(AND($B$3="Purlin",$B$2="Zone 3"),'GCM_Purlin 1.0'!Z482,IF(AND($B$3="Purlin",$B$2="Zone 4"),'GCM_Purlin 1.0'!AH482,IF(AND($B$3="Purlin",$B$2="Zone 5"),'GCM_Purlin 1.0'!AS482,IF(AND($B$3="Clip",$B$2="Zone 1"),'GCN_Clip 1.0'!#REF!,IF(AND($B$3="Clip",$B$2="Zone 2"),'GCN_Clip 1.0'!#REF!,IF(AND($B$3="Clip",$B$2="Zone 3"),'GCN_Clip 1.0'!#REF!,IF(AND($B$3="Clip",$B$2="Zone 4"),'GCN_Clip 1.0'!#REF!,IF(AND($B$3="Clip",$B$2="Zone 5"),'GCN_Clip 1.0'!#REF!,IF(AND($B$3="Post",$B$2="Zone 1"),'GCN_Post 1.0'!Q335,IF(AND($B$3="Post",$B$2="Zone 2"),'GCN_Post 1.0'!R335,IF(AND($B$3="Post",$B$2="Zone 3"),'GCN_Post 1.0'!S335,IF(AND($B$3="Post",$B$2="Zone 4"),'GCN_Post 1.0'!T335,IF(AND($B$3="Post",$B$2="Zone 5"),'GCN_Post 1.0'!V335,"ERROR")))))))))))))))))))</f>
        <v/>
      </c>
      <c r="AL221" s="27" t="str">
        <f t="shared" si="66"/>
        <v/>
      </c>
      <c r="AM221" t="str">
        <f t="shared" si="67"/>
        <v/>
      </c>
      <c r="AN221" t="str">
        <f t="shared" si="68"/>
        <v/>
      </c>
      <c r="AO221" t="str">
        <f t="shared" si="69"/>
        <v/>
      </c>
      <c r="AP221" t="str">
        <f t="shared" si="70"/>
        <v/>
      </c>
      <c r="AQ221" t="str">
        <f t="shared" si="71"/>
        <v/>
      </c>
      <c r="AR221" s="82" t="str">
        <f>IF(AND($B$3="Cantilever",$B$2="Zone 1"),'GCM_Cantilever 1.0'!$I412,IF(AND($B$3="Cantilever",$B$2="Zone 2"),'GCM_Cantilever 1.0'!M412,IF(AND($B$3="HalfTracker",$B$2="Zone 1"),'GCM_Halftracker 1.0'!H427,IF(AND($B$3="HalfTracker",$B$2="Zone 2"),'GCM_Halftracker 1.0'!L427,IF(AND($B$3="Purlin",$B$2="Zone 1"),'GCM_Purlin 1.0'!H482,IF(AND($B$3="Purlin",$B$2="Zone 2"),'GCM_Purlin 1.0'!P482,IF(AND($B$3="Purlin",$B$2="Zone 3"),'GCM_Purlin 1.0'!AA482,IF(AND($B$3="Purlin",$B$2="Zone 4"),'GCM_Purlin 1.0'!AI482,IF(AND($B$3="Purlin",$B$2="Zone 5"),'GCM_Purlin 1.0'!AT482,IF(AND($B$3="Clip",$B$2="Zone 1"),'GCN_Clip 1.0'!#REF!,IF(AND($B$3="Clip",$B$2="Zone 2"),'GCN_Clip 1.0'!#REF!,IF(AND($B$3="Clip",$B$2="Zone 3"),'GCN_Clip 1.0'!#REF!,IF(AND($B$3="Clip",$B$2="Zone 4"),'GCN_Clip 1.0'!#REF!,IF(AND($B$3="Clip",$B$2="Zone 5"),'GCN_Clip 1.0'!#REF!,IF(AND($B$3="Post",$B$2="Zone 1"),'GCN_Post 1.0'!W335,IF(AND($B$3="Post",$B$2="Zone 2"),'GCN_Post 1.0'!X335,IF(AND($B$3="Post",$B$2="Zone 3"),'GCN_Post 1.0'!Y335,IF(AND($B$3="Post",$B$2="Zone 4"),'GCN_Post 1.0'!Z335,IF(AND($B$3="Post",$B$2="Zone 5"),'GCN_Post 1.0'!AA335,"ERROR")))))))))))))))))))</f>
        <v/>
      </c>
    </row>
    <row r="222" spans="6:44" x14ac:dyDescent="0.25">
      <c r="F222">
        <v>49</v>
      </c>
      <c r="G222" s="27" t="str">
        <f t="shared" si="44"/>
        <v/>
      </c>
      <c r="H222" t="str">
        <f t="shared" si="45"/>
        <v/>
      </c>
      <c r="I222" t="str">
        <f t="shared" si="46"/>
        <v/>
      </c>
      <c r="J222" s="28" t="str">
        <f t="shared" si="47"/>
        <v/>
      </c>
      <c r="M222">
        <v>49</v>
      </c>
      <c r="N222" s="27" t="str">
        <f t="shared" si="48"/>
        <v/>
      </c>
      <c r="O222" t="str">
        <f t="shared" si="49"/>
        <v/>
      </c>
      <c r="P222" t="str">
        <f t="shared" si="50"/>
        <v/>
      </c>
      <c r="Q222" t="str">
        <f t="shared" si="51"/>
        <v/>
      </c>
      <c r="R222" t="str">
        <f t="shared" si="52"/>
        <v/>
      </c>
      <c r="S222" t="str">
        <f t="shared" si="53"/>
        <v/>
      </c>
      <c r="T222" s="82" t="str">
        <f>IF(AND($B$3="Cantilever",$B$2="Zone 1"),'GCM_Cantilever 1.0'!$F413,IF(AND($B$3="Cantilever",$B$2="Zone 2"),'GCM_Cantilever 1.0'!J413,IF(AND($B$3="HalfTracker",$B$2="Zone 1"),'GCM_Halftracker 1.0'!E428,IF(AND($B$3="HalfTracker",$B$2="Zone 2"),'GCM_Halftracker 1.0'!I428,IF(AND($B$3="Purlin",$B$2="Zone 1"),'GCM_Purlin 1.0'!E483,IF(AND($B$3="Purlin",$B$2="Zone 2"),'GCM_Purlin 1.0'!M483,IF(AND($B$3="Purlin",$B$2="Zone 3"),'GCM_Purlin 1.0'!X483,IF(AND($B$3="Purlin",$B$2="Zone 4"),'GCM_Purlin 1.0'!AF483,IF(AND($B$3="Purlin",$B$2="Zone 5"),'GCM_Purlin 1.0'!AQ483,IF(AND($B$3="Clip",$B$2="Zone 1"),'GCN_Clip 1.0'!G52,IF(AND($B$3="Clip",$B$2="Zone 2"),'GCN_Clip 1.0'!C53,IF(AND($B$3="Clip",$B$2="Zone 3"),'GCN_Clip 1.0'!G54,IF(AND($B$3="Clip",$B$2="Zone 4"),'GCN_Clip 1.0'!G55,IF(AND($B$3="Clip",$B$2="Zone 5"),'GCN_Clip 1.0'!G56,IF(AND($B$3="Post",$B$2="Zone 1"),'GCN_Post 1.0'!E336,IF(AND($B$3="Post",$B$2="Zone 2"),'GCN_Post 1.0'!F336,IF(AND($B$3="Post",$B$2="Zone 3"),'GCN_Post 1.0'!G336,IF(AND($B$3="Post",$B$2="Zone 4"),'GCN_Post 1.0'!H336,IF(AND($B$3="Post",$B$2="Zone 5"),'GCN_Post 1.0'!I336,"ERROR")))))))))))))))))))</f>
        <v/>
      </c>
      <c r="V222" s="27" t="str">
        <f t="shared" si="54"/>
        <v/>
      </c>
      <c r="W222" t="str">
        <f t="shared" si="55"/>
        <v/>
      </c>
      <c r="X222" t="str">
        <f t="shared" si="56"/>
        <v/>
      </c>
      <c r="Y222" t="str">
        <f t="shared" si="57"/>
        <v/>
      </c>
      <c r="Z222" t="str">
        <f t="shared" si="58"/>
        <v/>
      </c>
      <c r="AA222" t="str">
        <f t="shared" si="59"/>
        <v/>
      </c>
      <c r="AB222" s="82" t="str">
        <f>IF(AND($B$3="Cantilever",$B$2="Zone 1"),'GCM_Cantilever 1.0'!$G413,IF(AND($B$3="Cantilever",$B$2="Zone 2"),'GCM_Cantilever 1.0'!K413,IF(AND($B$3="HalfTracker",$B$2="Zone 1"),'GCM_Halftracker 1.0'!F428,IF(AND($B$3="HalfTracker",$B$2="Zone 2"),'GCM_Halftracker 1.0'!J428,IF(AND($B$3="Purlin",$B$2="Zone 1"),'GCM_Purlin 1.0'!F483,IF(AND($B$3="Purlin",$B$2="Zone 2"),'GCM_Purlin 1.0'!N483,IF(AND($B$3="Purlin",$B$2="Zone 3"),'GCM_Purlin 1.0'!Y483,IF(AND($B$3="Purlin",$B$2="Zone 4"),'GCM_Purlin 1.0'!AG483,IF(AND($B$3="Purlin",$B$2="Zone 5"),'GCM_Purlin 1.0'!AR483,IF(AND($B$3="Clip",$B$2="Zone 1"),'GCN_Clip 1.0'!H52,IF(AND($B$3="Clip",$B$2="Zone 2"),'GCN_Clip 1.0'!H53,IF(AND($B$3="Clip",$B$2="Zone 3"),'GCN_Clip 1.0'!H54,IF(AND($B$3="Clip",$B$2="Zone 4"),'GCN_Clip 1.0'!H55,IF(AND($B$3="Clip",$B$2="Zone 5"),'GCN_Clip 1.0'!H56,IF(AND($B$3="Post",$B$2="Zone 1"),'GCN_Post 1.0'!J336,IF(AND($B$3="Post",$B$2="Zone 2"),'GCN_Post 1.0'!K336,IF(AND($B$3="Post",$B$2="Zone 3"),'GCN_Post 1.0'!N336,IF(AND($B$3="Post",$B$2="Zone 4"),'GCN_Post 1.0'!O336,IF(AND($B$3="Post",$B$2="Zone 5"),'GCN_Post 1.0'!P336,"ERROR")))))))))))))))))))</f>
        <v/>
      </c>
      <c r="AD222" s="27" t="str">
        <f t="shared" si="60"/>
        <v/>
      </c>
      <c r="AE222" t="str">
        <f t="shared" si="61"/>
        <v/>
      </c>
      <c r="AF222" t="str">
        <f t="shared" si="62"/>
        <v/>
      </c>
      <c r="AG222" t="str">
        <f t="shared" si="63"/>
        <v/>
      </c>
      <c r="AH222" t="str">
        <f t="shared" si="64"/>
        <v/>
      </c>
      <c r="AI222" t="str">
        <f t="shared" si="65"/>
        <v/>
      </c>
      <c r="AJ222" s="82" t="str">
        <f>IF(AND($B$3="Cantilever",$B$2="Zone 1"),'GCM_Cantilever 1.0'!$H413,IF(AND($B$3="Cantilever",$B$2="Zone 2"),'GCM_Cantilever 1.0'!L413,IF(AND($B$3="HalfTracker",$B$2="Zone 1"),'GCM_Halftracker 1.0'!G428,IF(AND($B$3="HalfTracker",$B$2="Zone 2"),'GCM_Halftracker 1.0'!K428,IF(AND($B$3="Purlin",$B$2="Zone 1"),'GCM_Purlin 1.0'!G483,IF(AND($B$3="Purlin",$B$2="Zone 2"),'GCM_Purlin 1.0'!O483,IF(AND($B$3="Purlin",$B$2="Zone 3"),'GCM_Purlin 1.0'!Z483,IF(AND($B$3="Purlin",$B$2="Zone 4"),'GCM_Purlin 1.0'!AH483,IF(AND($B$3="Purlin",$B$2="Zone 5"),'GCM_Purlin 1.0'!AS483,IF(AND($B$3="Clip",$B$2="Zone 1"),'GCN_Clip 1.0'!#REF!,IF(AND($B$3="Clip",$B$2="Zone 2"),'GCN_Clip 1.0'!#REF!,IF(AND($B$3="Clip",$B$2="Zone 3"),'GCN_Clip 1.0'!#REF!,IF(AND($B$3="Clip",$B$2="Zone 4"),'GCN_Clip 1.0'!#REF!,IF(AND($B$3="Clip",$B$2="Zone 5"),'GCN_Clip 1.0'!#REF!,IF(AND($B$3="Post",$B$2="Zone 1"),'GCN_Post 1.0'!Q336,IF(AND($B$3="Post",$B$2="Zone 2"),'GCN_Post 1.0'!R336,IF(AND($B$3="Post",$B$2="Zone 3"),'GCN_Post 1.0'!S336,IF(AND($B$3="Post",$B$2="Zone 4"),'GCN_Post 1.0'!T336,IF(AND($B$3="Post",$B$2="Zone 5"),'GCN_Post 1.0'!V336,"ERROR")))))))))))))))))))</f>
        <v/>
      </c>
      <c r="AL222" s="27" t="str">
        <f t="shared" si="66"/>
        <v/>
      </c>
      <c r="AM222" t="str">
        <f t="shared" si="67"/>
        <v/>
      </c>
      <c r="AN222" t="str">
        <f t="shared" si="68"/>
        <v/>
      </c>
      <c r="AO222" t="str">
        <f t="shared" si="69"/>
        <v/>
      </c>
      <c r="AP222" t="str">
        <f t="shared" si="70"/>
        <v/>
      </c>
      <c r="AQ222" t="str">
        <f t="shared" si="71"/>
        <v/>
      </c>
      <c r="AR222" s="82" t="str">
        <f>IF(AND($B$3="Cantilever",$B$2="Zone 1"),'GCM_Cantilever 1.0'!$I413,IF(AND($B$3="Cantilever",$B$2="Zone 2"),'GCM_Cantilever 1.0'!M413,IF(AND($B$3="HalfTracker",$B$2="Zone 1"),'GCM_Halftracker 1.0'!H428,IF(AND($B$3="HalfTracker",$B$2="Zone 2"),'GCM_Halftracker 1.0'!L428,IF(AND($B$3="Purlin",$B$2="Zone 1"),'GCM_Purlin 1.0'!H483,IF(AND($B$3="Purlin",$B$2="Zone 2"),'GCM_Purlin 1.0'!P483,IF(AND($B$3="Purlin",$B$2="Zone 3"),'GCM_Purlin 1.0'!AA483,IF(AND($B$3="Purlin",$B$2="Zone 4"),'GCM_Purlin 1.0'!AI483,IF(AND($B$3="Purlin",$B$2="Zone 5"),'GCM_Purlin 1.0'!AT483,IF(AND($B$3="Clip",$B$2="Zone 1"),'GCN_Clip 1.0'!#REF!,IF(AND($B$3="Clip",$B$2="Zone 2"),'GCN_Clip 1.0'!#REF!,IF(AND($B$3="Clip",$B$2="Zone 3"),'GCN_Clip 1.0'!#REF!,IF(AND($B$3="Clip",$B$2="Zone 4"),'GCN_Clip 1.0'!#REF!,IF(AND($B$3="Clip",$B$2="Zone 5"),'GCN_Clip 1.0'!#REF!,IF(AND($B$3="Post",$B$2="Zone 1"),'GCN_Post 1.0'!W336,IF(AND($B$3="Post",$B$2="Zone 2"),'GCN_Post 1.0'!X336,IF(AND($B$3="Post",$B$2="Zone 3"),'GCN_Post 1.0'!Y336,IF(AND($B$3="Post",$B$2="Zone 4"),'GCN_Post 1.0'!Z336,IF(AND($B$3="Post",$B$2="Zone 5"),'GCN_Post 1.0'!AA336,"ERROR")))))))))))))))))))</f>
        <v/>
      </c>
    </row>
    <row r="223" spans="6:44" x14ac:dyDescent="0.25">
      <c r="F223">
        <v>50</v>
      </c>
      <c r="G223" s="27" t="str">
        <f t="shared" si="44"/>
        <v/>
      </c>
      <c r="H223" t="str">
        <f t="shared" si="45"/>
        <v/>
      </c>
      <c r="I223" t="str">
        <f t="shared" si="46"/>
        <v/>
      </c>
      <c r="J223" s="28" t="str">
        <f t="shared" si="47"/>
        <v/>
      </c>
      <c r="M223">
        <v>50</v>
      </c>
      <c r="N223" s="27" t="str">
        <f t="shared" si="48"/>
        <v/>
      </c>
      <c r="O223" t="str">
        <f t="shared" si="49"/>
        <v/>
      </c>
      <c r="P223" t="str">
        <f t="shared" si="50"/>
        <v/>
      </c>
      <c r="Q223" t="str">
        <f t="shared" si="51"/>
        <v/>
      </c>
      <c r="R223" t="str">
        <f t="shared" si="52"/>
        <v/>
      </c>
      <c r="S223" t="str">
        <f t="shared" si="53"/>
        <v/>
      </c>
      <c r="T223" s="82" t="str">
        <f>IF(AND($B$3="Cantilever",$B$2="Zone 1"),'GCM_Cantilever 1.0'!$F414,IF(AND($B$3="Cantilever",$B$2="Zone 2"),'GCM_Cantilever 1.0'!J414,IF(AND($B$3="HalfTracker",$B$2="Zone 1"),'GCM_Halftracker 1.0'!E429,IF(AND($B$3="HalfTracker",$B$2="Zone 2"),'GCM_Halftracker 1.0'!I429,IF(AND($B$3="Purlin",$B$2="Zone 1"),'GCM_Purlin 1.0'!E484,IF(AND($B$3="Purlin",$B$2="Zone 2"),'GCM_Purlin 1.0'!M484,IF(AND($B$3="Purlin",$B$2="Zone 3"),'GCM_Purlin 1.0'!X484,IF(AND($B$3="Purlin",$B$2="Zone 4"),'GCM_Purlin 1.0'!AF484,IF(AND($B$3="Purlin",$B$2="Zone 5"),'GCM_Purlin 1.0'!AQ484,IF(AND($B$3="Clip",$B$2="Zone 1"),'GCN_Clip 1.0'!G53,IF(AND($B$3="Clip",$B$2="Zone 2"),'GCN_Clip 1.0'!C54,IF(AND($B$3="Clip",$B$2="Zone 3"),'GCN_Clip 1.0'!G55,IF(AND($B$3="Clip",$B$2="Zone 4"),'GCN_Clip 1.0'!G56,IF(AND($B$3="Clip",$B$2="Zone 5"),'GCN_Clip 1.0'!G57,IF(AND($B$3="Post",$B$2="Zone 1"),'GCN_Post 1.0'!E337,IF(AND($B$3="Post",$B$2="Zone 2"),'GCN_Post 1.0'!F337,IF(AND($B$3="Post",$B$2="Zone 3"),'GCN_Post 1.0'!G337,IF(AND($B$3="Post",$B$2="Zone 4"),'GCN_Post 1.0'!H337,IF(AND($B$3="Post",$B$2="Zone 5"),'GCN_Post 1.0'!I337,"ERROR")))))))))))))))))))</f>
        <v/>
      </c>
      <c r="V223" s="27" t="str">
        <f t="shared" si="54"/>
        <v/>
      </c>
      <c r="W223" t="str">
        <f t="shared" si="55"/>
        <v/>
      </c>
      <c r="X223" t="str">
        <f t="shared" si="56"/>
        <v/>
      </c>
      <c r="Y223" t="str">
        <f t="shared" si="57"/>
        <v/>
      </c>
      <c r="Z223" t="str">
        <f t="shared" si="58"/>
        <v/>
      </c>
      <c r="AA223" t="str">
        <f t="shared" si="59"/>
        <v/>
      </c>
      <c r="AB223" s="82" t="str">
        <f>IF(AND($B$3="Cantilever",$B$2="Zone 1"),'GCM_Cantilever 1.0'!$G414,IF(AND($B$3="Cantilever",$B$2="Zone 2"),'GCM_Cantilever 1.0'!K414,IF(AND($B$3="HalfTracker",$B$2="Zone 1"),'GCM_Halftracker 1.0'!F429,IF(AND($B$3="HalfTracker",$B$2="Zone 2"),'GCM_Halftracker 1.0'!J429,IF(AND($B$3="Purlin",$B$2="Zone 1"),'GCM_Purlin 1.0'!F484,IF(AND($B$3="Purlin",$B$2="Zone 2"),'GCM_Purlin 1.0'!N484,IF(AND($B$3="Purlin",$B$2="Zone 3"),'GCM_Purlin 1.0'!Y484,IF(AND($B$3="Purlin",$B$2="Zone 4"),'GCM_Purlin 1.0'!AG484,IF(AND($B$3="Purlin",$B$2="Zone 5"),'GCM_Purlin 1.0'!AR484,IF(AND($B$3="Clip",$B$2="Zone 1"),'GCN_Clip 1.0'!H53,IF(AND($B$3="Clip",$B$2="Zone 2"),'GCN_Clip 1.0'!H54,IF(AND($B$3="Clip",$B$2="Zone 3"),'GCN_Clip 1.0'!H55,IF(AND($B$3="Clip",$B$2="Zone 4"),'GCN_Clip 1.0'!H56,IF(AND($B$3="Clip",$B$2="Zone 5"),'GCN_Clip 1.0'!H57,IF(AND($B$3="Post",$B$2="Zone 1"),'GCN_Post 1.0'!J337,IF(AND($B$3="Post",$B$2="Zone 2"),'GCN_Post 1.0'!K337,IF(AND($B$3="Post",$B$2="Zone 3"),'GCN_Post 1.0'!N337,IF(AND($B$3="Post",$B$2="Zone 4"),'GCN_Post 1.0'!O337,IF(AND($B$3="Post",$B$2="Zone 5"),'GCN_Post 1.0'!P337,"ERROR")))))))))))))))))))</f>
        <v/>
      </c>
      <c r="AD223" s="27" t="str">
        <f t="shared" si="60"/>
        <v/>
      </c>
      <c r="AE223" t="str">
        <f t="shared" si="61"/>
        <v/>
      </c>
      <c r="AF223" t="str">
        <f t="shared" si="62"/>
        <v/>
      </c>
      <c r="AG223" t="str">
        <f t="shared" si="63"/>
        <v/>
      </c>
      <c r="AH223" t="str">
        <f t="shared" si="64"/>
        <v/>
      </c>
      <c r="AI223" t="str">
        <f t="shared" si="65"/>
        <v/>
      </c>
      <c r="AJ223" s="82" t="str">
        <f>IF(AND($B$3="Cantilever",$B$2="Zone 1"),'GCM_Cantilever 1.0'!$H414,IF(AND($B$3="Cantilever",$B$2="Zone 2"),'GCM_Cantilever 1.0'!L414,IF(AND($B$3="HalfTracker",$B$2="Zone 1"),'GCM_Halftracker 1.0'!G429,IF(AND($B$3="HalfTracker",$B$2="Zone 2"),'GCM_Halftracker 1.0'!K429,IF(AND($B$3="Purlin",$B$2="Zone 1"),'GCM_Purlin 1.0'!G484,IF(AND($B$3="Purlin",$B$2="Zone 2"),'GCM_Purlin 1.0'!O484,IF(AND($B$3="Purlin",$B$2="Zone 3"),'GCM_Purlin 1.0'!Z484,IF(AND($B$3="Purlin",$B$2="Zone 4"),'GCM_Purlin 1.0'!AH484,IF(AND($B$3="Purlin",$B$2="Zone 5"),'GCM_Purlin 1.0'!AS484,IF(AND($B$3="Clip",$B$2="Zone 1"),'GCN_Clip 1.0'!#REF!,IF(AND($B$3="Clip",$B$2="Zone 2"),'GCN_Clip 1.0'!#REF!,IF(AND($B$3="Clip",$B$2="Zone 3"),'GCN_Clip 1.0'!#REF!,IF(AND($B$3="Clip",$B$2="Zone 4"),'GCN_Clip 1.0'!#REF!,IF(AND($B$3="Clip",$B$2="Zone 5"),'GCN_Clip 1.0'!#REF!,IF(AND($B$3="Post",$B$2="Zone 1"),'GCN_Post 1.0'!Q337,IF(AND($B$3="Post",$B$2="Zone 2"),'GCN_Post 1.0'!R337,IF(AND($B$3="Post",$B$2="Zone 3"),'GCN_Post 1.0'!S337,IF(AND($B$3="Post",$B$2="Zone 4"),'GCN_Post 1.0'!T337,IF(AND($B$3="Post",$B$2="Zone 5"),'GCN_Post 1.0'!V337,"ERROR")))))))))))))))))))</f>
        <v/>
      </c>
      <c r="AL223" s="27" t="str">
        <f t="shared" si="66"/>
        <v/>
      </c>
      <c r="AM223" t="str">
        <f t="shared" si="67"/>
        <v/>
      </c>
      <c r="AN223" t="str">
        <f t="shared" si="68"/>
        <v/>
      </c>
      <c r="AO223" t="str">
        <f t="shared" si="69"/>
        <v/>
      </c>
      <c r="AP223" t="str">
        <f t="shared" si="70"/>
        <v/>
      </c>
      <c r="AQ223" t="str">
        <f t="shared" si="71"/>
        <v/>
      </c>
      <c r="AR223" s="82" t="str">
        <f>IF(AND($B$3="Cantilever",$B$2="Zone 1"),'GCM_Cantilever 1.0'!$I414,IF(AND($B$3="Cantilever",$B$2="Zone 2"),'GCM_Cantilever 1.0'!M414,IF(AND($B$3="HalfTracker",$B$2="Zone 1"),'GCM_Halftracker 1.0'!H429,IF(AND($B$3="HalfTracker",$B$2="Zone 2"),'GCM_Halftracker 1.0'!L429,IF(AND($B$3="Purlin",$B$2="Zone 1"),'GCM_Purlin 1.0'!H484,IF(AND($B$3="Purlin",$B$2="Zone 2"),'GCM_Purlin 1.0'!P484,IF(AND($B$3="Purlin",$B$2="Zone 3"),'GCM_Purlin 1.0'!AA484,IF(AND($B$3="Purlin",$B$2="Zone 4"),'GCM_Purlin 1.0'!AI484,IF(AND($B$3="Purlin",$B$2="Zone 5"),'GCM_Purlin 1.0'!AT484,IF(AND($B$3="Clip",$B$2="Zone 1"),'GCN_Clip 1.0'!#REF!,IF(AND($B$3="Clip",$B$2="Zone 2"),'GCN_Clip 1.0'!#REF!,IF(AND($B$3="Clip",$B$2="Zone 3"),'GCN_Clip 1.0'!#REF!,IF(AND($B$3="Clip",$B$2="Zone 4"),'GCN_Clip 1.0'!#REF!,IF(AND($B$3="Clip",$B$2="Zone 5"),'GCN_Clip 1.0'!#REF!,IF(AND($B$3="Post",$B$2="Zone 1"),'GCN_Post 1.0'!W337,IF(AND($B$3="Post",$B$2="Zone 2"),'GCN_Post 1.0'!X337,IF(AND($B$3="Post",$B$2="Zone 3"),'GCN_Post 1.0'!Y337,IF(AND($B$3="Post",$B$2="Zone 4"),'GCN_Post 1.0'!Z337,IF(AND($B$3="Post",$B$2="Zone 5"),'GCN_Post 1.0'!AA337,"ERROR")))))))))))))))))))</f>
        <v/>
      </c>
    </row>
    <row r="224" spans="6:44" x14ac:dyDescent="0.25">
      <c r="F224">
        <v>51</v>
      </c>
      <c r="G224" s="27" t="str">
        <f t="shared" si="44"/>
        <v/>
      </c>
      <c r="H224" t="str">
        <f t="shared" si="45"/>
        <v/>
      </c>
      <c r="I224" t="str">
        <f t="shared" si="46"/>
        <v/>
      </c>
      <c r="J224" s="28" t="str">
        <f t="shared" si="47"/>
        <v/>
      </c>
      <c r="M224">
        <v>51</v>
      </c>
      <c r="N224" s="27" t="str">
        <f t="shared" si="48"/>
        <v/>
      </c>
      <c r="O224" t="str">
        <f t="shared" si="49"/>
        <v/>
      </c>
      <c r="P224" t="str">
        <f t="shared" si="50"/>
        <v/>
      </c>
      <c r="Q224" t="str">
        <f t="shared" si="51"/>
        <v/>
      </c>
      <c r="R224" t="str">
        <f t="shared" si="52"/>
        <v/>
      </c>
      <c r="S224" t="str">
        <f t="shared" si="53"/>
        <v/>
      </c>
      <c r="T224" s="82" t="str">
        <f>IF(AND($B$3="Cantilever",$B$2="Zone 1"),'GCM_Cantilever 1.0'!$F415,IF(AND($B$3="Cantilever",$B$2="Zone 2"),'GCM_Cantilever 1.0'!J415,IF(AND($B$3="HalfTracker",$B$2="Zone 1"),'GCM_Halftracker 1.0'!E430,IF(AND($B$3="HalfTracker",$B$2="Zone 2"),'GCM_Halftracker 1.0'!I430,IF(AND($B$3="Purlin",$B$2="Zone 1"),'GCM_Purlin 1.0'!E485,IF(AND($B$3="Purlin",$B$2="Zone 2"),'GCM_Purlin 1.0'!M485,IF(AND($B$3="Purlin",$B$2="Zone 3"),'GCM_Purlin 1.0'!X485,IF(AND($B$3="Purlin",$B$2="Zone 4"),'GCM_Purlin 1.0'!AF485,IF(AND($B$3="Purlin",$B$2="Zone 5"),'GCM_Purlin 1.0'!AQ485,IF(AND($B$3="Clip",$B$2="Zone 1"),'GCN_Clip 1.0'!G54,IF(AND($B$3="Clip",$B$2="Zone 2"),'GCN_Clip 1.0'!C55,IF(AND($B$3="Clip",$B$2="Zone 3"),'GCN_Clip 1.0'!G56,IF(AND($B$3="Clip",$B$2="Zone 4"),'GCN_Clip 1.0'!G57,IF(AND($B$3="Clip",$B$2="Zone 5"),'GCN_Clip 1.0'!G58,IF(AND($B$3="Post",$B$2="Zone 1"),'GCN_Post 1.0'!E338,IF(AND($B$3="Post",$B$2="Zone 2"),'GCN_Post 1.0'!F338,IF(AND($B$3="Post",$B$2="Zone 3"),'GCN_Post 1.0'!G338,IF(AND($B$3="Post",$B$2="Zone 4"),'GCN_Post 1.0'!H338,IF(AND($B$3="Post",$B$2="Zone 5"),'GCN_Post 1.0'!I338,"ERROR")))))))))))))))))))</f>
        <v/>
      </c>
      <c r="V224" s="27" t="str">
        <f t="shared" si="54"/>
        <v/>
      </c>
      <c r="W224" t="str">
        <f t="shared" si="55"/>
        <v/>
      </c>
      <c r="X224" t="str">
        <f t="shared" si="56"/>
        <v/>
      </c>
      <c r="Y224" t="str">
        <f t="shared" si="57"/>
        <v/>
      </c>
      <c r="Z224" t="str">
        <f t="shared" si="58"/>
        <v/>
      </c>
      <c r="AA224" t="str">
        <f t="shared" si="59"/>
        <v/>
      </c>
      <c r="AB224" s="82" t="str">
        <f>IF(AND($B$3="Cantilever",$B$2="Zone 1"),'GCM_Cantilever 1.0'!$G415,IF(AND($B$3="Cantilever",$B$2="Zone 2"),'GCM_Cantilever 1.0'!K415,IF(AND($B$3="HalfTracker",$B$2="Zone 1"),'GCM_Halftracker 1.0'!F430,IF(AND($B$3="HalfTracker",$B$2="Zone 2"),'GCM_Halftracker 1.0'!J430,IF(AND($B$3="Purlin",$B$2="Zone 1"),'GCM_Purlin 1.0'!F485,IF(AND($B$3="Purlin",$B$2="Zone 2"),'GCM_Purlin 1.0'!N485,IF(AND($B$3="Purlin",$B$2="Zone 3"),'GCM_Purlin 1.0'!Y485,IF(AND($B$3="Purlin",$B$2="Zone 4"),'GCM_Purlin 1.0'!AG485,IF(AND($B$3="Purlin",$B$2="Zone 5"),'GCM_Purlin 1.0'!AR485,IF(AND($B$3="Clip",$B$2="Zone 1"),'GCN_Clip 1.0'!H54,IF(AND($B$3="Clip",$B$2="Zone 2"),'GCN_Clip 1.0'!H55,IF(AND($B$3="Clip",$B$2="Zone 3"),'GCN_Clip 1.0'!H56,IF(AND($B$3="Clip",$B$2="Zone 4"),'GCN_Clip 1.0'!H57,IF(AND($B$3="Clip",$B$2="Zone 5"),'GCN_Clip 1.0'!H58,IF(AND($B$3="Post",$B$2="Zone 1"),'GCN_Post 1.0'!J338,IF(AND($B$3="Post",$B$2="Zone 2"),'GCN_Post 1.0'!K338,IF(AND($B$3="Post",$B$2="Zone 3"),'GCN_Post 1.0'!N338,IF(AND($B$3="Post",$B$2="Zone 4"),'GCN_Post 1.0'!O338,IF(AND($B$3="Post",$B$2="Zone 5"),'GCN_Post 1.0'!P338,"ERROR")))))))))))))))))))</f>
        <v/>
      </c>
      <c r="AD224" s="27" t="str">
        <f t="shared" si="60"/>
        <v/>
      </c>
      <c r="AE224" t="str">
        <f t="shared" si="61"/>
        <v/>
      </c>
      <c r="AF224" t="str">
        <f t="shared" si="62"/>
        <v/>
      </c>
      <c r="AG224" t="str">
        <f t="shared" si="63"/>
        <v/>
      </c>
      <c r="AH224" t="str">
        <f t="shared" si="64"/>
        <v/>
      </c>
      <c r="AI224" t="str">
        <f t="shared" si="65"/>
        <v/>
      </c>
      <c r="AJ224" s="82" t="str">
        <f>IF(AND($B$3="Cantilever",$B$2="Zone 1"),'GCM_Cantilever 1.0'!$H415,IF(AND($B$3="Cantilever",$B$2="Zone 2"),'GCM_Cantilever 1.0'!L415,IF(AND($B$3="HalfTracker",$B$2="Zone 1"),'GCM_Halftracker 1.0'!G430,IF(AND($B$3="HalfTracker",$B$2="Zone 2"),'GCM_Halftracker 1.0'!K430,IF(AND($B$3="Purlin",$B$2="Zone 1"),'GCM_Purlin 1.0'!G485,IF(AND($B$3="Purlin",$B$2="Zone 2"),'GCM_Purlin 1.0'!O485,IF(AND($B$3="Purlin",$B$2="Zone 3"),'GCM_Purlin 1.0'!Z485,IF(AND($B$3="Purlin",$B$2="Zone 4"),'GCM_Purlin 1.0'!AH485,IF(AND($B$3="Purlin",$B$2="Zone 5"),'GCM_Purlin 1.0'!AS485,IF(AND($B$3="Clip",$B$2="Zone 1"),'GCN_Clip 1.0'!#REF!,IF(AND($B$3="Clip",$B$2="Zone 2"),'GCN_Clip 1.0'!#REF!,IF(AND($B$3="Clip",$B$2="Zone 3"),'GCN_Clip 1.0'!#REF!,IF(AND($B$3="Clip",$B$2="Zone 4"),'GCN_Clip 1.0'!#REF!,IF(AND($B$3="Clip",$B$2="Zone 5"),'GCN_Clip 1.0'!#REF!,IF(AND($B$3="Post",$B$2="Zone 1"),'GCN_Post 1.0'!Q338,IF(AND($B$3="Post",$B$2="Zone 2"),'GCN_Post 1.0'!R338,IF(AND($B$3="Post",$B$2="Zone 3"),'GCN_Post 1.0'!S338,IF(AND($B$3="Post",$B$2="Zone 4"),'GCN_Post 1.0'!T338,IF(AND($B$3="Post",$B$2="Zone 5"),'GCN_Post 1.0'!V338,"ERROR")))))))))))))))))))</f>
        <v/>
      </c>
      <c r="AL224" s="27" t="str">
        <f t="shared" si="66"/>
        <v/>
      </c>
      <c r="AM224" t="str">
        <f t="shared" si="67"/>
        <v/>
      </c>
      <c r="AN224" t="str">
        <f t="shared" si="68"/>
        <v/>
      </c>
      <c r="AO224" t="str">
        <f t="shared" si="69"/>
        <v/>
      </c>
      <c r="AP224" t="str">
        <f t="shared" si="70"/>
        <v/>
      </c>
      <c r="AQ224" t="str">
        <f t="shared" si="71"/>
        <v/>
      </c>
      <c r="AR224" s="82" t="str">
        <f>IF(AND($B$3="Cantilever",$B$2="Zone 1"),'GCM_Cantilever 1.0'!$I415,IF(AND($B$3="Cantilever",$B$2="Zone 2"),'GCM_Cantilever 1.0'!M415,IF(AND($B$3="HalfTracker",$B$2="Zone 1"),'GCM_Halftracker 1.0'!H430,IF(AND($B$3="HalfTracker",$B$2="Zone 2"),'GCM_Halftracker 1.0'!L430,IF(AND($B$3="Purlin",$B$2="Zone 1"),'GCM_Purlin 1.0'!H485,IF(AND($B$3="Purlin",$B$2="Zone 2"),'GCM_Purlin 1.0'!P485,IF(AND($B$3="Purlin",$B$2="Zone 3"),'GCM_Purlin 1.0'!AA485,IF(AND($B$3="Purlin",$B$2="Zone 4"),'GCM_Purlin 1.0'!AI485,IF(AND($B$3="Purlin",$B$2="Zone 5"),'GCM_Purlin 1.0'!AT485,IF(AND($B$3="Clip",$B$2="Zone 1"),'GCN_Clip 1.0'!#REF!,IF(AND($B$3="Clip",$B$2="Zone 2"),'GCN_Clip 1.0'!#REF!,IF(AND($B$3="Clip",$B$2="Zone 3"),'GCN_Clip 1.0'!#REF!,IF(AND($B$3="Clip",$B$2="Zone 4"),'GCN_Clip 1.0'!#REF!,IF(AND($B$3="Clip",$B$2="Zone 5"),'GCN_Clip 1.0'!#REF!,IF(AND($B$3="Post",$B$2="Zone 1"),'GCN_Post 1.0'!W338,IF(AND($B$3="Post",$B$2="Zone 2"),'GCN_Post 1.0'!X338,IF(AND($B$3="Post",$B$2="Zone 3"),'GCN_Post 1.0'!Y338,IF(AND($B$3="Post",$B$2="Zone 4"),'GCN_Post 1.0'!Z338,IF(AND($B$3="Post",$B$2="Zone 5"),'GCN_Post 1.0'!AA338,"ERROR")))))))))))))))))))</f>
        <v/>
      </c>
    </row>
    <row r="225" spans="6:44" x14ac:dyDescent="0.25">
      <c r="F225">
        <v>52</v>
      </c>
      <c r="G225" s="27" t="str">
        <f t="shared" si="44"/>
        <v/>
      </c>
      <c r="H225" t="str">
        <f t="shared" si="45"/>
        <v/>
      </c>
      <c r="I225" t="str">
        <f t="shared" si="46"/>
        <v/>
      </c>
      <c r="J225" s="28" t="str">
        <f t="shared" si="47"/>
        <v/>
      </c>
      <c r="M225">
        <v>52</v>
      </c>
      <c r="N225" s="27" t="str">
        <f t="shared" si="48"/>
        <v/>
      </c>
      <c r="O225" t="str">
        <f t="shared" si="49"/>
        <v/>
      </c>
      <c r="P225" t="str">
        <f t="shared" si="50"/>
        <v/>
      </c>
      <c r="Q225" t="str">
        <f t="shared" si="51"/>
        <v/>
      </c>
      <c r="R225" t="str">
        <f t="shared" si="52"/>
        <v/>
      </c>
      <c r="S225" t="str">
        <f t="shared" si="53"/>
        <v/>
      </c>
      <c r="T225" s="82" t="str">
        <f>IF(AND($B$3="Cantilever",$B$2="Zone 1"),'GCM_Cantilever 1.0'!$F416,IF(AND($B$3="Cantilever",$B$2="Zone 2"),'GCM_Cantilever 1.0'!J416,IF(AND($B$3="HalfTracker",$B$2="Zone 1"),'GCM_Halftracker 1.0'!E431,IF(AND($B$3="HalfTracker",$B$2="Zone 2"),'GCM_Halftracker 1.0'!I431,IF(AND($B$3="Purlin",$B$2="Zone 1"),'GCM_Purlin 1.0'!E486,IF(AND($B$3="Purlin",$B$2="Zone 2"),'GCM_Purlin 1.0'!M486,IF(AND($B$3="Purlin",$B$2="Zone 3"),'GCM_Purlin 1.0'!X486,IF(AND($B$3="Purlin",$B$2="Zone 4"),'GCM_Purlin 1.0'!AF486,IF(AND($B$3="Purlin",$B$2="Zone 5"),'GCM_Purlin 1.0'!AQ486,IF(AND($B$3="Clip",$B$2="Zone 1"),'GCN_Clip 1.0'!G55,IF(AND($B$3="Clip",$B$2="Zone 2"),'GCN_Clip 1.0'!C56,IF(AND($B$3="Clip",$B$2="Zone 3"),'GCN_Clip 1.0'!G57,IF(AND($B$3="Clip",$B$2="Zone 4"),'GCN_Clip 1.0'!G58,IF(AND($B$3="Clip",$B$2="Zone 5"),'GCN_Clip 1.0'!G59,IF(AND($B$3="Post",$B$2="Zone 1"),'GCN_Post 1.0'!E339,IF(AND($B$3="Post",$B$2="Zone 2"),'GCN_Post 1.0'!F339,IF(AND($B$3="Post",$B$2="Zone 3"),'GCN_Post 1.0'!G339,IF(AND($B$3="Post",$B$2="Zone 4"),'GCN_Post 1.0'!H339,IF(AND($B$3="Post",$B$2="Zone 5"),'GCN_Post 1.0'!I339,"ERROR")))))))))))))))))))</f>
        <v/>
      </c>
      <c r="V225" s="27" t="str">
        <f t="shared" si="54"/>
        <v/>
      </c>
      <c r="W225" t="str">
        <f t="shared" si="55"/>
        <v/>
      </c>
      <c r="X225" t="str">
        <f t="shared" si="56"/>
        <v/>
      </c>
      <c r="Y225" t="str">
        <f t="shared" si="57"/>
        <v/>
      </c>
      <c r="Z225" t="str">
        <f t="shared" si="58"/>
        <v/>
      </c>
      <c r="AA225" t="str">
        <f t="shared" si="59"/>
        <v/>
      </c>
      <c r="AB225" s="82" t="str">
        <f>IF(AND($B$3="Cantilever",$B$2="Zone 1"),'GCM_Cantilever 1.0'!$G416,IF(AND($B$3="Cantilever",$B$2="Zone 2"),'GCM_Cantilever 1.0'!K416,IF(AND($B$3="HalfTracker",$B$2="Zone 1"),'GCM_Halftracker 1.0'!F431,IF(AND($B$3="HalfTracker",$B$2="Zone 2"),'GCM_Halftracker 1.0'!J431,IF(AND($B$3="Purlin",$B$2="Zone 1"),'GCM_Purlin 1.0'!F486,IF(AND($B$3="Purlin",$B$2="Zone 2"),'GCM_Purlin 1.0'!N486,IF(AND($B$3="Purlin",$B$2="Zone 3"),'GCM_Purlin 1.0'!Y486,IF(AND($B$3="Purlin",$B$2="Zone 4"),'GCM_Purlin 1.0'!AG486,IF(AND($B$3="Purlin",$B$2="Zone 5"),'GCM_Purlin 1.0'!AR486,IF(AND($B$3="Clip",$B$2="Zone 1"),'GCN_Clip 1.0'!H55,IF(AND($B$3="Clip",$B$2="Zone 2"),'GCN_Clip 1.0'!H56,IF(AND($B$3="Clip",$B$2="Zone 3"),'GCN_Clip 1.0'!H57,IF(AND($B$3="Clip",$B$2="Zone 4"),'GCN_Clip 1.0'!H58,IF(AND($B$3="Clip",$B$2="Zone 5"),'GCN_Clip 1.0'!H59,IF(AND($B$3="Post",$B$2="Zone 1"),'GCN_Post 1.0'!J339,IF(AND($B$3="Post",$B$2="Zone 2"),'GCN_Post 1.0'!K339,IF(AND($B$3="Post",$B$2="Zone 3"),'GCN_Post 1.0'!N339,IF(AND($B$3="Post",$B$2="Zone 4"),'GCN_Post 1.0'!O339,IF(AND($B$3="Post",$B$2="Zone 5"),'GCN_Post 1.0'!P339,"ERROR")))))))))))))))))))</f>
        <v/>
      </c>
      <c r="AD225" s="27" t="str">
        <f t="shared" si="60"/>
        <v/>
      </c>
      <c r="AE225" t="str">
        <f t="shared" si="61"/>
        <v/>
      </c>
      <c r="AF225" t="str">
        <f t="shared" si="62"/>
        <v/>
      </c>
      <c r="AG225" t="str">
        <f t="shared" si="63"/>
        <v/>
      </c>
      <c r="AH225" t="str">
        <f t="shared" si="64"/>
        <v/>
      </c>
      <c r="AI225" t="str">
        <f t="shared" si="65"/>
        <v/>
      </c>
      <c r="AJ225" s="82" t="str">
        <f>IF(AND($B$3="Cantilever",$B$2="Zone 1"),'GCM_Cantilever 1.0'!$H416,IF(AND($B$3="Cantilever",$B$2="Zone 2"),'GCM_Cantilever 1.0'!L416,IF(AND($B$3="HalfTracker",$B$2="Zone 1"),'GCM_Halftracker 1.0'!G431,IF(AND($B$3="HalfTracker",$B$2="Zone 2"),'GCM_Halftracker 1.0'!K431,IF(AND($B$3="Purlin",$B$2="Zone 1"),'GCM_Purlin 1.0'!G486,IF(AND($B$3="Purlin",$B$2="Zone 2"),'GCM_Purlin 1.0'!O486,IF(AND($B$3="Purlin",$B$2="Zone 3"),'GCM_Purlin 1.0'!Z486,IF(AND($B$3="Purlin",$B$2="Zone 4"),'GCM_Purlin 1.0'!AH486,IF(AND($B$3="Purlin",$B$2="Zone 5"),'GCM_Purlin 1.0'!AS486,IF(AND($B$3="Clip",$B$2="Zone 1"),'GCN_Clip 1.0'!#REF!,IF(AND($B$3="Clip",$B$2="Zone 2"),'GCN_Clip 1.0'!#REF!,IF(AND($B$3="Clip",$B$2="Zone 3"),'GCN_Clip 1.0'!#REF!,IF(AND($B$3="Clip",$B$2="Zone 4"),'GCN_Clip 1.0'!#REF!,IF(AND($B$3="Clip",$B$2="Zone 5"),'GCN_Clip 1.0'!#REF!,IF(AND($B$3="Post",$B$2="Zone 1"),'GCN_Post 1.0'!Q339,IF(AND($B$3="Post",$B$2="Zone 2"),'GCN_Post 1.0'!R339,IF(AND($B$3="Post",$B$2="Zone 3"),'GCN_Post 1.0'!S339,IF(AND($B$3="Post",$B$2="Zone 4"),'GCN_Post 1.0'!T339,IF(AND($B$3="Post",$B$2="Zone 5"),'GCN_Post 1.0'!V339,"ERROR")))))))))))))))))))</f>
        <v/>
      </c>
      <c r="AL225" s="27" t="str">
        <f t="shared" si="66"/>
        <v/>
      </c>
      <c r="AM225" t="str">
        <f t="shared" si="67"/>
        <v/>
      </c>
      <c r="AN225" t="str">
        <f t="shared" si="68"/>
        <v/>
      </c>
      <c r="AO225" t="str">
        <f t="shared" si="69"/>
        <v/>
      </c>
      <c r="AP225" t="str">
        <f t="shared" si="70"/>
        <v/>
      </c>
      <c r="AQ225" t="str">
        <f t="shared" si="71"/>
        <v/>
      </c>
      <c r="AR225" s="82" t="str">
        <f>IF(AND($B$3="Cantilever",$B$2="Zone 1"),'GCM_Cantilever 1.0'!$I416,IF(AND($B$3="Cantilever",$B$2="Zone 2"),'GCM_Cantilever 1.0'!M416,IF(AND($B$3="HalfTracker",$B$2="Zone 1"),'GCM_Halftracker 1.0'!H431,IF(AND($B$3="HalfTracker",$B$2="Zone 2"),'GCM_Halftracker 1.0'!L431,IF(AND($B$3="Purlin",$B$2="Zone 1"),'GCM_Purlin 1.0'!H486,IF(AND($B$3="Purlin",$B$2="Zone 2"),'GCM_Purlin 1.0'!P486,IF(AND($B$3="Purlin",$B$2="Zone 3"),'GCM_Purlin 1.0'!AA486,IF(AND($B$3="Purlin",$B$2="Zone 4"),'GCM_Purlin 1.0'!AI486,IF(AND($B$3="Purlin",$B$2="Zone 5"),'GCM_Purlin 1.0'!AT486,IF(AND($B$3="Clip",$B$2="Zone 1"),'GCN_Clip 1.0'!#REF!,IF(AND($B$3="Clip",$B$2="Zone 2"),'GCN_Clip 1.0'!#REF!,IF(AND($B$3="Clip",$B$2="Zone 3"),'GCN_Clip 1.0'!#REF!,IF(AND($B$3="Clip",$B$2="Zone 4"),'GCN_Clip 1.0'!#REF!,IF(AND($B$3="Clip",$B$2="Zone 5"),'GCN_Clip 1.0'!#REF!,IF(AND($B$3="Post",$B$2="Zone 1"),'GCN_Post 1.0'!W339,IF(AND($B$3="Post",$B$2="Zone 2"),'GCN_Post 1.0'!X339,IF(AND($B$3="Post",$B$2="Zone 3"),'GCN_Post 1.0'!Y339,IF(AND($B$3="Post",$B$2="Zone 4"),'GCN_Post 1.0'!Z339,IF(AND($B$3="Post",$B$2="Zone 5"),'GCN_Post 1.0'!AA339,"ERROR")))))))))))))))))))</f>
        <v/>
      </c>
    </row>
    <row r="226" spans="6:44" x14ac:dyDescent="0.25">
      <c r="F226">
        <v>53</v>
      </c>
      <c r="G226" s="27" t="str">
        <f t="shared" si="44"/>
        <v/>
      </c>
      <c r="H226" t="str">
        <f t="shared" si="45"/>
        <v/>
      </c>
      <c r="I226" t="str">
        <f t="shared" si="46"/>
        <v/>
      </c>
      <c r="J226" s="28" t="str">
        <f t="shared" si="47"/>
        <v/>
      </c>
      <c r="M226">
        <v>53</v>
      </c>
      <c r="N226" s="27" t="str">
        <f t="shared" si="48"/>
        <v/>
      </c>
      <c r="O226" t="str">
        <f t="shared" si="49"/>
        <v/>
      </c>
      <c r="P226" t="str">
        <f t="shared" si="50"/>
        <v/>
      </c>
      <c r="Q226" t="str">
        <f t="shared" si="51"/>
        <v/>
      </c>
      <c r="R226" t="str">
        <f t="shared" si="52"/>
        <v/>
      </c>
      <c r="S226" t="str">
        <f t="shared" si="53"/>
        <v/>
      </c>
      <c r="T226" s="82" t="str">
        <f>IF(AND($B$3="Cantilever",$B$2="Zone 1"),'GCM_Cantilever 1.0'!$F417,IF(AND($B$3="Cantilever",$B$2="Zone 2"),'GCM_Cantilever 1.0'!J417,IF(AND($B$3="HalfTracker",$B$2="Zone 1"),'GCM_Halftracker 1.0'!E432,IF(AND($B$3="HalfTracker",$B$2="Zone 2"),'GCM_Halftracker 1.0'!I432,IF(AND($B$3="Purlin",$B$2="Zone 1"),'GCM_Purlin 1.0'!E487,IF(AND($B$3="Purlin",$B$2="Zone 2"),'GCM_Purlin 1.0'!M487,IF(AND($B$3="Purlin",$B$2="Zone 3"),'GCM_Purlin 1.0'!X487,IF(AND($B$3="Purlin",$B$2="Zone 4"),'GCM_Purlin 1.0'!AF487,IF(AND($B$3="Purlin",$B$2="Zone 5"),'GCM_Purlin 1.0'!AQ487,IF(AND($B$3="Clip",$B$2="Zone 1"),'GCN_Clip 1.0'!G56,IF(AND($B$3="Clip",$B$2="Zone 2"),'GCN_Clip 1.0'!C57,IF(AND($B$3="Clip",$B$2="Zone 3"),'GCN_Clip 1.0'!G58,IF(AND($B$3="Clip",$B$2="Zone 4"),'GCN_Clip 1.0'!G59,IF(AND($B$3="Clip",$B$2="Zone 5"),'GCN_Clip 1.0'!G60,IF(AND($B$3="Post",$B$2="Zone 1"),'GCN_Post 1.0'!E340,IF(AND($B$3="Post",$B$2="Zone 2"),'GCN_Post 1.0'!F340,IF(AND($B$3="Post",$B$2="Zone 3"),'GCN_Post 1.0'!G340,IF(AND($B$3="Post",$B$2="Zone 4"),'GCN_Post 1.0'!H340,IF(AND($B$3="Post",$B$2="Zone 5"),'GCN_Post 1.0'!I340,"ERROR")))))))))))))))))))</f>
        <v/>
      </c>
      <c r="V226" s="27" t="str">
        <f t="shared" si="54"/>
        <v/>
      </c>
      <c r="W226" t="str">
        <f t="shared" si="55"/>
        <v/>
      </c>
      <c r="X226" t="str">
        <f t="shared" si="56"/>
        <v/>
      </c>
      <c r="Y226" t="str">
        <f t="shared" si="57"/>
        <v/>
      </c>
      <c r="Z226" t="str">
        <f t="shared" si="58"/>
        <v/>
      </c>
      <c r="AA226" t="str">
        <f t="shared" si="59"/>
        <v/>
      </c>
      <c r="AB226" s="82" t="str">
        <f>IF(AND($B$3="Cantilever",$B$2="Zone 1"),'GCM_Cantilever 1.0'!$G417,IF(AND($B$3="Cantilever",$B$2="Zone 2"),'GCM_Cantilever 1.0'!K417,IF(AND($B$3="HalfTracker",$B$2="Zone 1"),'GCM_Halftracker 1.0'!F432,IF(AND($B$3="HalfTracker",$B$2="Zone 2"),'GCM_Halftracker 1.0'!J432,IF(AND($B$3="Purlin",$B$2="Zone 1"),'GCM_Purlin 1.0'!F487,IF(AND($B$3="Purlin",$B$2="Zone 2"),'GCM_Purlin 1.0'!N487,IF(AND($B$3="Purlin",$B$2="Zone 3"),'GCM_Purlin 1.0'!Y487,IF(AND($B$3="Purlin",$B$2="Zone 4"),'GCM_Purlin 1.0'!AG487,IF(AND($B$3="Purlin",$B$2="Zone 5"),'GCM_Purlin 1.0'!AR487,IF(AND($B$3="Clip",$B$2="Zone 1"),'GCN_Clip 1.0'!H56,IF(AND($B$3="Clip",$B$2="Zone 2"),'GCN_Clip 1.0'!H57,IF(AND($B$3="Clip",$B$2="Zone 3"),'GCN_Clip 1.0'!H58,IF(AND($B$3="Clip",$B$2="Zone 4"),'GCN_Clip 1.0'!H59,IF(AND($B$3="Clip",$B$2="Zone 5"),'GCN_Clip 1.0'!H60,IF(AND($B$3="Post",$B$2="Zone 1"),'GCN_Post 1.0'!J340,IF(AND($B$3="Post",$B$2="Zone 2"),'GCN_Post 1.0'!K340,IF(AND($B$3="Post",$B$2="Zone 3"),'GCN_Post 1.0'!N340,IF(AND($B$3="Post",$B$2="Zone 4"),'GCN_Post 1.0'!O340,IF(AND($B$3="Post",$B$2="Zone 5"),'GCN_Post 1.0'!P340,"ERROR")))))))))))))))))))</f>
        <v/>
      </c>
      <c r="AD226" s="27" t="str">
        <f t="shared" si="60"/>
        <v/>
      </c>
      <c r="AE226" t="str">
        <f t="shared" si="61"/>
        <v/>
      </c>
      <c r="AF226" t="str">
        <f t="shared" si="62"/>
        <v/>
      </c>
      <c r="AG226" t="str">
        <f t="shared" si="63"/>
        <v/>
      </c>
      <c r="AH226" t="str">
        <f t="shared" si="64"/>
        <v/>
      </c>
      <c r="AI226" t="str">
        <f t="shared" si="65"/>
        <v/>
      </c>
      <c r="AJ226" s="82" t="str">
        <f>IF(AND($B$3="Cantilever",$B$2="Zone 1"),'GCM_Cantilever 1.0'!$H417,IF(AND($B$3="Cantilever",$B$2="Zone 2"),'GCM_Cantilever 1.0'!L417,IF(AND($B$3="HalfTracker",$B$2="Zone 1"),'GCM_Halftracker 1.0'!G432,IF(AND($B$3="HalfTracker",$B$2="Zone 2"),'GCM_Halftracker 1.0'!K432,IF(AND($B$3="Purlin",$B$2="Zone 1"),'GCM_Purlin 1.0'!G487,IF(AND($B$3="Purlin",$B$2="Zone 2"),'GCM_Purlin 1.0'!O487,IF(AND($B$3="Purlin",$B$2="Zone 3"),'GCM_Purlin 1.0'!Z487,IF(AND($B$3="Purlin",$B$2="Zone 4"),'GCM_Purlin 1.0'!AH487,IF(AND($B$3="Purlin",$B$2="Zone 5"),'GCM_Purlin 1.0'!AS487,IF(AND($B$3="Clip",$B$2="Zone 1"),'GCN_Clip 1.0'!#REF!,IF(AND($B$3="Clip",$B$2="Zone 2"),'GCN_Clip 1.0'!#REF!,IF(AND($B$3="Clip",$B$2="Zone 3"),'GCN_Clip 1.0'!#REF!,IF(AND($B$3="Clip",$B$2="Zone 4"),'GCN_Clip 1.0'!#REF!,IF(AND($B$3="Clip",$B$2="Zone 5"),'GCN_Clip 1.0'!#REF!,IF(AND($B$3="Post",$B$2="Zone 1"),'GCN_Post 1.0'!Q340,IF(AND($B$3="Post",$B$2="Zone 2"),'GCN_Post 1.0'!R340,IF(AND($B$3="Post",$B$2="Zone 3"),'GCN_Post 1.0'!S340,IF(AND($B$3="Post",$B$2="Zone 4"),'GCN_Post 1.0'!T340,IF(AND($B$3="Post",$B$2="Zone 5"),'GCN_Post 1.0'!V340,"ERROR")))))))))))))))))))</f>
        <v/>
      </c>
      <c r="AL226" s="27" t="str">
        <f t="shared" si="66"/>
        <v/>
      </c>
      <c r="AM226" t="str">
        <f t="shared" si="67"/>
        <v/>
      </c>
      <c r="AN226" t="str">
        <f t="shared" si="68"/>
        <v/>
      </c>
      <c r="AO226" t="str">
        <f t="shared" si="69"/>
        <v/>
      </c>
      <c r="AP226" t="str">
        <f t="shared" si="70"/>
        <v/>
      </c>
      <c r="AQ226" t="str">
        <f t="shared" si="71"/>
        <v/>
      </c>
      <c r="AR226" s="82" t="str">
        <f>IF(AND($B$3="Cantilever",$B$2="Zone 1"),'GCM_Cantilever 1.0'!$I417,IF(AND($B$3="Cantilever",$B$2="Zone 2"),'GCM_Cantilever 1.0'!M417,IF(AND($B$3="HalfTracker",$B$2="Zone 1"),'GCM_Halftracker 1.0'!H432,IF(AND($B$3="HalfTracker",$B$2="Zone 2"),'GCM_Halftracker 1.0'!L432,IF(AND($B$3="Purlin",$B$2="Zone 1"),'GCM_Purlin 1.0'!H487,IF(AND($B$3="Purlin",$B$2="Zone 2"),'GCM_Purlin 1.0'!P487,IF(AND($B$3="Purlin",$B$2="Zone 3"),'GCM_Purlin 1.0'!AA487,IF(AND($B$3="Purlin",$B$2="Zone 4"),'GCM_Purlin 1.0'!AI487,IF(AND($B$3="Purlin",$B$2="Zone 5"),'GCM_Purlin 1.0'!AT487,IF(AND($B$3="Clip",$B$2="Zone 1"),'GCN_Clip 1.0'!#REF!,IF(AND($B$3="Clip",$B$2="Zone 2"),'GCN_Clip 1.0'!#REF!,IF(AND($B$3="Clip",$B$2="Zone 3"),'GCN_Clip 1.0'!#REF!,IF(AND($B$3="Clip",$B$2="Zone 4"),'GCN_Clip 1.0'!#REF!,IF(AND($B$3="Clip",$B$2="Zone 5"),'GCN_Clip 1.0'!#REF!,IF(AND($B$3="Post",$B$2="Zone 1"),'GCN_Post 1.0'!W340,IF(AND($B$3="Post",$B$2="Zone 2"),'GCN_Post 1.0'!X340,IF(AND($B$3="Post",$B$2="Zone 3"),'GCN_Post 1.0'!Y340,IF(AND($B$3="Post",$B$2="Zone 4"),'GCN_Post 1.0'!Z340,IF(AND($B$3="Post",$B$2="Zone 5"),'GCN_Post 1.0'!AA340,"ERROR")))))))))))))))))))</f>
        <v/>
      </c>
    </row>
    <row r="227" spans="6:44" x14ac:dyDescent="0.25">
      <c r="F227">
        <v>54</v>
      </c>
      <c r="G227" s="27" t="str">
        <f t="shared" si="44"/>
        <v/>
      </c>
      <c r="H227" t="str">
        <f t="shared" si="45"/>
        <v/>
      </c>
      <c r="I227" t="str">
        <f t="shared" si="46"/>
        <v/>
      </c>
      <c r="J227" s="28" t="str">
        <f t="shared" si="47"/>
        <v/>
      </c>
      <c r="M227">
        <v>54</v>
      </c>
      <c r="N227" s="27" t="str">
        <f t="shared" si="48"/>
        <v/>
      </c>
      <c r="O227" t="str">
        <f t="shared" si="49"/>
        <v/>
      </c>
      <c r="P227" t="str">
        <f t="shared" si="50"/>
        <v/>
      </c>
      <c r="Q227" t="str">
        <f t="shared" si="51"/>
        <v/>
      </c>
      <c r="R227" t="str">
        <f t="shared" si="52"/>
        <v/>
      </c>
      <c r="S227" t="str">
        <f t="shared" si="53"/>
        <v/>
      </c>
      <c r="T227" s="82" t="str">
        <f>IF(AND($B$3="Cantilever",$B$2="Zone 1"),'GCM_Cantilever 1.0'!$F418,IF(AND($B$3="Cantilever",$B$2="Zone 2"),'GCM_Cantilever 1.0'!J418,IF(AND($B$3="HalfTracker",$B$2="Zone 1"),'GCM_Halftracker 1.0'!E433,IF(AND($B$3="HalfTracker",$B$2="Zone 2"),'GCM_Halftracker 1.0'!I433,IF(AND($B$3="Purlin",$B$2="Zone 1"),'GCM_Purlin 1.0'!E488,IF(AND($B$3="Purlin",$B$2="Zone 2"),'GCM_Purlin 1.0'!M488,IF(AND($B$3="Purlin",$B$2="Zone 3"),'GCM_Purlin 1.0'!X488,IF(AND($B$3="Purlin",$B$2="Zone 4"),'GCM_Purlin 1.0'!AF488,IF(AND($B$3="Purlin",$B$2="Zone 5"),'GCM_Purlin 1.0'!AQ488,IF(AND($B$3="Clip",$B$2="Zone 1"),'GCN_Clip 1.0'!G57,IF(AND($B$3="Clip",$B$2="Zone 2"),'GCN_Clip 1.0'!C58,IF(AND($B$3="Clip",$B$2="Zone 3"),'GCN_Clip 1.0'!G59,IF(AND($B$3="Clip",$B$2="Zone 4"),'GCN_Clip 1.0'!G60,IF(AND($B$3="Clip",$B$2="Zone 5"),'GCN_Clip 1.0'!G61,IF(AND($B$3="Post",$B$2="Zone 1"),'GCN_Post 1.0'!E341,IF(AND($B$3="Post",$B$2="Zone 2"),'GCN_Post 1.0'!F341,IF(AND($B$3="Post",$B$2="Zone 3"),'GCN_Post 1.0'!G341,IF(AND($B$3="Post",$B$2="Zone 4"),'GCN_Post 1.0'!H341,IF(AND($B$3="Post",$B$2="Zone 5"),'GCN_Post 1.0'!I341,"ERROR")))))))))))))))))))</f>
        <v/>
      </c>
      <c r="V227" s="27" t="str">
        <f t="shared" si="54"/>
        <v/>
      </c>
      <c r="W227" t="str">
        <f t="shared" si="55"/>
        <v/>
      </c>
      <c r="X227" t="str">
        <f t="shared" si="56"/>
        <v/>
      </c>
      <c r="Y227" t="str">
        <f t="shared" si="57"/>
        <v/>
      </c>
      <c r="Z227" t="str">
        <f t="shared" si="58"/>
        <v/>
      </c>
      <c r="AA227" t="str">
        <f t="shared" si="59"/>
        <v/>
      </c>
      <c r="AB227" s="82" t="str">
        <f>IF(AND($B$3="Cantilever",$B$2="Zone 1"),'GCM_Cantilever 1.0'!$G418,IF(AND($B$3="Cantilever",$B$2="Zone 2"),'GCM_Cantilever 1.0'!K418,IF(AND($B$3="HalfTracker",$B$2="Zone 1"),'GCM_Halftracker 1.0'!F433,IF(AND($B$3="HalfTracker",$B$2="Zone 2"),'GCM_Halftracker 1.0'!J433,IF(AND($B$3="Purlin",$B$2="Zone 1"),'GCM_Purlin 1.0'!F488,IF(AND($B$3="Purlin",$B$2="Zone 2"),'GCM_Purlin 1.0'!N488,IF(AND($B$3="Purlin",$B$2="Zone 3"),'GCM_Purlin 1.0'!Y488,IF(AND($B$3="Purlin",$B$2="Zone 4"),'GCM_Purlin 1.0'!AG488,IF(AND($B$3="Purlin",$B$2="Zone 5"),'GCM_Purlin 1.0'!AR488,IF(AND($B$3="Clip",$B$2="Zone 1"),'GCN_Clip 1.0'!H57,IF(AND($B$3="Clip",$B$2="Zone 2"),'GCN_Clip 1.0'!H58,IF(AND($B$3="Clip",$B$2="Zone 3"),'GCN_Clip 1.0'!H59,IF(AND($B$3="Clip",$B$2="Zone 4"),'GCN_Clip 1.0'!H60,IF(AND($B$3="Clip",$B$2="Zone 5"),'GCN_Clip 1.0'!H61,IF(AND($B$3="Post",$B$2="Zone 1"),'GCN_Post 1.0'!J341,IF(AND($B$3="Post",$B$2="Zone 2"),'GCN_Post 1.0'!K341,IF(AND($B$3="Post",$B$2="Zone 3"),'GCN_Post 1.0'!N341,IF(AND($B$3="Post",$B$2="Zone 4"),'GCN_Post 1.0'!O341,IF(AND($B$3="Post",$B$2="Zone 5"),'GCN_Post 1.0'!P341,"ERROR")))))))))))))))))))</f>
        <v/>
      </c>
      <c r="AD227" s="27" t="str">
        <f t="shared" si="60"/>
        <v/>
      </c>
      <c r="AE227" t="str">
        <f t="shared" si="61"/>
        <v/>
      </c>
      <c r="AF227" t="str">
        <f t="shared" si="62"/>
        <v/>
      </c>
      <c r="AG227" t="str">
        <f t="shared" si="63"/>
        <v/>
      </c>
      <c r="AH227" t="str">
        <f t="shared" si="64"/>
        <v/>
      </c>
      <c r="AI227" t="str">
        <f t="shared" si="65"/>
        <v/>
      </c>
      <c r="AJ227" s="82" t="str">
        <f>IF(AND($B$3="Cantilever",$B$2="Zone 1"),'GCM_Cantilever 1.0'!$H418,IF(AND($B$3="Cantilever",$B$2="Zone 2"),'GCM_Cantilever 1.0'!L418,IF(AND($B$3="HalfTracker",$B$2="Zone 1"),'GCM_Halftracker 1.0'!G433,IF(AND($B$3="HalfTracker",$B$2="Zone 2"),'GCM_Halftracker 1.0'!K433,IF(AND($B$3="Purlin",$B$2="Zone 1"),'GCM_Purlin 1.0'!G488,IF(AND($B$3="Purlin",$B$2="Zone 2"),'GCM_Purlin 1.0'!O488,IF(AND($B$3="Purlin",$B$2="Zone 3"),'GCM_Purlin 1.0'!Z488,IF(AND($B$3="Purlin",$B$2="Zone 4"),'GCM_Purlin 1.0'!AH488,IF(AND($B$3="Purlin",$B$2="Zone 5"),'GCM_Purlin 1.0'!AS488,IF(AND($B$3="Clip",$B$2="Zone 1"),'GCN_Clip 1.0'!#REF!,IF(AND($B$3="Clip",$B$2="Zone 2"),'GCN_Clip 1.0'!#REF!,IF(AND($B$3="Clip",$B$2="Zone 3"),'GCN_Clip 1.0'!#REF!,IF(AND($B$3="Clip",$B$2="Zone 4"),'GCN_Clip 1.0'!#REF!,IF(AND($B$3="Clip",$B$2="Zone 5"),'GCN_Clip 1.0'!#REF!,IF(AND($B$3="Post",$B$2="Zone 1"),'GCN_Post 1.0'!Q341,IF(AND($B$3="Post",$B$2="Zone 2"),'GCN_Post 1.0'!R341,IF(AND($B$3="Post",$B$2="Zone 3"),'GCN_Post 1.0'!S341,IF(AND($B$3="Post",$B$2="Zone 4"),'GCN_Post 1.0'!T341,IF(AND($B$3="Post",$B$2="Zone 5"),'GCN_Post 1.0'!V341,"ERROR")))))))))))))))))))</f>
        <v/>
      </c>
      <c r="AL227" s="27" t="str">
        <f t="shared" si="66"/>
        <v/>
      </c>
      <c r="AM227" t="str">
        <f t="shared" si="67"/>
        <v/>
      </c>
      <c r="AN227" t="str">
        <f t="shared" si="68"/>
        <v/>
      </c>
      <c r="AO227" t="str">
        <f t="shared" si="69"/>
        <v/>
      </c>
      <c r="AP227" t="str">
        <f t="shared" si="70"/>
        <v/>
      </c>
      <c r="AQ227" t="str">
        <f t="shared" si="71"/>
        <v/>
      </c>
      <c r="AR227" s="82" t="str">
        <f>IF(AND($B$3="Cantilever",$B$2="Zone 1"),'GCM_Cantilever 1.0'!$I418,IF(AND($B$3="Cantilever",$B$2="Zone 2"),'GCM_Cantilever 1.0'!M418,IF(AND($B$3="HalfTracker",$B$2="Zone 1"),'GCM_Halftracker 1.0'!H433,IF(AND($B$3="HalfTracker",$B$2="Zone 2"),'GCM_Halftracker 1.0'!L433,IF(AND($B$3="Purlin",$B$2="Zone 1"),'GCM_Purlin 1.0'!H488,IF(AND($B$3="Purlin",$B$2="Zone 2"),'GCM_Purlin 1.0'!P488,IF(AND($B$3="Purlin",$B$2="Zone 3"),'GCM_Purlin 1.0'!AA488,IF(AND($B$3="Purlin",$B$2="Zone 4"),'GCM_Purlin 1.0'!AI488,IF(AND($B$3="Purlin",$B$2="Zone 5"),'GCM_Purlin 1.0'!AT488,IF(AND($B$3="Clip",$B$2="Zone 1"),'GCN_Clip 1.0'!#REF!,IF(AND($B$3="Clip",$B$2="Zone 2"),'GCN_Clip 1.0'!#REF!,IF(AND($B$3="Clip",$B$2="Zone 3"),'GCN_Clip 1.0'!#REF!,IF(AND($B$3="Clip",$B$2="Zone 4"),'GCN_Clip 1.0'!#REF!,IF(AND($B$3="Clip",$B$2="Zone 5"),'GCN_Clip 1.0'!#REF!,IF(AND($B$3="Post",$B$2="Zone 1"),'GCN_Post 1.0'!W341,IF(AND($B$3="Post",$B$2="Zone 2"),'GCN_Post 1.0'!X341,IF(AND($B$3="Post",$B$2="Zone 3"),'GCN_Post 1.0'!Y341,IF(AND($B$3="Post",$B$2="Zone 4"),'GCN_Post 1.0'!Z341,IF(AND($B$3="Post",$B$2="Zone 5"),'GCN_Post 1.0'!AA341,"ERROR")))))))))))))))))))</f>
        <v/>
      </c>
    </row>
    <row r="228" spans="6:44" x14ac:dyDescent="0.25">
      <c r="F228">
        <v>55</v>
      </c>
      <c r="G228" s="27" t="str">
        <f t="shared" si="44"/>
        <v/>
      </c>
      <c r="H228" t="str">
        <f t="shared" si="45"/>
        <v/>
      </c>
      <c r="I228" t="str">
        <f t="shared" si="46"/>
        <v/>
      </c>
      <c r="J228" s="28" t="str">
        <f t="shared" si="47"/>
        <v/>
      </c>
      <c r="M228">
        <v>55</v>
      </c>
      <c r="N228" s="27" t="str">
        <f t="shared" si="48"/>
        <v/>
      </c>
      <c r="O228" t="str">
        <f t="shared" si="49"/>
        <v/>
      </c>
      <c r="P228" t="str">
        <f t="shared" si="50"/>
        <v/>
      </c>
      <c r="Q228" t="str">
        <f t="shared" si="51"/>
        <v/>
      </c>
      <c r="R228" t="str">
        <f t="shared" si="52"/>
        <v/>
      </c>
      <c r="S228" t="str">
        <f t="shared" si="53"/>
        <v/>
      </c>
      <c r="T228" s="82" t="str">
        <f>IF(AND($B$3="Cantilever",$B$2="Zone 1"),'GCM_Cantilever 1.0'!$F419,IF(AND($B$3="Cantilever",$B$2="Zone 2"),'GCM_Cantilever 1.0'!J419,IF(AND($B$3="HalfTracker",$B$2="Zone 1"),'GCM_Halftracker 1.0'!E434,IF(AND($B$3="HalfTracker",$B$2="Zone 2"),'GCM_Halftracker 1.0'!I434,IF(AND($B$3="Purlin",$B$2="Zone 1"),'GCM_Purlin 1.0'!E489,IF(AND($B$3="Purlin",$B$2="Zone 2"),'GCM_Purlin 1.0'!M489,IF(AND($B$3="Purlin",$B$2="Zone 3"),'GCM_Purlin 1.0'!X489,IF(AND($B$3="Purlin",$B$2="Zone 4"),'GCM_Purlin 1.0'!AF489,IF(AND($B$3="Purlin",$B$2="Zone 5"),'GCM_Purlin 1.0'!AQ489,IF(AND($B$3="Clip",$B$2="Zone 1"),'GCN_Clip 1.0'!G58,IF(AND($B$3="Clip",$B$2="Zone 2"),'GCN_Clip 1.0'!C59,IF(AND($B$3="Clip",$B$2="Zone 3"),'GCN_Clip 1.0'!G60,IF(AND($B$3="Clip",$B$2="Zone 4"),'GCN_Clip 1.0'!G61,IF(AND($B$3="Clip",$B$2="Zone 5"),'GCN_Clip 1.0'!G62,IF(AND($B$3="Post",$B$2="Zone 1"),'GCN_Post 1.0'!E342,IF(AND($B$3="Post",$B$2="Zone 2"),'GCN_Post 1.0'!F342,IF(AND($B$3="Post",$B$2="Zone 3"),'GCN_Post 1.0'!G342,IF(AND($B$3="Post",$B$2="Zone 4"),'GCN_Post 1.0'!H342,IF(AND($B$3="Post",$B$2="Zone 5"),'GCN_Post 1.0'!I342,"ERROR")))))))))))))))))))</f>
        <v/>
      </c>
      <c r="V228" s="27" t="str">
        <f t="shared" si="54"/>
        <v/>
      </c>
      <c r="W228" t="str">
        <f t="shared" si="55"/>
        <v/>
      </c>
      <c r="X228" t="str">
        <f t="shared" si="56"/>
        <v/>
      </c>
      <c r="Y228" t="str">
        <f t="shared" si="57"/>
        <v/>
      </c>
      <c r="Z228" t="str">
        <f t="shared" si="58"/>
        <v/>
      </c>
      <c r="AA228" t="str">
        <f t="shared" si="59"/>
        <v/>
      </c>
      <c r="AB228" s="82" t="str">
        <f>IF(AND($B$3="Cantilever",$B$2="Zone 1"),'GCM_Cantilever 1.0'!$G419,IF(AND($B$3="Cantilever",$B$2="Zone 2"),'GCM_Cantilever 1.0'!K419,IF(AND($B$3="HalfTracker",$B$2="Zone 1"),'GCM_Halftracker 1.0'!F434,IF(AND($B$3="HalfTracker",$B$2="Zone 2"),'GCM_Halftracker 1.0'!J434,IF(AND($B$3="Purlin",$B$2="Zone 1"),'GCM_Purlin 1.0'!F489,IF(AND($B$3="Purlin",$B$2="Zone 2"),'GCM_Purlin 1.0'!N489,IF(AND($B$3="Purlin",$B$2="Zone 3"),'GCM_Purlin 1.0'!Y489,IF(AND($B$3="Purlin",$B$2="Zone 4"),'GCM_Purlin 1.0'!AG489,IF(AND($B$3="Purlin",$B$2="Zone 5"),'GCM_Purlin 1.0'!AR489,IF(AND($B$3="Clip",$B$2="Zone 1"),'GCN_Clip 1.0'!H58,IF(AND($B$3="Clip",$B$2="Zone 2"),'GCN_Clip 1.0'!H59,IF(AND($B$3="Clip",$B$2="Zone 3"),'GCN_Clip 1.0'!H60,IF(AND($B$3="Clip",$B$2="Zone 4"),'GCN_Clip 1.0'!H61,IF(AND($B$3="Clip",$B$2="Zone 5"),'GCN_Clip 1.0'!H62,IF(AND($B$3="Post",$B$2="Zone 1"),'GCN_Post 1.0'!J342,IF(AND($B$3="Post",$B$2="Zone 2"),'GCN_Post 1.0'!K342,IF(AND($B$3="Post",$B$2="Zone 3"),'GCN_Post 1.0'!N342,IF(AND($B$3="Post",$B$2="Zone 4"),'GCN_Post 1.0'!O342,IF(AND($B$3="Post",$B$2="Zone 5"),'GCN_Post 1.0'!P342,"ERROR")))))))))))))))))))</f>
        <v/>
      </c>
      <c r="AD228" s="27" t="str">
        <f t="shared" si="60"/>
        <v/>
      </c>
      <c r="AE228" t="str">
        <f t="shared" si="61"/>
        <v/>
      </c>
      <c r="AF228" t="str">
        <f t="shared" si="62"/>
        <v/>
      </c>
      <c r="AG228" t="str">
        <f t="shared" si="63"/>
        <v/>
      </c>
      <c r="AH228" t="str">
        <f t="shared" si="64"/>
        <v/>
      </c>
      <c r="AI228" t="str">
        <f t="shared" si="65"/>
        <v/>
      </c>
      <c r="AJ228" s="82" t="str">
        <f>IF(AND($B$3="Cantilever",$B$2="Zone 1"),'GCM_Cantilever 1.0'!$H419,IF(AND($B$3="Cantilever",$B$2="Zone 2"),'GCM_Cantilever 1.0'!L419,IF(AND($B$3="HalfTracker",$B$2="Zone 1"),'GCM_Halftracker 1.0'!G434,IF(AND($B$3="HalfTracker",$B$2="Zone 2"),'GCM_Halftracker 1.0'!K434,IF(AND($B$3="Purlin",$B$2="Zone 1"),'GCM_Purlin 1.0'!G489,IF(AND($B$3="Purlin",$B$2="Zone 2"),'GCM_Purlin 1.0'!O489,IF(AND($B$3="Purlin",$B$2="Zone 3"),'GCM_Purlin 1.0'!Z489,IF(AND($B$3="Purlin",$B$2="Zone 4"),'GCM_Purlin 1.0'!AH489,IF(AND($B$3="Purlin",$B$2="Zone 5"),'GCM_Purlin 1.0'!AS489,IF(AND($B$3="Clip",$B$2="Zone 1"),'GCN_Clip 1.0'!#REF!,IF(AND($B$3="Clip",$B$2="Zone 2"),'GCN_Clip 1.0'!#REF!,IF(AND($B$3="Clip",$B$2="Zone 3"),'GCN_Clip 1.0'!#REF!,IF(AND($B$3="Clip",$B$2="Zone 4"),'GCN_Clip 1.0'!#REF!,IF(AND($B$3="Clip",$B$2="Zone 5"),'GCN_Clip 1.0'!#REF!,IF(AND($B$3="Post",$B$2="Zone 1"),'GCN_Post 1.0'!Q342,IF(AND($B$3="Post",$B$2="Zone 2"),'GCN_Post 1.0'!R342,IF(AND($B$3="Post",$B$2="Zone 3"),'GCN_Post 1.0'!S342,IF(AND($B$3="Post",$B$2="Zone 4"),'GCN_Post 1.0'!T342,IF(AND($B$3="Post",$B$2="Zone 5"),'GCN_Post 1.0'!V342,"ERROR")))))))))))))))))))</f>
        <v/>
      </c>
      <c r="AL228" s="27" t="str">
        <f t="shared" si="66"/>
        <v/>
      </c>
      <c r="AM228" t="str">
        <f t="shared" si="67"/>
        <v/>
      </c>
      <c r="AN228" t="str">
        <f t="shared" si="68"/>
        <v/>
      </c>
      <c r="AO228" t="str">
        <f t="shared" si="69"/>
        <v/>
      </c>
      <c r="AP228" t="str">
        <f t="shared" si="70"/>
        <v/>
      </c>
      <c r="AQ228" t="str">
        <f t="shared" si="71"/>
        <v/>
      </c>
      <c r="AR228" s="82" t="str">
        <f>IF(AND($B$3="Cantilever",$B$2="Zone 1"),'GCM_Cantilever 1.0'!$I419,IF(AND($B$3="Cantilever",$B$2="Zone 2"),'GCM_Cantilever 1.0'!M419,IF(AND($B$3="HalfTracker",$B$2="Zone 1"),'GCM_Halftracker 1.0'!H434,IF(AND($B$3="HalfTracker",$B$2="Zone 2"),'GCM_Halftracker 1.0'!L434,IF(AND($B$3="Purlin",$B$2="Zone 1"),'GCM_Purlin 1.0'!H489,IF(AND($B$3="Purlin",$B$2="Zone 2"),'GCM_Purlin 1.0'!P489,IF(AND($B$3="Purlin",$B$2="Zone 3"),'GCM_Purlin 1.0'!AA489,IF(AND($B$3="Purlin",$B$2="Zone 4"),'GCM_Purlin 1.0'!AI489,IF(AND($B$3="Purlin",$B$2="Zone 5"),'GCM_Purlin 1.0'!AT489,IF(AND($B$3="Clip",$B$2="Zone 1"),'GCN_Clip 1.0'!#REF!,IF(AND($B$3="Clip",$B$2="Zone 2"),'GCN_Clip 1.0'!#REF!,IF(AND($B$3="Clip",$B$2="Zone 3"),'GCN_Clip 1.0'!#REF!,IF(AND($B$3="Clip",$B$2="Zone 4"),'GCN_Clip 1.0'!#REF!,IF(AND($B$3="Clip",$B$2="Zone 5"),'GCN_Clip 1.0'!#REF!,IF(AND($B$3="Post",$B$2="Zone 1"),'GCN_Post 1.0'!W342,IF(AND($B$3="Post",$B$2="Zone 2"),'GCN_Post 1.0'!X342,IF(AND($B$3="Post",$B$2="Zone 3"),'GCN_Post 1.0'!Y342,IF(AND($B$3="Post",$B$2="Zone 4"),'GCN_Post 1.0'!Z342,IF(AND($B$3="Post",$B$2="Zone 5"),'GCN_Post 1.0'!AA342,"ERROR")))))))))))))))))))</f>
        <v/>
      </c>
    </row>
    <row r="229" spans="6:44" x14ac:dyDescent="0.25">
      <c r="F229">
        <v>56</v>
      </c>
      <c r="G229" s="27" t="str">
        <f t="shared" si="44"/>
        <v/>
      </c>
      <c r="H229" t="str">
        <f t="shared" si="45"/>
        <v/>
      </c>
      <c r="I229" t="str">
        <f t="shared" si="46"/>
        <v/>
      </c>
      <c r="J229" s="28" t="str">
        <f t="shared" si="47"/>
        <v/>
      </c>
      <c r="M229">
        <v>56</v>
      </c>
      <c r="N229" s="27" t="str">
        <f t="shared" si="48"/>
        <v/>
      </c>
      <c r="O229" t="str">
        <f t="shared" si="49"/>
        <v/>
      </c>
      <c r="P229" t="str">
        <f t="shared" si="50"/>
        <v/>
      </c>
      <c r="Q229" t="str">
        <f t="shared" si="51"/>
        <v/>
      </c>
      <c r="R229" t="str">
        <f t="shared" si="52"/>
        <v/>
      </c>
      <c r="S229" t="str">
        <f t="shared" si="53"/>
        <v/>
      </c>
      <c r="T229" s="82" t="str">
        <f>IF(AND($B$3="Cantilever",$B$2="Zone 1"),'GCM_Cantilever 1.0'!$F420,IF(AND($B$3="Cantilever",$B$2="Zone 2"),'GCM_Cantilever 1.0'!J420,IF(AND($B$3="HalfTracker",$B$2="Zone 1"),'GCM_Halftracker 1.0'!E435,IF(AND($B$3="HalfTracker",$B$2="Zone 2"),'GCM_Halftracker 1.0'!I435,IF(AND($B$3="Purlin",$B$2="Zone 1"),'GCM_Purlin 1.0'!E490,IF(AND($B$3="Purlin",$B$2="Zone 2"),'GCM_Purlin 1.0'!M490,IF(AND($B$3="Purlin",$B$2="Zone 3"),'GCM_Purlin 1.0'!X490,IF(AND($B$3="Purlin",$B$2="Zone 4"),'GCM_Purlin 1.0'!AF490,IF(AND($B$3="Purlin",$B$2="Zone 5"),'GCM_Purlin 1.0'!AQ490,IF(AND($B$3="Clip",$B$2="Zone 1"),'GCN_Clip 1.0'!G59,IF(AND($B$3="Clip",$B$2="Zone 2"),'GCN_Clip 1.0'!C60,IF(AND($B$3="Clip",$B$2="Zone 3"),'GCN_Clip 1.0'!G61,IF(AND($B$3="Clip",$B$2="Zone 4"),'GCN_Clip 1.0'!G62,IF(AND($B$3="Clip",$B$2="Zone 5"),'GCN_Clip 1.0'!G63,IF(AND($B$3="Post",$B$2="Zone 1"),'GCN_Post 1.0'!E343,IF(AND($B$3="Post",$B$2="Zone 2"),'GCN_Post 1.0'!F343,IF(AND($B$3="Post",$B$2="Zone 3"),'GCN_Post 1.0'!G343,IF(AND($B$3="Post",$B$2="Zone 4"),'GCN_Post 1.0'!H343,IF(AND($B$3="Post",$B$2="Zone 5"),'GCN_Post 1.0'!I343,"ERROR")))))))))))))))))))</f>
        <v/>
      </c>
      <c r="V229" s="27" t="str">
        <f t="shared" si="54"/>
        <v/>
      </c>
      <c r="W229" t="str">
        <f t="shared" si="55"/>
        <v/>
      </c>
      <c r="X229" t="str">
        <f t="shared" si="56"/>
        <v/>
      </c>
      <c r="Y229" t="str">
        <f t="shared" si="57"/>
        <v/>
      </c>
      <c r="Z229" t="str">
        <f t="shared" si="58"/>
        <v/>
      </c>
      <c r="AA229" t="str">
        <f t="shared" si="59"/>
        <v/>
      </c>
      <c r="AB229" s="82" t="str">
        <f>IF(AND($B$3="Cantilever",$B$2="Zone 1"),'GCM_Cantilever 1.0'!$G420,IF(AND($B$3="Cantilever",$B$2="Zone 2"),'GCM_Cantilever 1.0'!K420,IF(AND($B$3="HalfTracker",$B$2="Zone 1"),'GCM_Halftracker 1.0'!F435,IF(AND($B$3="HalfTracker",$B$2="Zone 2"),'GCM_Halftracker 1.0'!J435,IF(AND($B$3="Purlin",$B$2="Zone 1"),'GCM_Purlin 1.0'!F490,IF(AND($B$3="Purlin",$B$2="Zone 2"),'GCM_Purlin 1.0'!N490,IF(AND($B$3="Purlin",$B$2="Zone 3"),'GCM_Purlin 1.0'!Y490,IF(AND($B$3="Purlin",$B$2="Zone 4"),'GCM_Purlin 1.0'!AG490,IF(AND($B$3="Purlin",$B$2="Zone 5"),'GCM_Purlin 1.0'!AR490,IF(AND($B$3="Clip",$B$2="Zone 1"),'GCN_Clip 1.0'!H59,IF(AND($B$3="Clip",$B$2="Zone 2"),'GCN_Clip 1.0'!H60,IF(AND($B$3="Clip",$B$2="Zone 3"),'GCN_Clip 1.0'!H61,IF(AND($B$3="Clip",$B$2="Zone 4"),'GCN_Clip 1.0'!H62,IF(AND($B$3="Clip",$B$2="Zone 5"),'GCN_Clip 1.0'!H63,IF(AND($B$3="Post",$B$2="Zone 1"),'GCN_Post 1.0'!J343,IF(AND($B$3="Post",$B$2="Zone 2"),'GCN_Post 1.0'!K343,IF(AND($B$3="Post",$B$2="Zone 3"),'GCN_Post 1.0'!N343,IF(AND($B$3="Post",$B$2="Zone 4"),'GCN_Post 1.0'!O343,IF(AND($B$3="Post",$B$2="Zone 5"),'GCN_Post 1.0'!P343,"ERROR")))))))))))))))))))</f>
        <v/>
      </c>
      <c r="AD229" s="27" t="str">
        <f t="shared" si="60"/>
        <v/>
      </c>
      <c r="AE229" t="str">
        <f t="shared" si="61"/>
        <v/>
      </c>
      <c r="AF229" t="str">
        <f t="shared" si="62"/>
        <v/>
      </c>
      <c r="AG229" t="str">
        <f t="shared" si="63"/>
        <v/>
      </c>
      <c r="AH229" t="str">
        <f t="shared" si="64"/>
        <v/>
      </c>
      <c r="AI229" t="str">
        <f t="shared" si="65"/>
        <v/>
      </c>
      <c r="AJ229" s="82" t="str">
        <f>IF(AND($B$3="Cantilever",$B$2="Zone 1"),'GCM_Cantilever 1.0'!$H420,IF(AND($B$3="Cantilever",$B$2="Zone 2"),'GCM_Cantilever 1.0'!L420,IF(AND($B$3="HalfTracker",$B$2="Zone 1"),'GCM_Halftracker 1.0'!G435,IF(AND($B$3="HalfTracker",$B$2="Zone 2"),'GCM_Halftracker 1.0'!K435,IF(AND($B$3="Purlin",$B$2="Zone 1"),'GCM_Purlin 1.0'!G490,IF(AND($B$3="Purlin",$B$2="Zone 2"),'GCM_Purlin 1.0'!O490,IF(AND($B$3="Purlin",$B$2="Zone 3"),'GCM_Purlin 1.0'!Z490,IF(AND($B$3="Purlin",$B$2="Zone 4"),'GCM_Purlin 1.0'!AH490,IF(AND($B$3="Purlin",$B$2="Zone 5"),'GCM_Purlin 1.0'!AS490,IF(AND($B$3="Clip",$B$2="Zone 1"),'GCN_Clip 1.0'!#REF!,IF(AND($B$3="Clip",$B$2="Zone 2"),'GCN_Clip 1.0'!#REF!,IF(AND($B$3="Clip",$B$2="Zone 3"),'GCN_Clip 1.0'!#REF!,IF(AND($B$3="Clip",$B$2="Zone 4"),'GCN_Clip 1.0'!#REF!,IF(AND($B$3="Clip",$B$2="Zone 5"),'GCN_Clip 1.0'!#REF!,IF(AND($B$3="Post",$B$2="Zone 1"),'GCN_Post 1.0'!Q343,IF(AND($B$3="Post",$B$2="Zone 2"),'GCN_Post 1.0'!R343,IF(AND($B$3="Post",$B$2="Zone 3"),'GCN_Post 1.0'!S343,IF(AND($B$3="Post",$B$2="Zone 4"),'GCN_Post 1.0'!T343,IF(AND($B$3="Post",$B$2="Zone 5"),'GCN_Post 1.0'!V343,"ERROR")))))))))))))))))))</f>
        <v/>
      </c>
      <c r="AL229" s="27" t="str">
        <f t="shared" si="66"/>
        <v/>
      </c>
      <c r="AM229" t="str">
        <f t="shared" si="67"/>
        <v/>
      </c>
      <c r="AN229" t="str">
        <f t="shared" si="68"/>
        <v/>
      </c>
      <c r="AO229" t="str">
        <f t="shared" si="69"/>
        <v/>
      </c>
      <c r="AP229" t="str">
        <f t="shared" si="70"/>
        <v/>
      </c>
      <c r="AQ229" t="str">
        <f t="shared" si="71"/>
        <v/>
      </c>
      <c r="AR229" s="82" t="str">
        <f>IF(AND($B$3="Cantilever",$B$2="Zone 1"),'GCM_Cantilever 1.0'!$I420,IF(AND($B$3="Cantilever",$B$2="Zone 2"),'GCM_Cantilever 1.0'!M420,IF(AND($B$3="HalfTracker",$B$2="Zone 1"),'GCM_Halftracker 1.0'!H435,IF(AND($B$3="HalfTracker",$B$2="Zone 2"),'GCM_Halftracker 1.0'!L435,IF(AND($B$3="Purlin",$B$2="Zone 1"),'GCM_Purlin 1.0'!H490,IF(AND($B$3="Purlin",$B$2="Zone 2"),'GCM_Purlin 1.0'!P490,IF(AND($B$3="Purlin",$B$2="Zone 3"),'GCM_Purlin 1.0'!AA490,IF(AND($B$3="Purlin",$B$2="Zone 4"),'GCM_Purlin 1.0'!AI490,IF(AND($B$3="Purlin",$B$2="Zone 5"),'GCM_Purlin 1.0'!AT490,IF(AND($B$3="Clip",$B$2="Zone 1"),'GCN_Clip 1.0'!#REF!,IF(AND($B$3="Clip",$B$2="Zone 2"),'GCN_Clip 1.0'!#REF!,IF(AND($B$3="Clip",$B$2="Zone 3"),'GCN_Clip 1.0'!#REF!,IF(AND($B$3="Clip",$B$2="Zone 4"),'GCN_Clip 1.0'!#REF!,IF(AND($B$3="Clip",$B$2="Zone 5"),'GCN_Clip 1.0'!#REF!,IF(AND($B$3="Post",$B$2="Zone 1"),'GCN_Post 1.0'!W343,IF(AND($B$3="Post",$B$2="Zone 2"),'GCN_Post 1.0'!X343,IF(AND($B$3="Post",$B$2="Zone 3"),'GCN_Post 1.0'!Y343,IF(AND($B$3="Post",$B$2="Zone 4"),'GCN_Post 1.0'!Z343,IF(AND($B$3="Post",$B$2="Zone 5"),'GCN_Post 1.0'!AA343,"ERROR")))))))))))))))))))</f>
        <v/>
      </c>
    </row>
    <row r="230" spans="6:44" x14ac:dyDescent="0.25">
      <c r="F230">
        <v>57</v>
      </c>
      <c r="G230" s="27" t="str">
        <f t="shared" si="44"/>
        <v/>
      </c>
      <c r="H230" t="str">
        <f t="shared" si="45"/>
        <v/>
      </c>
      <c r="I230" t="str">
        <f t="shared" si="46"/>
        <v/>
      </c>
      <c r="J230" s="28" t="str">
        <f t="shared" si="47"/>
        <v/>
      </c>
      <c r="M230">
        <v>57</v>
      </c>
      <c r="N230" s="27" t="str">
        <f t="shared" si="48"/>
        <v/>
      </c>
      <c r="O230" t="str">
        <f t="shared" si="49"/>
        <v/>
      </c>
      <c r="P230" t="str">
        <f t="shared" si="50"/>
        <v/>
      </c>
      <c r="Q230" t="str">
        <f t="shared" si="51"/>
        <v/>
      </c>
      <c r="R230" t="str">
        <f t="shared" si="52"/>
        <v/>
      </c>
      <c r="S230" t="str">
        <f t="shared" si="53"/>
        <v/>
      </c>
      <c r="T230" s="82" t="str">
        <f>IF(AND($B$3="Cantilever",$B$2="Zone 1"),'GCM_Cantilever 1.0'!$F421,IF(AND($B$3="Cantilever",$B$2="Zone 2"),'GCM_Cantilever 1.0'!J421,IF(AND($B$3="HalfTracker",$B$2="Zone 1"),'GCM_Halftracker 1.0'!E436,IF(AND($B$3="HalfTracker",$B$2="Zone 2"),'GCM_Halftracker 1.0'!I436,IF(AND($B$3="Purlin",$B$2="Zone 1"),'GCM_Purlin 1.0'!E491,IF(AND($B$3="Purlin",$B$2="Zone 2"),'GCM_Purlin 1.0'!M491,IF(AND($B$3="Purlin",$B$2="Zone 3"),'GCM_Purlin 1.0'!X491,IF(AND($B$3="Purlin",$B$2="Zone 4"),'GCM_Purlin 1.0'!AF491,IF(AND($B$3="Purlin",$B$2="Zone 5"),'GCM_Purlin 1.0'!AQ491,IF(AND($B$3="Clip",$B$2="Zone 1"),'GCN_Clip 1.0'!G60,IF(AND($B$3="Clip",$B$2="Zone 2"),'GCN_Clip 1.0'!C61,IF(AND($B$3="Clip",$B$2="Zone 3"),'GCN_Clip 1.0'!G62,IF(AND($B$3="Clip",$B$2="Zone 4"),'GCN_Clip 1.0'!G63,IF(AND($B$3="Clip",$B$2="Zone 5"),'GCN_Clip 1.0'!G64,IF(AND($B$3="Post",$B$2="Zone 1"),'GCN_Post 1.0'!E344,IF(AND($B$3="Post",$B$2="Zone 2"),'GCN_Post 1.0'!F344,IF(AND($B$3="Post",$B$2="Zone 3"),'GCN_Post 1.0'!G344,IF(AND($B$3="Post",$B$2="Zone 4"),'GCN_Post 1.0'!H344,IF(AND($B$3="Post",$B$2="Zone 5"),'GCN_Post 1.0'!I344,"ERROR")))))))))))))))))))</f>
        <v/>
      </c>
      <c r="V230" s="27" t="str">
        <f t="shared" si="54"/>
        <v/>
      </c>
      <c r="W230" t="str">
        <f t="shared" si="55"/>
        <v/>
      </c>
      <c r="X230" t="str">
        <f t="shared" si="56"/>
        <v/>
      </c>
      <c r="Y230" t="str">
        <f t="shared" si="57"/>
        <v/>
      </c>
      <c r="Z230" t="str">
        <f t="shared" si="58"/>
        <v/>
      </c>
      <c r="AA230" t="str">
        <f t="shared" si="59"/>
        <v/>
      </c>
      <c r="AB230" s="82" t="str">
        <f>IF(AND($B$3="Cantilever",$B$2="Zone 1"),'GCM_Cantilever 1.0'!$G421,IF(AND($B$3="Cantilever",$B$2="Zone 2"),'GCM_Cantilever 1.0'!K421,IF(AND($B$3="HalfTracker",$B$2="Zone 1"),'GCM_Halftracker 1.0'!F436,IF(AND($B$3="HalfTracker",$B$2="Zone 2"),'GCM_Halftracker 1.0'!J436,IF(AND($B$3="Purlin",$B$2="Zone 1"),'GCM_Purlin 1.0'!F491,IF(AND($B$3="Purlin",$B$2="Zone 2"),'GCM_Purlin 1.0'!N491,IF(AND($B$3="Purlin",$B$2="Zone 3"),'GCM_Purlin 1.0'!Y491,IF(AND($B$3="Purlin",$B$2="Zone 4"),'GCM_Purlin 1.0'!AG491,IF(AND($B$3="Purlin",$B$2="Zone 5"),'GCM_Purlin 1.0'!AR491,IF(AND($B$3="Clip",$B$2="Zone 1"),'GCN_Clip 1.0'!H60,IF(AND($B$3="Clip",$B$2="Zone 2"),'GCN_Clip 1.0'!H61,IF(AND($B$3="Clip",$B$2="Zone 3"),'GCN_Clip 1.0'!H62,IF(AND($B$3="Clip",$B$2="Zone 4"),'GCN_Clip 1.0'!H63,IF(AND($B$3="Clip",$B$2="Zone 5"),'GCN_Clip 1.0'!H64,IF(AND($B$3="Post",$B$2="Zone 1"),'GCN_Post 1.0'!J344,IF(AND($B$3="Post",$B$2="Zone 2"),'GCN_Post 1.0'!K344,IF(AND($B$3="Post",$B$2="Zone 3"),'GCN_Post 1.0'!N344,IF(AND($B$3="Post",$B$2="Zone 4"),'GCN_Post 1.0'!O344,IF(AND($B$3="Post",$B$2="Zone 5"),'GCN_Post 1.0'!P344,"ERROR")))))))))))))))))))</f>
        <v/>
      </c>
      <c r="AD230" s="27" t="str">
        <f t="shared" si="60"/>
        <v/>
      </c>
      <c r="AE230" t="str">
        <f t="shared" si="61"/>
        <v/>
      </c>
      <c r="AF230" t="str">
        <f t="shared" si="62"/>
        <v/>
      </c>
      <c r="AG230" t="str">
        <f t="shared" si="63"/>
        <v/>
      </c>
      <c r="AH230" t="str">
        <f t="shared" si="64"/>
        <v/>
      </c>
      <c r="AI230" t="str">
        <f t="shared" si="65"/>
        <v/>
      </c>
      <c r="AJ230" s="82" t="str">
        <f>IF(AND($B$3="Cantilever",$B$2="Zone 1"),'GCM_Cantilever 1.0'!$H421,IF(AND($B$3="Cantilever",$B$2="Zone 2"),'GCM_Cantilever 1.0'!L421,IF(AND($B$3="HalfTracker",$B$2="Zone 1"),'GCM_Halftracker 1.0'!G436,IF(AND($B$3="HalfTracker",$B$2="Zone 2"),'GCM_Halftracker 1.0'!K436,IF(AND($B$3="Purlin",$B$2="Zone 1"),'GCM_Purlin 1.0'!G491,IF(AND($B$3="Purlin",$B$2="Zone 2"),'GCM_Purlin 1.0'!O491,IF(AND($B$3="Purlin",$B$2="Zone 3"),'GCM_Purlin 1.0'!Z491,IF(AND($B$3="Purlin",$B$2="Zone 4"),'GCM_Purlin 1.0'!AH491,IF(AND($B$3="Purlin",$B$2="Zone 5"),'GCM_Purlin 1.0'!AS491,IF(AND($B$3="Clip",$B$2="Zone 1"),'GCN_Clip 1.0'!#REF!,IF(AND($B$3="Clip",$B$2="Zone 2"),'GCN_Clip 1.0'!#REF!,IF(AND($B$3="Clip",$B$2="Zone 3"),'GCN_Clip 1.0'!#REF!,IF(AND($B$3="Clip",$B$2="Zone 4"),'GCN_Clip 1.0'!#REF!,IF(AND($B$3="Clip",$B$2="Zone 5"),'GCN_Clip 1.0'!#REF!,IF(AND($B$3="Post",$B$2="Zone 1"),'GCN_Post 1.0'!Q344,IF(AND($B$3="Post",$B$2="Zone 2"),'GCN_Post 1.0'!R344,IF(AND($B$3="Post",$B$2="Zone 3"),'GCN_Post 1.0'!S344,IF(AND($B$3="Post",$B$2="Zone 4"),'GCN_Post 1.0'!T344,IF(AND($B$3="Post",$B$2="Zone 5"),'GCN_Post 1.0'!V344,"ERROR")))))))))))))))))))</f>
        <v/>
      </c>
      <c r="AL230" s="27" t="str">
        <f t="shared" si="66"/>
        <v/>
      </c>
      <c r="AM230" t="str">
        <f t="shared" si="67"/>
        <v/>
      </c>
      <c r="AN230" t="str">
        <f t="shared" si="68"/>
        <v/>
      </c>
      <c r="AO230" t="str">
        <f t="shared" si="69"/>
        <v/>
      </c>
      <c r="AP230" t="str">
        <f t="shared" si="70"/>
        <v/>
      </c>
      <c r="AQ230" t="str">
        <f t="shared" si="71"/>
        <v/>
      </c>
      <c r="AR230" s="82" t="str">
        <f>IF(AND($B$3="Cantilever",$B$2="Zone 1"),'GCM_Cantilever 1.0'!$I421,IF(AND($B$3="Cantilever",$B$2="Zone 2"),'GCM_Cantilever 1.0'!M421,IF(AND($B$3="HalfTracker",$B$2="Zone 1"),'GCM_Halftracker 1.0'!H436,IF(AND($B$3="HalfTracker",$B$2="Zone 2"),'GCM_Halftracker 1.0'!L436,IF(AND($B$3="Purlin",$B$2="Zone 1"),'GCM_Purlin 1.0'!H491,IF(AND($B$3="Purlin",$B$2="Zone 2"),'GCM_Purlin 1.0'!P491,IF(AND($B$3="Purlin",$B$2="Zone 3"),'GCM_Purlin 1.0'!AA491,IF(AND($B$3="Purlin",$B$2="Zone 4"),'GCM_Purlin 1.0'!AI491,IF(AND($B$3="Purlin",$B$2="Zone 5"),'GCM_Purlin 1.0'!AT491,IF(AND($B$3="Clip",$B$2="Zone 1"),'GCN_Clip 1.0'!#REF!,IF(AND($B$3="Clip",$B$2="Zone 2"),'GCN_Clip 1.0'!#REF!,IF(AND($B$3="Clip",$B$2="Zone 3"),'GCN_Clip 1.0'!#REF!,IF(AND($B$3="Clip",$B$2="Zone 4"),'GCN_Clip 1.0'!#REF!,IF(AND($B$3="Clip",$B$2="Zone 5"),'GCN_Clip 1.0'!#REF!,IF(AND($B$3="Post",$B$2="Zone 1"),'GCN_Post 1.0'!W344,IF(AND($B$3="Post",$B$2="Zone 2"),'GCN_Post 1.0'!X344,IF(AND($B$3="Post",$B$2="Zone 3"),'GCN_Post 1.0'!Y344,IF(AND($B$3="Post",$B$2="Zone 4"),'GCN_Post 1.0'!Z344,IF(AND($B$3="Post",$B$2="Zone 5"),'GCN_Post 1.0'!AA344,"ERROR")))))))))))))))))))</f>
        <v/>
      </c>
    </row>
    <row r="231" spans="6:44" x14ac:dyDescent="0.25">
      <c r="F231">
        <v>58</v>
      </c>
      <c r="G231" s="27" t="str">
        <f t="shared" si="44"/>
        <v/>
      </c>
      <c r="H231" t="str">
        <f t="shared" si="45"/>
        <v/>
      </c>
      <c r="I231" t="str">
        <f t="shared" si="46"/>
        <v/>
      </c>
      <c r="J231" s="28" t="str">
        <f t="shared" si="47"/>
        <v/>
      </c>
      <c r="M231">
        <v>58</v>
      </c>
      <c r="N231" s="27" t="str">
        <f t="shared" si="48"/>
        <v/>
      </c>
      <c r="O231" t="str">
        <f t="shared" si="49"/>
        <v/>
      </c>
      <c r="P231" t="str">
        <f t="shared" si="50"/>
        <v/>
      </c>
      <c r="Q231" t="str">
        <f t="shared" si="51"/>
        <v/>
      </c>
      <c r="R231" t="str">
        <f t="shared" si="52"/>
        <v/>
      </c>
      <c r="S231" t="str">
        <f t="shared" si="53"/>
        <v/>
      </c>
      <c r="T231" s="82" t="str">
        <f>IF(AND($B$3="Cantilever",$B$2="Zone 1"),'GCM_Cantilever 1.0'!$F422,IF(AND($B$3="Cantilever",$B$2="Zone 2"),'GCM_Cantilever 1.0'!J422,IF(AND($B$3="HalfTracker",$B$2="Zone 1"),'GCM_Halftracker 1.0'!E437,IF(AND($B$3="HalfTracker",$B$2="Zone 2"),'GCM_Halftracker 1.0'!I437,IF(AND($B$3="Purlin",$B$2="Zone 1"),'GCM_Purlin 1.0'!E492,IF(AND($B$3="Purlin",$B$2="Zone 2"),'GCM_Purlin 1.0'!M492,IF(AND($B$3="Purlin",$B$2="Zone 3"),'GCM_Purlin 1.0'!X492,IF(AND($B$3="Purlin",$B$2="Zone 4"),'GCM_Purlin 1.0'!AF492,IF(AND($B$3="Purlin",$B$2="Zone 5"),'GCM_Purlin 1.0'!AQ492,IF(AND($B$3="Clip",$B$2="Zone 1"),'GCN_Clip 1.0'!G61,IF(AND($B$3="Clip",$B$2="Zone 2"),'GCN_Clip 1.0'!C62,IF(AND($B$3="Clip",$B$2="Zone 3"),'GCN_Clip 1.0'!G63,IF(AND($B$3="Clip",$B$2="Zone 4"),'GCN_Clip 1.0'!G64,IF(AND($B$3="Clip",$B$2="Zone 5"),'GCN_Clip 1.0'!G65,IF(AND($B$3="Post",$B$2="Zone 1"),'GCN_Post 1.0'!E345,IF(AND($B$3="Post",$B$2="Zone 2"),'GCN_Post 1.0'!F345,IF(AND($B$3="Post",$B$2="Zone 3"),'GCN_Post 1.0'!G345,IF(AND($B$3="Post",$B$2="Zone 4"),'GCN_Post 1.0'!H345,IF(AND($B$3="Post",$B$2="Zone 5"),'GCN_Post 1.0'!I345,"ERROR")))))))))))))))))))</f>
        <v/>
      </c>
      <c r="V231" s="27" t="str">
        <f t="shared" si="54"/>
        <v/>
      </c>
      <c r="W231" t="str">
        <f t="shared" si="55"/>
        <v/>
      </c>
      <c r="X231" t="str">
        <f t="shared" si="56"/>
        <v/>
      </c>
      <c r="Y231" t="str">
        <f t="shared" si="57"/>
        <v/>
      </c>
      <c r="Z231" t="str">
        <f t="shared" si="58"/>
        <v/>
      </c>
      <c r="AA231" t="str">
        <f t="shared" si="59"/>
        <v/>
      </c>
      <c r="AB231" s="82" t="str">
        <f>IF(AND($B$3="Cantilever",$B$2="Zone 1"),'GCM_Cantilever 1.0'!$G422,IF(AND($B$3="Cantilever",$B$2="Zone 2"),'GCM_Cantilever 1.0'!K422,IF(AND($B$3="HalfTracker",$B$2="Zone 1"),'GCM_Halftracker 1.0'!F437,IF(AND($B$3="HalfTracker",$B$2="Zone 2"),'GCM_Halftracker 1.0'!J437,IF(AND($B$3="Purlin",$B$2="Zone 1"),'GCM_Purlin 1.0'!F492,IF(AND($B$3="Purlin",$B$2="Zone 2"),'GCM_Purlin 1.0'!N492,IF(AND($B$3="Purlin",$B$2="Zone 3"),'GCM_Purlin 1.0'!Y492,IF(AND($B$3="Purlin",$B$2="Zone 4"),'GCM_Purlin 1.0'!AG492,IF(AND($B$3="Purlin",$B$2="Zone 5"),'GCM_Purlin 1.0'!AR492,IF(AND($B$3="Clip",$B$2="Zone 1"),'GCN_Clip 1.0'!H61,IF(AND($B$3="Clip",$B$2="Zone 2"),'GCN_Clip 1.0'!H62,IF(AND($B$3="Clip",$B$2="Zone 3"),'GCN_Clip 1.0'!H63,IF(AND($B$3="Clip",$B$2="Zone 4"),'GCN_Clip 1.0'!H64,IF(AND($B$3="Clip",$B$2="Zone 5"),'GCN_Clip 1.0'!H65,IF(AND($B$3="Post",$B$2="Zone 1"),'GCN_Post 1.0'!J345,IF(AND($B$3="Post",$B$2="Zone 2"),'GCN_Post 1.0'!K345,IF(AND($B$3="Post",$B$2="Zone 3"),'GCN_Post 1.0'!N345,IF(AND($B$3="Post",$B$2="Zone 4"),'GCN_Post 1.0'!O345,IF(AND($B$3="Post",$B$2="Zone 5"),'GCN_Post 1.0'!P345,"ERROR")))))))))))))))))))</f>
        <v/>
      </c>
      <c r="AD231" s="27" t="str">
        <f t="shared" si="60"/>
        <v/>
      </c>
      <c r="AE231" t="str">
        <f t="shared" si="61"/>
        <v/>
      </c>
      <c r="AF231" t="str">
        <f t="shared" si="62"/>
        <v/>
      </c>
      <c r="AG231" t="str">
        <f t="shared" si="63"/>
        <v/>
      </c>
      <c r="AH231" t="str">
        <f t="shared" si="64"/>
        <v/>
      </c>
      <c r="AI231" t="str">
        <f t="shared" si="65"/>
        <v/>
      </c>
      <c r="AJ231" s="82" t="str">
        <f>IF(AND($B$3="Cantilever",$B$2="Zone 1"),'GCM_Cantilever 1.0'!$H422,IF(AND($B$3="Cantilever",$B$2="Zone 2"),'GCM_Cantilever 1.0'!L422,IF(AND($B$3="HalfTracker",$B$2="Zone 1"),'GCM_Halftracker 1.0'!G437,IF(AND($B$3="HalfTracker",$B$2="Zone 2"),'GCM_Halftracker 1.0'!K437,IF(AND($B$3="Purlin",$B$2="Zone 1"),'GCM_Purlin 1.0'!G492,IF(AND($B$3="Purlin",$B$2="Zone 2"),'GCM_Purlin 1.0'!O492,IF(AND($B$3="Purlin",$B$2="Zone 3"),'GCM_Purlin 1.0'!Z492,IF(AND($B$3="Purlin",$B$2="Zone 4"),'GCM_Purlin 1.0'!AH492,IF(AND($B$3="Purlin",$B$2="Zone 5"),'GCM_Purlin 1.0'!AS492,IF(AND($B$3="Clip",$B$2="Zone 1"),'GCN_Clip 1.0'!#REF!,IF(AND($B$3="Clip",$B$2="Zone 2"),'GCN_Clip 1.0'!#REF!,IF(AND($B$3="Clip",$B$2="Zone 3"),'GCN_Clip 1.0'!#REF!,IF(AND($B$3="Clip",$B$2="Zone 4"),'GCN_Clip 1.0'!#REF!,IF(AND($B$3="Clip",$B$2="Zone 5"),'GCN_Clip 1.0'!#REF!,IF(AND($B$3="Post",$B$2="Zone 1"),'GCN_Post 1.0'!Q345,IF(AND($B$3="Post",$B$2="Zone 2"),'GCN_Post 1.0'!R345,IF(AND($B$3="Post",$B$2="Zone 3"),'GCN_Post 1.0'!S345,IF(AND($B$3="Post",$B$2="Zone 4"),'GCN_Post 1.0'!T345,IF(AND($B$3="Post",$B$2="Zone 5"),'GCN_Post 1.0'!V345,"ERROR")))))))))))))))))))</f>
        <v/>
      </c>
      <c r="AL231" s="27" t="str">
        <f t="shared" si="66"/>
        <v/>
      </c>
      <c r="AM231" t="str">
        <f t="shared" si="67"/>
        <v/>
      </c>
      <c r="AN231" t="str">
        <f t="shared" si="68"/>
        <v/>
      </c>
      <c r="AO231" t="str">
        <f t="shared" si="69"/>
        <v/>
      </c>
      <c r="AP231" t="str">
        <f t="shared" si="70"/>
        <v/>
      </c>
      <c r="AQ231" t="str">
        <f t="shared" si="71"/>
        <v/>
      </c>
      <c r="AR231" s="82" t="str">
        <f>IF(AND($B$3="Cantilever",$B$2="Zone 1"),'GCM_Cantilever 1.0'!$I422,IF(AND($B$3="Cantilever",$B$2="Zone 2"),'GCM_Cantilever 1.0'!M422,IF(AND($B$3="HalfTracker",$B$2="Zone 1"),'GCM_Halftracker 1.0'!H437,IF(AND($B$3="HalfTracker",$B$2="Zone 2"),'GCM_Halftracker 1.0'!L437,IF(AND($B$3="Purlin",$B$2="Zone 1"),'GCM_Purlin 1.0'!H492,IF(AND($B$3="Purlin",$B$2="Zone 2"),'GCM_Purlin 1.0'!P492,IF(AND($B$3="Purlin",$B$2="Zone 3"),'GCM_Purlin 1.0'!AA492,IF(AND($B$3="Purlin",$B$2="Zone 4"),'GCM_Purlin 1.0'!AI492,IF(AND($B$3="Purlin",$B$2="Zone 5"),'GCM_Purlin 1.0'!AT492,IF(AND($B$3="Clip",$B$2="Zone 1"),'GCN_Clip 1.0'!#REF!,IF(AND($B$3="Clip",$B$2="Zone 2"),'GCN_Clip 1.0'!#REF!,IF(AND($B$3="Clip",$B$2="Zone 3"),'GCN_Clip 1.0'!#REF!,IF(AND($B$3="Clip",$B$2="Zone 4"),'GCN_Clip 1.0'!#REF!,IF(AND($B$3="Clip",$B$2="Zone 5"),'GCN_Clip 1.0'!#REF!,IF(AND($B$3="Post",$B$2="Zone 1"),'GCN_Post 1.0'!W345,IF(AND($B$3="Post",$B$2="Zone 2"),'GCN_Post 1.0'!X345,IF(AND($B$3="Post",$B$2="Zone 3"),'GCN_Post 1.0'!Y345,IF(AND($B$3="Post",$B$2="Zone 4"),'GCN_Post 1.0'!Z345,IF(AND($B$3="Post",$B$2="Zone 5"),'GCN_Post 1.0'!AA345,"ERROR")))))))))))))))))))</f>
        <v/>
      </c>
    </row>
    <row r="232" spans="6:44" x14ac:dyDescent="0.25">
      <c r="F232">
        <v>59</v>
      </c>
      <c r="G232" s="27" t="str">
        <f t="shared" si="44"/>
        <v/>
      </c>
      <c r="H232" t="str">
        <f t="shared" si="45"/>
        <v/>
      </c>
      <c r="I232" t="str">
        <f t="shared" si="46"/>
        <v/>
      </c>
      <c r="J232" s="28" t="str">
        <f t="shared" si="47"/>
        <v/>
      </c>
      <c r="M232">
        <v>59</v>
      </c>
      <c r="N232" s="27" t="str">
        <f t="shared" si="48"/>
        <v/>
      </c>
      <c r="O232" t="str">
        <f t="shared" si="49"/>
        <v/>
      </c>
      <c r="P232" t="str">
        <f t="shared" si="50"/>
        <v/>
      </c>
      <c r="Q232" t="str">
        <f t="shared" si="51"/>
        <v/>
      </c>
      <c r="R232" t="str">
        <f t="shared" si="52"/>
        <v/>
      </c>
      <c r="S232" t="str">
        <f t="shared" si="53"/>
        <v/>
      </c>
      <c r="T232" s="82" t="str">
        <f>IF(AND($B$3="Cantilever",$B$2="Zone 1"),'GCM_Cantilever 1.0'!$F423,IF(AND($B$3="Cantilever",$B$2="Zone 2"),'GCM_Cantilever 1.0'!J423,IF(AND($B$3="HalfTracker",$B$2="Zone 1"),'GCM_Halftracker 1.0'!E438,IF(AND($B$3="HalfTracker",$B$2="Zone 2"),'GCM_Halftracker 1.0'!I438,IF(AND($B$3="Purlin",$B$2="Zone 1"),'GCM_Purlin 1.0'!E493,IF(AND($B$3="Purlin",$B$2="Zone 2"),'GCM_Purlin 1.0'!M493,IF(AND($B$3="Purlin",$B$2="Zone 3"),'GCM_Purlin 1.0'!X493,IF(AND($B$3="Purlin",$B$2="Zone 4"),'GCM_Purlin 1.0'!AF493,IF(AND($B$3="Purlin",$B$2="Zone 5"),'GCM_Purlin 1.0'!AQ493,IF(AND($B$3="Clip",$B$2="Zone 1"),'GCN_Clip 1.0'!G62,IF(AND($B$3="Clip",$B$2="Zone 2"),'GCN_Clip 1.0'!C63,IF(AND($B$3="Clip",$B$2="Zone 3"),'GCN_Clip 1.0'!G64,IF(AND($B$3="Clip",$B$2="Zone 4"),'GCN_Clip 1.0'!G65,IF(AND($B$3="Clip",$B$2="Zone 5"),'GCN_Clip 1.0'!G66,IF(AND($B$3="Post",$B$2="Zone 1"),'GCN_Post 1.0'!E346,IF(AND($B$3="Post",$B$2="Zone 2"),'GCN_Post 1.0'!F346,IF(AND($B$3="Post",$B$2="Zone 3"),'GCN_Post 1.0'!G346,IF(AND($B$3="Post",$B$2="Zone 4"),'GCN_Post 1.0'!H346,IF(AND($B$3="Post",$B$2="Zone 5"),'GCN_Post 1.0'!I346,"ERROR")))))))))))))))))))</f>
        <v/>
      </c>
      <c r="V232" s="27" t="str">
        <f t="shared" si="54"/>
        <v/>
      </c>
      <c r="W232" t="str">
        <f t="shared" si="55"/>
        <v/>
      </c>
      <c r="X232" t="str">
        <f t="shared" si="56"/>
        <v/>
      </c>
      <c r="Y232" t="str">
        <f t="shared" si="57"/>
        <v/>
      </c>
      <c r="Z232" t="str">
        <f t="shared" si="58"/>
        <v/>
      </c>
      <c r="AA232" t="str">
        <f t="shared" si="59"/>
        <v/>
      </c>
      <c r="AB232" s="82" t="str">
        <f>IF(AND($B$3="Cantilever",$B$2="Zone 1"),'GCM_Cantilever 1.0'!$G423,IF(AND($B$3="Cantilever",$B$2="Zone 2"),'GCM_Cantilever 1.0'!K423,IF(AND($B$3="HalfTracker",$B$2="Zone 1"),'GCM_Halftracker 1.0'!F438,IF(AND($B$3="HalfTracker",$B$2="Zone 2"),'GCM_Halftracker 1.0'!J438,IF(AND($B$3="Purlin",$B$2="Zone 1"),'GCM_Purlin 1.0'!F493,IF(AND($B$3="Purlin",$B$2="Zone 2"),'GCM_Purlin 1.0'!N493,IF(AND($B$3="Purlin",$B$2="Zone 3"),'GCM_Purlin 1.0'!Y493,IF(AND($B$3="Purlin",$B$2="Zone 4"),'GCM_Purlin 1.0'!AG493,IF(AND($B$3="Purlin",$B$2="Zone 5"),'GCM_Purlin 1.0'!AR493,IF(AND($B$3="Clip",$B$2="Zone 1"),'GCN_Clip 1.0'!H62,IF(AND($B$3="Clip",$B$2="Zone 2"),'GCN_Clip 1.0'!H63,IF(AND($B$3="Clip",$B$2="Zone 3"),'GCN_Clip 1.0'!H64,IF(AND($B$3="Clip",$B$2="Zone 4"),'GCN_Clip 1.0'!H65,IF(AND($B$3="Clip",$B$2="Zone 5"),'GCN_Clip 1.0'!H66,IF(AND($B$3="Post",$B$2="Zone 1"),'GCN_Post 1.0'!J346,IF(AND($B$3="Post",$B$2="Zone 2"),'GCN_Post 1.0'!K346,IF(AND($B$3="Post",$B$2="Zone 3"),'GCN_Post 1.0'!N346,IF(AND($B$3="Post",$B$2="Zone 4"),'GCN_Post 1.0'!O346,IF(AND($B$3="Post",$B$2="Zone 5"),'GCN_Post 1.0'!P346,"ERROR")))))))))))))))))))</f>
        <v/>
      </c>
      <c r="AD232" s="27" t="str">
        <f t="shared" si="60"/>
        <v/>
      </c>
      <c r="AE232" t="str">
        <f t="shared" si="61"/>
        <v/>
      </c>
      <c r="AF232" t="str">
        <f t="shared" si="62"/>
        <v/>
      </c>
      <c r="AG232" t="str">
        <f t="shared" si="63"/>
        <v/>
      </c>
      <c r="AH232" t="str">
        <f t="shared" si="64"/>
        <v/>
      </c>
      <c r="AI232" t="str">
        <f t="shared" si="65"/>
        <v/>
      </c>
      <c r="AJ232" s="82" t="str">
        <f>IF(AND($B$3="Cantilever",$B$2="Zone 1"),'GCM_Cantilever 1.0'!$H423,IF(AND($B$3="Cantilever",$B$2="Zone 2"),'GCM_Cantilever 1.0'!L423,IF(AND($B$3="HalfTracker",$B$2="Zone 1"),'GCM_Halftracker 1.0'!G438,IF(AND($B$3="HalfTracker",$B$2="Zone 2"),'GCM_Halftracker 1.0'!K438,IF(AND($B$3="Purlin",$B$2="Zone 1"),'GCM_Purlin 1.0'!G493,IF(AND($B$3="Purlin",$B$2="Zone 2"),'GCM_Purlin 1.0'!O493,IF(AND($B$3="Purlin",$B$2="Zone 3"),'GCM_Purlin 1.0'!Z493,IF(AND($B$3="Purlin",$B$2="Zone 4"),'GCM_Purlin 1.0'!AH493,IF(AND($B$3="Purlin",$B$2="Zone 5"),'GCM_Purlin 1.0'!AS493,IF(AND($B$3="Clip",$B$2="Zone 1"),'GCN_Clip 1.0'!#REF!,IF(AND($B$3="Clip",$B$2="Zone 2"),'GCN_Clip 1.0'!#REF!,IF(AND($B$3="Clip",$B$2="Zone 3"),'GCN_Clip 1.0'!#REF!,IF(AND($B$3="Clip",$B$2="Zone 4"),'GCN_Clip 1.0'!#REF!,IF(AND($B$3="Clip",$B$2="Zone 5"),'GCN_Clip 1.0'!#REF!,IF(AND($B$3="Post",$B$2="Zone 1"),'GCN_Post 1.0'!Q346,IF(AND($B$3="Post",$B$2="Zone 2"),'GCN_Post 1.0'!R346,IF(AND($B$3="Post",$B$2="Zone 3"),'GCN_Post 1.0'!S346,IF(AND($B$3="Post",$B$2="Zone 4"),'GCN_Post 1.0'!T346,IF(AND($B$3="Post",$B$2="Zone 5"),'GCN_Post 1.0'!V346,"ERROR")))))))))))))))))))</f>
        <v/>
      </c>
      <c r="AL232" s="27" t="str">
        <f t="shared" si="66"/>
        <v/>
      </c>
      <c r="AM232" t="str">
        <f t="shared" si="67"/>
        <v/>
      </c>
      <c r="AN232" t="str">
        <f t="shared" si="68"/>
        <v/>
      </c>
      <c r="AO232" t="str">
        <f t="shared" si="69"/>
        <v/>
      </c>
      <c r="AP232" t="str">
        <f t="shared" si="70"/>
        <v/>
      </c>
      <c r="AQ232" t="str">
        <f t="shared" si="71"/>
        <v/>
      </c>
      <c r="AR232" s="82" t="str">
        <f>IF(AND($B$3="Cantilever",$B$2="Zone 1"),'GCM_Cantilever 1.0'!$I423,IF(AND($B$3="Cantilever",$B$2="Zone 2"),'GCM_Cantilever 1.0'!M423,IF(AND($B$3="HalfTracker",$B$2="Zone 1"),'GCM_Halftracker 1.0'!H438,IF(AND($B$3="HalfTracker",$B$2="Zone 2"),'GCM_Halftracker 1.0'!L438,IF(AND($B$3="Purlin",$B$2="Zone 1"),'GCM_Purlin 1.0'!H493,IF(AND($B$3="Purlin",$B$2="Zone 2"),'GCM_Purlin 1.0'!P493,IF(AND($B$3="Purlin",$B$2="Zone 3"),'GCM_Purlin 1.0'!AA493,IF(AND($B$3="Purlin",$B$2="Zone 4"),'GCM_Purlin 1.0'!AI493,IF(AND($B$3="Purlin",$B$2="Zone 5"),'GCM_Purlin 1.0'!AT493,IF(AND($B$3="Clip",$B$2="Zone 1"),'GCN_Clip 1.0'!#REF!,IF(AND($B$3="Clip",$B$2="Zone 2"),'GCN_Clip 1.0'!#REF!,IF(AND($B$3="Clip",$B$2="Zone 3"),'GCN_Clip 1.0'!#REF!,IF(AND($B$3="Clip",$B$2="Zone 4"),'GCN_Clip 1.0'!#REF!,IF(AND($B$3="Clip",$B$2="Zone 5"),'GCN_Clip 1.0'!#REF!,IF(AND($B$3="Post",$B$2="Zone 1"),'GCN_Post 1.0'!W346,IF(AND($B$3="Post",$B$2="Zone 2"),'GCN_Post 1.0'!X346,IF(AND($B$3="Post",$B$2="Zone 3"),'GCN_Post 1.0'!Y346,IF(AND($B$3="Post",$B$2="Zone 4"),'GCN_Post 1.0'!Z346,IF(AND($B$3="Post",$B$2="Zone 5"),'GCN_Post 1.0'!AA346,"ERROR")))))))))))))))))))</f>
        <v/>
      </c>
    </row>
    <row r="233" spans="6:44" x14ac:dyDescent="0.25">
      <c r="F233">
        <v>60</v>
      </c>
      <c r="G233" s="27" t="str">
        <f t="shared" si="44"/>
        <v/>
      </c>
      <c r="H233" t="str">
        <f t="shared" si="45"/>
        <v/>
      </c>
      <c r="I233" t="str">
        <f t="shared" si="46"/>
        <v/>
      </c>
      <c r="J233" s="28" t="str">
        <f t="shared" si="47"/>
        <v/>
      </c>
      <c r="M233">
        <v>60</v>
      </c>
      <c r="N233" s="27" t="str">
        <f t="shared" si="48"/>
        <v/>
      </c>
      <c r="O233" t="str">
        <f t="shared" si="49"/>
        <v/>
      </c>
      <c r="P233" t="str">
        <f t="shared" si="50"/>
        <v/>
      </c>
      <c r="Q233" t="str">
        <f t="shared" si="51"/>
        <v/>
      </c>
      <c r="R233" t="str">
        <f t="shared" si="52"/>
        <v/>
      </c>
      <c r="S233" t="str">
        <f t="shared" si="53"/>
        <v/>
      </c>
      <c r="T233" s="82" t="str">
        <f>IF(AND($B$3="Cantilever",$B$2="Zone 1"),'GCM_Cantilever 1.0'!$F424,IF(AND($B$3="Cantilever",$B$2="Zone 2"),'GCM_Cantilever 1.0'!J424,IF(AND($B$3="HalfTracker",$B$2="Zone 1"),'GCM_Halftracker 1.0'!E439,IF(AND($B$3="HalfTracker",$B$2="Zone 2"),'GCM_Halftracker 1.0'!I439,IF(AND($B$3="Purlin",$B$2="Zone 1"),'GCM_Purlin 1.0'!E494,IF(AND($B$3="Purlin",$B$2="Zone 2"),'GCM_Purlin 1.0'!M494,IF(AND($B$3="Purlin",$B$2="Zone 3"),'GCM_Purlin 1.0'!X494,IF(AND($B$3="Purlin",$B$2="Zone 4"),'GCM_Purlin 1.0'!AF494,IF(AND($B$3="Purlin",$B$2="Zone 5"),'GCM_Purlin 1.0'!AQ494,IF(AND($B$3="Clip",$B$2="Zone 1"),'GCN_Clip 1.0'!G63,IF(AND($B$3="Clip",$B$2="Zone 2"),'GCN_Clip 1.0'!C64,IF(AND($B$3="Clip",$B$2="Zone 3"),'GCN_Clip 1.0'!G65,IF(AND($B$3="Clip",$B$2="Zone 4"),'GCN_Clip 1.0'!G66,IF(AND($B$3="Clip",$B$2="Zone 5"),'GCN_Clip 1.0'!G67,IF(AND($B$3="Post",$B$2="Zone 1"),'GCN_Post 1.0'!E347,IF(AND($B$3="Post",$B$2="Zone 2"),'GCN_Post 1.0'!F347,IF(AND($B$3="Post",$B$2="Zone 3"),'GCN_Post 1.0'!G347,IF(AND($B$3="Post",$B$2="Zone 4"),'GCN_Post 1.0'!H347,IF(AND($B$3="Post",$B$2="Zone 5"),'GCN_Post 1.0'!I347,"ERROR")))))))))))))))))))</f>
        <v/>
      </c>
      <c r="V233" s="27" t="str">
        <f t="shared" si="54"/>
        <v/>
      </c>
      <c r="W233" t="str">
        <f t="shared" si="55"/>
        <v/>
      </c>
      <c r="X233" t="str">
        <f t="shared" si="56"/>
        <v/>
      </c>
      <c r="Y233" t="str">
        <f t="shared" si="57"/>
        <v/>
      </c>
      <c r="Z233" t="str">
        <f t="shared" si="58"/>
        <v/>
      </c>
      <c r="AA233" t="str">
        <f t="shared" si="59"/>
        <v/>
      </c>
      <c r="AB233" s="82" t="str">
        <f>IF(AND($B$3="Cantilever",$B$2="Zone 1"),'GCM_Cantilever 1.0'!$G424,IF(AND($B$3="Cantilever",$B$2="Zone 2"),'GCM_Cantilever 1.0'!K424,IF(AND($B$3="HalfTracker",$B$2="Zone 1"),'GCM_Halftracker 1.0'!F439,IF(AND($B$3="HalfTracker",$B$2="Zone 2"),'GCM_Halftracker 1.0'!J439,IF(AND($B$3="Purlin",$B$2="Zone 1"),'GCM_Purlin 1.0'!F494,IF(AND($B$3="Purlin",$B$2="Zone 2"),'GCM_Purlin 1.0'!N494,IF(AND($B$3="Purlin",$B$2="Zone 3"),'GCM_Purlin 1.0'!Y494,IF(AND($B$3="Purlin",$B$2="Zone 4"),'GCM_Purlin 1.0'!AG494,IF(AND($B$3="Purlin",$B$2="Zone 5"),'GCM_Purlin 1.0'!AR494,IF(AND($B$3="Clip",$B$2="Zone 1"),'GCN_Clip 1.0'!H63,IF(AND($B$3="Clip",$B$2="Zone 2"),'GCN_Clip 1.0'!H64,IF(AND($B$3="Clip",$B$2="Zone 3"),'GCN_Clip 1.0'!H65,IF(AND($B$3="Clip",$B$2="Zone 4"),'GCN_Clip 1.0'!H66,IF(AND($B$3="Clip",$B$2="Zone 5"),'GCN_Clip 1.0'!H67,IF(AND($B$3="Post",$B$2="Zone 1"),'GCN_Post 1.0'!J347,IF(AND($B$3="Post",$B$2="Zone 2"),'GCN_Post 1.0'!K347,IF(AND($B$3="Post",$B$2="Zone 3"),'GCN_Post 1.0'!N347,IF(AND($B$3="Post",$B$2="Zone 4"),'GCN_Post 1.0'!O347,IF(AND($B$3="Post",$B$2="Zone 5"),'GCN_Post 1.0'!P347,"ERROR")))))))))))))))))))</f>
        <v/>
      </c>
      <c r="AD233" s="27" t="str">
        <f t="shared" si="60"/>
        <v/>
      </c>
      <c r="AE233" t="str">
        <f t="shared" si="61"/>
        <v/>
      </c>
      <c r="AF233" t="str">
        <f t="shared" si="62"/>
        <v/>
      </c>
      <c r="AG233" t="str">
        <f t="shared" si="63"/>
        <v/>
      </c>
      <c r="AH233" t="str">
        <f t="shared" si="64"/>
        <v/>
      </c>
      <c r="AI233" t="str">
        <f t="shared" si="65"/>
        <v/>
      </c>
      <c r="AJ233" s="82" t="str">
        <f>IF(AND($B$3="Cantilever",$B$2="Zone 1"),'GCM_Cantilever 1.0'!$H424,IF(AND($B$3="Cantilever",$B$2="Zone 2"),'GCM_Cantilever 1.0'!L424,IF(AND($B$3="HalfTracker",$B$2="Zone 1"),'GCM_Halftracker 1.0'!G439,IF(AND($B$3="HalfTracker",$B$2="Zone 2"),'GCM_Halftracker 1.0'!K439,IF(AND($B$3="Purlin",$B$2="Zone 1"),'GCM_Purlin 1.0'!G494,IF(AND($B$3="Purlin",$B$2="Zone 2"),'GCM_Purlin 1.0'!O494,IF(AND($B$3="Purlin",$B$2="Zone 3"),'GCM_Purlin 1.0'!Z494,IF(AND($B$3="Purlin",$B$2="Zone 4"),'GCM_Purlin 1.0'!AH494,IF(AND($B$3="Purlin",$B$2="Zone 5"),'GCM_Purlin 1.0'!AS494,IF(AND($B$3="Clip",$B$2="Zone 1"),'GCN_Clip 1.0'!#REF!,IF(AND($B$3="Clip",$B$2="Zone 2"),'GCN_Clip 1.0'!#REF!,IF(AND($B$3="Clip",$B$2="Zone 3"),'GCN_Clip 1.0'!#REF!,IF(AND($B$3="Clip",$B$2="Zone 4"),'GCN_Clip 1.0'!#REF!,IF(AND($B$3="Clip",$B$2="Zone 5"),'GCN_Clip 1.0'!#REF!,IF(AND($B$3="Post",$B$2="Zone 1"),'GCN_Post 1.0'!Q347,IF(AND($B$3="Post",$B$2="Zone 2"),'GCN_Post 1.0'!R347,IF(AND($B$3="Post",$B$2="Zone 3"),'GCN_Post 1.0'!S347,IF(AND($B$3="Post",$B$2="Zone 4"),'GCN_Post 1.0'!T347,IF(AND($B$3="Post",$B$2="Zone 5"),'GCN_Post 1.0'!V347,"ERROR")))))))))))))))))))</f>
        <v/>
      </c>
      <c r="AL233" s="27" t="str">
        <f t="shared" si="66"/>
        <v/>
      </c>
      <c r="AM233" t="str">
        <f t="shared" si="67"/>
        <v/>
      </c>
      <c r="AN233" t="str">
        <f t="shared" si="68"/>
        <v/>
      </c>
      <c r="AO233" t="str">
        <f t="shared" si="69"/>
        <v/>
      </c>
      <c r="AP233" t="str">
        <f t="shared" si="70"/>
        <v/>
      </c>
      <c r="AQ233" t="str">
        <f t="shared" si="71"/>
        <v/>
      </c>
      <c r="AR233" s="82" t="str">
        <f>IF(AND($B$3="Cantilever",$B$2="Zone 1"),'GCM_Cantilever 1.0'!$I424,IF(AND($B$3="Cantilever",$B$2="Zone 2"),'GCM_Cantilever 1.0'!M424,IF(AND($B$3="HalfTracker",$B$2="Zone 1"),'GCM_Halftracker 1.0'!H439,IF(AND($B$3="HalfTracker",$B$2="Zone 2"),'GCM_Halftracker 1.0'!L439,IF(AND($B$3="Purlin",$B$2="Zone 1"),'GCM_Purlin 1.0'!H494,IF(AND($B$3="Purlin",$B$2="Zone 2"),'GCM_Purlin 1.0'!P494,IF(AND($B$3="Purlin",$B$2="Zone 3"),'GCM_Purlin 1.0'!AA494,IF(AND($B$3="Purlin",$B$2="Zone 4"),'GCM_Purlin 1.0'!AI494,IF(AND($B$3="Purlin",$B$2="Zone 5"),'GCM_Purlin 1.0'!AT494,IF(AND($B$3="Clip",$B$2="Zone 1"),'GCN_Clip 1.0'!#REF!,IF(AND($B$3="Clip",$B$2="Zone 2"),'GCN_Clip 1.0'!#REF!,IF(AND($B$3="Clip",$B$2="Zone 3"),'GCN_Clip 1.0'!#REF!,IF(AND($B$3="Clip",$B$2="Zone 4"),'GCN_Clip 1.0'!#REF!,IF(AND($B$3="Clip",$B$2="Zone 5"),'GCN_Clip 1.0'!#REF!,IF(AND($B$3="Post",$B$2="Zone 1"),'GCN_Post 1.0'!W347,IF(AND($B$3="Post",$B$2="Zone 2"),'GCN_Post 1.0'!X347,IF(AND($B$3="Post",$B$2="Zone 3"),'GCN_Post 1.0'!Y347,IF(AND($B$3="Post",$B$2="Zone 4"),'GCN_Post 1.0'!Z347,IF(AND($B$3="Post",$B$2="Zone 5"),'GCN_Post 1.0'!AA347,"ERROR")))))))))))))))))))</f>
        <v/>
      </c>
    </row>
    <row r="234" spans="6:44" x14ac:dyDescent="0.25">
      <c r="F234">
        <v>61</v>
      </c>
      <c r="G234" s="27" t="str">
        <f t="shared" si="44"/>
        <v/>
      </c>
      <c r="H234" t="str">
        <f t="shared" si="45"/>
        <v/>
      </c>
      <c r="I234" t="str">
        <f t="shared" si="46"/>
        <v/>
      </c>
      <c r="J234" s="28" t="str">
        <f t="shared" si="47"/>
        <v/>
      </c>
      <c r="M234">
        <v>61</v>
      </c>
      <c r="N234" s="27" t="str">
        <f t="shared" si="48"/>
        <v/>
      </c>
      <c r="O234" t="str">
        <f t="shared" si="49"/>
        <v/>
      </c>
      <c r="P234" t="str">
        <f t="shared" si="50"/>
        <v/>
      </c>
      <c r="Q234" t="str">
        <f t="shared" si="51"/>
        <v/>
      </c>
      <c r="R234" t="str">
        <f t="shared" si="52"/>
        <v/>
      </c>
      <c r="S234" t="str">
        <f t="shared" si="53"/>
        <v/>
      </c>
      <c r="T234" s="82" t="str">
        <f>IF(AND($B$3="Cantilever",$B$2="Zone 1"),'GCM_Cantilever 1.0'!$F425,IF(AND($B$3="Cantilever",$B$2="Zone 2"),'GCM_Cantilever 1.0'!J425,IF(AND($B$3="HalfTracker",$B$2="Zone 1"),'GCM_Halftracker 1.0'!E440,IF(AND($B$3="HalfTracker",$B$2="Zone 2"),'GCM_Halftracker 1.0'!I440,IF(AND($B$3="Purlin",$B$2="Zone 1"),'GCM_Purlin 1.0'!E495,IF(AND($B$3="Purlin",$B$2="Zone 2"),'GCM_Purlin 1.0'!M495,IF(AND($B$3="Purlin",$B$2="Zone 3"),'GCM_Purlin 1.0'!X495,IF(AND($B$3="Purlin",$B$2="Zone 4"),'GCM_Purlin 1.0'!AF495,IF(AND($B$3="Purlin",$B$2="Zone 5"),'GCM_Purlin 1.0'!AQ495,IF(AND($B$3="Clip",$B$2="Zone 1"),'GCN_Clip 1.0'!G64,IF(AND($B$3="Clip",$B$2="Zone 2"),'GCN_Clip 1.0'!C65,IF(AND($B$3="Clip",$B$2="Zone 3"),'GCN_Clip 1.0'!G66,IF(AND($B$3="Clip",$B$2="Zone 4"),'GCN_Clip 1.0'!G67,IF(AND($B$3="Clip",$B$2="Zone 5"),'GCN_Clip 1.0'!G68,IF(AND($B$3="Post",$B$2="Zone 1"),'GCN_Post 1.0'!E348,IF(AND($B$3="Post",$B$2="Zone 2"),'GCN_Post 1.0'!F348,IF(AND($B$3="Post",$B$2="Zone 3"),'GCN_Post 1.0'!G348,IF(AND($B$3="Post",$B$2="Zone 4"),'GCN_Post 1.0'!H348,IF(AND($B$3="Post",$B$2="Zone 5"),'GCN_Post 1.0'!I348,"ERROR")))))))))))))))))))</f>
        <v/>
      </c>
      <c r="V234" s="27" t="str">
        <f t="shared" si="54"/>
        <v/>
      </c>
      <c r="W234" t="str">
        <f t="shared" si="55"/>
        <v/>
      </c>
      <c r="X234" t="str">
        <f t="shared" si="56"/>
        <v/>
      </c>
      <c r="Y234" t="str">
        <f t="shared" si="57"/>
        <v/>
      </c>
      <c r="Z234" t="str">
        <f t="shared" si="58"/>
        <v/>
      </c>
      <c r="AA234" t="str">
        <f t="shared" si="59"/>
        <v/>
      </c>
      <c r="AB234" s="82" t="str">
        <f>IF(AND($B$3="Cantilever",$B$2="Zone 1"),'GCM_Cantilever 1.0'!$G425,IF(AND($B$3="Cantilever",$B$2="Zone 2"),'GCM_Cantilever 1.0'!K425,IF(AND($B$3="HalfTracker",$B$2="Zone 1"),'GCM_Halftracker 1.0'!F440,IF(AND($B$3="HalfTracker",$B$2="Zone 2"),'GCM_Halftracker 1.0'!J440,IF(AND($B$3="Purlin",$B$2="Zone 1"),'GCM_Purlin 1.0'!F495,IF(AND($B$3="Purlin",$B$2="Zone 2"),'GCM_Purlin 1.0'!N495,IF(AND($B$3="Purlin",$B$2="Zone 3"),'GCM_Purlin 1.0'!Y495,IF(AND($B$3="Purlin",$B$2="Zone 4"),'GCM_Purlin 1.0'!AG495,IF(AND($B$3="Purlin",$B$2="Zone 5"),'GCM_Purlin 1.0'!AR495,IF(AND($B$3="Clip",$B$2="Zone 1"),'GCN_Clip 1.0'!H64,IF(AND($B$3="Clip",$B$2="Zone 2"),'GCN_Clip 1.0'!H65,IF(AND($B$3="Clip",$B$2="Zone 3"),'GCN_Clip 1.0'!H66,IF(AND($B$3="Clip",$B$2="Zone 4"),'GCN_Clip 1.0'!H67,IF(AND($B$3="Clip",$B$2="Zone 5"),'GCN_Clip 1.0'!H68,IF(AND($B$3="Post",$B$2="Zone 1"),'GCN_Post 1.0'!J348,IF(AND($B$3="Post",$B$2="Zone 2"),'GCN_Post 1.0'!K348,IF(AND($B$3="Post",$B$2="Zone 3"),'GCN_Post 1.0'!N348,IF(AND($B$3="Post",$B$2="Zone 4"),'GCN_Post 1.0'!O348,IF(AND($B$3="Post",$B$2="Zone 5"),'GCN_Post 1.0'!P348,"ERROR")))))))))))))))))))</f>
        <v/>
      </c>
      <c r="AD234" s="27" t="str">
        <f t="shared" si="60"/>
        <v/>
      </c>
      <c r="AE234" t="str">
        <f t="shared" si="61"/>
        <v/>
      </c>
      <c r="AF234" t="str">
        <f t="shared" si="62"/>
        <v/>
      </c>
      <c r="AG234" t="str">
        <f t="shared" si="63"/>
        <v/>
      </c>
      <c r="AH234" t="str">
        <f t="shared" si="64"/>
        <v/>
      </c>
      <c r="AI234" t="str">
        <f t="shared" si="65"/>
        <v/>
      </c>
      <c r="AJ234" s="82" t="str">
        <f>IF(AND($B$3="Cantilever",$B$2="Zone 1"),'GCM_Cantilever 1.0'!$H425,IF(AND($B$3="Cantilever",$B$2="Zone 2"),'GCM_Cantilever 1.0'!L425,IF(AND($B$3="HalfTracker",$B$2="Zone 1"),'GCM_Halftracker 1.0'!G440,IF(AND($B$3="HalfTracker",$B$2="Zone 2"),'GCM_Halftracker 1.0'!K440,IF(AND($B$3="Purlin",$B$2="Zone 1"),'GCM_Purlin 1.0'!G495,IF(AND($B$3="Purlin",$B$2="Zone 2"),'GCM_Purlin 1.0'!O495,IF(AND($B$3="Purlin",$B$2="Zone 3"),'GCM_Purlin 1.0'!Z495,IF(AND($B$3="Purlin",$B$2="Zone 4"),'GCM_Purlin 1.0'!AH495,IF(AND($B$3="Purlin",$B$2="Zone 5"),'GCM_Purlin 1.0'!AS495,IF(AND($B$3="Clip",$B$2="Zone 1"),'GCN_Clip 1.0'!#REF!,IF(AND($B$3="Clip",$B$2="Zone 2"),'GCN_Clip 1.0'!#REF!,IF(AND($B$3="Clip",$B$2="Zone 3"),'GCN_Clip 1.0'!#REF!,IF(AND($B$3="Clip",$B$2="Zone 4"),'GCN_Clip 1.0'!#REF!,IF(AND($B$3="Clip",$B$2="Zone 5"),'GCN_Clip 1.0'!#REF!,IF(AND($B$3="Post",$B$2="Zone 1"),'GCN_Post 1.0'!Q348,IF(AND($B$3="Post",$B$2="Zone 2"),'GCN_Post 1.0'!R348,IF(AND($B$3="Post",$B$2="Zone 3"),'GCN_Post 1.0'!S348,IF(AND($B$3="Post",$B$2="Zone 4"),'GCN_Post 1.0'!T348,IF(AND($B$3="Post",$B$2="Zone 5"),'GCN_Post 1.0'!V348,"ERROR")))))))))))))))))))</f>
        <v/>
      </c>
      <c r="AL234" s="27" t="str">
        <f t="shared" si="66"/>
        <v/>
      </c>
      <c r="AM234" t="str">
        <f t="shared" si="67"/>
        <v/>
      </c>
      <c r="AN234" t="str">
        <f t="shared" si="68"/>
        <v/>
      </c>
      <c r="AO234" t="str">
        <f t="shared" si="69"/>
        <v/>
      </c>
      <c r="AP234" t="str">
        <f t="shared" si="70"/>
        <v/>
      </c>
      <c r="AQ234" t="str">
        <f t="shared" si="71"/>
        <v/>
      </c>
      <c r="AR234" s="82" t="str">
        <f>IF(AND($B$3="Cantilever",$B$2="Zone 1"),'GCM_Cantilever 1.0'!$I425,IF(AND($B$3="Cantilever",$B$2="Zone 2"),'GCM_Cantilever 1.0'!M425,IF(AND($B$3="HalfTracker",$B$2="Zone 1"),'GCM_Halftracker 1.0'!H440,IF(AND($B$3="HalfTracker",$B$2="Zone 2"),'GCM_Halftracker 1.0'!L440,IF(AND($B$3="Purlin",$B$2="Zone 1"),'GCM_Purlin 1.0'!H495,IF(AND($B$3="Purlin",$B$2="Zone 2"),'GCM_Purlin 1.0'!P495,IF(AND($B$3="Purlin",$B$2="Zone 3"),'GCM_Purlin 1.0'!AA495,IF(AND($B$3="Purlin",$B$2="Zone 4"),'GCM_Purlin 1.0'!AI495,IF(AND($B$3="Purlin",$B$2="Zone 5"),'GCM_Purlin 1.0'!AT495,IF(AND($B$3="Clip",$B$2="Zone 1"),'GCN_Clip 1.0'!#REF!,IF(AND($B$3="Clip",$B$2="Zone 2"),'GCN_Clip 1.0'!#REF!,IF(AND($B$3="Clip",$B$2="Zone 3"),'GCN_Clip 1.0'!#REF!,IF(AND($B$3="Clip",$B$2="Zone 4"),'GCN_Clip 1.0'!#REF!,IF(AND($B$3="Clip",$B$2="Zone 5"),'GCN_Clip 1.0'!#REF!,IF(AND($B$3="Post",$B$2="Zone 1"),'GCN_Post 1.0'!W348,IF(AND($B$3="Post",$B$2="Zone 2"),'GCN_Post 1.0'!X348,IF(AND($B$3="Post",$B$2="Zone 3"),'GCN_Post 1.0'!Y348,IF(AND($B$3="Post",$B$2="Zone 4"),'GCN_Post 1.0'!Z348,IF(AND($B$3="Post",$B$2="Zone 5"),'GCN_Post 1.0'!AA348,"ERROR")))))))))))))))))))</f>
        <v/>
      </c>
    </row>
    <row r="235" spans="6:44" x14ac:dyDescent="0.25">
      <c r="F235">
        <v>62</v>
      </c>
      <c r="G235" s="27" t="str">
        <f t="shared" si="44"/>
        <v/>
      </c>
      <c r="H235" t="str">
        <f t="shared" si="45"/>
        <v/>
      </c>
      <c r="I235" t="str">
        <f t="shared" si="46"/>
        <v/>
      </c>
      <c r="J235" s="28" t="str">
        <f t="shared" si="47"/>
        <v/>
      </c>
      <c r="M235">
        <v>62</v>
      </c>
      <c r="N235" s="27" t="str">
        <f t="shared" si="48"/>
        <v/>
      </c>
      <c r="O235" t="str">
        <f t="shared" si="49"/>
        <v/>
      </c>
      <c r="P235" t="str">
        <f t="shared" si="50"/>
        <v/>
      </c>
      <c r="Q235" t="str">
        <f t="shared" si="51"/>
        <v/>
      </c>
      <c r="R235" t="str">
        <f t="shared" si="52"/>
        <v/>
      </c>
      <c r="S235" t="str">
        <f t="shared" si="53"/>
        <v/>
      </c>
      <c r="T235" s="82" t="str">
        <f>IF(AND($B$3="Cantilever",$B$2="Zone 1"),'GCM_Cantilever 1.0'!$F426,IF(AND($B$3="Cantilever",$B$2="Zone 2"),'GCM_Cantilever 1.0'!J426,IF(AND($B$3="HalfTracker",$B$2="Zone 1"),'GCM_Halftracker 1.0'!E441,IF(AND($B$3="HalfTracker",$B$2="Zone 2"),'GCM_Halftracker 1.0'!I441,IF(AND($B$3="Purlin",$B$2="Zone 1"),'GCM_Purlin 1.0'!E496,IF(AND($B$3="Purlin",$B$2="Zone 2"),'GCM_Purlin 1.0'!M496,IF(AND($B$3="Purlin",$B$2="Zone 3"),'GCM_Purlin 1.0'!X496,IF(AND($B$3="Purlin",$B$2="Zone 4"),'GCM_Purlin 1.0'!AF496,IF(AND($B$3="Purlin",$B$2="Zone 5"),'GCM_Purlin 1.0'!AQ496,IF(AND($B$3="Clip",$B$2="Zone 1"),'GCN_Clip 1.0'!G65,IF(AND($B$3="Clip",$B$2="Zone 2"),'GCN_Clip 1.0'!C66,IF(AND($B$3="Clip",$B$2="Zone 3"),'GCN_Clip 1.0'!G67,IF(AND($B$3="Clip",$B$2="Zone 4"),'GCN_Clip 1.0'!G68,IF(AND($B$3="Clip",$B$2="Zone 5"),'GCN_Clip 1.0'!G69,IF(AND($B$3="Post",$B$2="Zone 1"),'GCN_Post 1.0'!E349,IF(AND($B$3="Post",$B$2="Zone 2"),'GCN_Post 1.0'!F349,IF(AND($B$3="Post",$B$2="Zone 3"),'GCN_Post 1.0'!G349,IF(AND($B$3="Post",$B$2="Zone 4"),'GCN_Post 1.0'!H349,IF(AND($B$3="Post",$B$2="Zone 5"),'GCN_Post 1.0'!I349,"ERROR")))))))))))))))))))</f>
        <v/>
      </c>
      <c r="V235" s="27" t="str">
        <f t="shared" si="54"/>
        <v/>
      </c>
      <c r="W235" t="str">
        <f t="shared" si="55"/>
        <v/>
      </c>
      <c r="X235" t="str">
        <f t="shared" si="56"/>
        <v/>
      </c>
      <c r="Y235" t="str">
        <f t="shared" si="57"/>
        <v/>
      </c>
      <c r="Z235" t="str">
        <f t="shared" si="58"/>
        <v/>
      </c>
      <c r="AA235" t="str">
        <f t="shared" si="59"/>
        <v/>
      </c>
      <c r="AB235" s="82" t="str">
        <f>IF(AND($B$3="Cantilever",$B$2="Zone 1"),'GCM_Cantilever 1.0'!$G426,IF(AND($B$3="Cantilever",$B$2="Zone 2"),'GCM_Cantilever 1.0'!K426,IF(AND($B$3="HalfTracker",$B$2="Zone 1"),'GCM_Halftracker 1.0'!F441,IF(AND($B$3="HalfTracker",$B$2="Zone 2"),'GCM_Halftracker 1.0'!J441,IF(AND($B$3="Purlin",$B$2="Zone 1"),'GCM_Purlin 1.0'!F496,IF(AND($B$3="Purlin",$B$2="Zone 2"),'GCM_Purlin 1.0'!N496,IF(AND($B$3="Purlin",$B$2="Zone 3"),'GCM_Purlin 1.0'!Y496,IF(AND($B$3="Purlin",$B$2="Zone 4"),'GCM_Purlin 1.0'!AG496,IF(AND($B$3="Purlin",$B$2="Zone 5"),'GCM_Purlin 1.0'!AR496,IF(AND($B$3="Clip",$B$2="Zone 1"),'GCN_Clip 1.0'!H65,IF(AND($B$3="Clip",$B$2="Zone 2"),'GCN_Clip 1.0'!H66,IF(AND($B$3="Clip",$B$2="Zone 3"),'GCN_Clip 1.0'!H67,IF(AND($B$3="Clip",$B$2="Zone 4"),'GCN_Clip 1.0'!H68,IF(AND($B$3="Clip",$B$2="Zone 5"),'GCN_Clip 1.0'!H69,IF(AND($B$3="Post",$B$2="Zone 1"),'GCN_Post 1.0'!J349,IF(AND($B$3="Post",$B$2="Zone 2"),'GCN_Post 1.0'!K349,IF(AND($B$3="Post",$B$2="Zone 3"),'GCN_Post 1.0'!N349,IF(AND($B$3="Post",$B$2="Zone 4"),'GCN_Post 1.0'!O349,IF(AND($B$3="Post",$B$2="Zone 5"),'GCN_Post 1.0'!P349,"ERROR")))))))))))))))))))</f>
        <v/>
      </c>
      <c r="AD235" s="27" t="str">
        <f t="shared" si="60"/>
        <v/>
      </c>
      <c r="AE235" t="str">
        <f t="shared" si="61"/>
        <v/>
      </c>
      <c r="AF235" t="str">
        <f t="shared" si="62"/>
        <v/>
      </c>
      <c r="AG235" t="str">
        <f t="shared" si="63"/>
        <v/>
      </c>
      <c r="AH235" t="str">
        <f t="shared" si="64"/>
        <v/>
      </c>
      <c r="AI235" t="str">
        <f t="shared" si="65"/>
        <v/>
      </c>
      <c r="AJ235" s="82" t="str">
        <f>IF(AND($B$3="Cantilever",$B$2="Zone 1"),'GCM_Cantilever 1.0'!$H426,IF(AND($B$3="Cantilever",$B$2="Zone 2"),'GCM_Cantilever 1.0'!L426,IF(AND($B$3="HalfTracker",$B$2="Zone 1"),'GCM_Halftracker 1.0'!G441,IF(AND($B$3="HalfTracker",$B$2="Zone 2"),'GCM_Halftracker 1.0'!K441,IF(AND($B$3="Purlin",$B$2="Zone 1"),'GCM_Purlin 1.0'!G496,IF(AND($B$3="Purlin",$B$2="Zone 2"),'GCM_Purlin 1.0'!O496,IF(AND($B$3="Purlin",$B$2="Zone 3"),'GCM_Purlin 1.0'!Z496,IF(AND($B$3="Purlin",$B$2="Zone 4"),'GCM_Purlin 1.0'!AH496,IF(AND($B$3="Purlin",$B$2="Zone 5"),'GCM_Purlin 1.0'!AS496,IF(AND($B$3="Clip",$B$2="Zone 1"),'GCN_Clip 1.0'!#REF!,IF(AND($B$3="Clip",$B$2="Zone 2"),'GCN_Clip 1.0'!#REF!,IF(AND($B$3="Clip",$B$2="Zone 3"),'GCN_Clip 1.0'!#REF!,IF(AND($B$3="Clip",$B$2="Zone 4"),'GCN_Clip 1.0'!#REF!,IF(AND($B$3="Clip",$B$2="Zone 5"),'GCN_Clip 1.0'!#REF!,IF(AND($B$3="Post",$B$2="Zone 1"),'GCN_Post 1.0'!Q349,IF(AND($B$3="Post",$B$2="Zone 2"),'GCN_Post 1.0'!R349,IF(AND($B$3="Post",$B$2="Zone 3"),'GCN_Post 1.0'!S349,IF(AND($B$3="Post",$B$2="Zone 4"),'GCN_Post 1.0'!T349,IF(AND($B$3="Post",$B$2="Zone 5"),'GCN_Post 1.0'!V349,"ERROR")))))))))))))))))))</f>
        <v/>
      </c>
      <c r="AL235" s="27" t="str">
        <f t="shared" si="66"/>
        <v/>
      </c>
      <c r="AM235" t="str">
        <f t="shared" si="67"/>
        <v/>
      </c>
      <c r="AN235" t="str">
        <f t="shared" si="68"/>
        <v/>
      </c>
      <c r="AO235" t="str">
        <f t="shared" si="69"/>
        <v/>
      </c>
      <c r="AP235" t="str">
        <f t="shared" si="70"/>
        <v/>
      </c>
      <c r="AQ235" t="str">
        <f t="shared" si="71"/>
        <v/>
      </c>
      <c r="AR235" s="82" t="str">
        <f>IF(AND($B$3="Cantilever",$B$2="Zone 1"),'GCM_Cantilever 1.0'!$I426,IF(AND($B$3="Cantilever",$B$2="Zone 2"),'GCM_Cantilever 1.0'!M426,IF(AND($B$3="HalfTracker",$B$2="Zone 1"),'GCM_Halftracker 1.0'!H441,IF(AND($B$3="HalfTracker",$B$2="Zone 2"),'GCM_Halftracker 1.0'!L441,IF(AND($B$3="Purlin",$B$2="Zone 1"),'GCM_Purlin 1.0'!H496,IF(AND($B$3="Purlin",$B$2="Zone 2"),'GCM_Purlin 1.0'!P496,IF(AND($B$3="Purlin",$B$2="Zone 3"),'GCM_Purlin 1.0'!AA496,IF(AND($B$3="Purlin",$B$2="Zone 4"),'GCM_Purlin 1.0'!AI496,IF(AND($B$3="Purlin",$B$2="Zone 5"),'GCM_Purlin 1.0'!AT496,IF(AND($B$3="Clip",$B$2="Zone 1"),'GCN_Clip 1.0'!#REF!,IF(AND($B$3="Clip",$B$2="Zone 2"),'GCN_Clip 1.0'!#REF!,IF(AND($B$3="Clip",$B$2="Zone 3"),'GCN_Clip 1.0'!#REF!,IF(AND($B$3="Clip",$B$2="Zone 4"),'GCN_Clip 1.0'!#REF!,IF(AND($B$3="Clip",$B$2="Zone 5"),'GCN_Clip 1.0'!#REF!,IF(AND($B$3="Post",$B$2="Zone 1"),'GCN_Post 1.0'!W349,IF(AND($B$3="Post",$B$2="Zone 2"),'GCN_Post 1.0'!X349,IF(AND($B$3="Post",$B$2="Zone 3"),'GCN_Post 1.0'!Y349,IF(AND($B$3="Post",$B$2="Zone 4"),'GCN_Post 1.0'!Z349,IF(AND($B$3="Post",$B$2="Zone 5"),'GCN_Post 1.0'!AA349,"ERROR")))))))))))))))))))</f>
        <v/>
      </c>
    </row>
    <row r="236" spans="6:44" x14ac:dyDescent="0.25">
      <c r="F236">
        <v>63</v>
      </c>
      <c r="G236" s="27" t="str">
        <f t="shared" si="44"/>
        <v/>
      </c>
      <c r="H236" t="str">
        <f t="shared" si="45"/>
        <v/>
      </c>
      <c r="I236" t="str">
        <f t="shared" si="46"/>
        <v/>
      </c>
      <c r="J236" s="28" t="str">
        <f t="shared" si="47"/>
        <v/>
      </c>
      <c r="M236">
        <v>63</v>
      </c>
      <c r="N236" s="27" t="str">
        <f t="shared" si="48"/>
        <v/>
      </c>
      <c r="O236" t="str">
        <f t="shared" si="49"/>
        <v/>
      </c>
      <c r="P236" t="str">
        <f t="shared" si="50"/>
        <v/>
      </c>
      <c r="Q236" t="str">
        <f t="shared" si="51"/>
        <v/>
      </c>
      <c r="R236" t="str">
        <f t="shared" si="52"/>
        <v/>
      </c>
      <c r="S236" t="str">
        <f t="shared" si="53"/>
        <v/>
      </c>
      <c r="T236" s="82" t="str">
        <f>IF(AND($B$3="Cantilever",$B$2="Zone 1"),'GCM_Cantilever 1.0'!$F427,IF(AND($B$3="Cantilever",$B$2="Zone 2"),'GCM_Cantilever 1.0'!J427,IF(AND($B$3="HalfTracker",$B$2="Zone 1"),'GCM_Halftracker 1.0'!E442,IF(AND($B$3="HalfTracker",$B$2="Zone 2"),'GCM_Halftracker 1.0'!I442,IF(AND($B$3="Purlin",$B$2="Zone 1"),'GCM_Purlin 1.0'!E497,IF(AND($B$3="Purlin",$B$2="Zone 2"),'GCM_Purlin 1.0'!M497,IF(AND($B$3="Purlin",$B$2="Zone 3"),'GCM_Purlin 1.0'!X497,IF(AND($B$3="Purlin",$B$2="Zone 4"),'GCM_Purlin 1.0'!AF497,IF(AND($B$3="Purlin",$B$2="Zone 5"),'GCM_Purlin 1.0'!AQ497,IF(AND($B$3="Clip",$B$2="Zone 1"),'GCN_Clip 1.0'!G66,IF(AND($B$3="Clip",$B$2="Zone 2"),'GCN_Clip 1.0'!C67,IF(AND($B$3="Clip",$B$2="Zone 3"),'GCN_Clip 1.0'!G68,IF(AND($B$3="Clip",$B$2="Zone 4"),'GCN_Clip 1.0'!G69,IF(AND($B$3="Clip",$B$2="Zone 5"),'GCN_Clip 1.0'!G70,IF(AND($B$3="Post",$B$2="Zone 1"),'GCN_Post 1.0'!E350,IF(AND($B$3="Post",$B$2="Zone 2"),'GCN_Post 1.0'!F350,IF(AND($B$3="Post",$B$2="Zone 3"),'GCN_Post 1.0'!G350,IF(AND($B$3="Post",$B$2="Zone 4"),'GCN_Post 1.0'!H350,IF(AND($B$3="Post",$B$2="Zone 5"),'GCN_Post 1.0'!I350,"ERROR")))))))))))))))))))</f>
        <v/>
      </c>
      <c r="V236" s="27" t="str">
        <f t="shared" si="54"/>
        <v/>
      </c>
      <c r="W236" t="str">
        <f t="shared" si="55"/>
        <v/>
      </c>
      <c r="X236" t="str">
        <f t="shared" si="56"/>
        <v/>
      </c>
      <c r="Y236" t="str">
        <f t="shared" si="57"/>
        <v/>
      </c>
      <c r="Z236" t="str">
        <f t="shared" si="58"/>
        <v/>
      </c>
      <c r="AA236" t="str">
        <f t="shared" si="59"/>
        <v/>
      </c>
      <c r="AB236" s="82" t="str">
        <f>IF(AND($B$3="Cantilever",$B$2="Zone 1"),'GCM_Cantilever 1.0'!$G427,IF(AND($B$3="Cantilever",$B$2="Zone 2"),'GCM_Cantilever 1.0'!K427,IF(AND($B$3="HalfTracker",$B$2="Zone 1"),'GCM_Halftracker 1.0'!F442,IF(AND($B$3="HalfTracker",$B$2="Zone 2"),'GCM_Halftracker 1.0'!J442,IF(AND($B$3="Purlin",$B$2="Zone 1"),'GCM_Purlin 1.0'!F497,IF(AND($B$3="Purlin",$B$2="Zone 2"),'GCM_Purlin 1.0'!N497,IF(AND($B$3="Purlin",$B$2="Zone 3"),'GCM_Purlin 1.0'!Y497,IF(AND($B$3="Purlin",$B$2="Zone 4"),'GCM_Purlin 1.0'!AG497,IF(AND($B$3="Purlin",$B$2="Zone 5"),'GCM_Purlin 1.0'!AR497,IF(AND($B$3="Clip",$B$2="Zone 1"),'GCN_Clip 1.0'!H66,IF(AND($B$3="Clip",$B$2="Zone 2"),'GCN_Clip 1.0'!H67,IF(AND($B$3="Clip",$B$2="Zone 3"),'GCN_Clip 1.0'!H68,IF(AND($B$3="Clip",$B$2="Zone 4"),'GCN_Clip 1.0'!H69,IF(AND($B$3="Clip",$B$2="Zone 5"),'GCN_Clip 1.0'!H70,IF(AND($B$3="Post",$B$2="Zone 1"),'GCN_Post 1.0'!J350,IF(AND($B$3="Post",$B$2="Zone 2"),'GCN_Post 1.0'!K350,IF(AND($B$3="Post",$B$2="Zone 3"),'GCN_Post 1.0'!N350,IF(AND($B$3="Post",$B$2="Zone 4"),'GCN_Post 1.0'!O350,IF(AND($B$3="Post",$B$2="Zone 5"),'GCN_Post 1.0'!P350,"ERROR")))))))))))))))))))</f>
        <v/>
      </c>
      <c r="AD236" s="27" t="str">
        <f t="shared" si="60"/>
        <v/>
      </c>
      <c r="AE236" t="str">
        <f t="shared" si="61"/>
        <v/>
      </c>
      <c r="AF236" t="str">
        <f t="shared" si="62"/>
        <v/>
      </c>
      <c r="AG236" t="str">
        <f t="shared" si="63"/>
        <v/>
      </c>
      <c r="AH236" t="str">
        <f t="shared" si="64"/>
        <v/>
      </c>
      <c r="AI236" t="str">
        <f t="shared" si="65"/>
        <v/>
      </c>
      <c r="AJ236" s="82" t="str">
        <f>IF(AND($B$3="Cantilever",$B$2="Zone 1"),'GCM_Cantilever 1.0'!$H427,IF(AND($B$3="Cantilever",$B$2="Zone 2"),'GCM_Cantilever 1.0'!L427,IF(AND($B$3="HalfTracker",$B$2="Zone 1"),'GCM_Halftracker 1.0'!G442,IF(AND($B$3="HalfTracker",$B$2="Zone 2"),'GCM_Halftracker 1.0'!K442,IF(AND($B$3="Purlin",$B$2="Zone 1"),'GCM_Purlin 1.0'!G497,IF(AND($B$3="Purlin",$B$2="Zone 2"),'GCM_Purlin 1.0'!O497,IF(AND($B$3="Purlin",$B$2="Zone 3"),'GCM_Purlin 1.0'!Z497,IF(AND($B$3="Purlin",$B$2="Zone 4"),'GCM_Purlin 1.0'!AH497,IF(AND($B$3="Purlin",$B$2="Zone 5"),'GCM_Purlin 1.0'!AS497,IF(AND($B$3="Clip",$B$2="Zone 1"),'GCN_Clip 1.0'!#REF!,IF(AND($B$3="Clip",$B$2="Zone 2"),'GCN_Clip 1.0'!#REF!,IF(AND($B$3="Clip",$B$2="Zone 3"),'GCN_Clip 1.0'!#REF!,IF(AND($B$3="Clip",$B$2="Zone 4"),'GCN_Clip 1.0'!#REF!,IF(AND($B$3="Clip",$B$2="Zone 5"),'GCN_Clip 1.0'!#REF!,IF(AND($B$3="Post",$B$2="Zone 1"),'GCN_Post 1.0'!Q350,IF(AND($B$3="Post",$B$2="Zone 2"),'GCN_Post 1.0'!R350,IF(AND($B$3="Post",$B$2="Zone 3"),'GCN_Post 1.0'!S350,IF(AND($B$3="Post",$B$2="Zone 4"),'GCN_Post 1.0'!T350,IF(AND($B$3="Post",$B$2="Zone 5"),'GCN_Post 1.0'!V350,"ERROR")))))))))))))))))))</f>
        <v/>
      </c>
      <c r="AL236" s="27" t="str">
        <f t="shared" si="66"/>
        <v/>
      </c>
      <c r="AM236" t="str">
        <f t="shared" si="67"/>
        <v/>
      </c>
      <c r="AN236" t="str">
        <f t="shared" si="68"/>
        <v/>
      </c>
      <c r="AO236" t="str">
        <f t="shared" si="69"/>
        <v/>
      </c>
      <c r="AP236" t="str">
        <f t="shared" si="70"/>
        <v/>
      </c>
      <c r="AQ236" t="str">
        <f t="shared" si="71"/>
        <v/>
      </c>
      <c r="AR236" s="82" t="str">
        <f>IF(AND($B$3="Cantilever",$B$2="Zone 1"),'GCM_Cantilever 1.0'!$I427,IF(AND($B$3="Cantilever",$B$2="Zone 2"),'GCM_Cantilever 1.0'!M427,IF(AND($B$3="HalfTracker",$B$2="Zone 1"),'GCM_Halftracker 1.0'!H442,IF(AND($B$3="HalfTracker",$B$2="Zone 2"),'GCM_Halftracker 1.0'!L442,IF(AND($B$3="Purlin",$B$2="Zone 1"),'GCM_Purlin 1.0'!H497,IF(AND($B$3="Purlin",$B$2="Zone 2"),'GCM_Purlin 1.0'!P497,IF(AND($B$3="Purlin",$B$2="Zone 3"),'GCM_Purlin 1.0'!AA497,IF(AND($B$3="Purlin",$B$2="Zone 4"),'GCM_Purlin 1.0'!AI497,IF(AND($B$3="Purlin",$B$2="Zone 5"),'GCM_Purlin 1.0'!AT497,IF(AND($B$3="Clip",$B$2="Zone 1"),'GCN_Clip 1.0'!#REF!,IF(AND($B$3="Clip",$B$2="Zone 2"),'GCN_Clip 1.0'!#REF!,IF(AND($B$3="Clip",$B$2="Zone 3"),'GCN_Clip 1.0'!#REF!,IF(AND($B$3="Clip",$B$2="Zone 4"),'GCN_Clip 1.0'!#REF!,IF(AND($B$3="Clip",$B$2="Zone 5"),'GCN_Clip 1.0'!#REF!,IF(AND($B$3="Post",$B$2="Zone 1"),'GCN_Post 1.0'!W350,IF(AND($B$3="Post",$B$2="Zone 2"),'GCN_Post 1.0'!X350,IF(AND($B$3="Post",$B$2="Zone 3"),'GCN_Post 1.0'!Y350,IF(AND($B$3="Post",$B$2="Zone 4"),'GCN_Post 1.0'!Z350,IF(AND($B$3="Post",$B$2="Zone 5"),'GCN_Post 1.0'!AA350,"ERROR")))))))))))))))))))</f>
        <v/>
      </c>
    </row>
    <row r="237" spans="6:44" x14ac:dyDescent="0.25">
      <c r="F237">
        <v>64</v>
      </c>
      <c r="G237" s="27" t="str">
        <f t="shared" si="44"/>
        <v/>
      </c>
      <c r="H237" t="str">
        <f t="shared" si="45"/>
        <v/>
      </c>
      <c r="I237" t="str">
        <f t="shared" si="46"/>
        <v/>
      </c>
      <c r="J237" s="28" t="str">
        <f t="shared" si="47"/>
        <v/>
      </c>
      <c r="M237">
        <v>64</v>
      </c>
      <c r="N237" s="27" t="str">
        <f t="shared" si="48"/>
        <v/>
      </c>
      <c r="O237" t="str">
        <f t="shared" si="49"/>
        <v/>
      </c>
      <c r="P237" t="str">
        <f t="shared" si="50"/>
        <v/>
      </c>
      <c r="Q237" t="str">
        <f t="shared" si="51"/>
        <v/>
      </c>
      <c r="R237" t="str">
        <f t="shared" si="52"/>
        <v/>
      </c>
      <c r="S237" t="str">
        <f t="shared" si="53"/>
        <v/>
      </c>
      <c r="T237" s="82" t="str">
        <f>IF(AND($B$3="Cantilever",$B$2="Zone 1"),'GCM_Cantilever 1.0'!$F428,IF(AND($B$3="Cantilever",$B$2="Zone 2"),'GCM_Cantilever 1.0'!J428,IF(AND($B$3="HalfTracker",$B$2="Zone 1"),'GCM_Halftracker 1.0'!E443,IF(AND($B$3="HalfTracker",$B$2="Zone 2"),'GCM_Halftracker 1.0'!I443,IF(AND($B$3="Purlin",$B$2="Zone 1"),'GCM_Purlin 1.0'!E498,IF(AND($B$3="Purlin",$B$2="Zone 2"),'GCM_Purlin 1.0'!M498,IF(AND($B$3="Purlin",$B$2="Zone 3"),'GCM_Purlin 1.0'!X498,IF(AND($B$3="Purlin",$B$2="Zone 4"),'GCM_Purlin 1.0'!AF498,IF(AND($B$3="Purlin",$B$2="Zone 5"),'GCM_Purlin 1.0'!AQ498,IF(AND($B$3="Clip",$B$2="Zone 1"),'GCN_Clip 1.0'!G67,IF(AND($B$3="Clip",$B$2="Zone 2"),'GCN_Clip 1.0'!C68,IF(AND($B$3="Clip",$B$2="Zone 3"),'GCN_Clip 1.0'!G69,IF(AND($B$3="Clip",$B$2="Zone 4"),'GCN_Clip 1.0'!G70,IF(AND($B$3="Clip",$B$2="Zone 5"),'GCN_Clip 1.0'!G71,IF(AND($B$3="Post",$B$2="Zone 1"),'GCN_Post 1.0'!E351,IF(AND($B$3="Post",$B$2="Zone 2"),'GCN_Post 1.0'!F351,IF(AND($B$3="Post",$B$2="Zone 3"),'GCN_Post 1.0'!G351,IF(AND($B$3="Post",$B$2="Zone 4"),'GCN_Post 1.0'!H351,IF(AND($B$3="Post",$B$2="Zone 5"),'GCN_Post 1.0'!I351,"ERROR")))))))))))))))))))</f>
        <v/>
      </c>
      <c r="V237" s="27" t="str">
        <f t="shared" si="54"/>
        <v/>
      </c>
      <c r="W237" t="str">
        <f t="shared" si="55"/>
        <v/>
      </c>
      <c r="X237" t="str">
        <f t="shared" si="56"/>
        <v/>
      </c>
      <c r="Y237" t="str">
        <f t="shared" si="57"/>
        <v/>
      </c>
      <c r="Z237" t="str">
        <f t="shared" si="58"/>
        <v/>
      </c>
      <c r="AA237" t="str">
        <f t="shared" si="59"/>
        <v/>
      </c>
      <c r="AB237" s="82" t="str">
        <f>IF(AND($B$3="Cantilever",$B$2="Zone 1"),'GCM_Cantilever 1.0'!$G428,IF(AND($B$3="Cantilever",$B$2="Zone 2"),'GCM_Cantilever 1.0'!K428,IF(AND($B$3="HalfTracker",$B$2="Zone 1"),'GCM_Halftracker 1.0'!F443,IF(AND($B$3="HalfTracker",$B$2="Zone 2"),'GCM_Halftracker 1.0'!J443,IF(AND($B$3="Purlin",$B$2="Zone 1"),'GCM_Purlin 1.0'!F498,IF(AND($B$3="Purlin",$B$2="Zone 2"),'GCM_Purlin 1.0'!N498,IF(AND($B$3="Purlin",$B$2="Zone 3"),'GCM_Purlin 1.0'!Y498,IF(AND($B$3="Purlin",$B$2="Zone 4"),'GCM_Purlin 1.0'!AG498,IF(AND($B$3="Purlin",$B$2="Zone 5"),'GCM_Purlin 1.0'!AR498,IF(AND($B$3="Clip",$B$2="Zone 1"),'GCN_Clip 1.0'!H67,IF(AND($B$3="Clip",$B$2="Zone 2"),'GCN_Clip 1.0'!H68,IF(AND($B$3="Clip",$B$2="Zone 3"),'GCN_Clip 1.0'!H69,IF(AND($B$3="Clip",$B$2="Zone 4"),'GCN_Clip 1.0'!H70,IF(AND($B$3="Clip",$B$2="Zone 5"),'GCN_Clip 1.0'!H71,IF(AND($B$3="Post",$B$2="Zone 1"),'GCN_Post 1.0'!J351,IF(AND($B$3="Post",$B$2="Zone 2"),'GCN_Post 1.0'!K351,IF(AND($B$3="Post",$B$2="Zone 3"),'GCN_Post 1.0'!N351,IF(AND($B$3="Post",$B$2="Zone 4"),'GCN_Post 1.0'!O351,IF(AND($B$3="Post",$B$2="Zone 5"),'GCN_Post 1.0'!P351,"ERROR")))))))))))))))))))</f>
        <v/>
      </c>
      <c r="AD237" s="27" t="str">
        <f t="shared" si="60"/>
        <v/>
      </c>
      <c r="AE237" t="str">
        <f t="shared" si="61"/>
        <v/>
      </c>
      <c r="AF237" t="str">
        <f t="shared" si="62"/>
        <v/>
      </c>
      <c r="AG237" t="str">
        <f t="shared" si="63"/>
        <v/>
      </c>
      <c r="AH237" t="str">
        <f t="shared" si="64"/>
        <v/>
      </c>
      <c r="AI237" t="str">
        <f t="shared" si="65"/>
        <v/>
      </c>
      <c r="AJ237" s="82" t="str">
        <f>IF(AND($B$3="Cantilever",$B$2="Zone 1"),'GCM_Cantilever 1.0'!$H428,IF(AND($B$3="Cantilever",$B$2="Zone 2"),'GCM_Cantilever 1.0'!L428,IF(AND($B$3="HalfTracker",$B$2="Zone 1"),'GCM_Halftracker 1.0'!G443,IF(AND($B$3="HalfTracker",$B$2="Zone 2"),'GCM_Halftracker 1.0'!K443,IF(AND($B$3="Purlin",$B$2="Zone 1"),'GCM_Purlin 1.0'!G498,IF(AND($B$3="Purlin",$B$2="Zone 2"),'GCM_Purlin 1.0'!O498,IF(AND($B$3="Purlin",$B$2="Zone 3"),'GCM_Purlin 1.0'!Z498,IF(AND($B$3="Purlin",$B$2="Zone 4"),'GCM_Purlin 1.0'!AH498,IF(AND($B$3="Purlin",$B$2="Zone 5"),'GCM_Purlin 1.0'!AS498,IF(AND($B$3="Clip",$B$2="Zone 1"),'GCN_Clip 1.0'!#REF!,IF(AND($B$3="Clip",$B$2="Zone 2"),'GCN_Clip 1.0'!#REF!,IF(AND($B$3="Clip",$B$2="Zone 3"),'GCN_Clip 1.0'!#REF!,IF(AND($B$3="Clip",$B$2="Zone 4"),'GCN_Clip 1.0'!#REF!,IF(AND($B$3="Clip",$B$2="Zone 5"),'GCN_Clip 1.0'!#REF!,IF(AND($B$3="Post",$B$2="Zone 1"),'GCN_Post 1.0'!Q351,IF(AND($B$3="Post",$B$2="Zone 2"),'GCN_Post 1.0'!R351,IF(AND($B$3="Post",$B$2="Zone 3"),'GCN_Post 1.0'!S351,IF(AND($B$3="Post",$B$2="Zone 4"),'GCN_Post 1.0'!T351,IF(AND($B$3="Post",$B$2="Zone 5"),'GCN_Post 1.0'!V351,"ERROR")))))))))))))))))))</f>
        <v/>
      </c>
      <c r="AL237" s="27" t="str">
        <f t="shared" si="66"/>
        <v/>
      </c>
      <c r="AM237" t="str">
        <f t="shared" si="67"/>
        <v/>
      </c>
      <c r="AN237" t="str">
        <f t="shared" si="68"/>
        <v/>
      </c>
      <c r="AO237" t="str">
        <f t="shared" si="69"/>
        <v/>
      </c>
      <c r="AP237" t="str">
        <f t="shared" si="70"/>
        <v/>
      </c>
      <c r="AQ237" t="str">
        <f t="shared" si="71"/>
        <v/>
      </c>
      <c r="AR237" s="82" t="str">
        <f>IF(AND($B$3="Cantilever",$B$2="Zone 1"),'GCM_Cantilever 1.0'!$I428,IF(AND($B$3="Cantilever",$B$2="Zone 2"),'GCM_Cantilever 1.0'!M428,IF(AND($B$3="HalfTracker",$B$2="Zone 1"),'GCM_Halftracker 1.0'!H443,IF(AND($B$3="HalfTracker",$B$2="Zone 2"),'GCM_Halftracker 1.0'!L443,IF(AND($B$3="Purlin",$B$2="Zone 1"),'GCM_Purlin 1.0'!H498,IF(AND($B$3="Purlin",$B$2="Zone 2"),'GCM_Purlin 1.0'!P498,IF(AND($B$3="Purlin",$B$2="Zone 3"),'GCM_Purlin 1.0'!AA498,IF(AND($B$3="Purlin",$B$2="Zone 4"),'GCM_Purlin 1.0'!AI498,IF(AND($B$3="Purlin",$B$2="Zone 5"),'GCM_Purlin 1.0'!AT498,IF(AND($B$3="Clip",$B$2="Zone 1"),'GCN_Clip 1.0'!#REF!,IF(AND($B$3="Clip",$B$2="Zone 2"),'GCN_Clip 1.0'!#REF!,IF(AND($B$3="Clip",$B$2="Zone 3"),'GCN_Clip 1.0'!#REF!,IF(AND($B$3="Clip",$B$2="Zone 4"),'GCN_Clip 1.0'!#REF!,IF(AND($B$3="Clip",$B$2="Zone 5"),'GCN_Clip 1.0'!#REF!,IF(AND($B$3="Post",$B$2="Zone 1"),'GCN_Post 1.0'!W351,IF(AND($B$3="Post",$B$2="Zone 2"),'GCN_Post 1.0'!X351,IF(AND($B$3="Post",$B$2="Zone 3"),'GCN_Post 1.0'!Y351,IF(AND($B$3="Post",$B$2="Zone 4"),'GCN_Post 1.0'!Z351,IF(AND($B$3="Post",$B$2="Zone 5"),'GCN_Post 1.0'!AA351,"ERROR")))))))))))))))))))</f>
        <v/>
      </c>
    </row>
    <row r="238" spans="6:44" x14ac:dyDescent="0.25">
      <c r="F238">
        <v>65</v>
      </c>
      <c r="G238" s="27" t="str">
        <f t="shared" ref="G238:G269" si="72">IFERROR(VLOOKUP(SMALL($C$8:$C$170,F238),$C$8:$J$170,5,FALSE),"")</f>
        <v/>
      </c>
      <c r="H238" t="str">
        <f t="shared" ref="H238:H269" si="73">IFERROR(VLOOKUP(SMALL($C$8:$C$170,F238),$C$8:$J$170,6,FALSE),"")</f>
        <v/>
      </c>
      <c r="I238" t="str">
        <f t="shared" ref="I238:I269" si="74">IFERROR(VLOOKUP(SMALL($C$8:$C$170,F238),$C$8:$J$170,7,FALSE),"")</f>
        <v/>
      </c>
      <c r="J238" s="28" t="str">
        <f t="shared" ref="J238:J269" si="75">IFERROR(VLOOKUP(SMALL($C$8:$C$170,F238),$C$8:$J$170,8,FALSE),"")</f>
        <v/>
      </c>
      <c r="M238">
        <v>65</v>
      </c>
      <c r="N238" s="27" t="str">
        <f t="shared" ref="N238:N269" si="76">IFERROR(VLOOKUP(SMALL($N$8:$N$155,$M238),$N$8:$T$155,2,FALSE),"")</f>
        <v/>
      </c>
      <c r="O238" t="str">
        <f t="shared" ref="O238:O269" si="77">IFERROR(VLOOKUP(SMALL($N$8:$N$155,$M238),$N$8:$T$155,3,FALSE),"")</f>
        <v/>
      </c>
      <c r="P238" t="str">
        <f t="shared" ref="P238:P269" si="78">IFERROR(VLOOKUP(SMALL($N$8:$N$155,$M238),$N$8:$T$155,4,FALSE),"")</f>
        <v/>
      </c>
      <c r="Q238" t="str">
        <f t="shared" ref="Q238:Q269" si="79">IFERROR(VLOOKUP(SMALL($N$8:$N$155,$M238),$N$8:$T$155,5,FALSE),"")</f>
        <v/>
      </c>
      <c r="R238" t="str">
        <f t="shared" ref="R238:R269" si="80">IFERROR(VLOOKUP(SMALL($N$8:$N$155,$M238),$N$8:$T$155,6,FALSE),"")</f>
        <v/>
      </c>
      <c r="S238" t="str">
        <f t="shared" ref="S238:S269" si="81">IFERROR(VLOOKUP(SMALL($N$8:$N$155,$M238),$N$8:$T$155,7,FALSE),"")</f>
        <v/>
      </c>
      <c r="T238" s="82" t="str">
        <f>IF(AND($B$3="Cantilever",$B$2="Zone 1"),'GCM_Cantilever 1.0'!$F429,IF(AND($B$3="Cantilever",$B$2="Zone 2"),'GCM_Cantilever 1.0'!J429,IF(AND($B$3="HalfTracker",$B$2="Zone 1"),'GCM_Halftracker 1.0'!E444,IF(AND($B$3="HalfTracker",$B$2="Zone 2"),'GCM_Halftracker 1.0'!I444,IF(AND($B$3="Purlin",$B$2="Zone 1"),'GCM_Purlin 1.0'!E499,IF(AND($B$3="Purlin",$B$2="Zone 2"),'GCM_Purlin 1.0'!M499,IF(AND($B$3="Purlin",$B$2="Zone 3"),'GCM_Purlin 1.0'!X499,IF(AND($B$3="Purlin",$B$2="Zone 4"),'GCM_Purlin 1.0'!AF499,IF(AND($B$3="Purlin",$B$2="Zone 5"),'GCM_Purlin 1.0'!AQ499,IF(AND($B$3="Clip",$B$2="Zone 1"),'GCN_Clip 1.0'!G68,IF(AND($B$3="Clip",$B$2="Zone 2"),'GCN_Clip 1.0'!C69,IF(AND($B$3="Clip",$B$2="Zone 3"),'GCN_Clip 1.0'!G70,IF(AND($B$3="Clip",$B$2="Zone 4"),'GCN_Clip 1.0'!G71,IF(AND($B$3="Clip",$B$2="Zone 5"),'GCN_Clip 1.0'!G72,IF(AND($B$3="Post",$B$2="Zone 1"),'GCN_Post 1.0'!E352,IF(AND($B$3="Post",$B$2="Zone 2"),'GCN_Post 1.0'!F352,IF(AND($B$3="Post",$B$2="Zone 3"),'GCN_Post 1.0'!G352,IF(AND($B$3="Post",$B$2="Zone 4"),'GCN_Post 1.0'!H352,IF(AND($B$3="Post",$B$2="Zone 5"),'GCN_Post 1.0'!I352,"ERROR")))))))))))))))))))</f>
        <v/>
      </c>
      <c r="V238" s="27" t="str">
        <f t="shared" ref="V238:V269" si="82">IFERROR(VLOOKUP(SMALL($N$8:$N$155,$M238),$N$8:$T$155,2,FALSE),"")</f>
        <v/>
      </c>
      <c r="W238" t="str">
        <f t="shared" ref="W238:W269" si="83">IFERROR(VLOOKUP(SMALL($N$8:$N$155,$M238),$N$8:$T$155,3,FALSE),"")</f>
        <v/>
      </c>
      <c r="X238" t="str">
        <f t="shared" ref="X238:X269" si="84">IFERROR(VLOOKUP(SMALL($N$8:$N$155,$M238),$N$8:$T$155,4,FALSE),"")</f>
        <v/>
      </c>
      <c r="Y238" t="str">
        <f t="shared" ref="Y238:Y269" si="85">IFERROR(VLOOKUP(SMALL($N$8:$N$155,$M238),$N$8:$T$155,5,FALSE),"")</f>
        <v/>
      </c>
      <c r="Z238" t="str">
        <f t="shared" ref="Z238:Z269" si="86">IFERROR(VLOOKUP(SMALL($N$8:$N$155,$M238),$N$8:$T$155,6,FALSE),"")</f>
        <v/>
      </c>
      <c r="AA238" t="str">
        <f t="shared" ref="AA238:AA269" si="87">IFERROR(VLOOKUP(SMALL($N$8:$N$155,$M238),$N$8:$T$155,7,FALSE),"")</f>
        <v/>
      </c>
      <c r="AB238" s="82" t="str">
        <f>IF(AND($B$3="Cantilever",$B$2="Zone 1"),'GCM_Cantilever 1.0'!$G429,IF(AND($B$3="Cantilever",$B$2="Zone 2"),'GCM_Cantilever 1.0'!K429,IF(AND($B$3="HalfTracker",$B$2="Zone 1"),'GCM_Halftracker 1.0'!F444,IF(AND($B$3="HalfTracker",$B$2="Zone 2"),'GCM_Halftracker 1.0'!J444,IF(AND($B$3="Purlin",$B$2="Zone 1"),'GCM_Purlin 1.0'!F499,IF(AND($B$3="Purlin",$B$2="Zone 2"),'GCM_Purlin 1.0'!N499,IF(AND($B$3="Purlin",$B$2="Zone 3"),'GCM_Purlin 1.0'!Y499,IF(AND($B$3="Purlin",$B$2="Zone 4"),'GCM_Purlin 1.0'!AG499,IF(AND($B$3="Purlin",$B$2="Zone 5"),'GCM_Purlin 1.0'!AR499,IF(AND($B$3="Clip",$B$2="Zone 1"),'GCN_Clip 1.0'!H68,IF(AND($B$3="Clip",$B$2="Zone 2"),'GCN_Clip 1.0'!H69,IF(AND($B$3="Clip",$B$2="Zone 3"),'GCN_Clip 1.0'!H70,IF(AND($B$3="Clip",$B$2="Zone 4"),'GCN_Clip 1.0'!H71,IF(AND($B$3="Clip",$B$2="Zone 5"),'GCN_Clip 1.0'!H72,IF(AND($B$3="Post",$B$2="Zone 1"),'GCN_Post 1.0'!J352,IF(AND($B$3="Post",$B$2="Zone 2"),'GCN_Post 1.0'!K352,IF(AND($B$3="Post",$B$2="Zone 3"),'GCN_Post 1.0'!N352,IF(AND($B$3="Post",$B$2="Zone 4"),'GCN_Post 1.0'!O352,IF(AND($B$3="Post",$B$2="Zone 5"),'GCN_Post 1.0'!P352,"ERROR")))))))))))))))))))</f>
        <v/>
      </c>
      <c r="AD238" s="27" t="str">
        <f t="shared" ref="AD238:AD269" si="88">IFERROR(VLOOKUP(SMALL($N$8:$N$155,$M238),$N$8:$T$155,2,FALSE),"")</f>
        <v/>
      </c>
      <c r="AE238" t="str">
        <f t="shared" ref="AE238:AE269" si="89">IFERROR(VLOOKUP(SMALL($N$8:$N$155,$M238),$N$8:$T$155,3,FALSE),"")</f>
        <v/>
      </c>
      <c r="AF238" t="str">
        <f t="shared" ref="AF238:AF269" si="90">IFERROR(VLOOKUP(SMALL($N$8:$N$155,$M238),$N$8:$T$155,4,FALSE),"")</f>
        <v/>
      </c>
      <c r="AG238" t="str">
        <f t="shared" ref="AG238:AG269" si="91">IFERROR(VLOOKUP(SMALL($N$8:$N$155,$M238),$N$8:$T$155,5,FALSE),"")</f>
        <v/>
      </c>
      <c r="AH238" t="str">
        <f t="shared" ref="AH238:AH269" si="92">IFERROR(VLOOKUP(SMALL($N$8:$N$155,$M238),$N$8:$T$155,6,FALSE),"")</f>
        <v/>
      </c>
      <c r="AI238" t="str">
        <f t="shared" ref="AI238:AI269" si="93">IFERROR(VLOOKUP(SMALL($N$8:$N$155,$M238),$N$8:$T$155,7,FALSE),"")</f>
        <v/>
      </c>
      <c r="AJ238" s="82" t="str">
        <f>IF(AND($B$3="Cantilever",$B$2="Zone 1"),'GCM_Cantilever 1.0'!$H429,IF(AND($B$3="Cantilever",$B$2="Zone 2"),'GCM_Cantilever 1.0'!L429,IF(AND($B$3="HalfTracker",$B$2="Zone 1"),'GCM_Halftracker 1.0'!G444,IF(AND($B$3="HalfTracker",$B$2="Zone 2"),'GCM_Halftracker 1.0'!K444,IF(AND($B$3="Purlin",$B$2="Zone 1"),'GCM_Purlin 1.0'!G499,IF(AND($B$3="Purlin",$B$2="Zone 2"),'GCM_Purlin 1.0'!O499,IF(AND($B$3="Purlin",$B$2="Zone 3"),'GCM_Purlin 1.0'!Z499,IF(AND($B$3="Purlin",$B$2="Zone 4"),'GCM_Purlin 1.0'!AH499,IF(AND($B$3="Purlin",$B$2="Zone 5"),'GCM_Purlin 1.0'!AS499,IF(AND($B$3="Clip",$B$2="Zone 1"),'GCN_Clip 1.0'!#REF!,IF(AND($B$3="Clip",$B$2="Zone 2"),'GCN_Clip 1.0'!#REF!,IF(AND($B$3="Clip",$B$2="Zone 3"),'GCN_Clip 1.0'!#REF!,IF(AND($B$3="Clip",$B$2="Zone 4"),'GCN_Clip 1.0'!#REF!,IF(AND($B$3="Clip",$B$2="Zone 5"),'GCN_Clip 1.0'!#REF!,IF(AND($B$3="Post",$B$2="Zone 1"),'GCN_Post 1.0'!Q352,IF(AND($B$3="Post",$B$2="Zone 2"),'GCN_Post 1.0'!R352,IF(AND($B$3="Post",$B$2="Zone 3"),'GCN_Post 1.0'!S352,IF(AND($B$3="Post",$B$2="Zone 4"),'GCN_Post 1.0'!T352,IF(AND($B$3="Post",$B$2="Zone 5"),'GCN_Post 1.0'!V352,"ERROR")))))))))))))))))))</f>
        <v/>
      </c>
      <c r="AL238" s="27" t="str">
        <f t="shared" ref="AL238:AL269" si="94">IFERROR(VLOOKUP(SMALL($N$8:$N$155,$M238),$N$8:$T$155,2,FALSE),"")</f>
        <v/>
      </c>
      <c r="AM238" t="str">
        <f t="shared" ref="AM238:AM269" si="95">IFERROR(VLOOKUP(SMALL($N$8:$N$155,$M238),$N$8:$T$155,3,FALSE),"")</f>
        <v/>
      </c>
      <c r="AN238" t="str">
        <f t="shared" ref="AN238:AN269" si="96">IFERROR(VLOOKUP(SMALL($N$8:$N$155,$M238),$N$8:$T$155,4,FALSE),"")</f>
        <v/>
      </c>
      <c r="AO238" t="str">
        <f t="shared" ref="AO238:AO269" si="97">IFERROR(VLOOKUP(SMALL($N$8:$N$155,$M238),$N$8:$T$155,5,FALSE),"")</f>
        <v/>
      </c>
      <c r="AP238" t="str">
        <f t="shared" ref="AP238:AP269" si="98">IFERROR(VLOOKUP(SMALL($N$8:$N$155,$M238),$N$8:$T$155,6,FALSE),"")</f>
        <v/>
      </c>
      <c r="AQ238" t="str">
        <f t="shared" ref="AQ238:AQ269" si="99">IFERROR(VLOOKUP(SMALL($N$8:$N$155,$M238),$N$8:$T$155,7,FALSE),"")</f>
        <v/>
      </c>
      <c r="AR238" s="82" t="str">
        <f>IF(AND($B$3="Cantilever",$B$2="Zone 1"),'GCM_Cantilever 1.0'!$I429,IF(AND($B$3="Cantilever",$B$2="Zone 2"),'GCM_Cantilever 1.0'!M429,IF(AND($B$3="HalfTracker",$B$2="Zone 1"),'GCM_Halftracker 1.0'!H444,IF(AND($B$3="HalfTracker",$B$2="Zone 2"),'GCM_Halftracker 1.0'!L444,IF(AND($B$3="Purlin",$B$2="Zone 1"),'GCM_Purlin 1.0'!H499,IF(AND($B$3="Purlin",$B$2="Zone 2"),'GCM_Purlin 1.0'!P499,IF(AND($B$3="Purlin",$B$2="Zone 3"),'GCM_Purlin 1.0'!AA499,IF(AND($B$3="Purlin",$B$2="Zone 4"),'GCM_Purlin 1.0'!AI499,IF(AND($B$3="Purlin",$B$2="Zone 5"),'GCM_Purlin 1.0'!AT499,IF(AND($B$3="Clip",$B$2="Zone 1"),'GCN_Clip 1.0'!#REF!,IF(AND($B$3="Clip",$B$2="Zone 2"),'GCN_Clip 1.0'!#REF!,IF(AND($B$3="Clip",$B$2="Zone 3"),'GCN_Clip 1.0'!#REF!,IF(AND($B$3="Clip",$B$2="Zone 4"),'GCN_Clip 1.0'!#REF!,IF(AND($B$3="Clip",$B$2="Zone 5"),'GCN_Clip 1.0'!#REF!,IF(AND($B$3="Post",$B$2="Zone 1"),'GCN_Post 1.0'!W352,IF(AND($B$3="Post",$B$2="Zone 2"),'GCN_Post 1.0'!X352,IF(AND($B$3="Post",$B$2="Zone 3"),'GCN_Post 1.0'!Y352,IF(AND($B$3="Post",$B$2="Zone 4"),'GCN_Post 1.0'!Z352,IF(AND($B$3="Post",$B$2="Zone 5"),'GCN_Post 1.0'!AA352,"ERROR")))))))))))))))))))</f>
        <v/>
      </c>
    </row>
    <row r="239" spans="6:44" x14ac:dyDescent="0.25">
      <c r="F239">
        <v>66</v>
      </c>
      <c r="G239" s="27" t="str">
        <f t="shared" si="72"/>
        <v/>
      </c>
      <c r="H239" t="str">
        <f t="shared" si="73"/>
        <v/>
      </c>
      <c r="I239" t="str">
        <f t="shared" si="74"/>
        <v/>
      </c>
      <c r="J239" s="28" t="str">
        <f t="shared" si="75"/>
        <v/>
      </c>
      <c r="M239">
        <v>66</v>
      </c>
      <c r="N239" s="27" t="str">
        <f t="shared" si="76"/>
        <v/>
      </c>
      <c r="O239" t="str">
        <f t="shared" si="77"/>
        <v/>
      </c>
      <c r="P239" t="str">
        <f t="shared" si="78"/>
        <v/>
      </c>
      <c r="Q239" t="str">
        <f t="shared" si="79"/>
        <v/>
      </c>
      <c r="R239" t="str">
        <f t="shared" si="80"/>
        <v/>
      </c>
      <c r="S239" t="str">
        <f t="shared" si="81"/>
        <v/>
      </c>
      <c r="T239" s="82" t="str">
        <f>IF(AND($B$3="Cantilever",$B$2="Zone 1"),'GCM_Cantilever 1.0'!$F430,IF(AND($B$3="Cantilever",$B$2="Zone 2"),'GCM_Cantilever 1.0'!J430,IF(AND($B$3="HalfTracker",$B$2="Zone 1"),'GCM_Halftracker 1.0'!E445,IF(AND($B$3="HalfTracker",$B$2="Zone 2"),'GCM_Halftracker 1.0'!I445,IF(AND($B$3="Purlin",$B$2="Zone 1"),'GCM_Purlin 1.0'!E500,IF(AND($B$3="Purlin",$B$2="Zone 2"),'GCM_Purlin 1.0'!M500,IF(AND($B$3="Purlin",$B$2="Zone 3"),'GCM_Purlin 1.0'!X500,IF(AND($B$3="Purlin",$B$2="Zone 4"),'GCM_Purlin 1.0'!AF500,IF(AND($B$3="Purlin",$B$2="Zone 5"),'GCM_Purlin 1.0'!AQ500,IF(AND($B$3="Clip",$B$2="Zone 1"),'GCN_Clip 1.0'!G69,IF(AND($B$3="Clip",$B$2="Zone 2"),'GCN_Clip 1.0'!C70,IF(AND($B$3="Clip",$B$2="Zone 3"),'GCN_Clip 1.0'!G71,IF(AND($B$3="Clip",$B$2="Zone 4"),'GCN_Clip 1.0'!G72,IF(AND($B$3="Clip",$B$2="Zone 5"),'GCN_Clip 1.0'!G73,IF(AND($B$3="Post",$B$2="Zone 1"),'GCN_Post 1.0'!E353,IF(AND($B$3="Post",$B$2="Zone 2"),'GCN_Post 1.0'!F353,IF(AND($B$3="Post",$B$2="Zone 3"),'GCN_Post 1.0'!G353,IF(AND($B$3="Post",$B$2="Zone 4"),'GCN_Post 1.0'!H353,IF(AND($B$3="Post",$B$2="Zone 5"),'GCN_Post 1.0'!I353,"ERROR")))))))))))))))))))</f>
        <v/>
      </c>
      <c r="V239" s="27" t="str">
        <f t="shared" si="82"/>
        <v/>
      </c>
      <c r="W239" t="str">
        <f t="shared" si="83"/>
        <v/>
      </c>
      <c r="X239" t="str">
        <f t="shared" si="84"/>
        <v/>
      </c>
      <c r="Y239" t="str">
        <f t="shared" si="85"/>
        <v/>
      </c>
      <c r="Z239" t="str">
        <f t="shared" si="86"/>
        <v/>
      </c>
      <c r="AA239" t="str">
        <f t="shared" si="87"/>
        <v/>
      </c>
      <c r="AB239" s="82" t="str">
        <f>IF(AND($B$3="Cantilever",$B$2="Zone 1"),'GCM_Cantilever 1.0'!$G430,IF(AND($B$3="Cantilever",$B$2="Zone 2"),'GCM_Cantilever 1.0'!K430,IF(AND($B$3="HalfTracker",$B$2="Zone 1"),'GCM_Halftracker 1.0'!F445,IF(AND($B$3="HalfTracker",$B$2="Zone 2"),'GCM_Halftracker 1.0'!J445,IF(AND($B$3="Purlin",$B$2="Zone 1"),'GCM_Purlin 1.0'!F500,IF(AND($B$3="Purlin",$B$2="Zone 2"),'GCM_Purlin 1.0'!N500,IF(AND($B$3="Purlin",$B$2="Zone 3"),'GCM_Purlin 1.0'!Y500,IF(AND($B$3="Purlin",$B$2="Zone 4"),'GCM_Purlin 1.0'!AG500,IF(AND($B$3="Purlin",$B$2="Zone 5"),'GCM_Purlin 1.0'!AR500,IF(AND($B$3="Clip",$B$2="Zone 1"),'GCN_Clip 1.0'!H69,IF(AND($B$3="Clip",$B$2="Zone 2"),'GCN_Clip 1.0'!H70,IF(AND($B$3="Clip",$B$2="Zone 3"),'GCN_Clip 1.0'!H71,IF(AND($B$3="Clip",$B$2="Zone 4"),'GCN_Clip 1.0'!H72,IF(AND($B$3="Clip",$B$2="Zone 5"),'GCN_Clip 1.0'!H73,IF(AND($B$3="Post",$B$2="Zone 1"),'GCN_Post 1.0'!J353,IF(AND($B$3="Post",$B$2="Zone 2"),'GCN_Post 1.0'!K353,IF(AND($B$3="Post",$B$2="Zone 3"),'GCN_Post 1.0'!N353,IF(AND($B$3="Post",$B$2="Zone 4"),'GCN_Post 1.0'!O353,IF(AND($B$3="Post",$B$2="Zone 5"),'GCN_Post 1.0'!P353,"ERROR")))))))))))))))))))</f>
        <v/>
      </c>
      <c r="AD239" s="27" t="str">
        <f t="shared" si="88"/>
        <v/>
      </c>
      <c r="AE239" t="str">
        <f t="shared" si="89"/>
        <v/>
      </c>
      <c r="AF239" t="str">
        <f t="shared" si="90"/>
        <v/>
      </c>
      <c r="AG239" t="str">
        <f t="shared" si="91"/>
        <v/>
      </c>
      <c r="AH239" t="str">
        <f t="shared" si="92"/>
        <v/>
      </c>
      <c r="AI239" t="str">
        <f t="shared" si="93"/>
        <v/>
      </c>
      <c r="AJ239" s="82" t="str">
        <f>IF(AND($B$3="Cantilever",$B$2="Zone 1"),'GCM_Cantilever 1.0'!$H430,IF(AND($B$3="Cantilever",$B$2="Zone 2"),'GCM_Cantilever 1.0'!L430,IF(AND($B$3="HalfTracker",$B$2="Zone 1"),'GCM_Halftracker 1.0'!G445,IF(AND($B$3="HalfTracker",$B$2="Zone 2"),'GCM_Halftracker 1.0'!K445,IF(AND($B$3="Purlin",$B$2="Zone 1"),'GCM_Purlin 1.0'!G500,IF(AND($B$3="Purlin",$B$2="Zone 2"),'GCM_Purlin 1.0'!O500,IF(AND($B$3="Purlin",$B$2="Zone 3"),'GCM_Purlin 1.0'!Z500,IF(AND($B$3="Purlin",$B$2="Zone 4"),'GCM_Purlin 1.0'!AH500,IF(AND($B$3="Purlin",$B$2="Zone 5"),'GCM_Purlin 1.0'!AS500,IF(AND($B$3="Clip",$B$2="Zone 1"),'GCN_Clip 1.0'!#REF!,IF(AND($B$3="Clip",$B$2="Zone 2"),'GCN_Clip 1.0'!#REF!,IF(AND($B$3="Clip",$B$2="Zone 3"),'GCN_Clip 1.0'!#REF!,IF(AND($B$3="Clip",$B$2="Zone 4"),'GCN_Clip 1.0'!#REF!,IF(AND($B$3="Clip",$B$2="Zone 5"),'GCN_Clip 1.0'!#REF!,IF(AND($B$3="Post",$B$2="Zone 1"),'GCN_Post 1.0'!Q353,IF(AND($B$3="Post",$B$2="Zone 2"),'GCN_Post 1.0'!R353,IF(AND($B$3="Post",$B$2="Zone 3"),'GCN_Post 1.0'!S353,IF(AND($B$3="Post",$B$2="Zone 4"),'GCN_Post 1.0'!T353,IF(AND($B$3="Post",$B$2="Zone 5"),'GCN_Post 1.0'!V353,"ERROR")))))))))))))))))))</f>
        <v/>
      </c>
      <c r="AL239" s="27" t="str">
        <f t="shared" si="94"/>
        <v/>
      </c>
      <c r="AM239" t="str">
        <f t="shared" si="95"/>
        <v/>
      </c>
      <c r="AN239" t="str">
        <f t="shared" si="96"/>
        <v/>
      </c>
      <c r="AO239" t="str">
        <f t="shared" si="97"/>
        <v/>
      </c>
      <c r="AP239" t="str">
        <f t="shared" si="98"/>
        <v/>
      </c>
      <c r="AQ239" t="str">
        <f t="shared" si="99"/>
        <v/>
      </c>
      <c r="AR239" s="82" t="str">
        <f>IF(AND($B$3="Cantilever",$B$2="Zone 1"),'GCM_Cantilever 1.0'!$I430,IF(AND($B$3="Cantilever",$B$2="Zone 2"),'GCM_Cantilever 1.0'!M430,IF(AND($B$3="HalfTracker",$B$2="Zone 1"),'GCM_Halftracker 1.0'!H445,IF(AND($B$3="HalfTracker",$B$2="Zone 2"),'GCM_Halftracker 1.0'!L445,IF(AND($B$3="Purlin",$B$2="Zone 1"),'GCM_Purlin 1.0'!H500,IF(AND($B$3="Purlin",$B$2="Zone 2"),'GCM_Purlin 1.0'!P500,IF(AND($B$3="Purlin",$B$2="Zone 3"),'GCM_Purlin 1.0'!AA500,IF(AND($B$3="Purlin",$B$2="Zone 4"),'GCM_Purlin 1.0'!AI500,IF(AND($B$3="Purlin",$B$2="Zone 5"),'GCM_Purlin 1.0'!AT500,IF(AND($B$3="Clip",$B$2="Zone 1"),'GCN_Clip 1.0'!#REF!,IF(AND($B$3="Clip",$B$2="Zone 2"),'GCN_Clip 1.0'!#REF!,IF(AND($B$3="Clip",$B$2="Zone 3"),'GCN_Clip 1.0'!#REF!,IF(AND($B$3="Clip",$B$2="Zone 4"),'GCN_Clip 1.0'!#REF!,IF(AND($B$3="Clip",$B$2="Zone 5"),'GCN_Clip 1.0'!#REF!,IF(AND($B$3="Post",$B$2="Zone 1"),'GCN_Post 1.0'!W353,IF(AND($B$3="Post",$B$2="Zone 2"),'GCN_Post 1.0'!X353,IF(AND($B$3="Post",$B$2="Zone 3"),'GCN_Post 1.0'!Y353,IF(AND($B$3="Post",$B$2="Zone 4"),'GCN_Post 1.0'!Z353,IF(AND($B$3="Post",$B$2="Zone 5"),'GCN_Post 1.0'!AA353,"ERROR")))))))))))))))))))</f>
        <v/>
      </c>
    </row>
    <row r="240" spans="6:44" x14ac:dyDescent="0.25">
      <c r="F240">
        <v>67</v>
      </c>
      <c r="G240" s="27" t="str">
        <f t="shared" si="72"/>
        <v/>
      </c>
      <c r="H240" t="str">
        <f t="shared" si="73"/>
        <v/>
      </c>
      <c r="I240" t="str">
        <f t="shared" si="74"/>
        <v/>
      </c>
      <c r="J240" s="28" t="str">
        <f t="shared" si="75"/>
        <v/>
      </c>
      <c r="M240">
        <v>67</v>
      </c>
      <c r="N240" s="27" t="str">
        <f t="shared" si="76"/>
        <v/>
      </c>
      <c r="O240" t="str">
        <f t="shared" si="77"/>
        <v/>
      </c>
      <c r="P240" t="str">
        <f t="shared" si="78"/>
        <v/>
      </c>
      <c r="Q240" t="str">
        <f t="shared" si="79"/>
        <v/>
      </c>
      <c r="R240" t="str">
        <f t="shared" si="80"/>
        <v/>
      </c>
      <c r="S240" t="str">
        <f t="shared" si="81"/>
        <v/>
      </c>
      <c r="T240" s="82" t="str">
        <f>IF(AND($B$3="Cantilever",$B$2="Zone 1"),'GCM_Cantilever 1.0'!$F431,IF(AND($B$3="Cantilever",$B$2="Zone 2"),'GCM_Cantilever 1.0'!J431,IF(AND($B$3="HalfTracker",$B$2="Zone 1"),'GCM_Halftracker 1.0'!E446,IF(AND($B$3="HalfTracker",$B$2="Zone 2"),'GCM_Halftracker 1.0'!I446,IF(AND($B$3="Purlin",$B$2="Zone 1"),'GCM_Purlin 1.0'!E501,IF(AND($B$3="Purlin",$B$2="Zone 2"),'GCM_Purlin 1.0'!M501,IF(AND($B$3="Purlin",$B$2="Zone 3"),'GCM_Purlin 1.0'!X501,IF(AND($B$3="Purlin",$B$2="Zone 4"),'GCM_Purlin 1.0'!AF501,IF(AND($B$3="Purlin",$B$2="Zone 5"),'GCM_Purlin 1.0'!AQ501,IF(AND($B$3="Clip",$B$2="Zone 1"),'GCN_Clip 1.0'!G70,IF(AND($B$3="Clip",$B$2="Zone 2"),'GCN_Clip 1.0'!C71,IF(AND($B$3="Clip",$B$2="Zone 3"),'GCN_Clip 1.0'!G72,IF(AND($B$3="Clip",$B$2="Zone 4"),'GCN_Clip 1.0'!G73,IF(AND($B$3="Clip",$B$2="Zone 5"),'GCN_Clip 1.0'!G74,IF(AND($B$3="Post",$B$2="Zone 1"),'GCN_Post 1.0'!E354,IF(AND($B$3="Post",$B$2="Zone 2"),'GCN_Post 1.0'!F354,IF(AND($B$3="Post",$B$2="Zone 3"),'GCN_Post 1.0'!G354,IF(AND($B$3="Post",$B$2="Zone 4"),'GCN_Post 1.0'!H354,IF(AND($B$3="Post",$B$2="Zone 5"),'GCN_Post 1.0'!I354,"ERROR")))))))))))))))))))</f>
        <v/>
      </c>
      <c r="V240" s="27" t="str">
        <f t="shared" si="82"/>
        <v/>
      </c>
      <c r="W240" t="str">
        <f t="shared" si="83"/>
        <v/>
      </c>
      <c r="X240" t="str">
        <f t="shared" si="84"/>
        <v/>
      </c>
      <c r="Y240" t="str">
        <f t="shared" si="85"/>
        <v/>
      </c>
      <c r="Z240" t="str">
        <f t="shared" si="86"/>
        <v/>
      </c>
      <c r="AA240" t="str">
        <f t="shared" si="87"/>
        <v/>
      </c>
      <c r="AB240" s="82" t="str">
        <f>IF(AND($B$3="Cantilever",$B$2="Zone 1"),'GCM_Cantilever 1.0'!$G431,IF(AND($B$3="Cantilever",$B$2="Zone 2"),'GCM_Cantilever 1.0'!K431,IF(AND($B$3="HalfTracker",$B$2="Zone 1"),'GCM_Halftracker 1.0'!F446,IF(AND($B$3="HalfTracker",$B$2="Zone 2"),'GCM_Halftracker 1.0'!J446,IF(AND($B$3="Purlin",$B$2="Zone 1"),'GCM_Purlin 1.0'!F501,IF(AND($B$3="Purlin",$B$2="Zone 2"),'GCM_Purlin 1.0'!N501,IF(AND($B$3="Purlin",$B$2="Zone 3"),'GCM_Purlin 1.0'!Y501,IF(AND($B$3="Purlin",$B$2="Zone 4"),'GCM_Purlin 1.0'!AG501,IF(AND($B$3="Purlin",$B$2="Zone 5"),'GCM_Purlin 1.0'!AR501,IF(AND($B$3="Clip",$B$2="Zone 1"),'GCN_Clip 1.0'!H70,IF(AND($B$3="Clip",$B$2="Zone 2"),'GCN_Clip 1.0'!H71,IF(AND($B$3="Clip",$B$2="Zone 3"),'GCN_Clip 1.0'!H72,IF(AND($B$3="Clip",$B$2="Zone 4"),'GCN_Clip 1.0'!H73,IF(AND($B$3="Clip",$B$2="Zone 5"),'GCN_Clip 1.0'!H74,IF(AND($B$3="Post",$B$2="Zone 1"),'GCN_Post 1.0'!J354,IF(AND($B$3="Post",$B$2="Zone 2"),'GCN_Post 1.0'!K354,IF(AND($B$3="Post",$B$2="Zone 3"),'GCN_Post 1.0'!N354,IF(AND($B$3="Post",$B$2="Zone 4"),'GCN_Post 1.0'!O354,IF(AND($B$3="Post",$B$2="Zone 5"),'GCN_Post 1.0'!P354,"ERROR")))))))))))))))))))</f>
        <v/>
      </c>
      <c r="AD240" s="27" t="str">
        <f t="shared" si="88"/>
        <v/>
      </c>
      <c r="AE240" t="str">
        <f t="shared" si="89"/>
        <v/>
      </c>
      <c r="AF240" t="str">
        <f t="shared" si="90"/>
        <v/>
      </c>
      <c r="AG240" t="str">
        <f t="shared" si="91"/>
        <v/>
      </c>
      <c r="AH240" t="str">
        <f t="shared" si="92"/>
        <v/>
      </c>
      <c r="AI240" t="str">
        <f t="shared" si="93"/>
        <v/>
      </c>
      <c r="AJ240" s="82" t="str">
        <f>IF(AND($B$3="Cantilever",$B$2="Zone 1"),'GCM_Cantilever 1.0'!$H431,IF(AND($B$3="Cantilever",$B$2="Zone 2"),'GCM_Cantilever 1.0'!L431,IF(AND($B$3="HalfTracker",$B$2="Zone 1"),'GCM_Halftracker 1.0'!G446,IF(AND($B$3="HalfTracker",$B$2="Zone 2"),'GCM_Halftracker 1.0'!K446,IF(AND($B$3="Purlin",$B$2="Zone 1"),'GCM_Purlin 1.0'!G501,IF(AND($B$3="Purlin",$B$2="Zone 2"),'GCM_Purlin 1.0'!O501,IF(AND($B$3="Purlin",$B$2="Zone 3"),'GCM_Purlin 1.0'!Z501,IF(AND($B$3="Purlin",$B$2="Zone 4"),'GCM_Purlin 1.0'!AH501,IF(AND($B$3="Purlin",$B$2="Zone 5"),'GCM_Purlin 1.0'!AS501,IF(AND($B$3="Clip",$B$2="Zone 1"),'GCN_Clip 1.0'!#REF!,IF(AND($B$3="Clip",$B$2="Zone 2"),'GCN_Clip 1.0'!#REF!,IF(AND($B$3="Clip",$B$2="Zone 3"),'GCN_Clip 1.0'!#REF!,IF(AND($B$3="Clip",$B$2="Zone 4"),'GCN_Clip 1.0'!#REF!,IF(AND($B$3="Clip",$B$2="Zone 5"),'GCN_Clip 1.0'!#REF!,IF(AND($B$3="Post",$B$2="Zone 1"),'GCN_Post 1.0'!Q354,IF(AND($B$3="Post",$B$2="Zone 2"),'GCN_Post 1.0'!R354,IF(AND($B$3="Post",$B$2="Zone 3"),'GCN_Post 1.0'!S354,IF(AND($B$3="Post",$B$2="Zone 4"),'GCN_Post 1.0'!T354,IF(AND($B$3="Post",$B$2="Zone 5"),'GCN_Post 1.0'!V354,"ERROR")))))))))))))))))))</f>
        <v/>
      </c>
      <c r="AL240" s="27" t="str">
        <f t="shared" si="94"/>
        <v/>
      </c>
      <c r="AM240" t="str">
        <f t="shared" si="95"/>
        <v/>
      </c>
      <c r="AN240" t="str">
        <f t="shared" si="96"/>
        <v/>
      </c>
      <c r="AO240" t="str">
        <f t="shared" si="97"/>
        <v/>
      </c>
      <c r="AP240" t="str">
        <f t="shared" si="98"/>
        <v/>
      </c>
      <c r="AQ240" t="str">
        <f t="shared" si="99"/>
        <v/>
      </c>
      <c r="AR240" s="82" t="str">
        <f>IF(AND($B$3="Cantilever",$B$2="Zone 1"),'GCM_Cantilever 1.0'!$I431,IF(AND($B$3="Cantilever",$B$2="Zone 2"),'GCM_Cantilever 1.0'!M431,IF(AND($B$3="HalfTracker",$B$2="Zone 1"),'GCM_Halftracker 1.0'!H446,IF(AND($B$3="HalfTracker",$B$2="Zone 2"),'GCM_Halftracker 1.0'!L446,IF(AND($B$3="Purlin",$B$2="Zone 1"),'GCM_Purlin 1.0'!H501,IF(AND($B$3="Purlin",$B$2="Zone 2"),'GCM_Purlin 1.0'!P501,IF(AND($B$3="Purlin",$B$2="Zone 3"),'GCM_Purlin 1.0'!AA501,IF(AND($B$3="Purlin",$B$2="Zone 4"),'GCM_Purlin 1.0'!AI501,IF(AND($B$3="Purlin",$B$2="Zone 5"),'GCM_Purlin 1.0'!AT501,IF(AND($B$3="Clip",$B$2="Zone 1"),'GCN_Clip 1.0'!#REF!,IF(AND($B$3="Clip",$B$2="Zone 2"),'GCN_Clip 1.0'!#REF!,IF(AND($B$3="Clip",$B$2="Zone 3"),'GCN_Clip 1.0'!#REF!,IF(AND($B$3="Clip",$B$2="Zone 4"),'GCN_Clip 1.0'!#REF!,IF(AND($B$3="Clip",$B$2="Zone 5"),'GCN_Clip 1.0'!#REF!,IF(AND($B$3="Post",$B$2="Zone 1"),'GCN_Post 1.0'!W354,IF(AND($B$3="Post",$B$2="Zone 2"),'GCN_Post 1.0'!X354,IF(AND($B$3="Post",$B$2="Zone 3"),'GCN_Post 1.0'!Y354,IF(AND($B$3="Post",$B$2="Zone 4"),'GCN_Post 1.0'!Z354,IF(AND($B$3="Post",$B$2="Zone 5"),'GCN_Post 1.0'!AA354,"ERROR")))))))))))))))))))</f>
        <v/>
      </c>
    </row>
    <row r="241" spans="6:44" x14ac:dyDescent="0.25">
      <c r="F241">
        <v>68</v>
      </c>
      <c r="G241" s="27" t="str">
        <f t="shared" si="72"/>
        <v/>
      </c>
      <c r="H241" t="str">
        <f t="shared" si="73"/>
        <v/>
      </c>
      <c r="I241" t="str">
        <f t="shared" si="74"/>
        <v/>
      </c>
      <c r="J241" s="28" t="str">
        <f t="shared" si="75"/>
        <v/>
      </c>
      <c r="M241">
        <v>68</v>
      </c>
      <c r="N241" s="27" t="str">
        <f t="shared" si="76"/>
        <v/>
      </c>
      <c r="O241" t="str">
        <f t="shared" si="77"/>
        <v/>
      </c>
      <c r="P241" t="str">
        <f t="shared" si="78"/>
        <v/>
      </c>
      <c r="Q241" t="str">
        <f t="shared" si="79"/>
        <v/>
      </c>
      <c r="R241" t="str">
        <f t="shared" si="80"/>
        <v/>
      </c>
      <c r="S241" t="str">
        <f t="shared" si="81"/>
        <v/>
      </c>
      <c r="T241" s="82" t="str">
        <f>IF(AND($B$3="Cantilever",$B$2="Zone 1"),'GCM_Cantilever 1.0'!$F432,IF(AND($B$3="Cantilever",$B$2="Zone 2"),'GCM_Cantilever 1.0'!J432,IF(AND($B$3="HalfTracker",$B$2="Zone 1"),'GCM_Halftracker 1.0'!E447,IF(AND($B$3="HalfTracker",$B$2="Zone 2"),'GCM_Halftracker 1.0'!I447,IF(AND($B$3="Purlin",$B$2="Zone 1"),'GCM_Purlin 1.0'!E502,IF(AND($B$3="Purlin",$B$2="Zone 2"),'GCM_Purlin 1.0'!M502,IF(AND($B$3="Purlin",$B$2="Zone 3"),'GCM_Purlin 1.0'!X502,IF(AND($B$3="Purlin",$B$2="Zone 4"),'GCM_Purlin 1.0'!AF502,IF(AND($B$3="Purlin",$B$2="Zone 5"),'GCM_Purlin 1.0'!AQ502,IF(AND($B$3="Clip",$B$2="Zone 1"),'GCN_Clip 1.0'!G71,IF(AND($B$3="Clip",$B$2="Zone 2"),'GCN_Clip 1.0'!C72,IF(AND($B$3="Clip",$B$2="Zone 3"),'GCN_Clip 1.0'!G73,IF(AND($B$3="Clip",$B$2="Zone 4"),'GCN_Clip 1.0'!G74,IF(AND($B$3="Clip",$B$2="Zone 5"),'GCN_Clip 1.0'!G75,IF(AND($B$3="Post",$B$2="Zone 1"),'GCN_Post 1.0'!E355,IF(AND($B$3="Post",$B$2="Zone 2"),'GCN_Post 1.0'!F355,IF(AND($B$3="Post",$B$2="Zone 3"),'GCN_Post 1.0'!G355,IF(AND($B$3="Post",$B$2="Zone 4"),'GCN_Post 1.0'!H355,IF(AND($B$3="Post",$B$2="Zone 5"),'GCN_Post 1.0'!I355,"ERROR")))))))))))))))))))</f>
        <v/>
      </c>
      <c r="V241" s="27" t="str">
        <f t="shared" si="82"/>
        <v/>
      </c>
      <c r="W241" t="str">
        <f t="shared" si="83"/>
        <v/>
      </c>
      <c r="X241" t="str">
        <f t="shared" si="84"/>
        <v/>
      </c>
      <c r="Y241" t="str">
        <f t="shared" si="85"/>
        <v/>
      </c>
      <c r="Z241" t="str">
        <f t="shared" si="86"/>
        <v/>
      </c>
      <c r="AA241" t="str">
        <f t="shared" si="87"/>
        <v/>
      </c>
      <c r="AB241" s="82" t="str">
        <f>IF(AND($B$3="Cantilever",$B$2="Zone 1"),'GCM_Cantilever 1.0'!$G432,IF(AND($B$3="Cantilever",$B$2="Zone 2"),'GCM_Cantilever 1.0'!K432,IF(AND($B$3="HalfTracker",$B$2="Zone 1"),'GCM_Halftracker 1.0'!F447,IF(AND($B$3="HalfTracker",$B$2="Zone 2"),'GCM_Halftracker 1.0'!J447,IF(AND($B$3="Purlin",$B$2="Zone 1"),'GCM_Purlin 1.0'!F502,IF(AND($B$3="Purlin",$B$2="Zone 2"),'GCM_Purlin 1.0'!N502,IF(AND($B$3="Purlin",$B$2="Zone 3"),'GCM_Purlin 1.0'!Y502,IF(AND($B$3="Purlin",$B$2="Zone 4"),'GCM_Purlin 1.0'!AG502,IF(AND($B$3="Purlin",$B$2="Zone 5"),'GCM_Purlin 1.0'!AR502,IF(AND($B$3="Clip",$B$2="Zone 1"),'GCN_Clip 1.0'!H71,IF(AND($B$3="Clip",$B$2="Zone 2"),'GCN_Clip 1.0'!H72,IF(AND($B$3="Clip",$B$2="Zone 3"),'GCN_Clip 1.0'!H73,IF(AND($B$3="Clip",$B$2="Zone 4"),'GCN_Clip 1.0'!H74,IF(AND($B$3="Clip",$B$2="Zone 5"),'GCN_Clip 1.0'!H75,IF(AND($B$3="Post",$B$2="Zone 1"),'GCN_Post 1.0'!J355,IF(AND($B$3="Post",$B$2="Zone 2"),'GCN_Post 1.0'!K355,IF(AND($B$3="Post",$B$2="Zone 3"),'GCN_Post 1.0'!N355,IF(AND($B$3="Post",$B$2="Zone 4"),'GCN_Post 1.0'!O355,IF(AND($B$3="Post",$B$2="Zone 5"),'GCN_Post 1.0'!P355,"ERROR")))))))))))))))))))</f>
        <v/>
      </c>
      <c r="AD241" s="27" t="str">
        <f t="shared" si="88"/>
        <v/>
      </c>
      <c r="AE241" t="str">
        <f t="shared" si="89"/>
        <v/>
      </c>
      <c r="AF241" t="str">
        <f t="shared" si="90"/>
        <v/>
      </c>
      <c r="AG241" t="str">
        <f t="shared" si="91"/>
        <v/>
      </c>
      <c r="AH241" t="str">
        <f t="shared" si="92"/>
        <v/>
      </c>
      <c r="AI241" t="str">
        <f t="shared" si="93"/>
        <v/>
      </c>
      <c r="AJ241" s="82" t="str">
        <f>IF(AND($B$3="Cantilever",$B$2="Zone 1"),'GCM_Cantilever 1.0'!$H432,IF(AND($B$3="Cantilever",$B$2="Zone 2"),'GCM_Cantilever 1.0'!L432,IF(AND($B$3="HalfTracker",$B$2="Zone 1"),'GCM_Halftracker 1.0'!G447,IF(AND($B$3="HalfTracker",$B$2="Zone 2"),'GCM_Halftracker 1.0'!K447,IF(AND($B$3="Purlin",$B$2="Zone 1"),'GCM_Purlin 1.0'!G502,IF(AND($B$3="Purlin",$B$2="Zone 2"),'GCM_Purlin 1.0'!O502,IF(AND($B$3="Purlin",$B$2="Zone 3"),'GCM_Purlin 1.0'!Z502,IF(AND($B$3="Purlin",$B$2="Zone 4"),'GCM_Purlin 1.0'!AH502,IF(AND($B$3="Purlin",$B$2="Zone 5"),'GCM_Purlin 1.0'!AS502,IF(AND($B$3="Clip",$B$2="Zone 1"),'GCN_Clip 1.0'!#REF!,IF(AND($B$3="Clip",$B$2="Zone 2"),'GCN_Clip 1.0'!#REF!,IF(AND($B$3="Clip",$B$2="Zone 3"),'GCN_Clip 1.0'!#REF!,IF(AND($B$3="Clip",$B$2="Zone 4"),'GCN_Clip 1.0'!#REF!,IF(AND($B$3="Clip",$B$2="Zone 5"),'GCN_Clip 1.0'!#REF!,IF(AND($B$3="Post",$B$2="Zone 1"),'GCN_Post 1.0'!Q355,IF(AND($B$3="Post",$B$2="Zone 2"),'GCN_Post 1.0'!R355,IF(AND($B$3="Post",$B$2="Zone 3"),'GCN_Post 1.0'!S355,IF(AND($B$3="Post",$B$2="Zone 4"),'GCN_Post 1.0'!T355,IF(AND($B$3="Post",$B$2="Zone 5"),'GCN_Post 1.0'!V355,"ERROR")))))))))))))))))))</f>
        <v/>
      </c>
      <c r="AL241" s="27" t="str">
        <f t="shared" si="94"/>
        <v/>
      </c>
      <c r="AM241" t="str">
        <f t="shared" si="95"/>
        <v/>
      </c>
      <c r="AN241" t="str">
        <f t="shared" si="96"/>
        <v/>
      </c>
      <c r="AO241" t="str">
        <f t="shared" si="97"/>
        <v/>
      </c>
      <c r="AP241" t="str">
        <f t="shared" si="98"/>
        <v/>
      </c>
      <c r="AQ241" t="str">
        <f t="shared" si="99"/>
        <v/>
      </c>
      <c r="AR241" s="82" t="str">
        <f>IF(AND($B$3="Cantilever",$B$2="Zone 1"),'GCM_Cantilever 1.0'!$I432,IF(AND($B$3="Cantilever",$B$2="Zone 2"),'GCM_Cantilever 1.0'!M432,IF(AND($B$3="HalfTracker",$B$2="Zone 1"),'GCM_Halftracker 1.0'!H447,IF(AND($B$3="HalfTracker",$B$2="Zone 2"),'GCM_Halftracker 1.0'!L447,IF(AND($B$3="Purlin",$B$2="Zone 1"),'GCM_Purlin 1.0'!H502,IF(AND($B$3="Purlin",$B$2="Zone 2"),'GCM_Purlin 1.0'!P502,IF(AND($B$3="Purlin",$B$2="Zone 3"),'GCM_Purlin 1.0'!AA502,IF(AND($B$3="Purlin",$B$2="Zone 4"),'GCM_Purlin 1.0'!AI502,IF(AND($B$3="Purlin",$B$2="Zone 5"),'GCM_Purlin 1.0'!AT502,IF(AND($B$3="Clip",$B$2="Zone 1"),'GCN_Clip 1.0'!#REF!,IF(AND($B$3="Clip",$B$2="Zone 2"),'GCN_Clip 1.0'!#REF!,IF(AND($B$3="Clip",$B$2="Zone 3"),'GCN_Clip 1.0'!#REF!,IF(AND($B$3="Clip",$B$2="Zone 4"),'GCN_Clip 1.0'!#REF!,IF(AND($B$3="Clip",$B$2="Zone 5"),'GCN_Clip 1.0'!#REF!,IF(AND($B$3="Post",$B$2="Zone 1"),'GCN_Post 1.0'!W355,IF(AND($B$3="Post",$B$2="Zone 2"),'GCN_Post 1.0'!X355,IF(AND($B$3="Post",$B$2="Zone 3"),'GCN_Post 1.0'!Y355,IF(AND($B$3="Post",$B$2="Zone 4"),'GCN_Post 1.0'!Z355,IF(AND($B$3="Post",$B$2="Zone 5"),'GCN_Post 1.0'!AA355,"ERROR")))))))))))))))))))</f>
        <v/>
      </c>
    </row>
    <row r="242" spans="6:44" x14ac:dyDescent="0.25">
      <c r="F242">
        <v>69</v>
      </c>
      <c r="G242" s="27" t="str">
        <f t="shared" si="72"/>
        <v/>
      </c>
      <c r="H242" t="str">
        <f t="shared" si="73"/>
        <v/>
      </c>
      <c r="I242" t="str">
        <f t="shared" si="74"/>
        <v/>
      </c>
      <c r="J242" s="28" t="str">
        <f t="shared" si="75"/>
        <v/>
      </c>
      <c r="M242">
        <v>69</v>
      </c>
      <c r="N242" s="27" t="str">
        <f t="shared" si="76"/>
        <v/>
      </c>
      <c r="O242" t="str">
        <f t="shared" si="77"/>
        <v/>
      </c>
      <c r="P242" t="str">
        <f t="shared" si="78"/>
        <v/>
      </c>
      <c r="Q242" t="str">
        <f t="shared" si="79"/>
        <v/>
      </c>
      <c r="R242" t="str">
        <f t="shared" si="80"/>
        <v/>
      </c>
      <c r="S242" t="str">
        <f t="shared" si="81"/>
        <v/>
      </c>
      <c r="T242" s="82" t="str">
        <f>IF(AND($B$3="Cantilever",$B$2="Zone 1"),'GCM_Cantilever 1.0'!$F433,IF(AND($B$3="Cantilever",$B$2="Zone 2"),'GCM_Cantilever 1.0'!J433,IF(AND($B$3="HalfTracker",$B$2="Zone 1"),'GCM_Halftracker 1.0'!E448,IF(AND($B$3="HalfTracker",$B$2="Zone 2"),'GCM_Halftracker 1.0'!I448,IF(AND($B$3="Purlin",$B$2="Zone 1"),'GCM_Purlin 1.0'!E503,IF(AND($B$3="Purlin",$B$2="Zone 2"),'GCM_Purlin 1.0'!M503,IF(AND($B$3="Purlin",$B$2="Zone 3"),'GCM_Purlin 1.0'!X503,IF(AND($B$3="Purlin",$B$2="Zone 4"),'GCM_Purlin 1.0'!AF503,IF(AND($B$3="Purlin",$B$2="Zone 5"),'GCM_Purlin 1.0'!AQ503,IF(AND($B$3="Clip",$B$2="Zone 1"),'GCN_Clip 1.0'!G72,IF(AND($B$3="Clip",$B$2="Zone 2"),'GCN_Clip 1.0'!C73,IF(AND($B$3="Clip",$B$2="Zone 3"),'GCN_Clip 1.0'!G74,IF(AND($B$3="Clip",$B$2="Zone 4"),'GCN_Clip 1.0'!G75,IF(AND($B$3="Clip",$B$2="Zone 5"),'GCN_Clip 1.0'!G76,IF(AND($B$3="Post",$B$2="Zone 1"),'GCN_Post 1.0'!E356,IF(AND($B$3="Post",$B$2="Zone 2"),'GCN_Post 1.0'!F356,IF(AND($B$3="Post",$B$2="Zone 3"),'GCN_Post 1.0'!G356,IF(AND($B$3="Post",$B$2="Zone 4"),'GCN_Post 1.0'!H356,IF(AND($B$3="Post",$B$2="Zone 5"),'GCN_Post 1.0'!I356,"ERROR")))))))))))))))))))</f>
        <v/>
      </c>
      <c r="V242" s="27" t="str">
        <f t="shared" si="82"/>
        <v/>
      </c>
      <c r="W242" t="str">
        <f t="shared" si="83"/>
        <v/>
      </c>
      <c r="X242" t="str">
        <f t="shared" si="84"/>
        <v/>
      </c>
      <c r="Y242" t="str">
        <f t="shared" si="85"/>
        <v/>
      </c>
      <c r="Z242" t="str">
        <f t="shared" si="86"/>
        <v/>
      </c>
      <c r="AA242" t="str">
        <f t="shared" si="87"/>
        <v/>
      </c>
      <c r="AB242" s="82" t="str">
        <f>IF(AND($B$3="Cantilever",$B$2="Zone 1"),'GCM_Cantilever 1.0'!$G433,IF(AND($B$3="Cantilever",$B$2="Zone 2"),'GCM_Cantilever 1.0'!K433,IF(AND($B$3="HalfTracker",$B$2="Zone 1"),'GCM_Halftracker 1.0'!F448,IF(AND($B$3="HalfTracker",$B$2="Zone 2"),'GCM_Halftracker 1.0'!J448,IF(AND($B$3="Purlin",$B$2="Zone 1"),'GCM_Purlin 1.0'!F503,IF(AND($B$3="Purlin",$B$2="Zone 2"),'GCM_Purlin 1.0'!N503,IF(AND($B$3="Purlin",$B$2="Zone 3"),'GCM_Purlin 1.0'!Y503,IF(AND($B$3="Purlin",$B$2="Zone 4"),'GCM_Purlin 1.0'!AG503,IF(AND($B$3="Purlin",$B$2="Zone 5"),'GCM_Purlin 1.0'!AR503,IF(AND($B$3="Clip",$B$2="Zone 1"),'GCN_Clip 1.0'!H72,IF(AND($B$3="Clip",$B$2="Zone 2"),'GCN_Clip 1.0'!H73,IF(AND($B$3="Clip",$B$2="Zone 3"),'GCN_Clip 1.0'!H74,IF(AND($B$3="Clip",$B$2="Zone 4"),'GCN_Clip 1.0'!H75,IF(AND($B$3="Clip",$B$2="Zone 5"),'GCN_Clip 1.0'!H76,IF(AND($B$3="Post",$B$2="Zone 1"),'GCN_Post 1.0'!J356,IF(AND($B$3="Post",$B$2="Zone 2"),'GCN_Post 1.0'!K356,IF(AND($B$3="Post",$B$2="Zone 3"),'GCN_Post 1.0'!N356,IF(AND($B$3="Post",$B$2="Zone 4"),'GCN_Post 1.0'!O356,IF(AND($B$3="Post",$B$2="Zone 5"),'GCN_Post 1.0'!P356,"ERROR")))))))))))))))))))</f>
        <v/>
      </c>
      <c r="AD242" s="27" t="str">
        <f t="shared" si="88"/>
        <v/>
      </c>
      <c r="AE242" t="str">
        <f t="shared" si="89"/>
        <v/>
      </c>
      <c r="AF242" t="str">
        <f t="shared" si="90"/>
        <v/>
      </c>
      <c r="AG242" t="str">
        <f t="shared" si="91"/>
        <v/>
      </c>
      <c r="AH242" t="str">
        <f t="shared" si="92"/>
        <v/>
      </c>
      <c r="AI242" t="str">
        <f t="shared" si="93"/>
        <v/>
      </c>
      <c r="AJ242" s="82" t="str">
        <f>IF(AND($B$3="Cantilever",$B$2="Zone 1"),'GCM_Cantilever 1.0'!$H433,IF(AND($B$3="Cantilever",$B$2="Zone 2"),'GCM_Cantilever 1.0'!L433,IF(AND($B$3="HalfTracker",$B$2="Zone 1"),'GCM_Halftracker 1.0'!G448,IF(AND($B$3="HalfTracker",$B$2="Zone 2"),'GCM_Halftracker 1.0'!K448,IF(AND($B$3="Purlin",$B$2="Zone 1"),'GCM_Purlin 1.0'!G503,IF(AND($B$3="Purlin",$B$2="Zone 2"),'GCM_Purlin 1.0'!O503,IF(AND($B$3="Purlin",$B$2="Zone 3"),'GCM_Purlin 1.0'!Z503,IF(AND($B$3="Purlin",$B$2="Zone 4"),'GCM_Purlin 1.0'!AH503,IF(AND($B$3="Purlin",$B$2="Zone 5"),'GCM_Purlin 1.0'!AS503,IF(AND($B$3="Clip",$B$2="Zone 1"),'GCN_Clip 1.0'!#REF!,IF(AND($B$3="Clip",$B$2="Zone 2"),'GCN_Clip 1.0'!#REF!,IF(AND($B$3="Clip",$B$2="Zone 3"),'GCN_Clip 1.0'!#REF!,IF(AND($B$3="Clip",$B$2="Zone 4"),'GCN_Clip 1.0'!#REF!,IF(AND($B$3="Clip",$B$2="Zone 5"),'GCN_Clip 1.0'!#REF!,IF(AND($B$3="Post",$B$2="Zone 1"),'GCN_Post 1.0'!Q356,IF(AND($B$3="Post",$B$2="Zone 2"),'GCN_Post 1.0'!R356,IF(AND($B$3="Post",$B$2="Zone 3"),'GCN_Post 1.0'!S356,IF(AND($B$3="Post",$B$2="Zone 4"),'GCN_Post 1.0'!T356,IF(AND($B$3="Post",$B$2="Zone 5"),'GCN_Post 1.0'!V356,"ERROR")))))))))))))))))))</f>
        <v/>
      </c>
      <c r="AL242" s="27" t="str">
        <f t="shared" si="94"/>
        <v/>
      </c>
      <c r="AM242" t="str">
        <f t="shared" si="95"/>
        <v/>
      </c>
      <c r="AN242" t="str">
        <f t="shared" si="96"/>
        <v/>
      </c>
      <c r="AO242" t="str">
        <f t="shared" si="97"/>
        <v/>
      </c>
      <c r="AP242" t="str">
        <f t="shared" si="98"/>
        <v/>
      </c>
      <c r="AQ242" t="str">
        <f t="shared" si="99"/>
        <v/>
      </c>
      <c r="AR242" s="82" t="str">
        <f>IF(AND($B$3="Cantilever",$B$2="Zone 1"),'GCM_Cantilever 1.0'!$I433,IF(AND($B$3="Cantilever",$B$2="Zone 2"),'GCM_Cantilever 1.0'!M433,IF(AND($B$3="HalfTracker",$B$2="Zone 1"),'GCM_Halftracker 1.0'!H448,IF(AND($B$3="HalfTracker",$B$2="Zone 2"),'GCM_Halftracker 1.0'!L448,IF(AND($B$3="Purlin",$B$2="Zone 1"),'GCM_Purlin 1.0'!H503,IF(AND($B$3="Purlin",$B$2="Zone 2"),'GCM_Purlin 1.0'!P503,IF(AND($B$3="Purlin",$B$2="Zone 3"),'GCM_Purlin 1.0'!AA503,IF(AND($B$3="Purlin",$B$2="Zone 4"),'GCM_Purlin 1.0'!AI503,IF(AND($B$3="Purlin",$B$2="Zone 5"),'GCM_Purlin 1.0'!AT503,IF(AND($B$3="Clip",$B$2="Zone 1"),'GCN_Clip 1.0'!#REF!,IF(AND($B$3="Clip",$B$2="Zone 2"),'GCN_Clip 1.0'!#REF!,IF(AND($B$3="Clip",$B$2="Zone 3"),'GCN_Clip 1.0'!#REF!,IF(AND($B$3="Clip",$B$2="Zone 4"),'GCN_Clip 1.0'!#REF!,IF(AND($B$3="Clip",$B$2="Zone 5"),'GCN_Clip 1.0'!#REF!,IF(AND($B$3="Post",$B$2="Zone 1"),'GCN_Post 1.0'!W356,IF(AND($B$3="Post",$B$2="Zone 2"),'GCN_Post 1.0'!X356,IF(AND($B$3="Post",$B$2="Zone 3"),'GCN_Post 1.0'!Y356,IF(AND($B$3="Post",$B$2="Zone 4"),'GCN_Post 1.0'!Z356,IF(AND($B$3="Post",$B$2="Zone 5"),'GCN_Post 1.0'!AA356,"ERROR")))))))))))))))))))</f>
        <v/>
      </c>
    </row>
    <row r="243" spans="6:44" x14ac:dyDescent="0.25">
      <c r="F243">
        <v>70</v>
      </c>
      <c r="G243" s="27" t="str">
        <f t="shared" si="72"/>
        <v/>
      </c>
      <c r="H243" t="str">
        <f t="shared" si="73"/>
        <v/>
      </c>
      <c r="I243" t="str">
        <f t="shared" si="74"/>
        <v/>
      </c>
      <c r="J243" s="28" t="str">
        <f t="shared" si="75"/>
        <v/>
      </c>
      <c r="M243">
        <v>70</v>
      </c>
      <c r="N243" s="27" t="str">
        <f t="shared" si="76"/>
        <v/>
      </c>
      <c r="O243" t="str">
        <f t="shared" si="77"/>
        <v/>
      </c>
      <c r="P243" t="str">
        <f t="shared" si="78"/>
        <v/>
      </c>
      <c r="Q243" t="str">
        <f t="shared" si="79"/>
        <v/>
      </c>
      <c r="R243" t="str">
        <f t="shared" si="80"/>
        <v/>
      </c>
      <c r="S243" t="str">
        <f t="shared" si="81"/>
        <v/>
      </c>
      <c r="T243" s="82" t="str">
        <f>IF(AND($B$3="Cantilever",$B$2="Zone 1"),'GCM_Cantilever 1.0'!$F434,IF(AND($B$3="Cantilever",$B$2="Zone 2"),'GCM_Cantilever 1.0'!J434,IF(AND($B$3="HalfTracker",$B$2="Zone 1"),'GCM_Halftracker 1.0'!E449,IF(AND($B$3="HalfTracker",$B$2="Zone 2"),'GCM_Halftracker 1.0'!I449,IF(AND($B$3="Purlin",$B$2="Zone 1"),'GCM_Purlin 1.0'!E504,IF(AND($B$3="Purlin",$B$2="Zone 2"),'GCM_Purlin 1.0'!M504,IF(AND($B$3="Purlin",$B$2="Zone 3"),'GCM_Purlin 1.0'!X504,IF(AND($B$3="Purlin",$B$2="Zone 4"),'GCM_Purlin 1.0'!AF504,IF(AND($B$3="Purlin",$B$2="Zone 5"),'GCM_Purlin 1.0'!AQ504,IF(AND($B$3="Clip",$B$2="Zone 1"),'GCN_Clip 1.0'!G73,IF(AND($B$3="Clip",$B$2="Zone 2"),'GCN_Clip 1.0'!C74,IF(AND($B$3="Clip",$B$2="Zone 3"),'GCN_Clip 1.0'!G75,IF(AND($B$3="Clip",$B$2="Zone 4"),'GCN_Clip 1.0'!G76,IF(AND($B$3="Clip",$B$2="Zone 5"),'GCN_Clip 1.0'!G77,IF(AND($B$3="Post",$B$2="Zone 1"),'GCN_Post 1.0'!E357,IF(AND($B$3="Post",$B$2="Zone 2"),'GCN_Post 1.0'!F357,IF(AND($B$3="Post",$B$2="Zone 3"),'GCN_Post 1.0'!G357,IF(AND($B$3="Post",$B$2="Zone 4"),'GCN_Post 1.0'!H357,IF(AND($B$3="Post",$B$2="Zone 5"),'GCN_Post 1.0'!I357,"ERROR")))))))))))))))))))</f>
        <v/>
      </c>
      <c r="V243" s="27" t="str">
        <f t="shared" si="82"/>
        <v/>
      </c>
      <c r="W243" t="str">
        <f t="shared" si="83"/>
        <v/>
      </c>
      <c r="X243" t="str">
        <f t="shared" si="84"/>
        <v/>
      </c>
      <c r="Y243" t="str">
        <f t="shared" si="85"/>
        <v/>
      </c>
      <c r="Z243" t="str">
        <f t="shared" si="86"/>
        <v/>
      </c>
      <c r="AA243" t="str">
        <f t="shared" si="87"/>
        <v/>
      </c>
      <c r="AB243" s="82" t="str">
        <f>IF(AND($B$3="Cantilever",$B$2="Zone 1"),'GCM_Cantilever 1.0'!$G434,IF(AND($B$3="Cantilever",$B$2="Zone 2"),'GCM_Cantilever 1.0'!K434,IF(AND($B$3="HalfTracker",$B$2="Zone 1"),'GCM_Halftracker 1.0'!F449,IF(AND($B$3="HalfTracker",$B$2="Zone 2"),'GCM_Halftracker 1.0'!J449,IF(AND($B$3="Purlin",$B$2="Zone 1"),'GCM_Purlin 1.0'!F504,IF(AND($B$3="Purlin",$B$2="Zone 2"),'GCM_Purlin 1.0'!N504,IF(AND($B$3="Purlin",$B$2="Zone 3"),'GCM_Purlin 1.0'!Y504,IF(AND($B$3="Purlin",$B$2="Zone 4"),'GCM_Purlin 1.0'!AG504,IF(AND($B$3="Purlin",$B$2="Zone 5"),'GCM_Purlin 1.0'!AR504,IF(AND($B$3="Clip",$B$2="Zone 1"),'GCN_Clip 1.0'!H73,IF(AND($B$3="Clip",$B$2="Zone 2"),'GCN_Clip 1.0'!H74,IF(AND($B$3="Clip",$B$2="Zone 3"),'GCN_Clip 1.0'!H75,IF(AND($B$3="Clip",$B$2="Zone 4"),'GCN_Clip 1.0'!H76,IF(AND($B$3="Clip",$B$2="Zone 5"),'GCN_Clip 1.0'!H77,IF(AND($B$3="Post",$B$2="Zone 1"),'GCN_Post 1.0'!J357,IF(AND($B$3="Post",$B$2="Zone 2"),'GCN_Post 1.0'!K357,IF(AND($B$3="Post",$B$2="Zone 3"),'GCN_Post 1.0'!N357,IF(AND($B$3="Post",$B$2="Zone 4"),'GCN_Post 1.0'!O357,IF(AND($B$3="Post",$B$2="Zone 5"),'GCN_Post 1.0'!P357,"ERROR")))))))))))))))))))</f>
        <v/>
      </c>
      <c r="AD243" s="27" t="str">
        <f t="shared" si="88"/>
        <v/>
      </c>
      <c r="AE243" t="str">
        <f t="shared" si="89"/>
        <v/>
      </c>
      <c r="AF243" t="str">
        <f t="shared" si="90"/>
        <v/>
      </c>
      <c r="AG243" t="str">
        <f t="shared" si="91"/>
        <v/>
      </c>
      <c r="AH243" t="str">
        <f t="shared" si="92"/>
        <v/>
      </c>
      <c r="AI243" t="str">
        <f t="shared" si="93"/>
        <v/>
      </c>
      <c r="AJ243" s="82" t="str">
        <f>IF(AND($B$3="Cantilever",$B$2="Zone 1"),'GCM_Cantilever 1.0'!$H434,IF(AND($B$3="Cantilever",$B$2="Zone 2"),'GCM_Cantilever 1.0'!L434,IF(AND($B$3="HalfTracker",$B$2="Zone 1"),'GCM_Halftracker 1.0'!G449,IF(AND($B$3="HalfTracker",$B$2="Zone 2"),'GCM_Halftracker 1.0'!K449,IF(AND($B$3="Purlin",$B$2="Zone 1"),'GCM_Purlin 1.0'!G504,IF(AND($B$3="Purlin",$B$2="Zone 2"),'GCM_Purlin 1.0'!O504,IF(AND($B$3="Purlin",$B$2="Zone 3"),'GCM_Purlin 1.0'!Z504,IF(AND($B$3="Purlin",$B$2="Zone 4"),'GCM_Purlin 1.0'!AH504,IF(AND($B$3="Purlin",$B$2="Zone 5"),'GCM_Purlin 1.0'!AS504,IF(AND($B$3="Clip",$B$2="Zone 1"),'GCN_Clip 1.0'!#REF!,IF(AND($B$3="Clip",$B$2="Zone 2"),'GCN_Clip 1.0'!#REF!,IF(AND($B$3="Clip",$B$2="Zone 3"),'GCN_Clip 1.0'!#REF!,IF(AND($B$3="Clip",$B$2="Zone 4"),'GCN_Clip 1.0'!#REF!,IF(AND($B$3="Clip",$B$2="Zone 5"),'GCN_Clip 1.0'!#REF!,IF(AND($B$3="Post",$B$2="Zone 1"),'GCN_Post 1.0'!Q357,IF(AND($B$3="Post",$B$2="Zone 2"),'GCN_Post 1.0'!R357,IF(AND($B$3="Post",$B$2="Zone 3"),'GCN_Post 1.0'!S357,IF(AND($B$3="Post",$B$2="Zone 4"),'GCN_Post 1.0'!T357,IF(AND($B$3="Post",$B$2="Zone 5"),'GCN_Post 1.0'!V357,"ERROR")))))))))))))))))))</f>
        <v/>
      </c>
      <c r="AL243" s="27" t="str">
        <f t="shared" si="94"/>
        <v/>
      </c>
      <c r="AM243" t="str">
        <f t="shared" si="95"/>
        <v/>
      </c>
      <c r="AN243" t="str">
        <f t="shared" si="96"/>
        <v/>
      </c>
      <c r="AO243" t="str">
        <f t="shared" si="97"/>
        <v/>
      </c>
      <c r="AP243" t="str">
        <f t="shared" si="98"/>
        <v/>
      </c>
      <c r="AQ243" t="str">
        <f t="shared" si="99"/>
        <v/>
      </c>
      <c r="AR243" s="82" t="str">
        <f>IF(AND($B$3="Cantilever",$B$2="Zone 1"),'GCM_Cantilever 1.0'!$I434,IF(AND($B$3="Cantilever",$B$2="Zone 2"),'GCM_Cantilever 1.0'!M434,IF(AND($B$3="HalfTracker",$B$2="Zone 1"),'GCM_Halftracker 1.0'!H449,IF(AND($B$3="HalfTracker",$B$2="Zone 2"),'GCM_Halftracker 1.0'!L449,IF(AND($B$3="Purlin",$B$2="Zone 1"),'GCM_Purlin 1.0'!H504,IF(AND($B$3="Purlin",$B$2="Zone 2"),'GCM_Purlin 1.0'!P504,IF(AND($B$3="Purlin",$B$2="Zone 3"),'GCM_Purlin 1.0'!AA504,IF(AND($B$3="Purlin",$B$2="Zone 4"),'GCM_Purlin 1.0'!AI504,IF(AND($B$3="Purlin",$B$2="Zone 5"),'GCM_Purlin 1.0'!AT504,IF(AND($B$3="Clip",$B$2="Zone 1"),'GCN_Clip 1.0'!#REF!,IF(AND($B$3="Clip",$B$2="Zone 2"),'GCN_Clip 1.0'!#REF!,IF(AND($B$3="Clip",$B$2="Zone 3"),'GCN_Clip 1.0'!#REF!,IF(AND($B$3="Clip",$B$2="Zone 4"),'GCN_Clip 1.0'!#REF!,IF(AND($B$3="Clip",$B$2="Zone 5"),'GCN_Clip 1.0'!#REF!,IF(AND($B$3="Post",$B$2="Zone 1"),'GCN_Post 1.0'!W357,IF(AND($B$3="Post",$B$2="Zone 2"),'GCN_Post 1.0'!X357,IF(AND($B$3="Post",$B$2="Zone 3"),'GCN_Post 1.0'!Y357,IF(AND($B$3="Post",$B$2="Zone 4"),'GCN_Post 1.0'!Z357,IF(AND($B$3="Post",$B$2="Zone 5"),'GCN_Post 1.0'!AA357,"ERROR")))))))))))))))))))</f>
        <v/>
      </c>
    </row>
    <row r="244" spans="6:44" x14ac:dyDescent="0.25">
      <c r="F244">
        <v>71</v>
      </c>
      <c r="G244" s="27" t="str">
        <f t="shared" si="72"/>
        <v/>
      </c>
      <c r="H244" t="str">
        <f t="shared" si="73"/>
        <v/>
      </c>
      <c r="I244" t="str">
        <f t="shared" si="74"/>
        <v/>
      </c>
      <c r="J244" s="28" t="str">
        <f t="shared" si="75"/>
        <v/>
      </c>
      <c r="M244">
        <v>71</v>
      </c>
      <c r="N244" s="27" t="str">
        <f t="shared" si="76"/>
        <v/>
      </c>
      <c r="O244" t="str">
        <f t="shared" si="77"/>
        <v/>
      </c>
      <c r="P244" t="str">
        <f t="shared" si="78"/>
        <v/>
      </c>
      <c r="Q244" t="str">
        <f t="shared" si="79"/>
        <v/>
      </c>
      <c r="R244" t="str">
        <f t="shared" si="80"/>
        <v/>
      </c>
      <c r="S244" t="str">
        <f t="shared" si="81"/>
        <v/>
      </c>
      <c r="T244" s="82" t="str">
        <f>IF(AND($B$3="Cantilever",$B$2="Zone 1"),'GCM_Cantilever 1.0'!$F435,IF(AND($B$3="Cantilever",$B$2="Zone 2"),'GCM_Cantilever 1.0'!J435,IF(AND($B$3="HalfTracker",$B$2="Zone 1"),'GCM_Halftracker 1.0'!E450,IF(AND($B$3="HalfTracker",$B$2="Zone 2"),'GCM_Halftracker 1.0'!I450,IF(AND($B$3="Purlin",$B$2="Zone 1"),'GCM_Purlin 1.0'!E505,IF(AND($B$3="Purlin",$B$2="Zone 2"),'GCM_Purlin 1.0'!M505,IF(AND($B$3="Purlin",$B$2="Zone 3"),'GCM_Purlin 1.0'!X505,IF(AND($B$3="Purlin",$B$2="Zone 4"),'GCM_Purlin 1.0'!AF505,IF(AND($B$3="Purlin",$B$2="Zone 5"),'GCM_Purlin 1.0'!AQ505,IF(AND($B$3="Clip",$B$2="Zone 1"),'GCN_Clip 1.0'!G74,IF(AND($B$3="Clip",$B$2="Zone 2"),'GCN_Clip 1.0'!C75,IF(AND($B$3="Clip",$B$2="Zone 3"),'GCN_Clip 1.0'!G76,IF(AND($B$3="Clip",$B$2="Zone 4"),'GCN_Clip 1.0'!G77,IF(AND($B$3="Clip",$B$2="Zone 5"),'GCN_Clip 1.0'!G78,IF(AND($B$3="Post",$B$2="Zone 1"),'GCN_Post 1.0'!E358,IF(AND($B$3="Post",$B$2="Zone 2"),'GCN_Post 1.0'!F358,IF(AND($B$3="Post",$B$2="Zone 3"),'GCN_Post 1.0'!G358,IF(AND($B$3="Post",$B$2="Zone 4"),'GCN_Post 1.0'!H358,IF(AND($B$3="Post",$B$2="Zone 5"),'GCN_Post 1.0'!I358,"ERROR")))))))))))))))))))</f>
        <v/>
      </c>
      <c r="V244" s="27" t="str">
        <f t="shared" si="82"/>
        <v/>
      </c>
      <c r="W244" t="str">
        <f t="shared" si="83"/>
        <v/>
      </c>
      <c r="X244" t="str">
        <f t="shared" si="84"/>
        <v/>
      </c>
      <c r="Y244" t="str">
        <f t="shared" si="85"/>
        <v/>
      </c>
      <c r="Z244" t="str">
        <f t="shared" si="86"/>
        <v/>
      </c>
      <c r="AA244" t="str">
        <f t="shared" si="87"/>
        <v/>
      </c>
      <c r="AB244" s="82" t="str">
        <f>IF(AND($B$3="Cantilever",$B$2="Zone 1"),'GCM_Cantilever 1.0'!$G435,IF(AND($B$3="Cantilever",$B$2="Zone 2"),'GCM_Cantilever 1.0'!K435,IF(AND($B$3="HalfTracker",$B$2="Zone 1"),'GCM_Halftracker 1.0'!F450,IF(AND($B$3="HalfTracker",$B$2="Zone 2"),'GCM_Halftracker 1.0'!J450,IF(AND($B$3="Purlin",$B$2="Zone 1"),'GCM_Purlin 1.0'!F505,IF(AND($B$3="Purlin",$B$2="Zone 2"),'GCM_Purlin 1.0'!N505,IF(AND($B$3="Purlin",$B$2="Zone 3"),'GCM_Purlin 1.0'!Y505,IF(AND($B$3="Purlin",$B$2="Zone 4"),'GCM_Purlin 1.0'!AG505,IF(AND($B$3="Purlin",$B$2="Zone 5"),'GCM_Purlin 1.0'!AR505,IF(AND($B$3="Clip",$B$2="Zone 1"),'GCN_Clip 1.0'!H74,IF(AND($B$3="Clip",$B$2="Zone 2"),'GCN_Clip 1.0'!H75,IF(AND($B$3="Clip",$B$2="Zone 3"),'GCN_Clip 1.0'!H76,IF(AND($B$3="Clip",$B$2="Zone 4"),'GCN_Clip 1.0'!H77,IF(AND($B$3="Clip",$B$2="Zone 5"),'GCN_Clip 1.0'!H78,IF(AND($B$3="Post",$B$2="Zone 1"),'GCN_Post 1.0'!J358,IF(AND($B$3="Post",$B$2="Zone 2"),'GCN_Post 1.0'!K358,IF(AND($B$3="Post",$B$2="Zone 3"),'GCN_Post 1.0'!N358,IF(AND($B$3="Post",$B$2="Zone 4"),'GCN_Post 1.0'!O358,IF(AND($B$3="Post",$B$2="Zone 5"),'GCN_Post 1.0'!P358,"ERROR")))))))))))))))))))</f>
        <v/>
      </c>
      <c r="AD244" s="27" t="str">
        <f t="shared" si="88"/>
        <v/>
      </c>
      <c r="AE244" t="str">
        <f t="shared" si="89"/>
        <v/>
      </c>
      <c r="AF244" t="str">
        <f t="shared" si="90"/>
        <v/>
      </c>
      <c r="AG244" t="str">
        <f t="shared" si="91"/>
        <v/>
      </c>
      <c r="AH244" t="str">
        <f t="shared" si="92"/>
        <v/>
      </c>
      <c r="AI244" t="str">
        <f t="shared" si="93"/>
        <v/>
      </c>
      <c r="AJ244" s="82" t="str">
        <f>IF(AND($B$3="Cantilever",$B$2="Zone 1"),'GCM_Cantilever 1.0'!$H435,IF(AND($B$3="Cantilever",$B$2="Zone 2"),'GCM_Cantilever 1.0'!L435,IF(AND($B$3="HalfTracker",$B$2="Zone 1"),'GCM_Halftracker 1.0'!G450,IF(AND($B$3="HalfTracker",$B$2="Zone 2"),'GCM_Halftracker 1.0'!K450,IF(AND($B$3="Purlin",$B$2="Zone 1"),'GCM_Purlin 1.0'!G505,IF(AND($B$3="Purlin",$B$2="Zone 2"),'GCM_Purlin 1.0'!O505,IF(AND($B$3="Purlin",$B$2="Zone 3"),'GCM_Purlin 1.0'!Z505,IF(AND($B$3="Purlin",$B$2="Zone 4"),'GCM_Purlin 1.0'!AH505,IF(AND($B$3="Purlin",$B$2="Zone 5"),'GCM_Purlin 1.0'!AS505,IF(AND($B$3="Clip",$B$2="Zone 1"),'GCN_Clip 1.0'!#REF!,IF(AND($B$3="Clip",$B$2="Zone 2"),'GCN_Clip 1.0'!#REF!,IF(AND($B$3="Clip",$B$2="Zone 3"),'GCN_Clip 1.0'!#REF!,IF(AND($B$3="Clip",$B$2="Zone 4"),'GCN_Clip 1.0'!#REF!,IF(AND($B$3="Clip",$B$2="Zone 5"),'GCN_Clip 1.0'!#REF!,IF(AND($B$3="Post",$B$2="Zone 1"),'GCN_Post 1.0'!Q358,IF(AND($B$3="Post",$B$2="Zone 2"),'GCN_Post 1.0'!R358,IF(AND($B$3="Post",$B$2="Zone 3"),'GCN_Post 1.0'!S358,IF(AND($B$3="Post",$B$2="Zone 4"),'GCN_Post 1.0'!T358,IF(AND($B$3="Post",$B$2="Zone 5"),'GCN_Post 1.0'!V358,"ERROR")))))))))))))))))))</f>
        <v/>
      </c>
      <c r="AL244" s="27" t="str">
        <f t="shared" si="94"/>
        <v/>
      </c>
      <c r="AM244" t="str">
        <f t="shared" si="95"/>
        <v/>
      </c>
      <c r="AN244" t="str">
        <f t="shared" si="96"/>
        <v/>
      </c>
      <c r="AO244" t="str">
        <f t="shared" si="97"/>
        <v/>
      </c>
      <c r="AP244" t="str">
        <f t="shared" si="98"/>
        <v/>
      </c>
      <c r="AQ244" t="str">
        <f t="shared" si="99"/>
        <v/>
      </c>
      <c r="AR244" s="82" t="str">
        <f>IF(AND($B$3="Cantilever",$B$2="Zone 1"),'GCM_Cantilever 1.0'!$I435,IF(AND($B$3="Cantilever",$B$2="Zone 2"),'GCM_Cantilever 1.0'!M435,IF(AND($B$3="HalfTracker",$B$2="Zone 1"),'GCM_Halftracker 1.0'!H450,IF(AND($B$3="HalfTracker",$B$2="Zone 2"),'GCM_Halftracker 1.0'!L450,IF(AND($B$3="Purlin",$B$2="Zone 1"),'GCM_Purlin 1.0'!H505,IF(AND($B$3="Purlin",$B$2="Zone 2"),'GCM_Purlin 1.0'!P505,IF(AND($B$3="Purlin",$B$2="Zone 3"),'GCM_Purlin 1.0'!AA505,IF(AND($B$3="Purlin",$B$2="Zone 4"),'GCM_Purlin 1.0'!AI505,IF(AND($B$3="Purlin",$B$2="Zone 5"),'GCM_Purlin 1.0'!AT505,IF(AND($B$3="Clip",$B$2="Zone 1"),'GCN_Clip 1.0'!#REF!,IF(AND($B$3="Clip",$B$2="Zone 2"),'GCN_Clip 1.0'!#REF!,IF(AND($B$3="Clip",$B$2="Zone 3"),'GCN_Clip 1.0'!#REF!,IF(AND($B$3="Clip",$B$2="Zone 4"),'GCN_Clip 1.0'!#REF!,IF(AND($B$3="Clip",$B$2="Zone 5"),'GCN_Clip 1.0'!#REF!,IF(AND($B$3="Post",$B$2="Zone 1"),'GCN_Post 1.0'!W358,IF(AND($B$3="Post",$B$2="Zone 2"),'GCN_Post 1.0'!X358,IF(AND($B$3="Post",$B$2="Zone 3"),'GCN_Post 1.0'!Y358,IF(AND($B$3="Post",$B$2="Zone 4"),'GCN_Post 1.0'!Z358,IF(AND($B$3="Post",$B$2="Zone 5"),'GCN_Post 1.0'!AA358,"ERROR")))))))))))))))))))</f>
        <v/>
      </c>
    </row>
    <row r="245" spans="6:44" x14ac:dyDescent="0.25">
      <c r="F245">
        <v>72</v>
      </c>
      <c r="G245" s="27" t="str">
        <f t="shared" si="72"/>
        <v/>
      </c>
      <c r="H245" t="str">
        <f t="shared" si="73"/>
        <v/>
      </c>
      <c r="I245" t="str">
        <f t="shared" si="74"/>
        <v/>
      </c>
      <c r="J245" s="28" t="str">
        <f t="shared" si="75"/>
        <v/>
      </c>
      <c r="M245">
        <v>72</v>
      </c>
      <c r="N245" s="27" t="str">
        <f t="shared" si="76"/>
        <v/>
      </c>
      <c r="O245" t="str">
        <f t="shared" si="77"/>
        <v/>
      </c>
      <c r="P245" t="str">
        <f t="shared" si="78"/>
        <v/>
      </c>
      <c r="Q245" t="str">
        <f t="shared" si="79"/>
        <v/>
      </c>
      <c r="R245" t="str">
        <f t="shared" si="80"/>
        <v/>
      </c>
      <c r="S245" t="str">
        <f t="shared" si="81"/>
        <v/>
      </c>
      <c r="T245" s="82" t="str">
        <f>IF(AND($B$3="Cantilever",$B$2="Zone 1"),'GCM_Cantilever 1.0'!$F436,IF(AND($B$3="Cantilever",$B$2="Zone 2"),'GCM_Cantilever 1.0'!J436,IF(AND($B$3="HalfTracker",$B$2="Zone 1"),'GCM_Halftracker 1.0'!E451,IF(AND($B$3="HalfTracker",$B$2="Zone 2"),'GCM_Halftracker 1.0'!I451,IF(AND($B$3="Purlin",$B$2="Zone 1"),'GCM_Purlin 1.0'!E506,IF(AND($B$3="Purlin",$B$2="Zone 2"),'GCM_Purlin 1.0'!M506,IF(AND($B$3="Purlin",$B$2="Zone 3"),'GCM_Purlin 1.0'!X506,IF(AND($B$3="Purlin",$B$2="Zone 4"),'GCM_Purlin 1.0'!AF506,IF(AND($B$3="Purlin",$B$2="Zone 5"),'GCM_Purlin 1.0'!AQ506,IF(AND($B$3="Clip",$B$2="Zone 1"),'GCN_Clip 1.0'!G75,IF(AND($B$3="Clip",$B$2="Zone 2"),'GCN_Clip 1.0'!C76,IF(AND($B$3="Clip",$B$2="Zone 3"),'GCN_Clip 1.0'!G77,IF(AND($B$3="Clip",$B$2="Zone 4"),'GCN_Clip 1.0'!G78,IF(AND($B$3="Clip",$B$2="Zone 5"),'GCN_Clip 1.0'!G79,IF(AND($B$3="Post",$B$2="Zone 1"),'GCN_Post 1.0'!E359,IF(AND($B$3="Post",$B$2="Zone 2"),'GCN_Post 1.0'!F359,IF(AND($B$3="Post",$B$2="Zone 3"),'GCN_Post 1.0'!G359,IF(AND($B$3="Post",$B$2="Zone 4"),'GCN_Post 1.0'!H359,IF(AND($B$3="Post",$B$2="Zone 5"),'GCN_Post 1.0'!I359,"ERROR")))))))))))))))))))</f>
        <v/>
      </c>
      <c r="V245" s="27" t="str">
        <f t="shared" si="82"/>
        <v/>
      </c>
      <c r="W245" t="str">
        <f t="shared" si="83"/>
        <v/>
      </c>
      <c r="X245" t="str">
        <f t="shared" si="84"/>
        <v/>
      </c>
      <c r="Y245" t="str">
        <f t="shared" si="85"/>
        <v/>
      </c>
      <c r="Z245" t="str">
        <f t="shared" si="86"/>
        <v/>
      </c>
      <c r="AA245" t="str">
        <f t="shared" si="87"/>
        <v/>
      </c>
      <c r="AB245" s="82" t="str">
        <f>IF(AND($B$3="Cantilever",$B$2="Zone 1"),'GCM_Cantilever 1.0'!$G436,IF(AND($B$3="Cantilever",$B$2="Zone 2"),'GCM_Cantilever 1.0'!K436,IF(AND($B$3="HalfTracker",$B$2="Zone 1"),'GCM_Halftracker 1.0'!F451,IF(AND($B$3="HalfTracker",$B$2="Zone 2"),'GCM_Halftracker 1.0'!J451,IF(AND($B$3="Purlin",$B$2="Zone 1"),'GCM_Purlin 1.0'!F506,IF(AND($B$3="Purlin",$B$2="Zone 2"),'GCM_Purlin 1.0'!N506,IF(AND($B$3="Purlin",$B$2="Zone 3"),'GCM_Purlin 1.0'!Y506,IF(AND($B$3="Purlin",$B$2="Zone 4"),'GCM_Purlin 1.0'!AG506,IF(AND($B$3="Purlin",$B$2="Zone 5"),'GCM_Purlin 1.0'!AR506,IF(AND($B$3="Clip",$B$2="Zone 1"),'GCN_Clip 1.0'!H75,IF(AND($B$3="Clip",$B$2="Zone 2"),'GCN_Clip 1.0'!H76,IF(AND($B$3="Clip",$B$2="Zone 3"),'GCN_Clip 1.0'!H77,IF(AND($B$3="Clip",$B$2="Zone 4"),'GCN_Clip 1.0'!H78,IF(AND($B$3="Clip",$B$2="Zone 5"),'GCN_Clip 1.0'!H79,IF(AND($B$3="Post",$B$2="Zone 1"),'GCN_Post 1.0'!J359,IF(AND($B$3="Post",$B$2="Zone 2"),'GCN_Post 1.0'!K359,IF(AND($B$3="Post",$B$2="Zone 3"),'GCN_Post 1.0'!N359,IF(AND($B$3="Post",$B$2="Zone 4"),'GCN_Post 1.0'!O359,IF(AND($B$3="Post",$B$2="Zone 5"),'GCN_Post 1.0'!P359,"ERROR")))))))))))))))))))</f>
        <v/>
      </c>
      <c r="AD245" s="27" t="str">
        <f t="shared" si="88"/>
        <v/>
      </c>
      <c r="AE245" t="str">
        <f t="shared" si="89"/>
        <v/>
      </c>
      <c r="AF245" t="str">
        <f t="shared" si="90"/>
        <v/>
      </c>
      <c r="AG245" t="str">
        <f t="shared" si="91"/>
        <v/>
      </c>
      <c r="AH245" t="str">
        <f t="shared" si="92"/>
        <v/>
      </c>
      <c r="AI245" t="str">
        <f t="shared" si="93"/>
        <v/>
      </c>
      <c r="AJ245" s="82" t="str">
        <f>IF(AND($B$3="Cantilever",$B$2="Zone 1"),'GCM_Cantilever 1.0'!$H436,IF(AND($B$3="Cantilever",$B$2="Zone 2"),'GCM_Cantilever 1.0'!L436,IF(AND($B$3="HalfTracker",$B$2="Zone 1"),'GCM_Halftracker 1.0'!G451,IF(AND($B$3="HalfTracker",$B$2="Zone 2"),'GCM_Halftracker 1.0'!K451,IF(AND($B$3="Purlin",$B$2="Zone 1"),'GCM_Purlin 1.0'!G506,IF(AND($B$3="Purlin",$B$2="Zone 2"),'GCM_Purlin 1.0'!O506,IF(AND($B$3="Purlin",$B$2="Zone 3"),'GCM_Purlin 1.0'!Z506,IF(AND($B$3="Purlin",$B$2="Zone 4"),'GCM_Purlin 1.0'!AH506,IF(AND($B$3="Purlin",$B$2="Zone 5"),'GCM_Purlin 1.0'!AS506,IF(AND($B$3="Clip",$B$2="Zone 1"),'GCN_Clip 1.0'!#REF!,IF(AND($B$3="Clip",$B$2="Zone 2"),'GCN_Clip 1.0'!#REF!,IF(AND($B$3="Clip",$B$2="Zone 3"),'GCN_Clip 1.0'!#REF!,IF(AND($B$3="Clip",$B$2="Zone 4"),'GCN_Clip 1.0'!#REF!,IF(AND($B$3="Clip",$B$2="Zone 5"),'GCN_Clip 1.0'!#REF!,IF(AND($B$3="Post",$B$2="Zone 1"),'GCN_Post 1.0'!Q359,IF(AND($B$3="Post",$B$2="Zone 2"),'GCN_Post 1.0'!R359,IF(AND($B$3="Post",$B$2="Zone 3"),'GCN_Post 1.0'!S359,IF(AND($B$3="Post",$B$2="Zone 4"),'GCN_Post 1.0'!T359,IF(AND($B$3="Post",$B$2="Zone 5"),'GCN_Post 1.0'!V359,"ERROR")))))))))))))))))))</f>
        <v/>
      </c>
      <c r="AL245" s="27" t="str">
        <f t="shared" si="94"/>
        <v/>
      </c>
      <c r="AM245" t="str">
        <f t="shared" si="95"/>
        <v/>
      </c>
      <c r="AN245" t="str">
        <f t="shared" si="96"/>
        <v/>
      </c>
      <c r="AO245" t="str">
        <f t="shared" si="97"/>
        <v/>
      </c>
      <c r="AP245" t="str">
        <f t="shared" si="98"/>
        <v/>
      </c>
      <c r="AQ245" t="str">
        <f t="shared" si="99"/>
        <v/>
      </c>
      <c r="AR245" s="82" t="str">
        <f>IF(AND($B$3="Cantilever",$B$2="Zone 1"),'GCM_Cantilever 1.0'!$I436,IF(AND($B$3="Cantilever",$B$2="Zone 2"),'GCM_Cantilever 1.0'!M436,IF(AND($B$3="HalfTracker",$B$2="Zone 1"),'GCM_Halftracker 1.0'!H451,IF(AND($B$3="HalfTracker",$B$2="Zone 2"),'GCM_Halftracker 1.0'!L451,IF(AND($B$3="Purlin",$B$2="Zone 1"),'GCM_Purlin 1.0'!H506,IF(AND($B$3="Purlin",$B$2="Zone 2"),'GCM_Purlin 1.0'!P506,IF(AND($B$3="Purlin",$B$2="Zone 3"),'GCM_Purlin 1.0'!AA506,IF(AND($B$3="Purlin",$B$2="Zone 4"),'GCM_Purlin 1.0'!AI506,IF(AND($B$3="Purlin",$B$2="Zone 5"),'GCM_Purlin 1.0'!AT506,IF(AND($B$3="Clip",$B$2="Zone 1"),'GCN_Clip 1.0'!#REF!,IF(AND($B$3="Clip",$B$2="Zone 2"),'GCN_Clip 1.0'!#REF!,IF(AND($B$3="Clip",$B$2="Zone 3"),'GCN_Clip 1.0'!#REF!,IF(AND($B$3="Clip",$B$2="Zone 4"),'GCN_Clip 1.0'!#REF!,IF(AND($B$3="Clip",$B$2="Zone 5"),'GCN_Clip 1.0'!#REF!,IF(AND($B$3="Post",$B$2="Zone 1"),'GCN_Post 1.0'!W359,IF(AND($B$3="Post",$B$2="Zone 2"),'GCN_Post 1.0'!X359,IF(AND($B$3="Post",$B$2="Zone 3"),'GCN_Post 1.0'!Y359,IF(AND($B$3="Post",$B$2="Zone 4"),'GCN_Post 1.0'!Z359,IF(AND($B$3="Post",$B$2="Zone 5"),'GCN_Post 1.0'!AA359,"ERROR")))))))))))))))))))</f>
        <v/>
      </c>
    </row>
    <row r="246" spans="6:44" x14ac:dyDescent="0.25">
      <c r="F246">
        <v>73</v>
      </c>
      <c r="G246" s="27" t="str">
        <f t="shared" si="72"/>
        <v/>
      </c>
      <c r="H246" t="str">
        <f t="shared" si="73"/>
        <v/>
      </c>
      <c r="I246" t="str">
        <f t="shared" si="74"/>
        <v/>
      </c>
      <c r="J246" s="28" t="str">
        <f t="shared" si="75"/>
        <v/>
      </c>
      <c r="M246">
        <v>73</v>
      </c>
      <c r="N246" s="27" t="str">
        <f t="shared" si="76"/>
        <v/>
      </c>
      <c r="O246" t="str">
        <f t="shared" si="77"/>
        <v/>
      </c>
      <c r="P246" t="str">
        <f t="shared" si="78"/>
        <v/>
      </c>
      <c r="Q246" t="str">
        <f t="shared" si="79"/>
        <v/>
      </c>
      <c r="R246" t="str">
        <f t="shared" si="80"/>
        <v/>
      </c>
      <c r="S246" t="str">
        <f t="shared" si="81"/>
        <v/>
      </c>
      <c r="T246" s="82" t="str">
        <f>IF(AND($B$3="Cantilever",$B$2="Zone 1"),'GCM_Cantilever 1.0'!$F437,IF(AND($B$3="Cantilever",$B$2="Zone 2"),'GCM_Cantilever 1.0'!J437,IF(AND($B$3="HalfTracker",$B$2="Zone 1"),'GCM_Halftracker 1.0'!E452,IF(AND($B$3="HalfTracker",$B$2="Zone 2"),'GCM_Halftracker 1.0'!I452,IF(AND($B$3="Purlin",$B$2="Zone 1"),'GCM_Purlin 1.0'!E507,IF(AND($B$3="Purlin",$B$2="Zone 2"),'GCM_Purlin 1.0'!M507,IF(AND($B$3="Purlin",$B$2="Zone 3"),'GCM_Purlin 1.0'!X507,IF(AND($B$3="Purlin",$B$2="Zone 4"),'GCM_Purlin 1.0'!AF507,IF(AND($B$3="Purlin",$B$2="Zone 5"),'GCM_Purlin 1.0'!AQ507,IF(AND($B$3="Clip",$B$2="Zone 1"),'GCN_Clip 1.0'!G76,IF(AND($B$3="Clip",$B$2="Zone 2"),'GCN_Clip 1.0'!C77,IF(AND($B$3="Clip",$B$2="Zone 3"),'GCN_Clip 1.0'!G78,IF(AND($B$3="Clip",$B$2="Zone 4"),'GCN_Clip 1.0'!G79,IF(AND($B$3="Clip",$B$2="Zone 5"),'GCN_Clip 1.0'!G80,IF(AND($B$3="Post",$B$2="Zone 1"),'GCN_Post 1.0'!E360,IF(AND($B$3="Post",$B$2="Zone 2"),'GCN_Post 1.0'!F360,IF(AND($B$3="Post",$B$2="Zone 3"),'GCN_Post 1.0'!G360,IF(AND($B$3="Post",$B$2="Zone 4"),'GCN_Post 1.0'!H360,IF(AND($B$3="Post",$B$2="Zone 5"),'GCN_Post 1.0'!I360,"ERROR")))))))))))))))))))</f>
        <v/>
      </c>
      <c r="V246" s="27" t="str">
        <f t="shared" si="82"/>
        <v/>
      </c>
      <c r="W246" t="str">
        <f t="shared" si="83"/>
        <v/>
      </c>
      <c r="X246" t="str">
        <f t="shared" si="84"/>
        <v/>
      </c>
      <c r="Y246" t="str">
        <f t="shared" si="85"/>
        <v/>
      </c>
      <c r="Z246" t="str">
        <f t="shared" si="86"/>
        <v/>
      </c>
      <c r="AA246" t="str">
        <f t="shared" si="87"/>
        <v/>
      </c>
      <c r="AB246" s="82" t="str">
        <f>IF(AND($B$3="Cantilever",$B$2="Zone 1"),'GCM_Cantilever 1.0'!$G437,IF(AND($B$3="Cantilever",$B$2="Zone 2"),'GCM_Cantilever 1.0'!K437,IF(AND($B$3="HalfTracker",$B$2="Zone 1"),'GCM_Halftracker 1.0'!F452,IF(AND($B$3="HalfTracker",$B$2="Zone 2"),'GCM_Halftracker 1.0'!J452,IF(AND($B$3="Purlin",$B$2="Zone 1"),'GCM_Purlin 1.0'!F507,IF(AND($B$3="Purlin",$B$2="Zone 2"),'GCM_Purlin 1.0'!N507,IF(AND($B$3="Purlin",$B$2="Zone 3"),'GCM_Purlin 1.0'!Y507,IF(AND($B$3="Purlin",$B$2="Zone 4"),'GCM_Purlin 1.0'!AG507,IF(AND($B$3="Purlin",$B$2="Zone 5"),'GCM_Purlin 1.0'!AR507,IF(AND($B$3="Clip",$B$2="Zone 1"),'GCN_Clip 1.0'!H76,IF(AND($B$3="Clip",$B$2="Zone 2"),'GCN_Clip 1.0'!H77,IF(AND($B$3="Clip",$B$2="Zone 3"),'GCN_Clip 1.0'!H78,IF(AND($B$3="Clip",$B$2="Zone 4"),'GCN_Clip 1.0'!H79,IF(AND($B$3="Clip",$B$2="Zone 5"),'GCN_Clip 1.0'!H80,IF(AND($B$3="Post",$B$2="Zone 1"),'GCN_Post 1.0'!J360,IF(AND($B$3="Post",$B$2="Zone 2"),'GCN_Post 1.0'!K360,IF(AND($B$3="Post",$B$2="Zone 3"),'GCN_Post 1.0'!N360,IF(AND($B$3="Post",$B$2="Zone 4"),'GCN_Post 1.0'!O360,IF(AND($B$3="Post",$B$2="Zone 5"),'GCN_Post 1.0'!P360,"ERROR")))))))))))))))))))</f>
        <v/>
      </c>
      <c r="AD246" s="27" t="str">
        <f t="shared" si="88"/>
        <v/>
      </c>
      <c r="AE246" t="str">
        <f t="shared" si="89"/>
        <v/>
      </c>
      <c r="AF246" t="str">
        <f t="shared" si="90"/>
        <v/>
      </c>
      <c r="AG246" t="str">
        <f t="shared" si="91"/>
        <v/>
      </c>
      <c r="AH246" t="str">
        <f t="shared" si="92"/>
        <v/>
      </c>
      <c r="AI246" t="str">
        <f t="shared" si="93"/>
        <v/>
      </c>
      <c r="AJ246" s="82" t="str">
        <f>IF(AND($B$3="Cantilever",$B$2="Zone 1"),'GCM_Cantilever 1.0'!$H437,IF(AND($B$3="Cantilever",$B$2="Zone 2"),'GCM_Cantilever 1.0'!L437,IF(AND($B$3="HalfTracker",$B$2="Zone 1"),'GCM_Halftracker 1.0'!G452,IF(AND($B$3="HalfTracker",$B$2="Zone 2"),'GCM_Halftracker 1.0'!K452,IF(AND($B$3="Purlin",$B$2="Zone 1"),'GCM_Purlin 1.0'!G507,IF(AND($B$3="Purlin",$B$2="Zone 2"),'GCM_Purlin 1.0'!O507,IF(AND($B$3="Purlin",$B$2="Zone 3"),'GCM_Purlin 1.0'!Z507,IF(AND($B$3="Purlin",$B$2="Zone 4"),'GCM_Purlin 1.0'!AH507,IF(AND($B$3="Purlin",$B$2="Zone 5"),'GCM_Purlin 1.0'!AS507,IF(AND($B$3="Clip",$B$2="Zone 1"),'GCN_Clip 1.0'!#REF!,IF(AND($B$3="Clip",$B$2="Zone 2"),'GCN_Clip 1.0'!#REF!,IF(AND($B$3="Clip",$B$2="Zone 3"),'GCN_Clip 1.0'!#REF!,IF(AND($B$3="Clip",$B$2="Zone 4"),'GCN_Clip 1.0'!#REF!,IF(AND($B$3="Clip",$B$2="Zone 5"),'GCN_Clip 1.0'!#REF!,IF(AND($B$3="Post",$B$2="Zone 1"),'GCN_Post 1.0'!Q360,IF(AND($B$3="Post",$B$2="Zone 2"),'GCN_Post 1.0'!R360,IF(AND($B$3="Post",$B$2="Zone 3"),'GCN_Post 1.0'!S360,IF(AND($B$3="Post",$B$2="Zone 4"),'GCN_Post 1.0'!T360,IF(AND($B$3="Post",$B$2="Zone 5"),'GCN_Post 1.0'!V360,"ERROR")))))))))))))))))))</f>
        <v/>
      </c>
      <c r="AL246" s="27" t="str">
        <f t="shared" si="94"/>
        <v/>
      </c>
      <c r="AM246" t="str">
        <f t="shared" si="95"/>
        <v/>
      </c>
      <c r="AN246" t="str">
        <f t="shared" si="96"/>
        <v/>
      </c>
      <c r="AO246" t="str">
        <f t="shared" si="97"/>
        <v/>
      </c>
      <c r="AP246" t="str">
        <f t="shared" si="98"/>
        <v/>
      </c>
      <c r="AQ246" t="str">
        <f t="shared" si="99"/>
        <v/>
      </c>
      <c r="AR246" s="82" t="str">
        <f>IF(AND($B$3="Cantilever",$B$2="Zone 1"),'GCM_Cantilever 1.0'!$I437,IF(AND($B$3="Cantilever",$B$2="Zone 2"),'GCM_Cantilever 1.0'!M437,IF(AND($B$3="HalfTracker",$B$2="Zone 1"),'GCM_Halftracker 1.0'!H452,IF(AND($B$3="HalfTracker",$B$2="Zone 2"),'GCM_Halftracker 1.0'!L452,IF(AND($B$3="Purlin",$B$2="Zone 1"),'GCM_Purlin 1.0'!H507,IF(AND($B$3="Purlin",$B$2="Zone 2"),'GCM_Purlin 1.0'!P507,IF(AND($B$3="Purlin",$B$2="Zone 3"),'GCM_Purlin 1.0'!AA507,IF(AND($B$3="Purlin",$B$2="Zone 4"),'GCM_Purlin 1.0'!AI507,IF(AND($B$3="Purlin",$B$2="Zone 5"),'GCM_Purlin 1.0'!AT507,IF(AND($B$3="Clip",$B$2="Zone 1"),'GCN_Clip 1.0'!#REF!,IF(AND($B$3="Clip",$B$2="Zone 2"),'GCN_Clip 1.0'!#REF!,IF(AND($B$3="Clip",$B$2="Zone 3"),'GCN_Clip 1.0'!#REF!,IF(AND($B$3="Clip",$B$2="Zone 4"),'GCN_Clip 1.0'!#REF!,IF(AND($B$3="Clip",$B$2="Zone 5"),'GCN_Clip 1.0'!#REF!,IF(AND($B$3="Post",$B$2="Zone 1"),'GCN_Post 1.0'!W360,IF(AND($B$3="Post",$B$2="Zone 2"),'GCN_Post 1.0'!X360,IF(AND($B$3="Post",$B$2="Zone 3"),'GCN_Post 1.0'!Y360,IF(AND($B$3="Post",$B$2="Zone 4"),'GCN_Post 1.0'!Z360,IF(AND($B$3="Post",$B$2="Zone 5"),'GCN_Post 1.0'!AA360,"ERROR")))))))))))))))))))</f>
        <v/>
      </c>
    </row>
    <row r="247" spans="6:44" x14ac:dyDescent="0.25">
      <c r="F247">
        <v>74</v>
      </c>
      <c r="G247" s="27" t="str">
        <f t="shared" si="72"/>
        <v/>
      </c>
      <c r="H247" t="str">
        <f t="shared" si="73"/>
        <v/>
      </c>
      <c r="I247" t="str">
        <f t="shared" si="74"/>
        <v/>
      </c>
      <c r="J247" s="28" t="str">
        <f t="shared" si="75"/>
        <v/>
      </c>
      <c r="M247">
        <v>74</v>
      </c>
      <c r="N247" s="27" t="str">
        <f t="shared" si="76"/>
        <v/>
      </c>
      <c r="O247" t="str">
        <f t="shared" si="77"/>
        <v/>
      </c>
      <c r="P247" t="str">
        <f t="shared" si="78"/>
        <v/>
      </c>
      <c r="Q247" t="str">
        <f t="shared" si="79"/>
        <v/>
      </c>
      <c r="R247" t="str">
        <f t="shared" si="80"/>
        <v/>
      </c>
      <c r="S247" t="str">
        <f t="shared" si="81"/>
        <v/>
      </c>
      <c r="T247" s="82" t="str">
        <f>IF(AND($B$3="Cantilever",$B$2="Zone 1"),'GCM_Cantilever 1.0'!$F438,IF(AND($B$3="Cantilever",$B$2="Zone 2"),'GCM_Cantilever 1.0'!J438,IF(AND($B$3="HalfTracker",$B$2="Zone 1"),'GCM_Halftracker 1.0'!E453,IF(AND($B$3="HalfTracker",$B$2="Zone 2"),'GCM_Halftracker 1.0'!I453,IF(AND($B$3="Purlin",$B$2="Zone 1"),'GCM_Purlin 1.0'!E508,IF(AND($B$3="Purlin",$B$2="Zone 2"),'GCM_Purlin 1.0'!M508,IF(AND($B$3="Purlin",$B$2="Zone 3"),'GCM_Purlin 1.0'!X508,IF(AND($B$3="Purlin",$B$2="Zone 4"),'GCM_Purlin 1.0'!AF508,IF(AND($B$3="Purlin",$B$2="Zone 5"),'GCM_Purlin 1.0'!AQ508,IF(AND($B$3="Clip",$B$2="Zone 1"),'GCN_Clip 1.0'!G77,IF(AND($B$3="Clip",$B$2="Zone 2"),'GCN_Clip 1.0'!C78,IF(AND($B$3="Clip",$B$2="Zone 3"),'GCN_Clip 1.0'!G79,IF(AND($B$3="Clip",$B$2="Zone 4"),'GCN_Clip 1.0'!G80,IF(AND($B$3="Clip",$B$2="Zone 5"),'GCN_Clip 1.0'!G81,IF(AND($B$3="Post",$B$2="Zone 1"),'GCN_Post 1.0'!E361,IF(AND($B$3="Post",$B$2="Zone 2"),'GCN_Post 1.0'!F361,IF(AND($B$3="Post",$B$2="Zone 3"),'GCN_Post 1.0'!G361,IF(AND($B$3="Post",$B$2="Zone 4"),'GCN_Post 1.0'!H361,IF(AND($B$3="Post",$B$2="Zone 5"),'GCN_Post 1.0'!I361,"ERROR")))))))))))))))))))</f>
        <v/>
      </c>
      <c r="V247" s="27" t="str">
        <f t="shared" si="82"/>
        <v/>
      </c>
      <c r="W247" t="str">
        <f t="shared" si="83"/>
        <v/>
      </c>
      <c r="X247" t="str">
        <f t="shared" si="84"/>
        <v/>
      </c>
      <c r="Y247" t="str">
        <f t="shared" si="85"/>
        <v/>
      </c>
      <c r="Z247" t="str">
        <f t="shared" si="86"/>
        <v/>
      </c>
      <c r="AA247" t="str">
        <f t="shared" si="87"/>
        <v/>
      </c>
      <c r="AB247" s="82" t="str">
        <f>IF(AND($B$3="Cantilever",$B$2="Zone 1"),'GCM_Cantilever 1.0'!$G438,IF(AND($B$3="Cantilever",$B$2="Zone 2"),'GCM_Cantilever 1.0'!K438,IF(AND($B$3="HalfTracker",$B$2="Zone 1"),'GCM_Halftracker 1.0'!F453,IF(AND($B$3="HalfTracker",$B$2="Zone 2"),'GCM_Halftracker 1.0'!J453,IF(AND($B$3="Purlin",$B$2="Zone 1"),'GCM_Purlin 1.0'!F508,IF(AND($B$3="Purlin",$B$2="Zone 2"),'GCM_Purlin 1.0'!N508,IF(AND($B$3="Purlin",$B$2="Zone 3"),'GCM_Purlin 1.0'!Y508,IF(AND($B$3="Purlin",$B$2="Zone 4"),'GCM_Purlin 1.0'!AG508,IF(AND($B$3="Purlin",$B$2="Zone 5"),'GCM_Purlin 1.0'!AR508,IF(AND($B$3="Clip",$B$2="Zone 1"),'GCN_Clip 1.0'!H77,IF(AND($B$3="Clip",$B$2="Zone 2"),'GCN_Clip 1.0'!H78,IF(AND($B$3="Clip",$B$2="Zone 3"),'GCN_Clip 1.0'!H79,IF(AND($B$3="Clip",$B$2="Zone 4"),'GCN_Clip 1.0'!H80,IF(AND($B$3="Clip",$B$2="Zone 5"),'GCN_Clip 1.0'!H81,IF(AND($B$3="Post",$B$2="Zone 1"),'GCN_Post 1.0'!J361,IF(AND($B$3="Post",$B$2="Zone 2"),'GCN_Post 1.0'!K361,IF(AND($B$3="Post",$B$2="Zone 3"),'GCN_Post 1.0'!N361,IF(AND($B$3="Post",$B$2="Zone 4"),'GCN_Post 1.0'!O361,IF(AND($B$3="Post",$B$2="Zone 5"),'GCN_Post 1.0'!P361,"ERROR")))))))))))))))))))</f>
        <v/>
      </c>
      <c r="AD247" s="27" t="str">
        <f t="shared" si="88"/>
        <v/>
      </c>
      <c r="AE247" t="str">
        <f t="shared" si="89"/>
        <v/>
      </c>
      <c r="AF247" t="str">
        <f t="shared" si="90"/>
        <v/>
      </c>
      <c r="AG247" t="str">
        <f t="shared" si="91"/>
        <v/>
      </c>
      <c r="AH247" t="str">
        <f t="shared" si="92"/>
        <v/>
      </c>
      <c r="AI247" t="str">
        <f t="shared" si="93"/>
        <v/>
      </c>
      <c r="AJ247" s="82" t="str">
        <f>IF(AND($B$3="Cantilever",$B$2="Zone 1"),'GCM_Cantilever 1.0'!$H438,IF(AND($B$3="Cantilever",$B$2="Zone 2"),'GCM_Cantilever 1.0'!L438,IF(AND($B$3="HalfTracker",$B$2="Zone 1"),'GCM_Halftracker 1.0'!G453,IF(AND($B$3="HalfTracker",$B$2="Zone 2"),'GCM_Halftracker 1.0'!K453,IF(AND($B$3="Purlin",$B$2="Zone 1"),'GCM_Purlin 1.0'!G508,IF(AND($B$3="Purlin",$B$2="Zone 2"),'GCM_Purlin 1.0'!O508,IF(AND($B$3="Purlin",$B$2="Zone 3"),'GCM_Purlin 1.0'!Z508,IF(AND($B$3="Purlin",$B$2="Zone 4"),'GCM_Purlin 1.0'!AH508,IF(AND($B$3="Purlin",$B$2="Zone 5"),'GCM_Purlin 1.0'!AS508,IF(AND($B$3="Clip",$B$2="Zone 1"),'GCN_Clip 1.0'!#REF!,IF(AND($B$3="Clip",$B$2="Zone 2"),'GCN_Clip 1.0'!#REF!,IF(AND($B$3="Clip",$B$2="Zone 3"),'GCN_Clip 1.0'!#REF!,IF(AND($B$3="Clip",$B$2="Zone 4"),'GCN_Clip 1.0'!#REF!,IF(AND($B$3="Clip",$B$2="Zone 5"),'GCN_Clip 1.0'!#REF!,IF(AND($B$3="Post",$B$2="Zone 1"),'GCN_Post 1.0'!Q361,IF(AND($B$3="Post",$B$2="Zone 2"),'GCN_Post 1.0'!R361,IF(AND($B$3="Post",$B$2="Zone 3"),'GCN_Post 1.0'!S361,IF(AND($B$3="Post",$B$2="Zone 4"),'GCN_Post 1.0'!T361,IF(AND($B$3="Post",$B$2="Zone 5"),'GCN_Post 1.0'!V361,"ERROR")))))))))))))))))))</f>
        <v/>
      </c>
      <c r="AL247" s="27" t="str">
        <f t="shared" si="94"/>
        <v/>
      </c>
      <c r="AM247" t="str">
        <f t="shared" si="95"/>
        <v/>
      </c>
      <c r="AN247" t="str">
        <f t="shared" si="96"/>
        <v/>
      </c>
      <c r="AO247" t="str">
        <f t="shared" si="97"/>
        <v/>
      </c>
      <c r="AP247" t="str">
        <f t="shared" si="98"/>
        <v/>
      </c>
      <c r="AQ247" t="str">
        <f t="shared" si="99"/>
        <v/>
      </c>
      <c r="AR247" s="82" t="str">
        <f>IF(AND($B$3="Cantilever",$B$2="Zone 1"),'GCM_Cantilever 1.0'!$I438,IF(AND($B$3="Cantilever",$B$2="Zone 2"),'GCM_Cantilever 1.0'!M438,IF(AND($B$3="HalfTracker",$B$2="Zone 1"),'GCM_Halftracker 1.0'!H453,IF(AND($B$3="HalfTracker",$B$2="Zone 2"),'GCM_Halftracker 1.0'!L453,IF(AND($B$3="Purlin",$B$2="Zone 1"),'GCM_Purlin 1.0'!H508,IF(AND($B$3="Purlin",$B$2="Zone 2"),'GCM_Purlin 1.0'!P508,IF(AND($B$3="Purlin",$B$2="Zone 3"),'GCM_Purlin 1.0'!AA508,IF(AND($B$3="Purlin",$B$2="Zone 4"),'GCM_Purlin 1.0'!AI508,IF(AND($B$3="Purlin",$B$2="Zone 5"),'GCM_Purlin 1.0'!AT508,IF(AND($B$3="Clip",$B$2="Zone 1"),'GCN_Clip 1.0'!#REF!,IF(AND($B$3="Clip",$B$2="Zone 2"),'GCN_Clip 1.0'!#REF!,IF(AND($B$3="Clip",$B$2="Zone 3"),'GCN_Clip 1.0'!#REF!,IF(AND($B$3="Clip",$B$2="Zone 4"),'GCN_Clip 1.0'!#REF!,IF(AND($B$3="Clip",$B$2="Zone 5"),'GCN_Clip 1.0'!#REF!,IF(AND($B$3="Post",$B$2="Zone 1"),'GCN_Post 1.0'!W361,IF(AND($B$3="Post",$B$2="Zone 2"),'GCN_Post 1.0'!X361,IF(AND($B$3="Post",$B$2="Zone 3"),'GCN_Post 1.0'!Y361,IF(AND($B$3="Post",$B$2="Zone 4"),'GCN_Post 1.0'!Z361,IF(AND($B$3="Post",$B$2="Zone 5"),'GCN_Post 1.0'!AA361,"ERROR")))))))))))))))))))</f>
        <v/>
      </c>
    </row>
    <row r="248" spans="6:44" x14ac:dyDescent="0.25">
      <c r="F248">
        <v>75</v>
      </c>
      <c r="G248" s="27" t="str">
        <f t="shared" si="72"/>
        <v/>
      </c>
      <c r="H248" t="str">
        <f t="shared" si="73"/>
        <v/>
      </c>
      <c r="I248" t="str">
        <f t="shared" si="74"/>
        <v/>
      </c>
      <c r="J248" s="28" t="str">
        <f t="shared" si="75"/>
        <v/>
      </c>
      <c r="M248">
        <v>75</v>
      </c>
      <c r="N248" s="27" t="str">
        <f t="shared" si="76"/>
        <v/>
      </c>
      <c r="O248" t="str">
        <f t="shared" si="77"/>
        <v/>
      </c>
      <c r="P248" t="str">
        <f t="shared" si="78"/>
        <v/>
      </c>
      <c r="Q248" t="str">
        <f t="shared" si="79"/>
        <v/>
      </c>
      <c r="R248" t="str">
        <f t="shared" si="80"/>
        <v/>
      </c>
      <c r="S248" t="str">
        <f t="shared" si="81"/>
        <v/>
      </c>
      <c r="T248" s="82" t="str">
        <f>IF(AND($B$3="Cantilever",$B$2="Zone 1"),'GCM_Cantilever 1.0'!$F439,IF(AND($B$3="Cantilever",$B$2="Zone 2"),'GCM_Cantilever 1.0'!J439,IF(AND($B$3="HalfTracker",$B$2="Zone 1"),'GCM_Halftracker 1.0'!E454,IF(AND($B$3="HalfTracker",$B$2="Zone 2"),'GCM_Halftracker 1.0'!I454,IF(AND($B$3="Purlin",$B$2="Zone 1"),'GCM_Purlin 1.0'!E509,IF(AND($B$3="Purlin",$B$2="Zone 2"),'GCM_Purlin 1.0'!M509,IF(AND($B$3="Purlin",$B$2="Zone 3"),'GCM_Purlin 1.0'!X509,IF(AND($B$3="Purlin",$B$2="Zone 4"),'GCM_Purlin 1.0'!AF509,IF(AND($B$3="Purlin",$B$2="Zone 5"),'GCM_Purlin 1.0'!AQ509,IF(AND($B$3="Clip",$B$2="Zone 1"),'GCN_Clip 1.0'!G78,IF(AND($B$3="Clip",$B$2="Zone 2"),'GCN_Clip 1.0'!C79,IF(AND($B$3="Clip",$B$2="Zone 3"),'GCN_Clip 1.0'!G80,IF(AND($B$3="Clip",$B$2="Zone 4"),'GCN_Clip 1.0'!G81,IF(AND($B$3="Clip",$B$2="Zone 5"),'GCN_Clip 1.0'!G82,IF(AND($B$3="Post",$B$2="Zone 1"),'GCN_Post 1.0'!E362,IF(AND($B$3="Post",$B$2="Zone 2"),'GCN_Post 1.0'!F362,IF(AND($B$3="Post",$B$2="Zone 3"),'GCN_Post 1.0'!G362,IF(AND($B$3="Post",$B$2="Zone 4"),'GCN_Post 1.0'!H362,IF(AND($B$3="Post",$B$2="Zone 5"),'GCN_Post 1.0'!I362,"ERROR")))))))))))))))))))</f>
        <v/>
      </c>
      <c r="V248" s="27" t="str">
        <f t="shared" si="82"/>
        <v/>
      </c>
      <c r="W248" t="str">
        <f t="shared" si="83"/>
        <v/>
      </c>
      <c r="X248" t="str">
        <f t="shared" si="84"/>
        <v/>
      </c>
      <c r="Y248" t="str">
        <f t="shared" si="85"/>
        <v/>
      </c>
      <c r="Z248" t="str">
        <f t="shared" si="86"/>
        <v/>
      </c>
      <c r="AA248" t="str">
        <f t="shared" si="87"/>
        <v/>
      </c>
      <c r="AB248" s="82" t="str">
        <f>IF(AND($B$3="Cantilever",$B$2="Zone 1"),'GCM_Cantilever 1.0'!$G439,IF(AND($B$3="Cantilever",$B$2="Zone 2"),'GCM_Cantilever 1.0'!K439,IF(AND($B$3="HalfTracker",$B$2="Zone 1"),'GCM_Halftracker 1.0'!F454,IF(AND($B$3="HalfTracker",$B$2="Zone 2"),'GCM_Halftracker 1.0'!J454,IF(AND($B$3="Purlin",$B$2="Zone 1"),'GCM_Purlin 1.0'!F509,IF(AND($B$3="Purlin",$B$2="Zone 2"),'GCM_Purlin 1.0'!N509,IF(AND($B$3="Purlin",$B$2="Zone 3"),'GCM_Purlin 1.0'!Y509,IF(AND($B$3="Purlin",$B$2="Zone 4"),'GCM_Purlin 1.0'!AG509,IF(AND($B$3="Purlin",$B$2="Zone 5"),'GCM_Purlin 1.0'!AR509,IF(AND($B$3="Clip",$B$2="Zone 1"),'GCN_Clip 1.0'!H78,IF(AND($B$3="Clip",$B$2="Zone 2"),'GCN_Clip 1.0'!H79,IF(AND($B$3="Clip",$B$2="Zone 3"),'GCN_Clip 1.0'!H80,IF(AND($B$3="Clip",$B$2="Zone 4"),'GCN_Clip 1.0'!H81,IF(AND($B$3="Clip",$B$2="Zone 5"),'GCN_Clip 1.0'!H82,IF(AND($B$3="Post",$B$2="Zone 1"),'GCN_Post 1.0'!J362,IF(AND($B$3="Post",$B$2="Zone 2"),'GCN_Post 1.0'!K362,IF(AND($B$3="Post",$B$2="Zone 3"),'GCN_Post 1.0'!N362,IF(AND($B$3="Post",$B$2="Zone 4"),'GCN_Post 1.0'!O362,IF(AND($B$3="Post",$B$2="Zone 5"),'GCN_Post 1.0'!P362,"ERROR")))))))))))))))))))</f>
        <v/>
      </c>
      <c r="AD248" s="27" t="str">
        <f t="shared" si="88"/>
        <v/>
      </c>
      <c r="AE248" t="str">
        <f t="shared" si="89"/>
        <v/>
      </c>
      <c r="AF248" t="str">
        <f t="shared" si="90"/>
        <v/>
      </c>
      <c r="AG248" t="str">
        <f t="shared" si="91"/>
        <v/>
      </c>
      <c r="AH248" t="str">
        <f t="shared" si="92"/>
        <v/>
      </c>
      <c r="AI248" t="str">
        <f t="shared" si="93"/>
        <v/>
      </c>
      <c r="AJ248" s="82" t="str">
        <f>IF(AND($B$3="Cantilever",$B$2="Zone 1"),'GCM_Cantilever 1.0'!$H439,IF(AND($B$3="Cantilever",$B$2="Zone 2"),'GCM_Cantilever 1.0'!L439,IF(AND($B$3="HalfTracker",$B$2="Zone 1"),'GCM_Halftracker 1.0'!G454,IF(AND($B$3="HalfTracker",$B$2="Zone 2"),'GCM_Halftracker 1.0'!K454,IF(AND($B$3="Purlin",$B$2="Zone 1"),'GCM_Purlin 1.0'!G509,IF(AND($B$3="Purlin",$B$2="Zone 2"),'GCM_Purlin 1.0'!O509,IF(AND($B$3="Purlin",$B$2="Zone 3"),'GCM_Purlin 1.0'!Z509,IF(AND($B$3="Purlin",$B$2="Zone 4"),'GCM_Purlin 1.0'!AH509,IF(AND($B$3="Purlin",$B$2="Zone 5"),'GCM_Purlin 1.0'!AS509,IF(AND($B$3="Clip",$B$2="Zone 1"),'GCN_Clip 1.0'!#REF!,IF(AND($B$3="Clip",$B$2="Zone 2"),'GCN_Clip 1.0'!#REF!,IF(AND($B$3="Clip",$B$2="Zone 3"),'GCN_Clip 1.0'!#REF!,IF(AND($B$3="Clip",$B$2="Zone 4"),'GCN_Clip 1.0'!#REF!,IF(AND($B$3="Clip",$B$2="Zone 5"),'GCN_Clip 1.0'!#REF!,IF(AND($B$3="Post",$B$2="Zone 1"),'GCN_Post 1.0'!Q362,IF(AND($B$3="Post",$B$2="Zone 2"),'GCN_Post 1.0'!R362,IF(AND($B$3="Post",$B$2="Zone 3"),'GCN_Post 1.0'!S362,IF(AND($B$3="Post",$B$2="Zone 4"),'GCN_Post 1.0'!T362,IF(AND($B$3="Post",$B$2="Zone 5"),'GCN_Post 1.0'!V362,"ERROR")))))))))))))))))))</f>
        <v/>
      </c>
      <c r="AL248" s="27" t="str">
        <f t="shared" si="94"/>
        <v/>
      </c>
      <c r="AM248" t="str">
        <f t="shared" si="95"/>
        <v/>
      </c>
      <c r="AN248" t="str">
        <f t="shared" si="96"/>
        <v/>
      </c>
      <c r="AO248" t="str">
        <f t="shared" si="97"/>
        <v/>
      </c>
      <c r="AP248" t="str">
        <f t="shared" si="98"/>
        <v/>
      </c>
      <c r="AQ248" t="str">
        <f t="shared" si="99"/>
        <v/>
      </c>
      <c r="AR248" s="82" t="str">
        <f>IF(AND($B$3="Cantilever",$B$2="Zone 1"),'GCM_Cantilever 1.0'!$I439,IF(AND($B$3="Cantilever",$B$2="Zone 2"),'GCM_Cantilever 1.0'!M439,IF(AND($B$3="HalfTracker",$B$2="Zone 1"),'GCM_Halftracker 1.0'!H454,IF(AND($B$3="HalfTracker",$B$2="Zone 2"),'GCM_Halftracker 1.0'!L454,IF(AND($B$3="Purlin",$B$2="Zone 1"),'GCM_Purlin 1.0'!H509,IF(AND($B$3="Purlin",$B$2="Zone 2"),'GCM_Purlin 1.0'!P509,IF(AND($B$3="Purlin",$B$2="Zone 3"),'GCM_Purlin 1.0'!AA509,IF(AND($B$3="Purlin",$B$2="Zone 4"),'GCM_Purlin 1.0'!AI509,IF(AND($B$3="Purlin",$B$2="Zone 5"),'GCM_Purlin 1.0'!AT509,IF(AND($B$3="Clip",$B$2="Zone 1"),'GCN_Clip 1.0'!#REF!,IF(AND($B$3="Clip",$B$2="Zone 2"),'GCN_Clip 1.0'!#REF!,IF(AND($B$3="Clip",$B$2="Zone 3"),'GCN_Clip 1.0'!#REF!,IF(AND($B$3="Clip",$B$2="Zone 4"),'GCN_Clip 1.0'!#REF!,IF(AND($B$3="Clip",$B$2="Zone 5"),'GCN_Clip 1.0'!#REF!,IF(AND($B$3="Post",$B$2="Zone 1"),'GCN_Post 1.0'!W362,IF(AND($B$3="Post",$B$2="Zone 2"),'GCN_Post 1.0'!X362,IF(AND($B$3="Post",$B$2="Zone 3"),'GCN_Post 1.0'!Y362,IF(AND($B$3="Post",$B$2="Zone 4"),'GCN_Post 1.0'!Z362,IF(AND($B$3="Post",$B$2="Zone 5"),'GCN_Post 1.0'!AA362,"ERROR")))))))))))))))))))</f>
        <v/>
      </c>
    </row>
    <row r="249" spans="6:44" x14ac:dyDescent="0.25">
      <c r="F249">
        <v>76</v>
      </c>
      <c r="G249" s="27" t="str">
        <f t="shared" si="72"/>
        <v/>
      </c>
      <c r="H249" t="str">
        <f t="shared" si="73"/>
        <v/>
      </c>
      <c r="I249" t="str">
        <f t="shared" si="74"/>
        <v/>
      </c>
      <c r="J249" s="28" t="str">
        <f t="shared" si="75"/>
        <v/>
      </c>
      <c r="M249">
        <v>76</v>
      </c>
      <c r="N249" s="27" t="str">
        <f t="shared" si="76"/>
        <v/>
      </c>
      <c r="O249" t="str">
        <f t="shared" si="77"/>
        <v/>
      </c>
      <c r="P249" t="str">
        <f t="shared" si="78"/>
        <v/>
      </c>
      <c r="Q249" t="str">
        <f t="shared" si="79"/>
        <v/>
      </c>
      <c r="R249" t="str">
        <f t="shared" si="80"/>
        <v/>
      </c>
      <c r="S249" t="str">
        <f t="shared" si="81"/>
        <v/>
      </c>
      <c r="T249" s="82" t="str">
        <f>IF(AND($B$3="Cantilever",$B$2="Zone 1"),'GCM_Cantilever 1.0'!$F440,IF(AND($B$3="Cantilever",$B$2="Zone 2"),'GCM_Cantilever 1.0'!J440,IF(AND($B$3="HalfTracker",$B$2="Zone 1"),'GCM_Halftracker 1.0'!E455,IF(AND($B$3="HalfTracker",$B$2="Zone 2"),'GCM_Halftracker 1.0'!I455,IF(AND($B$3="Purlin",$B$2="Zone 1"),'GCM_Purlin 1.0'!E510,IF(AND($B$3="Purlin",$B$2="Zone 2"),'GCM_Purlin 1.0'!M510,IF(AND($B$3="Purlin",$B$2="Zone 3"),'GCM_Purlin 1.0'!X510,IF(AND($B$3="Purlin",$B$2="Zone 4"),'GCM_Purlin 1.0'!AF510,IF(AND($B$3="Purlin",$B$2="Zone 5"),'GCM_Purlin 1.0'!AQ510,IF(AND($B$3="Clip",$B$2="Zone 1"),'GCN_Clip 1.0'!G79,IF(AND($B$3="Clip",$B$2="Zone 2"),'GCN_Clip 1.0'!C80,IF(AND($B$3="Clip",$B$2="Zone 3"),'GCN_Clip 1.0'!G81,IF(AND($B$3="Clip",$B$2="Zone 4"),'GCN_Clip 1.0'!G82,IF(AND($B$3="Clip",$B$2="Zone 5"),'GCN_Clip 1.0'!G83,IF(AND($B$3="Post",$B$2="Zone 1"),'GCN_Post 1.0'!E363,IF(AND($B$3="Post",$B$2="Zone 2"),'GCN_Post 1.0'!F363,IF(AND($B$3="Post",$B$2="Zone 3"),'GCN_Post 1.0'!G363,IF(AND($B$3="Post",$B$2="Zone 4"),'GCN_Post 1.0'!H363,IF(AND($B$3="Post",$B$2="Zone 5"),'GCN_Post 1.0'!I363,"ERROR")))))))))))))))))))</f>
        <v/>
      </c>
      <c r="V249" s="27" t="str">
        <f t="shared" si="82"/>
        <v/>
      </c>
      <c r="W249" t="str">
        <f t="shared" si="83"/>
        <v/>
      </c>
      <c r="X249" t="str">
        <f t="shared" si="84"/>
        <v/>
      </c>
      <c r="Y249" t="str">
        <f t="shared" si="85"/>
        <v/>
      </c>
      <c r="Z249" t="str">
        <f t="shared" si="86"/>
        <v/>
      </c>
      <c r="AA249" t="str">
        <f t="shared" si="87"/>
        <v/>
      </c>
      <c r="AB249" s="82" t="str">
        <f>IF(AND($B$3="Cantilever",$B$2="Zone 1"),'GCM_Cantilever 1.0'!$G440,IF(AND($B$3="Cantilever",$B$2="Zone 2"),'GCM_Cantilever 1.0'!K440,IF(AND($B$3="HalfTracker",$B$2="Zone 1"),'GCM_Halftracker 1.0'!F455,IF(AND($B$3="HalfTracker",$B$2="Zone 2"),'GCM_Halftracker 1.0'!J455,IF(AND($B$3="Purlin",$B$2="Zone 1"),'GCM_Purlin 1.0'!F510,IF(AND($B$3="Purlin",$B$2="Zone 2"),'GCM_Purlin 1.0'!N510,IF(AND($B$3="Purlin",$B$2="Zone 3"),'GCM_Purlin 1.0'!Y510,IF(AND($B$3="Purlin",$B$2="Zone 4"),'GCM_Purlin 1.0'!AG510,IF(AND($B$3="Purlin",$B$2="Zone 5"),'GCM_Purlin 1.0'!AR510,IF(AND($B$3="Clip",$B$2="Zone 1"),'GCN_Clip 1.0'!H79,IF(AND($B$3="Clip",$B$2="Zone 2"),'GCN_Clip 1.0'!H80,IF(AND($B$3="Clip",$B$2="Zone 3"),'GCN_Clip 1.0'!H81,IF(AND($B$3="Clip",$B$2="Zone 4"),'GCN_Clip 1.0'!H82,IF(AND($B$3="Clip",$B$2="Zone 5"),'GCN_Clip 1.0'!H83,IF(AND($B$3="Post",$B$2="Zone 1"),'GCN_Post 1.0'!J363,IF(AND($B$3="Post",$B$2="Zone 2"),'GCN_Post 1.0'!K363,IF(AND($B$3="Post",$B$2="Zone 3"),'GCN_Post 1.0'!N363,IF(AND($B$3="Post",$B$2="Zone 4"),'GCN_Post 1.0'!O363,IF(AND($B$3="Post",$B$2="Zone 5"),'GCN_Post 1.0'!P363,"ERROR")))))))))))))))))))</f>
        <v/>
      </c>
      <c r="AD249" s="27" t="str">
        <f t="shared" si="88"/>
        <v/>
      </c>
      <c r="AE249" t="str">
        <f t="shared" si="89"/>
        <v/>
      </c>
      <c r="AF249" t="str">
        <f t="shared" si="90"/>
        <v/>
      </c>
      <c r="AG249" t="str">
        <f t="shared" si="91"/>
        <v/>
      </c>
      <c r="AH249" t="str">
        <f t="shared" si="92"/>
        <v/>
      </c>
      <c r="AI249" t="str">
        <f t="shared" si="93"/>
        <v/>
      </c>
      <c r="AJ249" s="82" t="str">
        <f>IF(AND($B$3="Cantilever",$B$2="Zone 1"),'GCM_Cantilever 1.0'!$H440,IF(AND($B$3="Cantilever",$B$2="Zone 2"),'GCM_Cantilever 1.0'!L440,IF(AND($B$3="HalfTracker",$B$2="Zone 1"),'GCM_Halftracker 1.0'!G455,IF(AND($B$3="HalfTracker",$B$2="Zone 2"),'GCM_Halftracker 1.0'!K455,IF(AND($B$3="Purlin",$B$2="Zone 1"),'GCM_Purlin 1.0'!G510,IF(AND($B$3="Purlin",$B$2="Zone 2"),'GCM_Purlin 1.0'!O510,IF(AND($B$3="Purlin",$B$2="Zone 3"),'GCM_Purlin 1.0'!Z510,IF(AND($B$3="Purlin",$B$2="Zone 4"),'GCM_Purlin 1.0'!AH510,IF(AND($B$3="Purlin",$B$2="Zone 5"),'GCM_Purlin 1.0'!AS510,IF(AND($B$3="Clip",$B$2="Zone 1"),'GCN_Clip 1.0'!#REF!,IF(AND($B$3="Clip",$B$2="Zone 2"),'GCN_Clip 1.0'!#REF!,IF(AND($B$3="Clip",$B$2="Zone 3"),'GCN_Clip 1.0'!#REF!,IF(AND($B$3="Clip",$B$2="Zone 4"),'GCN_Clip 1.0'!#REF!,IF(AND($B$3="Clip",$B$2="Zone 5"),'GCN_Clip 1.0'!#REF!,IF(AND($B$3="Post",$B$2="Zone 1"),'GCN_Post 1.0'!Q363,IF(AND($B$3="Post",$B$2="Zone 2"),'GCN_Post 1.0'!R363,IF(AND($B$3="Post",$B$2="Zone 3"),'GCN_Post 1.0'!S363,IF(AND($B$3="Post",$B$2="Zone 4"),'GCN_Post 1.0'!T363,IF(AND($B$3="Post",$B$2="Zone 5"),'GCN_Post 1.0'!V363,"ERROR")))))))))))))))))))</f>
        <v/>
      </c>
      <c r="AL249" s="27" t="str">
        <f t="shared" si="94"/>
        <v/>
      </c>
      <c r="AM249" t="str">
        <f t="shared" si="95"/>
        <v/>
      </c>
      <c r="AN249" t="str">
        <f t="shared" si="96"/>
        <v/>
      </c>
      <c r="AO249" t="str">
        <f t="shared" si="97"/>
        <v/>
      </c>
      <c r="AP249" t="str">
        <f t="shared" si="98"/>
        <v/>
      </c>
      <c r="AQ249" t="str">
        <f t="shared" si="99"/>
        <v/>
      </c>
      <c r="AR249" s="82" t="str">
        <f>IF(AND($B$3="Cantilever",$B$2="Zone 1"),'GCM_Cantilever 1.0'!$I440,IF(AND($B$3="Cantilever",$B$2="Zone 2"),'GCM_Cantilever 1.0'!M440,IF(AND($B$3="HalfTracker",$B$2="Zone 1"),'GCM_Halftracker 1.0'!H455,IF(AND($B$3="HalfTracker",$B$2="Zone 2"),'GCM_Halftracker 1.0'!L455,IF(AND($B$3="Purlin",$B$2="Zone 1"),'GCM_Purlin 1.0'!H510,IF(AND($B$3="Purlin",$B$2="Zone 2"),'GCM_Purlin 1.0'!P510,IF(AND($B$3="Purlin",$B$2="Zone 3"),'GCM_Purlin 1.0'!AA510,IF(AND($B$3="Purlin",$B$2="Zone 4"),'GCM_Purlin 1.0'!AI510,IF(AND($B$3="Purlin",$B$2="Zone 5"),'GCM_Purlin 1.0'!AT510,IF(AND($B$3="Clip",$B$2="Zone 1"),'GCN_Clip 1.0'!#REF!,IF(AND($B$3="Clip",$B$2="Zone 2"),'GCN_Clip 1.0'!#REF!,IF(AND($B$3="Clip",$B$2="Zone 3"),'GCN_Clip 1.0'!#REF!,IF(AND($B$3="Clip",$B$2="Zone 4"),'GCN_Clip 1.0'!#REF!,IF(AND($B$3="Clip",$B$2="Zone 5"),'GCN_Clip 1.0'!#REF!,IF(AND($B$3="Post",$B$2="Zone 1"),'GCN_Post 1.0'!W363,IF(AND($B$3="Post",$B$2="Zone 2"),'GCN_Post 1.0'!X363,IF(AND($B$3="Post",$B$2="Zone 3"),'GCN_Post 1.0'!Y363,IF(AND($B$3="Post",$B$2="Zone 4"),'GCN_Post 1.0'!Z363,IF(AND($B$3="Post",$B$2="Zone 5"),'GCN_Post 1.0'!AA363,"ERROR")))))))))))))))))))</f>
        <v/>
      </c>
    </row>
    <row r="250" spans="6:44" x14ac:dyDescent="0.25">
      <c r="F250">
        <v>77</v>
      </c>
      <c r="G250" s="27" t="str">
        <f t="shared" si="72"/>
        <v/>
      </c>
      <c r="H250" t="str">
        <f t="shared" si="73"/>
        <v/>
      </c>
      <c r="I250" t="str">
        <f t="shared" si="74"/>
        <v/>
      </c>
      <c r="J250" s="28" t="str">
        <f t="shared" si="75"/>
        <v/>
      </c>
      <c r="M250">
        <v>77</v>
      </c>
      <c r="N250" s="27" t="str">
        <f t="shared" si="76"/>
        <v/>
      </c>
      <c r="O250" t="str">
        <f t="shared" si="77"/>
        <v/>
      </c>
      <c r="P250" t="str">
        <f t="shared" si="78"/>
        <v/>
      </c>
      <c r="Q250" t="str">
        <f t="shared" si="79"/>
        <v/>
      </c>
      <c r="R250" t="str">
        <f t="shared" si="80"/>
        <v/>
      </c>
      <c r="S250" t="str">
        <f t="shared" si="81"/>
        <v/>
      </c>
      <c r="T250" s="82" t="str">
        <f>IF(AND($B$3="Cantilever",$B$2="Zone 1"),'GCM_Cantilever 1.0'!$F441,IF(AND($B$3="Cantilever",$B$2="Zone 2"),'GCM_Cantilever 1.0'!J441,IF(AND($B$3="HalfTracker",$B$2="Zone 1"),'GCM_Halftracker 1.0'!E456,IF(AND($B$3="HalfTracker",$B$2="Zone 2"),'GCM_Halftracker 1.0'!I456,IF(AND($B$3="Purlin",$B$2="Zone 1"),'GCM_Purlin 1.0'!E511,IF(AND($B$3="Purlin",$B$2="Zone 2"),'GCM_Purlin 1.0'!M511,IF(AND($B$3="Purlin",$B$2="Zone 3"),'GCM_Purlin 1.0'!X511,IF(AND($B$3="Purlin",$B$2="Zone 4"),'GCM_Purlin 1.0'!AF511,IF(AND($B$3="Purlin",$B$2="Zone 5"),'GCM_Purlin 1.0'!AQ511,IF(AND($B$3="Clip",$B$2="Zone 1"),'GCN_Clip 1.0'!G80,IF(AND($B$3="Clip",$B$2="Zone 2"),'GCN_Clip 1.0'!C81,IF(AND($B$3="Clip",$B$2="Zone 3"),'GCN_Clip 1.0'!G82,IF(AND($B$3="Clip",$B$2="Zone 4"),'GCN_Clip 1.0'!G83,IF(AND($B$3="Clip",$B$2="Zone 5"),'GCN_Clip 1.0'!G84,IF(AND($B$3="Post",$B$2="Zone 1"),'GCN_Post 1.0'!E364,IF(AND($B$3="Post",$B$2="Zone 2"),'GCN_Post 1.0'!F364,IF(AND($B$3="Post",$B$2="Zone 3"),'GCN_Post 1.0'!G364,IF(AND($B$3="Post",$B$2="Zone 4"),'GCN_Post 1.0'!H364,IF(AND($B$3="Post",$B$2="Zone 5"),'GCN_Post 1.0'!I364,"ERROR")))))))))))))))))))</f>
        <v/>
      </c>
      <c r="V250" s="27" t="str">
        <f t="shared" si="82"/>
        <v/>
      </c>
      <c r="W250" t="str">
        <f t="shared" si="83"/>
        <v/>
      </c>
      <c r="X250" t="str">
        <f t="shared" si="84"/>
        <v/>
      </c>
      <c r="Y250" t="str">
        <f t="shared" si="85"/>
        <v/>
      </c>
      <c r="Z250" t="str">
        <f t="shared" si="86"/>
        <v/>
      </c>
      <c r="AA250" t="str">
        <f t="shared" si="87"/>
        <v/>
      </c>
      <c r="AB250" s="82" t="str">
        <f>IF(AND($B$3="Cantilever",$B$2="Zone 1"),'GCM_Cantilever 1.0'!$G441,IF(AND($B$3="Cantilever",$B$2="Zone 2"),'GCM_Cantilever 1.0'!K441,IF(AND($B$3="HalfTracker",$B$2="Zone 1"),'GCM_Halftracker 1.0'!F456,IF(AND($B$3="HalfTracker",$B$2="Zone 2"),'GCM_Halftracker 1.0'!J456,IF(AND($B$3="Purlin",$B$2="Zone 1"),'GCM_Purlin 1.0'!F511,IF(AND($B$3="Purlin",$B$2="Zone 2"),'GCM_Purlin 1.0'!N511,IF(AND($B$3="Purlin",$B$2="Zone 3"),'GCM_Purlin 1.0'!Y511,IF(AND($B$3="Purlin",$B$2="Zone 4"),'GCM_Purlin 1.0'!AG511,IF(AND($B$3="Purlin",$B$2="Zone 5"),'GCM_Purlin 1.0'!AR511,IF(AND($B$3="Clip",$B$2="Zone 1"),'GCN_Clip 1.0'!H80,IF(AND($B$3="Clip",$B$2="Zone 2"),'GCN_Clip 1.0'!H81,IF(AND($B$3="Clip",$B$2="Zone 3"),'GCN_Clip 1.0'!H82,IF(AND($B$3="Clip",$B$2="Zone 4"),'GCN_Clip 1.0'!H83,IF(AND($B$3="Clip",$B$2="Zone 5"),'GCN_Clip 1.0'!H84,IF(AND($B$3="Post",$B$2="Zone 1"),'GCN_Post 1.0'!J364,IF(AND($B$3="Post",$B$2="Zone 2"),'GCN_Post 1.0'!K364,IF(AND($B$3="Post",$B$2="Zone 3"),'GCN_Post 1.0'!N364,IF(AND($B$3="Post",$B$2="Zone 4"),'GCN_Post 1.0'!O364,IF(AND($B$3="Post",$B$2="Zone 5"),'GCN_Post 1.0'!P364,"ERROR")))))))))))))))))))</f>
        <v/>
      </c>
      <c r="AD250" s="27" t="str">
        <f t="shared" si="88"/>
        <v/>
      </c>
      <c r="AE250" t="str">
        <f t="shared" si="89"/>
        <v/>
      </c>
      <c r="AF250" t="str">
        <f t="shared" si="90"/>
        <v/>
      </c>
      <c r="AG250" t="str">
        <f t="shared" si="91"/>
        <v/>
      </c>
      <c r="AH250" t="str">
        <f t="shared" si="92"/>
        <v/>
      </c>
      <c r="AI250" t="str">
        <f t="shared" si="93"/>
        <v/>
      </c>
      <c r="AJ250" s="82" t="str">
        <f>IF(AND($B$3="Cantilever",$B$2="Zone 1"),'GCM_Cantilever 1.0'!$H441,IF(AND($B$3="Cantilever",$B$2="Zone 2"),'GCM_Cantilever 1.0'!L441,IF(AND($B$3="HalfTracker",$B$2="Zone 1"),'GCM_Halftracker 1.0'!G456,IF(AND($B$3="HalfTracker",$B$2="Zone 2"),'GCM_Halftracker 1.0'!K456,IF(AND($B$3="Purlin",$B$2="Zone 1"),'GCM_Purlin 1.0'!G511,IF(AND($B$3="Purlin",$B$2="Zone 2"),'GCM_Purlin 1.0'!O511,IF(AND($B$3="Purlin",$B$2="Zone 3"),'GCM_Purlin 1.0'!Z511,IF(AND($B$3="Purlin",$B$2="Zone 4"),'GCM_Purlin 1.0'!AH511,IF(AND($B$3="Purlin",$B$2="Zone 5"),'GCM_Purlin 1.0'!AS511,IF(AND($B$3="Clip",$B$2="Zone 1"),'GCN_Clip 1.0'!#REF!,IF(AND($B$3="Clip",$B$2="Zone 2"),'GCN_Clip 1.0'!#REF!,IF(AND($B$3="Clip",$B$2="Zone 3"),'GCN_Clip 1.0'!#REF!,IF(AND($B$3="Clip",$B$2="Zone 4"),'GCN_Clip 1.0'!#REF!,IF(AND($B$3="Clip",$B$2="Zone 5"),'GCN_Clip 1.0'!#REF!,IF(AND($B$3="Post",$B$2="Zone 1"),'GCN_Post 1.0'!Q364,IF(AND($B$3="Post",$B$2="Zone 2"),'GCN_Post 1.0'!R364,IF(AND($B$3="Post",$B$2="Zone 3"),'GCN_Post 1.0'!S364,IF(AND($B$3="Post",$B$2="Zone 4"),'GCN_Post 1.0'!T364,IF(AND($B$3="Post",$B$2="Zone 5"),'GCN_Post 1.0'!V364,"ERROR")))))))))))))))))))</f>
        <v/>
      </c>
      <c r="AL250" s="27" t="str">
        <f t="shared" si="94"/>
        <v/>
      </c>
      <c r="AM250" t="str">
        <f t="shared" si="95"/>
        <v/>
      </c>
      <c r="AN250" t="str">
        <f t="shared" si="96"/>
        <v/>
      </c>
      <c r="AO250" t="str">
        <f t="shared" si="97"/>
        <v/>
      </c>
      <c r="AP250" t="str">
        <f t="shared" si="98"/>
        <v/>
      </c>
      <c r="AQ250" t="str">
        <f t="shared" si="99"/>
        <v/>
      </c>
      <c r="AR250" s="82" t="str">
        <f>IF(AND($B$3="Cantilever",$B$2="Zone 1"),'GCM_Cantilever 1.0'!$I441,IF(AND($B$3="Cantilever",$B$2="Zone 2"),'GCM_Cantilever 1.0'!M441,IF(AND($B$3="HalfTracker",$B$2="Zone 1"),'GCM_Halftracker 1.0'!H456,IF(AND($B$3="HalfTracker",$B$2="Zone 2"),'GCM_Halftracker 1.0'!L456,IF(AND($B$3="Purlin",$B$2="Zone 1"),'GCM_Purlin 1.0'!H511,IF(AND($B$3="Purlin",$B$2="Zone 2"),'GCM_Purlin 1.0'!P511,IF(AND($B$3="Purlin",$B$2="Zone 3"),'GCM_Purlin 1.0'!AA511,IF(AND($B$3="Purlin",$B$2="Zone 4"),'GCM_Purlin 1.0'!AI511,IF(AND($B$3="Purlin",$B$2="Zone 5"),'GCM_Purlin 1.0'!AT511,IF(AND($B$3="Clip",$B$2="Zone 1"),'GCN_Clip 1.0'!#REF!,IF(AND($B$3="Clip",$B$2="Zone 2"),'GCN_Clip 1.0'!#REF!,IF(AND($B$3="Clip",$B$2="Zone 3"),'GCN_Clip 1.0'!#REF!,IF(AND($B$3="Clip",$B$2="Zone 4"),'GCN_Clip 1.0'!#REF!,IF(AND($B$3="Clip",$B$2="Zone 5"),'GCN_Clip 1.0'!#REF!,IF(AND($B$3="Post",$B$2="Zone 1"),'GCN_Post 1.0'!W364,IF(AND($B$3="Post",$B$2="Zone 2"),'GCN_Post 1.0'!X364,IF(AND($B$3="Post",$B$2="Zone 3"),'GCN_Post 1.0'!Y364,IF(AND($B$3="Post",$B$2="Zone 4"),'GCN_Post 1.0'!Z364,IF(AND($B$3="Post",$B$2="Zone 5"),'GCN_Post 1.0'!AA364,"ERROR")))))))))))))))))))</f>
        <v/>
      </c>
    </row>
    <row r="251" spans="6:44" x14ac:dyDescent="0.25">
      <c r="F251">
        <v>78</v>
      </c>
      <c r="G251" s="27" t="str">
        <f t="shared" si="72"/>
        <v/>
      </c>
      <c r="H251" t="str">
        <f t="shared" si="73"/>
        <v/>
      </c>
      <c r="I251" t="str">
        <f t="shared" si="74"/>
        <v/>
      </c>
      <c r="J251" s="28" t="str">
        <f t="shared" si="75"/>
        <v/>
      </c>
      <c r="M251">
        <v>78</v>
      </c>
      <c r="N251" s="27" t="str">
        <f t="shared" si="76"/>
        <v/>
      </c>
      <c r="O251" t="str">
        <f t="shared" si="77"/>
        <v/>
      </c>
      <c r="P251" t="str">
        <f t="shared" si="78"/>
        <v/>
      </c>
      <c r="Q251" t="str">
        <f t="shared" si="79"/>
        <v/>
      </c>
      <c r="R251" t="str">
        <f t="shared" si="80"/>
        <v/>
      </c>
      <c r="S251" t="str">
        <f t="shared" si="81"/>
        <v/>
      </c>
      <c r="T251" s="82" t="str">
        <f>IF(AND($B$3="Cantilever",$B$2="Zone 1"),'GCM_Cantilever 1.0'!$F442,IF(AND($B$3="Cantilever",$B$2="Zone 2"),'GCM_Cantilever 1.0'!J442,IF(AND($B$3="HalfTracker",$B$2="Zone 1"),'GCM_Halftracker 1.0'!E457,IF(AND($B$3="HalfTracker",$B$2="Zone 2"),'GCM_Halftracker 1.0'!I457,IF(AND($B$3="Purlin",$B$2="Zone 1"),'GCM_Purlin 1.0'!E512,IF(AND($B$3="Purlin",$B$2="Zone 2"),'GCM_Purlin 1.0'!M512,IF(AND($B$3="Purlin",$B$2="Zone 3"),'GCM_Purlin 1.0'!X512,IF(AND($B$3="Purlin",$B$2="Zone 4"),'GCM_Purlin 1.0'!AF512,IF(AND($B$3="Purlin",$B$2="Zone 5"),'GCM_Purlin 1.0'!AQ512,IF(AND($B$3="Clip",$B$2="Zone 1"),'GCN_Clip 1.0'!G81,IF(AND($B$3="Clip",$B$2="Zone 2"),'GCN_Clip 1.0'!C82,IF(AND($B$3="Clip",$B$2="Zone 3"),'GCN_Clip 1.0'!G83,IF(AND($B$3="Clip",$B$2="Zone 4"),'GCN_Clip 1.0'!G84,IF(AND($B$3="Clip",$B$2="Zone 5"),'GCN_Clip 1.0'!G85,IF(AND($B$3="Post",$B$2="Zone 1"),'GCN_Post 1.0'!E365,IF(AND($B$3="Post",$B$2="Zone 2"),'GCN_Post 1.0'!F365,IF(AND($B$3="Post",$B$2="Zone 3"),'GCN_Post 1.0'!G365,IF(AND($B$3="Post",$B$2="Zone 4"),'GCN_Post 1.0'!H365,IF(AND($B$3="Post",$B$2="Zone 5"),'GCN_Post 1.0'!I365,"ERROR")))))))))))))))))))</f>
        <v/>
      </c>
      <c r="V251" s="27" t="str">
        <f t="shared" si="82"/>
        <v/>
      </c>
      <c r="W251" t="str">
        <f t="shared" si="83"/>
        <v/>
      </c>
      <c r="X251" t="str">
        <f t="shared" si="84"/>
        <v/>
      </c>
      <c r="Y251" t="str">
        <f t="shared" si="85"/>
        <v/>
      </c>
      <c r="Z251" t="str">
        <f t="shared" si="86"/>
        <v/>
      </c>
      <c r="AA251" t="str">
        <f t="shared" si="87"/>
        <v/>
      </c>
      <c r="AB251" s="82" t="str">
        <f>IF(AND($B$3="Cantilever",$B$2="Zone 1"),'GCM_Cantilever 1.0'!$G442,IF(AND($B$3="Cantilever",$B$2="Zone 2"),'GCM_Cantilever 1.0'!K442,IF(AND($B$3="HalfTracker",$B$2="Zone 1"),'GCM_Halftracker 1.0'!F457,IF(AND($B$3="HalfTracker",$B$2="Zone 2"),'GCM_Halftracker 1.0'!J457,IF(AND($B$3="Purlin",$B$2="Zone 1"),'GCM_Purlin 1.0'!F512,IF(AND($B$3="Purlin",$B$2="Zone 2"),'GCM_Purlin 1.0'!N512,IF(AND($B$3="Purlin",$B$2="Zone 3"),'GCM_Purlin 1.0'!Y512,IF(AND($B$3="Purlin",$B$2="Zone 4"),'GCM_Purlin 1.0'!AG512,IF(AND($B$3="Purlin",$B$2="Zone 5"),'GCM_Purlin 1.0'!AR512,IF(AND($B$3="Clip",$B$2="Zone 1"),'GCN_Clip 1.0'!H81,IF(AND($B$3="Clip",$B$2="Zone 2"),'GCN_Clip 1.0'!H82,IF(AND($B$3="Clip",$B$2="Zone 3"),'GCN_Clip 1.0'!H83,IF(AND($B$3="Clip",$B$2="Zone 4"),'GCN_Clip 1.0'!H84,IF(AND($B$3="Clip",$B$2="Zone 5"),'GCN_Clip 1.0'!H85,IF(AND($B$3="Post",$B$2="Zone 1"),'GCN_Post 1.0'!J365,IF(AND($B$3="Post",$B$2="Zone 2"),'GCN_Post 1.0'!K365,IF(AND($B$3="Post",$B$2="Zone 3"),'GCN_Post 1.0'!N365,IF(AND($B$3="Post",$B$2="Zone 4"),'GCN_Post 1.0'!O365,IF(AND($B$3="Post",$B$2="Zone 5"),'GCN_Post 1.0'!P365,"ERROR")))))))))))))))))))</f>
        <v/>
      </c>
      <c r="AD251" s="27" t="str">
        <f t="shared" si="88"/>
        <v/>
      </c>
      <c r="AE251" t="str">
        <f t="shared" si="89"/>
        <v/>
      </c>
      <c r="AF251" t="str">
        <f t="shared" si="90"/>
        <v/>
      </c>
      <c r="AG251" t="str">
        <f t="shared" si="91"/>
        <v/>
      </c>
      <c r="AH251" t="str">
        <f t="shared" si="92"/>
        <v/>
      </c>
      <c r="AI251" t="str">
        <f t="shared" si="93"/>
        <v/>
      </c>
      <c r="AJ251" s="82" t="str">
        <f>IF(AND($B$3="Cantilever",$B$2="Zone 1"),'GCM_Cantilever 1.0'!$H442,IF(AND($B$3="Cantilever",$B$2="Zone 2"),'GCM_Cantilever 1.0'!L442,IF(AND($B$3="HalfTracker",$B$2="Zone 1"),'GCM_Halftracker 1.0'!G457,IF(AND($B$3="HalfTracker",$B$2="Zone 2"),'GCM_Halftracker 1.0'!K457,IF(AND($B$3="Purlin",$B$2="Zone 1"),'GCM_Purlin 1.0'!G512,IF(AND($B$3="Purlin",$B$2="Zone 2"),'GCM_Purlin 1.0'!O512,IF(AND($B$3="Purlin",$B$2="Zone 3"),'GCM_Purlin 1.0'!Z512,IF(AND($B$3="Purlin",$B$2="Zone 4"),'GCM_Purlin 1.0'!AH512,IF(AND($B$3="Purlin",$B$2="Zone 5"),'GCM_Purlin 1.0'!AS512,IF(AND($B$3="Clip",$B$2="Zone 1"),'GCN_Clip 1.0'!#REF!,IF(AND($B$3="Clip",$B$2="Zone 2"),'GCN_Clip 1.0'!#REF!,IF(AND($B$3="Clip",$B$2="Zone 3"),'GCN_Clip 1.0'!#REF!,IF(AND($B$3="Clip",$B$2="Zone 4"),'GCN_Clip 1.0'!#REF!,IF(AND($B$3="Clip",$B$2="Zone 5"),'GCN_Clip 1.0'!#REF!,IF(AND($B$3="Post",$B$2="Zone 1"),'GCN_Post 1.0'!Q365,IF(AND($B$3="Post",$B$2="Zone 2"),'GCN_Post 1.0'!R365,IF(AND($B$3="Post",$B$2="Zone 3"),'GCN_Post 1.0'!S365,IF(AND($B$3="Post",$B$2="Zone 4"),'GCN_Post 1.0'!T365,IF(AND($B$3="Post",$B$2="Zone 5"),'GCN_Post 1.0'!V365,"ERROR")))))))))))))))))))</f>
        <v/>
      </c>
      <c r="AL251" s="27" t="str">
        <f t="shared" si="94"/>
        <v/>
      </c>
      <c r="AM251" t="str">
        <f t="shared" si="95"/>
        <v/>
      </c>
      <c r="AN251" t="str">
        <f t="shared" si="96"/>
        <v/>
      </c>
      <c r="AO251" t="str">
        <f t="shared" si="97"/>
        <v/>
      </c>
      <c r="AP251" t="str">
        <f t="shared" si="98"/>
        <v/>
      </c>
      <c r="AQ251" t="str">
        <f t="shared" si="99"/>
        <v/>
      </c>
      <c r="AR251" s="82" t="str">
        <f>IF(AND($B$3="Cantilever",$B$2="Zone 1"),'GCM_Cantilever 1.0'!$I442,IF(AND($B$3="Cantilever",$B$2="Zone 2"),'GCM_Cantilever 1.0'!M442,IF(AND($B$3="HalfTracker",$B$2="Zone 1"),'GCM_Halftracker 1.0'!H457,IF(AND($B$3="HalfTracker",$B$2="Zone 2"),'GCM_Halftracker 1.0'!L457,IF(AND($B$3="Purlin",$B$2="Zone 1"),'GCM_Purlin 1.0'!H512,IF(AND($B$3="Purlin",$B$2="Zone 2"),'GCM_Purlin 1.0'!P512,IF(AND($B$3="Purlin",$B$2="Zone 3"),'GCM_Purlin 1.0'!AA512,IF(AND($B$3="Purlin",$B$2="Zone 4"),'GCM_Purlin 1.0'!AI512,IF(AND($B$3="Purlin",$B$2="Zone 5"),'GCM_Purlin 1.0'!AT512,IF(AND($B$3="Clip",$B$2="Zone 1"),'GCN_Clip 1.0'!#REF!,IF(AND($B$3="Clip",$B$2="Zone 2"),'GCN_Clip 1.0'!#REF!,IF(AND($B$3="Clip",$B$2="Zone 3"),'GCN_Clip 1.0'!#REF!,IF(AND($B$3="Clip",$B$2="Zone 4"),'GCN_Clip 1.0'!#REF!,IF(AND($B$3="Clip",$B$2="Zone 5"),'GCN_Clip 1.0'!#REF!,IF(AND($B$3="Post",$B$2="Zone 1"),'GCN_Post 1.0'!W365,IF(AND($B$3="Post",$B$2="Zone 2"),'GCN_Post 1.0'!X365,IF(AND($B$3="Post",$B$2="Zone 3"),'GCN_Post 1.0'!Y365,IF(AND($B$3="Post",$B$2="Zone 4"),'GCN_Post 1.0'!Z365,IF(AND($B$3="Post",$B$2="Zone 5"),'GCN_Post 1.0'!AA365,"ERROR")))))))))))))))))))</f>
        <v/>
      </c>
    </row>
    <row r="252" spans="6:44" x14ac:dyDescent="0.25">
      <c r="F252">
        <v>79</v>
      </c>
      <c r="G252" s="27" t="str">
        <f t="shared" si="72"/>
        <v/>
      </c>
      <c r="H252" t="str">
        <f t="shared" si="73"/>
        <v/>
      </c>
      <c r="I252" t="str">
        <f t="shared" si="74"/>
        <v/>
      </c>
      <c r="J252" s="28" t="str">
        <f t="shared" si="75"/>
        <v/>
      </c>
      <c r="M252">
        <v>79</v>
      </c>
      <c r="N252" s="27" t="str">
        <f t="shared" si="76"/>
        <v/>
      </c>
      <c r="O252" t="str">
        <f t="shared" si="77"/>
        <v/>
      </c>
      <c r="P252" t="str">
        <f t="shared" si="78"/>
        <v/>
      </c>
      <c r="Q252" t="str">
        <f t="shared" si="79"/>
        <v/>
      </c>
      <c r="R252" t="str">
        <f t="shared" si="80"/>
        <v/>
      </c>
      <c r="S252" t="str">
        <f t="shared" si="81"/>
        <v/>
      </c>
      <c r="T252" s="82" t="str">
        <f>IF(AND($B$3="Cantilever",$B$2="Zone 1"),'GCM_Cantilever 1.0'!$F443,IF(AND($B$3="Cantilever",$B$2="Zone 2"),'GCM_Cantilever 1.0'!J443,IF(AND($B$3="HalfTracker",$B$2="Zone 1"),'GCM_Halftracker 1.0'!E458,IF(AND($B$3="HalfTracker",$B$2="Zone 2"),'GCM_Halftracker 1.0'!I458,IF(AND($B$3="Purlin",$B$2="Zone 1"),'GCM_Purlin 1.0'!E513,IF(AND($B$3="Purlin",$B$2="Zone 2"),'GCM_Purlin 1.0'!M513,IF(AND($B$3="Purlin",$B$2="Zone 3"),'GCM_Purlin 1.0'!X513,IF(AND($B$3="Purlin",$B$2="Zone 4"),'GCM_Purlin 1.0'!AF513,IF(AND($B$3="Purlin",$B$2="Zone 5"),'GCM_Purlin 1.0'!AQ513,IF(AND($B$3="Clip",$B$2="Zone 1"),'GCN_Clip 1.0'!G82,IF(AND($B$3="Clip",$B$2="Zone 2"),'GCN_Clip 1.0'!C83,IF(AND($B$3="Clip",$B$2="Zone 3"),'GCN_Clip 1.0'!G84,IF(AND($B$3="Clip",$B$2="Zone 4"),'GCN_Clip 1.0'!G85,IF(AND($B$3="Clip",$B$2="Zone 5"),'GCN_Clip 1.0'!G86,IF(AND($B$3="Post",$B$2="Zone 1"),'GCN_Post 1.0'!E366,IF(AND($B$3="Post",$B$2="Zone 2"),'GCN_Post 1.0'!F366,IF(AND($B$3="Post",$B$2="Zone 3"),'GCN_Post 1.0'!G366,IF(AND($B$3="Post",$B$2="Zone 4"),'GCN_Post 1.0'!H366,IF(AND($B$3="Post",$B$2="Zone 5"),'GCN_Post 1.0'!I366,"ERROR")))))))))))))))))))</f>
        <v/>
      </c>
      <c r="V252" s="27" t="str">
        <f t="shared" si="82"/>
        <v/>
      </c>
      <c r="W252" t="str">
        <f t="shared" si="83"/>
        <v/>
      </c>
      <c r="X252" t="str">
        <f t="shared" si="84"/>
        <v/>
      </c>
      <c r="Y252" t="str">
        <f t="shared" si="85"/>
        <v/>
      </c>
      <c r="Z252" t="str">
        <f t="shared" si="86"/>
        <v/>
      </c>
      <c r="AA252" t="str">
        <f t="shared" si="87"/>
        <v/>
      </c>
      <c r="AB252" s="82" t="str">
        <f>IF(AND($B$3="Cantilever",$B$2="Zone 1"),'GCM_Cantilever 1.0'!$G443,IF(AND($B$3="Cantilever",$B$2="Zone 2"),'GCM_Cantilever 1.0'!K443,IF(AND($B$3="HalfTracker",$B$2="Zone 1"),'GCM_Halftracker 1.0'!F458,IF(AND($B$3="HalfTracker",$B$2="Zone 2"),'GCM_Halftracker 1.0'!J458,IF(AND($B$3="Purlin",$B$2="Zone 1"),'GCM_Purlin 1.0'!F513,IF(AND($B$3="Purlin",$B$2="Zone 2"),'GCM_Purlin 1.0'!N513,IF(AND($B$3="Purlin",$B$2="Zone 3"),'GCM_Purlin 1.0'!Y513,IF(AND($B$3="Purlin",$B$2="Zone 4"),'GCM_Purlin 1.0'!AG513,IF(AND($B$3="Purlin",$B$2="Zone 5"),'GCM_Purlin 1.0'!AR513,IF(AND($B$3="Clip",$B$2="Zone 1"),'GCN_Clip 1.0'!H82,IF(AND($B$3="Clip",$B$2="Zone 2"),'GCN_Clip 1.0'!H83,IF(AND($B$3="Clip",$B$2="Zone 3"),'GCN_Clip 1.0'!H84,IF(AND($B$3="Clip",$B$2="Zone 4"),'GCN_Clip 1.0'!H85,IF(AND($B$3="Clip",$B$2="Zone 5"),'GCN_Clip 1.0'!H86,IF(AND($B$3="Post",$B$2="Zone 1"),'GCN_Post 1.0'!J366,IF(AND($B$3="Post",$B$2="Zone 2"),'GCN_Post 1.0'!K366,IF(AND($B$3="Post",$B$2="Zone 3"),'GCN_Post 1.0'!N366,IF(AND($B$3="Post",$B$2="Zone 4"),'GCN_Post 1.0'!O366,IF(AND($B$3="Post",$B$2="Zone 5"),'GCN_Post 1.0'!P366,"ERROR")))))))))))))))))))</f>
        <v/>
      </c>
      <c r="AD252" s="27" t="str">
        <f t="shared" si="88"/>
        <v/>
      </c>
      <c r="AE252" t="str">
        <f t="shared" si="89"/>
        <v/>
      </c>
      <c r="AF252" t="str">
        <f t="shared" si="90"/>
        <v/>
      </c>
      <c r="AG252" t="str">
        <f t="shared" si="91"/>
        <v/>
      </c>
      <c r="AH252" t="str">
        <f t="shared" si="92"/>
        <v/>
      </c>
      <c r="AI252" t="str">
        <f t="shared" si="93"/>
        <v/>
      </c>
      <c r="AJ252" s="82" t="str">
        <f>IF(AND($B$3="Cantilever",$B$2="Zone 1"),'GCM_Cantilever 1.0'!$H443,IF(AND($B$3="Cantilever",$B$2="Zone 2"),'GCM_Cantilever 1.0'!L443,IF(AND($B$3="HalfTracker",$B$2="Zone 1"),'GCM_Halftracker 1.0'!G458,IF(AND($B$3="HalfTracker",$B$2="Zone 2"),'GCM_Halftracker 1.0'!K458,IF(AND($B$3="Purlin",$B$2="Zone 1"),'GCM_Purlin 1.0'!G513,IF(AND($B$3="Purlin",$B$2="Zone 2"),'GCM_Purlin 1.0'!O513,IF(AND($B$3="Purlin",$B$2="Zone 3"),'GCM_Purlin 1.0'!Z513,IF(AND($B$3="Purlin",$B$2="Zone 4"),'GCM_Purlin 1.0'!AH513,IF(AND($B$3="Purlin",$B$2="Zone 5"),'GCM_Purlin 1.0'!AS513,IF(AND($B$3="Clip",$B$2="Zone 1"),'GCN_Clip 1.0'!#REF!,IF(AND($B$3="Clip",$B$2="Zone 2"),'GCN_Clip 1.0'!#REF!,IF(AND($B$3="Clip",$B$2="Zone 3"),'GCN_Clip 1.0'!#REF!,IF(AND($B$3="Clip",$B$2="Zone 4"),'GCN_Clip 1.0'!#REF!,IF(AND($B$3="Clip",$B$2="Zone 5"),'GCN_Clip 1.0'!#REF!,IF(AND($B$3="Post",$B$2="Zone 1"),'GCN_Post 1.0'!Q366,IF(AND($B$3="Post",$B$2="Zone 2"),'GCN_Post 1.0'!R366,IF(AND($B$3="Post",$B$2="Zone 3"),'GCN_Post 1.0'!S366,IF(AND($B$3="Post",$B$2="Zone 4"),'GCN_Post 1.0'!T366,IF(AND($B$3="Post",$B$2="Zone 5"),'GCN_Post 1.0'!V366,"ERROR")))))))))))))))))))</f>
        <v/>
      </c>
      <c r="AL252" s="27" t="str">
        <f t="shared" si="94"/>
        <v/>
      </c>
      <c r="AM252" t="str">
        <f t="shared" si="95"/>
        <v/>
      </c>
      <c r="AN252" t="str">
        <f t="shared" si="96"/>
        <v/>
      </c>
      <c r="AO252" t="str">
        <f t="shared" si="97"/>
        <v/>
      </c>
      <c r="AP252" t="str">
        <f t="shared" si="98"/>
        <v/>
      </c>
      <c r="AQ252" t="str">
        <f t="shared" si="99"/>
        <v/>
      </c>
      <c r="AR252" s="82" t="str">
        <f>IF(AND($B$3="Cantilever",$B$2="Zone 1"),'GCM_Cantilever 1.0'!$I443,IF(AND($B$3="Cantilever",$B$2="Zone 2"),'GCM_Cantilever 1.0'!M443,IF(AND($B$3="HalfTracker",$B$2="Zone 1"),'GCM_Halftracker 1.0'!H458,IF(AND($B$3="HalfTracker",$B$2="Zone 2"),'GCM_Halftracker 1.0'!L458,IF(AND($B$3="Purlin",$B$2="Zone 1"),'GCM_Purlin 1.0'!H513,IF(AND($B$3="Purlin",$B$2="Zone 2"),'GCM_Purlin 1.0'!P513,IF(AND($B$3="Purlin",$B$2="Zone 3"),'GCM_Purlin 1.0'!AA513,IF(AND($B$3="Purlin",$B$2="Zone 4"),'GCM_Purlin 1.0'!AI513,IF(AND($B$3="Purlin",$B$2="Zone 5"),'GCM_Purlin 1.0'!AT513,IF(AND($B$3="Clip",$B$2="Zone 1"),'GCN_Clip 1.0'!#REF!,IF(AND($B$3="Clip",$B$2="Zone 2"),'GCN_Clip 1.0'!#REF!,IF(AND($B$3="Clip",$B$2="Zone 3"),'GCN_Clip 1.0'!#REF!,IF(AND($B$3="Clip",$B$2="Zone 4"),'GCN_Clip 1.0'!#REF!,IF(AND($B$3="Clip",$B$2="Zone 5"),'GCN_Clip 1.0'!#REF!,IF(AND($B$3="Post",$B$2="Zone 1"),'GCN_Post 1.0'!W366,IF(AND($B$3="Post",$B$2="Zone 2"),'GCN_Post 1.0'!X366,IF(AND($B$3="Post",$B$2="Zone 3"),'GCN_Post 1.0'!Y366,IF(AND($B$3="Post",$B$2="Zone 4"),'GCN_Post 1.0'!Z366,IF(AND($B$3="Post",$B$2="Zone 5"),'GCN_Post 1.0'!AA366,"ERROR")))))))))))))))))))</f>
        <v/>
      </c>
    </row>
    <row r="253" spans="6:44" x14ac:dyDescent="0.25">
      <c r="F253">
        <v>80</v>
      </c>
      <c r="G253" s="27" t="str">
        <f t="shared" si="72"/>
        <v/>
      </c>
      <c r="H253" t="str">
        <f t="shared" si="73"/>
        <v/>
      </c>
      <c r="I253" t="str">
        <f t="shared" si="74"/>
        <v/>
      </c>
      <c r="J253" s="28" t="str">
        <f t="shared" si="75"/>
        <v/>
      </c>
      <c r="M253">
        <v>80</v>
      </c>
      <c r="N253" s="27" t="str">
        <f t="shared" si="76"/>
        <v/>
      </c>
      <c r="O253" t="str">
        <f t="shared" si="77"/>
        <v/>
      </c>
      <c r="P253" t="str">
        <f t="shared" si="78"/>
        <v/>
      </c>
      <c r="Q253" t="str">
        <f t="shared" si="79"/>
        <v/>
      </c>
      <c r="R253" t="str">
        <f t="shared" si="80"/>
        <v/>
      </c>
      <c r="S253" t="str">
        <f t="shared" si="81"/>
        <v/>
      </c>
      <c r="T253" s="82" t="str">
        <f>IF(AND($B$3="Cantilever",$B$2="Zone 1"),'GCM_Cantilever 1.0'!$F444,IF(AND($B$3="Cantilever",$B$2="Zone 2"),'GCM_Cantilever 1.0'!J444,IF(AND($B$3="HalfTracker",$B$2="Zone 1"),'GCM_Halftracker 1.0'!E459,IF(AND($B$3="HalfTracker",$B$2="Zone 2"),'GCM_Halftracker 1.0'!I459,IF(AND($B$3="Purlin",$B$2="Zone 1"),'GCM_Purlin 1.0'!E514,IF(AND($B$3="Purlin",$B$2="Zone 2"),'GCM_Purlin 1.0'!M514,IF(AND($B$3="Purlin",$B$2="Zone 3"),'GCM_Purlin 1.0'!X514,IF(AND($B$3="Purlin",$B$2="Zone 4"),'GCM_Purlin 1.0'!AF514,IF(AND($B$3="Purlin",$B$2="Zone 5"),'GCM_Purlin 1.0'!AQ514,IF(AND($B$3="Clip",$B$2="Zone 1"),'GCN_Clip 1.0'!G83,IF(AND($B$3="Clip",$B$2="Zone 2"),'GCN_Clip 1.0'!C84,IF(AND($B$3="Clip",$B$2="Zone 3"),'GCN_Clip 1.0'!G85,IF(AND($B$3="Clip",$B$2="Zone 4"),'GCN_Clip 1.0'!G86,IF(AND($B$3="Clip",$B$2="Zone 5"),'GCN_Clip 1.0'!G87,IF(AND($B$3="Post",$B$2="Zone 1"),'GCN_Post 1.0'!E367,IF(AND($B$3="Post",$B$2="Zone 2"),'GCN_Post 1.0'!F367,IF(AND($B$3="Post",$B$2="Zone 3"),'GCN_Post 1.0'!G367,IF(AND($B$3="Post",$B$2="Zone 4"),'GCN_Post 1.0'!H367,IF(AND($B$3="Post",$B$2="Zone 5"),'GCN_Post 1.0'!I367,"ERROR")))))))))))))))))))</f>
        <v/>
      </c>
      <c r="V253" s="27" t="str">
        <f t="shared" si="82"/>
        <v/>
      </c>
      <c r="W253" t="str">
        <f t="shared" si="83"/>
        <v/>
      </c>
      <c r="X253" t="str">
        <f t="shared" si="84"/>
        <v/>
      </c>
      <c r="Y253" t="str">
        <f t="shared" si="85"/>
        <v/>
      </c>
      <c r="Z253" t="str">
        <f t="shared" si="86"/>
        <v/>
      </c>
      <c r="AA253" t="str">
        <f t="shared" si="87"/>
        <v/>
      </c>
      <c r="AB253" s="82" t="str">
        <f>IF(AND($B$3="Cantilever",$B$2="Zone 1"),'GCM_Cantilever 1.0'!$G444,IF(AND($B$3="Cantilever",$B$2="Zone 2"),'GCM_Cantilever 1.0'!K444,IF(AND($B$3="HalfTracker",$B$2="Zone 1"),'GCM_Halftracker 1.0'!F459,IF(AND($B$3="HalfTracker",$B$2="Zone 2"),'GCM_Halftracker 1.0'!J459,IF(AND($B$3="Purlin",$B$2="Zone 1"),'GCM_Purlin 1.0'!F514,IF(AND($B$3="Purlin",$B$2="Zone 2"),'GCM_Purlin 1.0'!N514,IF(AND($B$3="Purlin",$B$2="Zone 3"),'GCM_Purlin 1.0'!Y514,IF(AND($B$3="Purlin",$B$2="Zone 4"),'GCM_Purlin 1.0'!AG514,IF(AND($B$3="Purlin",$B$2="Zone 5"),'GCM_Purlin 1.0'!AR514,IF(AND($B$3="Clip",$B$2="Zone 1"),'GCN_Clip 1.0'!H83,IF(AND($B$3="Clip",$B$2="Zone 2"),'GCN_Clip 1.0'!H84,IF(AND($B$3="Clip",$B$2="Zone 3"),'GCN_Clip 1.0'!H85,IF(AND($B$3="Clip",$B$2="Zone 4"),'GCN_Clip 1.0'!H86,IF(AND($B$3="Clip",$B$2="Zone 5"),'GCN_Clip 1.0'!H87,IF(AND($B$3="Post",$B$2="Zone 1"),'GCN_Post 1.0'!J367,IF(AND($B$3="Post",$B$2="Zone 2"),'GCN_Post 1.0'!K367,IF(AND($B$3="Post",$B$2="Zone 3"),'GCN_Post 1.0'!N367,IF(AND($B$3="Post",$B$2="Zone 4"),'GCN_Post 1.0'!O367,IF(AND($B$3="Post",$B$2="Zone 5"),'GCN_Post 1.0'!P367,"ERROR")))))))))))))))))))</f>
        <v/>
      </c>
      <c r="AD253" s="27" t="str">
        <f t="shared" si="88"/>
        <v/>
      </c>
      <c r="AE253" t="str">
        <f t="shared" si="89"/>
        <v/>
      </c>
      <c r="AF253" t="str">
        <f t="shared" si="90"/>
        <v/>
      </c>
      <c r="AG253" t="str">
        <f t="shared" si="91"/>
        <v/>
      </c>
      <c r="AH253" t="str">
        <f t="shared" si="92"/>
        <v/>
      </c>
      <c r="AI253" t="str">
        <f t="shared" si="93"/>
        <v/>
      </c>
      <c r="AJ253" s="82" t="str">
        <f>IF(AND($B$3="Cantilever",$B$2="Zone 1"),'GCM_Cantilever 1.0'!$H444,IF(AND($B$3="Cantilever",$B$2="Zone 2"),'GCM_Cantilever 1.0'!L444,IF(AND($B$3="HalfTracker",$B$2="Zone 1"),'GCM_Halftracker 1.0'!G459,IF(AND($B$3="HalfTracker",$B$2="Zone 2"),'GCM_Halftracker 1.0'!K459,IF(AND($B$3="Purlin",$B$2="Zone 1"),'GCM_Purlin 1.0'!G514,IF(AND($B$3="Purlin",$B$2="Zone 2"),'GCM_Purlin 1.0'!O514,IF(AND($B$3="Purlin",$B$2="Zone 3"),'GCM_Purlin 1.0'!Z514,IF(AND($B$3="Purlin",$B$2="Zone 4"),'GCM_Purlin 1.0'!AH514,IF(AND($B$3="Purlin",$B$2="Zone 5"),'GCM_Purlin 1.0'!AS514,IF(AND($B$3="Clip",$B$2="Zone 1"),'GCN_Clip 1.0'!#REF!,IF(AND($B$3="Clip",$B$2="Zone 2"),'GCN_Clip 1.0'!#REF!,IF(AND($B$3="Clip",$B$2="Zone 3"),'GCN_Clip 1.0'!#REF!,IF(AND($B$3="Clip",$B$2="Zone 4"),'GCN_Clip 1.0'!#REF!,IF(AND($B$3="Clip",$B$2="Zone 5"),'GCN_Clip 1.0'!#REF!,IF(AND($B$3="Post",$B$2="Zone 1"),'GCN_Post 1.0'!Q367,IF(AND($B$3="Post",$B$2="Zone 2"),'GCN_Post 1.0'!R367,IF(AND($B$3="Post",$B$2="Zone 3"),'GCN_Post 1.0'!S367,IF(AND($B$3="Post",$B$2="Zone 4"),'GCN_Post 1.0'!T367,IF(AND($B$3="Post",$B$2="Zone 5"),'GCN_Post 1.0'!V367,"ERROR")))))))))))))))))))</f>
        <v/>
      </c>
      <c r="AL253" s="27" t="str">
        <f t="shared" si="94"/>
        <v/>
      </c>
      <c r="AM253" t="str">
        <f t="shared" si="95"/>
        <v/>
      </c>
      <c r="AN253" t="str">
        <f t="shared" si="96"/>
        <v/>
      </c>
      <c r="AO253" t="str">
        <f t="shared" si="97"/>
        <v/>
      </c>
      <c r="AP253" t="str">
        <f t="shared" si="98"/>
        <v/>
      </c>
      <c r="AQ253" t="str">
        <f t="shared" si="99"/>
        <v/>
      </c>
      <c r="AR253" s="82" t="str">
        <f>IF(AND($B$3="Cantilever",$B$2="Zone 1"),'GCM_Cantilever 1.0'!$I444,IF(AND($B$3="Cantilever",$B$2="Zone 2"),'GCM_Cantilever 1.0'!M444,IF(AND($B$3="HalfTracker",$B$2="Zone 1"),'GCM_Halftracker 1.0'!H459,IF(AND($B$3="HalfTracker",$B$2="Zone 2"),'GCM_Halftracker 1.0'!L459,IF(AND($B$3="Purlin",$B$2="Zone 1"),'GCM_Purlin 1.0'!H514,IF(AND($B$3="Purlin",$B$2="Zone 2"),'GCM_Purlin 1.0'!P514,IF(AND($B$3="Purlin",$B$2="Zone 3"),'GCM_Purlin 1.0'!AA514,IF(AND($B$3="Purlin",$B$2="Zone 4"),'GCM_Purlin 1.0'!AI514,IF(AND($B$3="Purlin",$B$2="Zone 5"),'GCM_Purlin 1.0'!AT514,IF(AND($B$3="Clip",$B$2="Zone 1"),'GCN_Clip 1.0'!#REF!,IF(AND($B$3="Clip",$B$2="Zone 2"),'GCN_Clip 1.0'!#REF!,IF(AND($B$3="Clip",$B$2="Zone 3"),'GCN_Clip 1.0'!#REF!,IF(AND($B$3="Clip",$B$2="Zone 4"),'GCN_Clip 1.0'!#REF!,IF(AND($B$3="Clip",$B$2="Zone 5"),'GCN_Clip 1.0'!#REF!,IF(AND($B$3="Post",$B$2="Zone 1"),'GCN_Post 1.0'!W367,IF(AND($B$3="Post",$B$2="Zone 2"),'GCN_Post 1.0'!X367,IF(AND($B$3="Post",$B$2="Zone 3"),'GCN_Post 1.0'!Y367,IF(AND($B$3="Post",$B$2="Zone 4"),'GCN_Post 1.0'!Z367,IF(AND($B$3="Post",$B$2="Zone 5"),'GCN_Post 1.0'!AA367,"ERROR")))))))))))))))))))</f>
        <v/>
      </c>
    </row>
    <row r="254" spans="6:44" x14ac:dyDescent="0.25">
      <c r="F254">
        <v>81</v>
      </c>
      <c r="G254" s="27" t="str">
        <f t="shared" si="72"/>
        <v/>
      </c>
      <c r="H254" t="str">
        <f t="shared" si="73"/>
        <v/>
      </c>
      <c r="I254" t="str">
        <f t="shared" si="74"/>
        <v/>
      </c>
      <c r="J254" s="28" t="str">
        <f t="shared" si="75"/>
        <v/>
      </c>
      <c r="M254">
        <v>81</v>
      </c>
      <c r="N254" s="27" t="str">
        <f t="shared" si="76"/>
        <v/>
      </c>
      <c r="O254" t="str">
        <f t="shared" si="77"/>
        <v/>
      </c>
      <c r="P254" t="str">
        <f t="shared" si="78"/>
        <v/>
      </c>
      <c r="Q254" t="str">
        <f t="shared" si="79"/>
        <v/>
      </c>
      <c r="R254" t="str">
        <f t="shared" si="80"/>
        <v/>
      </c>
      <c r="S254" t="str">
        <f t="shared" si="81"/>
        <v/>
      </c>
      <c r="T254" s="82" t="str">
        <f>IF(AND($B$3="Cantilever",$B$2="Zone 1"),'GCM_Cantilever 1.0'!$F445,IF(AND($B$3="Cantilever",$B$2="Zone 2"),'GCM_Cantilever 1.0'!J445,IF(AND($B$3="HalfTracker",$B$2="Zone 1"),'GCM_Halftracker 1.0'!E460,IF(AND($B$3="HalfTracker",$B$2="Zone 2"),'GCM_Halftracker 1.0'!I460,IF(AND($B$3="Purlin",$B$2="Zone 1"),'GCM_Purlin 1.0'!E515,IF(AND($B$3="Purlin",$B$2="Zone 2"),'GCM_Purlin 1.0'!M515,IF(AND($B$3="Purlin",$B$2="Zone 3"),'GCM_Purlin 1.0'!X515,IF(AND($B$3="Purlin",$B$2="Zone 4"),'GCM_Purlin 1.0'!AF515,IF(AND($B$3="Purlin",$B$2="Zone 5"),'GCM_Purlin 1.0'!AQ515,IF(AND($B$3="Clip",$B$2="Zone 1"),'GCN_Clip 1.0'!G84,IF(AND($B$3="Clip",$B$2="Zone 2"),'GCN_Clip 1.0'!C85,IF(AND($B$3="Clip",$B$2="Zone 3"),'GCN_Clip 1.0'!G86,IF(AND($B$3="Clip",$B$2="Zone 4"),'GCN_Clip 1.0'!G87,IF(AND($B$3="Clip",$B$2="Zone 5"),'GCN_Clip 1.0'!G88,IF(AND($B$3="Post",$B$2="Zone 1"),'GCN_Post 1.0'!E368,IF(AND($B$3="Post",$B$2="Zone 2"),'GCN_Post 1.0'!F368,IF(AND($B$3="Post",$B$2="Zone 3"),'GCN_Post 1.0'!G368,IF(AND($B$3="Post",$B$2="Zone 4"),'GCN_Post 1.0'!H368,IF(AND($B$3="Post",$B$2="Zone 5"),'GCN_Post 1.0'!I368,"ERROR")))))))))))))))))))</f>
        <v/>
      </c>
      <c r="V254" s="27" t="str">
        <f t="shared" si="82"/>
        <v/>
      </c>
      <c r="W254" t="str">
        <f t="shared" si="83"/>
        <v/>
      </c>
      <c r="X254" t="str">
        <f t="shared" si="84"/>
        <v/>
      </c>
      <c r="Y254" t="str">
        <f t="shared" si="85"/>
        <v/>
      </c>
      <c r="Z254" t="str">
        <f t="shared" si="86"/>
        <v/>
      </c>
      <c r="AA254" t="str">
        <f t="shared" si="87"/>
        <v/>
      </c>
      <c r="AB254" s="82" t="str">
        <f>IF(AND($B$3="Cantilever",$B$2="Zone 1"),'GCM_Cantilever 1.0'!$G445,IF(AND($B$3="Cantilever",$B$2="Zone 2"),'GCM_Cantilever 1.0'!K445,IF(AND($B$3="HalfTracker",$B$2="Zone 1"),'GCM_Halftracker 1.0'!F460,IF(AND($B$3="HalfTracker",$B$2="Zone 2"),'GCM_Halftracker 1.0'!J460,IF(AND($B$3="Purlin",$B$2="Zone 1"),'GCM_Purlin 1.0'!F515,IF(AND($B$3="Purlin",$B$2="Zone 2"),'GCM_Purlin 1.0'!N515,IF(AND($B$3="Purlin",$B$2="Zone 3"),'GCM_Purlin 1.0'!Y515,IF(AND($B$3="Purlin",$B$2="Zone 4"),'GCM_Purlin 1.0'!AG515,IF(AND($B$3="Purlin",$B$2="Zone 5"),'GCM_Purlin 1.0'!AR515,IF(AND($B$3="Clip",$B$2="Zone 1"),'GCN_Clip 1.0'!H84,IF(AND($B$3="Clip",$B$2="Zone 2"),'GCN_Clip 1.0'!H85,IF(AND($B$3="Clip",$B$2="Zone 3"),'GCN_Clip 1.0'!H86,IF(AND($B$3="Clip",$B$2="Zone 4"),'GCN_Clip 1.0'!H87,IF(AND($B$3="Clip",$B$2="Zone 5"),'GCN_Clip 1.0'!H88,IF(AND($B$3="Post",$B$2="Zone 1"),'GCN_Post 1.0'!J368,IF(AND($B$3="Post",$B$2="Zone 2"),'GCN_Post 1.0'!K368,IF(AND($B$3="Post",$B$2="Zone 3"),'GCN_Post 1.0'!N368,IF(AND($B$3="Post",$B$2="Zone 4"),'GCN_Post 1.0'!O368,IF(AND($B$3="Post",$B$2="Zone 5"),'GCN_Post 1.0'!P368,"ERROR")))))))))))))))))))</f>
        <v/>
      </c>
      <c r="AD254" s="27" t="str">
        <f t="shared" si="88"/>
        <v/>
      </c>
      <c r="AE254" t="str">
        <f t="shared" si="89"/>
        <v/>
      </c>
      <c r="AF254" t="str">
        <f t="shared" si="90"/>
        <v/>
      </c>
      <c r="AG254" t="str">
        <f t="shared" si="91"/>
        <v/>
      </c>
      <c r="AH254" t="str">
        <f t="shared" si="92"/>
        <v/>
      </c>
      <c r="AI254" t="str">
        <f t="shared" si="93"/>
        <v/>
      </c>
      <c r="AJ254" s="82" t="str">
        <f>IF(AND($B$3="Cantilever",$B$2="Zone 1"),'GCM_Cantilever 1.0'!$H445,IF(AND($B$3="Cantilever",$B$2="Zone 2"),'GCM_Cantilever 1.0'!L445,IF(AND($B$3="HalfTracker",$B$2="Zone 1"),'GCM_Halftracker 1.0'!G460,IF(AND($B$3="HalfTracker",$B$2="Zone 2"),'GCM_Halftracker 1.0'!K460,IF(AND($B$3="Purlin",$B$2="Zone 1"),'GCM_Purlin 1.0'!G515,IF(AND($B$3="Purlin",$B$2="Zone 2"),'GCM_Purlin 1.0'!O515,IF(AND($B$3="Purlin",$B$2="Zone 3"),'GCM_Purlin 1.0'!Z515,IF(AND($B$3="Purlin",$B$2="Zone 4"),'GCM_Purlin 1.0'!AH515,IF(AND($B$3="Purlin",$B$2="Zone 5"),'GCM_Purlin 1.0'!AS515,IF(AND($B$3="Clip",$B$2="Zone 1"),'GCN_Clip 1.0'!#REF!,IF(AND($B$3="Clip",$B$2="Zone 2"),'GCN_Clip 1.0'!#REF!,IF(AND($B$3="Clip",$B$2="Zone 3"),'GCN_Clip 1.0'!#REF!,IF(AND($B$3="Clip",$B$2="Zone 4"),'GCN_Clip 1.0'!#REF!,IF(AND($B$3="Clip",$B$2="Zone 5"),'GCN_Clip 1.0'!#REF!,IF(AND($B$3="Post",$B$2="Zone 1"),'GCN_Post 1.0'!Q368,IF(AND($B$3="Post",$B$2="Zone 2"),'GCN_Post 1.0'!R368,IF(AND($B$3="Post",$B$2="Zone 3"),'GCN_Post 1.0'!S368,IF(AND($B$3="Post",$B$2="Zone 4"),'GCN_Post 1.0'!T368,IF(AND($B$3="Post",$B$2="Zone 5"),'GCN_Post 1.0'!V368,"ERROR")))))))))))))))))))</f>
        <v/>
      </c>
      <c r="AL254" s="27" t="str">
        <f t="shared" si="94"/>
        <v/>
      </c>
      <c r="AM254" t="str">
        <f t="shared" si="95"/>
        <v/>
      </c>
      <c r="AN254" t="str">
        <f t="shared" si="96"/>
        <v/>
      </c>
      <c r="AO254" t="str">
        <f t="shared" si="97"/>
        <v/>
      </c>
      <c r="AP254" t="str">
        <f t="shared" si="98"/>
        <v/>
      </c>
      <c r="AQ254" t="str">
        <f t="shared" si="99"/>
        <v/>
      </c>
      <c r="AR254" s="82" t="str">
        <f>IF(AND($B$3="Cantilever",$B$2="Zone 1"),'GCM_Cantilever 1.0'!$I445,IF(AND($B$3="Cantilever",$B$2="Zone 2"),'GCM_Cantilever 1.0'!M445,IF(AND($B$3="HalfTracker",$B$2="Zone 1"),'GCM_Halftracker 1.0'!H460,IF(AND($B$3="HalfTracker",$B$2="Zone 2"),'GCM_Halftracker 1.0'!L460,IF(AND($B$3="Purlin",$B$2="Zone 1"),'GCM_Purlin 1.0'!H515,IF(AND($B$3="Purlin",$B$2="Zone 2"),'GCM_Purlin 1.0'!P515,IF(AND($B$3="Purlin",$B$2="Zone 3"),'GCM_Purlin 1.0'!AA515,IF(AND($B$3="Purlin",$B$2="Zone 4"),'GCM_Purlin 1.0'!AI515,IF(AND($B$3="Purlin",$B$2="Zone 5"),'GCM_Purlin 1.0'!AT515,IF(AND($B$3="Clip",$B$2="Zone 1"),'GCN_Clip 1.0'!#REF!,IF(AND($B$3="Clip",$B$2="Zone 2"),'GCN_Clip 1.0'!#REF!,IF(AND($B$3="Clip",$B$2="Zone 3"),'GCN_Clip 1.0'!#REF!,IF(AND($B$3="Clip",$B$2="Zone 4"),'GCN_Clip 1.0'!#REF!,IF(AND($B$3="Clip",$B$2="Zone 5"),'GCN_Clip 1.0'!#REF!,IF(AND($B$3="Post",$B$2="Zone 1"),'GCN_Post 1.0'!W368,IF(AND($B$3="Post",$B$2="Zone 2"),'GCN_Post 1.0'!X368,IF(AND($B$3="Post",$B$2="Zone 3"),'GCN_Post 1.0'!Y368,IF(AND($B$3="Post",$B$2="Zone 4"),'GCN_Post 1.0'!Z368,IF(AND($B$3="Post",$B$2="Zone 5"),'GCN_Post 1.0'!AA368,"ERROR")))))))))))))))))))</f>
        <v/>
      </c>
    </row>
    <row r="255" spans="6:44" x14ac:dyDescent="0.25">
      <c r="F255">
        <v>82</v>
      </c>
      <c r="G255" s="27" t="str">
        <f t="shared" si="72"/>
        <v/>
      </c>
      <c r="H255" t="str">
        <f t="shared" si="73"/>
        <v/>
      </c>
      <c r="I255" t="str">
        <f t="shared" si="74"/>
        <v/>
      </c>
      <c r="J255" s="28" t="str">
        <f t="shared" si="75"/>
        <v/>
      </c>
      <c r="M255">
        <v>82</v>
      </c>
      <c r="N255" s="27" t="str">
        <f t="shared" si="76"/>
        <v/>
      </c>
      <c r="O255" t="str">
        <f t="shared" si="77"/>
        <v/>
      </c>
      <c r="P255" t="str">
        <f t="shared" si="78"/>
        <v/>
      </c>
      <c r="Q255" t="str">
        <f t="shared" si="79"/>
        <v/>
      </c>
      <c r="R255" t="str">
        <f t="shared" si="80"/>
        <v/>
      </c>
      <c r="S255" t="str">
        <f t="shared" si="81"/>
        <v/>
      </c>
      <c r="T255" s="82" t="str">
        <f>IF(AND($B$3="Cantilever",$B$2="Zone 1"),'GCM_Cantilever 1.0'!$F446,IF(AND($B$3="Cantilever",$B$2="Zone 2"),'GCM_Cantilever 1.0'!J446,IF(AND($B$3="HalfTracker",$B$2="Zone 1"),'GCM_Halftracker 1.0'!E461,IF(AND($B$3="HalfTracker",$B$2="Zone 2"),'GCM_Halftracker 1.0'!I461,IF(AND($B$3="Purlin",$B$2="Zone 1"),'GCM_Purlin 1.0'!E516,IF(AND($B$3="Purlin",$B$2="Zone 2"),'GCM_Purlin 1.0'!M516,IF(AND($B$3="Purlin",$B$2="Zone 3"),'GCM_Purlin 1.0'!X516,IF(AND($B$3="Purlin",$B$2="Zone 4"),'GCM_Purlin 1.0'!AF516,IF(AND($B$3="Purlin",$B$2="Zone 5"),'GCM_Purlin 1.0'!AQ516,IF(AND($B$3="Clip",$B$2="Zone 1"),'GCN_Clip 1.0'!G85,IF(AND($B$3="Clip",$B$2="Zone 2"),'GCN_Clip 1.0'!C86,IF(AND($B$3="Clip",$B$2="Zone 3"),'GCN_Clip 1.0'!G87,IF(AND($B$3="Clip",$B$2="Zone 4"),'GCN_Clip 1.0'!G88,IF(AND($B$3="Clip",$B$2="Zone 5"),'GCN_Clip 1.0'!G89,IF(AND($B$3="Post",$B$2="Zone 1"),'GCN_Post 1.0'!E369,IF(AND($B$3="Post",$B$2="Zone 2"),'GCN_Post 1.0'!F369,IF(AND($B$3="Post",$B$2="Zone 3"),'GCN_Post 1.0'!G369,IF(AND($B$3="Post",$B$2="Zone 4"),'GCN_Post 1.0'!H369,IF(AND($B$3="Post",$B$2="Zone 5"),'GCN_Post 1.0'!I369,"ERROR")))))))))))))))))))</f>
        <v/>
      </c>
      <c r="V255" s="27" t="str">
        <f t="shared" si="82"/>
        <v/>
      </c>
      <c r="W255" t="str">
        <f t="shared" si="83"/>
        <v/>
      </c>
      <c r="X255" t="str">
        <f t="shared" si="84"/>
        <v/>
      </c>
      <c r="Y255" t="str">
        <f t="shared" si="85"/>
        <v/>
      </c>
      <c r="Z255" t="str">
        <f t="shared" si="86"/>
        <v/>
      </c>
      <c r="AA255" t="str">
        <f t="shared" si="87"/>
        <v/>
      </c>
      <c r="AB255" s="82" t="str">
        <f>IF(AND($B$3="Cantilever",$B$2="Zone 1"),'GCM_Cantilever 1.0'!$G446,IF(AND($B$3="Cantilever",$B$2="Zone 2"),'GCM_Cantilever 1.0'!K446,IF(AND($B$3="HalfTracker",$B$2="Zone 1"),'GCM_Halftracker 1.0'!F461,IF(AND($B$3="HalfTracker",$B$2="Zone 2"),'GCM_Halftracker 1.0'!J461,IF(AND($B$3="Purlin",$B$2="Zone 1"),'GCM_Purlin 1.0'!F516,IF(AND($B$3="Purlin",$B$2="Zone 2"),'GCM_Purlin 1.0'!N516,IF(AND($B$3="Purlin",$B$2="Zone 3"),'GCM_Purlin 1.0'!Y516,IF(AND($B$3="Purlin",$B$2="Zone 4"),'GCM_Purlin 1.0'!AG516,IF(AND($B$3="Purlin",$B$2="Zone 5"),'GCM_Purlin 1.0'!AR516,IF(AND($B$3="Clip",$B$2="Zone 1"),'GCN_Clip 1.0'!H85,IF(AND($B$3="Clip",$B$2="Zone 2"),'GCN_Clip 1.0'!H86,IF(AND($B$3="Clip",$B$2="Zone 3"),'GCN_Clip 1.0'!H87,IF(AND($B$3="Clip",$B$2="Zone 4"),'GCN_Clip 1.0'!H88,IF(AND($B$3="Clip",$B$2="Zone 5"),'GCN_Clip 1.0'!H89,IF(AND($B$3="Post",$B$2="Zone 1"),'GCN_Post 1.0'!J369,IF(AND($B$3="Post",$B$2="Zone 2"),'GCN_Post 1.0'!K369,IF(AND($B$3="Post",$B$2="Zone 3"),'GCN_Post 1.0'!N369,IF(AND($B$3="Post",$B$2="Zone 4"),'GCN_Post 1.0'!O369,IF(AND($B$3="Post",$B$2="Zone 5"),'GCN_Post 1.0'!P369,"ERROR")))))))))))))))))))</f>
        <v/>
      </c>
      <c r="AD255" s="27" t="str">
        <f t="shared" si="88"/>
        <v/>
      </c>
      <c r="AE255" t="str">
        <f t="shared" si="89"/>
        <v/>
      </c>
      <c r="AF255" t="str">
        <f t="shared" si="90"/>
        <v/>
      </c>
      <c r="AG255" t="str">
        <f t="shared" si="91"/>
        <v/>
      </c>
      <c r="AH255" t="str">
        <f t="shared" si="92"/>
        <v/>
      </c>
      <c r="AI255" t="str">
        <f t="shared" si="93"/>
        <v/>
      </c>
      <c r="AJ255" s="82" t="str">
        <f>IF(AND($B$3="Cantilever",$B$2="Zone 1"),'GCM_Cantilever 1.0'!$H446,IF(AND($B$3="Cantilever",$B$2="Zone 2"),'GCM_Cantilever 1.0'!L446,IF(AND($B$3="HalfTracker",$B$2="Zone 1"),'GCM_Halftracker 1.0'!G461,IF(AND($B$3="HalfTracker",$B$2="Zone 2"),'GCM_Halftracker 1.0'!K461,IF(AND($B$3="Purlin",$B$2="Zone 1"),'GCM_Purlin 1.0'!G516,IF(AND($B$3="Purlin",$B$2="Zone 2"),'GCM_Purlin 1.0'!O516,IF(AND($B$3="Purlin",$B$2="Zone 3"),'GCM_Purlin 1.0'!Z516,IF(AND($B$3="Purlin",$B$2="Zone 4"),'GCM_Purlin 1.0'!AH516,IF(AND($B$3="Purlin",$B$2="Zone 5"),'GCM_Purlin 1.0'!AS516,IF(AND($B$3="Clip",$B$2="Zone 1"),'GCN_Clip 1.0'!#REF!,IF(AND($B$3="Clip",$B$2="Zone 2"),'GCN_Clip 1.0'!#REF!,IF(AND($B$3="Clip",$B$2="Zone 3"),'GCN_Clip 1.0'!#REF!,IF(AND($B$3="Clip",$B$2="Zone 4"),'GCN_Clip 1.0'!#REF!,IF(AND($B$3="Clip",$B$2="Zone 5"),'GCN_Clip 1.0'!#REF!,IF(AND($B$3="Post",$B$2="Zone 1"),'GCN_Post 1.0'!Q369,IF(AND($B$3="Post",$B$2="Zone 2"),'GCN_Post 1.0'!R369,IF(AND($B$3="Post",$B$2="Zone 3"),'GCN_Post 1.0'!S369,IF(AND($B$3="Post",$B$2="Zone 4"),'GCN_Post 1.0'!T369,IF(AND($B$3="Post",$B$2="Zone 5"),'GCN_Post 1.0'!V369,"ERROR")))))))))))))))))))</f>
        <v/>
      </c>
      <c r="AL255" s="27" t="str">
        <f t="shared" si="94"/>
        <v/>
      </c>
      <c r="AM255" t="str">
        <f t="shared" si="95"/>
        <v/>
      </c>
      <c r="AN255" t="str">
        <f t="shared" si="96"/>
        <v/>
      </c>
      <c r="AO255" t="str">
        <f t="shared" si="97"/>
        <v/>
      </c>
      <c r="AP255" t="str">
        <f t="shared" si="98"/>
        <v/>
      </c>
      <c r="AQ255" t="str">
        <f t="shared" si="99"/>
        <v/>
      </c>
      <c r="AR255" s="82" t="str">
        <f>IF(AND($B$3="Cantilever",$B$2="Zone 1"),'GCM_Cantilever 1.0'!$I446,IF(AND($B$3="Cantilever",$B$2="Zone 2"),'GCM_Cantilever 1.0'!M446,IF(AND($B$3="HalfTracker",$B$2="Zone 1"),'GCM_Halftracker 1.0'!H461,IF(AND($B$3="HalfTracker",$B$2="Zone 2"),'GCM_Halftracker 1.0'!L461,IF(AND($B$3="Purlin",$B$2="Zone 1"),'GCM_Purlin 1.0'!H516,IF(AND($B$3="Purlin",$B$2="Zone 2"),'GCM_Purlin 1.0'!P516,IF(AND($B$3="Purlin",$B$2="Zone 3"),'GCM_Purlin 1.0'!AA516,IF(AND($B$3="Purlin",$B$2="Zone 4"),'GCM_Purlin 1.0'!AI516,IF(AND($B$3="Purlin",$B$2="Zone 5"),'GCM_Purlin 1.0'!AT516,IF(AND($B$3="Clip",$B$2="Zone 1"),'GCN_Clip 1.0'!#REF!,IF(AND($B$3="Clip",$B$2="Zone 2"),'GCN_Clip 1.0'!#REF!,IF(AND($B$3="Clip",$B$2="Zone 3"),'GCN_Clip 1.0'!#REF!,IF(AND($B$3="Clip",$B$2="Zone 4"),'GCN_Clip 1.0'!#REF!,IF(AND($B$3="Clip",$B$2="Zone 5"),'GCN_Clip 1.0'!#REF!,IF(AND($B$3="Post",$B$2="Zone 1"),'GCN_Post 1.0'!W369,IF(AND($B$3="Post",$B$2="Zone 2"),'GCN_Post 1.0'!X369,IF(AND($B$3="Post",$B$2="Zone 3"),'GCN_Post 1.0'!Y369,IF(AND($B$3="Post",$B$2="Zone 4"),'GCN_Post 1.0'!Z369,IF(AND($B$3="Post",$B$2="Zone 5"),'GCN_Post 1.0'!AA369,"ERROR")))))))))))))))))))</f>
        <v/>
      </c>
    </row>
    <row r="256" spans="6:44" x14ac:dyDescent="0.25">
      <c r="F256">
        <v>83</v>
      </c>
      <c r="G256" s="27" t="str">
        <f t="shared" si="72"/>
        <v/>
      </c>
      <c r="H256" t="str">
        <f t="shared" si="73"/>
        <v/>
      </c>
      <c r="I256" t="str">
        <f t="shared" si="74"/>
        <v/>
      </c>
      <c r="J256" s="28" t="str">
        <f t="shared" si="75"/>
        <v/>
      </c>
      <c r="M256">
        <v>83</v>
      </c>
      <c r="N256" s="27" t="str">
        <f t="shared" si="76"/>
        <v/>
      </c>
      <c r="O256" t="str">
        <f t="shared" si="77"/>
        <v/>
      </c>
      <c r="P256" t="str">
        <f t="shared" si="78"/>
        <v/>
      </c>
      <c r="Q256" t="str">
        <f t="shared" si="79"/>
        <v/>
      </c>
      <c r="R256" t="str">
        <f t="shared" si="80"/>
        <v/>
      </c>
      <c r="S256" t="str">
        <f t="shared" si="81"/>
        <v/>
      </c>
      <c r="T256" s="82" t="str">
        <f>IF(AND($B$3="Cantilever",$B$2="Zone 1"),'GCM_Cantilever 1.0'!$F447,IF(AND($B$3="Cantilever",$B$2="Zone 2"),'GCM_Cantilever 1.0'!J447,IF(AND($B$3="HalfTracker",$B$2="Zone 1"),'GCM_Halftracker 1.0'!E462,IF(AND($B$3="HalfTracker",$B$2="Zone 2"),'GCM_Halftracker 1.0'!I462,IF(AND($B$3="Purlin",$B$2="Zone 1"),'GCM_Purlin 1.0'!E517,IF(AND($B$3="Purlin",$B$2="Zone 2"),'GCM_Purlin 1.0'!M517,IF(AND($B$3="Purlin",$B$2="Zone 3"),'GCM_Purlin 1.0'!X517,IF(AND($B$3="Purlin",$B$2="Zone 4"),'GCM_Purlin 1.0'!AF517,IF(AND($B$3="Purlin",$B$2="Zone 5"),'GCM_Purlin 1.0'!AQ517,IF(AND($B$3="Clip",$B$2="Zone 1"),'GCN_Clip 1.0'!G86,IF(AND($B$3="Clip",$B$2="Zone 2"),'GCN_Clip 1.0'!C87,IF(AND($B$3="Clip",$B$2="Zone 3"),'GCN_Clip 1.0'!G88,IF(AND($B$3="Clip",$B$2="Zone 4"),'GCN_Clip 1.0'!G89,IF(AND($B$3="Clip",$B$2="Zone 5"),'GCN_Clip 1.0'!G90,IF(AND($B$3="Post",$B$2="Zone 1"),'GCN_Post 1.0'!E370,IF(AND($B$3="Post",$B$2="Zone 2"),'GCN_Post 1.0'!F370,IF(AND($B$3="Post",$B$2="Zone 3"),'GCN_Post 1.0'!G370,IF(AND($B$3="Post",$B$2="Zone 4"),'GCN_Post 1.0'!H370,IF(AND($B$3="Post",$B$2="Zone 5"),'GCN_Post 1.0'!I370,"ERROR")))))))))))))))))))</f>
        <v/>
      </c>
      <c r="V256" s="27" t="str">
        <f t="shared" si="82"/>
        <v/>
      </c>
      <c r="W256" t="str">
        <f t="shared" si="83"/>
        <v/>
      </c>
      <c r="X256" t="str">
        <f t="shared" si="84"/>
        <v/>
      </c>
      <c r="Y256" t="str">
        <f t="shared" si="85"/>
        <v/>
      </c>
      <c r="Z256" t="str">
        <f t="shared" si="86"/>
        <v/>
      </c>
      <c r="AA256" t="str">
        <f t="shared" si="87"/>
        <v/>
      </c>
      <c r="AB256" s="82" t="str">
        <f>IF(AND($B$3="Cantilever",$B$2="Zone 1"),'GCM_Cantilever 1.0'!$G447,IF(AND($B$3="Cantilever",$B$2="Zone 2"),'GCM_Cantilever 1.0'!K447,IF(AND($B$3="HalfTracker",$B$2="Zone 1"),'GCM_Halftracker 1.0'!F462,IF(AND($B$3="HalfTracker",$B$2="Zone 2"),'GCM_Halftracker 1.0'!J462,IF(AND($B$3="Purlin",$B$2="Zone 1"),'GCM_Purlin 1.0'!F517,IF(AND($B$3="Purlin",$B$2="Zone 2"),'GCM_Purlin 1.0'!N517,IF(AND($B$3="Purlin",$B$2="Zone 3"),'GCM_Purlin 1.0'!Y517,IF(AND($B$3="Purlin",$B$2="Zone 4"),'GCM_Purlin 1.0'!AG517,IF(AND($B$3="Purlin",$B$2="Zone 5"),'GCM_Purlin 1.0'!AR517,IF(AND($B$3="Clip",$B$2="Zone 1"),'GCN_Clip 1.0'!H86,IF(AND($B$3="Clip",$B$2="Zone 2"),'GCN_Clip 1.0'!H87,IF(AND($B$3="Clip",$B$2="Zone 3"),'GCN_Clip 1.0'!H88,IF(AND($B$3="Clip",$B$2="Zone 4"),'GCN_Clip 1.0'!H89,IF(AND($B$3="Clip",$B$2="Zone 5"),'GCN_Clip 1.0'!H90,IF(AND($B$3="Post",$B$2="Zone 1"),'GCN_Post 1.0'!J370,IF(AND($B$3="Post",$B$2="Zone 2"),'GCN_Post 1.0'!K370,IF(AND($B$3="Post",$B$2="Zone 3"),'GCN_Post 1.0'!N370,IF(AND($B$3="Post",$B$2="Zone 4"),'GCN_Post 1.0'!O370,IF(AND($B$3="Post",$B$2="Zone 5"),'GCN_Post 1.0'!P370,"ERROR")))))))))))))))))))</f>
        <v/>
      </c>
      <c r="AD256" s="27" t="str">
        <f t="shared" si="88"/>
        <v/>
      </c>
      <c r="AE256" t="str">
        <f t="shared" si="89"/>
        <v/>
      </c>
      <c r="AF256" t="str">
        <f t="shared" si="90"/>
        <v/>
      </c>
      <c r="AG256" t="str">
        <f t="shared" si="91"/>
        <v/>
      </c>
      <c r="AH256" t="str">
        <f t="shared" si="92"/>
        <v/>
      </c>
      <c r="AI256" t="str">
        <f t="shared" si="93"/>
        <v/>
      </c>
      <c r="AJ256" s="82" t="str">
        <f>IF(AND($B$3="Cantilever",$B$2="Zone 1"),'GCM_Cantilever 1.0'!$H447,IF(AND($B$3="Cantilever",$B$2="Zone 2"),'GCM_Cantilever 1.0'!L447,IF(AND($B$3="HalfTracker",$B$2="Zone 1"),'GCM_Halftracker 1.0'!G462,IF(AND($B$3="HalfTracker",$B$2="Zone 2"),'GCM_Halftracker 1.0'!K462,IF(AND($B$3="Purlin",$B$2="Zone 1"),'GCM_Purlin 1.0'!G517,IF(AND($B$3="Purlin",$B$2="Zone 2"),'GCM_Purlin 1.0'!O517,IF(AND($B$3="Purlin",$B$2="Zone 3"),'GCM_Purlin 1.0'!Z517,IF(AND($B$3="Purlin",$B$2="Zone 4"),'GCM_Purlin 1.0'!AH517,IF(AND($B$3="Purlin",$B$2="Zone 5"),'GCM_Purlin 1.0'!AS517,IF(AND($B$3="Clip",$B$2="Zone 1"),'GCN_Clip 1.0'!#REF!,IF(AND($B$3="Clip",$B$2="Zone 2"),'GCN_Clip 1.0'!#REF!,IF(AND($B$3="Clip",$B$2="Zone 3"),'GCN_Clip 1.0'!#REF!,IF(AND($B$3="Clip",$B$2="Zone 4"),'GCN_Clip 1.0'!#REF!,IF(AND($B$3="Clip",$B$2="Zone 5"),'GCN_Clip 1.0'!#REF!,IF(AND($B$3="Post",$B$2="Zone 1"),'GCN_Post 1.0'!Q370,IF(AND($B$3="Post",$B$2="Zone 2"),'GCN_Post 1.0'!R370,IF(AND($B$3="Post",$B$2="Zone 3"),'GCN_Post 1.0'!S370,IF(AND($B$3="Post",$B$2="Zone 4"),'GCN_Post 1.0'!T370,IF(AND($B$3="Post",$B$2="Zone 5"),'GCN_Post 1.0'!V370,"ERROR")))))))))))))))))))</f>
        <v/>
      </c>
      <c r="AL256" s="27" t="str">
        <f t="shared" si="94"/>
        <v/>
      </c>
      <c r="AM256" t="str">
        <f t="shared" si="95"/>
        <v/>
      </c>
      <c r="AN256" t="str">
        <f t="shared" si="96"/>
        <v/>
      </c>
      <c r="AO256" t="str">
        <f t="shared" si="97"/>
        <v/>
      </c>
      <c r="AP256" t="str">
        <f t="shared" si="98"/>
        <v/>
      </c>
      <c r="AQ256" t="str">
        <f t="shared" si="99"/>
        <v/>
      </c>
      <c r="AR256" s="82" t="str">
        <f>IF(AND($B$3="Cantilever",$B$2="Zone 1"),'GCM_Cantilever 1.0'!$I447,IF(AND($B$3="Cantilever",$B$2="Zone 2"),'GCM_Cantilever 1.0'!M447,IF(AND($B$3="HalfTracker",$B$2="Zone 1"),'GCM_Halftracker 1.0'!H462,IF(AND($B$3="HalfTracker",$B$2="Zone 2"),'GCM_Halftracker 1.0'!L462,IF(AND($B$3="Purlin",$B$2="Zone 1"),'GCM_Purlin 1.0'!H517,IF(AND($B$3="Purlin",$B$2="Zone 2"),'GCM_Purlin 1.0'!P517,IF(AND($B$3="Purlin",$B$2="Zone 3"),'GCM_Purlin 1.0'!AA517,IF(AND($B$3="Purlin",$B$2="Zone 4"),'GCM_Purlin 1.0'!AI517,IF(AND($B$3="Purlin",$B$2="Zone 5"),'GCM_Purlin 1.0'!AT517,IF(AND($B$3="Clip",$B$2="Zone 1"),'GCN_Clip 1.0'!#REF!,IF(AND($B$3="Clip",$B$2="Zone 2"),'GCN_Clip 1.0'!#REF!,IF(AND($B$3="Clip",$B$2="Zone 3"),'GCN_Clip 1.0'!#REF!,IF(AND($B$3="Clip",$B$2="Zone 4"),'GCN_Clip 1.0'!#REF!,IF(AND($B$3="Clip",$B$2="Zone 5"),'GCN_Clip 1.0'!#REF!,IF(AND($B$3="Post",$B$2="Zone 1"),'GCN_Post 1.0'!W370,IF(AND($B$3="Post",$B$2="Zone 2"),'GCN_Post 1.0'!X370,IF(AND($B$3="Post",$B$2="Zone 3"),'GCN_Post 1.0'!Y370,IF(AND($B$3="Post",$B$2="Zone 4"),'GCN_Post 1.0'!Z370,IF(AND($B$3="Post",$B$2="Zone 5"),'GCN_Post 1.0'!AA370,"ERROR")))))))))))))))))))</f>
        <v/>
      </c>
    </row>
    <row r="257" spans="6:44" x14ac:dyDescent="0.25">
      <c r="F257">
        <v>84</v>
      </c>
      <c r="G257" s="27" t="str">
        <f t="shared" si="72"/>
        <v/>
      </c>
      <c r="H257" t="str">
        <f t="shared" si="73"/>
        <v/>
      </c>
      <c r="I257" t="str">
        <f t="shared" si="74"/>
        <v/>
      </c>
      <c r="J257" s="28" t="str">
        <f t="shared" si="75"/>
        <v/>
      </c>
      <c r="M257">
        <v>84</v>
      </c>
      <c r="N257" s="27" t="str">
        <f t="shared" si="76"/>
        <v/>
      </c>
      <c r="O257" t="str">
        <f t="shared" si="77"/>
        <v/>
      </c>
      <c r="P257" t="str">
        <f t="shared" si="78"/>
        <v/>
      </c>
      <c r="Q257" t="str">
        <f t="shared" si="79"/>
        <v/>
      </c>
      <c r="R257" t="str">
        <f t="shared" si="80"/>
        <v/>
      </c>
      <c r="S257" t="str">
        <f t="shared" si="81"/>
        <v/>
      </c>
      <c r="T257" s="82" t="str">
        <f>IF(AND($B$3="Cantilever",$B$2="Zone 1"),'GCM_Cantilever 1.0'!$F448,IF(AND($B$3="Cantilever",$B$2="Zone 2"),'GCM_Cantilever 1.0'!J448,IF(AND($B$3="HalfTracker",$B$2="Zone 1"),'GCM_Halftracker 1.0'!E463,IF(AND($B$3="HalfTracker",$B$2="Zone 2"),'GCM_Halftracker 1.0'!I463,IF(AND($B$3="Purlin",$B$2="Zone 1"),'GCM_Purlin 1.0'!E518,IF(AND($B$3="Purlin",$B$2="Zone 2"),'GCM_Purlin 1.0'!M518,IF(AND($B$3="Purlin",$B$2="Zone 3"),'GCM_Purlin 1.0'!X518,IF(AND($B$3="Purlin",$B$2="Zone 4"),'GCM_Purlin 1.0'!AF518,IF(AND($B$3="Purlin",$B$2="Zone 5"),'GCM_Purlin 1.0'!AQ518,IF(AND($B$3="Clip",$B$2="Zone 1"),'GCN_Clip 1.0'!G87,IF(AND($B$3="Clip",$B$2="Zone 2"),'GCN_Clip 1.0'!C88,IF(AND($B$3="Clip",$B$2="Zone 3"),'GCN_Clip 1.0'!G89,IF(AND($B$3="Clip",$B$2="Zone 4"),'GCN_Clip 1.0'!G90,IF(AND($B$3="Clip",$B$2="Zone 5"),'GCN_Clip 1.0'!G91,IF(AND($B$3="Post",$B$2="Zone 1"),'GCN_Post 1.0'!E371,IF(AND($B$3="Post",$B$2="Zone 2"),'GCN_Post 1.0'!F371,IF(AND($B$3="Post",$B$2="Zone 3"),'GCN_Post 1.0'!G371,IF(AND($B$3="Post",$B$2="Zone 4"),'GCN_Post 1.0'!H371,IF(AND($B$3="Post",$B$2="Zone 5"),'GCN_Post 1.0'!I371,"ERROR")))))))))))))))))))</f>
        <v/>
      </c>
      <c r="V257" s="27" t="str">
        <f t="shared" si="82"/>
        <v/>
      </c>
      <c r="W257" t="str">
        <f t="shared" si="83"/>
        <v/>
      </c>
      <c r="X257" t="str">
        <f t="shared" si="84"/>
        <v/>
      </c>
      <c r="Y257" t="str">
        <f t="shared" si="85"/>
        <v/>
      </c>
      <c r="Z257" t="str">
        <f t="shared" si="86"/>
        <v/>
      </c>
      <c r="AA257" t="str">
        <f t="shared" si="87"/>
        <v/>
      </c>
      <c r="AB257" s="82" t="str">
        <f>IF(AND($B$3="Cantilever",$B$2="Zone 1"),'GCM_Cantilever 1.0'!$G448,IF(AND($B$3="Cantilever",$B$2="Zone 2"),'GCM_Cantilever 1.0'!K448,IF(AND($B$3="HalfTracker",$B$2="Zone 1"),'GCM_Halftracker 1.0'!F463,IF(AND($B$3="HalfTracker",$B$2="Zone 2"),'GCM_Halftracker 1.0'!J463,IF(AND($B$3="Purlin",$B$2="Zone 1"),'GCM_Purlin 1.0'!F518,IF(AND($B$3="Purlin",$B$2="Zone 2"),'GCM_Purlin 1.0'!N518,IF(AND($B$3="Purlin",$B$2="Zone 3"),'GCM_Purlin 1.0'!Y518,IF(AND($B$3="Purlin",$B$2="Zone 4"),'GCM_Purlin 1.0'!AG518,IF(AND($B$3="Purlin",$B$2="Zone 5"),'GCM_Purlin 1.0'!AR518,IF(AND($B$3="Clip",$B$2="Zone 1"),'GCN_Clip 1.0'!H87,IF(AND($B$3="Clip",$B$2="Zone 2"),'GCN_Clip 1.0'!H88,IF(AND($B$3="Clip",$B$2="Zone 3"),'GCN_Clip 1.0'!H89,IF(AND($B$3="Clip",$B$2="Zone 4"),'GCN_Clip 1.0'!H90,IF(AND($B$3="Clip",$B$2="Zone 5"),'GCN_Clip 1.0'!H91,IF(AND($B$3="Post",$B$2="Zone 1"),'GCN_Post 1.0'!J371,IF(AND($B$3="Post",$B$2="Zone 2"),'GCN_Post 1.0'!K371,IF(AND($B$3="Post",$B$2="Zone 3"),'GCN_Post 1.0'!N371,IF(AND($B$3="Post",$B$2="Zone 4"),'GCN_Post 1.0'!O371,IF(AND($B$3="Post",$B$2="Zone 5"),'GCN_Post 1.0'!P371,"ERROR")))))))))))))))))))</f>
        <v/>
      </c>
      <c r="AD257" s="27" t="str">
        <f t="shared" si="88"/>
        <v/>
      </c>
      <c r="AE257" t="str">
        <f t="shared" si="89"/>
        <v/>
      </c>
      <c r="AF257" t="str">
        <f t="shared" si="90"/>
        <v/>
      </c>
      <c r="AG257" t="str">
        <f t="shared" si="91"/>
        <v/>
      </c>
      <c r="AH257" t="str">
        <f t="shared" si="92"/>
        <v/>
      </c>
      <c r="AI257" t="str">
        <f t="shared" si="93"/>
        <v/>
      </c>
      <c r="AJ257" s="82" t="str">
        <f>IF(AND($B$3="Cantilever",$B$2="Zone 1"),'GCM_Cantilever 1.0'!$H448,IF(AND($B$3="Cantilever",$B$2="Zone 2"),'GCM_Cantilever 1.0'!L448,IF(AND($B$3="HalfTracker",$B$2="Zone 1"),'GCM_Halftracker 1.0'!G463,IF(AND($B$3="HalfTracker",$B$2="Zone 2"),'GCM_Halftracker 1.0'!K463,IF(AND($B$3="Purlin",$B$2="Zone 1"),'GCM_Purlin 1.0'!G518,IF(AND($B$3="Purlin",$B$2="Zone 2"),'GCM_Purlin 1.0'!O518,IF(AND($B$3="Purlin",$B$2="Zone 3"),'GCM_Purlin 1.0'!Z518,IF(AND($B$3="Purlin",$B$2="Zone 4"),'GCM_Purlin 1.0'!AH518,IF(AND($B$3="Purlin",$B$2="Zone 5"),'GCM_Purlin 1.0'!AS518,IF(AND($B$3="Clip",$B$2="Zone 1"),'GCN_Clip 1.0'!#REF!,IF(AND($B$3="Clip",$B$2="Zone 2"),'GCN_Clip 1.0'!#REF!,IF(AND($B$3="Clip",$B$2="Zone 3"),'GCN_Clip 1.0'!#REF!,IF(AND($B$3="Clip",$B$2="Zone 4"),'GCN_Clip 1.0'!#REF!,IF(AND($B$3="Clip",$B$2="Zone 5"),'GCN_Clip 1.0'!#REF!,IF(AND($B$3="Post",$B$2="Zone 1"),'GCN_Post 1.0'!Q371,IF(AND($B$3="Post",$B$2="Zone 2"),'GCN_Post 1.0'!R371,IF(AND($B$3="Post",$B$2="Zone 3"),'GCN_Post 1.0'!S371,IF(AND($B$3="Post",$B$2="Zone 4"),'GCN_Post 1.0'!T371,IF(AND($B$3="Post",$B$2="Zone 5"),'GCN_Post 1.0'!V371,"ERROR")))))))))))))))))))</f>
        <v/>
      </c>
      <c r="AL257" s="27" t="str">
        <f t="shared" si="94"/>
        <v/>
      </c>
      <c r="AM257" t="str">
        <f t="shared" si="95"/>
        <v/>
      </c>
      <c r="AN257" t="str">
        <f t="shared" si="96"/>
        <v/>
      </c>
      <c r="AO257" t="str">
        <f t="shared" si="97"/>
        <v/>
      </c>
      <c r="AP257" t="str">
        <f t="shared" si="98"/>
        <v/>
      </c>
      <c r="AQ257" t="str">
        <f t="shared" si="99"/>
        <v/>
      </c>
      <c r="AR257" s="82" t="str">
        <f>IF(AND($B$3="Cantilever",$B$2="Zone 1"),'GCM_Cantilever 1.0'!$I448,IF(AND($B$3="Cantilever",$B$2="Zone 2"),'GCM_Cantilever 1.0'!M448,IF(AND($B$3="HalfTracker",$B$2="Zone 1"),'GCM_Halftracker 1.0'!H463,IF(AND($B$3="HalfTracker",$B$2="Zone 2"),'GCM_Halftracker 1.0'!L463,IF(AND($B$3="Purlin",$B$2="Zone 1"),'GCM_Purlin 1.0'!H518,IF(AND($B$3="Purlin",$B$2="Zone 2"),'GCM_Purlin 1.0'!P518,IF(AND($B$3="Purlin",$B$2="Zone 3"),'GCM_Purlin 1.0'!AA518,IF(AND($B$3="Purlin",$B$2="Zone 4"),'GCM_Purlin 1.0'!AI518,IF(AND($B$3="Purlin",$B$2="Zone 5"),'GCM_Purlin 1.0'!AT518,IF(AND($B$3="Clip",$B$2="Zone 1"),'GCN_Clip 1.0'!#REF!,IF(AND($B$3="Clip",$B$2="Zone 2"),'GCN_Clip 1.0'!#REF!,IF(AND($B$3="Clip",$B$2="Zone 3"),'GCN_Clip 1.0'!#REF!,IF(AND($B$3="Clip",$B$2="Zone 4"),'GCN_Clip 1.0'!#REF!,IF(AND($B$3="Clip",$B$2="Zone 5"),'GCN_Clip 1.0'!#REF!,IF(AND($B$3="Post",$B$2="Zone 1"),'GCN_Post 1.0'!W371,IF(AND($B$3="Post",$B$2="Zone 2"),'GCN_Post 1.0'!X371,IF(AND($B$3="Post",$B$2="Zone 3"),'GCN_Post 1.0'!Y371,IF(AND($B$3="Post",$B$2="Zone 4"),'GCN_Post 1.0'!Z371,IF(AND($B$3="Post",$B$2="Zone 5"),'GCN_Post 1.0'!AA371,"ERROR")))))))))))))))))))</f>
        <v/>
      </c>
    </row>
    <row r="258" spans="6:44" x14ac:dyDescent="0.25">
      <c r="F258">
        <v>85</v>
      </c>
      <c r="G258" s="27" t="str">
        <f t="shared" si="72"/>
        <v/>
      </c>
      <c r="H258" t="str">
        <f t="shared" si="73"/>
        <v/>
      </c>
      <c r="I258" t="str">
        <f t="shared" si="74"/>
        <v/>
      </c>
      <c r="J258" s="28" t="str">
        <f t="shared" si="75"/>
        <v/>
      </c>
      <c r="M258">
        <v>85</v>
      </c>
      <c r="N258" s="27" t="str">
        <f t="shared" si="76"/>
        <v/>
      </c>
      <c r="O258" t="str">
        <f t="shared" si="77"/>
        <v/>
      </c>
      <c r="P258" t="str">
        <f t="shared" si="78"/>
        <v/>
      </c>
      <c r="Q258" t="str">
        <f t="shared" si="79"/>
        <v/>
      </c>
      <c r="R258" t="str">
        <f t="shared" si="80"/>
        <v/>
      </c>
      <c r="S258" t="str">
        <f t="shared" si="81"/>
        <v/>
      </c>
      <c r="T258" s="82" t="str">
        <f>IF(AND($B$3="Cantilever",$B$2="Zone 1"),'GCM_Cantilever 1.0'!$F449,IF(AND($B$3="Cantilever",$B$2="Zone 2"),'GCM_Cantilever 1.0'!J449,IF(AND($B$3="HalfTracker",$B$2="Zone 1"),'GCM_Halftracker 1.0'!E464,IF(AND($B$3="HalfTracker",$B$2="Zone 2"),'GCM_Halftracker 1.0'!I464,IF(AND($B$3="Purlin",$B$2="Zone 1"),'GCM_Purlin 1.0'!E519,IF(AND($B$3="Purlin",$B$2="Zone 2"),'GCM_Purlin 1.0'!M519,IF(AND($B$3="Purlin",$B$2="Zone 3"),'GCM_Purlin 1.0'!X519,IF(AND($B$3="Purlin",$B$2="Zone 4"),'GCM_Purlin 1.0'!AF519,IF(AND($B$3="Purlin",$B$2="Zone 5"),'GCM_Purlin 1.0'!AQ519,IF(AND($B$3="Clip",$B$2="Zone 1"),'GCN_Clip 1.0'!G88,IF(AND($B$3="Clip",$B$2="Zone 2"),'GCN_Clip 1.0'!C89,IF(AND($B$3="Clip",$B$2="Zone 3"),'GCN_Clip 1.0'!G90,IF(AND($B$3="Clip",$B$2="Zone 4"),'GCN_Clip 1.0'!G91,IF(AND($B$3="Clip",$B$2="Zone 5"),'GCN_Clip 1.0'!G92,IF(AND($B$3="Post",$B$2="Zone 1"),'GCN_Post 1.0'!E372,IF(AND($B$3="Post",$B$2="Zone 2"),'GCN_Post 1.0'!F372,IF(AND($B$3="Post",$B$2="Zone 3"),'GCN_Post 1.0'!G372,IF(AND($B$3="Post",$B$2="Zone 4"),'GCN_Post 1.0'!H372,IF(AND($B$3="Post",$B$2="Zone 5"),'GCN_Post 1.0'!I372,"ERROR")))))))))))))))))))</f>
        <v/>
      </c>
      <c r="V258" s="27" t="str">
        <f t="shared" si="82"/>
        <v/>
      </c>
      <c r="W258" t="str">
        <f t="shared" si="83"/>
        <v/>
      </c>
      <c r="X258" t="str">
        <f t="shared" si="84"/>
        <v/>
      </c>
      <c r="Y258" t="str">
        <f t="shared" si="85"/>
        <v/>
      </c>
      <c r="Z258" t="str">
        <f t="shared" si="86"/>
        <v/>
      </c>
      <c r="AA258" t="str">
        <f t="shared" si="87"/>
        <v/>
      </c>
      <c r="AB258" s="82" t="str">
        <f>IF(AND($B$3="Cantilever",$B$2="Zone 1"),'GCM_Cantilever 1.0'!$G449,IF(AND($B$3="Cantilever",$B$2="Zone 2"),'GCM_Cantilever 1.0'!K449,IF(AND($B$3="HalfTracker",$B$2="Zone 1"),'GCM_Halftracker 1.0'!F464,IF(AND($B$3="HalfTracker",$B$2="Zone 2"),'GCM_Halftracker 1.0'!J464,IF(AND($B$3="Purlin",$B$2="Zone 1"),'GCM_Purlin 1.0'!F519,IF(AND($B$3="Purlin",$B$2="Zone 2"),'GCM_Purlin 1.0'!N519,IF(AND($B$3="Purlin",$B$2="Zone 3"),'GCM_Purlin 1.0'!Y519,IF(AND($B$3="Purlin",$B$2="Zone 4"),'GCM_Purlin 1.0'!AG519,IF(AND($B$3="Purlin",$B$2="Zone 5"),'GCM_Purlin 1.0'!AR519,IF(AND($B$3="Clip",$B$2="Zone 1"),'GCN_Clip 1.0'!H88,IF(AND($B$3="Clip",$B$2="Zone 2"),'GCN_Clip 1.0'!H89,IF(AND($B$3="Clip",$B$2="Zone 3"),'GCN_Clip 1.0'!H90,IF(AND($B$3="Clip",$B$2="Zone 4"),'GCN_Clip 1.0'!H91,IF(AND($B$3="Clip",$B$2="Zone 5"),'GCN_Clip 1.0'!H92,IF(AND($B$3="Post",$B$2="Zone 1"),'GCN_Post 1.0'!J372,IF(AND($B$3="Post",$B$2="Zone 2"),'GCN_Post 1.0'!K372,IF(AND($B$3="Post",$B$2="Zone 3"),'GCN_Post 1.0'!N372,IF(AND($B$3="Post",$B$2="Zone 4"),'GCN_Post 1.0'!O372,IF(AND($B$3="Post",$B$2="Zone 5"),'GCN_Post 1.0'!P372,"ERROR")))))))))))))))))))</f>
        <v/>
      </c>
      <c r="AD258" s="27" t="str">
        <f t="shared" si="88"/>
        <v/>
      </c>
      <c r="AE258" t="str">
        <f t="shared" si="89"/>
        <v/>
      </c>
      <c r="AF258" t="str">
        <f t="shared" si="90"/>
        <v/>
      </c>
      <c r="AG258" t="str">
        <f t="shared" si="91"/>
        <v/>
      </c>
      <c r="AH258" t="str">
        <f t="shared" si="92"/>
        <v/>
      </c>
      <c r="AI258" t="str">
        <f t="shared" si="93"/>
        <v/>
      </c>
      <c r="AJ258" s="82" t="str">
        <f>IF(AND($B$3="Cantilever",$B$2="Zone 1"),'GCM_Cantilever 1.0'!$H449,IF(AND($B$3="Cantilever",$B$2="Zone 2"),'GCM_Cantilever 1.0'!L449,IF(AND($B$3="HalfTracker",$B$2="Zone 1"),'GCM_Halftracker 1.0'!G464,IF(AND($B$3="HalfTracker",$B$2="Zone 2"),'GCM_Halftracker 1.0'!K464,IF(AND($B$3="Purlin",$B$2="Zone 1"),'GCM_Purlin 1.0'!G519,IF(AND($B$3="Purlin",$B$2="Zone 2"),'GCM_Purlin 1.0'!O519,IF(AND($B$3="Purlin",$B$2="Zone 3"),'GCM_Purlin 1.0'!Z519,IF(AND($B$3="Purlin",$B$2="Zone 4"),'GCM_Purlin 1.0'!AH519,IF(AND($B$3="Purlin",$B$2="Zone 5"),'GCM_Purlin 1.0'!AS519,IF(AND($B$3="Clip",$B$2="Zone 1"),'GCN_Clip 1.0'!#REF!,IF(AND($B$3="Clip",$B$2="Zone 2"),'GCN_Clip 1.0'!#REF!,IF(AND($B$3="Clip",$B$2="Zone 3"),'GCN_Clip 1.0'!#REF!,IF(AND($B$3="Clip",$B$2="Zone 4"),'GCN_Clip 1.0'!#REF!,IF(AND($B$3="Clip",$B$2="Zone 5"),'GCN_Clip 1.0'!#REF!,IF(AND($B$3="Post",$B$2="Zone 1"),'GCN_Post 1.0'!Q372,IF(AND($B$3="Post",$B$2="Zone 2"),'GCN_Post 1.0'!R372,IF(AND($B$3="Post",$B$2="Zone 3"),'GCN_Post 1.0'!S372,IF(AND($B$3="Post",$B$2="Zone 4"),'GCN_Post 1.0'!T372,IF(AND($B$3="Post",$B$2="Zone 5"),'GCN_Post 1.0'!V372,"ERROR")))))))))))))))))))</f>
        <v/>
      </c>
      <c r="AL258" s="27" t="str">
        <f t="shared" si="94"/>
        <v/>
      </c>
      <c r="AM258" t="str">
        <f t="shared" si="95"/>
        <v/>
      </c>
      <c r="AN258" t="str">
        <f t="shared" si="96"/>
        <v/>
      </c>
      <c r="AO258" t="str">
        <f t="shared" si="97"/>
        <v/>
      </c>
      <c r="AP258" t="str">
        <f t="shared" si="98"/>
        <v/>
      </c>
      <c r="AQ258" t="str">
        <f t="shared" si="99"/>
        <v/>
      </c>
      <c r="AR258" s="82" t="str">
        <f>IF(AND($B$3="Cantilever",$B$2="Zone 1"),'GCM_Cantilever 1.0'!$I449,IF(AND($B$3="Cantilever",$B$2="Zone 2"),'GCM_Cantilever 1.0'!M449,IF(AND($B$3="HalfTracker",$B$2="Zone 1"),'GCM_Halftracker 1.0'!H464,IF(AND($B$3="HalfTracker",$B$2="Zone 2"),'GCM_Halftracker 1.0'!L464,IF(AND($B$3="Purlin",$B$2="Zone 1"),'GCM_Purlin 1.0'!H519,IF(AND($B$3="Purlin",$B$2="Zone 2"),'GCM_Purlin 1.0'!P519,IF(AND($B$3="Purlin",$B$2="Zone 3"),'GCM_Purlin 1.0'!AA519,IF(AND($B$3="Purlin",$B$2="Zone 4"),'GCM_Purlin 1.0'!AI519,IF(AND($B$3="Purlin",$B$2="Zone 5"),'GCM_Purlin 1.0'!AT519,IF(AND($B$3="Clip",$B$2="Zone 1"),'GCN_Clip 1.0'!#REF!,IF(AND($B$3="Clip",$B$2="Zone 2"),'GCN_Clip 1.0'!#REF!,IF(AND($B$3="Clip",$B$2="Zone 3"),'GCN_Clip 1.0'!#REF!,IF(AND($B$3="Clip",$B$2="Zone 4"),'GCN_Clip 1.0'!#REF!,IF(AND($B$3="Clip",$B$2="Zone 5"),'GCN_Clip 1.0'!#REF!,IF(AND($B$3="Post",$B$2="Zone 1"),'GCN_Post 1.0'!W372,IF(AND($B$3="Post",$B$2="Zone 2"),'GCN_Post 1.0'!X372,IF(AND($B$3="Post",$B$2="Zone 3"),'GCN_Post 1.0'!Y372,IF(AND($B$3="Post",$B$2="Zone 4"),'GCN_Post 1.0'!Z372,IF(AND($B$3="Post",$B$2="Zone 5"),'GCN_Post 1.0'!AA372,"ERROR")))))))))))))))))))</f>
        <v/>
      </c>
    </row>
    <row r="259" spans="6:44" x14ac:dyDescent="0.25">
      <c r="F259">
        <v>86</v>
      </c>
      <c r="G259" s="27" t="str">
        <f t="shared" si="72"/>
        <v/>
      </c>
      <c r="H259" t="str">
        <f t="shared" si="73"/>
        <v/>
      </c>
      <c r="I259" t="str">
        <f t="shared" si="74"/>
        <v/>
      </c>
      <c r="J259" s="28" t="str">
        <f t="shared" si="75"/>
        <v/>
      </c>
      <c r="M259">
        <v>86</v>
      </c>
      <c r="N259" s="27" t="str">
        <f t="shared" si="76"/>
        <v/>
      </c>
      <c r="O259" t="str">
        <f t="shared" si="77"/>
        <v/>
      </c>
      <c r="P259" t="str">
        <f t="shared" si="78"/>
        <v/>
      </c>
      <c r="Q259" t="str">
        <f t="shared" si="79"/>
        <v/>
      </c>
      <c r="R259" t="str">
        <f t="shared" si="80"/>
        <v/>
      </c>
      <c r="S259" t="str">
        <f t="shared" si="81"/>
        <v/>
      </c>
      <c r="T259" s="82" t="str">
        <f>IF(AND($B$3="Cantilever",$B$2="Zone 1"),'GCM_Cantilever 1.0'!$F450,IF(AND($B$3="Cantilever",$B$2="Zone 2"),'GCM_Cantilever 1.0'!J450,IF(AND($B$3="HalfTracker",$B$2="Zone 1"),'GCM_Halftracker 1.0'!E465,IF(AND($B$3="HalfTracker",$B$2="Zone 2"),'GCM_Halftracker 1.0'!I465,IF(AND($B$3="Purlin",$B$2="Zone 1"),'GCM_Purlin 1.0'!E520,IF(AND($B$3="Purlin",$B$2="Zone 2"),'GCM_Purlin 1.0'!M520,IF(AND($B$3="Purlin",$B$2="Zone 3"),'GCM_Purlin 1.0'!X520,IF(AND($B$3="Purlin",$B$2="Zone 4"),'GCM_Purlin 1.0'!AF520,IF(AND($B$3="Purlin",$B$2="Zone 5"),'GCM_Purlin 1.0'!AQ520,IF(AND($B$3="Clip",$B$2="Zone 1"),'GCN_Clip 1.0'!G89,IF(AND($B$3="Clip",$B$2="Zone 2"),'GCN_Clip 1.0'!C90,IF(AND($B$3="Clip",$B$2="Zone 3"),'GCN_Clip 1.0'!G91,IF(AND($B$3="Clip",$B$2="Zone 4"),'GCN_Clip 1.0'!G92,IF(AND($B$3="Clip",$B$2="Zone 5"),'GCN_Clip 1.0'!G93,IF(AND($B$3="Post",$B$2="Zone 1"),'GCN_Post 1.0'!E373,IF(AND($B$3="Post",$B$2="Zone 2"),'GCN_Post 1.0'!F373,IF(AND($B$3="Post",$B$2="Zone 3"),'GCN_Post 1.0'!G373,IF(AND($B$3="Post",$B$2="Zone 4"),'GCN_Post 1.0'!H373,IF(AND($B$3="Post",$B$2="Zone 5"),'GCN_Post 1.0'!I373,"ERROR")))))))))))))))))))</f>
        <v/>
      </c>
      <c r="V259" s="27" t="str">
        <f t="shared" si="82"/>
        <v/>
      </c>
      <c r="W259" t="str">
        <f t="shared" si="83"/>
        <v/>
      </c>
      <c r="X259" t="str">
        <f t="shared" si="84"/>
        <v/>
      </c>
      <c r="Y259" t="str">
        <f t="shared" si="85"/>
        <v/>
      </c>
      <c r="Z259" t="str">
        <f t="shared" si="86"/>
        <v/>
      </c>
      <c r="AA259" t="str">
        <f t="shared" si="87"/>
        <v/>
      </c>
      <c r="AB259" s="82" t="str">
        <f>IF(AND($B$3="Cantilever",$B$2="Zone 1"),'GCM_Cantilever 1.0'!$G450,IF(AND($B$3="Cantilever",$B$2="Zone 2"),'GCM_Cantilever 1.0'!K450,IF(AND($B$3="HalfTracker",$B$2="Zone 1"),'GCM_Halftracker 1.0'!F465,IF(AND($B$3="HalfTracker",$B$2="Zone 2"),'GCM_Halftracker 1.0'!J465,IF(AND($B$3="Purlin",$B$2="Zone 1"),'GCM_Purlin 1.0'!F520,IF(AND($B$3="Purlin",$B$2="Zone 2"),'GCM_Purlin 1.0'!N520,IF(AND($B$3="Purlin",$B$2="Zone 3"),'GCM_Purlin 1.0'!Y520,IF(AND($B$3="Purlin",$B$2="Zone 4"),'GCM_Purlin 1.0'!AG520,IF(AND($B$3="Purlin",$B$2="Zone 5"),'GCM_Purlin 1.0'!AR520,IF(AND($B$3="Clip",$B$2="Zone 1"),'GCN_Clip 1.0'!H89,IF(AND($B$3="Clip",$B$2="Zone 2"),'GCN_Clip 1.0'!H90,IF(AND($B$3="Clip",$B$2="Zone 3"),'GCN_Clip 1.0'!H91,IF(AND($B$3="Clip",$B$2="Zone 4"),'GCN_Clip 1.0'!H92,IF(AND($B$3="Clip",$B$2="Zone 5"),'GCN_Clip 1.0'!H93,IF(AND($B$3="Post",$B$2="Zone 1"),'GCN_Post 1.0'!J373,IF(AND($B$3="Post",$B$2="Zone 2"),'GCN_Post 1.0'!K373,IF(AND($B$3="Post",$B$2="Zone 3"),'GCN_Post 1.0'!N373,IF(AND($B$3="Post",$B$2="Zone 4"),'GCN_Post 1.0'!O373,IF(AND($B$3="Post",$B$2="Zone 5"),'GCN_Post 1.0'!P373,"ERROR")))))))))))))))))))</f>
        <v/>
      </c>
      <c r="AD259" s="27" t="str">
        <f t="shared" si="88"/>
        <v/>
      </c>
      <c r="AE259" t="str">
        <f t="shared" si="89"/>
        <v/>
      </c>
      <c r="AF259" t="str">
        <f t="shared" si="90"/>
        <v/>
      </c>
      <c r="AG259" t="str">
        <f t="shared" si="91"/>
        <v/>
      </c>
      <c r="AH259" t="str">
        <f t="shared" si="92"/>
        <v/>
      </c>
      <c r="AI259" t="str">
        <f t="shared" si="93"/>
        <v/>
      </c>
      <c r="AJ259" s="82" t="str">
        <f>IF(AND($B$3="Cantilever",$B$2="Zone 1"),'GCM_Cantilever 1.0'!$H450,IF(AND($B$3="Cantilever",$B$2="Zone 2"),'GCM_Cantilever 1.0'!L450,IF(AND($B$3="HalfTracker",$B$2="Zone 1"),'GCM_Halftracker 1.0'!G465,IF(AND($B$3="HalfTracker",$B$2="Zone 2"),'GCM_Halftracker 1.0'!K465,IF(AND($B$3="Purlin",$B$2="Zone 1"),'GCM_Purlin 1.0'!G520,IF(AND($B$3="Purlin",$B$2="Zone 2"),'GCM_Purlin 1.0'!O520,IF(AND($B$3="Purlin",$B$2="Zone 3"),'GCM_Purlin 1.0'!Z520,IF(AND($B$3="Purlin",$B$2="Zone 4"),'GCM_Purlin 1.0'!AH520,IF(AND($B$3="Purlin",$B$2="Zone 5"),'GCM_Purlin 1.0'!AS520,IF(AND($B$3="Clip",$B$2="Zone 1"),'GCN_Clip 1.0'!#REF!,IF(AND($B$3="Clip",$B$2="Zone 2"),'GCN_Clip 1.0'!#REF!,IF(AND($B$3="Clip",$B$2="Zone 3"),'GCN_Clip 1.0'!#REF!,IF(AND($B$3="Clip",$B$2="Zone 4"),'GCN_Clip 1.0'!#REF!,IF(AND($B$3="Clip",$B$2="Zone 5"),'GCN_Clip 1.0'!#REF!,IF(AND($B$3="Post",$B$2="Zone 1"),'GCN_Post 1.0'!Q373,IF(AND($B$3="Post",$B$2="Zone 2"),'GCN_Post 1.0'!R373,IF(AND($B$3="Post",$B$2="Zone 3"),'GCN_Post 1.0'!S373,IF(AND($B$3="Post",$B$2="Zone 4"),'GCN_Post 1.0'!T373,IF(AND($B$3="Post",$B$2="Zone 5"),'GCN_Post 1.0'!V373,"ERROR")))))))))))))))))))</f>
        <v/>
      </c>
      <c r="AL259" s="27" t="str">
        <f t="shared" si="94"/>
        <v/>
      </c>
      <c r="AM259" t="str">
        <f t="shared" si="95"/>
        <v/>
      </c>
      <c r="AN259" t="str">
        <f t="shared" si="96"/>
        <v/>
      </c>
      <c r="AO259" t="str">
        <f t="shared" si="97"/>
        <v/>
      </c>
      <c r="AP259" t="str">
        <f t="shared" si="98"/>
        <v/>
      </c>
      <c r="AQ259" t="str">
        <f t="shared" si="99"/>
        <v/>
      </c>
      <c r="AR259" s="82" t="str">
        <f>IF(AND($B$3="Cantilever",$B$2="Zone 1"),'GCM_Cantilever 1.0'!$I450,IF(AND($B$3="Cantilever",$B$2="Zone 2"),'GCM_Cantilever 1.0'!M450,IF(AND($B$3="HalfTracker",$B$2="Zone 1"),'GCM_Halftracker 1.0'!H465,IF(AND($B$3="HalfTracker",$B$2="Zone 2"),'GCM_Halftracker 1.0'!L465,IF(AND($B$3="Purlin",$B$2="Zone 1"),'GCM_Purlin 1.0'!H520,IF(AND($B$3="Purlin",$B$2="Zone 2"),'GCM_Purlin 1.0'!P520,IF(AND($B$3="Purlin",$B$2="Zone 3"),'GCM_Purlin 1.0'!AA520,IF(AND($B$3="Purlin",$B$2="Zone 4"),'GCM_Purlin 1.0'!AI520,IF(AND($B$3="Purlin",$B$2="Zone 5"),'GCM_Purlin 1.0'!AT520,IF(AND($B$3="Clip",$B$2="Zone 1"),'GCN_Clip 1.0'!#REF!,IF(AND($B$3="Clip",$B$2="Zone 2"),'GCN_Clip 1.0'!#REF!,IF(AND($B$3="Clip",$B$2="Zone 3"),'GCN_Clip 1.0'!#REF!,IF(AND($B$3="Clip",$B$2="Zone 4"),'GCN_Clip 1.0'!#REF!,IF(AND($B$3="Clip",$B$2="Zone 5"),'GCN_Clip 1.0'!#REF!,IF(AND($B$3="Post",$B$2="Zone 1"),'GCN_Post 1.0'!W373,IF(AND($B$3="Post",$B$2="Zone 2"),'GCN_Post 1.0'!X373,IF(AND($B$3="Post",$B$2="Zone 3"),'GCN_Post 1.0'!Y373,IF(AND($B$3="Post",$B$2="Zone 4"),'GCN_Post 1.0'!Z373,IF(AND($B$3="Post",$B$2="Zone 5"),'GCN_Post 1.0'!AA373,"ERROR")))))))))))))))))))</f>
        <v/>
      </c>
    </row>
    <row r="260" spans="6:44" x14ac:dyDescent="0.25">
      <c r="F260">
        <v>87</v>
      </c>
      <c r="G260" s="27" t="str">
        <f t="shared" si="72"/>
        <v/>
      </c>
      <c r="H260" t="str">
        <f t="shared" si="73"/>
        <v/>
      </c>
      <c r="I260" t="str">
        <f t="shared" si="74"/>
        <v/>
      </c>
      <c r="J260" s="28" t="str">
        <f t="shared" si="75"/>
        <v/>
      </c>
      <c r="M260">
        <v>87</v>
      </c>
      <c r="N260" s="27" t="str">
        <f t="shared" si="76"/>
        <v/>
      </c>
      <c r="O260" t="str">
        <f t="shared" si="77"/>
        <v/>
      </c>
      <c r="P260" t="str">
        <f t="shared" si="78"/>
        <v/>
      </c>
      <c r="Q260" t="str">
        <f t="shared" si="79"/>
        <v/>
      </c>
      <c r="R260" t="str">
        <f t="shared" si="80"/>
        <v/>
      </c>
      <c r="S260" t="str">
        <f t="shared" si="81"/>
        <v/>
      </c>
      <c r="T260" s="82" t="str">
        <f>IF(AND($B$3="Cantilever",$B$2="Zone 1"),'GCM_Cantilever 1.0'!$F451,IF(AND($B$3="Cantilever",$B$2="Zone 2"),'GCM_Cantilever 1.0'!J451,IF(AND($B$3="HalfTracker",$B$2="Zone 1"),'GCM_Halftracker 1.0'!E466,IF(AND($B$3="HalfTracker",$B$2="Zone 2"),'GCM_Halftracker 1.0'!I466,IF(AND($B$3="Purlin",$B$2="Zone 1"),'GCM_Purlin 1.0'!E521,IF(AND($B$3="Purlin",$B$2="Zone 2"),'GCM_Purlin 1.0'!M521,IF(AND($B$3="Purlin",$B$2="Zone 3"),'GCM_Purlin 1.0'!X521,IF(AND($B$3="Purlin",$B$2="Zone 4"),'GCM_Purlin 1.0'!AF521,IF(AND($B$3="Purlin",$B$2="Zone 5"),'GCM_Purlin 1.0'!AQ521,IF(AND($B$3="Clip",$B$2="Zone 1"),'GCN_Clip 1.0'!G90,IF(AND($B$3="Clip",$B$2="Zone 2"),'GCN_Clip 1.0'!C91,IF(AND($B$3="Clip",$B$2="Zone 3"),'GCN_Clip 1.0'!G92,IF(AND($B$3="Clip",$B$2="Zone 4"),'GCN_Clip 1.0'!G93,IF(AND($B$3="Clip",$B$2="Zone 5"),'GCN_Clip 1.0'!G94,IF(AND($B$3="Post",$B$2="Zone 1"),'GCN_Post 1.0'!E374,IF(AND($B$3="Post",$B$2="Zone 2"),'GCN_Post 1.0'!F374,IF(AND($B$3="Post",$B$2="Zone 3"),'GCN_Post 1.0'!G374,IF(AND($B$3="Post",$B$2="Zone 4"),'GCN_Post 1.0'!H374,IF(AND($B$3="Post",$B$2="Zone 5"),'GCN_Post 1.0'!I374,"ERROR")))))))))))))))))))</f>
        <v/>
      </c>
      <c r="V260" s="27" t="str">
        <f t="shared" si="82"/>
        <v/>
      </c>
      <c r="W260" t="str">
        <f t="shared" si="83"/>
        <v/>
      </c>
      <c r="X260" t="str">
        <f t="shared" si="84"/>
        <v/>
      </c>
      <c r="Y260" t="str">
        <f t="shared" si="85"/>
        <v/>
      </c>
      <c r="Z260" t="str">
        <f t="shared" si="86"/>
        <v/>
      </c>
      <c r="AA260" t="str">
        <f t="shared" si="87"/>
        <v/>
      </c>
      <c r="AB260" s="82" t="str">
        <f>IF(AND($B$3="Cantilever",$B$2="Zone 1"),'GCM_Cantilever 1.0'!$G451,IF(AND($B$3="Cantilever",$B$2="Zone 2"),'GCM_Cantilever 1.0'!K451,IF(AND($B$3="HalfTracker",$B$2="Zone 1"),'GCM_Halftracker 1.0'!F466,IF(AND($B$3="HalfTracker",$B$2="Zone 2"),'GCM_Halftracker 1.0'!J466,IF(AND($B$3="Purlin",$B$2="Zone 1"),'GCM_Purlin 1.0'!F521,IF(AND($B$3="Purlin",$B$2="Zone 2"),'GCM_Purlin 1.0'!N521,IF(AND($B$3="Purlin",$B$2="Zone 3"),'GCM_Purlin 1.0'!Y521,IF(AND($B$3="Purlin",$B$2="Zone 4"),'GCM_Purlin 1.0'!AG521,IF(AND($B$3="Purlin",$B$2="Zone 5"),'GCM_Purlin 1.0'!AR521,IF(AND($B$3="Clip",$B$2="Zone 1"),'GCN_Clip 1.0'!H90,IF(AND($B$3="Clip",$B$2="Zone 2"),'GCN_Clip 1.0'!H91,IF(AND($B$3="Clip",$B$2="Zone 3"),'GCN_Clip 1.0'!H92,IF(AND($B$3="Clip",$B$2="Zone 4"),'GCN_Clip 1.0'!H93,IF(AND($B$3="Clip",$B$2="Zone 5"),'GCN_Clip 1.0'!H94,IF(AND($B$3="Post",$B$2="Zone 1"),'GCN_Post 1.0'!J374,IF(AND($B$3="Post",$B$2="Zone 2"),'GCN_Post 1.0'!K374,IF(AND($B$3="Post",$B$2="Zone 3"),'GCN_Post 1.0'!N374,IF(AND($B$3="Post",$B$2="Zone 4"),'GCN_Post 1.0'!O374,IF(AND($B$3="Post",$B$2="Zone 5"),'GCN_Post 1.0'!P374,"ERROR")))))))))))))))))))</f>
        <v/>
      </c>
      <c r="AD260" s="27" t="str">
        <f t="shared" si="88"/>
        <v/>
      </c>
      <c r="AE260" t="str">
        <f t="shared" si="89"/>
        <v/>
      </c>
      <c r="AF260" t="str">
        <f t="shared" si="90"/>
        <v/>
      </c>
      <c r="AG260" t="str">
        <f t="shared" si="91"/>
        <v/>
      </c>
      <c r="AH260" t="str">
        <f t="shared" si="92"/>
        <v/>
      </c>
      <c r="AI260" t="str">
        <f t="shared" si="93"/>
        <v/>
      </c>
      <c r="AJ260" s="82" t="str">
        <f>IF(AND($B$3="Cantilever",$B$2="Zone 1"),'GCM_Cantilever 1.0'!$H451,IF(AND($B$3="Cantilever",$B$2="Zone 2"),'GCM_Cantilever 1.0'!L451,IF(AND($B$3="HalfTracker",$B$2="Zone 1"),'GCM_Halftracker 1.0'!G466,IF(AND($B$3="HalfTracker",$B$2="Zone 2"),'GCM_Halftracker 1.0'!K466,IF(AND($B$3="Purlin",$B$2="Zone 1"),'GCM_Purlin 1.0'!G521,IF(AND($B$3="Purlin",$B$2="Zone 2"),'GCM_Purlin 1.0'!O521,IF(AND($B$3="Purlin",$B$2="Zone 3"),'GCM_Purlin 1.0'!Z521,IF(AND($B$3="Purlin",$B$2="Zone 4"),'GCM_Purlin 1.0'!AH521,IF(AND($B$3="Purlin",$B$2="Zone 5"),'GCM_Purlin 1.0'!AS521,IF(AND($B$3="Clip",$B$2="Zone 1"),'GCN_Clip 1.0'!#REF!,IF(AND($B$3="Clip",$B$2="Zone 2"),'GCN_Clip 1.0'!#REF!,IF(AND($B$3="Clip",$B$2="Zone 3"),'GCN_Clip 1.0'!#REF!,IF(AND($B$3="Clip",$B$2="Zone 4"),'GCN_Clip 1.0'!#REF!,IF(AND($B$3="Clip",$B$2="Zone 5"),'GCN_Clip 1.0'!#REF!,IF(AND($B$3="Post",$B$2="Zone 1"),'GCN_Post 1.0'!Q374,IF(AND($B$3="Post",$B$2="Zone 2"),'GCN_Post 1.0'!R374,IF(AND($B$3="Post",$B$2="Zone 3"),'GCN_Post 1.0'!S374,IF(AND($B$3="Post",$B$2="Zone 4"),'GCN_Post 1.0'!T374,IF(AND($B$3="Post",$B$2="Zone 5"),'GCN_Post 1.0'!V374,"ERROR")))))))))))))))))))</f>
        <v/>
      </c>
      <c r="AL260" s="27" t="str">
        <f t="shared" si="94"/>
        <v/>
      </c>
      <c r="AM260" t="str">
        <f t="shared" si="95"/>
        <v/>
      </c>
      <c r="AN260" t="str">
        <f t="shared" si="96"/>
        <v/>
      </c>
      <c r="AO260" t="str">
        <f t="shared" si="97"/>
        <v/>
      </c>
      <c r="AP260" t="str">
        <f t="shared" si="98"/>
        <v/>
      </c>
      <c r="AQ260" t="str">
        <f t="shared" si="99"/>
        <v/>
      </c>
      <c r="AR260" s="82" t="str">
        <f>IF(AND($B$3="Cantilever",$B$2="Zone 1"),'GCM_Cantilever 1.0'!$I451,IF(AND($B$3="Cantilever",$B$2="Zone 2"),'GCM_Cantilever 1.0'!M451,IF(AND($B$3="HalfTracker",$B$2="Zone 1"),'GCM_Halftracker 1.0'!H466,IF(AND($B$3="HalfTracker",$B$2="Zone 2"),'GCM_Halftracker 1.0'!L466,IF(AND($B$3="Purlin",$B$2="Zone 1"),'GCM_Purlin 1.0'!H521,IF(AND($B$3="Purlin",$B$2="Zone 2"),'GCM_Purlin 1.0'!P521,IF(AND($B$3="Purlin",$B$2="Zone 3"),'GCM_Purlin 1.0'!AA521,IF(AND($B$3="Purlin",$B$2="Zone 4"),'GCM_Purlin 1.0'!AI521,IF(AND($B$3="Purlin",$B$2="Zone 5"),'GCM_Purlin 1.0'!AT521,IF(AND($B$3="Clip",$B$2="Zone 1"),'GCN_Clip 1.0'!#REF!,IF(AND($B$3="Clip",$B$2="Zone 2"),'GCN_Clip 1.0'!#REF!,IF(AND($B$3="Clip",$B$2="Zone 3"),'GCN_Clip 1.0'!#REF!,IF(AND($B$3="Clip",$B$2="Zone 4"),'GCN_Clip 1.0'!#REF!,IF(AND($B$3="Clip",$B$2="Zone 5"),'GCN_Clip 1.0'!#REF!,IF(AND($B$3="Post",$B$2="Zone 1"),'GCN_Post 1.0'!W374,IF(AND($B$3="Post",$B$2="Zone 2"),'GCN_Post 1.0'!X374,IF(AND($B$3="Post",$B$2="Zone 3"),'GCN_Post 1.0'!Y374,IF(AND($B$3="Post",$B$2="Zone 4"),'GCN_Post 1.0'!Z374,IF(AND($B$3="Post",$B$2="Zone 5"),'GCN_Post 1.0'!AA374,"ERROR")))))))))))))))))))</f>
        <v/>
      </c>
    </row>
    <row r="261" spans="6:44" x14ac:dyDescent="0.25">
      <c r="F261">
        <v>88</v>
      </c>
      <c r="G261" s="27" t="str">
        <f t="shared" si="72"/>
        <v/>
      </c>
      <c r="H261" t="str">
        <f t="shared" si="73"/>
        <v/>
      </c>
      <c r="I261" t="str">
        <f t="shared" si="74"/>
        <v/>
      </c>
      <c r="J261" s="28" t="str">
        <f t="shared" si="75"/>
        <v/>
      </c>
      <c r="M261">
        <v>88</v>
      </c>
      <c r="N261" s="27" t="str">
        <f t="shared" si="76"/>
        <v/>
      </c>
      <c r="O261" t="str">
        <f t="shared" si="77"/>
        <v/>
      </c>
      <c r="P261" t="str">
        <f t="shared" si="78"/>
        <v/>
      </c>
      <c r="Q261" t="str">
        <f t="shared" si="79"/>
        <v/>
      </c>
      <c r="R261" t="str">
        <f t="shared" si="80"/>
        <v/>
      </c>
      <c r="S261" t="str">
        <f t="shared" si="81"/>
        <v/>
      </c>
      <c r="T261" s="82" t="str">
        <f>IF(AND($B$3="Cantilever",$B$2="Zone 1"),'GCM_Cantilever 1.0'!$F452,IF(AND($B$3="Cantilever",$B$2="Zone 2"),'GCM_Cantilever 1.0'!J452,IF(AND($B$3="HalfTracker",$B$2="Zone 1"),'GCM_Halftracker 1.0'!E467,IF(AND($B$3="HalfTracker",$B$2="Zone 2"),'GCM_Halftracker 1.0'!I467,IF(AND($B$3="Purlin",$B$2="Zone 1"),'GCM_Purlin 1.0'!E522,IF(AND($B$3="Purlin",$B$2="Zone 2"),'GCM_Purlin 1.0'!M522,IF(AND($B$3="Purlin",$B$2="Zone 3"),'GCM_Purlin 1.0'!X522,IF(AND($B$3="Purlin",$B$2="Zone 4"),'GCM_Purlin 1.0'!AF522,IF(AND($B$3="Purlin",$B$2="Zone 5"),'GCM_Purlin 1.0'!AQ522,IF(AND($B$3="Clip",$B$2="Zone 1"),'GCN_Clip 1.0'!G91,IF(AND($B$3="Clip",$B$2="Zone 2"),'GCN_Clip 1.0'!C92,IF(AND($B$3="Clip",$B$2="Zone 3"),'GCN_Clip 1.0'!G93,IF(AND($B$3="Clip",$B$2="Zone 4"),'GCN_Clip 1.0'!G94,IF(AND($B$3="Clip",$B$2="Zone 5"),'GCN_Clip 1.0'!G95,IF(AND($B$3="Post",$B$2="Zone 1"),'GCN_Post 1.0'!E375,IF(AND($B$3="Post",$B$2="Zone 2"),'GCN_Post 1.0'!F375,IF(AND($B$3="Post",$B$2="Zone 3"),'GCN_Post 1.0'!G375,IF(AND($B$3="Post",$B$2="Zone 4"),'GCN_Post 1.0'!H375,IF(AND($B$3="Post",$B$2="Zone 5"),'GCN_Post 1.0'!I375,"ERROR")))))))))))))))))))</f>
        <v/>
      </c>
      <c r="V261" s="27" t="str">
        <f t="shared" si="82"/>
        <v/>
      </c>
      <c r="W261" t="str">
        <f t="shared" si="83"/>
        <v/>
      </c>
      <c r="X261" t="str">
        <f t="shared" si="84"/>
        <v/>
      </c>
      <c r="Y261" t="str">
        <f t="shared" si="85"/>
        <v/>
      </c>
      <c r="Z261" t="str">
        <f t="shared" si="86"/>
        <v/>
      </c>
      <c r="AA261" t="str">
        <f t="shared" si="87"/>
        <v/>
      </c>
      <c r="AB261" s="82" t="str">
        <f>IF(AND($B$3="Cantilever",$B$2="Zone 1"),'GCM_Cantilever 1.0'!$G452,IF(AND($B$3="Cantilever",$B$2="Zone 2"),'GCM_Cantilever 1.0'!K452,IF(AND($B$3="HalfTracker",$B$2="Zone 1"),'GCM_Halftracker 1.0'!F467,IF(AND($B$3="HalfTracker",$B$2="Zone 2"),'GCM_Halftracker 1.0'!J467,IF(AND($B$3="Purlin",$B$2="Zone 1"),'GCM_Purlin 1.0'!F522,IF(AND($B$3="Purlin",$B$2="Zone 2"),'GCM_Purlin 1.0'!N522,IF(AND($B$3="Purlin",$B$2="Zone 3"),'GCM_Purlin 1.0'!Y522,IF(AND($B$3="Purlin",$B$2="Zone 4"),'GCM_Purlin 1.0'!AG522,IF(AND($B$3="Purlin",$B$2="Zone 5"),'GCM_Purlin 1.0'!AR522,IF(AND($B$3="Clip",$B$2="Zone 1"),'GCN_Clip 1.0'!H91,IF(AND($B$3="Clip",$B$2="Zone 2"),'GCN_Clip 1.0'!H92,IF(AND($B$3="Clip",$B$2="Zone 3"),'GCN_Clip 1.0'!H93,IF(AND($B$3="Clip",$B$2="Zone 4"),'GCN_Clip 1.0'!H94,IF(AND($B$3="Clip",$B$2="Zone 5"),'GCN_Clip 1.0'!H95,IF(AND($B$3="Post",$B$2="Zone 1"),'GCN_Post 1.0'!J375,IF(AND($B$3="Post",$B$2="Zone 2"),'GCN_Post 1.0'!K375,IF(AND($B$3="Post",$B$2="Zone 3"),'GCN_Post 1.0'!N375,IF(AND($B$3="Post",$B$2="Zone 4"),'GCN_Post 1.0'!O375,IF(AND($B$3="Post",$B$2="Zone 5"),'GCN_Post 1.0'!P375,"ERROR")))))))))))))))))))</f>
        <v/>
      </c>
      <c r="AD261" s="27" t="str">
        <f t="shared" si="88"/>
        <v/>
      </c>
      <c r="AE261" t="str">
        <f t="shared" si="89"/>
        <v/>
      </c>
      <c r="AF261" t="str">
        <f t="shared" si="90"/>
        <v/>
      </c>
      <c r="AG261" t="str">
        <f t="shared" si="91"/>
        <v/>
      </c>
      <c r="AH261" t="str">
        <f t="shared" si="92"/>
        <v/>
      </c>
      <c r="AI261" t="str">
        <f t="shared" si="93"/>
        <v/>
      </c>
      <c r="AJ261" s="82" t="str">
        <f>IF(AND($B$3="Cantilever",$B$2="Zone 1"),'GCM_Cantilever 1.0'!$H452,IF(AND($B$3="Cantilever",$B$2="Zone 2"),'GCM_Cantilever 1.0'!L452,IF(AND($B$3="HalfTracker",$B$2="Zone 1"),'GCM_Halftracker 1.0'!G467,IF(AND($B$3="HalfTracker",$B$2="Zone 2"),'GCM_Halftracker 1.0'!K467,IF(AND($B$3="Purlin",$B$2="Zone 1"),'GCM_Purlin 1.0'!G522,IF(AND($B$3="Purlin",$B$2="Zone 2"),'GCM_Purlin 1.0'!O522,IF(AND($B$3="Purlin",$B$2="Zone 3"),'GCM_Purlin 1.0'!Z522,IF(AND($B$3="Purlin",$B$2="Zone 4"),'GCM_Purlin 1.0'!AH522,IF(AND($B$3="Purlin",$B$2="Zone 5"),'GCM_Purlin 1.0'!AS522,IF(AND($B$3="Clip",$B$2="Zone 1"),'GCN_Clip 1.0'!#REF!,IF(AND($B$3="Clip",$B$2="Zone 2"),'GCN_Clip 1.0'!#REF!,IF(AND($B$3="Clip",$B$2="Zone 3"),'GCN_Clip 1.0'!#REF!,IF(AND($B$3="Clip",$B$2="Zone 4"),'GCN_Clip 1.0'!#REF!,IF(AND($B$3="Clip",$B$2="Zone 5"),'GCN_Clip 1.0'!#REF!,IF(AND($B$3="Post",$B$2="Zone 1"),'GCN_Post 1.0'!Q375,IF(AND($B$3="Post",$B$2="Zone 2"),'GCN_Post 1.0'!R375,IF(AND($B$3="Post",$B$2="Zone 3"),'GCN_Post 1.0'!S375,IF(AND($B$3="Post",$B$2="Zone 4"),'GCN_Post 1.0'!T375,IF(AND($B$3="Post",$B$2="Zone 5"),'GCN_Post 1.0'!V375,"ERROR")))))))))))))))))))</f>
        <v/>
      </c>
      <c r="AL261" s="27" t="str">
        <f t="shared" si="94"/>
        <v/>
      </c>
      <c r="AM261" t="str">
        <f t="shared" si="95"/>
        <v/>
      </c>
      <c r="AN261" t="str">
        <f t="shared" si="96"/>
        <v/>
      </c>
      <c r="AO261" t="str">
        <f t="shared" si="97"/>
        <v/>
      </c>
      <c r="AP261" t="str">
        <f t="shared" si="98"/>
        <v/>
      </c>
      <c r="AQ261" t="str">
        <f t="shared" si="99"/>
        <v/>
      </c>
      <c r="AR261" s="82" t="str">
        <f>IF(AND($B$3="Cantilever",$B$2="Zone 1"),'GCM_Cantilever 1.0'!$I452,IF(AND($B$3="Cantilever",$B$2="Zone 2"),'GCM_Cantilever 1.0'!M452,IF(AND($B$3="HalfTracker",$B$2="Zone 1"),'GCM_Halftracker 1.0'!H467,IF(AND($B$3="HalfTracker",$B$2="Zone 2"),'GCM_Halftracker 1.0'!L467,IF(AND($B$3="Purlin",$B$2="Zone 1"),'GCM_Purlin 1.0'!H522,IF(AND($B$3="Purlin",$B$2="Zone 2"),'GCM_Purlin 1.0'!P522,IF(AND($B$3="Purlin",$B$2="Zone 3"),'GCM_Purlin 1.0'!AA522,IF(AND($B$3="Purlin",$B$2="Zone 4"),'GCM_Purlin 1.0'!AI522,IF(AND($B$3="Purlin",$B$2="Zone 5"),'GCM_Purlin 1.0'!AT522,IF(AND($B$3="Clip",$B$2="Zone 1"),'GCN_Clip 1.0'!#REF!,IF(AND($B$3="Clip",$B$2="Zone 2"),'GCN_Clip 1.0'!#REF!,IF(AND($B$3="Clip",$B$2="Zone 3"),'GCN_Clip 1.0'!#REF!,IF(AND($B$3="Clip",$B$2="Zone 4"),'GCN_Clip 1.0'!#REF!,IF(AND($B$3="Clip",$B$2="Zone 5"),'GCN_Clip 1.0'!#REF!,IF(AND($B$3="Post",$B$2="Zone 1"),'GCN_Post 1.0'!W375,IF(AND($B$3="Post",$B$2="Zone 2"),'GCN_Post 1.0'!X375,IF(AND($B$3="Post",$B$2="Zone 3"),'GCN_Post 1.0'!Y375,IF(AND($B$3="Post",$B$2="Zone 4"),'GCN_Post 1.0'!Z375,IF(AND($B$3="Post",$B$2="Zone 5"),'GCN_Post 1.0'!AA375,"ERROR")))))))))))))))))))</f>
        <v/>
      </c>
    </row>
    <row r="262" spans="6:44" x14ac:dyDescent="0.25">
      <c r="F262">
        <v>89</v>
      </c>
      <c r="G262" s="27" t="str">
        <f t="shared" si="72"/>
        <v/>
      </c>
      <c r="H262" t="str">
        <f t="shared" si="73"/>
        <v/>
      </c>
      <c r="I262" t="str">
        <f t="shared" si="74"/>
        <v/>
      </c>
      <c r="J262" s="28" t="str">
        <f t="shared" si="75"/>
        <v/>
      </c>
      <c r="M262">
        <v>89</v>
      </c>
      <c r="N262" s="27" t="str">
        <f t="shared" si="76"/>
        <v/>
      </c>
      <c r="O262" t="str">
        <f t="shared" si="77"/>
        <v/>
      </c>
      <c r="P262" t="str">
        <f t="shared" si="78"/>
        <v/>
      </c>
      <c r="Q262" t="str">
        <f t="shared" si="79"/>
        <v/>
      </c>
      <c r="R262" t="str">
        <f t="shared" si="80"/>
        <v/>
      </c>
      <c r="S262" t="str">
        <f t="shared" si="81"/>
        <v/>
      </c>
      <c r="T262" s="82" t="str">
        <f>IF(AND($B$3="Cantilever",$B$2="Zone 1"),'GCM_Cantilever 1.0'!$F453,IF(AND($B$3="Cantilever",$B$2="Zone 2"),'GCM_Cantilever 1.0'!J453,IF(AND($B$3="HalfTracker",$B$2="Zone 1"),'GCM_Halftracker 1.0'!E468,IF(AND($B$3="HalfTracker",$B$2="Zone 2"),'GCM_Halftracker 1.0'!I468,IF(AND($B$3="Purlin",$B$2="Zone 1"),'GCM_Purlin 1.0'!E523,IF(AND($B$3="Purlin",$B$2="Zone 2"),'GCM_Purlin 1.0'!M523,IF(AND($B$3="Purlin",$B$2="Zone 3"),'GCM_Purlin 1.0'!X523,IF(AND($B$3="Purlin",$B$2="Zone 4"),'GCM_Purlin 1.0'!AF523,IF(AND($B$3="Purlin",$B$2="Zone 5"),'GCM_Purlin 1.0'!AQ523,IF(AND($B$3="Clip",$B$2="Zone 1"),'GCN_Clip 1.0'!G92,IF(AND($B$3="Clip",$B$2="Zone 2"),'GCN_Clip 1.0'!C93,IF(AND($B$3="Clip",$B$2="Zone 3"),'GCN_Clip 1.0'!G94,IF(AND($B$3="Clip",$B$2="Zone 4"),'GCN_Clip 1.0'!G95,IF(AND($B$3="Clip",$B$2="Zone 5"),'GCN_Clip 1.0'!G96,IF(AND($B$3="Post",$B$2="Zone 1"),'GCN_Post 1.0'!E376,IF(AND($B$3="Post",$B$2="Zone 2"),'GCN_Post 1.0'!F376,IF(AND($B$3="Post",$B$2="Zone 3"),'GCN_Post 1.0'!G376,IF(AND($B$3="Post",$B$2="Zone 4"),'GCN_Post 1.0'!H376,IF(AND($B$3="Post",$B$2="Zone 5"),'GCN_Post 1.0'!I376,"ERROR")))))))))))))))))))</f>
        <v/>
      </c>
      <c r="V262" s="27" t="str">
        <f t="shared" si="82"/>
        <v/>
      </c>
      <c r="W262" t="str">
        <f t="shared" si="83"/>
        <v/>
      </c>
      <c r="X262" t="str">
        <f t="shared" si="84"/>
        <v/>
      </c>
      <c r="Y262" t="str">
        <f t="shared" si="85"/>
        <v/>
      </c>
      <c r="Z262" t="str">
        <f t="shared" si="86"/>
        <v/>
      </c>
      <c r="AA262" t="str">
        <f t="shared" si="87"/>
        <v/>
      </c>
      <c r="AB262" s="82" t="str">
        <f>IF(AND($B$3="Cantilever",$B$2="Zone 1"),'GCM_Cantilever 1.0'!$G453,IF(AND($B$3="Cantilever",$B$2="Zone 2"),'GCM_Cantilever 1.0'!K453,IF(AND($B$3="HalfTracker",$B$2="Zone 1"),'GCM_Halftracker 1.0'!F468,IF(AND($B$3="HalfTracker",$B$2="Zone 2"),'GCM_Halftracker 1.0'!J468,IF(AND($B$3="Purlin",$B$2="Zone 1"),'GCM_Purlin 1.0'!F523,IF(AND($B$3="Purlin",$B$2="Zone 2"),'GCM_Purlin 1.0'!N523,IF(AND($B$3="Purlin",$B$2="Zone 3"),'GCM_Purlin 1.0'!Y523,IF(AND($B$3="Purlin",$B$2="Zone 4"),'GCM_Purlin 1.0'!AG523,IF(AND($B$3="Purlin",$B$2="Zone 5"),'GCM_Purlin 1.0'!AR523,IF(AND($B$3="Clip",$B$2="Zone 1"),'GCN_Clip 1.0'!H92,IF(AND($B$3="Clip",$B$2="Zone 2"),'GCN_Clip 1.0'!H93,IF(AND($B$3="Clip",$B$2="Zone 3"),'GCN_Clip 1.0'!H94,IF(AND($B$3="Clip",$B$2="Zone 4"),'GCN_Clip 1.0'!H95,IF(AND($B$3="Clip",$B$2="Zone 5"),'GCN_Clip 1.0'!H96,IF(AND($B$3="Post",$B$2="Zone 1"),'GCN_Post 1.0'!J376,IF(AND($B$3="Post",$B$2="Zone 2"),'GCN_Post 1.0'!K376,IF(AND($B$3="Post",$B$2="Zone 3"),'GCN_Post 1.0'!N376,IF(AND($B$3="Post",$B$2="Zone 4"),'GCN_Post 1.0'!O376,IF(AND($B$3="Post",$B$2="Zone 5"),'GCN_Post 1.0'!P376,"ERROR")))))))))))))))))))</f>
        <v/>
      </c>
      <c r="AD262" s="27" t="str">
        <f t="shared" si="88"/>
        <v/>
      </c>
      <c r="AE262" t="str">
        <f t="shared" si="89"/>
        <v/>
      </c>
      <c r="AF262" t="str">
        <f t="shared" si="90"/>
        <v/>
      </c>
      <c r="AG262" t="str">
        <f t="shared" si="91"/>
        <v/>
      </c>
      <c r="AH262" t="str">
        <f t="shared" si="92"/>
        <v/>
      </c>
      <c r="AI262" t="str">
        <f t="shared" si="93"/>
        <v/>
      </c>
      <c r="AJ262" s="82" t="str">
        <f>IF(AND($B$3="Cantilever",$B$2="Zone 1"),'GCM_Cantilever 1.0'!$H453,IF(AND($B$3="Cantilever",$B$2="Zone 2"),'GCM_Cantilever 1.0'!L453,IF(AND($B$3="HalfTracker",$B$2="Zone 1"),'GCM_Halftracker 1.0'!G468,IF(AND($B$3="HalfTracker",$B$2="Zone 2"),'GCM_Halftracker 1.0'!K468,IF(AND($B$3="Purlin",$B$2="Zone 1"),'GCM_Purlin 1.0'!G523,IF(AND($B$3="Purlin",$B$2="Zone 2"),'GCM_Purlin 1.0'!O523,IF(AND($B$3="Purlin",$B$2="Zone 3"),'GCM_Purlin 1.0'!Z523,IF(AND($B$3="Purlin",$B$2="Zone 4"),'GCM_Purlin 1.0'!AH523,IF(AND($B$3="Purlin",$B$2="Zone 5"),'GCM_Purlin 1.0'!AS523,IF(AND($B$3="Clip",$B$2="Zone 1"),'GCN_Clip 1.0'!#REF!,IF(AND($B$3="Clip",$B$2="Zone 2"),'GCN_Clip 1.0'!#REF!,IF(AND($B$3="Clip",$B$2="Zone 3"),'GCN_Clip 1.0'!#REF!,IF(AND($B$3="Clip",$B$2="Zone 4"),'GCN_Clip 1.0'!#REF!,IF(AND($B$3="Clip",$B$2="Zone 5"),'GCN_Clip 1.0'!#REF!,IF(AND($B$3="Post",$B$2="Zone 1"),'GCN_Post 1.0'!Q376,IF(AND($B$3="Post",$B$2="Zone 2"),'GCN_Post 1.0'!R376,IF(AND($B$3="Post",$B$2="Zone 3"),'GCN_Post 1.0'!S376,IF(AND($B$3="Post",$B$2="Zone 4"),'GCN_Post 1.0'!T376,IF(AND($B$3="Post",$B$2="Zone 5"),'GCN_Post 1.0'!V376,"ERROR")))))))))))))))))))</f>
        <v/>
      </c>
      <c r="AL262" s="27" t="str">
        <f t="shared" si="94"/>
        <v/>
      </c>
      <c r="AM262" t="str">
        <f t="shared" si="95"/>
        <v/>
      </c>
      <c r="AN262" t="str">
        <f t="shared" si="96"/>
        <v/>
      </c>
      <c r="AO262" t="str">
        <f t="shared" si="97"/>
        <v/>
      </c>
      <c r="AP262" t="str">
        <f t="shared" si="98"/>
        <v/>
      </c>
      <c r="AQ262" t="str">
        <f t="shared" si="99"/>
        <v/>
      </c>
      <c r="AR262" s="82" t="str">
        <f>IF(AND($B$3="Cantilever",$B$2="Zone 1"),'GCM_Cantilever 1.0'!$I453,IF(AND($B$3="Cantilever",$B$2="Zone 2"),'GCM_Cantilever 1.0'!M453,IF(AND($B$3="HalfTracker",$B$2="Zone 1"),'GCM_Halftracker 1.0'!H468,IF(AND($B$3="HalfTracker",$B$2="Zone 2"),'GCM_Halftracker 1.0'!L468,IF(AND($B$3="Purlin",$B$2="Zone 1"),'GCM_Purlin 1.0'!H523,IF(AND($B$3="Purlin",$B$2="Zone 2"),'GCM_Purlin 1.0'!P523,IF(AND($B$3="Purlin",$B$2="Zone 3"),'GCM_Purlin 1.0'!AA523,IF(AND($B$3="Purlin",$B$2="Zone 4"),'GCM_Purlin 1.0'!AI523,IF(AND($B$3="Purlin",$B$2="Zone 5"),'GCM_Purlin 1.0'!AT523,IF(AND($B$3="Clip",$B$2="Zone 1"),'GCN_Clip 1.0'!#REF!,IF(AND($B$3="Clip",$B$2="Zone 2"),'GCN_Clip 1.0'!#REF!,IF(AND($B$3="Clip",$B$2="Zone 3"),'GCN_Clip 1.0'!#REF!,IF(AND($B$3="Clip",$B$2="Zone 4"),'GCN_Clip 1.0'!#REF!,IF(AND($B$3="Clip",$B$2="Zone 5"),'GCN_Clip 1.0'!#REF!,IF(AND($B$3="Post",$B$2="Zone 1"),'GCN_Post 1.0'!W376,IF(AND($B$3="Post",$B$2="Zone 2"),'GCN_Post 1.0'!X376,IF(AND($B$3="Post",$B$2="Zone 3"),'GCN_Post 1.0'!Y376,IF(AND($B$3="Post",$B$2="Zone 4"),'GCN_Post 1.0'!Z376,IF(AND($B$3="Post",$B$2="Zone 5"),'GCN_Post 1.0'!AA376,"ERROR")))))))))))))))))))</f>
        <v/>
      </c>
    </row>
    <row r="263" spans="6:44" x14ac:dyDescent="0.25">
      <c r="F263">
        <v>90</v>
      </c>
      <c r="G263" s="27" t="str">
        <f t="shared" si="72"/>
        <v/>
      </c>
      <c r="H263" t="str">
        <f t="shared" si="73"/>
        <v/>
      </c>
      <c r="I263" t="str">
        <f t="shared" si="74"/>
        <v/>
      </c>
      <c r="J263" s="28" t="str">
        <f t="shared" si="75"/>
        <v/>
      </c>
      <c r="M263">
        <v>90</v>
      </c>
      <c r="N263" s="27" t="str">
        <f t="shared" si="76"/>
        <v/>
      </c>
      <c r="O263" t="str">
        <f t="shared" si="77"/>
        <v/>
      </c>
      <c r="P263" t="str">
        <f t="shared" si="78"/>
        <v/>
      </c>
      <c r="Q263" t="str">
        <f t="shared" si="79"/>
        <v/>
      </c>
      <c r="R263" t="str">
        <f t="shared" si="80"/>
        <v/>
      </c>
      <c r="S263" t="str">
        <f t="shared" si="81"/>
        <v/>
      </c>
      <c r="T263" s="82" t="str">
        <f>IF(AND($B$3="Cantilever",$B$2="Zone 1"),'GCM_Cantilever 1.0'!$F454,IF(AND($B$3="Cantilever",$B$2="Zone 2"),'GCM_Cantilever 1.0'!J454,IF(AND($B$3="HalfTracker",$B$2="Zone 1"),'GCM_Halftracker 1.0'!E469,IF(AND($B$3="HalfTracker",$B$2="Zone 2"),'GCM_Halftracker 1.0'!I469,IF(AND($B$3="Purlin",$B$2="Zone 1"),'GCM_Purlin 1.0'!E524,IF(AND($B$3="Purlin",$B$2="Zone 2"),'GCM_Purlin 1.0'!M524,IF(AND($B$3="Purlin",$B$2="Zone 3"),'GCM_Purlin 1.0'!X524,IF(AND($B$3="Purlin",$B$2="Zone 4"),'GCM_Purlin 1.0'!AF524,IF(AND($B$3="Purlin",$B$2="Zone 5"),'GCM_Purlin 1.0'!AQ524,IF(AND($B$3="Clip",$B$2="Zone 1"),'GCN_Clip 1.0'!G93,IF(AND($B$3="Clip",$B$2="Zone 2"),'GCN_Clip 1.0'!C94,IF(AND($B$3="Clip",$B$2="Zone 3"),'GCN_Clip 1.0'!G95,IF(AND($B$3="Clip",$B$2="Zone 4"),'GCN_Clip 1.0'!G96,IF(AND($B$3="Clip",$B$2="Zone 5"),'GCN_Clip 1.0'!G97,IF(AND($B$3="Post",$B$2="Zone 1"),'GCN_Post 1.0'!E377,IF(AND($B$3="Post",$B$2="Zone 2"),'GCN_Post 1.0'!F377,IF(AND($B$3="Post",$B$2="Zone 3"),'GCN_Post 1.0'!G377,IF(AND($B$3="Post",$B$2="Zone 4"),'GCN_Post 1.0'!H377,IF(AND($B$3="Post",$B$2="Zone 5"),'GCN_Post 1.0'!I377,"ERROR")))))))))))))))))))</f>
        <v/>
      </c>
      <c r="V263" s="27" t="str">
        <f t="shared" si="82"/>
        <v/>
      </c>
      <c r="W263" t="str">
        <f t="shared" si="83"/>
        <v/>
      </c>
      <c r="X263" t="str">
        <f t="shared" si="84"/>
        <v/>
      </c>
      <c r="Y263" t="str">
        <f t="shared" si="85"/>
        <v/>
      </c>
      <c r="Z263" t="str">
        <f t="shared" si="86"/>
        <v/>
      </c>
      <c r="AA263" t="str">
        <f t="shared" si="87"/>
        <v/>
      </c>
      <c r="AB263" s="82" t="str">
        <f>IF(AND($B$3="Cantilever",$B$2="Zone 1"),'GCM_Cantilever 1.0'!$G454,IF(AND($B$3="Cantilever",$B$2="Zone 2"),'GCM_Cantilever 1.0'!K454,IF(AND($B$3="HalfTracker",$B$2="Zone 1"),'GCM_Halftracker 1.0'!F469,IF(AND($B$3="HalfTracker",$B$2="Zone 2"),'GCM_Halftracker 1.0'!J469,IF(AND($B$3="Purlin",$B$2="Zone 1"),'GCM_Purlin 1.0'!F524,IF(AND($B$3="Purlin",$B$2="Zone 2"),'GCM_Purlin 1.0'!N524,IF(AND($B$3="Purlin",$B$2="Zone 3"),'GCM_Purlin 1.0'!Y524,IF(AND($B$3="Purlin",$B$2="Zone 4"),'GCM_Purlin 1.0'!AG524,IF(AND($B$3="Purlin",$B$2="Zone 5"),'GCM_Purlin 1.0'!AR524,IF(AND($B$3="Clip",$B$2="Zone 1"),'GCN_Clip 1.0'!H93,IF(AND($B$3="Clip",$B$2="Zone 2"),'GCN_Clip 1.0'!H94,IF(AND($B$3="Clip",$B$2="Zone 3"),'GCN_Clip 1.0'!H95,IF(AND($B$3="Clip",$B$2="Zone 4"),'GCN_Clip 1.0'!H96,IF(AND($B$3="Clip",$B$2="Zone 5"),'GCN_Clip 1.0'!H97,IF(AND($B$3="Post",$B$2="Zone 1"),'GCN_Post 1.0'!J377,IF(AND($B$3="Post",$B$2="Zone 2"),'GCN_Post 1.0'!K377,IF(AND($B$3="Post",$B$2="Zone 3"),'GCN_Post 1.0'!N377,IF(AND($B$3="Post",$B$2="Zone 4"),'GCN_Post 1.0'!O377,IF(AND($B$3="Post",$B$2="Zone 5"),'GCN_Post 1.0'!P377,"ERROR")))))))))))))))))))</f>
        <v/>
      </c>
      <c r="AD263" s="27" t="str">
        <f t="shared" si="88"/>
        <v/>
      </c>
      <c r="AE263" t="str">
        <f t="shared" si="89"/>
        <v/>
      </c>
      <c r="AF263" t="str">
        <f t="shared" si="90"/>
        <v/>
      </c>
      <c r="AG263" t="str">
        <f t="shared" si="91"/>
        <v/>
      </c>
      <c r="AH263" t="str">
        <f t="shared" si="92"/>
        <v/>
      </c>
      <c r="AI263" t="str">
        <f t="shared" si="93"/>
        <v/>
      </c>
      <c r="AJ263" s="82" t="str">
        <f>IF(AND($B$3="Cantilever",$B$2="Zone 1"),'GCM_Cantilever 1.0'!$H454,IF(AND($B$3="Cantilever",$B$2="Zone 2"),'GCM_Cantilever 1.0'!L454,IF(AND($B$3="HalfTracker",$B$2="Zone 1"),'GCM_Halftracker 1.0'!G469,IF(AND($B$3="HalfTracker",$B$2="Zone 2"),'GCM_Halftracker 1.0'!K469,IF(AND($B$3="Purlin",$B$2="Zone 1"),'GCM_Purlin 1.0'!G524,IF(AND($B$3="Purlin",$B$2="Zone 2"),'GCM_Purlin 1.0'!O524,IF(AND($B$3="Purlin",$B$2="Zone 3"),'GCM_Purlin 1.0'!Z524,IF(AND($B$3="Purlin",$B$2="Zone 4"),'GCM_Purlin 1.0'!AH524,IF(AND($B$3="Purlin",$B$2="Zone 5"),'GCM_Purlin 1.0'!AS524,IF(AND($B$3="Clip",$B$2="Zone 1"),'GCN_Clip 1.0'!#REF!,IF(AND($B$3="Clip",$B$2="Zone 2"),'GCN_Clip 1.0'!#REF!,IF(AND($B$3="Clip",$B$2="Zone 3"),'GCN_Clip 1.0'!#REF!,IF(AND($B$3="Clip",$B$2="Zone 4"),'GCN_Clip 1.0'!#REF!,IF(AND($B$3="Clip",$B$2="Zone 5"),'GCN_Clip 1.0'!#REF!,IF(AND($B$3="Post",$B$2="Zone 1"),'GCN_Post 1.0'!Q377,IF(AND($B$3="Post",$B$2="Zone 2"),'GCN_Post 1.0'!R377,IF(AND($B$3="Post",$B$2="Zone 3"),'GCN_Post 1.0'!S377,IF(AND($B$3="Post",$B$2="Zone 4"),'GCN_Post 1.0'!T377,IF(AND($B$3="Post",$B$2="Zone 5"),'GCN_Post 1.0'!V377,"ERROR")))))))))))))))))))</f>
        <v/>
      </c>
      <c r="AL263" s="27" t="str">
        <f t="shared" si="94"/>
        <v/>
      </c>
      <c r="AM263" t="str">
        <f t="shared" si="95"/>
        <v/>
      </c>
      <c r="AN263" t="str">
        <f t="shared" si="96"/>
        <v/>
      </c>
      <c r="AO263" t="str">
        <f t="shared" si="97"/>
        <v/>
      </c>
      <c r="AP263" t="str">
        <f t="shared" si="98"/>
        <v/>
      </c>
      <c r="AQ263" t="str">
        <f t="shared" si="99"/>
        <v/>
      </c>
      <c r="AR263" s="82" t="str">
        <f>IF(AND($B$3="Cantilever",$B$2="Zone 1"),'GCM_Cantilever 1.0'!$I454,IF(AND($B$3="Cantilever",$B$2="Zone 2"),'GCM_Cantilever 1.0'!M454,IF(AND($B$3="HalfTracker",$B$2="Zone 1"),'GCM_Halftracker 1.0'!H469,IF(AND($B$3="HalfTracker",$B$2="Zone 2"),'GCM_Halftracker 1.0'!L469,IF(AND($B$3="Purlin",$B$2="Zone 1"),'GCM_Purlin 1.0'!H524,IF(AND($B$3="Purlin",$B$2="Zone 2"),'GCM_Purlin 1.0'!P524,IF(AND($B$3="Purlin",$B$2="Zone 3"),'GCM_Purlin 1.0'!AA524,IF(AND($B$3="Purlin",$B$2="Zone 4"),'GCM_Purlin 1.0'!AI524,IF(AND($B$3="Purlin",$B$2="Zone 5"),'GCM_Purlin 1.0'!AT524,IF(AND($B$3="Clip",$B$2="Zone 1"),'GCN_Clip 1.0'!#REF!,IF(AND($B$3="Clip",$B$2="Zone 2"),'GCN_Clip 1.0'!#REF!,IF(AND($B$3="Clip",$B$2="Zone 3"),'GCN_Clip 1.0'!#REF!,IF(AND($B$3="Clip",$B$2="Zone 4"),'GCN_Clip 1.0'!#REF!,IF(AND($B$3="Clip",$B$2="Zone 5"),'GCN_Clip 1.0'!#REF!,IF(AND($B$3="Post",$B$2="Zone 1"),'GCN_Post 1.0'!W377,IF(AND($B$3="Post",$B$2="Zone 2"),'GCN_Post 1.0'!X377,IF(AND($B$3="Post",$B$2="Zone 3"),'GCN_Post 1.0'!Y377,IF(AND($B$3="Post",$B$2="Zone 4"),'GCN_Post 1.0'!Z377,IF(AND($B$3="Post",$B$2="Zone 5"),'GCN_Post 1.0'!AA377,"ERROR")))))))))))))))))))</f>
        <v/>
      </c>
    </row>
    <row r="264" spans="6:44" x14ac:dyDescent="0.25">
      <c r="F264">
        <v>91</v>
      </c>
      <c r="G264" s="27" t="str">
        <f t="shared" si="72"/>
        <v/>
      </c>
      <c r="H264" t="str">
        <f t="shared" si="73"/>
        <v/>
      </c>
      <c r="I264" t="str">
        <f t="shared" si="74"/>
        <v/>
      </c>
      <c r="J264" s="28" t="str">
        <f t="shared" si="75"/>
        <v/>
      </c>
      <c r="M264">
        <v>91</v>
      </c>
      <c r="N264" s="27" t="str">
        <f t="shared" si="76"/>
        <v/>
      </c>
      <c r="O264" t="str">
        <f t="shared" si="77"/>
        <v/>
      </c>
      <c r="P264" t="str">
        <f t="shared" si="78"/>
        <v/>
      </c>
      <c r="Q264" t="str">
        <f t="shared" si="79"/>
        <v/>
      </c>
      <c r="R264" t="str">
        <f t="shared" si="80"/>
        <v/>
      </c>
      <c r="S264" t="str">
        <f t="shared" si="81"/>
        <v/>
      </c>
      <c r="T264" s="82" t="str">
        <f>IF(AND($B$3="Cantilever",$B$2="Zone 1"),'GCM_Cantilever 1.0'!$F455,IF(AND($B$3="Cantilever",$B$2="Zone 2"),'GCM_Cantilever 1.0'!J455,IF(AND($B$3="HalfTracker",$B$2="Zone 1"),'GCM_Halftracker 1.0'!E470,IF(AND($B$3="HalfTracker",$B$2="Zone 2"),'GCM_Halftracker 1.0'!I470,IF(AND($B$3="Purlin",$B$2="Zone 1"),'GCM_Purlin 1.0'!E525,IF(AND($B$3="Purlin",$B$2="Zone 2"),'GCM_Purlin 1.0'!M525,IF(AND($B$3="Purlin",$B$2="Zone 3"),'GCM_Purlin 1.0'!X525,IF(AND($B$3="Purlin",$B$2="Zone 4"),'GCM_Purlin 1.0'!AF525,IF(AND($B$3="Purlin",$B$2="Zone 5"),'GCM_Purlin 1.0'!AQ525,IF(AND($B$3="Clip",$B$2="Zone 1"),'GCN_Clip 1.0'!G94,IF(AND($B$3="Clip",$B$2="Zone 2"),'GCN_Clip 1.0'!C95,IF(AND($B$3="Clip",$B$2="Zone 3"),'GCN_Clip 1.0'!G96,IF(AND($B$3="Clip",$B$2="Zone 4"),'GCN_Clip 1.0'!G97,IF(AND($B$3="Clip",$B$2="Zone 5"),'GCN_Clip 1.0'!G98,IF(AND($B$3="Post",$B$2="Zone 1"),'GCN_Post 1.0'!E378,IF(AND($B$3="Post",$B$2="Zone 2"),'GCN_Post 1.0'!F378,IF(AND($B$3="Post",$B$2="Zone 3"),'GCN_Post 1.0'!G378,IF(AND($B$3="Post",$B$2="Zone 4"),'GCN_Post 1.0'!H378,IF(AND($B$3="Post",$B$2="Zone 5"),'GCN_Post 1.0'!I378,"ERROR")))))))))))))))))))</f>
        <v/>
      </c>
      <c r="V264" s="27" t="str">
        <f t="shared" si="82"/>
        <v/>
      </c>
      <c r="W264" t="str">
        <f t="shared" si="83"/>
        <v/>
      </c>
      <c r="X264" t="str">
        <f t="shared" si="84"/>
        <v/>
      </c>
      <c r="Y264" t="str">
        <f t="shared" si="85"/>
        <v/>
      </c>
      <c r="Z264" t="str">
        <f t="shared" si="86"/>
        <v/>
      </c>
      <c r="AA264" t="str">
        <f t="shared" si="87"/>
        <v/>
      </c>
      <c r="AB264" s="82" t="str">
        <f>IF(AND($B$3="Cantilever",$B$2="Zone 1"),'GCM_Cantilever 1.0'!$G455,IF(AND($B$3="Cantilever",$B$2="Zone 2"),'GCM_Cantilever 1.0'!K455,IF(AND($B$3="HalfTracker",$B$2="Zone 1"),'GCM_Halftracker 1.0'!F470,IF(AND($B$3="HalfTracker",$B$2="Zone 2"),'GCM_Halftracker 1.0'!J470,IF(AND($B$3="Purlin",$B$2="Zone 1"),'GCM_Purlin 1.0'!F525,IF(AND($B$3="Purlin",$B$2="Zone 2"),'GCM_Purlin 1.0'!N525,IF(AND($B$3="Purlin",$B$2="Zone 3"),'GCM_Purlin 1.0'!Y525,IF(AND($B$3="Purlin",$B$2="Zone 4"),'GCM_Purlin 1.0'!AG525,IF(AND($B$3="Purlin",$B$2="Zone 5"),'GCM_Purlin 1.0'!AR525,IF(AND($B$3="Clip",$B$2="Zone 1"),'GCN_Clip 1.0'!H94,IF(AND($B$3="Clip",$B$2="Zone 2"),'GCN_Clip 1.0'!H95,IF(AND($B$3="Clip",$B$2="Zone 3"),'GCN_Clip 1.0'!H96,IF(AND($B$3="Clip",$B$2="Zone 4"),'GCN_Clip 1.0'!H97,IF(AND($B$3="Clip",$B$2="Zone 5"),'GCN_Clip 1.0'!H98,IF(AND($B$3="Post",$B$2="Zone 1"),'GCN_Post 1.0'!J378,IF(AND($B$3="Post",$B$2="Zone 2"),'GCN_Post 1.0'!K378,IF(AND($B$3="Post",$B$2="Zone 3"),'GCN_Post 1.0'!N378,IF(AND($B$3="Post",$B$2="Zone 4"),'GCN_Post 1.0'!O378,IF(AND($B$3="Post",$B$2="Zone 5"),'GCN_Post 1.0'!P378,"ERROR")))))))))))))))))))</f>
        <v/>
      </c>
      <c r="AD264" s="27" t="str">
        <f t="shared" si="88"/>
        <v/>
      </c>
      <c r="AE264" t="str">
        <f t="shared" si="89"/>
        <v/>
      </c>
      <c r="AF264" t="str">
        <f t="shared" si="90"/>
        <v/>
      </c>
      <c r="AG264" t="str">
        <f t="shared" si="91"/>
        <v/>
      </c>
      <c r="AH264" t="str">
        <f t="shared" si="92"/>
        <v/>
      </c>
      <c r="AI264" t="str">
        <f t="shared" si="93"/>
        <v/>
      </c>
      <c r="AJ264" s="82" t="str">
        <f>IF(AND($B$3="Cantilever",$B$2="Zone 1"),'GCM_Cantilever 1.0'!$H455,IF(AND($B$3="Cantilever",$B$2="Zone 2"),'GCM_Cantilever 1.0'!L455,IF(AND($B$3="HalfTracker",$B$2="Zone 1"),'GCM_Halftracker 1.0'!G470,IF(AND($B$3="HalfTracker",$B$2="Zone 2"),'GCM_Halftracker 1.0'!K470,IF(AND($B$3="Purlin",$B$2="Zone 1"),'GCM_Purlin 1.0'!G525,IF(AND($B$3="Purlin",$B$2="Zone 2"),'GCM_Purlin 1.0'!O525,IF(AND($B$3="Purlin",$B$2="Zone 3"),'GCM_Purlin 1.0'!Z525,IF(AND($B$3="Purlin",$B$2="Zone 4"),'GCM_Purlin 1.0'!AH525,IF(AND($B$3="Purlin",$B$2="Zone 5"),'GCM_Purlin 1.0'!AS525,IF(AND($B$3="Clip",$B$2="Zone 1"),'GCN_Clip 1.0'!#REF!,IF(AND($B$3="Clip",$B$2="Zone 2"),'GCN_Clip 1.0'!#REF!,IF(AND($B$3="Clip",$B$2="Zone 3"),'GCN_Clip 1.0'!#REF!,IF(AND($B$3="Clip",$B$2="Zone 4"),'GCN_Clip 1.0'!#REF!,IF(AND($B$3="Clip",$B$2="Zone 5"),'GCN_Clip 1.0'!#REF!,IF(AND($B$3="Post",$B$2="Zone 1"),'GCN_Post 1.0'!Q378,IF(AND($B$3="Post",$B$2="Zone 2"),'GCN_Post 1.0'!R378,IF(AND($B$3="Post",$B$2="Zone 3"),'GCN_Post 1.0'!S378,IF(AND($B$3="Post",$B$2="Zone 4"),'GCN_Post 1.0'!T378,IF(AND($B$3="Post",$B$2="Zone 5"),'GCN_Post 1.0'!V378,"ERROR")))))))))))))))))))</f>
        <v/>
      </c>
      <c r="AL264" s="27" t="str">
        <f t="shared" si="94"/>
        <v/>
      </c>
      <c r="AM264" t="str">
        <f t="shared" si="95"/>
        <v/>
      </c>
      <c r="AN264" t="str">
        <f t="shared" si="96"/>
        <v/>
      </c>
      <c r="AO264" t="str">
        <f t="shared" si="97"/>
        <v/>
      </c>
      <c r="AP264" t="str">
        <f t="shared" si="98"/>
        <v/>
      </c>
      <c r="AQ264" t="str">
        <f t="shared" si="99"/>
        <v/>
      </c>
      <c r="AR264" s="82" t="str">
        <f>IF(AND($B$3="Cantilever",$B$2="Zone 1"),'GCM_Cantilever 1.0'!$I455,IF(AND($B$3="Cantilever",$B$2="Zone 2"),'GCM_Cantilever 1.0'!M455,IF(AND($B$3="HalfTracker",$B$2="Zone 1"),'GCM_Halftracker 1.0'!H470,IF(AND($B$3="HalfTracker",$B$2="Zone 2"),'GCM_Halftracker 1.0'!L470,IF(AND($B$3="Purlin",$B$2="Zone 1"),'GCM_Purlin 1.0'!H525,IF(AND($B$3="Purlin",$B$2="Zone 2"),'GCM_Purlin 1.0'!P525,IF(AND($B$3="Purlin",$B$2="Zone 3"),'GCM_Purlin 1.0'!AA525,IF(AND($B$3="Purlin",$B$2="Zone 4"),'GCM_Purlin 1.0'!AI525,IF(AND($B$3="Purlin",$B$2="Zone 5"),'GCM_Purlin 1.0'!AT525,IF(AND($B$3="Clip",$B$2="Zone 1"),'GCN_Clip 1.0'!#REF!,IF(AND($B$3="Clip",$B$2="Zone 2"),'GCN_Clip 1.0'!#REF!,IF(AND($B$3="Clip",$B$2="Zone 3"),'GCN_Clip 1.0'!#REF!,IF(AND($B$3="Clip",$B$2="Zone 4"),'GCN_Clip 1.0'!#REF!,IF(AND($B$3="Clip",$B$2="Zone 5"),'GCN_Clip 1.0'!#REF!,IF(AND($B$3="Post",$B$2="Zone 1"),'GCN_Post 1.0'!W378,IF(AND($B$3="Post",$B$2="Zone 2"),'GCN_Post 1.0'!X378,IF(AND($B$3="Post",$B$2="Zone 3"),'GCN_Post 1.0'!Y378,IF(AND($B$3="Post",$B$2="Zone 4"),'GCN_Post 1.0'!Z378,IF(AND($B$3="Post",$B$2="Zone 5"),'GCN_Post 1.0'!AA378,"ERROR")))))))))))))))))))</f>
        <v/>
      </c>
    </row>
    <row r="265" spans="6:44" x14ac:dyDescent="0.25">
      <c r="F265">
        <v>92</v>
      </c>
      <c r="G265" s="27" t="str">
        <f t="shared" si="72"/>
        <v/>
      </c>
      <c r="H265" t="str">
        <f t="shared" si="73"/>
        <v/>
      </c>
      <c r="I265" t="str">
        <f t="shared" si="74"/>
        <v/>
      </c>
      <c r="J265" s="28" t="str">
        <f t="shared" si="75"/>
        <v/>
      </c>
      <c r="M265">
        <v>92</v>
      </c>
      <c r="N265" s="27" t="str">
        <f t="shared" si="76"/>
        <v/>
      </c>
      <c r="O265" t="str">
        <f t="shared" si="77"/>
        <v/>
      </c>
      <c r="P265" t="str">
        <f t="shared" si="78"/>
        <v/>
      </c>
      <c r="Q265" t="str">
        <f t="shared" si="79"/>
        <v/>
      </c>
      <c r="R265" t="str">
        <f t="shared" si="80"/>
        <v/>
      </c>
      <c r="S265" t="str">
        <f t="shared" si="81"/>
        <v/>
      </c>
      <c r="T265" s="82" t="str">
        <f>IF(AND($B$3="Cantilever",$B$2="Zone 1"),'GCM_Cantilever 1.0'!$F456,IF(AND($B$3="Cantilever",$B$2="Zone 2"),'GCM_Cantilever 1.0'!J456,IF(AND($B$3="HalfTracker",$B$2="Zone 1"),'GCM_Halftracker 1.0'!E471,IF(AND($B$3="HalfTracker",$B$2="Zone 2"),'GCM_Halftracker 1.0'!I471,IF(AND($B$3="Purlin",$B$2="Zone 1"),'GCM_Purlin 1.0'!E526,IF(AND($B$3="Purlin",$B$2="Zone 2"),'GCM_Purlin 1.0'!M526,IF(AND($B$3="Purlin",$B$2="Zone 3"),'GCM_Purlin 1.0'!X526,IF(AND($B$3="Purlin",$B$2="Zone 4"),'GCM_Purlin 1.0'!AF526,IF(AND($B$3="Purlin",$B$2="Zone 5"),'GCM_Purlin 1.0'!AQ526,IF(AND($B$3="Clip",$B$2="Zone 1"),'GCN_Clip 1.0'!G95,IF(AND($B$3="Clip",$B$2="Zone 2"),'GCN_Clip 1.0'!C96,IF(AND($B$3="Clip",$B$2="Zone 3"),'GCN_Clip 1.0'!G97,IF(AND($B$3="Clip",$B$2="Zone 4"),'GCN_Clip 1.0'!G98,IF(AND($B$3="Clip",$B$2="Zone 5"),'GCN_Clip 1.0'!G99,IF(AND($B$3="Post",$B$2="Zone 1"),'GCN_Post 1.0'!E379,IF(AND($B$3="Post",$B$2="Zone 2"),'GCN_Post 1.0'!F379,IF(AND($B$3="Post",$B$2="Zone 3"),'GCN_Post 1.0'!G379,IF(AND($B$3="Post",$B$2="Zone 4"),'GCN_Post 1.0'!H379,IF(AND($B$3="Post",$B$2="Zone 5"),'GCN_Post 1.0'!I379,"ERROR")))))))))))))))))))</f>
        <v/>
      </c>
      <c r="V265" s="27" t="str">
        <f t="shared" si="82"/>
        <v/>
      </c>
      <c r="W265" t="str">
        <f t="shared" si="83"/>
        <v/>
      </c>
      <c r="X265" t="str">
        <f t="shared" si="84"/>
        <v/>
      </c>
      <c r="Y265" t="str">
        <f t="shared" si="85"/>
        <v/>
      </c>
      <c r="Z265" t="str">
        <f t="shared" si="86"/>
        <v/>
      </c>
      <c r="AA265" t="str">
        <f t="shared" si="87"/>
        <v/>
      </c>
      <c r="AB265" s="82" t="str">
        <f>IF(AND($B$3="Cantilever",$B$2="Zone 1"),'GCM_Cantilever 1.0'!$G456,IF(AND($B$3="Cantilever",$B$2="Zone 2"),'GCM_Cantilever 1.0'!K456,IF(AND($B$3="HalfTracker",$B$2="Zone 1"),'GCM_Halftracker 1.0'!F471,IF(AND($B$3="HalfTracker",$B$2="Zone 2"),'GCM_Halftracker 1.0'!J471,IF(AND($B$3="Purlin",$B$2="Zone 1"),'GCM_Purlin 1.0'!F526,IF(AND($B$3="Purlin",$B$2="Zone 2"),'GCM_Purlin 1.0'!N526,IF(AND($B$3="Purlin",$B$2="Zone 3"),'GCM_Purlin 1.0'!Y526,IF(AND($B$3="Purlin",$B$2="Zone 4"),'GCM_Purlin 1.0'!AG526,IF(AND($B$3="Purlin",$B$2="Zone 5"),'GCM_Purlin 1.0'!AR526,IF(AND($B$3="Clip",$B$2="Zone 1"),'GCN_Clip 1.0'!H95,IF(AND($B$3="Clip",$B$2="Zone 2"),'GCN_Clip 1.0'!H96,IF(AND($B$3="Clip",$B$2="Zone 3"),'GCN_Clip 1.0'!H97,IF(AND($B$3="Clip",$B$2="Zone 4"),'GCN_Clip 1.0'!H98,IF(AND($B$3="Clip",$B$2="Zone 5"),'GCN_Clip 1.0'!H99,IF(AND($B$3="Post",$B$2="Zone 1"),'GCN_Post 1.0'!J379,IF(AND($B$3="Post",$B$2="Zone 2"),'GCN_Post 1.0'!K379,IF(AND($B$3="Post",$B$2="Zone 3"),'GCN_Post 1.0'!N379,IF(AND($B$3="Post",$B$2="Zone 4"),'GCN_Post 1.0'!O379,IF(AND($B$3="Post",$B$2="Zone 5"),'GCN_Post 1.0'!P379,"ERROR")))))))))))))))))))</f>
        <v/>
      </c>
      <c r="AD265" s="27" t="str">
        <f t="shared" si="88"/>
        <v/>
      </c>
      <c r="AE265" t="str">
        <f t="shared" si="89"/>
        <v/>
      </c>
      <c r="AF265" t="str">
        <f t="shared" si="90"/>
        <v/>
      </c>
      <c r="AG265" t="str">
        <f t="shared" si="91"/>
        <v/>
      </c>
      <c r="AH265" t="str">
        <f t="shared" si="92"/>
        <v/>
      </c>
      <c r="AI265" t="str">
        <f t="shared" si="93"/>
        <v/>
      </c>
      <c r="AJ265" s="82" t="str">
        <f>IF(AND($B$3="Cantilever",$B$2="Zone 1"),'GCM_Cantilever 1.0'!$H456,IF(AND($B$3="Cantilever",$B$2="Zone 2"),'GCM_Cantilever 1.0'!L456,IF(AND($B$3="HalfTracker",$B$2="Zone 1"),'GCM_Halftracker 1.0'!G471,IF(AND($B$3="HalfTracker",$B$2="Zone 2"),'GCM_Halftracker 1.0'!K471,IF(AND($B$3="Purlin",$B$2="Zone 1"),'GCM_Purlin 1.0'!G526,IF(AND($B$3="Purlin",$B$2="Zone 2"),'GCM_Purlin 1.0'!O526,IF(AND($B$3="Purlin",$B$2="Zone 3"),'GCM_Purlin 1.0'!Z526,IF(AND($B$3="Purlin",$B$2="Zone 4"),'GCM_Purlin 1.0'!AH526,IF(AND($B$3="Purlin",$B$2="Zone 5"),'GCM_Purlin 1.0'!AS526,IF(AND($B$3="Clip",$B$2="Zone 1"),'GCN_Clip 1.0'!#REF!,IF(AND($B$3="Clip",$B$2="Zone 2"),'GCN_Clip 1.0'!#REF!,IF(AND($B$3="Clip",$B$2="Zone 3"),'GCN_Clip 1.0'!#REF!,IF(AND($B$3="Clip",$B$2="Zone 4"),'GCN_Clip 1.0'!#REF!,IF(AND($B$3="Clip",$B$2="Zone 5"),'GCN_Clip 1.0'!#REF!,IF(AND($B$3="Post",$B$2="Zone 1"),'GCN_Post 1.0'!Q379,IF(AND($B$3="Post",$B$2="Zone 2"),'GCN_Post 1.0'!R379,IF(AND($B$3="Post",$B$2="Zone 3"),'GCN_Post 1.0'!S379,IF(AND($B$3="Post",$B$2="Zone 4"),'GCN_Post 1.0'!T379,IF(AND($B$3="Post",$B$2="Zone 5"),'GCN_Post 1.0'!V379,"ERROR")))))))))))))))))))</f>
        <v/>
      </c>
      <c r="AL265" s="27" t="str">
        <f t="shared" si="94"/>
        <v/>
      </c>
      <c r="AM265" t="str">
        <f t="shared" si="95"/>
        <v/>
      </c>
      <c r="AN265" t="str">
        <f t="shared" si="96"/>
        <v/>
      </c>
      <c r="AO265" t="str">
        <f t="shared" si="97"/>
        <v/>
      </c>
      <c r="AP265" t="str">
        <f t="shared" si="98"/>
        <v/>
      </c>
      <c r="AQ265" t="str">
        <f t="shared" si="99"/>
        <v/>
      </c>
      <c r="AR265" s="82" t="str">
        <f>IF(AND($B$3="Cantilever",$B$2="Zone 1"),'GCM_Cantilever 1.0'!$I456,IF(AND($B$3="Cantilever",$B$2="Zone 2"),'GCM_Cantilever 1.0'!M456,IF(AND($B$3="HalfTracker",$B$2="Zone 1"),'GCM_Halftracker 1.0'!H471,IF(AND($B$3="HalfTracker",$B$2="Zone 2"),'GCM_Halftracker 1.0'!L471,IF(AND($B$3="Purlin",$B$2="Zone 1"),'GCM_Purlin 1.0'!H526,IF(AND($B$3="Purlin",$B$2="Zone 2"),'GCM_Purlin 1.0'!P526,IF(AND($B$3="Purlin",$B$2="Zone 3"),'GCM_Purlin 1.0'!AA526,IF(AND($B$3="Purlin",$B$2="Zone 4"),'GCM_Purlin 1.0'!AI526,IF(AND($B$3="Purlin",$B$2="Zone 5"),'GCM_Purlin 1.0'!AT526,IF(AND($B$3="Clip",$B$2="Zone 1"),'GCN_Clip 1.0'!#REF!,IF(AND($B$3="Clip",$B$2="Zone 2"),'GCN_Clip 1.0'!#REF!,IF(AND($B$3="Clip",$B$2="Zone 3"),'GCN_Clip 1.0'!#REF!,IF(AND($B$3="Clip",$B$2="Zone 4"),'GCN_Clip 1.0'!#REF!,IF(AND($B$3="Clip",$B$2="Zone 5"),'GCN_Clip 1.0'!#REF!,IF(AND($B$3="Post",$B$2="Zone 1"),'GCN_Post 1.0'!W379,IF(AND($B$3="Post",$B$2="Zone 2"),'GCN_Post 1.0'!X379,IF(AND($B$3="Post",$B$2="Zone 3"),'GCN_Post 1.0'!Y379,IF(AND($B$3="Post",$B$2="Zone 4"),'GCN_Post 1.0'!Z379,IF(AND($B$3="Post",$B$2="Zone 5"),'GCN_Post 1.0'!AA379,"ERROR")))))))))))))))))))</f>
        <v/>
      </c>
    </row>
    <row r="266" spans="6:44" x14ac:dyDescent="0.25">
      <c r="F266">
        <v>93</v>
      </c>
      <c r="G266" s="27" t="str">
        <f t="shared" si="72"/>
        <v/>
      </c>
      <c r="H266" t="str">
        <f t="shared" si="73"/>
        <v/>
      </c>
      <c r="I266" t="str">
        <f t="shared" si="74"/>
        <v/>
      </c>
      <c r="J266" s="28" t="str">
        <f t="shared" si="75"/>
        <v/>
      </c>
      <c r="M266">
        <v>93</v>
      </c>
      <c r="N266" s="27" t="str">
        <f t="shared" si="76"/>
        <v/>
      </c>
      <c r="O266" t="str">
        <f t="shared" si="77"/>
        <v/>
      </c>
      <c r="P266" t="str">
        <f t="shared" si="78"/>
        <v/>
      </c>
      <c r="Q266" t="str">
        <f t="shared" si="79"/>
        <v/>
      </c>
      <c r="R266" t="str">
        <f t="shared" si="80"/>
        <v/>
      </c>
      <c r="S266" t="str">
        <f t="shared" si="81"/>
        <v/>
      </c>
      <c r="T266" s="82" t="str">
        <f>IF(AND($B$3="Cantilever",$B$2="Zone 1"),'GCM_Cantilever 1.0'!$F457,IF(AND($B$3="Cantilever",$B$2="Zone 2"),'GCM_Cantilever 1.0'!J457,IF(AND($B$3="HalfTracker",$B$2="Zone 1"),'GCM_Halftracker 1.0'!E472,IF(AND($B$3="HalfTracker",$B$2="Zone 2"),'GCM_Halftracker 1.0'!I472,IF(AND($B$3="Purlin",$B$2="Zone 1"),'GCM_Purlin 1.0'!E527,IF(AND($B$3="Purlin",$B$2="Zone 2"),'GCM_Purlin 1.0'!M527,IF(AND($B$3="Purlin",$B$2="Zone 3"),'GCM_Purlin 1.0'!X527,IF(AND($B$3="Purlin",$B$2="Zone 4"),'GCM_Purlin 1.0'!AF527,IF(AND($B$3="Purlin",$B$2="Zone 5"),'GCM_Purlin 1.0'!AQ527,IF(AND($B$3="Clip",$B$2="Zone 1"),'GCN_Clip 1.0'!G96,IF(AND($B$3="Clip",$B$2="Zone 2"),'GCN_Clip 1.0'!C97,IF(AND($B$3="Clip",$B$2="Zone 3"),'GCN_Clip 1.0'!G98,IF(AND($B$3="Clip",$B$2="Zone 4"),'GCN_Clip 1.0'!G99,IF(AND($B$3="Clip",$B$2="Zone 5"),'GCN_Clip 1.0'!G100,IF(AND($B$3="Post",$B$2="Zone 1"),'GCN_Post 1.0'!E380,IF(AND($B$3="Post",$B$2="Zone 2"),'GCN_Post 1.0'!F380,IF(AND($B$3="Post",$B$2="Zone 3"),'GCN_Post 1.0'!G380,IF(AND($B$3="Post",$B$2="Zone 4"),'GCN_Post 1.0'!H380,IF(AND($B$3="Post",$B$2="Zone 5"),'GCN_Post 1.0'!I380,"ERROR")))))))))))))))))))</f>
        <v/>
      </c>
      <c r="V266" s="27" t="str">
        <f t="shared" si="82"/>
        <v/>
      </c>
      <c r="W266" t="str">
        <f t="shared" si="83"/>
        <v/>
      </c>
      <c r="X266" t="str">
        <f t="shared" si="84"/>
        <v/>
      </c>
      <c r="Y266" t="str">
        <f t="shared" si="85"/>
        <v/>
      </c>
      <c r="Z266" t="str">
        <f t="shared" si="86"/>
        <v/>
      </c>
      <c r="AA266" t="str">
        <f t="shared" si="87"/>
        <v/>
      </c>
      <c r="AB266" s="82" t="str">
        <f>IF(AND($B$3="Cantilever",$B$2="Zone 1"),'GCM_Cantilever 1.0'!$G457,IF(AND($B$3="Cantilever",$B$2="Zone 2"),'GCM_Cantilever 1.0'!K457,IF(AND($B$3="HalfTracker",$B$2="Zone 1"),'GCM_Halftracker 1.0'!F472,IF(AND($B$3="HalfTracker",$B$2="Zone 2"),'GCM_Halftracker 1.0'!J472,IF(AND($B$3="Purlin",$B$2="Zone 1"),'GCM_Purlin 1.0'!F527,IF(AND($B$3="Purlin",$B$2="Zone 2"),'GCM_Purlin 1.0'!N527,IF(AND($B$3="Purlin",$B$2="Zone 3"),'GCM_Purlin 1.0'!Y527,IF(AND($B$3="Purlin",$B$2="Zone 4"),'GCM_Purlin 1.0'!AG527,IF(AND($B$3="Purlin",$B$2="Zone 5"),'GCM_Purlin 1.0'!AR527,IF(AND($B$3="Clip",$B$2="Zone 1"),'GCN_Clip 1.0'!H96,IF(AND($B$3="Clip",$B$2="Zone 2"),'GCN_Clip 1.0'!H97,IF(AND($B$3="Clip",$B$2="Zone 3"),'GCN_Clip 1.0'!H98,IF(AND($B$3="Clip",$B$2="Zone 4"),'GCN_Clip 1.0'!H99,IF(AND($B$3="Clip",$B$2="Zone 5"),'GCN_Clip 1.0'!H100,IF(AND($B$3="Post",$B$2="Zone 1"),'GCN_Post 1.0'!J380,IF(AND($B$3="Post",$B$2="Zone 2"),'GCN_Post 1.0'!K380,IF(AND($B$3="Post",$B$2="Zone 3"),'GCN_Post 1.0'!N380,IF(AND($B$3="Post",$B$2="Zone 4"),'GCN_Post 1.0'!O380,IF(AND($B$3="Post",$B$2="Zone 5"),'GCN_Post 1.0'!P380,"ERROR")))))))))))))))))))</f>
        <v/>
      </c>
      <c r="AD266" s="27" t="str">
        <f t="shared" si="88"/>
        <v/>
      </c>
      <c r="AE266" t="str">
        <f t="shared" si="89"/>
        <v/>
      </c>
      <c r="AF266" t="str">
        <f t="shared" si="90"/>
        <v/>
      </c>
      <c r="AG266" t="str">
        <f t="shared" si="91"/>
        <v/>
      </c>
      <c r="AH266" t="str">
        <f t="shared" si="92"/>
        <v/>
      </c>
      <c r="AI266" t="str">
        <f t="shared" si="93"/>
        <v/>
      </c>
      <c r="AJ266" s="82" t="str">
        <f>IF(AND($B$3="Cantilever",$B$2="Zone 1"),'GCM_Cantilever 1.0'!$H457,IF(AND($B$3="Cantilever",$B$2="Zone 2"),'GCM_Cantilever 1.0'!L457,IF(AND($B$3="HalfTracker",$B$2="Zone 1"),'GCM_Halftracker 1.0'!G472,IF(AND($B$3="HalfTracker",$B$2="Zone 2"),'GCM_Halftracker 1.0'!K472,IF(AND($B$3="Purlin",$B$2="Zone 1"),'GCM_Purlin 1.0'!G527,IF(AND($B$3="Purlin",$B$2="Zone 2"),'GCM_Purlin 1.0'!O527,IF(AND($B$3="Purlin",$B$2="Zone 3"),'GCM_Purlin 1.0'!Z527,IF(AND($B$3="Purlin",$B$2="Zone 4"),'GCM_Purlin 1.0'!AH527,IF(AND($B$3="Purlin",$B$2="Zone 5"),'GCM_Purlin 1.0'!AS527,IF(AND($B$3="Clip",$B$2="Zone 1"),'GCN_Clip 1.0'!#REF!,IF(AND($B$3="Clip",$B$2="Zone 2"),'GCN_Clip 1.0'!#REF!,IF(AND($B$3="Clip",$B$2="Zone 3"),'GCN_Clip 1.0'!#REF!,IF(AND($B$3="Clip",$B$2="Zone 4"),'GCN_Clip 1.0'!#REF!,IF(AND($B$3="Clip",$B$2="Zone 5"),'GCN_Clip 1.0'!#REF!,IF(AND($B$3="Post",$B$2="Zone 1"),'GCN_Post 1.0'!Q380,IF(AND($B$3="Post",$B$2="Zone 2"),'GCN_Post 1.0'!R380,IF(AND($B$3="Post",$B$2="Zone 3"),'GCN_Post 1.0'!S380,IF(AND($B$3="Post",$B$2="Zone 4"),'GCN_Post 1.0'!T380,IF(AND($B$3="Post",$B$2="Zone 5"),'GCN_Post 1.0'!V380,"ERROR")))))))))))))))))))</f>
        <v/>
      </c>
      <c r="AL266" s="27" t="str">
        <f t="shared" si="94"/>
        <v/>
      </c>
      <c r="AM266" t="str">
        <f t="shared" si="95"/>
        <v/>
      </c>
      <c r="AN266" t="str">
        <f t="shared" si="96"/>
        <v/>
      </c>
      <c r="AO266" t="str">
        <f t="shared" si="97"/>
        <v/>
      </c>
      <c r="AP266" t="str">
        <f t="shared" si="98"/>
        <v/>
      </c>
      <c r="AQ266" t="str">
        <f t="shared" si="99"/>
        <v/>
      </c>
      <c r="AR266" s="82" t="str">
        <f>IF(AND($B$3="Cantilever",$B$2="Zone 1"),'GCM_Cantilever 1.0'!$I457,IF(AND($B$3="Cantilever",$B$2="Zone 2"),'GCM_Cantilever 1.0'!M457,IF(AND($B$3="HalfTracker",$B$2="Zone 1"),'GCM_Halftracker 1.0'!H472,IF(AND($B$3="HalfTracker",$B$2="Zone 2"),'GCM_Halftracker 1.0'!L472,IF(AND($B$3="Purlin",$B$2="Zone 1"),'GCM_Purlin 1.0'!H527,IF(AND($B$3="Purlin",$B$2="Zone 2"),'GCM_Purlin 1.0'!P527,IF(AND($B$3="Purlin",$B$2="Zone 3"),'GCM_Purlin 1.0'!AA527,IF(AND($B$3="Purlin",$B$2="Zone 4"),'GCM_Purlin 1.0'!AI527,IF(AND($B$3="Purlin",$B$2="Zone 5"),'GCM_Purlin 1.0'!AT527,IF(AND($B$3="Clip",$B$2="Zone 1"),'GCN_Clip 1.0'!#REF!,IF(AND($B$3="Clip",$B$2="Zone 2"),'GCN_Clip 1.0'!#REF!,IF(AND($B$3="Clip",$B$2="Zone 3"),'GCN_Clip 1.0'!#REF!,IF(AND($B$3="Clip",$B$2="Zone 4"),'GCN_Clip 1.0'!#REF!,IF(AND($B$3="Clip",$B$2="Zone 5"),'GCN_Clip 1.0'!#REF!,IF(AND($B$3="Post",$B$2="Zone 1"),'GCN_Post 1.0'!W380,IF(AND($B$3="Post",$B$2="Zone 2"),'GCN_Post 1.0'!X380,IF(AND($B$3="Post",$B$2="Zone 3"),'GCN_Post 1.0'!Y380,IF(AND($B$3="Post",$B$2="Zone 4"),'GCN_Post 1.0'!Z380,IF(AND($B$3="Post",$B$2="Zone 5"),'GCN_Post 1.0'!AA380,"ERROR")))))))))))))))))))</f>
        <v/>
      </c>
    </row>
    <row r="267" spans="6:44" x14ac:dyDescent="0.25">
      <c r="F267">
        <v>94</v>
      </c>
      <c r="G267" s="27" t="str">
        <f t="shared" si="72"/>
        <v/>
      </c>
      <c r="H267" t="str">
        <f t="shared" si="73"/>
        <v/>
      </c>
      <c r="I267" t="str">
        <f t="shared" si="74"/>
        <v/>
      </c>
      <c r="J267" s="28" t="str">
        <f t="shared" si="75"/>
        <v/>
      </c>
      <c r="M267">
        <v>94</v>
      </c>
      <c r="N267" s="27" t="str">
        <f t="shared" si="76"/>
        <v/>
      </c>
      <c r="O267" t="str">
        <f t="shared" si="77"/>
        <v/>
      </c>
      <c r="P267" t="str">
        <f t="shared" si="78"/>
        <v/>
      </c>
      <c r="Q267" t="str">
        <f t="shared" si="79"/>
        <v/>
      </c>
      <c r="R267" t="str">
        <f t="shared" si="80"/>
        <v/>
      </c>
      <c r="S267" t="str">
        <f t="shared" si="81"/>
        <v/>
      </c>
      <c r="T267" s="82" t="str">
        <f>IF(AND($B$3="Cantilever",$B$2="Zone 1"),'GCM_Cantilever 1.0'!$F458,IF(AND($B$3="Cantilever",$B$2="Zone 2"),'GCM_Cantilever 1.0'!J458,IF(AND($B$3="HalfTracker",$B$2="Zone 1"),'GCM_Halftracker 1.0'!E473,IF(AND($B$3="HalfTracker",$B$2="Zone 2"),'GCM_Halftracker 1.0'!I473,IF(AND($B$3="Purlin",$B$2="Zone 1"),'GCM_Purlin 1.0'!E528,IF(AND($B$3="Purlin",$B$2="Zone 2"),'GCM_Purlin 1.0'!M528,IF(AND($B$3="Purlin",$B$2="Zone 3"),'GCM_Purlin 1.0'!X528,IF(AND($B$3="Purlin",$B$2="Zone 4"),'GCM_Purlin 1.0'!AF528,IF(AND($B$3="Purlin",$B$2="Zone 5"),'GCM_Purlin 1.0'!AQ528,IF(AND($B$3="Clip",$B$2="Zone 1"),'GCN_Clip 1.0'!G97,IF(AND($B$3="Clip",$B$2="Zone 2"),'GCN_Clip 1.0'!C98,IF(AND($B$3="Clip",$B$2="Zone 3"),'GCN_Clip 1.0'!G99,IF(AND($B$3="Clip",$B$2="Zone 4"),'GCN_Clip 1.0'!G100,IF(AND($B$3="Clip",$B$2="Zone 5"),'GCN_Clip 1.0'!G101,IF(AND($B$3="Post",$B$2="Zone 1"),'GCN_Post 1.0'!E381,IF(AND($B$3="Post",$B$2="Zone 2"),'GCN_Post 1.0'!F381,IF(AND($B$3="Post",$B$2="Zone 3"),'GCN_Post 1.0'!G381,IF(AND($B$3="Post",$B$2="Zone 4"),'GCN_Post 1.0'!H381,IF(AND($B$3="Post",$B$2="Zone 5"),'GCN_Post 1.0'!I381,"ERROR")))))))))))))))))))</f>
        <v/>
      </c>
      <c r="V267" s="27" t="str">
        <f t="shared" si="82"/>
        <v/>
      </c>
      <c r="W267" t="str">
        <f t="shared" si="83"/>
        <v/>
      </c>
      <c r="X267" t="str">
        <f t="shared" si="84"/>
        <v/>
      </c>
      <c r="Y267" t="str">
        <f t="shared" si="85"/>
        <v/>
      </c>
      <c r="Z267" t="str">
        <f t="shared" si="86"/>
        <v/>
      </c>
      <c r="AA267" t="str">
        <f t="shared" si="87"/>
        <v/>
      </c>
      <c r="AB267" s="82" t="str">
        <f>IF(AND($B$3="Cantilever",$B$2="Zone 1"),'GCM_Cantilever 1.0'!$G458,IF(AND($B$3="Cantilever",$B$2="Zone 2"),'GCM_Cantilever 1.0'!K458,IF(AND($B$3="HalfTracker",$B$2="Zone 1"),'GCM_Halftracker 1.0'!F473,IF(AND($B$3="HalfTracker",$B$2="Zone 2"),'GCM_Halftracker 1.0'!J473,IF(AND($B$3="Purlin",$B$2="Zone 1"),'GCM_Purlin 1.0'!F528,IF(AND($B$3="Purlin",$B$2="Zone 2"),'GCM_Purlin 1.0'!N528,IF(AND($B$3="Purlin",$B$2="Zone 3"),'GCM_Purlin 1.0'!Y528,IF(AND($B$3="Purlin",$B$2="Zone 4"),'GCM_Purlin 1.0'!AG528,IF(AND($B$3="Purlin",$B$2="Zone 5"),'GCM_Purlin 1.0'!AR528,IF(AND($B$3="Clip",$B$2="Zone 1"),'GCN_Clip 1.0'!H97,IF(AND($B$3="Clip",$B$2="Zone 2"),'GCN_Clip 1.0'!H98,IF(AND($B$3="Clip",$B$2="Zone 3"),'GCN_Clip 1.0'!H99,IF(AND($B$3="Clip",$B$2="Zone 4"),'GCN_Clip 1.0'!H100,IF(AND($B$3="Clip",$B$2="Zone 5"),'GCN_Clip 1.0'!H101,IF(AND($B$3="Post",$B$2="Zone 1"),'GCN_Post 1.0'!J381,IF(AND($B$3="Post",$B$2="Zone 2"),'GCN_Post 1.0'!K381,IF(AND($B$3="Post",$B$2="Zone 3"),'GCN_Post 1.0'!N381,IF(AND($B$3="Post",$B$2="Zone 4"),'GCN_Post 1.0'!O381,IF(AND($B$3="Post",$B$2="Zone 5"),'GCN_Post 1.0'!P381,"ERROR")))))))))))))))))))</f>
        <v/>
      </c>
      <c r="AD267" s="27" t="str">
        <f t="shared" si="88"/>
        <v/>
      </c>
      <c r="AE267" t="str">
        <f t="shared" si="89"/>
        <v/>
      </c>
      <c r="AF267" t="str">
        <f t="shared" si="90"/>
        <v/>
      </c>
      <c r="AG267" t="str">
        <f t="shared" si="91"/>
        <v/>
      </c>
      <c r="AH267" t="str">
        <f t="shared" si="92"/>
        <v/>
      </c>
      <c r="AI267" t="str">
        <f t="shared" si="93"/>
        <v/>
      </c>
      <c r="AJ267" s="82" t="str">
        <f>IF(AND($B$3="Cantilever",$B$2="Zone 1"),'GCM_Cantilever 1.0'!$H458,IF(AND($B$3="Cantilever",$B$2="Zone 2"),'GCM_Cantilever 1.0'!L458,IF(AND($B$3="HalfTracker",$B$2="Zone 1"),'GCM_Halftracker 1.0'!G473,IF(AND($B$3="HalfTracker",$B$2="Zone 2"),'GCM_Halftracker 1.0'!K473,IF(AND($B$3="Purlin",$B$2="Zone 1"),'GCM_Purlin 1.0'!G528,IF(AND($B$3="Purlin",$B$2="Zone 2"),'GCM_Purlin 1.0'!O528,IF(AND($B$3="Purlin",$B$2="Zone 3"),'GCM_Purlin 1.0'!Z528,IF(AND($B$3="Purlin",$B$2="Zone 4"),'GCM_Purlin 1.0'!AH528,IF(AND($B$3="Purlin",$B$2="Zone 5"),'GCM_Purlin 1.0'!AS528,IF(AND($B$3="Clip",$B$2="Zone 1"),'GCN_Clip 1.0'!#REF!,IF(AND($B$3="Clip",$B$2="Zone 2"),'GCN_Clip 1.0'!#REF!,IF(AND($B$3="Clip",$B$2="Zone 3"),'GCN_Clip 1.0'!#REF!,IF(AND($B$3="Clip",$B$2="Zone 4"),'GCN_Clip 1.0'!#REF!,IF(AND($B$3="Clip",$B$2="Zone 5"),'GCN_Clip 1.0'!#REF!,IF(AND($B$3="Post",$B$2="Zone 1"),'GCN_Post 1.0'!Q381,IF(AND($B$3="Post",$B$2="Zone 2"),'GCN_Post 1.0'!R381,IF(AND($B$3="Post",$B$2="Zone 3"),'GCN_Post 1.0'!S381,IF(AND($B$3="Post",$B$2="Zone 4"),'GCN_Post 1.0'!T381,IF(AND($B$3="Post",$B$2="Zone 5"),'GCN_Post 1.0'!V381,"ERROR")))))))))))))))))))</f>
        <v/>
      </c>
      <c r="AL267" s="27" t="str">
        <f t="shared" si="94"/>
        <v/>
      </c>
      <c r="AM267" t="str">
        <f t="shared" si="95"/>
        <v/>
      </c>
      <c r="AN267" t="str">
        <f t="shared" si="96"/>
        <v/>
      </c>
      <c r="AO267" t="str">
        <f t="shared" si="97"/>
        <v/>
      </c>
      <c r="AP267" t="str">
        <f t="shared" si="98"/>
        <v/>
      </c>
      <c r="AQ267" t="str">
        <f t="shared" si="99"/>
        <v/>
      </c>
      <c r="AR267" s="82" t="str">
        <f>IF(AND($B$3="Cantilever",$B$2="Zone 1"),'GCM_Cantilever 1.0'!$I458,IF(AND($B$3="Cantilever",$B$2="Zone 2"),'GCM_Cantilever 1.0'!M458,IF(AND($B$3="HalfTracker",$B$2="Zone 1"),'GCM_Halftracker 1.0'!H473,IF(AND($B$3="HalfTracker",$B$2="Zone 2"),'GCM_Halftracker 1.0'!L473,IF(AND($B$3="Purlin",$B$2="Zone 1"),'GCM_Purlin 1.0'!H528,IF(AND($B$3="Purlin",$B$2="Zone 2"),'GCM_Purlin 1.0'!P528,IF(AND($B$3="Purlin",$B$2="Zone 3"),'GCM_Purlin 1.0'!AA528,IF(AND($B$3="Purlin",$B$2="Zone 4"),'GCM_Purlin 1.0'!AI528,IF(AND($B$3="Purlin",$B$2="Zone 5"),'GCM_Purlin 1.0'!AT528,IF(AND($B$3="Clip",$B$2="Zone 1"),'GCN_Clip 1.0'!#REF!,IF(AND($B$3="Clip",$B$2="Zone 2"),'GCN_Clip 1.0'!#REF!,IF(AND($B$3="Clip",$B$2="Zone 3"),'GCN_Clip 1.0'!#REF!,IF(AND($B$3="Clip",$B$2="Zone 4"),'GCN_Clip 1.0'!#REF!,IF(AND($B$3="Clip",$B$2="Zone 5"),'GCN_Clip 1.0'!#REF!,IF(AND($B$3="Post",$B$2="Zone 1"),'GCN_Post 1.0'!W381,IF(AND($B$3="Post",$B$2="Zone 2"),'GCN_Post 1.0'!X381,IF(AND($B$3="Post",$B$2="Zone 3"),'GCN_Post 1.0'!Y381,IF(AND($B$3="Post",$B$2="Zone 4"),'GCN_Post 1.0'!Z381,IF(AND($B$3="Post",$B$2="Zone 5"),'GCN_Post 1.0'!AA381,"ERROR")))))))))))))))))))</f>
        <v/>
      </c>
    </row>
    <row r="268" spans="6:44" x14ac:dyDescent="0.25">
      <c r="F268">
        <v>95</v>
      </c>
      <c r="G268" s="27" t="str">
        <f t="shared" si="72"/>
        <v/>
      </c>
      <c r="H268" t="str">
        <f t="shared" si="73"/>
        <v/>
      </c>
      <c r="I268" t="str">
        <f t="shared" si="74"/>
        <v/>
      </c>
      <c r="J268" s="28" t="str">
        <f t="shared" si="75"/>
        <v/>
      </c>
      <c r="M268">
        <v>95</v>
      </c>
      <c r="N268" s="27" t="str">
        <f t="shared" si="76"/>
        <v/>
      </c>
      <c r="O268" t="str">
        <f t="shared" si="77"/>
        <v/>
      </c>
      <c r="P268" t="str">
        <f t="shared" si="78"/>
        <v/>
      </c>
      <c r="Q268" t="str">
        <f t="shared" si="79"/>
        <v/>
      </c>
      <c r="R268" t="str">
        <f t="shared" si="80"/>
        <v/>
      </c>
      <c r="S268" t="str">
        <f t="shared" si="81"/>
        <v/>
      </c>
      <c r="T268" s="82" t="str">
        <f>IF(AND($B$3="Cantilever",$B$2="Zone 1"),'GCM_Cantilever 1.0'!$F459,IF(AND($B$3="Cantilever",$B$2="Zone 2"),'GCM_Cantilever 1.0'!J459,IF(AND($B$3="HalfTracker",$B$2="Zone 1"),'GCM_Halftracker 1.0'!E474,IF(AND($B$3="HalfTracker",$B$2="Zone 2"),'GCM_Halftracker 1.0'!I474,IF(AND($B$3="Purlin",$B$2="Zone 1"),'GCM_Purlin 1.0'!E529,IF(AND($B$3="Purlin",$B$2="Zone 2"),'GCM_Purlin 1.0'!M529,IF(AND($B$3="Purlin",$B$2="Zone 3"),'GCM_Purlin 1.0'!X529,IF(AND($B$3="Purlin",$B$2="Zone 4"),'GCM_Purlin 1.0'!AF529,IF(AND($B$3="Purlin",$B$2="Zone 5"),'GCM_Purlin 1.0'!AQ529,IF(AND($B$3="Clip",$B$2="Zone 1"),'GCN_Clip 1.0'!G98,IF(AND($B$3="Clip",$B$2="Zone 2"),'GCN_Clip 1.0'!C99,IF(AND($B$3="Clip",$B$2="Zone 3"),'GCN_Clip 1.0'!G100,IF(AND($B$3="Clip",$B$2="Zone 4"),'GCN_Clip 1.0'!G101,IF(AND($B$3="Clip",$B$2="Zone 5"),'GCN_Clip 1.0'!G102,IF(AND($B$3="Post",$B$2="Zone 1"),'GCN_Post 1.0'!E382,IF(AND($B$3="Post",$B$2="Zone 2"),'GCN_Post 1.0'!F382,IF(AND($B$3="Post",$B$2="Zone 3"),'GCN_Post 1.0'!G382,IF(AND($B$3="Post",$B$2="Zone 4"),'GCN_Post 1.0'!H382,IF(AND($B$3="Post",$B$2="Zone 5"),'GCN_Post 1.0'!I382,"ERROR")))))))))))))))))))</f>
        <v/>
      </c>
      <c r="V268" s="27" t="str">
        <f t="shared" si="82"/>
        <v/>
      </c>
      <c r="W268" t="str">
        <f t="shared" si="83"/>
        <v/>
      </c>
      <c r="X268" t="str">
        <f t="shared" si="84"/>
        <v/>
      </c>
      <c r="Y268" t="str">
        <f t="shared" si="85"/>
        <v/>
      </c>
      <c r="Z268" t="str">
        <f t="shared" si="86"/>
        <v/>
      </c>
      <c r="AA268" t="str">
        <f t="shared" si="87"/>
        <v/>
      </c>
      <c r="AB268" s="82" t="str">
        <f>IF(AND($B$3="Cantilever",$B$2="Zone 1"),'GCM_Cantilever 1.0'!$G459,IF(AND($B$3="Cantilever",$B$2="Zone 2"),'GCM_Cantilever 1.0'!K459,IF(AND($B$3="HalfTracker",$B$2="Zone 1"),'GCM_Halftracker 1.0'!F474,IF(AND($B$3="HalfTracker",$B$2="Zone 2"),'GCM_Halftracker 1.0'!J474,IF(AND($B$3="Purlin",$B$2="Zone 1"),'GCM_Purlin 1.0'!F529,IF(AND($B$3="Purlin",$B$2="Zone 2"),'GCM_Purlin 1.0'!N529,IF(AND($B$3="Purlin",$B$2="Zone 3"),'GCM_Purlin 1.0'!Y529,IF(AND($B$3="Purlin",$B$2="Zone 4"),'GCM_Purlin 1.0'!AG529,IF(AND($B$3="Purlin",$B$2="Zone 5"),'GCM_Purlin 1.0'!AR529,IF(AND($B$3="Clip",$B$2="Zone 1"),'GCN_Clip 1.0'!H98,IF(AND($B$3="Clip",$B$2="Zone 2"),'GCN_Clip 1.0'!H99,IF(AND($B$3="Clip",$B$2="Zone 3"),'GCN_Clip 1.0'!H100,IF(AND($B$3="Clip",$B$2="Zone 4"),'GCN_Clip 1.0'!H101,IF(AND($B$3="Clip",$B$2="Zone 5"),'GCN_Clip 1.0'!H102,IF(AND($B$3="Post",$B$2="Zone 1"),'GCN_Post 1.0'!J382,IF(AND($B$3="Post",$B$2="Zone 2"),'GCN_Post 1.0'!K382,IF(AND($B$3="Post",$B$2="Zone 3"),'GCN_Post 1.0'!N382,IF(AND($B$3="Post",$B$2="Zone 4"),'GCN_Post 1.0'!O382,IF(AND($B$3="Post",$B$2="Zone 5"),'GCN_Post 1.0'!P382,"ERROR")))))))))))))))))))</f>
        <v/>
      </c>
      <c r="AD268" s="27" t="str">
        <f t="shared" si="88"/>
        <v/>
      </c>
      <c r="AE268" t="str">
        <f t="shared" si="89"/>
        <v/>
      </c>
      <c r="AF268" t="str">
        <f t="shared" si="90"/>
        <v/>
      </c>
      <c r="AG268" t="str">
        <f t="shared" si="91"/>
        <v/>
      </c>
      <c r="AH268" t="str">
        <f t="shared" si="92"/>
        <v/>
      </c>
      <c r="AI268" t="str">
        <f t="shared" si="93"/>
        <v/>
      </c>
      <c r="AJ268" s="82" t="str">
        <f>IF(AND($B$3="Cantilever",$B$2="Zone 1"),'GCM_Cantilever 1.0'!$H459,IF(AND($B$3="Cantilever",$B$2="Zone 2"),'GCM_Cantilever 1.0'!L459,IF(AND($B$3="HalfTracker",$B$2="Zone 1"),'GCM_Halftracker 1.0'!G474,IF(AND($B$3="HalfTracker",$B$2="Zone 2"),'GCM_Halftracker 1.0'!K474,IF(AND($B$3="Purlin",$B$2="Zone 1"),'GCM_Purlin 1.0'!G529,IF(AND($B$3="Purlin",$B$2="Zone 2"),'GCM_Purlin 1.0'!O529,IF(AND($B$3="Purlin",$B$2="Zone 3"),'GCM_Purlin 1.0'!Z529,IF(AND($B$3="Purlin",$B$2="Zone 4"),'GCM_Purlin 1.0'!AH529,IF(AND($B$3="Purlin",$B$2="Zone 5"),'GCM_Purlin 1.0'!AS529,IF(AND($B$3="Clip",$B$2="Zone 1"),'GCN_Clip 1.0'!#REF!,IF(AND($B$3="Clip",$B$2="Zone 2"),'GCN_Clip 1.0'!#REF!,IF(AND($B$3="Clip",$B$2="Zone 3"),'GCN_Clip 1.0'!#REF!,IF(AND($B$3="Clip",$B$2="Zone 4"),'GCN_Clip 1.0'!#REF!,IF(AND($B$3="Clip",$B$2="Zone 5"),'GCN_Clip 1.0'!#REF!,IF(AND($B$3="Post",$B$2="Zone 1"),'GCN_Post 1.0'!Q382,IF(AND($B$3="Post",$B$2="Zone 2"),'GCN_Post 1.0'!R382,IF(AND($B$3="Post",$B$2="Zone 3"),'GCN_Post 1.0'!S382,IF(AND($B$3="Post",$B$2="Zone 4"),'GCN_Post 1.0'!T382,IF(AND($B$3="Post",$B$2="Zone 5"),'GCN_Post 1.0'!V382,"ERROR")))))))))))))))))))</f>
        <v/>
      </c>
      <c r="AL268" s="27" t="str">
        <f t="shared" si="94"/>
        <v/>
      </c>
      <c r="AM268" t="str">
        <f t="shared" si="95"/>
        <v/>
      </c>
      <c r="AN268" t="str">
        <f t="shared" si="96"/>
        <v/>
      </c>
      <c r="AO268" t="str">
        <f t="shared" si="97"/>
        <v/>
      </c>
      <c r="AP268" t="str">
        <f t="shared" si="98"/>
        <v/>
      </c>
      <c r="AQ268" t="str">
        <f t="shared" si="99"/>
        <v/>
      </c>
      <c r="AR268" s="82" t="str">
        <f>IF(AND($B$3="Cantilever",$B$2="Zone 1"),'GCM_Cantilever 1.0'!$I459,IF(AND($B$3="Cantilever",$B$2="Zone 2"),'GCM_Cantilever 1.0'!M459,IF(AND($B$3="HalfTracker",$B$2="Zone 1"),'GCM_Halftracker 1.0'!H474,IF(AND($B$3="HalfTracker",$B$2="Zone 2"),'GCM_Halftracker 1.0'!L474,IF(AND($B$3="Purlin",$B$2="Zone 1"),'GCM_Purlin 1.0'!H529,IF(AND($B$3="Purlin",$B$2="Zone 2"),'GCM_Purlin 1.0'!P529,IF(AND($B$3="Purlin",$B$2="Zone 3"),'GCM_Purlin 1.0'!AA529,IF(AND($B$3="Purlin",$B$2="Zone 4"),'GCM_Purlin 1.0'!AI529,IF(AND($B$3="Purlin",$B$2="Zone 5"),'GCM_Purlin 1.0'!AT529,IF(AND($B$3="Clip",$B$2="Zone 1"),'GCN_Clip 1.0'!#REF!,IF(AND($B$3="Clip",$B$2="Zone 2"),'GCN_Clip 1.0'!#REF!,IF(AND($B$3="Clip",$B$2="Zone 3"),'GCN_Clip 1.0'!#REF!,IF(AND($B$3="Clip",$B$2="Zone 4"),'GCN_Clip 1.0'!#REF!,IF(AND($B$3="Clip",$B$2="Zone 5"),'GCN_Clip 1.0'!#REF!,IF(AND($B$3="Post",$B$2="Zone 1"),'GCN_Post 1.0'!W382,IF(AND($B$3="Post",$B$2="Zone 2"),'GCN_Post 1.0'!X382,IF(AND($B$3="Post",$B$2="Zone 3"),'GCN_Post 1.0'!Y382,IF(AND($B$3="Post",$B$2="Zone 4"),'GCN_Post 1.0'!Z382,IF(AND($B$3="Post",$B$2="Zone 5"),'GCN_Post 1.0'!AA382,"ERROR")))))))))))))))))))</f>
        <v/>
      </c>
    </row>
    <row r="269" spans="6:44" x14ac:dyDescent="0.25">
      <c r="F269">
        <v>96</v>
      </c>
      <c r="G269" s="27" t="str">
        <f t="shared" si="72"/>
        <v/>
      </c>
      <c r="H269" t="str">
        <f t="shared" si="73"/>
        <v/>
      </c>
      <c r="I269" t="str">
        <f t="shared" si="74"/>
        <v/>
      </c>
      <c r="J269" s="28" t="str">
        <f t="shared" si="75"/>
        <v/>
      </c>
      <c r="M269">
        <v>96</v>
      </c>
      <c r="N269" s="27" t="str">
        <f t="shared" si="76"/>
        <v/>
      </c>
      <c r="O269" t="str">
        <f t="shared" si="77"/>
        <v/>
      </c>
      <c r="P269" t="str">
        <f t="shared" si="78"/>
        <v/>
      </c>
      <c r="Q269" t="str">
        <f t="shared" si="79"/>
        <v/>
      </c>
      <c r="R269" t="str">
        <f t="shared" si="80"/>
        <v/>
      </c>
      <c r="S269" t="str">
        <f t="shared" si="81"/>
        <v/>
      </c>
      <c r="T269" s="82" t="str">
        <f>IF(AND($B$3="Cantilever",$B$2="Zone 1"),'GCM_Cantilever 1.0'!$F460,IF(AND($B$3="Cantilever",$B$2="Zone 2"),'GCM_Cantilever 1.0'!J460,IF(AND($B$3="HalfTracker",$B$2="Zone 1"),'GCM_Halftracker 1.0'!E475,IF(AND($B$3="HalfTracker",$B$2="Zone 2"),'GCM_Halftracker 1.0'!I475,IF(AND($B$3="Purlin",$B$2="Zone 1"),'GCM_Purlin 1.0'!E530,IF(AND($B$3="Purlin",$B$2="Zone 2"),'GCM_Purlin 1.0'!M530,IF(AND($B$3="Purlin",$B$2="Zone 3"),'GCM_Purlin 1.0'!X530,IF(AND($B$3="Purlin",$B$2="Zone 4"),'GCM_Purlin 1.0'!AF530,IF(AND($B$3="Purlin",$B$2="Zone 5"),'GCM_Purlin 1.0'!AQ530,IF(AND($B$3="Clip",$B$2="Zone 1"),'GCN_Clip 1.0'!G99,IF(AND($B$3="Clip",$B$2="Zone 2"),'GCN_Clip 1.0'!C100,IF(AND($B$3="Clip",$B$2="Zone 3"),'GCN_Clip 1.0'!G101,IF(AND($B$3="Clip",$B$2="Zone 4"),'GCN_Clip 1.0'!G102,IF(AND($B$3="Clip",$B$2="Zone 5"),'GCN_Clip 1.0'!G103,IF(AND($B$3="Post",$B$2="Zone 1"),'GCN_Post 1.0'!E383,IF(AND($B$3="Post",$B$2="Zone 2"),'GCN_Post 1.0'!F383,IF(AND($B$3="Post",$B$2="Zone 3"),'GCN_Post 1.0'!G383,IF(AND($B$3="Post",$B$2="Zone 4"),'GCN_Post 1.0'!H383,IF(AND($B$3="Post",$B$2="Zone 5"),'GCN_Post 1.0'!I383,"ERROR")))))))))))))))))))</f>
        <v/>
      </c>
      <c r="V269" s="27" t="str">
        <f t="shared" si="82"/>
        <v/>
      </c>
      <c r="W269" t="str">
        <f t="shared" si="83"/>
        <v/>
      </c>
      <c r="X269" t="str">
        <f t="shared" si="84"/>
        <v/>
      </c>
      <c r="Y269" t="str">
        <f t="shared" si="85"/>
        <v/>
      </c>
      <c r="Z269" t="str">
        <f t="shared" si="86"/>
        <v/>
      </c>
      <c r="AA269" t="str">
        <f t="shared" si="87"/>
        <v/>
      </c>
      <c r="AB269" s="82" t="str">
        <f>IF(AND($B$3="Cantilever",$B$2="Zone 1"),'GCM_Cantilever 1.0'!$G460,IF(AND($B$3="Cantilever",$B$2="Zone 2"),'GCM_Cantilever 1.0'!K460,IF(AND($B$3="HalfTracker",$B$2="Zone 1"),'GCM_Halftracker 1.0'!F475,IF(AND($B$3="HalfTracker",$B$2="Zone 2"),'GCM_Halftracker 1.0'!J475,IF(AND($B$3="Purlin",$B$2="Zone 1"),'GCM_Purlin 1.0'!F530,IF(AND($B$3="Purlin",$B$2="Zone 2"),'GCM_Purlin 1.0'!N530,IF(AND($B$3="Purlin",$B$2="Zone 3"),'GCM_Purlin 1.0'!Y530,IF(AND($B$3="Purlin",$B$2="Zone 4"),'GCM_Purlin 1.0'!AG530,IF(AND($B$3="Purlin",$B$2="Zone 5"),'GCM_Purlin 1.0'!AR530,IF(AND($B$3="Clip",$B$2="Zone 1"),'GCN_Clip 1.0'!H99,IF(AND($B$3="Clip",$B$2="Zone 2"),'GCN_Clip 1.0'!H100,IF(AND($B$3="Clip",$B$2="Zone 3"),'GCN_Clip 1.0'!H101,IF(AND($B$3="Clip",$B$2="Zone 4"),'GCN_Clip 1.0'!H102,IF(AND($B$3="Clip",$B$2="Zone 5"),'GCN_Clip 1.0'!H103,IF(AND($B$3="Post",$B$2="Zone 1"),'GCN_Post 1.0'!J383,IF(AND($B$3="Post",$B$2="Zone 2"),'GCN_Post 1.0'!K383,IF(AND($B$3="Post",$B$2="Zone 3"),'GCN_Post 1.0'!N383,IF(AND($B$3="Post",$B$2="Zone 4"),'GCN_Post 1.0'!O383,IF(AND($B$3="Post",$B$2="Zone 5"),'GCN_Post 1.0'!P383,"ERROR")))))))))))))))))))</f>
        <v/>
      </c>
      <c r="AD269" s="27" t="str">
        <f t="shared" si="88"/>
        <v/>
      </c>
      <c r="AE269" t="str">
        <f t="shared" si="89"/>
        <v/>
      </c>
      <c r="AF269" t="str">
        <f t="shared" si="90"/>
        <v/>
      </c>
      <c r="AG269" t="str">
        <f t="shared" si="91"/>
        <v/>
      </c>
      <c r="AH269" t="str">
        <f t="shared" si="92"/>
        <v/>
      </c>
      <c r="AI269" t="str">
        <f t="shared" si="93"/>
        <v/>
      </c>
      <c r="AJ269" s="82" t="str">
        <f>IF(AND($B$3="Cantilever",$B$2="Zone 1"),'GCM_Cantilever 1.0'!$H460,IF(AND($B$3="Cantilever",$B$2="Zone 2"),'GCM_Cantilever 1.0'!L460,IF(AND($B$3="HalfTracker",$B$2="Zone 1"),'GCM_Halftracker 1.0'!G475,IF(AND($B$3="HalfTracker",$B$2="Zone 2"),'GCM_Halftracker 1.0'!K475,IF(AND($B$3="Purlin",$B$2="Zone 1"),'GCM_Purlin 1.0'!G530,IF(AND($B$3="Purlin",$B$2="Zone 2"),'GCM_Purlin 1.0'!O530,IF(AND($B$3="Purlin",$B$2="Zone 3"),'GCM_Purlin 1.0'!Z530,IF(AND($B$3="Purlin",$B$2="Zone 4"),'GCM_Purlin 1.0'!AH530,IF(AND($B$3="Purlin",$B$2="Zone 5"),'GCM_Purlin 1.0'!AS530,IF(AND($B$3="Clip",$B$2="Zone 1"),'GCN_Clip 1.0'!#REF!,IF(AND($B$3="Clip",$B$2="Zone 2"),'GCN_Clip 1.0'!#REF!,IF(AND($B$3="Clip",$B$2="Zone 3"),'GCN_Clip 1.0'!#REF!,IF(AND($B$3="Clip",$B$2="Zone 4"),'GCN_Clip 1.0'!#REF!,IF(AND($B$3="Clip",$B$2="Zone 5"),'GCN_Clip 1.0'!#REF!,IF(AND($B$3="Post",$B$2="Zone 1"),'GCN_Post 1.0'!Q383,IF(AND($B$3="Post",$B$2="Zone 2"),'GCN_Post 1.0'!R383,IF(AND($B$3="Post",$B$2="Zone 3"),'GCN_Post 1.0'!S383,IF(AND($B$3="Post",$B$2="Zone 4"),'GCN_Post 1.0'!T383,IF(AND($B$3="Post",$B$2="Zone 5"),'GCN_Post 1.0'!V383,"ERROR")))))))))))))))))))</f>
        <v/>
      </c>
      <c r="AL269" s="27" t="str">
        <f t="shared" si="94"/>
        <v/>
      </c>
      <c r="AM269" t="str">
        <f t="shared" si="95"/>
        <v/>
      </c>
      <c r="AN269" t="str">
        <f t="shared" si="96"/>
        <v/>
      </c>
      <c r="AO269" t="str">
        <f t="shared" si="97"/>
        <v/>
      </c>
      <c r="AP269" t="str">
        <f t="shared" si="98"/>
        <v/>
      </c>
      <c r="AQ269" t="str">
        <f t="shared" si="99"/>
        <v/>
      </c>
      <c r="AR269" s="82" t="str">
        <f>IF(AND($B$3="Cantilever",$B$2="Zone 1"),'GCM_Cantilever 1.0'!$I460,IF(AND($B$3="Cantilever",$B$2="Zone 2"),'GCM_Cantilever 1.0'!M460,IF(AND($B$3="HalfTracker",$B$2="Zone 1"),'GCM_Halftracker 1.0'!H475,IF(AND($B$3="HalfTracker",$B$2="Zone 2"),'GCM_Halftracker 1.0'!L475,IF(AND($B$3="Purlin",$B$2="Zone 1"),'GCM_Purlin 1.0'!H530,IF(AND($B$3="Purlin",$B$2="Zone 2"),'GCM_Purlin 1.0'!P530,IF(AND($B$3="Purlin",$B$2="Zone 3"),'GCM_Purlin 1.0'!AA530,IF(AND($B$3="Purlin",$B$2="Zone 4"),'GCM_Purlin 1.0'!AI530,IF(AND($B$3="Purlin",$B$2="Zone 5"),'GCM_Purlin 1.0'!AT530,IF(AND($B$3="Clip",$B$2="Zone 1"),'GCN_Clip 1.0'!#REF!,IF(AND($B$3="Clip",$B$2="Zone 2"),'GCN_Clip 1.0'!#REF!,IF(AND($B$3="Clip",$B$2="Zone 3"),'GCN_Clip 1.0'!#REF!,IF(AND($B$3="Clip",$B$2="Zone 4"),'GCN_Clip 1.0'!#REF!,IF(AND($B$3="Clip",$B$2="Zone 5"),'GCN_Clip 1.0'!#REF!,IF(AND($B$3="Post",$B$2="Zone 1"),'GCN_Post 1.0'!W383,IF(AND($B$3="Post",$B$2="Zone 2"),'GCN_Post 1.0'!X383,IF(AND($B$3="Post",$B$2="Zone 3"),'GCN_Post 1.0'!Y383,IF(AND($B$3="Post",$B$2="Zone 4"),'GCN_Post 1.0'!Z383,IF(AND($B$3="Post",$B$2="Zone 5"),'GCN_Post 1.0'!AA383,"ERROR")))))))))))))))))))</f>
        <v/>
      </c>
    </row>
    <row r="270" spans="6:44" x14ac:dyDescent="0.25">
      <c r="F270">
        <v>97</v>
      </c>
      <c r="G270" s="27" t="str">
        <f t="shared" ref="G270:G301" si="100">IFERROR(VLOOKUP(SMALL($C$8:$C$170,F270),$C$8:$J$170,5,FALSE),"")</f>
        <v/>
      </c>
      <c r="H270" t="str">
        <f t="shared" ref="H270:H301" si="101">IFERROR(VLOOKUP(SMALL($C$8:$C$170,F270),$C$8:$J$170,6,FALSE),"")</f>
        <v/>
      </c>
      <c r="I270" t="str">
        <f t="shared" ref="I270:I301" si="102">IFERROR(VLOOKUP(SMALL($C$8:$C$170,F270),$C$8:$J$170,7,FALSE),"")</f>
        <v/>
      </c>
      <c r="J270" s="28" t="str">
        <f t="shared" ref="J270:J301" si="103">IFERROR(VLOOKUP(SMALL($C$8:$C$170,F270),$C$8:$J$170,8,FALSE),"")</f>
        <v/>
      </c>
      <c r="M270">
        <v>97</v>
      </c>
      <c r="N270" s="27" t="str">
        <f t="shared" ref="N270:N301" si="104">IFERROR(VLOOKUP(SMALL($N$8:$N$155,$M270),$N$8:$T$155,2,FALSE),"")</f>
        <v/>
      </c>
      <c r="O270" t="str">
        <f t="shared" ref="O270:O301" si="105">IFERROR(VLOOKUP(SMALL($N$8:$N$155,$M270),$N$8:$T$155,3,FALSE),"")</f>
        <v/>
      </c>
      <c r="P270" t="str">
        <f t="shared" ref="P270:P301" si="106">IFERROR(VLOOKUP(SMALL($N$8:$N$155,$M270),$N$8:$T$155,4,FALSE),"")</f>
        <v/>
      </c>
      <c r="Q270" t="str">
        <f t="shared" ref="Q270:Q301" si="107">IFERROR(VLOOKUP(SMALL($N$8:$N$155,$M270),$N$8:$T$155,5,FALSE),"")</f>
        <v/>
      </c>
      <c r="R270" t="str">
        <f t="shared" ref="R270:R301" si="108">IFERROR(VLOOKUP(SMALL($N$8:$N$155,$M270),$N$8:$T$155,6,FALSE),"")</f>
        <v/>
      </c>
      <c r="S270" t="str">
        <f t="shared" ref="S270:S301" si="109">IFERROR(VLOOKUP(SMALL($N$8:$N$155,$M270),$N$8:$T$155,7,FALSE),"")</f>
        <v/>
      </c>
      <c r="T270" s="82" t="str">
        <f>IF(AND($B$3="Cantilever",$B$2="Zone 1"),'GCM_Cantilever 1.0'!$F461,IF(AND($B$3="Cantilever",$B$2="Zone 2"),'GCM_Cantilever 1.0'!J461,IF(AND($B$3="HalfTracker",$B$2="Zone 1"),'GCM_Halftracker 1.0'!E476,IF(AND($B$3="HalfTracker",$B$2="Zone 2"),'GCM_Halftracker 1.0'!I476,IF(AND($B$3="Purlin",$B$2="Zone 1"),'GCM_Purlin 1.0'!E531,IF(AND($B$3="Purlin",$B$2="Zone 2"),'GCM_Purlin 1.0'!M531,IF(AND($B$3="Purlin",$B$2="Zone 3"),'GCM_Purlin 1.0'!X531,IF(AND($B$3="Purlin",$B$2="Zone 4"),'GCM_Purlin 1.0'!AF531,IF(AND($B$3="Purlin",$B$2="Zone 5"),'GCM_Purlin 1.0'!AQ531,IF(AND($B$3="Clip",$B$2="Zone 1"),'GCN_Clip 1.0'!G100,IF(AND($B$3="Clip",$B$2="Zone 2"),'GCN_Clip 1.0'!C101,IF(AND($B$3="Clip",$B$2="Zone 3"),'GCN_Clip 1.0'!G102,IF(AND($B$3="Clip",$B$2="Zone 4"),'GCN_Clip 1.0'!G103,IF(AND($B$3="Clip",$B$2="Zone 5"),'GCN_Clip 1.0'!G104,IF(AND($B$3="Post",$B$2="Zone 1"),'GCN_Post 1.0'!E384,IF(AND($B$3="Post",$B$2="Zone 2"),'GCN_Post 1.0'!F384,IF(AND($B$3="Post",$B$2="Zone 3"),'GCN_Post 1.0'!G384,IF(AND($B$3="Post",$B$2="Zone 4"),'GCN_Post 1.0'!H384,IF(AND($B$3="Post",$B$2="Zone 5"),'GCN_Post 1.0'!I384,"ERROR")))))))))))))))))))</f>
        <v/>
      </c>
      <c r="V270" s="27" t="str">
        <f t="shared" ref="V270:V301" si="110">IFERROR(VLOOKUP(SMALL($N$8:$N$155,$M270),$N$8:$T$155,2,FALSE),"")</f>
        <v/>
      </c>
      <c r="W270" t="str">
        <f t="shared" ref="W270:W301" si="111">IFERROR(VLOOKUP(SMALL($N$8:$N$155,$M270),$N$8:$T$155,3,FALSE),"")</f>
        <v/>
      </c>
      <c r="X270" t="str">
        <f t="shared" ref="X270:X301" si="112">IFERROR(VLOOKUP(SMALL($N$8:$N$155,$M270),$N$8:$T$155,4,FALSE),"")</f>
        <v/>
      </c>
      <c r="Y270" t="str">
        <f t="shared" ref="Y270:Y301" si="113">IFERROR(VLOOKUP(SMALL($N$8:$N$155,$M270),$N$8:$T$155,5,FALSE),"")</f>
        <v/>
      </c>
      <c r="Z270" t="str">
        <f t="shared" ref="Z270:Z301" si="114">IFERROR(VLOOKUP(SMALL($N$8:$N$155,$M270),$N$8:$T$155,6,FALSE),"")</f>
        <v/>
      </c>
      <c r="AA270" t="str">
        <f t="shared" ref="AA270:AA301" si="115">IFERROR(VLOOKUP(SMALL($N$8:$N$155,$M270),$N$8:$T$155,7,FALSE),"")</f>
        <v/>
      </c>
      <c r="AB270" s="82" t="str">
        <f>IF(AND($B$3="Cantilever",$B$2="Zone 1"),'GCM_Cantilever 1.0'!$G461,IF(AND($B$3="Cantilever",$B$2="Zone 2"),'GCM_Cantilever 1.0'!K461,IF(AND($B$3="HalfTracker",$B$2="Zone 1"),'GCM_Halftracker 1.0'!F476,IF(AND($B$3="HalfTracker",$B$2="Zone 2"),'GCM_Halftracker 1.0'!J476,IF(AND($B$3="Purlin",$B$2="Zone 1"),'GCM_Purlin 1.0'!F531,IF(AND($B$3="Purlin",$B$2="Zone 2"),'GCM_Purlin 1.0'!N531,IF(AND($B$3="Purlin",$B$2="Zone 3"),'GCM_Purlin 1.0'!Y531,IF(AND($B$3="Purlin",$B$2="Zone 4"),'GCM_Purlin 1.0'!AG531,IF(AND($B$3="Purlin",$B$2="Zone 5"),'GCM_Purlin 1.0'!AR531,IF(AND($B$3="Clip",$B$2="Zone 1"),'GCN_Clip 1.0'!H100,IF(AND($B$3="Clip",$B$2="Zone 2"),'GCN_Clip 1.0'!H101,IF(AND($B$3="Clip",$B$2="Zone 3"),'GCN_Clip 1.0'!H102,IF(AND($B$3="Clip",$B$2="Zone 4"),'GCN_Clip 1.0'!H103,IF(AND($B$3="Clip",$B$2="Zone 5"),'GCN_Clip 1.0'!H104,IF(AND($B$3="Post",$B$2="Zone 1"),'GCN_Post 1.0'!J384,IF(AND($B$3="Post",$B$2="Zone 2"),'GCN_Post 1.0'!K384,IF(AND($B$3="Post",$B$2="Zone 3"),'GCN_Post 1.0'!N384,IF(AND($B$3="Post",$B$2="Zone 4"),'GCN_Post 1.0'!O384,IF(AND($B$3="Post",$B$2="Zone 5"),'GCN_Post 1.0'!P384,"ERROR")))))))))))))))))))</f>
        <v/>
      </c>
      <c r="AD270" s="27" t="str">
        <f t="shared" ref="AD270:AD301" si="116">IFERROR(VLOOKUP(SMALL($N$8:$N$155,$M270),$N$8:$T$155,2,FALSE),"")</f>
        <v/>
      </c>
      <c r="AE270" t="str">
        <f t="shared" ref="AE270:AE301" si="117">IFERROR(VLOOKUP(SMALL($N$8:$N$155,$M270),$N$8:$T$155,3,FALSE),"")</f>
        <v/>
      </c>
      <c r="AF270" t="str">
        <f t="shared" ref="AF270:AF301" si="118">IFERROR(VLOOKUP(SMALL($N$8:$N$155,$M270),$N$8:$T$155,4,FALSE),"")</f>
        <v/>
      </c>
      <c r="AG270" t="str">
        <f t="shared" ref="AG270:AG301" si="119">IFERROR(VLOOKUP(SMALL($N$8:$N$155,$M270),$N$8:$T$155,5,FALSE),"")</f>
        <v/>
      </c>
      <c r="AH270" t="str">
        <f t="shared" ref="AH270:AH301" si="120">IFERROR(VLOOKUP(SMALL($N$8:$N$155,$M270),$N$8:$T$155,6,FALSE),"")</f>
        <v/>
      </c>
      <c r="AI270" t="str">
        <f t="shared" ref="AI270:AI301" si="121">IFERROR(VLOOKUP(SMALL($N$8:$N$155,$M270),$N$8:$T$155,7,FALSE),"")</f>
        <v/>
      </c>
      <c r="AJ270" s="82" t="str">
        <f>IF(AND($B$3="Cantilever",$B$2="Zone 1"),'GCM_Cantilever 1.0'!$H461,IF(AND($B$3="Cantilever",$B$2="Zone 2"),'GCM_Cantilever 1.0'!L461,IF(AND($B$3="HalfTracker",$B$2="Zone 1"),'GCM_Halftracker 1.0'!G476,IF(AND($B$3="HalfTracker",$B$2="Zone 2"),'GCM_Halftracker 1.0'!K476,IF(AND($B$3="Purlin",$B$2="Zone 1"),'GCM_Purlin 1.0'!G531,IF(AND($B$3="Purlin",$B$2="Zone 2"),'GCM_Purlin 1.0'!O531,IF(AND($B$3="Purlin",$B$2="Zone 3"),'GCM_Purlin 1.0'!Z531,IF(AND($B$3="Purlin",$B$2="Zone 4"),'GCM_Purlin 1.0'!AH531,IF(AND($B$3="Purlin",$B$2="Zone 5"),'GCM_Purlin 1.0'!AS531,IF(AND($B$3="Clip",$B$2="Zone 1"),'GCN_Clip 1.0'!#REF!,IF(AND($B$3="Clip",$B$2="Zone 2"),'GCN_Clip 1.0'!#REF!,IF(AND($B$3="Clip",$B$2="Zone 3"),'GCN_Clip 1.0'!#REF!,IF(AND($B$3="Clip",$B$2="Zone 4"),'GCN_Clip 1.0'!#REF!,IF(AND($B$3="Clip",$B$2="Zone 5"),'GCN_Clip 1.0'!#REF!,IF(AND($B$3="Post",$B$2="Zone 1"),'GCN_Post 1.0'!Q384,IF(AND($B$3="Post",$B$2="Zone 2"),'GCN_Post 1.0'!R384,IF(AND($B$3="Post",$B$2="Zone 3"),'GCN_Post 1.0'!S384,IF(AND($B$3="Post",$B$2="Zone 4"),'GCN_Post 1.0'!T384,IF(AND($B$3="Post",$B$2="Zone 5"),'GCN_Post 1.0'!V384,"ERROR")))))))))))))))))))</f>
        <v/>
      </c>
      <c r="AL270" s="27" t="str">
        <f t="shared" ref="AL270:AL301" si="122">IFERROR(VLOOKUP(SMALL($N$8:$N$155,$M270),$N$8:$T$155,2,FALSE),"")</f>
        <v/>
      </c>
      <c r="AM270" t="str">
        <f t="shared" ref="AM270:AM301" si="123">IFERROR(VLOOKUP(SMALL($N$8:$N$155,$M270),$N$8:$T$155,3,FALSE),"")</f>
        <v/>
      </c>
      <c r="AN270" t="str">
        <f t="shared" ref="AN270:AN301" si="124">IFERROR(VLOOKUP(SMALL($N$8:$N$155,$M270),$N$8:$T$155,4,FALSE),"")</f>
        <v/>
      </c>
      <c r="AO270" t="str">
        <f t="shared" ref="AO270:AO301" si="125">IFERROR(VLOOKUP(SMALL($N$8:$N$155,$M270),$N$8:$T$155,5,FALSE),"")</f>
        <v/>
      </c>
      <c r="AP270" t="str">
        <f t="shared" ref="AP270:AP301" si="126">IFERROR(VLOOKUP(SMALL($N$8:$N$155,$M270),$N$8:$T$155,6,FALSE),"")</f>
        <v/>
      </c>
      <c r="AQ270" t="str">
        <f t="shared" ref="AQ270:AQ301" si="127">IFERROR(VLOOKUP(SMALL($N$8:$N$155,$M270),$N$8:$T$155,7,FALSE),"")</f>
        <v/>
      </c>
      <c r="AR270" s="82" t="str">
        <f>IF(AND($B$3="Cantilever",$B$2="Zone 1"),'GCM_Cantilever 1.0'!$I461,IF(AND($B$3="Cantilever",$B$2="Zone 2"),'GCM_Cantilever 1.0'!M461,IF(AND($B$3="HalfTracker",$B$2="Zone 1"),'GCM_Halftracker 1.0'!H476,IF(AND($B$3="HalfTracker",$B$2="Zone 2"),'GCM_Halftracker 1.0'!L476,IF(AND($B$3="Purlin",$B$2="Zone 1"),'GCM_Purlin 1.0'!H531,IF(AND($B$3="Purlin",$B$2="Zone 2"),'GCM_Purlin 1.0'!P531,IF(AND($B$3="Purlin",$B$2="Zone 3"),'GCM_Purlin 1.0'!AA531,IF(AND($B$3="Purlin",$B$2="Zone 4"),'GCM_Purlin 1.0'!AI531,IF(AND($B$3="Purlin",$B$2="Zone 5"),'GCM_Purlin 1.0'!AT531,IF(AND($B$3="Clip",$B$2="Zone 1"),'GCN_Clip 1.0'!#REF!,IF(AND($B$3="Clip",$B$2="Zone 2"),'GCN_Clip 1.0'!#REF!,IF(AND($B$3="Clip",$B$2="Zone 3"),'GCN_Clip 1.0'!#REF!,IF(AND($B$3="Clip",$B$2="Zone 4"),'GCN_Clip 1.0'!#REF!,IF(AND($B$3="Clip",$B$2="Zone 5"),'GCN_Clip 1.0'!#REF!,IF(AND($B$3="Post",$B$2="Zone 1"),'GCN_Post 1.0'!W384,IF(AND($B$3="Post",$B$2="Zone 2"),'GCN_Post 1.0'!X384,IF(AND($B$3="Post",$B$2="Zone 3"),'GCN_Post 1.0'!Y384,IF(AND($B$3="Post",$B$2="Zone 4"),'GCN_Post 1.0'!Z384,IF(AND($B$3="Post",$B$2="Zone 5"),'GCN_Post 1.0'!AA384,"ERROR")))))))))))))))))))</f>
        <v/>
      </c>
    </row>
    <row r="271" spans="6:44" x14ac:dyDescent="0.25">
      <c r="F271">
        <v>98</v>
      </c>
      <c r="G271" s="27" t="str">
        <f t="shared" si="100"/>
        <v/>
      </c>
      <c r="H271" t="str">
        <f t="shared" si="101"/>
        <v/>
      </c>
      <c r="I271" t="str">
        <f t="shared" si="102"/>
        <v/>
      </c>
      <c r="J271" s="28" t="str">
        <f t="shared" si="103"/>
        <v/>
      </c>
      <c r="M271">
        <v>98</v>
      </c>
      <c r="N271" s="27" t="str">
        <f t="shared" si="104"/>
        <v/>
      </c>
      <c r="O271" t="str">
        <f t="shared" si="105"/>
        <v/>
      </c>
      <c r="P271" t="str">
        <f t="shared" si="106"/>
        <v/>
      </c>
      <c r="Q271" t="str">
        <f t="shared" si="107"/>
        <v/>
      </c>
      <c r="R271" t="str">
        <f t="shared" si="108"/>
        <v/>
      </c>
      <c r="S271" t="str">
        <f t="shared" si="109"/>
        <v/>
      </c>
      <c r="T271" s="82" t="str">
        <f>IF(AND($B$3="Cantilever",$B$2="Zone 1"),'GCM_Cantilever 1.0'!$F462,IF(AND($B$3="Cantilever",$B$2="Zone 2"),'GCM_Cantilever 1.0'!J462,IF(AND($B$3="HalfTracker",$B$2="Zone 1"),'GCM_Halftracker 1.0'!E477,IF(AND($B$3="HalfTracker",$B$2="Zone 2"),'GCM_Halftracker 1.0'!I477,IF(AND($B$3="Purlin",$B$2="Zone 1"),'GCM_Purlin 1.0'!E532,IF(AND($B$3="Purlin",$B$2="Zone 2"),'GCM_Purlin 1.0'!M532,IF(AND($B$3="Purlin",$B$2="Zone 3"),'GCM_Purlin 1.0'!X532,IF(AND($B$3="Purlin",$B$2="Zone 4"),'GCM_Purlin 1.0'!AF532,IF(AND($B$3="Purlin",$B$2="Zone 5"),'GCM_Purlin 1.0'!AQ532,IF(AND($B$3="Clip",$B$2="Zone 1"),'GCN_Clip 1.0'!G101,IF(AND($B$3="Clip",$B$2="Zone 2"),'GCN_Clip 1.0'!C102,IF(AND($B$3="Clip",$B$2="Zone 3"),'GCN_Clip 1.0'!G103,IF(AND($B$3="Clip",$B$2="Zone 4"),'GCN_Clip 1.0'!G104,IF(AND($B$3="Clip",$B$2="Zone 5"),'GCN_Clip 1.0'!G105,IF(AND($B$3="Post",$B$2="Zone 1"),'GCN_Post 1.0'!E385,IF(AND($B$3="Post",$B$2="Zone 2"),'GCN_Post 1.0'!F385,IF(AND($B$3="Post",$B$2="Zone 3"),'GCN_Post 1.0'!G385,IF(AND($B$3="Post",$B$2="Zone 4"),'GCN_Post 1.0'!H385,IF(AND($B$3="Post",$B$2="Zone 5"),'GCN_Post 1.0'!I385,"ERROR")))))))))))))))))))</f>
        <v/>
      </c>
      <c r="V271" s="27" t="str">
        <f t="shared" si="110"/>
        <v/>
      </c>
      <c r="W271" t="str">
        <f t="shared" si="111"/>
        <v/>
      </c>
      <c r="X271" t="str">
        <f t="shared" si="112"/>
        <v/>
      </c>
      <c r="Y271" t="str">
        <f t="shared" si="113"/>
        <v/>
      </c>
      <c r="Z271" t="str">
        <f t="shared" si="114"/>
        <v/>
      </c>
      <c r="AA271" t="str">
        <f t="shared" si="115"/>
        <v/>
      </c>
      <c r="AB271" s="82" t="str">
        <f>IF(AND($B$3="Cantilever",$B$2="Zone 1"),'GCM_Cantilever 1.0'!$G462,IF(AND($B$3="Cantilever",$B$2="Zone 2"),'GCM_Cantilever 1.0'!K462,IF(AND($B$3="HalfTracker",$B$2="Zone 1"),'GCM_Halftracker 1.0'!F477,IF(AND($B$3="HalfTracker",$B$2="Zone 2"),'GCM_Halftracker 1.0'!J477,IF(AND($B$3="Purlin",$B$2="Zone 1"),'GCM_Purlin 1.0'!F532,IF(AND($B$3="Purlin",$B$2="Zone 2"),'GCM_Purlin 1.0'!N532,IF(AND($B$3="Purlin",$B$2="Zone 3"),'GCM_Purlin 1.0'!Y532,IF(AND($B$3="Purlin",$B$2="Zone 4"),'GCM_Purlin 1.0'!AG532,IF(AND($B$3="Purlin",$B$2="Zone 5"),'GCM_Purlin 1.0'!AR532,IF(AND($B$3="Clip",$B$2="Zone 1"),'GCN_Clip 1.0'!H101,IF(AND($B$3="Clip",$B$2="Zone 2"),'GCN_Clip 1.0'!H102,IF(AND($B$3="Clip",$B$2="Zone 3"),'GCN_Clip 1.0'!H103,IF(AND($B$3="Clip",$B$2="Zone 4"),'GCN_Clip 1.0'!H104,IF(AND($B$3="Clip",$B$2="Zone 5"),'GCN_Clip 1.0'!H105,IF(AND($B$3="Post",$B$2="Zone 1"),'GCN_Post 1.0'!J385,IF(AND($B$3="Post",$B$2="Zone 2"),'GCN_Post 1.0'!K385,IF(AND($B$3="Post",$B$2="Zone 3"),'GCN_Post 1.0'!N385,IF(AND($B$3="Post",$B$2="Zone 4"),'GCN_Post 1.0'!O385,IF(AND($B$3="Post",$B$2="Zone 5"),'GCN_Post 1.0'!P385,"ERROR")))))))))))))))))))</f>
        <v/>
      </c>
      <c r="AD271" s="27" t="str">
        <f t="shared" si="116"/>
        <v/>
      </c>
      <c r="AE271" t="str">
        <f t="shared" si="117"/>
        <v/>
      </c>
      <c r="AF271" t="str">
        <f t="shared" si="118"/>
        <v/>
      </c>
      <c r="AG271" t="str">
        <f t="shared" si="119"/>
        <v/>
      </c>
      <c r="AH271" t="str">
        <f t="shared" si="120"/>
        <v/>
      </c>
      <c r="AI271" t="str">
        <f t="shared" si="121"/>
        <v/>
      </c>
      <c r="AJ271" s="82" t="str">
        <f>IF(AND($B$3="Cantilever",$B$2="Zone 1"),'GCM_Cantilever 1.0'!$H462,IF(AND($B$3="Cantilever",$B$2="Zone 2"),'GCM_Cantilever 1.0'!L462,IF(AND($B$3="HalfTracker",$B$2="Zone 1"),'GCM_Halftracker 1.0'!G477,IF(AND($B$3="HalfTracker",$B$2="Zone 2"),'GCM_Halftracker 1.0'!K477,IF(AND($B$3="Purlin",$B$2="Zone 1"),'GCM_Purlin 1.0'!G532,IF(AND($B$3="Purlin",$B$2="Zone 2"),'GCM_Purlin 1.0'!O532,IF(AND($B$3="Purlin",$B$2="Zone 3"),'GCM_Purlin 1.0'!Z532,IF(AND($B$3="Purlin",$B$2="Zone 4"),'GCM_Purlin 1.0'!AH532,IF(AND($B$3="Purlin",$B$2="Zone 5"),'GCM_Purlin 1.0'!AS532,IF(AND($B$3="Clip",$B$2="Zone 1"),'GCN_Clip 1.0'!#REF!,IF(AND($B$3="Clip",$B$2="Zone 2"),'GCN_Clip 1.0'!#REF!,IF(AND($B$3="Clip",$B$2="Zone 3"),'GCN_Clip 1.0'!#REF!,IF(AND($B$3="Clip",$B$2="Zone 4"),'GCN_Clip 1.0'!#REF!,IF(AND($B$3="Clip",$B$2="Zone 5"),'GCN_Clip 1.0'!#REF!,IF(AND($B$3="Post",$B$2="Zone 1"),'GCN_Post 1.0'!Q385,IF(AND($B$3="Post",$B$2="Zone 2"),'GCN_Post 1.0'!R385,IF(AND($B$3="Post",$B$2="Zone 3"),'GCN_Post 1.0'!S385,IF(AND($B$3="Post",$B$2="Zone 4"),'GCN_Post 1.0'!T385,IF(AND($B$3="Post",$B$2="Zone 5"),'GCN_Post 1.0'!V385,"ERROR")))))))))))))))))))</f>
        <v/>
      </c>
      <c r="AL271" s="27" t="str">
        <f t="shared" si="122"/>
        <v/>
      </c>
      <c r="AM271" t="str">
        <f t="shared" si="123"/>
        <v/>
      </c>
      <c r="AN271" t="str">
        <f t="shared" si="124"/>
        <v/>
      </c>
      <c r="AO271" t="str">
        <f t="shared" si="125"/>
        <v/>
      </c>
      <c r="AP271" t="str">
        <f t="shared" si="126"/>
        <v/>
      </c>
      <c r="AQ271" t="str">
        <f t="shared" si="127"/>
        <v/>
      </c>
      <c r="AR271" s="82" t="str">
        <f>IF(AND($B$3="Cantilever",$B$2="Zone 1"),'GCM_Cantilever 1.0'!$I462,IF(AND($B$3="Cantilever",$B$2="Zone 2"),'GCM_Cantilever 1.0'!M462,IF(AND($B$3="HalfTracker",$B$2="Zone 1"),'GCM_Halftracker 1.0'!H477,IF(AND($B$3="HalfTracker",$B$2="Zone 2"),'GCM_Halftracker 1.0'!L477,IF(AND($B$3="Purlin",$B$2="Zone 1"),'GCM_Purlin 1.0'!H532,IF(AND($B$3="Purlin",$B$2="Zone 2"),'GCM_Purlin 1.0'!P532,IF(AND($B$3="Purlin",$B$2="Zone 3"),'GCM_Purlin 1.0'!AA532,IF(AND($B$3="Purlin",$B$2="Zone 4"),'GCM_Purlin 1.0'!AI532,IF(AND($B$3="Purlin",$B$2="Zone 5"),'GCM_Purlin 1.0'!AT532,IF(AND($B$3="Clip",$B$2="Zone 1"),'GCN_Clip 1.0'!#REF!,IF(AND($B$3="Clip",$B$2="Zone 2"),'GCN_Clip 1.0'!#REF!,IF(AND($B$3="Clip",$B$2="Zone 3"),'GCN_Clip 1.0'!#REF!,IF(AND($B$3="Clip",$B$2="Zone 4"),'GCN_Clip 1.0'!#REF!,IF(AND($B$3="Clip",$B$2="Zone 5"),'GCN_Clip 1.0'!#REF!,IF(AND($B$3="Post",$B$2="Zone 1"),'GCN_Post 1.0'!W385,IF(AND($B$3="Post",$B$2="Zone 2"),'GCN_Post 1.0'!X385,IF(AND($B$3="Post",$B$2="Zone 3"),'GCN_Post 1.0'!Y385,IF(AND($B$3="Post",$B$2="Zone 4"),'GCN_Post 1.0'!Z385,IF(AND($B$3="Post",$B$2="Zone 5"),'GCN_Post 1.0'!AA385,"ERROR")))))))))))))))))))</f>
        <v/>
      </c>
    </row>
    <row r="272" spans="6:44" x14ac:dyDescent="0.25">
      <c r="F272">
        <v>99</v>
      </c>
      <c r="G272" s="27" t="str">
        <f t="shared" si="100"/>
        <v/>
      </c>
      <c r="H272" t="str">
        <f t="shared" si="101"/>
        <v/>
      </c>
      <c r="I272" t="str">
        <f t="shared" si="102"/>
        <v/>
      </c>
      <c r="J272" s="28" t="str">
        <f t="shared" si="103"/>
        <v/>
      </c>
      <c r="M272">
        <v>99</v>
      </c>
      <c r="N272" s="27" t="str">
        <f t="shared" si="104"/>
        <v/>
      </c>
      <c r="O272" t="str">
        <f t="shared" si="105"/>
        <v/>
      </c>
      <c r="P272" t="str">
        <f t="shared" si="106"/>
        <v/>
      </c>
      <c r="Q272" t="str">
        <f t="shared" si="107"/>
        <v/>
      </c>
      <c r="R272" t="str">
        <f t="shared" si="108"/>
        <v/>
      </c>
      <c r="S272" t="str">
        <f t="shared" si="109"/>
        <v/>
      </c>
      <c r="T272" s="82" t="str">
        <f>IF(AND($B$3="Cantilever",$B$2="Zone 1"),'GCM_Cantilever 1.0'!$F463,IF(AND($B$3="Cantilever",$B$2="Zone 2"),'GCM_Cantilever 1.0'!J463,IF(AND($B$3="HalfTracker",$B$2="Zone 1"),'GCM_Halftracker 1.0'!E478,IF(AND($B$3="HalfTracker",$B$2="Zone 2"),'GCM_Halftracker 1.0'!I478,IF(AND($B$3="Purlin",$B$2="Zone 1"),'GCM_Purlin 1.0'!E533,IF(AND($B$3="Purlin",$B$2="Zone 2"),'GCM_Purlin 1.0'!M533,IF(AND($B$3="Purlin",$B$2="Zone 3"),'GCM_Purlin 1.0'!X533,IF(AND($B$3="Purlin",$B$2="Zone 4"),'GCM_Purlin 1.0'!AF533,IF(AND($B$3="Purlin",$B$2="Zone 5"),'GCM_Purlin 1.0'!AQ533,IF(AND($B$3="Clip",$B$2="Zone 1"),'GCN_Clip 1.0'!G102,IF(AND($B$3="Clip",$B$2="Zone 2"),'GCN_Clip 1.0'!C103,IF(AND($B$3="Clip",$B$2="Zone 3"),'GCN_Clip 1.0'!G104,IF(AND($B$3="Clip",$B$2="Zone 4"),'GCN_Clip 1.0'!G105,IF(AND($B$3="Clip",$B$2="Zone 5"),'GCN_Clip 1.0'!G106,IF(AND($B$3="Post",$B$2="Zone 1"),'GCN_Post 1.0'!E386,IF(AND($B$3="Post",$B$2="Zone 2"),'GCN_Post 1.0'!F386,IF(AND($B$3="Post",$B$2="Zone 3"),'GCN_Post 1.0'!G386,IF(AND($B$3="Post",$B$2="Zone 4"),'GCN_Post 1.0'!H386,IF(AND($B$3="Post",$B$2="Zone 5"),'GCN_Post 1.0'!I386,"ERROR")))))))))))))))))))</f>
        <v/>
      </c>
      <c r="V272" s="27" t="str">
        <f t="shared" si="110"/>
        <v/>
      </c>
      <c r="W272" t="str">
        <f t="shared" si="111"/>
        <v/>
      </c>
      <c r="X272" t="str">
        <f t="shared" si="112"/>
        <v/>
      </c>
      <c r="Y272" t="str">
        <f t="shared" si="113"/>
        <v/>
      </c>
      <c r="Z272" t="str">
        <f t="shared" si="114"/>
        <v/>
      </c>
      <c r="AA272" t="str">
        <f t="shared" si="115"/>
        <v/>
      </c>
      <c r="AB272" s="82" t="str">
        <f>IF(AND($B$3="Cantilever",$B$2="Zone 1"),'GCM_Cantilever 1.0'!$G463,IF(AND($B$3="Cantilever",$B$2="Zone 2"),'GCM_Cantilever 1.0'!K463,IF(AND($B$3="HalfTracker",$B$2="Zone 1"),'GCM_Halftracker 1.0'!F478,IF(AND($B$3="HalfTracker",$B$2="Zone 2"),'GCM_Halftracker 1.0'!J478,IF(AND($B$3="Purlin",$B$2="Zone 1"),'GCM_Purlin 1.0'!F533,IF(AND($B$3="Purlin",$B$2="Zone 2"),'GCM_Purlin 1.0'!N533,IF(AND($B$3="Purlin",$B$2="Zone 3"),'GCM_Purlin 1.0'!Y533,IF(AND($B$3="Purlin",$B$2="Zone 4"),'GCM_Purlin 1.0'!AG533,IF(AND($B$3="Purlin",$B$2="Zone 5"),'GCM_Purlin 1.0'!AR533,IF(AND($B$3="Clip",$B$2="Zone 1"),'GCN_Clip 1.0'!H102,IF(AND($B$3="Clip",$B$2="Zone 2"),'GCN_Clip 1.0'!H103,IF(AND($B$3="Clip",$B$2="Zone 3"),'GCN_Clip 1.0'!H104,IF(AND($B$3="Clip",$B$2="Zone 4"),'GCN_Clip 1.0'!H105,IF(AND($B$3="Clip",$B$2="Zone 5"),'GCN_Clip 1.0'!H106,IF(AND($B$3="Post",$B$2="Zone 1"),'GCN_Post 1.0'!J386,IF(AND($B$3="Post",$B$2="Zone 2"),'GCN_Post 1.0'!K386,IF(AND($B$3="Post",$B$2="Zone 3"),'GCN_Post 1.0'!N386,IF(AND($B$3="Post",$B$2="Zone 4"),'GCN_Post 1.0'!O386,IF(AND($B$3="Post",$B$2="Zone 5"),'GCN_Post 1.0'!P386,"ERROR")))))))))))))))))))</f>
        <v/>
      </c>
      <c r="AD272" s="27" t="str">
        <f t="shared" si="116"/>
        <v/>
      </c>
      <c r="AE272" t="str">
        <f t="shared" si="117"/>
        <v/>
      </c>
      <c r="AF272" t="str">
        <f t="shared" si="118"/>
        <v/>
      </c>
      <c r="AG272" t="str">
        <f t="shared" si="119"/>
        <v/>
      </c>
      <c r="AH272" t="str">
        <f t="shared" si="120"/>
        <v/>
      </c>
      <c r="AI272" t="str">
        <f t="shared" si="121"/>
        <v/>
      </c>
      <c r="AJ272" s="82" t="str">
        <f>IF(AND($B$3="Cantilever",$B$2="Zone 1"),'GCM_Cantilever 1.0'!$H463,IF(AND($B$3="Cantilever",$B$2="Zone 2"),'GCM_Cantilever 1.0'!L463,IF(AND($B$3="HalfTracker",$B$2="Zone 1"),'GCM_Halftracker 1.0'!G478,IF(AND($B$3="HalfTracker",$B$2="Zone 2"),'GCM_Halftracker 1.0'!K478,IF(AND($B$3="Purlin",$B$2="Zone 1"),'GCM_Purlin 1.0'!G533,IF(AND($B$3="Purlin",$B$2="Zone 2"),'GCM_Purlin 1.0'!O533,IF(AND($B$3="Purlin",$B$2="Zone 3"),'GCM_Purlin 1.0'!Z533,IF(AND($B$3="Purlin",$B$2="Zone 4"),'GCM_Purlin 1.0'!AH533,IF(AND($B$3="Purlin",$B$2="Zone 5"),'GCM_Purlin 1.0'!AS533,IF(AND($B$3="Clip",$B$2="Zone 1"),'GCN_Clip 1.0'!#REF!,IF(AND($B$3="Clip",$B$2="Zone 2"),'GCN_Clip 1.0'!#REF!,IF(AND($B$3="Clip",$B$2="Zone 3"),'GCN_Clip 1.0'!#REF!,IF(AND($B$3="Clip",$B$2="Zone 4"),'GCN_Clip 1.0'!#REF!,IF(AND($B$3="Clip",$B$2="Zone 5"),'GCN_Clip 1.0'!#REF!,IF(AND($B$3="Post",$B$2="Zone 1"),'GCN_Post 1.0'!Q386,IF(AND($B$3="Post",$B$2="Zone 2"),'GCN_Post 1.0'!R386,IF(AND($B$3="Post",$B$2="Zone 3"),'GCN_Post 1.0'!S386,IF(AND($B$3="Post",$B$2="Zone 4"),'GCN_Post 1.0'!T386,IF(AND($B$3="Post",$B$2="Zone 5"),'GCN_Post 1.0'!V386,"ERROR")))))))))))))))))))</f>
        <v/>
      </c>
      <c r="AL272" s="27" t="str">
        <f t="shared" si="122"/>
        <v/>
      </c>
      <c r="AM272" t="str">
        <f t="shared" si="123"/>
        <v/>
      </c>
      <c r="AN272" t="str">
        <f t="shared" si="124"/>
        <v/>
      </c>
      <c r="AO272" t="str">
        <f t="shared" si="125"/>
        <v/>
      </c>
      <c r="AP272" t="str">
        <f t="shared" si="126"/>
        <v/>
      </c>
      <c r="AQ272" t="str">
        <f t="shared" si="127"/>
        <v/>
      </c>
      <c r="AR272" s="82" t="str">
        <f>IF(AND($B$3="Cantilever",$B$2="Zone 1"),'GCM_Cantilever 1.0'!$I463,IF(AND($B$3="Cantilever",$B$2="Zone 2"),'GCM_Cantilever 1.0'!M463,IF(AND($B$3="HalfTracker",$B$2="Zone 1"),'GCM_Halftracker 1.0'!H478,IF(AND($B$3="HalfTracker",$B$2="Zone 2"),'GCM_Halftracker 1.0'!L478,IF(AND($B$3="Purlin",$B$2="Zone 1"),'GCM_Purlin 1.0'!H533,IF(AND($B$3="Purlin",$B$2="Zone 2"),'GCM_Purlin 1.0'!P533,IF(AND($B$3="Purlin",$B$2="Zone 3"),'GCM_Purlin 1.0'!AA533,IF(AND($B$3="Purlin",$B$2="Zone 4"),'GCM_Purlin 1.0'!AI533,IF(AND($B$3="Purlin",$B$2="Zone 5"),'GCM_Purlin 1.0'!AT533,IF(AND($B$3="Clip",$B$2="Zone 1"),'GCN_Clip 1.0'!#REF!,IF(AND($B$3="Clip",$B$2="Zone 2"),'GCN_Clip 1.0'!#REF!,IF(AND($B$3="Clip",$B$2="Zone 3"),'GCN_Clip 1.0'!#REF!,IF(AND($B$3="Clip",$B$2="Zone 4"),'GCN_Clip 1.0'!#REF!,IF(AND($B$3="Clip",$B$2="Zone 5"),'GCN_Clip 1.0'!#REF!,IF(AND($B$3="Post",$B$2="Zone 1"),'GCN_Post 1.0'!W386,IF(AND($B$3="Post",$B$2="Zone 2"),'GCN_Post 1.0'!X386,IF(AND($B$3="Post",$B$2="Zone 3"),'GCN_Post 1.0'!Y386,IF(AND($B$3="Post",$B$2="Zone 4"),'GCN_Post 1.0'!Z386,IF(AND($B$3="Post",$B$2="Zone 5"),'GCN_Post 1.0'!AA386,"ERROR")))))))))))))))))))</f>
        <v/>
      </c>
    </row>
    <row r="273" spans="6:44" x14ac:dyDescent="0.25">
      <c r="F273">
        <v>100</v>
      </c>
      <c r="G273" s="27" t="str">
        <f t="shared" si="100"/>
        <v/>
      </c>
      <c r="H273" t="str">
        <f t="shared" si="101"/>
        <v/>
      </c>
      <c r="I273" t="str">
        <f t="shared" si="102"/>
        <v/>
      </c>
      <c r="J273" s="28" t="str">
        <f t="shared" si="103"/>
        <v/>
      </c>
      <c r="M273">
        <v>100</v>
      </c>
      <c r="N273" s="27" t="str">
        <f t="shared" si="104"/>
        <v/>
      </c>
      <c r="O273" t="str">
        <f t="shared" si="105"/>
        <v/>
      </c>
      <c r="P273" t="str">
        <f t="shared" si="106"/>
        <v/>
      </c>
      <c r="Q273" t="str">
        <f t="shared" si="107"/>
        <v/>
      </c>
      <c r="R273" t="str">
        <f t="shared" si="108"/>
        <v/>
      </c>
      <c r="S273" t="str">
        <f t="shared" si="109"/>
        <v/>
      </c>
      <c r="T273" s="82" t="str">
        <f>IF(AND($B$3="Cantilever",$B$2="Zone 1"),'GCM_Cantilever 1.0'!$F464,IF(AND($B$3="Cantilever",$B$2="Zone 2"),'GCM_Cantilever 1.0'!J464,IF(AND($B$3="HalfTracker",$B$2="Zone 1"),'GCM_Halftracker 1.0'!E479,IF(AND($B$3="HalfTracker",$B$2="Zone 2"),'GCM_Halftracker 1.0'!I479,IF(AND($B$3="Purlin",$B$2="Zone 1"),'GCM_Purlin 1.0'!E534,IF(AND($B$3="Purlin",$B$2="Zone 2"),'GCM_Purlin 1.0'!M534,IF(AND($B$3="Purlin",$B$2="Zone 3"),'GCM_Purlin 1.0'!X534,IF(AND($B$3="Purlin",$B$2="Zone 4"),'GCM_Purlin 1.0'!AF534,IF(AND($B$3="Purlin",$B$2="Zone 5"),'GCM_Purlin 1.0'!AQ534,IF(AND($B$3="Clip",$B$2="Zone 1"),'GCN_Clip 1.0'!G103,IF(AND($B$3="Clip",$B$2="Zone 2"),'GCN_Clip 1.0'!C104,IF(AND($B$3="Clip",$B$2="Zone 3"),'GCN_Clip 1.0'!G105,IF(AND($B$3="Clip",$B$2="Zone 4"),'GCN_Clip 1.0'!G106,IF(AND($B$3="Clip",$B$2="Zone 5"),'GCN_Clip 1.0'!G107,IF(AND($B$3="Post",$B$2="Zone 1"),'GCN_Post 1.0'!E387,IF(AND($B$3="Post",$B$2="Zone 2"),'GCN_Post 1.0'!F387,IF(AND($B$3="Post",$B$2="Zone 3"),'GCN_Post 1.0'!G387,IF(AND($B$3="Post",$B$2="Zone 4"),'GCN_Post 1.0'!H387,IF(AND($B$3="Post",$B$2="Zone 5"),'GCN_Post 1.0'!I387,"ERROR")))))))))))))))))))</f>
        <v/>
      </c>
      <c r="V273" s="27" t="str">
        <f t="shared" si="110"/>
        <v/>
      </c>
      <c r="W273" t="str">
        <f t="shared" si="111"/>
        <v/>
      </c>
      <c r="X273" t="str">
        <f t="shared" si="112"/>
        <v/>
      </c>
      <c r="Y273" t="str">
        <f t="shared" si="113"/>
        <v/>
      </c>
      <c r="Z273" t="str">
        <f t="shared" si="114"/>
        <v/>
      </c>
      <c r="AA273" t="str">
        <f t="shared" si="115"/>
        <v/>
      </c>
      <c r="AB273" s="82" t="str">
        <f>IF(AND($B$3="Cantilever",$B$2="Zone 1"),'GCM_Cantilever 1.0'!$G464,IF(AND($B$3="Cantilever",$B$2="Zone 2"),'GCM_Cantilever 1.0'!K464,IF(AND($B$3="HalfTracker",$B$2="Zone 1"),'GCM_Halftracker 1.0'!F479,IF(AND($B$3="HalfTracker",$B$2="Zone 2"),'GCM_Halftracker 1.0'!J479,IF(AND($B$3="Purlin",$B$2="Zone 1"),'GCM_Purlin 1.0'!F534,IF(AND($B$3="Purlin",$B$2="Zone 2"),'GCM_Purlin 1.0'!N534,IF(AND($B$3="Purlin",$B$2="Zone 3"),'GCM_Purlin 1.0'!Y534,IF(AND($B$3="Purlin",$B$2="Zone 4"),'GCM_Purlin 1.0'!AG534,IF(AND($B$3="Purlin",$B$2="Zone 5"),'GCM_Purlin 1.0'!AR534,IF(AND($B$3="Clip",$B$2="Zone 1"),'GCN_Clip 1.0'!H103,IF(AND($B$3="Clip",$B$2="Zone 2"),'GCN_Clip 1.0'!H104,IF(AND($B$3="Clip",$B$2="Zone 3"),'GCN_Clip 1.0'!H105,IF(AND($B$3="Clip",$B$2="Zone 4"),'GCN_Clip 1.0'!H106,IF(AND($B$3="Clip",$B$2="Zone 5"),'GCN_Clip 1.0'!H107,IF(AND($B$3="Post",$B$2="Zone 1"),'GCN_Post 1.0'!J387,IF(AND($B$3="Post",$B$2="Zone 2"),'GCN_Post 1.0'!K387,IF(AND($B$3="Post",$B$2="Zone 3"),'GCN_Post 1.0'!N387,IF(AND($B$3="Post",$B$2="Zone 4"),'GCN_Post 1.0'!O387,IF(AND($B$3="Post",$B$2="Zone 5"),'GCN_Post 1.0'!P387,"ERROR")))))))))))))))))))</f>
        <v/>
      </c>
      <c r="AD273" s="27" t="str">
        <f t="shared" si="116"/>
        <v/>
      </c>
      <c r="AE273" t="str">
        <f t="shared" si="117"/>
        <v/>
      </c>
      <c r="AF273" t="str">
        <f t="shared" si="118"/>
        <v/>
      </c>
      <c r="AG273" t="str">
        <f t="shared" si="119"/>
        <v/>
      </c>
      <c r="AH273" t="str">
        <f t="shared" si="120"/>
        <v/>
      </c>
      <c r="AI273" t="str">
        <f t="shared" si="121"/>
        <v/>
      </c>
      <c r="AJ273" s="82" t="str">
        <f>IF(AND($B$3="Cantilever",$B$2="Zone 1"),'GCM_Cantilever 1.0'!$H464,IF(AND($B$3="Cantilever",$B$2="Zone 2"),'GCM_Cantilever 1.0'!L464,IF(AND($B$3="HalfTracker",$B$2="Zone 1"),'GCM_Halftracker 1.0'!G479,IF(AND($B$3="HalfTracker",$B$2="Zone 2"),'GCM_Halftracker 1.0'!K479,IF(AND($B$3="Purlin",$B$2="Zone 1"),'GCM_Purlin 1.0'!G534,IF(AND($B$3="Purlin",$B$2="Zone 2"),'GCM_Purlin 1.0'!O534,IF(AND($B$3="Purlin",$B$2="Zone 3"),'GCM_Purlin 1.0'!Z534,IF(AND($B$3="Purlin",$B$2="Zone 4"),'GCM_Purlin 1.0'!AH534,IF(AND($B$3="Purlin",$B$2="Zone 5"),'GCM_Purlin 1.0'!AS534,IF(AND($B$3="Clip",$B$2="Zone 1"),'GCN_Clip 1.0'!#REF!,IF(AND($B$3="Clip",$B$2="Zone 2"),'GCN_Clip 1.0'!#REF!,IF(AND($B$3="Clip",$B$2="Zone 3"),'GCN_Clip 1.0'!#REF!,IF(AND($B$3="Clip",$B$2="Zone 4"),'GCN_Clip 1.0'!#REF!,IF(AND($B$3="Clip",$B$2="Zone 5"),'GCN_Clip 1.0'!#REF!,IF(AND($B$3="Post",$B$2="Zone 1"),'GCN_Post 1.0'!Q387,IF(AND($B$3="Post",$B$2="Zone 2"),'GCN_Post 1.0'!R387,IF(AND($B$3="Post",$B$2="Zone 3"),'GCN_Post 1.0'!S387,IF(AND($B$3="Post",$B$2="Zone 4"),'GCN_Post 1.0'!T387,IF(AND($B$3="Post",$B$2="Zone 5"),'GCN_Post 1.0'!V387,"ERROR")))))))))))))))))))</f>
        <v/>
      </c>
      <c r="AL273" s="27" t="str">
        <f t="shared" si="122"/>
        <v/>
      </c>
      <c r="AM273" t="str">
        <f t="shared" si="123"/>
        <v/>
      </c>
      <c r="AN273" t="str">
        <f t="shared" si="124"/>
        <v/>
      </c>
      <c r="AO273" t="str">
        <f t="shared" si="125"/>
        <v/>
      </c>
      <c r="AP273" t="str">
        <f t="shared" si="126"/>
        <v/>
      </c>
      <c r="AQ273" t="str">
        <f t="shared" si="127"/>
        <v/>
      </c>
      <c r="AR273" s="82" t="str">
        <f>IF(AND($B$3="Cantilever",$B$2="Zone 1"),'GCM_Cantilever 1.0'!$I464,IF(AND($B$3="Cantilever",$B$2="Zone 2"),'GCM_Cantilever 1.0'!M464,IF(AND($B$3="HalfTracker",$B$2="Zone 1"),'GCM_Halftracker 1.0'!H479,IF(AND($B$3="HalfTracker",$B$2="Zone 2"),'GCM_Halftracker 1.0'!L479,IF(AND($B$3="Purlin",$B$2="Zone 1"),'GCM_Purlin 1.0'!H534,IF(AND($B$3="Purlin",$B$2="Zone 2"),'GCM_Purlin 1.0'!P534,IF(AND($B$3="Purlin",$B$2="Zone 3"),'GCM_Purlin 1.0'!AA534,IF(AND($B$3="Purlin",$B$2="Zone 4"),'GCM_Purlin 1.0'!AI534,IF(AND($B$3="Purlin",$B$2="Zone 5"),'GCM_Purlin 1.0'!AT534,IF(AND($B$3="Clip",$B$2="Zone 1"),'GCN_Clip 1.0'!#REF!,IF(AND($B$3="Clip",$B$2="Zone 2"),'GCN_Clip 1.0'!#REF!,IF(AND($B$3="Clip",$B$2="Zone 3"),'GCN_Clip 1.0'!#REF!,IF(AND($B$3="Clip",$B$2="Zone 4"),'GCN_Clip 1.0'!#REF!,IF(AND($B$3="Clip",$B$2="Zone 5"),'GCN_Clip 1.0'!#REF!,IF(AND($B$3="Post",$B$2="Zone 1"),'GCN_Post 1.0'!W387,IF(AND($B$3="Post",$B$2="Zone 2"),'GCN_Post 1.0'!X387,IF(AND($B$3="Post",$B$2="Zone 3"),'GCN_Post 1.0'!Y387,IF(AND($B$3="Post",$B$2="Zone 4"),'GCN_Post 1.0'!Z387,IF(AND($B$3="Post",$B$2="Zone 5"),'GCN_Post 1.0'!AA387,"ERROR")))))))))))))))))))</f>
        <v/>
      </c>
    </row>
    <row r="274" spans="6:44" x14ac:dyDescent="0.25">
      <c r="F274">
        <v>101</v>
      </c>
      <c r="G274" s="27" t="str">
        <f t="shared" si="100"/>
        <v/>
      </c>
      <c r="H274" t="str">
        <f t="shared" si="101"/>
        <v/>
      </c>
      <c r="I274" t="str">
        <f t="shared" si="102"/>
        <v/>
      </c>
      <c r="J274" s="28" t="str">
        <f t="shared" si="103"/>
        <v/>
      </c>
      <c r="M274">
        <v>101</v>
      </c>
      <c r="N274" s="27" t="str">
        <f t="shared" si="104"/>
        <v/>
      </c>
      <c r="O274" t="str">
        <f t="shared" si="105"/>
        <v/>
      </c>
      <c r="P274" t="str">
        <f t="shared" si="106"/>
        <v/>
      </c>
      <c r="Q274" t="str">
        <f t="shared" si="107"/>
        <v/>
      </c>
      <c r="R274" t="str">
        <f t="shared" si="108"/>
        <v/>
      </c>
      <c r="S274" t="str">
        <f t="shared" si="109"/>
        <v/>
      </c>
      <c r="T274" s="82" t="str">
        <f>IF(AND($B$3="Cantilever",$B$2="Zone 1"),'GCM_Cantilever 1.0'!$F465,IF(AND($B$3="Cantilever",$B$2="Zone 2"),'GCM_Cantilever 1.0'!J465,IF(AND($B$3="HalfTracker",$B$2="Zone 1"),'GCM_Halftracker 1.0'!E480,IF(AND($B$3="HalfTracker",$B$2="Zone 2"),'GCM_Halftracker 1.0'!I480,IF(AND($B$3="Purlin",$B$2="Zone 1"),'GCM_Purlin 1.0'!E535,IF(AND($B$3="Purlin",$B$2="Zone 2"),'GCM_Purlin 1.0'!M535,IF(AND($B$3="Purlin",$B$2="Zone 3"),'GCM_Purlin 1.0'!X535,IF(AND($B$3="Purlin",$B$2="Zone 4"),'GCM_Purlin 1.0'!AF535,IF(AND($B$3="Purlin",$B$2="Zone 5"),'GCM_Purlin 1.0'!AQ535,IF(AND($B$3="Clip",$B$2="Zone 1"),'GCN_Clip 1.0'!G104,IF(AND($B$3="Clip",$B$2="Zone 2"),'GCN_Clip 1.0'!C105,IF(AND($B$3="Clip",$B$2="Zone 3"),'GCN_Clip 1.0'!G106,IF(AND($B$3="Clip",$B$2="Zone 4"),'GCN_Clip 1.0'!G107,IF(AND($B$3="Clip",$B$2="Zone 5"),'GCN_Clip 1.0'!G108,IF(AND($B$3="Post",$B$2="Zone 1"),'GCN_Post 1.0'!E388,IF(AND($B$3="Post",$B$2="Zone 2"),'GCN_Post 1.0'!F388,IF(AND($B$3="Post",$B$2="Zone 3"),'GCN_Post 1.0'!G388,IF(AND($B$3="Post",$B$2="Zone 4"),'GCN_Post 1.0'!H388,IF(AND($B$3="Post",$B$2="Zone 5"),'GCN_Post 1.0'!I388,"ERROR")))))))))))))))))))</f>
        <v/>
      </c>
      <c r="V274" s="27" t="str">
        <f t="shared" si="110"/>
        <v/>
      </c>
      <c r="W274" t="str">
        <f t="shared" si="111"/>
        <v/>
      </c>
      <c r="X274" t="str">
        <f t="shared" si="112"/>
        <v/>
      </c>
      <c r="Y274" t="str">
        <f t="shared" si="113"/>
        <v/>
      </c>
      <c r="Z274" t="str">
        <f t="shared" si="114"/>
        <v/>
      </c>
      <c r="AA274" t="str">
        <f t="shared" si="115"/>
        <v/>
      </c>
      <c r="AB274" s="82" t="str">
        <f>IF(AND($B$3="Cantilever",$B$2="Zone 1"),'GCM_Cantilever 1.0'!$G465,IF(AND($B$3="Cantilever",$B$2="Zone 2"),'GCM_Cantilever 1.0'!K465,IF(AND($B$3="HalfTracker",$B$2="Zone 1"),'GCM_Halftracker 1.0'!F480,IF(AND($B$3="HalfTracker",$B$2="Zone 2"),'GCM_Halftracker 1.0'!J480,IF(AND($B$3="Purlin",$B$2="Zone 1"),'GCM_Purlin 1.0'!F535,IF(AND($B$3="Purlin",$B$2="Zone 2"),'GCM_Purlin 1.0'!N535,IF(AND($B$3="Purlin",$B$2="Zone 3"),'GCM_Purlin 1.0'!Y535,IF(AND($B$3="Purlin",$B$2="Zone 4"),'GCM_Purlin 1.0'!AG535,IF(AND($B$3="Purlin",$B$2="Zone 5"),'GCM_Purlin 1.0'!AR535,IF(AND($B$3="Clip",$B$2="Zone 1"),'GCN_Clip 1.0'!H104,IF(AND($B$3="Clip",$B$2="Zone 2"),'GCN_Clip 1.0'!H105,IF(AND($B$3="Clip",$B$2="Zone 3"),'GCN_Clip 1.0'!H106,IF(AND($B$3="Clip",$B$2="Zone 4"),'GCN_Clip 1.0'!H107,IF(AND($B$3="Clip",$B$2="Zone 5"),'GCN_Clip 1.0'!H108,IF(AND($B$3="Post",$B$2="Zone 1"),'GCN_Post 1.0'!J388,IF(AND($B$3="Post",$B$2="Zone 2"),'GCN_Post 1.0'!K388,IF(AND($B$3="Post",$B$2="Zone 3"),'GCN_Post 1.0'!N388,IF(AND($B$3="Post",$B$2="Zone 4"),'GCN_Post 1.0'!O388,IF(AND($B$3="Post",$B$2="Zone 5"),'GCN_Post 1.0'!P388,"ERROR")))))))))))))))))))</f>
        <v/>
      </c>
      <c r="AD274" s="27" t="str">
        <f t="shared" si="116"/>
        <v/>
      </c>
      <c r="AE274" t="str">
        <f t="shared" si="117"/>
        <v/>
      </c>
      <c r="AF274" t="str">
        <f t="shared" si="118"/>
        <v/>
      </c>
      <c r="AG274" t="str">
        <f t="shared" si="119"/>
        <v/>
      </c>
      <c r="AH274" t="str">
        <f t="shared" si="120"/>
        <v/>
      </c>
      <c r="AI274" t="str">
        <f t="shared" si="121"/>
        <v/>
      </c>
      <c r="AJ274" s="82" t="str">
        <f>IF(AND($B$3="Cantilever",$B$2="Zone 1"),'GCM_Cantilever 1.0'!$H465,IF(AND($B$3="Cantilever",$B$2="Zone 2"),'GCM_Cantilever 1.0'!L465,IF(AND($B$3="HalfTracker",$B$2="Zone 1"),'GCM_Halftracker 1.0'!G480,IF(AND($B$3="HalfTracker",$B$2="Zone 2"),'GCM_Halftracker 1.0'!K480,IF(AND($B$3="Purlin",$B$2="Zone 1"),'GCM_Purlin 1.0'!G535,IF(AND($B$3="Purlin",$B$2="Zone 2"),'GCM_Purlin 1.0'!O535,IF(AND($B$3="Purlin",$B$2="Zone 3"),'GCM_Purlin 1.0'!Z535,IF(AND($B$3="Purlin",$B$2="Zone 4"),'GCM_Purlin 1.0'!AH535,IF(AND($B$3="Purlin",$B$2="Zone 5"),'GCM_Purlin 1.0'!AS535,IF(AND($B$3="Clip",$B$2="Zone 1"),'GCN_Clip 1.0'!#REF!,IF(AND($B$3="Clip",$B$2="Zone 2"),'GCN_Clip 1.0'!#REF!,IF(AND($B$3="Clip",$B$2="Zone 3"),'GCN_Clip 1.0'!#REF!,IF(AND($B$3="Clip",$B$2="Zone 4"),'GCN_Clip 1.0'!#REF!,IF(AND($B$3="Clip",$B$2="Zone 5"),'GCN_Clip 1.0'!#REF!,IF(AND($B$3="Post",$B$2="Zone 1"),'GCN_Post 1.0'!Q388,IF(AND($B$3="Post",$B$2="Zone 2"),'GCN_Post 1.0'!R388,IF(AND($B$3="Post",$B$2="Zone 3"),'GCN_Post 1.0'!S388,IF(AND($B$3="Post",$B$2="Zone 4"),'GCN_Post 1.0'!T388,IF(AND($B$3="Post",$B$2="Zone 5"),'GCN_Post 1.0'!V388,"ERROR")))))))))))))))))))</f>
        <v/>
      </c>
      <c r="AL274" s="27" t="str">
        <f t="shared" si="122"/>
        <v/>
      </c>
      <c r="AM274" t="str">
        <f t="shared" si="123"/>
        <v/>
      </c>
      <c r="AN274" t="str">
        <f t="shared" si="124"/>
        <v/>
      </c>
      <c r="AO274" t="str">
        <f t="shared" si="125"/>
        <v/>
      </c>
      <c r="AP274" t="str">
        <f t="shared" si="126"/>
        <v/>
      </c>
      <c r="AQ274" t="str">
        <f t="shared" si="127"/>
        <v/>
      </c>
      <c r="AR274" s="82" t="str">
        <f>IF(AND($B$3="Cantilever",$B$2="Zone 1"),'GCM_Cantilever 1.0'!$I465,IF(AND($B$3="Cantilever",$B$2="Zone 2"),'GCM_Cantilever 1.0'!M465,IF(AND($B$3="HalfTracker",$B$2="Zone 1"),'GCM_Halftracker 1.0'!H480,IF(AND($B$3="HalfTracker",$B$2="Zone 2"),'GCM_Halftracker 1.0'!L480,IF(AND($B$3="Purlin",$B$2="Zone 1"),'GCM_Purlin 1.0'!H535,IF(AND($B$3="Purlin",$B$2="Zone 2"),'GCM_Purlin 1.0'!P535,IF(AND($B$3="Purlin",$B$2="Zone 3"),'GCM_Purlin 1.0'!AA535,IF(AND($B$3="Purlin",$B$2="Zone 4"),'GCM_Purlin 1.0'!AI535,IF(AND($B$3="Purlin",$B$2="Zone 5"),'GCM_Purlin 1.0'!AT535,IF(AND($B$3="Clip",$B$2="Zone 1"),'GCN_Clip 1.0'!#REF!,IF(AND($B$3="Clip",$B$2="Zone 2"),'GCN_Clip 1.0'!#REF!,IF(AND($B$3="Clip",$B$2="Zone 3"),'GCN_Clip 1.0'!#REF!,IF(AND($B$3="Clip",$B$2="Zone 4"),'GCN_Clip 1.0'!#REF!,IF(AND($B$3="Clip",$B$2="Zone 5"),'GCN_Clip 1.0'!#REF!,IF(AND($B$3="Post",$B$2="Zone 1"),'GCN_Post 1.0'!W388,IF(AND($B$3="Post",$B$2="Zone 2"),'GCN_Post 1.0'!X388,IF(AND($B$3="Post",$B$2="Zone 3"),'GCN_Post 1.0'!Y388,IF(AND($B$3="Post",$B$2="Zone 4"),'GCN_Post 1.0'!Z388,IF(AND($B$3="Post",$B$2="Zone 5"),'GCN_Post 1.0'!AA388,"ERROR")))))))))))))))))))</f>
        <v/>
      </c>
    </row>
    <row r="275" spans="6:44" x14ac:dyDescent="0.25">
      <c r="F275">
        <v>102</v>
      </c>
      <c r="G275" s="27" t="str">
        <f t="shared" si="100"/>
        <v/>
      </c>
      <c r="H275" t="str">
        <f t="shared" si="101"/>
        <v/>
      </c>
      <c r="I275" t="str">
        <f t="shared" si="102"/>
        <v/>
      </c>
      <c r="J275" s="28" t="str">
        <f t="shared" si="103"/>
        <v/>
      </c>
      <c r="M275">
        <v>102</v>
      </c>
      <c r="N275" s="27" t="str">
        <f t="shared" si="104"/>
        <v/>
      </c>
      <c r="O275" t="str">
        <f t="shared" si="105"/>
        <v/>
      </c>
      <c r="P275" t="str">
        <f t="shared" si="106"/>
        <v/>
      </c>
      <c r="Q275" t="str">
        <f t="shared" si="107"/>
        <v/>
      </c>
      <c r="R275" t="str">
        <f t="shared" si="108"/>
        <v/>
      </c>
      <c r="S275" t="str">
        <f t="shared" si="109"/>
        <v/>
      </c>
      <c r="T275" s="82" t="str">
        <f>IF(AND($B$3="Cantilever",$B$2="Zone 1"),'GCM_Cantilever 1.0'!$F466,IF(AND($B$3="Cantilever",$B$2="Zone 2"),'GCM_Cantilever 1.0'!J466,IF(AND($B$3="HalfTracker",$B$2="Zone 1"),'GCM_Halftracker 1.0'!E481,IF(AND($B$3="HalfTracker",$B$2="Zone 2"),'GCM_Halftracker 1.0'!I481,IF(AND($B$3="Purlin",$B$2="Zone 1"),'GCM_Purlin 1.0'!E536,IF(AND($B$3="Purlin",$B$2="Zone 2"),'GCM_Purlin 1.0'!M536,IF(AND($B$3="Purlin",$B$2="Zone 3"),'GCM_Purlin 1.0'!X536,IF(AND($B$3="Purlin",$B$2="Zone 4"),'GCM_Purlin 1.0'!AF536,IF(AND($B$3="Purlin",$B$2="Zone 5"),'GCM_Purlin 1.0'!AQ536,IF(AND($B$3="Clip",$B$2="Zone 1"),'GCN_Clip 1.0'!G105,IF(AND($B$3="Clip",$B$2="Zone 2"),'GCN_Clip 1.0'!C106,IF(AND($B$3="Clip",$B$2="Zone 3"),'GCN_Clip 1.0'!G107,IF(AND($B$3="Clip",$B$2="Zone 4"),'GCN_Clip 1.0'!G108,IF(AND($B$3="Clip",$B$2="Zone 5"),'GCN_Clip 1.0'!G109,IF(AND($B$3="Post",$B$2="Zone 1"),'GCN_Post 1.0'!E389,IF(AND($B$3="Post",$B$2="Zone 2"),'GCN_Post 1.0'!F389,IF(AND($B$3="Post",$B$2="Zone 3"),'GCN_Post 1.0'!G389,IF(AND($B$3="Post",$B$2="Zone 4"),'GCN_Post 1.0'!H389,IF(AND($B$3="Post",$B$2="Zone 5"),'GCN_Post 1.0'!I389,"ERROR")))))))))))))))))))</f>
        <v/>
      </c>
      <c r="V275" s="27" t="str">
        <f t="shared" si="110"/>
        <v/>
      </c>
      <c r="W275" t="str">
        <f t="shared" si="111"/>
        <v/>
      </c>
      <c r="X275" t="str">
        <f t="shared" si="112"/>
        <v/>
      </c>
      <c r="Y275" t="str">
        <f t="shared" si="113"/>
        <v/>
      </c>
      <c r="Z275" t="str">
        <f t="shared" si="114"/>
        <v/>
      </c>
      <c r="AA275" t="str">
        <f t="shared" si="115"/>
        <v/>
      </c>
      <c r="AB275" s="82" t="str">
        <f>IF(AND($B$3="Cantilever",$B$2="Zone 1"),'GCM_Cantilever 1.0'!$G466,IF(AND($B$3="Cantilever",$B$2="Zone 2"),'GCM_Cantilever 1.0'!K466,IF(AND($B$3="HalfTracker",$B$2="Zone 1"),'GCM_Halftracker 1.0'!F481,IF(AND($B$3="HalfTracker",$B$2="Zone 2"),'GCM_Halftracker 1.0'!J481,IF(AND($B$3="Purlin",$B$2="Zone 1"),'GCM_Purlin 1.0'!F536,IF(AND($B$3="Purlin",$B$2="Zone 2"),'GCM_Purlin 1.0'!N536,IF(AND($B$3="Purlin",$B$2="Zone 3"),'GCM_Purlin 1.0'!Y536,IF(AND($B$3="Purlin",$B$2="Zone 4"),'GCM_Purlin 1.0'!AG536,IF(AND($B$3="Purlin",$B$2="Zone 5"),'GCM_Purlin 1.0'!AR536,IF(AND($B$3="Clip",$B$2="Zone 1"),'GCN_Clip 1.0'!H105,IF(AND($B$3="Clip",$B$2="Zone 2"),'GCN_Clip 1.0'!H106,IF(AND($B$3="Clip",$B$2="Zone 3"),'GCN_Clip 1.0'!H107,IF(AND($B$3="Clip",$B$2="Zone 4"),'GCN_Clip 1.0'!H108,IF(AND($B$3="Clip",$B$2="Zone 5"),'GCN_Clip 1.0'!H109,IF(AND($B$3="Post",$B$2="Zone 1"),'GCN_Post 1.0'!J389,IF(AND($B$3="Post",$B$2="Zone 2"),'GCN_Post 1.0'!K389,IF(AND($B$3="Post",$B$2="Zone 3"),'GCN_Post 1.0'!N389,IF(AND($B$3="Post",$B$2="Zone 4"),'GCN_Post 1.0'!O389,IF(AND($B$3="Post",$B$2="Zone 5"),'GCN_Post 1.0'!P389,"ERROR")))))))))))))))))))</f>
        <v/>
      </c>
      <c r="AD275" s="27" t="str">
        <f t="shared" si="116"/>
        <v/>
      </c>
      <c r="AE275" t="str">
        <f t="shared" si="117"/>
        <v/>
      </c>
      <c r="AF275" t="str">
        <f t="shared" si="118"/>
        <v/>
      </c>
      <c r="AG275" t="str">
        <f t="shared" si="119"/>
        <v/>
      </c>
      <c r="AH275" t="str">
        <f t="shared" si="120"/>
        <v/>
      </c>
      <c r="AI275" t="str">
        <f t="shared" si="121"/>
        <v/>
      </c>
      <c r="AJ275" s="82" t="str">
        <f>IF(AND($B$3="Cantilever",$B$2="Zone 1"),'GCM_Cantilever 1.0'!$H466,IF(AND($B$3="Cantilever",$B$2="Zone 2"),'GCM_Cantilever 1.0'!L466,IF(AND($B$3="HalfTracker",$B$2="Zone 1"),'GCM_Halftracker 1.0'!G481,IF(AND($B$3="HalfTracker",$B$2="Zone 2"),'GCM_Halftracker 1.0'!K481,IF(AND($B$3="Purlin",$B$2="Zone 1"),'GCM_Purlin 1.0'!G536,IF(AND($B$3="Purlin",$B$2="Zone 2"),'GCM_Purlin 1.0'!O536,IF(AND($B$3="Purlin",$B$2="Zone 3"),'GCM_Purlin 1.0'!Z536,IF(AND($B$3="Purlin",$B$2="Zone 4"),'GCM_Purlin 1.0'!AH536,IF(AND($B$3="Purlin",$B$2="Zone 5"),'GCM_Purlin 1.0'!AS536,IF(AND($B$3="Clip",$B$2="Zone 1"),'GCN_Clip 1.0'!#REF!,IF(AND($B$3="Clip",$B$2="Zone 2"),'GCN_Clip 1.0'!#REF!,IF(AND($B$3="Clip",$B$2="Zone 3"),'GCN_Clip 1.0'!#REF!,IF(AND($B$3="Clip",$B$2="Zone 4"),'GCN_Clip 1.0'!#REF!,IF(AND($B$3="Clip",$B$2="Zone 5"),'GCN_Clip 1.0'!#REF!,IF(AND($B$3="Post",$B$2="Zone 1"),'GCN_Post 1.0'!Q389,IF(AND($B$3="Post",$B$2="Zone 2"),'GCN_Post 1.0'!R389,IF(AND($B$3="Post",$B$2="Zone 3"),'GCN_Post 1.0'!S389,IF(AND($B$3="Post",$B$2="Zone 4"),'GCN_Post 1.0'!T389,IF(AND($B$3="Post",$B$2="Zone 5"),'GCN_Post 1.0'!V389,"ERROR")))))))))))))))))))</f>
        <v/>
      </c>
      <c r="AL275" s="27" t="str">
        <f t="shared" si="122"/>
        <v/>
      </c>
      <c r="AM275" t="str">
        <f t="shared" si="123"/>
        <v/>
      </c>
      <c r="AN275" t="str">
        <f t="shared" si="124"/>
        <v/>
      </c>
      <c r="AO275" t="str">
        <f t="shared" si="125"/>
        <v/>
      </c>
      <c r="AP275" t="str">
        <f t="shared" si="126"/>
        <v/>
      </c>
      <c r="AQ275" t="str">
        <f t="shared" si="127"/>
        <v/>
      </c>
      <c r="AR275" s="82" t="str">
        <f>IF(AND($B$3="Cantilever",$B$2="Zone 1"),'GCM_Cantilever 1.0'!$I466,IF(AND($B$3="Cantilever",$B$2="Zone 2"),'GCM_Cantilever 1.0'!M466,IF(AND($B$3="HalfTracker",$B$2="Zone 1"),'GCM_Halftracker 1.0'!H481,IF(AND($B$3="HalfTracker",$B$2="Zone 2"),'GCM_Halftracker 1.0'!L481,IF(AND($B$3="Purlin",$B$2="Zone 1"),'GCM_Purlin 1.0'!H536,IF(AND($B$3="Purlin",$B$2="Zone 2"),'GCM_Purlin 1.0'!P536,IF(AND($B$3="Purlin",$B$2="Zone 3"),'GCM_Purlin 1.0'!AA536,IF(AND($B$3="Purlin",$B$2="Zone 4"),'GCM_Purlin 1.0'!AI536,IF(AND($B$3="Purlin",$B$2="Zone 5"),'GCM_Purlin 1.0'!AT536,IF(AND($B$3="Clip",$B$2="Zone 1"),'GCN_Clip 1.0'!#REF!,IF(AND($B$3="Clip",$B$2="Zone 2"),'GCN_Clip 1.0'!#REF!,IF(AND($B$3="Clip",$B$2="Zone 3"),'GCN_Clip 1.0'!#REF!,IF(AND($B$3="Clip",$B$2="Zone 4"),'GCN_Clip 1.0'!#REF!,IF(AND($B$3="Clip",$B$2="Zone 5"),'GCN_Clip 1.0'!#REF!,IF(AND($B$3="Post",$B$2="Zone 1"),'GCN_Post 1.0'!W389,IF(AND($B$3="Post",$B$2="Zone 2"),'GCN_Post 1.0'!X389,IF(AND($B$3="Post",$B$2="Zone 3"),'GCN_Post 1.0'!Y389,IF(AND($B$3="Post",$B$2="Zone 4"),'GCN_Post 1.0'!Z389,IF(AND($B$3="Post",$B$2="Zone 5"),'GCN_Post 1.0'!AA389,"ERROR")))))))))))))))))))</f>
        <v/>
      </c>
    </row>
    <row r="276" spans="6:44" x14ac:dyDescent="0.25">
      <c r="F276">
        <v>103</v>
      </c>
      <c r="G276" s="27" t="str">
        <f t="shared" si="100"/>
        <v/>
      </c>
      <c r="H276" t="str">
        <f t="shared" si="101"/>
        <v/>
      </c>
      <c r="I276" t="str">
        <f t="shared" si="102"/>
        <v/>
      </c>
      <c r="J276" s="28" t="str">
        <f t="shared" si="103"/>
        <v/>
      </c>
      <c r="M276">
        <v>103</v>
      </c>
      <c r="N276" s="27" t="str">
        <f t="shared" si="104"/>
        <v/>
      </c>
      <c r="O276" t="str">
        <f t="shared" si="105"/>
        <v/>
      </c>
      <c r="P276" t="str">
        <f t="shared" si="106"/>
        <v/>
      </c>
      <c r="Q276" t="str">
        <f t="shared" si="107"/>
        <v/>
      </c>
      <c r="R276" t="str">
        <f t="shared" si="108"/>
        <v/>
      </c>
      <c r="S276" t="str">
        <f t="shared" si="109"/>
        <v/>
      </c>
      <c r="T276" s="82" t="str">
        <f>IF(AND($B$3="Cantilever",$B$2="Zone 1"),'GCM_Cantilever 1.0'!$F467,IF(AND($B$3="Cantilever",$B$2="Zone 2"),'GCM_Cantilever 1.0'!J467,IF(AND($B$3="HalfTracker",$B$2="Zone 1"),'GCM_Halftracker 1.0'!E482,IF(AND($B$3="HalfTracker",$B$2="Zone 2"),'GCM_Halftracker 1.0'!I482,IF(AND($B$3="Purlin",$B$2="Zone 1"),'GCM_Purlin 1.0'!E537,IF(AND($B$3="Purlin",$B$2="Zone 2"),'GCM_Purlin 1.0'!M537,IF(AND($B$3="Purlin",$B$2="Zone 3"),'GCM_Purlin 1.0'!X537,IF(AND($B$3="Purlin",$B$2="Zone 4"),'GCM_Purlin 1.0'!AF537,IF(AND($B$3="Purlin",$B$2="Zone 5"),'GCM_Purlin 1.0'!AQ537,IF(AND($B$3="Clip",$B$2="Zone 1"),'GCN_Clip 1.0'!G106,IF(AND($B$3="Clip",$B$2="Zone 2"),'GCN_Clip 1.0'!C107,IF(AND($B$3="Clip",$B$2="Zone 3"),'GCN_Clip 1.0'!G108,IF(AND($B$3="Clip",$B$2="Zone 4"),'GCN_Clip 1.0'!G109,IF(AND($B$3="Clip",$B$2="Zone 5"),'GCN_Clip 1.0'!G110,IF(AND($B$3="Post",$B$2="Zone 1"),'GCN_Post 1.0'!E390,IF(AND($B$3="Post",$B$2="Zone 2"),'GCN_Post 1.0'!F390,IF(AND($B$3="Post",$B$2="Zone 3"),'GCN_Post 1.0'!G390,IF(AND($B$3="Post",$B$2="Zone 4"),'GCN_Post 1.0'!H390,IF(AND($B$3="Post",$B$2="Zone 5"),'GCN_Post 1.0'!I390,"ERROR")))))))))))))))))))</f>
        <v/>
      </c>
      <c r="V276" s="27" t="str">
        <f t="shared" si="110"/>
        <v/>
      </c>
      <c r="W276" t="str">
        <f t="shared" si="111"/>
        <v/>
      </c>
      <c r="X276" t="str">
        <f t="shared" si="112"/>
        <v/>
      </c>
      <c r="Y276" t="str">
        <f t="shared" si="113"/>
        <v/>
      </c>
      <c r="Z276" t="str">
        <f t="shared" si="114"/>
        <v/>
      </c>
      <c r="AA276" t="str">
        <f t="shared" si="115"/>
        <v/>
      </c>
      <c r="AB276" s="82" t="str">
        <f>IF(AND($B$3="Cantilever",$B$2="Zone 1"),'GCM_Cantilever 1.0'!$G467,IF(AND($B$3="Cantilever",$B$2="Zone 2"),'GCM_Cantilever 1.0'!K467,IF(AND($B$3="HalfTracker",$B$2="Zone 1"),'GCM_Halftracker 1.0'!F482,IF(AND($B$3="HalfTracker",$B$2="Zone 2"),'GCM_Halftracker 1.0'!J482,IF(AND($B$3="Purlin",$B$2="Zone 1"),'GCM_Purlin 1.0'!F537,IF(AND($B$3="Purlin",$B$2="Zone 2"),'GCM_Purlin 1.0'!N537,IF(AND($B$3="Purlin",$B$2="Zone 3"),'GCM_Purlin 1.0'!Y537,IF(AND($B$3="Purlin",$B$2="Zone 4"),'GCM_Purlin 1.0'!AG537,IF(AND($B$3="Purlin",$B$2="Zone 5"),'GCM_Purlin 1.0'!AR537,IF(AND($B$3="Clip",$B$2="Zone 1"),'GCN_Clip 1.0'!H106,IF(AND($B$3="Clip",$B$2="Zone 2"),'GCN_Clip 1.0'!H107,IF(AND($B$3="Clip",$B$2="Zone 3"),'GCN_Clip 1.0'!H108,IF(AND($B$3="Clip",$B$2="Zone 4"),'GCN_Clip 1.0'!H109,IF(AND($B$3="Clip",$B$2="Zone 5"),'GCN_Clip 1.0'!H110,IF(AND($B$3="Post",$B$2="Zone 1"),'GCN_Post 1.0'!J390,IF(AND($B$3="Post",$B$2="Zone 2"),'GCN_Post 1.0'!K390,IF(AND($B$3="Post",$B$2="Zone 3"),'GCN_Post 1.0'!N390,IF(AND($B$3="Post",$B$2="Zone 4"),'GCN_Post 1.0'!O390,IF(AND($B$3="Post",$B$2="Zone 5"),'GCN_Post 1.0'!P390,"ERROR")))))))))))))))))))</f>
        <v/>
      </c>
      <c r="AD276" s="27" t="str">
        <f t="shared" si="116"/>
        <v/>
      </c>
      <c r="AE276" t="str">
        <f t="shared" si="117"/>
        <v/>
      </c>
      <c r="AF276" t="str">
        <f t="shared" si="118"/>
        <v/>
      </c>
      <c r="AG276" t="str">
        <f t="shared" si="119"/>
        <v/>
      </c>
      <c r="AH276" t="str">
        <f t="shared" si="120"/>
        <v/>
      </c>
      <c r="AI276" t="str">
        <f t="shared" si="121"/>
        <v/>
      </c>
      <c r="AJ276" s="82" t="str">
        <f>IF(AND($B$3="Cantilever",$B$2="Zone 1"),'GCM_Cantilever 1.0'!$H467,IF(AND($B$3="Cantilever",$B$2="Zone 2"),'GCM_Cantilever 1.0'!L467,IF(AND($B$3="HalfTracker",$B$2="Zone 1"),'GCM_Halftracker 1.0'!G482,IF(AND($B$3="HalfTracker",$B$2="Zone 2"),'GCM_Halftracker 1.0'!K482,IF(AND($B$3="Purlin",$B$2="Zone 1"),'GCM_Purlin 1.0'!G537,IF(AND($B$3="Purlin",$B$2="Zone 2"),'GCM_Purlin 1.0'!O537,IF(AND($B$3="Purlin",$B$2="Zone 3"),'GCM_Purlin 1.0'!Z537,IF(AND($B$3="Purlin",$B$2="Zone 4"),'GCM_Purlin 1.0'!AH537,IF(AND($B$3="Purlin",$B$2="Zone 5"),'GCM_Purlin 1.0'!AS537,IF(AND($B$3="Clip",$B$2="Zone 1"),'GCN_Clip 1.0'!#REF!,IF(AND($B$3="Clip",$B$2="Zone 2"),'GCN_Clip 1.0'!#REF!,IF(AND($B$3="Clip",$B$2="Zone 3"),'GCN_Clip 1.0'!#REF!,IF(AND($B$3="Clip",$B$2="Zone 4"),'GCN_Clip 1.0'!#REF!,IF(AND($B$3="Clip",$B$2="Zone 5"),'GCN_Clip 1.0'!#REF!,IF(AND($B$3="Post",$B$2="Zone 1"),'GCN_Post 1.0'!Q390,IF(AND($B$3="Post",$B$2="Zone 2"),'GCN_Post 1.0'!R390,IF(AND($B$3="Post",$B$2="Zone 3"),'GCN_Post 1.0'!S390,IF(AND($B$3="Post",$B$2="Zone 4"),'GCN_Post 1.0'!T390,IF(AND($B$3="Post",$B$2="Zone 5"),'GCN_Post 1.0'!V390,"ERROR")))))))))))))))))))</f>
        <v/>
      </c>
      <c r="AL276" s="27" t="str">
        <f t="shared" si="122"/>
        <v/>
      </c>
      <c r="AM276" t="str">
        <f t="shared" si="123"/>
        <v/>
      </c>
      <c r="AN276" t="str">
        <f t="shared" si="124"/>
        <v/>
      </c>
      <c r="AO276" t="str">
        <f t="shared" si="125"/>
        <v/>
      </c>
      <c r="AP276" t="str">
        <f t="shared" si="126"/>
        <v/>
      </c>
      <c r="AQ276" t="str">
        <f t="shared" si="127"/>
        <v/>
      </c>
      <c r="AR276" s="82" t="str">
        <f>IF(AND($B$3="Cantilever",$B$2="Zone 1"),'GCM_Cantilever 1.0'!$I467,IF(AND($B$3="Cantilever",$B$2="Zone 2"),'GCM_Cantilever 1.0'!M467,IF(AND($B$3="HalfTracker",$B$2="Zone 1"),'GCM_Halftracker 1.0'!H482,IF(AND($B$3="HalfTracker",$B$2="Zone 2"),'GCM_Halftracker 1.0'!L482,IF(AND($B$3="Purlin",$B$2="Zone 1"),'GCM_Purlin 1.0'!H537,IF(AND($B$3="Purlin",$B$2="Zone 2"),'GCM_Purlin 1.0'!P537,IF(AND($B$3="Purlin",$B$2="Zone 3"),'GCM_Purlin 1.0'!AA537,IF(AND($B$3="Purlin",$B$2="Zone 4"),'GCM_Purlin 1.0'!AI537,IF(AND($B$3="Purlin",$B$2="Zone 5"),'GCM_Purlin 1.0'!AT537,IF(AND($B$3="Clip",$B$2="Zone 1"),'GCN_Clip 1.0'!#REF!,IF(AND($B$3="Clip",$B$2="Zone 2"),'GCN_Clip 1.0'!#REF!,IF(AND($B$3="Clip",$B$2="Zone 3"),'GCN_Clip 1.0'!#REF!,IF(AND($B$3="Clip",$B$2="Zone 4"),'GCN_Clip 1.0'!#REF!,IF(AND($B$3="Clip",$B$2="Zone 5"),'GCN_Clip 1.0'!#REF!,IF(AND($B$3="Post",$B$2="Zone 1"),'GCN_Post 1.0'!W390,IF(AND($B$3="Post",$B$2="Zone 2"),'GCN_Post 1.0'!X390,IF(AND($B$3="Post",$B$2="Zone 3"),'GCN_Post 1.0'!Y390,IF(AND($B$3="Post",$B$2="Zone 4"),'GCN_Post 1.0'!Z390,IF(AND($B$3="Post",$B$2="Zone 5"),'GCN_Post 1.0'!AA390,"ERROR")))))))))))))))))))</f>
        <v/>
      </c>
    </row>
    <row r="277" spans="6:44" x14ac:dyDescent="0.25">
      <c r="F277">
        <v>104</v>
      </c>
      <c r="G277" s="27" t="str">
        <f t="shared" si="100"/>
        <v/>
      </c>
      <c r="H277" t="str">
        <f t="shared" si="101"/>
        <v/>
      </c>
      <c r="I277" t="str">
        <f t="shared" si="102"/>
        <v/>
      </c>
      <c r="J277" s="28" t="str">
        <f t="shared" si="103"/>
        <v/>
      </c>
      <c r="M277">
        <v>104</v>
      </c>
      <c r="N277" s="27" t="str">
        <f t="shared" si="104"/>
        <v/>
      </c>
      <c r="O277" t="str">
        <f t="shared" si="105"/>
        <v/>
      </c>
      <c r="P277" t="str">
        <f t="shared" si="106"/>
        <v/>
      </c>
      <c r="Q277" t="str">
        <f t="shared" si="107"/>
        <v/>
      </c>
      <c r="R277" t="str">
        <f t="shared" si="108"/>
        <v/>
      </c>
      <c r="S277" t="str">
        <f t="shared" si="109"/>
        <v/>
      </c>
      <c r="T277" s="82" t="str">
        <f>IF(AND($B$3="Cantilever",$B$2="Zone 1"),'GCM_Cantilever 1.0'!$F468,IF(AND($B$3="Cantilever",$B$2="Zone 2"),'GCM_Cantilever 1.0'!J468,IF(AND($B$3="HalfTracker",$B$2="Zone 1"),'GCM_Halftracker 1.0'!E483,IF(AND($B$3="HalfTracker",$B$2="Zone 2"),'GCM_Halftracker 1.0'!I483,IF(AND($B$3="Purlin",$B$2="Zone 1"),'GCM_Purlin 1.0'!E538,IF(AND($B$3="Purlin",$B$2="Zone 2"),'GCM_Purlin 1.0'!M538,IF(AND($B$3="Purlin",$B$2="Zone 3"),'GCM_Purlin 1.0'!X538,IF(AND($B$3="Purlin",$B$2="Zone 4"),'GCM_Purlin 1.0'!AF538,IF(AND($B$3="Purlin",$B$2="Zone 5"),'GCM_Purlin 1.0'!AQ538,IF(AND($B$3="Clip",$B$2="Zone 1"),'GCN_Clip 1.0'!G107,IF(AND($B$3="Clip",$B$2="Zone 2"),'GCN_Clip 1.0'!C108,IF(AND($B$3="Clip",$B$2="Zone 3"),'GCN_Clip 1.0'!G109,IF(AND($B$3="Clip",$B$2="Zone 4"),'GCN_Clip 1.0'!G110,IF(AND($B$3="Clip",$B$2="Zone 5"),'GCN_Clip 1.0'!G111,IF(AND($B$3="Post",$B$2="Zone 1"),'GCN_Post 1.0'!E391,IF(AND($B$3="Post",$B$2="Zone 2"),'GCN_Post 1.0'!F391,IF(AND($B$3="Post",$B$2="Zone 3"),'GCN_Post 1.0'!G391,IF(AND($B$3="Post",$B$2="Zone 4"),'GCN_Post 1.0'!H391,IF(AND($B$3="Post",$B$2="Zone 5"),'GCN_Post 1.0'!I391,"ERROR")))))))))))))))))))</f>
        <v/>
      </c>
      <c r="V277" s="27" t="str">
        <f t="shared" si="110"/>
        <v/>
      </c>
      <c r="W277" t="str">
        <f t="shared" si="111"/>
        <v/>
      </c>
      <c r="X277" t="str">
        <f t="shared" si="112"/>
        <v/>
      </c>
      <c r="Y277" t="str">
        <f t="shared" si="113"/>
        <v/>
      </c>
      <c r="Z277" t="str">
        <f t="shared" si="114"/>
        <v/>
      </c>
      <c r="AA277" t="str">
        <f t="shared" si="115"/>
        <v/>
      </c>
      <c r="AB277" s="82" t="str">
        <f>IF(AND($B$3="Cantilever",$B$2="Zone 1"),'GCM_Cantilever 1.0'!$G468,IF(AND($B$3="Cantilever",$B$2="Zone 2"),'GCM_Cantilever 1.0'!K468,IF(AND($B$3="HalfTracker",$B$2="Zone 1"),'GCM_Halftracker 1.0'!F483,IF(AND($B$3="HalfTracker",$B$2="Zone 2"),'GCM_Halftracker 1.0'!J483,IF(AND($B$3="Purlin",$B$2="Zone 1"),'GCM_Purlin 1.0'!F538,IF(AND($B$3="Purlin",$B$2="Zone 2"),'GCM_Purlin 1.0'!N538,IF(AND($B$3="Purlin",$B$2="Zone 3"),'GCM_Purlin 1.0'!Y538,IF(AND($B$3="Purlin",$B$2="Zone 4"),'GCM_Purlin 1.0'!AG538,IF(AND($B$3="Purlin",$B$2="Zone 5"),'GCM_Purlin 1.0'!AR538,IF(AND($B$3="Clip",$B$2="Zone 1"),'GCN_Clip 1.0'!H107,IF(AND($B$3="Clip",$B$2="Zone 2"),'GCN_Clip 1.0'!H108,IF(AND($B$3="Clip",$B$2="Zone 3"),'GCN_Clip 1.0'!H109,IF(AND($B$3="Clip",$B$2="Zone 4"),'GCN_Clip 1.0'!H110,IF(AND($B$3="Clip",$B$2="Zone 5"),'GCN_Clip 1.0'!H111,IF(AND($B$3="Post",$B$2="Zone 1"),'GCN_Post 1.0'!J391,IF(AND($B$3="Post",$B$2="Zone 2"),'GCN_Post 1.0'!K391,IF(AND($B$3="Post",$B$2="Zone 3"),'GCN_Post 1.0'!N391,IF(AND($B$3="Post",$B$2="Zone 4"),'GCN_Post 1.0'!O391,IF(AND($B$3="Post",$B$2="Zone 5"),'GCN_Post 1.0'!P391,"ERROR")))))))))))))))))))</f>
        <v/>
      </c>
      <c r="AD277" s="27" t="str">
        <f t="shared" si="116"/>
        <v/>
      </c>
      <c r="AE277" t="str">
        <f t="shared" si="117"/>
        <v/>
      </c>
      <c r="AF277" t="str">
        <f t="shared" si="118"/>
        <v/>
      </c>
      <c r="AG277" t="str">
        <f t="shared" si="119"/>
        <v/>
      </c>
      <c r="AH277" t="str">
        <f t="shared" si="120"/>
        <v/>
      </c>
      <c r="AI277" t="str">
        <f t="shared" si="121"/>
        <v/>
      </c>
      <c r="AJ277" s="82" t="str">
        <f>IF(AND($B$3="Cantilever",$B$2="Zone 1"),'GCM_Cantilever 1.0'!$H468,IF(AND($B$3="Cantilever",$B$2="Zone 2"),'GCM_Cantilever 1.0'!L468,IF(AND($B$3="HalfTracker",$B$2="Zone 1"),'GCM_Halftracker 1.0'!G483,IF(AND($B$3="HalfTracker",$B$2="Zone 2"),'GCM_Halftracker 1.0'!K483,IF(AND($B$3="Purlin",$B$2="Zone 1"),'GCM_Purlin 1.0'!G538,IF(AND($B$3="Purlin",$B$2="Zone 2"),'GCM_Purlin 1.0'!O538,IF(AND($B$3="Purlin",$B$2="Zone 3"),'GCM_Purlin 1.0'!Z538,IF(AND($B$3="Purlin",$B$2="Zone 4"),'GCM_Purlin 1.0'!AH538,IF(AND($B$3="Purlin",$B$2="Zone 5"),'GCM_Purlin 1.0'!AS538,IF(AND($B$3="Clip",$B$2="Zone 1"),'GCN_Clip 1.0'!#REF!,IF(AND($B$3="Clip",$B$2="Zone 2"),'GCN_Clip 1.0'!#REF!,IF(AND($B$3="Clip",$B$2="Zone 3"),'GCN_Clip 1.0'!#REF!,IF(AND($B$3="Clip",$B$2="Zone 4"),'GCN_Clip 1.0'!#REF!,IF(AND($B$3="Clip",$B$2="Zone 5"),'GCN_Clip 1.0'!#REF!,IF(AND($B$3="Post",$B$2="Zone 1"),'GCN_Post 1.0'!Q391,IF(AND($B$3="Post",$B$2="Zone 2"),'GCN_Post 1.0'!R391,IF(AND($B$3="Post",$B$2="Zone 3"),'GCN_Post 1.0'!S391,IF(AND($B$3="Post",$B$2="Zone 4"),'GCN_Post 1.0'!T391,IF(AND($B$3="Post",$B$2="Zone 5"),'GCN_Post 1.0'!V391,"ERROR")))))))))))))))))))</f>
        <v/>
      </c>
      <c r="AL277" s="27" t="str">
        <f t="shared" si="122"/>
        <v/>
      </c>
      <c r="AM277" t="str">
        <f t="shared" si="123"/>
        <v/>
      </c>
      <c r="AN277" t="str">
        <f t="shared" si="124"/>
        <v/>
      </c>
      <c r="AO277" t="str">
        <f t="shared" si="125"/>
        <v/>
      </c>
      <c r="AP277" t="str">
        <f t="shared" si="126"/>
        <v/>
      </c>
      <c r="AQ277" t="str">
        <f t="shared" si="127"/>
        <v/>
      </c>
      <c r="AR277" s="82" t="str">
        <f>IF(AND($B$3="Cantilever",$B$2="Zone 1"),'GCM_Cantilever 1.0'!$I468,IF(AND($B$3="Cantilever",$B$2="Zone 2"),'GCM_Cantilever 1.0'!M468,IF(AND($B$3="HalfTracker",$B$2="Zone 1"),'GCM_Halftracker 1.0'!H483,IF(AND($B$3="HalfTracker",$B$2="Zone 2"),'GCM_Halftracker 1.0'!L483,IF(AND($B$3="Purlin",$B$2="Zone 1"),'GCM_Purlin 1.0'!H538,IF(AND($B$3="Purlin",$B$2="Zone 2"),'GCM_Purlin 1.0'!P538,IF(AND($B$3="Purlin",$B$2="Zone 3"),'GCM_Purlin 1.0'!AA538,IF(AND($B$3="Purlin",$B$2="Zone 4"),'GCM_Purlin 1.0'!AI538,IF(AND($B$3="Purlin",$B$2="Zone 5"),'GCM_Purlin 1.0'!AT538,IF(AND($B$3="Clip",$B$2="Zone 1"),'GCN_Clip 1.0'!#REF!,IF(AND($B$3="Clip",$B$2="Zone 2"),'GCN_Clip 1.0'!#REF!,IF(AND($B$3="Clip",$B$2="Zone 3"),'GCN_Clip 1.0'!#REF!,IF(AND($B$3="Clip",$B$2="Zone 4"),'GCN_Clip 1.0'!#REF!,IF(AND($B$3="Clip",$B$2="Zone 5"),'GCN_Clip 1.0'!#REF!,IF(AND($B$3="Post",$B$2="Zone 1"),'GCN_Post 1.0'!W391,IF(AND($B$3="Post",$B$2="Zone 2"),'GCN_Post 1.0'!X391,IF(AND($B$3="Post",$B$2="Zone 3"),'GCN_Post 1.0'!Y391,IF(AND($B$3="Post",$B$2="Zone 4"),'GCN_Post 1.0'!Z391,IF(AND($B$3="Post",$B$2="Zone 5"),'GCN_Post 1.0'!AA391,"ERROR")))))))))))))))))))</f>
        <v/>
      </c>
    </row>
    <row r="278" spans="6:44" x14ac:dyDescent="0.25">
      <c r="F278">
        <v>105</v>
      </c>
      <c r="G278" s="27" t="str">
        <f t="shared" si="100"/>
        <v/>
      </c>
      <c r="H278" t="str">
        <f t="shared" si="101"/>
        <v/>
      </c>
      <c r="I278" t="str">
        <f t="shared" si="102"/>
        <v/>
      </c>
      <c r="J278" s="28" t="str">
        <f t="shared" si="103"/>
        <v/>
      </c>
      <c r="M278">
        <v>105</v>
      </c>
      <c r="N278" s="27" t="str">
        <f t="shared" si="104"/>
        <v/>
      </c>
      <c r="O278" t="str">
        <f t="shared" si="105"/>
        <v/>
      </c>
      <c r="P278" t="str">
        <f t="shared" si="106"/>
        <v/>
      </c>
      <c r="Q278" t="str">
        <f t="shared" si="107"/>
        <v/>
      </c>
      <c r="R278" t="str">
        <f t="shared" si="108"/>
        <v/>
      </c>
      <c r="S278" t="str">
        <f t="shared" si="109"/>
        <v/>
      </c>
      <c r="T278" s="82" t="str">
        <f>IF(AND($B$3="Cantilever",$B$2="Zone 1"),'GCM_Cantilever 1.0'!$F469,IF(AND($B$3="Cantilever",$B$2="Zone 2"),'GCM_Cantilever 1.0'!J469,IF(AND($B$3="HalfTracker",$B$2="Zone 1"),'GCM_Halftracker 1.0'!E484,IF(AND($B$3="HalfTracker",$B$2="Zone 2"),'GCM_Halftracker 1.0'!I484,IF(AND($B$3="Purlin",$B$2="Zone 1"),'GCM_Purlin 1.0'!E539,IF(AND($B$3="Purlin",$B$2="Zone 2"),'GCM_Purlin 1.0'!M539,IF(AND($B$3="Purlin",$B$2="Zone 3"),'GCM_Purlin 1.0'!X539,IF(AND($B$3="Purlin",$B$2="Zone 4"),'GCM_Purlin 1.0'!AF539,IF(AND($B$3="Purlin",$B$2="Zone 5"),'GCM_Purlin 1.0'!AQ539,IF(AND($B$3="Clip",$B$2="Zone 1"),'GCN_Clip 1.0'!G108,IF(AND($B$3="Clip",$B$2="Zone 2"),'GCN_Clip 1.0'!C109,IF(AND($B$3="Clip",$B$2="Zone 3"),'GCN_Clip 1.0'!G110,IF(AND($B$3="Clip",$B$2="Zone 4"),'GCN_Clip 1.0'!G111,IF(AND($B$3="Clip",$B$2="Zone 5"),'GCN_Clip 1.0'!G112,IF(AND($B$3="Post",$B$2="Zone 1"),'GCN_Post 1.0'!E392,IF(AND($B$3="Post",$B$2="Zone 2"),'GCN_Post 1.0'!F392,IF(AND($B$3="Post",$B$2="Zone 3"),'GCN_Post 1.0'!G392,IF(AND($B$3="Post",$B$2="Zone 4"),'GCN_Post 1.0'!H392,IF(AND($B$3="Post",$B$2="Zone 5"),'GCN_Post 1.0'!I392,"ERROR")))))))))))))))))))</f>
        <v/>
      </c>
      <c r="V278" s="27" t="str">
        <f t="shared" si="110"/>
        <v/>
      </c>
      <c r="W278" t="str">
        <f t="shared" si="111"/>
        <v/>
      </c>
      <c r="X278" t="str">
        <f t="shared" si="112"/>
        <v/>
      </c>
      <c r="Y278" t="str">
        <f t="shared" si="113"/>
        <v/>
      </c>
      <c r="Z278" t="str">
        <f t="shared" si="114"/>
        <v/>
      </c>
      <c r="AA278" t="str">
        <f t="shared" si="115"/>
        <v/>
      </c>
      <c r="AB278" s="82" t="str">
        <f>IF(AND($B$3="Cantilever",$B$2="Zone 1"),'GCM_Cantilever 1.0'!$G469,IF(AND($B$3="Cantilever",$B$2="Zone 2"),'GCM_Cantilever 1.0'!K469,IF(AND($B$3="HalfTracker",$B$2="Zone 1"),'GCM_Halftracker 1.0'!F484,IF(AND($B$3="HalfTracker",$B$2="Zone 2"),'GCM_Halftracker 1.0'!J484,IF(AND($B$3="Purlin",$B$2="Zone 1"),'GCM_Purlin 1.0'!F539,IF(AND($B$3="Purlin",$B$2="Zone 2"),'GCM_Purlin 1.0'!N539,IF(AND($B$3="Purlin",$B$2="Zone 3"),'GCM_Purlin 1.0'!Y539,IF(AND($B$3="Purlin",$B$2="Zone 4"),'GCM_Purlin 1.0'!AG539,IF(AND($B$3="Purlin",$B$2="Zone 5"),'GCM_Purlin 1.0'!AR539,IF(AND($B$3="Clip",$B$2="Zone 1"),'GCN_Clip 1.0'!H108,IF(AND($B$3="Clip",$B$2="Zone 2"),'GCN_Clip 1.0'!H109,IF(AND($B$3="Clip",$B$2="Zone 3"),'GCN_Clip 1.0'!H110,IF(AND($B$3="Clip",$B$2="Zone 4"),'GCN_Clip 1.0'!H111,IF(AND($B$3="Clip",$B$2="Zone 5"),'GCN_Clip 1.0'!H112,IF(AND($B$3="Post",$B$2="Zone 1"),'GCN_Post 1.0'!J392,IF(AND($B$3="Post",$B$2="Zone 2"),'GCN_Post 1.0'!K392,IF(AND($B$3="Post",$B$2="Zone 3"),'GCN_Post 1.0'!N392,IF(AND($B$3="Post",$B$2="Zone 4"),'GCN_Post 1.0'!O392,IF(AND($B$3="Post",$B$2="Zone 5"),'GCN_Post 1.0'!P392,"ERROR")))))))))))))))))))</f>
        <v/>
      </c>
      <c r="AD278" s="27" t="str">
        <f t="shared" si="116"/>
        <v/>
      </c>
      <c r="AE278" t="str">
        <f t="shared" si="117"/>
        <v/>
      </c>
      <c r="AF278" t="str">
        <f t="shared" si="118"/>
        <v/>
      </c>
      <c r="AG278" t="str">
        <f t="shared" si="119"/>
        <v/>
      </c>
      <c r="AH278" t="str">
        <f t="shared" si="120"/>
        <v/>
      </c>
      <c r="AI278" t="str">
        <f t="shared" si="121"/>
        <v/>
      </c>
      <c r="AJ278" s="82" t="str">
        <f>IF(AND($B$3="Cantilever",$B$2="Zone 1"),'GCM_Cantilever 1.0'!$H469,IF(AND($B$3="Cantilever",$B$2="Zone 2"),'GCM_Cantilever 1.0'!L469,IF(AND($B$3="HalfTracker",$B$2="Zone 1"),'GCM_Halftracker 1.0'!G484,IF(AND($B$3="HalfTracker",$B$2="Zone 2"),'GCM_Halftracker 1.0'!K484,IF(AND($B$3="Purlin",$B$2="Zone 1"),'GCM_Purlin 1.0'!G539,IF(AND($B$3="Purlin",$B$2="Zone 2"),'GCM_Purlin 1.0'!O539,IF(AND($B$3="Purlin",$B$2="Zone 3"),'GCM_Purlin 1.0'!Z539,IF(AND($B$3="Purlin",$B$2="Zone 4"),'GCM_Purlin 1.0'!AH539,IF(AND($B$3="Purlin",$B$2="Zone 5"),'GCM_Purlin 1.0'!AS539,IF(AND($B$3="Clip",$B$2="Zone 1"),'GCN_Clip 1.0'!#REF!,IF(AND($B$3="Clip",$B$2="Zone 2"),'GCN_Clip 1.0'!#REF!,IF(AND($B$3="Clip",$B$2="Zone 3"),'GCN_Clip 1.0'!#REF!,IF(AND($B$3="Clip",$B$2="Zone 4"),'GCN_Clip 1.0'!#REF!,IF(AND($B$3="Clip",$B$2="Zone 5"),'GCN_Clip 1.0'!#REF!,IF(AND($B$3="Post",$B$2="Zone 1"),'GCN_Post 1.0'!Q392,IF(AND($B$3="Post",$B$2="Zone 2"),'GCN_Post 1.0'!R392,IF(AND($B$3="Post",$B$2="Zone 3"),'GCN_Post 1.0'!S392,IF(AND($B$3="Post",$B$2="Zone 4"),'GCN_Post 1.0'!T392,IF(AND($B$3="Post",$B$2="Zone 5"),'GCN_Post 1.0'!V392,"ERROR")))))))))))))))))))</f>
        <v/>
      </c>
      <c r="AL278" s="27" t="str">
        <f t="shared" si="122"/>
        <v/>
      </c>
      <c r="AM278" t="str">
        <f t="shared" si="123"/>
        <v/>
      </c>
      <c r="AN278" t="str">
        <f t="shared" si="124"/>
        <v/>
      </c>
      <c r="AO278" t="str">
        <f t="shared" si="125"/>
        <v/>
      </c>
      <c r="AP278" t="str">
        <f t="shared" si="126"/>
        <v/>
      </c>
      <c r="AQ278" t="str">
        <f t="shared" si="127"/>
        <v/>
      </c>
      <c r="AR278" s="82" t="str">
        <f>IF(AND($B$3="Cantilever",$B$2="Zone 1"),'GCM_Cantilever 1.0'!$I469,IF(AND($B$3="Cantilever",$B$2="Zone 2"),'GCM_Cantilever 1.0'!M469,IF(AND($B$3="HalfTracker",$B$2="Zone 1"),'GCM_Halftracker 1.0'!H484,IF(AND($B$3="HalfTracker",$B$2="Zone 2"),'GCM_Halftracker 1.0'!L484,IF(AND($B$3="Purlin",$B$2="Zone 1"),'GCM_Purlin 1.0'!H539,IF(AND($B$3="Purlin",$B$2="Zone 2"),'GCM_Purlin 1.0'!P539,IF(AND($B$3="Purlin",$B$2="Zone 3"),'GCM_Purlin 1.0'!AA539,IF(AND($B$3="Purlin",$B$2="Zone 4"),'GCM_Purlin 1.0'!AI539,IF(AND($B$3="Purlin",$B$2="Zone 5"),'GCM_Purlin 1.0'!AT539,IF(AND($B$3="Clip",$B$2="Zone 1"),'GCN_Clip 1.0'!#REF!,IF(AND($B$3="Clip",$B$2="Zone 2"),'GCN_Clip 1.0'!#REF!,IF(AND($B$3="Clip",$B$2="Zone 3"),'GCN_Clip 1.0'!#REF!,IF(AND($B$3="Clip",$B$2="Zone 4"),'GCN_Clip 1.0'!#REF!,IF(AND($B$3="Clip",$B$2="Zone 5"),'GCN_Clip 1.0'!#REF!,IF(AND($B$3="Post",$B$2="Zone 1"),'GCN_Post 1.0'!W392,IF(AND($B$3="Post",$B$2="Zone 2"),'GCN_Post 1.0'!X392,IF(AND($B$3="Post",$B$2="Zone 3"),'GCN_Post 1.0'!Y392,IF(AND($B$3="Post",$B$2="Zone 4"),'GCN_Post 1.0'!Z392,IF(AND($B$3="Post",$B$2="Zone 5"),'GCN_Post 1.0'!AA392,"ERROR")))))))))))))))))))</f>
        <v/>
      </c>
    </row>
    <row r="279" spans="6:44" x14ac:dyDescent="0.25">
      <c r="F279">
        <v>106</v>
      </c>
      <c r="G279" s="27" t="str">
        <f t="shared" si="100"/>
        <v/>
      </c>
      <c r="H279" t="str">
        <f t="shared" si="101"/>
        <v/>
      </c>
      <c r="I279" t="str">
        <f t="shared" si="102"/>
        <v/>
      </c>
      <c r="J279" s="28" t="str">
        <f t="shared" si="103"/>
        <v/>
      </c>
      <c r="M279">
        <v>106</v>
      </c>
      <c r="N279" s="27" t="str">
        <f t="shared" si="104"/>
        <v/>
      </c>
      <c r="O279" t="str">
        <f t="shared" si="105"/>
        <v/>
      </c>
      <c r="P279" t="str">
        <f t="shared" si="106"/>
        <v/>
      </c>
      <c r="Q279" t="str">
        <f t="shared" si="107"/>
        <v/>
      </c>
      <c r="R279" t="str">
        <f t="shared" si="108"/>
        <v/>
      </c>
      <c r="S279" t="str">
        <f t="shared" si="109"/>
        <v/>
      </c>
      <c r="T279" s="82" t="str">
        <f>IF(AND($B$3="Cantilever",$B$2="Zone 1"),'GCM_Cantilever 1.0'!$F470,IF(AND($B$3="Cantilever",$B$2="Zone 2"),'GCM_Cantilever 1.0'!J470,IF(AND($B$3="HalfTracker",$B$2="Zone 1"),'GCM_Halftracker 1.0'!E485,IF(AND($B$3="HalfTracker",$B$2="Zone 2"),'GCM_Halftracker 1.0'!I485,IF(AND($B$3="Purlin",$B$2="Zone 1"),'GCM_Purlin 1.0'!E540,IF(AND($B$3="Purlin",$B$2="Zone 2"),'GCM_Purlin 1.0'!M540,IF(AND($B$3="Purlin",$B$2="Zone 3"),'GCM_Purlin 1.0'!X540,IF(AND($B$3="Purlin",$B$2="Zone 4"),'GCM_Purlin 1.0'!AF540,IF(AND($B$3="Purlin",$B$2="Zone 5"),'GCM_Purlin 1.0'!AQ540,IF(AND($B$3="Clip",$B$2="Zone 1"),'GCN_Clip 1.0'!G109,IF(AND($B$3="Clip",$B$2="Zone 2"),'GCN_Clip 1.0'!C110,IF(AND($B$3="Clip",$B$2="Zone 3"),'GCN_Clip 1.0'!G111,IF(AND($B$3="Clip",$B$2="Zone 4"),'GCN_Clip 1.0'!G112,IF(AND($B$3="Clip",$B$2="Zone 5"),'GCN_Clip 1.0'!G113,IF(AND($B$3="Post",$B$2="Zone 1"),'GCN_Post 1.0'!E393,IF(AND($B$3="Post",$B$2="Zone 2"),'GCN_Post 1.0'!F393,IF(AND($B$3="Post",$B$2="Zone 3"),'GCN_Post 1.0'!G393,IF(AND($B$3="Post",$B$2="Zone 4"),'GCN_Post 1.0'!H393,IF(AND($B$3="Post",$B$2="Zone 5"),'GCN_Post 1.0'!I393,"ERROR")))))))))))))))))))</f>
        <v/>
      </c>
      <c r="V279" s="27" t="str">
        <f t="shared" si="110"/>
        <v/>
      </c>
      <c r="W279" t="str">
        <f t="shared" si="111"/>
        <v/>
      </c>
      <c r="X279" t="str">
        <f t="shared" si="112"/>
        <v/>
      </c>
      <c r="Y279" t="str">
        <f t="shared" si="113"/>
        <v/>
      </c>
      <c r="Z279" t="str">
        <f t="shared" si="114"/>
        <v/>
      </c>
      <c r="AA279" t="str">
        <f t="shared" si="115"/>
        <v/>
      </c>
      <c r="AB279" s="82" t="str">
        <f>IF(AND($B$3="Cantilever",$B$2="Zone 1"),'GCM_Cantilever 1.0'!$G470,IF(AND($B$3="Cantilever",$B$2="Zone 2"),'GCM_Cantilever 1.0'!K470,IF(AND($B$3="HalfTracker",$B$2="Zone 1"),'GCM_Halftracker 1.0'!F485,IF(AND($B$3="HalfTracker",$B$2="Zone 2"),'GCM_Halftracker 1.0'!J485,IF(AND($B$3="Purlin",$B$2="Zone 1"),'GCM_Purlin 1.0'!F540,IF(AND($B$3="Purlin",$B$2="Zone 2"),'GCM_Purlin 1.0'!N540,IF(AND($B$3="Purlin",$B$2="Zone 3"),'GCM_Purlin 1.0'!Y540,IF(AND($B$3="Purlin",$B$2="Zone 4"),'GCM_Purlin 1.0'!AG540,IF(AND($B$3="Purlin",$B$2="Zone 5"),'GCM_Purlin 1.0'!AR540,IF(AND($B$3="Clip",$B$2="Zone 1"),'GCN_Clip 1.0'!H109,IF(AND($B$3="Clip",$B$2="Zone 2"),'GCN_Clip 1.0'!H110,IF(AND($B$3="Clip",$B$2="Zone 3"),'GCN_Clip 1.0'!H111,IF(AND($B$3="Clip",$B$2="Zone 4"),'GCN_Clip 1.0'!H112,IF(AND($B$3="Clip",$B$2="Zone 5"),'GCN_Clip 1.0'!H113,IF(AND($B$3="Post",$B$2="Zone 1"),'GCN_Post 1.0'!J393,IF(AND($B$3="Post",$B$2="Zone 2"),'GCN_Post 1.0'!K393,IF(AND($B$3="Post",$B$2="Zone 3"),'GCN_Post 1.0'!N393,IF(AND($B$3="Post",$B$2="Zone 4"),'GCN_Post 1.0'!O393,IF(AND($B$3="Post",$B$2="Zone 5"),'GCN_Post 1.0'!P393,"ERROR")))))))))))))))))))</f>
        <v/>
      </c>
      <c r="AD279" s="27" t="str">
        <f t="shared" si="116"/>
        <v/>
      </c>
      <c r="AE279" t="str">
        <f t="shared" si="117"/>
        <v/>
      </c>
      <c r="AF279" t="str">
        <f t="shared" si="118"/>
        <v/>
      </c>
      <c r="AG279" t="str">
        <f t="shared" si="119"/>
        <v/>
      </c>
      <c r="AH279" t="str">
        <f t="shared" si="120"/>
        <v/>
      </c>
      <c r="AI279" t="str">
        <f t="shared" si="121"/>
        <v/>
      </c>
      <c r="AJ279" s="82" t="str">
        <f>IF(AND($B$3="Cantilever",$B$2="Zone 1"),'GCM_Cantilever 1.0'!$H470,IF(AND($B$3="Cantilever",$B$2="Zone 2"),'GCM_Cantilever 1.0'!L470,IF(AND($B$3="HalfTracker",$B$2="Zone 1"),'GCM_Halftracker 1.0'!G485,IF(AND($B$3="HalfTracker",$B$2="Zone 2"),'GCM_Halftracker 1.0'!K485,IF(AND($B$3="Purlin",$B$2="Zone 1"),'GCM_Purlin 1.0'!G540,IF(AND($B$3="Purlin",$B$2="Zone 2"),'GCM_Purlin 1.0'!O540,IF(AND($B$3="Purlin",$B$2="Zone 3"),'GCM_Purlin 1.0'!Z540,IF(AND($B$3="Purlin",$B$2="Zone 4"),'GCM_Purlin 1.0'!AH540,IF(AND($B$3="Purlin",$B$2="Zone 5"),'GCM_Purlin 1.0'!AS540,IF(AND($B$3="Clip",$B$2="Zone 1"),'GCN_Clip 1.0'!#REF!,IF(AND($B$3="Clip",$B$2="Zone 2"),'GCN_Clip 1.0'!#REF!,IF(AND($B$3="Clip",$B$2="Zone 3"),'GCN_Clip 1.0'!#REF!,IF(AND($B$3="Clip",$B$2="Zone 4"),'GCN_Clip 1.0'!#REF!,IF(AND($B$3="Clip",$B$2="Zone 5"),'GCN_Clip 1.0'!#REF!,IF(AND($B$3="Post",$B$2="Zone 1"),'GCN_Post 1.0'!Q393,IF(AND($B$3="Post",$B$2="Zone 2"),'GCN_Post 1.0'!R393,IF(AND($B$3="Post",$B$2="Zone 3"),'GCN_Post 1.0'!S393,IF(AND($B$3="Post",$B$2="Zone 4"),'GCN_Post 1.0'!T393,IF(AND($B$3="Post",$B$2="Zone 5"),'GCN_Post 1.0'!V393,"ERROR")))))))))))))))))))</f>
        <v/>
      </c>
      <c r="AL279" s="27" t="str">
        <f t="shared" si="122"/>
        <v/>
      </c>
      <c r="AM279" t="str">
        <f t="shared" si="123"/>
        <v/>
      </c>
      <c r="AN279" t="str">
        <f t="shared" si="124"/>
        <v/>
      </c>
      <c r="AO279" t="str">
        <f t="shared" si="125"/>
        <v/>
      </c>
      <c r="AP279" t="str">
        <f t="shared" si="126"/>
        <v/>
      </c>
      <c r="AQ279" t="str">
        <f t="shared" si="127"/>
        <v/>
      </c>
      <c r="AR279" s="82" t="str">
        <f>IF(AND($B$3="Cantilever",$B$2="Zone 1"),'GCM_Cantilever 1.0'!$I470,IF(AND($B$3="Cantilever",$B$2="Zone 2"),'GCM_Cantilever 1.0'!M470,IF(AND($B$3="HalfTracker",$B$2="Zone 1"),'GCM_Halftracker 1.0'!H485,IF(AND($B$3="HalfTracker",$B$2="Zone 2"),'GCM_Halftracker 1.0'!L485,IF(AND($B$3="Purlin",$B$2="Zone 1"),'GCM_Purlin 1.0'!H540,IF(AND($B$3="Purlin",$B$2="Zone 2"),'GCM_Purlin 1.0'!P540,IF(AND($B$3="Purlin",$B$2="Zone 3"),'GCM_Purlin 1.0'!AA540,IF(AND($B$3="Purlin",$B$2="Zone 4"),'GCM_Purlin 1.0'!AI540,IF(AND($B$3="Purlin",$B$2="Zone 5"),'GCM_Purlin 1.0'!AT540,IF(AND($B$3="Clip",$B$2="Zone 1"),'GCN_Clip 1.0'!#REF!,IF(AND($B$3="Clip",$B$2="Zone 2"),'GCN_Clip 1.0'!#REF!,IF(AND($B$3="Clip",$B$2="Zone 3"),'GCN_Clip 1.0'!#REF!,IF(AND($B$3="Clip",$B$2="Zone 4"),'GCN_Clip 1.0'!#REF!,IF(AND($B$3="Clip",$B$2="Zone 5"),'GCN_Clip 1.0'!#REF!,IF(AND($B$3="Post",$B$2="Zone 1"),'GCN_Post 1.0'!W393,IF(AND($B$3="Post",$B$2="Zone 2"),'GCN_Post 1.0'!X393,IF(AND($B$3="Post",$B$2="Zone 3"),'GCN_Post 1.0'!Y393,IF(AND($B$3="Post",$B$2="Zone 4"),'GCN_Post 1.0'!Z393,IF(AND($B$3="Post",$B$2="Zone 5"),'GCN_Post 1.0'!AA393,"ERROR")))))))))))))))))))</f>
        <v/>
      </c>
    </row>
    <row r="280" spans="6:44" x14ac:dyDescent="0.25">
      <c r="F280">
        <v>107</v>
      </c>
      <c r="G280" s="27" t="str">
        <f t="shared" si="100"/>
        <v/>
      </c>
      <c r="H280" t="str">
        <f t="shared" si="101"/>
        <v/>
      </c>
      <c r="I280" t="str">
        <f t="shared" si="102"/>
        <v/>
      </c>
      <c r="J280" s="28" t="str">
        <f t="shared" si="103"/>
        <v/>
      </c>
      <c r="M280">
        <v>107</v>
      </c>
      <c r="N280" s="27" t="str">
        <f t="shared" si="104"/>
        <v/>
      </c>
      <c r="O280" t="str">
        <f t="shared" si="105"/>
        <v/>
      </c>
      <c r="P280" t="str">
        <f t="shared" si="106"/>
        <v/>
      </c>
      <c r="Q280" t="str">
        <f t="shared" si="107"/>
        <v/>
      </c>
      <c r="R280" t="str">
        <f t="shared" si="108"/>
        <v/>
      </c>
      <c r="S280" t="str">
        <f t="shared" si="109"/>
        <v/>
      </c>
      <c r="T280" s="82" t="str">
        <f>IF(AND($B$3="Cantilever",$B$2="Zone 1"),'GCM_Cantilever 1.0'!$F471,IF(AND($B$3="Cantilever",$B$2="Zone 2"),'GCM_Cantilever 1.0'!J471,IF(AND($B$3="HalfTracker",$B$2="Zone 1"),'GCM_Halftracker 1.0'!E486,IF(AND($B$3="HalfTracker",$B$2="Zone 2"),'GCM_Halftracker 1.0'!I486,IF(AND($B$3="Purlin",$B$2="Zone 1"),'GCM_Purlin 1.0'!E541,IF(AND($B$3="Purlin",$B$2="Zone 2"),'GCM_Purlin 1.0'!M541,IF(AND($B$3="Purlin",$B$2="Zone 3"),'GCM_Purlin 1.0'!X541,IF(AND($B$3="Purlin",$B$2="Zone 4"),'GCM_Purlin 1.0'!AF541,IF(AND($B$3="Purlin",$B$2="Zone 5"),'GCM_Purlin 1.0'!AQ541,IF(AND($B$3="Clip",$B$2="Zone 1"),'GCN_Clip 1.0'!G110,IF(AND($B$3="Clip",$B$2="Zone 2"),'GCN_Clip 1.0'!C111,IF(AND($B$3="Clip",$B$2="Zone 3"),'GCN_Clip 1.0'!G112,IF(AND($B$3="Clip",$B$2="Zone 4"),'GCN_Clip 1.0'!G113,IF(AND($B$3="Clip",$B$2="Zone 5"),'GCN_Clip 1.0'!G114,IF(AND($B$3="Post",$B$2="Zone 1"),'GCN_Post 1.0'!E394,IF(AND($B$3="Post",$B$2="Zone 2"),'GCN_Post 1.0'!F394,IF(AND($B$3="Post",$B$2="Zone 3"),'GCN_Post 1.0'!G394,IF(AND($B$3="Post",$B$2="Zone 4"),'GCN_Post 1.0'!H394,IF(AND($B$3="Post",$B$2="Zone 5"),'GCN_Post 1.0'!I394,"ERROR")))))))))))))))))))</f>
        <v/>
      </c>
      <c r="V280" s="27" t="str">
        <f t="shared" si="110"/>
        <v/>
      </c>
      <c r="W280" t="str">
        <f t="shared" si="111"/>
        <v/>
      </c>
      <c r="X280" t="str">
        <f t="shared" si="112"/>
        <v/>
      </c>
      <c r="Y280" t="str">
        <f t="shared" si="113"/>
        <v/>
      </c>
      <c r="Z280" t="str">
        <f t="shared" si="114"/>
        <v/>
      </c>
      <c r="AA280" t="str">
        <f t="shared" si="115"/>
        <v/>
      </c>
      <c r="AB280" s="82" t="str">
        <f>IF(AND($B$3="Cantilever",$B$2="Zone 1"),'GCM_Cantilever 1.0'!$G471,IF(AND($B$3="Cantilever",$B$2="Zone 2"),'GCM_Cantilever 1.0'!K471,IF(AND($B$3="HalfTracker",$B$2="Zone 1"),'GCM_Halftracker 1.0'!F486,IF(AND($B$3="HalfTracker",$B$2="Zone 2"),'GCM_Halftracker 1.0'!J486,IF(AND($B$3="Purlin",$B$2="Zone 1"),'GCM_Purlin 1.0'!F541,IF(AND($B$3="Purlin",$B$2="Zone 2"),'GCM_Purlin 1.0'!N541,IF(AND($B$3="Purlin",$B$2="Zone 3"),'GCM_Purlin 1.0'!Y541,IF(AND($B$3="Purlin",$B$2="Zone 4"),'GCM_Purlin 1.0'!AG541,IF(AND($B$3="Purlin",$B$2="Zone 5"),'GCM_Purlin 1.0'!AR541,IF(AND($B$3="Clip",$B$2="Zone 1"),'GCN_Clip 1.0'!H110,IF(AND($B$3="Clip",$B$2="Zone 2"),'GCN_Clip 1.0'!H111,IF(AND($B$3="Clip",$B$2="Zone 3"),'GCN_Clip 1.0'!H112,IF(AND($B$3="Clip",$B$2="Zone 4"),'GCN_Clip 1.0'!H113,IF(AND($B$3="Clip",$B$2="Zone 5"),'GCN_Clip 1.0'!H114,IF(AND($B$3="Post",$B$2="Zone 1"),'GCN_Post 1.0'!J394,IF(AND($B$3="Post",$B$2="Zone 2"),'GCN_Post 1.0'!K394,IF(AND($B$3="Post",$B$2="Zone 3"),'GCN_Post 1.0'!N394,IF(AND($B$3="Post",$B$2="Zone 4"),'GCN_Post 1.0'!O394,IF(AND($B$3="Post",$B$2="Zone 5"),'GCN_Post 1.0'!P394,"ERROR")))))))))))))))))))</f>
        <v/>
      </c>
      <c r="AD280" s="27" t="str">
        <f t="shared" si="116"/>
        <v/>
      </c>
      <c r="AE280" t="str">
        <f t="shared" si="117"/>
        <v/>
      </c>
      <c r="AF280" t="str">
        <f t="shared" si="118"/>
        <v/>
      </c>
      <c r="AG280" t="str">
        <f t="shared" si="119"/>
        <v/>
      </c>
      <c r="AH280" t="str">
        <f t="shared" si="120"/>
        <v/>
      </c>
      <c r="AI280" t="str">
        <f t="shared" si="121"/>
        <v/>
      </c>
      <c r="AJ280" s="82" t="str">
        <f>IF(AND($B$3="Cantilever",$B$2="Zone 1"),'GCM_Cantilever 1.0'!$H471,IF(AND($B$3="Cantilever",$B$2="Zone 2"),'GCM_Cantilever 1.0'!L471,IF(AND($B$3="HalfTracker",$B$2="Zone 1"),'GCM_Halftracker 1.0'!G486,IF(AND($B$3="HalfTracker",$B$2="Zone 2"),'GCM_Halftracker 1.0'!K486,IF(AND($B$3="Purlin",$B$2="Zone 1"),'GCM_Purlin 1.0'!G541,IF(AND($B$3="Purlin",$B$2="Zone 2"),'GCM_Purlin 1.0'!O541,IF(AND($B$3="Purlin",$B$2="Zone 3"),'GCM_Purlin 1.0'!Z541,IF(AND($B$3="Purlin",$B$2="Zone 4"),'GCM_Purlin 1.0'!AH541,IF(AND($B$3="Purlin",$B$2="Zone 5"),'GCM_Purlin 1.0'!AS541,IF(AND($B$3="Clip",$B$2="Zone 1"),'GCN_Clip 1.0'!#REF!,IF(AND($B$3="Clip",$B$2="Zone 2"),'GCN_Clip 1.0'!#REF!,IF(AND($B$3="Clip",$B$2="Zone 3"),'GCN_Clip 1.0'!#REF!,IF(AND($B$3="Clip",$B$2="Zone 4"),'GCN_Clip 1.0'!#REF!,IF(AND($B$3="Clip",$B$2="Zone 5"),'GCN_Clip 1.0'!#REF!,IF(AND($B$3="Post",$B$2="Zone 1"),'GCN_Post 1.0'!Q394,IF(AND($B$3="Post",$B$2="Zone 2"),'GCN_Post 1.0'!R394,IF(AND($B$3="Post",$B$2="Zone 3"),'GCN_Post 1.0'!S394,IF(AND($B$3="Post",$B$2="Zone 4"),'GCN_Post 1.0'!T394,IF(AND($B$3="Post",$B$2="Zone 5"),'GCN_Post 1.0'!V394,"ERROR")))))))))))))))))))</f>
        <v/>
      </c>
      <c r="AL280" s="27" t="str">
        <f t="shared" si="122"/>
        <v/>
      </c>
      <c r="AM280" t="str">
        <f t="shared" si="123"/>
        <v/>
      </c>
      <c r="AN280" t="str">
        <f t="shared" si="124"/>
        <v/>
      </c>
      <c r="AO280" t="str">
        <f t="shared" si="125"/>
        <v/>
      </c>
      <c r="AP280" t="str">
        <f t="shared" si="126"/>
        <v/>
      </c>
      <c r="AQ280" t="str">
        <f t="shared" si="127"/>
        <v/>
      </c>
      <c r="AR280" s="82" t="str">
        <f>IF(AND($B$3="Cantilever",$B$2="Zone 1"),'GCM_Cantilever 1.0'!$I471,IF(AND($B$3="Cantilever",$B$2="Zone 2"),'GCM_Cantilever 1.0'!M471,IF(AND($B$3="HalfTracker",$B$2="Zone 1"),'GCM_Halftracker 1.0'!H486,IF(AND($B$3="HalfTracker",$B$2="Zone 2"),'GCM_Halftracker 1.0'!L486,IF(AND($B$3="Purlin",$B$2="Zone 1"),'GCM_Purlin 1.0'!H541,IF(AND($B$3="Purlin",$B$2="Zone 2"),'GCM_Purlin 1.0'!P541,IF(AND($B$3="Purlin",$B$2="Zone 3"),'GCM_Purlin 1.0'!AA541,IF(AND($B$3="Purlin",$B$2="Zone 4"),'GCM_Purlin 1.0'!AI541,IF(AND($B$3="Purlin",$B$2="Zone 5"),'GCM_Purlin 1.0'!AT541,IF(AND($B$3="Clip",$B$2="Zone 1"),'GCN_Clip 1.0'!#REF!,IF(AND($B$3="Clip",$B$2="Zone 2"),'GCN_Clip 1.0'!#REF!,IF(AND($B$3="Clip",$B$2="Zone 3"),'GCN_Clip 1.0'!#REF!,IF(AND($B$3="Clip",$B$2="Zone 4"),'GCN_Clip 1.0'!#REF!,IF(AND($B$3="Clip",$B$2="Zone 5"),'GCN_Clip 1.0'!#REF!,IF(AND($B$3="Post",$B$2="Zone 1"),'GCN_Post 1.0'!W394,IF(AND($B$3="Post",$B$2="Zone 2"),'GCN_Post 1.0'!X394,IF(AND($B$3="Post",$B$2="Zone 3"),'GCN_Post 1.0'!Y394,IF(AND($B$3="Post",$B$2="Zone 4"),'GCN_Post 1.0'!Z394,IF(AND($B$3="Post",$B$2="Zone 5"),'GCN_Post 1.0'!AA394,"ERROR")))))))))))))))))))</f>
        <v/>
      </c>
    </row>
    <row r="281" spans="6:44" x14ac:dyDescent="0.25">
      <c r="F281">
        <v>108</v>
      </c>
      <c r="G281" s="27" t="str">
        <f t="shared" si="100"/>
        <v/>
      </c>
      <c r="H281" t="str">
        <f t="shared" si="101"/>
        <v/>
      </c>
      <c r="I281" t="str">
        <f t="shared" si="102"/>
        <v/>
      </c>
      <c r="J281" s="28" t="str">
        <f t="shared" si="103"/>
        <v/>
      </c>
      <c r="M281">
        <v>108</v>
      </c>
      <c r="N281" s="27" t="str">
        <f t="shared" si="104"/>
        <v/>
      </c>
      <c r="O281" t="str">
        <f t="shared" si="105"/>
        <v/>
      </c>
      <c r="P281" t="str">
        <f t="shared" si="106"/>
        <v/>
      </c>
      <c r="Q281" t="str">
        <f t="shared" si="107"/>
        <v/>
      </c>
      <c r="R281" t="str">
        <f t="shared" si="108"/>
        <v/>
      </c>
      <c r="S281" t="str">
        <f t="shared" si="109"/>
        <v/>
      </c>
      <c r="T281" s="82" t="str">
        <f>IF(AND($B$3="Cantilever",$B$2="Zone 1"),'GCM_Cantilever 1.0'!$F472,IF(AND($B$3="Cantilever",$B$2="Zone 2"),'GCM_Cantilever 1.0'!J472,IF(AND($B$3="HalfTracker",$B$2="Zone 1"),'GCM_Halftracker 1.0'!E487,IF(AND($B$3="HalfTracker",$B$2="Zone 2"),'GCM_Halftracker 1.0'!I487,IF(AND($B$3="Purlin",$B$2="Zone 1"),'GCM_Purlin 1.0'!E542,IF(AND($B$3="Purlin",$B$2="Zone 2"),'GCM_Purlin 1.0'!M542,IF(AND($B$3="Purlin",$B$2="Zone 3"),'GCM_Purlin 1.0'!X542,IF(AND($B$3="Purlin",$B$2="Zone 4"),'GCM_Purlin 1.0'!AF542,IF(AND($B$3="Purlin",$B$2="Zone 5"),'GCM_Purlin 1.0'!AQ542,IF(AND($B$3="Clip",$B$2="Zone 1"),'GCN_Clip 1.0'!G111,IF(AND($B$3="Clip",$B$2="Zone 2"),'GCN_Clip 1.0'!C112,IF(AND($B$3="Clip",$B$2="Zone 3"),'GCN_Clip 1.0'!G113,IF(AND($B$3="Clip",$B$2="Zone 4"),'GCN_Clip 1.0'!G114,IF(AND($B$3="Clip",$B$2="Zone 5"),'GCN_Clip 1.0'!G115,IF(AND($B$3="Post",$B$2="Zone 1"),'GCN_Post 1.0'!E395,IF(AND($B$3="Post",$B$2="Zone 2"),'GCN_Post 1.0'!F395,IF(AND($B$3="Post",$B$2="Zone 3"),'GCN_Post 1.0'!G395,IF(AND($B$3="Post",$B$2="Zone 4"),'GCN_Post 1.0'!H395,IF(AND($B$3="Post",$B$2="Zone 5"),'GCN_Post 1.0'!I395,"ERROR")))))))))))))))))))</f>
        <v/>
      </c>
      <c r="V281" s="27" t="str">
        <f t="shared" si="110"/>
        <v/>
      </c>
      <c r="W281" t="str">
        <f t="shared" si="111"/>
        <v/>
      </c>
      <c r="X281" t="str">
        <f t="shared" si="112"/>
        <v/>
      </c>
      <c r="Y281" t="str">
        <f t="shared" si="113"/>
        <v/>
      </c>
      <c r="Z281" t="str">
        <f t="shared" si="114"/>
        <v/>
      </c>
      <c r="AA281" t="str">
        <f t="shared" si="115"/>
        <v/>
      </c>
      <c r="AB281" s="82" t="str">
        <f>IF(AND($B$3="Cantilever",$B$2="Zone 1"),'GCM_Cantilever 1.0'!$G472,IF(AND($B$3="Cantilever",$B$2="Zone 2"),'GCM_Cantilever 1.0'!K472,IF(AND($B$3="HalfTracker",$B$2="Zone 1"),'GCM_Halftracker 1.0'!F487,IF(AND($B$3="HalfTracker",$B$2="Zone 2"),'GCM_Halftracker 1.0'!J487,IF(AND($B$3="Purlin",$B$2="Zone 1"),'GCM_Purlin 1.0'!F542,IF(AND($B$3="Purlin",$B$2="Zone 2"),'GCM_Purlin 1.0'!N542,IF(AND($B$3="Purlin",$B$2="Zone 3"),'GCM_Purlin 1.0'!Y542,IF(AND($B$3="Purlin",$B$2="Zone 4"),'GCM_Purlin 1.0'!AG542,IF(AND($B$3="Purlin",$B$2="Zone 5"),'GCM_Purlin 1.0'!AR542,IF(AND($B$3="Clip",$B$2="Zone 1"),'GCN_Clip 1.0'!H111,IF(AND($B$3="Clip",$B$2="Zone 2"),'GCN_Clip 1.0'!H112,IF(AND($B$3="Clip",$B$2="Zone 3"),'GCN_Clip 1.0'!H113,IF(AND($B$3="Clip",$B$2="Zone 4"),'GCN_Clip 1.0'!H114,IF(AND($B$3="Clip",$B$2="Zone 5"),'GCN_Clip 1.0'!H115,IF(AND($B$3="Post",$B$2="Zone 1"),'GCN_Post 1.0'!J395,IF(AND($B$3="Post",$B$2="Zone 2"),'GCN_Post 1.0'!K395,IF(AND($B$3="Post",$B$2="Zone 3"),'GCN_Post 1.0'!N395,IF(AND($B$3="Post",$B$2="Zone 4"),'GCN_Post 1.0'!O395,IF(AND($B$3="Post",$B$2="Zone 5"),'GCN_Post 1.0'!P395,"ERROR")))))))))))))))))))</f>
        <v/>
      </c>
      <c r="AD281" s="27" t="str">
        <f t="shared" si="116"/>
        <v/>
      </c>
      <c r="AE281" t="str">
        <f t="shared" si="117"/>
        <v/>
      </c>
      <c r="AF281" t="str">
        <f t="shared" si="118"/>
        <v/>
      </c>
      <c r="AG281" t="str">
        <f t="shared" si="119"/>
        <v/>
      </c>
      <c r="AH281" t="str">
        <f t="shared" si="120"/>
        <v/>
      </c>
      <c r="AI281" t="str">
        <f t="shared" si="121"/>
        <v/>
      </c>
      <c r="AJ281" s="82" t="str">
        <f>IF(AND($B$3="Cantilever",$B$2="Zone 1"),'GCM_Cantilever 1.0'!$H472,IF(AND($B$3="Cantilever",$B$2="Zone 2"),'GCM_Cantilever 1.0'!L472,IF(AND($B$3="HalfTracker",$B$2="Zone 1"),'GCM_Halftracker 1.0'!G487,IF(AND($B$3="HalfTracker",$B$2="Zone 2"),'GCM_Halftracker 1.0'!K487,IF(AND($B$3="Purlin",$B$2="Zone 1"),'GCM_Purlin 1.0'!G542,IF(AND($B$3="Purlin",$B$2="Zone 2"),'GCM_Purlin 1.0'!O542,IF(AND($B$3="Purlin",$B$2="Zone 3"),'GCM_Purlin 1.0'!Z542,IF(AND($B$3="Purlin",$B$2="Zone 4"),'GCM_Purlin 1.0'!AH542,IF(AND($B$3="Purlin",$B$2="Zone 5"),'GCM_Purlin 1.0'!AS542,IF(AND($B$3="Clip",$B$2="Zone 1"),'GCN_Clip 1.0'!#REF!,IF(AND($B$3="Clip",$B$2="Zone 2"),'GCN_Clip 1.0'!#REF!,IF(AND($B$3="Clip",$B$2="Zone 3"),'GCN_Clip 1.0'!#REF!,IF(AND($B$3="Clip",$B$2="Zone 4"),'GCN_Clip 1.0'!#REF!,IF(AND($B$3="Clip",$B$2="Zone 5"),'GCN_Clip 1.0'!#REF!,IF(AND($B$3="Post",$B$2="Zone 1"),'GCN_Post 1.0'!Q395,IF(AND($B$3="Post",$B$2="Zone 2"),'GCN_Post 1.0'!R395,IF(AND($B$3="Post",$B$2="Zone 3"),'GCN_Post 1.0'!S395,IF(AND($B$3="Post",$B$2="Zone 4"),'GCN_Post 1.0'!T395,IF(AND($B$3="Post",$B$2="Zone 5"),'GCN_Post 1.0'!V395,"ERROR")))))))))))))))))))</f>
        <v/>
      </c>
      <c r="AL281" s="27" t="str">
        <f t="shared" si="122"/>
        <v/>
      </c>
      <c r="AM281" t="str">
        <f t="shared" si="123"/>
        <v/>
      </c>
      <c r="AN281" t="str">
        <f t="shared" si="124"/>
        <v/>
      </c>
      <c r="AO281" t="str">
        <f t="shared" si="125"/>
        <v/>
      </c>
      <c r="AP281" t="str">
        <f t="shared" si="126"/>
        <v/>
      </c>
      <c r="AQ281" t="str">
        <f t="shared" si="127"/>
        <v/>
      </c>
      <c r="AR281" s="82" t="str">
        <f>IF(AND($B$3="Cantilever",$B$2="Zone 1"),'GCM_Cantilever 1.0'!$I472,IF(AND($B$3="Cantilever",$B$2="Zone 2"),'GCM_Cantilever 1.0'!M472,IF(AND($B$3="HalfTracker",$B$2="Zone 1"),'GCM_Halftracker 1.0'!H487,IF(AND($B$3="HalfTracker",$B$2="Zone 2"),'GCM_Halftracker 1.0'!L487,IF(AND($B$3="Purlin",$B$2="Zone 1"),'GCM_Purlin 1.0'!H542,IF(AND($B$3="Purlin",$B$2="Zone 2"),'GCM_Purlin 1.0'!P542,IF(AND($B$3="Purlin",$B$2="Zone 3"),'GCM_Purlin 1.0'!AA542,IF(AND($B$3="Purlin",$B$2="Zone 4"),'GCM_Purlin 1.0'!AI542,IF(AND($B$3="Purlin",$B$2="Zone 5"),'GCM_Purlin 1.0'!AT542,IF(AND($B$3="Clip",$B$2="Zone 1"),'GCN_Clip 1.0'!#REF!,IF(AND($B$3="Clip",$B$2="Zone 2"),'GCN_Clip 1.0'!#REF!,IF(AND($B$3="Clip",$B$2="Zone 3"),'GCN_Clip 1.0'!#REF!,IF(AND($B$3="Clip",$B$2="Zone 4"),'GCN_Clip 1.0'!#REF!,IF(AND($B$3="Clip",$B$2="Zone 5"),'GCN_Clip 1.0'!#REF!,IF(AND($B$3="Post",$B$2="Zone 1"),'GCN_Post 1.0'!W395,IF(AND($B$3="Post",$B$2="Zone 2"),'GCN_Post 1.0'!X395,IF(AND($B$3="Post",$B$2="Zone 3"),'GCN_Post 1.0'!Y395,IF(AND($B$3="Post",$B$2="Zone 4"),'GCN_Post 1.0'!Z395,IF(AND($B$3="Post",$B$2="Zone 5"),'GCN_Post 1.0'!AA395,"ERROR")))))))))))))))))))</f>
        <v/>
      </c>
    </row>
    <row r="282" spans="6:44" x14ac:dyDescent="0.25">
      <c r="F282">
        <v>109</v>
      </c>
      <c r="G282" s="27" t="str">
        <f t="shared" si="100"/>
        <v/>
      </c>
      <c r="H282" t="str">
        <f t="shared" si="101"/>
        <v/>
      </c>
      <c r="I282" t="str">
        <f t="shared" si="102"/>
        <v/>
      </c>
      <c r="J282" s="28" t="str">
        <f t="shared" si="103"/>
        <v/>
      </c>
      <c r="M282">
        <v>109</v>
      </c>
      <c r="N282" s="27" t="str">
        <f t="shared" si="104"/>
        <v/>
      </c>
      <c r="O282" t="str">
        <f t="shared" si="105"/>
        <v/>
      </c>
      <c r="P282" t="str">
        <f t="shared" si="106"/>
        <v/>
      </c>
      <c r="Q282" t="str">
        <f t="shared" si="107"/>
        <v/>
      </c>
      <c r="R282" t="str">
        <f t="shared" si="108"/>
        <v/>
      </c>
      <c r="S282" t="str">
        <f t="shared" si="109"/>
        <v/>
      </c>
      <c r="T282" s="82" t="str">
        <f>IF(AND($B$3="Cantilever",$B$2="Zone 1"),'GCM_Cantilever 1.0'!$F473,IF(AND($B$3="Cantilever",$B$2="Zone 2"),'GCM_Cantilever 1.0'!J473,IF(AND($B$3="HalfTracker",$B$2="Zone 1"),'GCM_Halftracker 1.0'!E488,IF(AND($B$3="HalfTracker",$B$2="Zone 2"),'GCM_Halftracker 1.0'!I488,IF(AND($B$3="Purlin",$B$2="Zone 1"),'GCM_Purlin 1.0'!E543,IF(AND($B$3="Purlin",$B$2="Zone 2"),'GCM_Purlin 1.0'!M543,IF(AND($B$3="Purlin",$B$2="Zone 3"),'GCM_Purlin 1.0'!X543,IF(AND($B$3="Purlin",$B$2="Zone 4"),'GCM_Purlin 1.0'!AF543,IF(AND($B$3="Purlin",$B$2="Zone 5"),'GCM_Purlin 1.0'!AQ543,IF(AND($B$3="Clip",$B$2="Zone 1"),'GCN_Clip 1.0'!G112,IF(AND($B$3="Clip",$B$2="Zone 2"),'GCN_Clip 1.0'!C113,IF(AND($B$3="Clip",$B$2="Zone 3"),'GCN_Clip 1.0'!G114,IF(AND($B$3="Clip",$B$2="Zone 4"),'GCN_Clip 1.0'!G115,IF(AND($B$3="Clip",$B$2="Zone 5"),'GCN_Clip 1.0'!G116,IF(AND($B$3="Post",$B$2="Zone 1"),'GCN_Post 1.0'!E396,IF(AND($B$3="Post",$B$2="Zone 2"),'GCN_Post 1.0'!F396,IF(AND($B$3="Post",$B$2="Zone 3"),'GCN_Post 1.0'!G396,IF(AND($B$3="Post",$B$2="Zone 4"),'GCN_Post 1.0'!H396,IF(AND($B$3="Post",$B$2="Zone 5"),'GCN_Post 1.0'!I396,"ERROR")))))))))))))))))))</f>
        <v/>
      </c>
      <c r="V282" s="27" t="str">
        <f t="shared" si="110"/>
        <v/>
      </c>
      <c r="W282" t="str">
        <f t="shared" si="111"/>
        <v/>
      </c>
      <c r="X282" t="str">
        <f t="shared" si="112"/>
        <v/>
      </c>
      <c r="Y282" t="str">
        <f t="shared" si="113"/>
        <v/>
      </c>
      <c r="Z282" t="str">
        <f t="shared" si="114"/>
        <v/>
      </c>
      <c r="AA282" t="str">
        <f t="shared" si="115"/>
        <v/>
      </c>
      <c r="AB282" s="82" t="str">
        <f>IF(AND($B$3="Cantilever",$B$2="Zone 1"),'GCM_Cantilever 1.0'!$G473,IF(AND($B$3="Cantilever",$B$2="Zone 2"),'GCM_Cantilever 1.0'!K473,IF(AND($B$3="HalfTracker",$B$2="Zone 1"),'GCM_Halftracker 1.0'!F488,IF(AND($B$3="HalfTracker",$B$2="Zone 2"),'GCM_Halftracker 1.0'!J488,IF(AND($B$3="Purlin",$B$2="Zone 1"),'GCM_Purlin 1.0'!F543,IF(AND($B$3="Purlin",$B$2="Zone 2"),'GCM_Purlin 1.0'!N543,IF(AND($B$3="Purlin",$B$2="Zone 3"),'GCM_Purlin 1.0'!Y543,IF(AND($B$3="Purlin",$B$2="Zone 4"),'GCM_Purlin 1.0'!AG543,IF(AND($B$3="Purlin",$B$2="Zone 5"),'GCM_Purlin 1.0'!AR543,IF(AND($B$3="Clip",$B$2="Zone 1"),'GCN_Clip 1.0'!H112,IF(AND($B$3="Clip",$B$2="Zone 2"),'GCN_Clip 1.0'!H113,IF(AND($B$3="Clip",$B$2="Zone 3"),'GCN_Clip 1.0'!H114,IF(AND($B$3="Clip",$B$2="Zone 4"),'GCN_Clip 1.0'!H115,IF(AND($B$3="Clip",$B$2="Zone 5"),'GCN_Clip 1.0'!H116,IF(AND($B$3="Post",$B$2="Zone 1"),'GCN_Post 1.0'!J396,IF(AND($B$3="Post",$B$2="Zone 2"),'GCN_Post 1.0'!K396,IF(AND($B$3="Post",$B$2="Zone 3"),'GCN_Post 1.0'!N396,IF(AND($B$3="Post",$B$2="Zone 4"),'GCN_Post 1.0'!O396,IF(AND($B$3="Post",$B$2="Zone 5"),'GCN_Post 1.0'!P396,"ERROR")))))))))))))))))))</f>
        <v/>
      </c>
      <c r="AD282" s="27" t="str">
        <f t="shared" si="116"/>
        <v/>
      </c>
      <c r="AE282" t="str">
        <f t="shared" si="117"/>
        <v/>
      </c>
      <c r="AF282" t="str">
        <f t="shared" si="118"/>
        <v/>
      </c>
      <c r="AG282" t="str">
        <f t="shared" si="119"/>
        <v/>
      </c>
      <c r="AH282" t="str">
        <f t="shared" si="120"/>
        <v/>
      </c>
      <c r="AI282" t="str">
        <f t="shared" si="121"/>
        <v/>
      </c>
      <c r="AJ282" s="82" t="str">
        <f>IF(AND($B$3="Cantilever",$B$2="Zone 1"),'GCM_Cantilever 1.0'!$H473,IF(AND($B$3="Cantilever",$B$2="Zone 2"),'GCM_Cantilever 1.0'!L473,IF(AND($B$3="HalfTracker",$B$2="Zone 1"),'GCM_Halftracker 1.0'!G488,IF(AND($B$3="HalfTracker",$B$2="Zone 2"),'GCM_Halftracker 1.0'!K488,IF(AND($B$3="Purlin",$B$2="Zone 1"),'GCM_Purlin 1.0'!G543,IF(AND($B$3="Purlin",$B$2="Zone 2"),'GCM_Purlin 1.0'!O543,IF(AND($B$3="Purlin",$B$2="Zone 3"),'GCM_Purlin 1.0'!Z543,IF(AND($B$3="Purlin",$B$2="Zone 4"),'GCM_Purlin 1.0'!AH543,IF(AND($B$3="Purlin",$B$2="Zone 5"),'GCM_Purlin 1.0'!AS543,IF(AND($B$3="Clip",$B$2="Zone 1"),'GCN_Clip 1.0'!#REF!,IF(AND($B$3="Clip",$B$2="Zone 2"),'GCN_Clip 1.0'!#REF!,IF(AND($B$3="Clip",$B$2="Zone 3"),'GCN_Clip 1.0'!#REF!,IF(AND($B$3="Clip",$B$2="Zone 4"),'GCN_Clip 1.0'!#REF!,IF(AND($B$3="Clip",$B$2="Zone 5"),'GCN_Clip 1.0'!#REF!,IF(AND($B$3="Post",$B$2="Zone 1"),'GCN_Post 1.0'!Q396,IF(AND($B$3="Post",$B$2="Zone 2"),'GCN_Post 1.0'!R396,IF(AND($B$3="Post",$B$2="Zone 3"),'GCN_Post 1.0'!S396,IF(AND($B$3="Post",$B$2="Zone 4"),'GCN_Post 1.0'!T396,IF(AND($B$3="Post",$B$2="Zone 5"),'GCN_Post 1.0'!V396,"ERROR")))))))))))))))))))</f>
        <v/>
      </c>
      <c r="AL282" s="27" t="str">
        <f t="shared" si="122"/>
        <v/>
      </c>
      <c r="AM282" t="str">
        <f t="shared" si="123"/>
        <v/>
      </c>
      <c r="AN282" t="str">
        <f t="shared" si="124"/>
        <v/>
      </c>
      <c r="AO282" t="str">
        <f t="shared" si="125"/>
        <v/>
      </c>
      <c r="AP282" t="str">
        <f t="shared" si="126"/>
        <v/>
      </c>
      <c r="AQ282" t="str">
        <f t="shared" si="127"/>
        <v/>
      </c>
      <c r="AR282" s="82" t="str">
        <f>IF(AND($B$3="Cantilever",$B$2="Zone 1"),'GCM_Cantilever 1.0'!$I473,IF(AND($B$3="Cantilever",$B$2="Zone 2"),'GCM_Cantilever 1.0'!M473,IF(AND($B$3="HalfTracker",$B$2="Zone 1"),'GCM_Halftracker 1.0'!H488,IF(AND($B$3="HalfTracker",$B$2="Zone 2"),'GCM_Halftracker 1.0'!L488,IF(AND($B$3="Purlin",$B$2="Zone 1"),'GCM_Purlin 1.0'!H543,IF(AND($B$3="Purlin",$B$2="Zone 2"),'GCM_Purlin 1.0'!P543,IF(AND($B$3="Purlin",$B$2="Zone 3"),'GCM_Purlin 1.0'!AA543,IF(AND($B$3="Purlin",$B$2="Zone 4"),'GCM_Purlin 1.0'!AI543,IF(AND($B$3="Purlin",$B$2="Zone 5"),'GCM_Purlin 1.0'!AT543,IF(AND($B$3="Clip",$B$2="Zone 1"),'GCN_Clip 1.0'!#REF!,IF(AND($B$3="Clip",$B$2="Zone 2"),'GCN_Clip 1.0'!#REF!,IF(AND($B$3="Clip",$B$2="Zone 3"),'GCN_Clip 1.0'!#REF!,IF(AND($B$3="Clip",$B$2="Zone 4"),'GCN_Clip 1.0'!#REF!,IF(AND($B$3="Clip",$B$2="Zone 5"),'GCN_Clip 1.0'!#REF!,IF(AND($B$3="Post",$B$2="Zone 1"),'GCN_Post 1.0'!W396,IF(AND($B$3="Post",$B$2="Zone 2"),'GCN_Post 1.0'!X396,IF(AND($B$3="Post",$B$2="Zone 3"),'GCN_Post 1.0'!Y396,IF(AND($B$3="Post",$B$2="Zone 4"),'GCN_Post 1.0'!Z396,IF(AND($B$3="Post",$B$2="Zone 5"),'GCN_Post 1.0'!AA396,"ERROR")))))))))))))))))))</f>
        <v/>
      </c>
    </row>
    <row r="283" spans="6:44" x14ac:dyDescent="0.25">
      <c r="F283">
        <v>110</v>
      </c>
      <c r="G283" s="27" t="str">
        <f t="shared" si="100"/>
        <v/>
      </c>
      <c r="H283" t="str">
        <f t="shared" si="101"/>
        <v/>
      </c>
      <c r="I283" t="str">
        <f t="shared" si="102"/>
        <v/>
      </c>
      <c r="J283" s="28" t="str">
        <f t="shared" si="103"/>
        <v/>
      </c>
      <c r="M283">
        <v>110</v>
      </c>
      <c r="N283" s="27" t="str">
        <f t="shared" si="104"/>
        <v/>
      </c>
      <c r="O283" t="str">
        <f t="shared" si="105"/>
        <v/>
      </c>
      <c r="P283" t="str">
        <f t="shared" si="106"/>
        <v/>
      </c>
      <c r="Q283" t="str">
        <f t="shared" si="107"/>
        <v/>
      </c>
      <c r="R283" t="str">
        <f t="shared" si="108"/>
        <v/>
      </c>
      <c r="S283" t="str">
        <f t="shared" si="109"/>
        <v/>
      </c>
      <c r="T283" s="82" t="str">
        <f>IF(AND($B$3="Cantilever",$B$2="Zone 1"),'GCM_Cantilever 1.0'!$F474,IF(AND($B$3="Cantilever",$B$2="Zone 2"),'GCM_Cantilever 1.0'!J474,IF(AND($B$3="HalfTracker",$B$2="Zone 1"),'GCM_Halftracker 1.0'!E489,IF(AND($B$3="HalfTracker",$B$2="Zone 2"),'GCM_Halftracker 1.0'!I489,IF(AND($B$3="Purlin",$B$2="Zone 1"),'GCM_Purlin 1.0'!E544,IF(AND($B$3="Purlin",$B$2="Zone 2"),'GCM_Purlin 1.0'!M544,IF(AND($B$3="Purlin",$B$2="Zone 3"),'GCM_Purlin 1.0'!X544,IF(AND($B$3="Purlin",$B$2="Zone 4"),'GCM_Purlin 1.0'!AF544,IF(AND($B$3="Purlin",$B$2="Zone 5"),'GCM_Purlin 1.0'!AQ544,IF(AND($B$3="Clip",$B$2="Zone 1"),'GCN_Clip 1.0'!G113,IF(AND($B$3="Clip",$B$2="Zone 2"),'GCN_Clip 1.0'!C114,IF(AND($B$3="Clip",$B$2="Zone 3"),'GCN_Clip 1.0'!G115,IF(AND($B$3="Clip",$B$2="Zone 4"),'GCN_Clip 1.0'!G116,IF(AND($B$3="Clip",$B$2="Zone 5"),'GCN_Clip 1.0'!G117,IF(AND($B$3="Post",$B$2="Zone 1"),'GCN_Post 1.0'!E397,IF(AND($B$3="Post",$B$2="Zone 2"),'GCN_Post 1.0'!F397,IF(AND($B$3="Post",$B$2="Zone 3"),'GCN_Post 1.0'!G397,IF(AND($B$3="Post",$B$2="Zone 4"),'GCN_Post 1.0'!H397,IF(AND($B$3="Post",$B$2="Zone 5"),'GCN_Post 1.0'!I397,"ERROR")))))))))))))))))))</f>
        <v/>
      </c>
      <c r="V283" s="27" t="str">
        <f t="shared" si="110"/>
        <v/>
      </c>
      <c r="W283" t="str">
        <f t="shared" si="111"/>
        <v/>
      </c>
      <c r="X283" t="str">
        <f t="shared" si="112"/>
        <v/>
      </c>
      <c r="Y283" t="str">
        <f t="shared" si="113"/>
        <v/>
      </c>
      <c r="Z283" t="str">
        <f t="shared" si="114"/>
        <v/>
      </c>
      <c r="AA283" t="str">
        <f t="shared" si="115"/>
        <v/>
      </c>
      <c r="AB283" s="82" t="str">
        <f>IF(AND($B$3="Cantilever",$B$2="Zone 1"),'GCM_Cantilever 1.0'!$G474,IF(AND($B$3="Cantilever",$B$2="Zone 2"),'GCM_Cantilever 1.0'!K474,IF(AND($B$3="HalfTracker",$B$2="Zone 1"),'GCM_Halftracker 1.0'!F489,IF(AND($B$3="HalfTracker",$B$2="Zone 2"),'GCM_Halftracker 1.0'!J489,IF(AND($B$3="Purlin",$B$2="Zone 1"),'GCM_Purlin 1.0'!F544,IF(AND($B$3="Purlin",$B$2="Zone 2"),'GCM_Purlin 1.0'!N544,IF(AND($B$3="Purlin",$B$2="Zone 3"),'GCM_Purlin 1.0'!Y544,IF(AND($B$3="Purlin",$B$2="Zone 4"),'GCM_Purlin 1.0'!AG544,IF(AND($B$3="Purlin",$B$2="Zone 5"),'GCM_Purlin 1.0'!AR544,IF(AND($B$3="Clip",$B$2="Zone 1"),'GCN_Clip 1.0'!H113,IF(AND($B$3="Clip",$B$2="Zone 2"),'GCN_Clip 1.0'!H114,IF(AND($B$3="Clip",$B$2="Zone 3"),'GCN_Clip 1.0'!H115,IF(AND($B$3="Clip",$B$2="Zone 4"),'GCN_Clip 1.0'!H116,IF(AND($B$3="Clip",$B$2="Zone 5"),'GCN_Clip 1.0'!H117,IF(AND($B$3="Post",$B$2="Zone 1"),'GCN_Post 1.0'!J397,IF(AND($B$3="Post",$B$2="Zone 2"),'GCN_Post 1.0'!K397,IF(AND($B$3="Post",$B$2="Zone 3"),'GCN_Post 1.0'!N397,IF(AND($B$3="Post",$B$2="Zone 4"),'GCN_Post 1.0'!O397,IF(AND($B$3="Post",$B$2="Zone 5"),'GCN_Post 1.0'!P397,"ERROR")))))))))))))))))))</f>
        <v/>
      </c>
      <c r="AD283" s="27" t="str">
        <f t="shared" si="116"/>
        <v/>
      </c>
      <c r="AE283" t="str">
        <f t="shared" si="117"/>
        <v/>
      </c>
      <c r="AF283" t="str">
        <f t="shared" si="118"/>
        <v/>
      </c>
      <c r="AG283" t="str">
        <f t="shared" si="119"/>
        <v/>
      </c>
      <c r="AH283" t="str">
        <f t="shared" si="120"/>
        <v/>
      </c>
      <c r="AI283" t="str">
        <f t="shared" si="121"/>
        <v/>
      </c>
      <c r="AJ283" s="82" t="str">
        <f>IF(AND($B$3="Cantilever",$B$2="Zone 1"),'GCM_Cantilever 1.0'!$H474,IF(AND($B$3="Cantilever",$B$2="Zone 2"),'GCM_Cantilever 1.0'!L474,IF(AND($B$3="HalfTracker",$B$2="Zone 1"),'GCM_Halftracker 1.0'!G489,IF(AND($B$3="HalfTracker",$B$2="Zone 2"),'GCM_Halftracker 1.0'!K489,IF(AND($B$3="Purlin",$B$2="Zone 1"),'GCM_Purlin 1.0'!G544,IF(AND($B$3="Purlin",$B$2="Zone 2"),'GCM_Purlin 1.0'!O544,IF(AND($B$3="Purlin",$B$2="Zone 3"),'GCM_Purlin 1.0'!Z544,IF(AND($B$3="Purlin",$B$2="Zone 4"),'GCM_Purlin 1.0'!AH544,IF(AND($B$3="Purlin",$B$2="Zone 5"),'GCM_Purlin 1.0'!AS544,IF(AND($B$3="Clip",$B$2="Zone 1"),'GCN_Clip 1.0'!#REF!,IF(AND($B$3="Clip",$B$2="Zone 2"),'GCN_Clip 1.0'!#REF!,IF(AND($B$3="Clip",$B$2="Zone 3"),'GCN_Clip 1.0'!#REF!,IF(AND($B$3="Clip",$B$2="Zone 4"),'GCN_Clip 1.0'!#REF!,IF(AND($B$3="Clip",$B$2="Zone 5"),'GCN_Clip 1.0'!#REF!,IF(AND($B$3="Post",$B$2="Zone 1"),'GCN_Post 1.0'!Q397,IF(AND($B$3="Post",$B$2="Zone 2"),'GCN_Post 1.0'!R397,IF(AND($B$3="Post",$B$2="Zone 3"),'GCN_Post 1.0'!S397,IF(AND($B$3="Post",$B$2="Zone 4"),'GCN_Post 1.0'!T397,IF(AND($B$3="Post",$B$2="Zone 5"),'GCN_Post 1.0'!V397,"ERROR")))))))))))))))))))</f>
        <v/>
      </c>
      <c r="AL283" s="27" t="str">
        <f t="shared" si="122"/>
        <v/>
      </c>
      <c r="AM283" t="str">
        <f t="shared" si="123"/>
        <v/>
      </c>
      <c r="AN283" t="str">
        <f t="shared" si="124"/>
        <v/>
      </c>
      <c r="AO283" t="str">
        <f t="shared" si="125"/>
        <v/>
      </c>
      <c r="AP283" t="str">
        <f t="shared" si="126"/>
        <v/>
      </c>
      <c r="AQ283" t="str">
        <f t="shared" si="127"/>
        <v/>
      </c>
      <c r="AR283" s="82" t="str">
        <f>IF(AND($B$3="Cantilever",$B$2="Zone 1"),'GCM_Cantilever 1.0'!$I474,IF(AND($B$3="Cantilever",$B$2="Zone 2"),'GCM_Cantilever 1.0'!M474,IF(AND($B$3="HalfTracker",$B$2="Zone 1"),'GCM_Halftracker 1.0'!H489,IF(AND($B$3="HalfTracker",$B$2="Zone 2"),'GCM_Halftracker 1.0'!L489,IF(AND($B$3="Purlin",$B$2="Zone 1"),'GCM_Purlin 1.0'!H544,IF(AND($B$3="Purlin",$B$2="Zone 2"),'GCM_Purlin 1.0'!P544,IF(AND($B$3="Purlin",$B$2="Zone 3"),'GCM_Purlin 1.0'!AA544,IF(AND($B$3="Purlin",$B$2="Zone 4"),'GCM_Purlin 1.0'!AI544,IF(AND($B$3="Purlin",$B$2="Zone 5"),'GCM_Purlin 1.0'!AT544,IF(AND($B$3="Clip",$B$2="Zone 1"),'GCN_Clip 1.0'!#REF!,IF(AND($B$3="Clip",$B$2="Zone 2"),'GCN_Clip 1.0'!#REF!,IF(AND($B$3="Clip",$B$2="Zone 3"),'GCN_Clip 1.0'!#REF!,IF(AND($B$3="Clip",$B$2="Zone 4"),'GCN_Clip 1.0'!#REF!,IF(AND($B$3="Clip",$B$2="Zone 5"),'GCN_Clip 1.0'!#REF!,IF(AND($B$3="Post",$B$2="Zone 1"),'GCN_Post 1.0'!W397,IF(AND($B$3="Post",$B$2="Zone 2"),'GCN_Post 1.0'!X397,IF(AND($B$3="Post",$B$2="Zone 3"),'GCN_Post 1.0'!Y397,IF(AND($B$3="Post",$B$2="Zone 4"),'GCN_Post 1.0'!Z397,IF(AND($B$3="Post",$B$2="Zone 5"),'GCN_Post 1.0'!AA397,"ERROR")))))))))))))))))))</f>
        <v/>
      </c>
    </row>
    <row r="284" spans="6:44" x14ac:dyDescent="0.25">
      <c r="F284">
        <v>111</v>
      </c>
      <c r="G284" s="27" t="str">
        <f t="shared" si="100"/>
        <v/>
      </c>
      <c r="H284" t="str">
        <f t="shared" si="101"/>
        <v/>
      </c>
      <c r="I284" t="str">
        <f t="shared" si="102"/>
        <v/>
      </c>
      <c r="J284" s="28" t="str">
        <f t="shared" si="103"/>
        <v/>
      </c>
      <c r="M284">
        <v>111</v>
      </c>
      <c r="N284" s="27" t="str">
        <f t="shared" si="104"/>
        <v/>
      </c>
      <c r="O284" t="str">
        <f t="shared" si="105"/>
        <v/>
      </c>
      <c r="P284" t="str">
        <f t="shared" si="106"/>
        <v/>
      </c>
      <c r="Q284" t="str">
        <f t="shared" si="107"/>
        <v/>
      </c>
      <c r="R284" t="str">
        <f t="shared" si="108"/>
        <v/>
      </c>
      <c r="S284" t="str">
        <f t="shared" si="109"/>
        <v/>
      </c>
      <c r="T284" s="82" t="str">
        <f>IF(AND($B$3="Cantilever",$B$2="Zone 1"),'GCM_Cantilever 1.0'!$F475,IF(AND($B$3="Cantilever",$B$2="Zone 2"),'GCM_Cantilever 1.0'!J475,IF(AND($B$3="HalfTracker",$B$2="Zone 1"),'GCM_Halftracker 1.0'!E490,IF(AND($B$3="HalfTracker",$B$2="Zone 2"),'GCM_Halftracker 1.0'!I490,IF(AND($B$3="Purlin",$B$2="Zone 1"),'GCM_Purlin 1.0'!E545,IF(AND($B$3="Purlin",$B$2="Zone 2"),'GCM_Purlin 1.0'!M545,IF(AND($B$3="Purlin",$B$2="Zone 3"),'GCM_Purlin 1.0'!X545,IF(AND($B$3="Purlin",$B$2="Zone 4"),'GCM_Purlin 1.0'!AF545,IF(AND($B$3="Purlin",$B$2="Zone 5"),'GCM_Purlin 1.0'!AQ545,IF(AND($B$3="Clip",$B$2="Zone 1"),'GCN_Clip 1.0'!G114,IF(AND($B$3="Clip",$B$2="Zone 2"),'GCN_Clip 1.0'!C115,IF(AND($B$3="Clip",$B$2="Zone 3"),'GCN_Clip 1.0'!G116,IF(AND($B$3="Clip",$B$2="Zone 4"),'GCN_Clip 1.0'!G117,IF(AND($B$3="Clip",$B$2="Zone 5"),'GCN_Clip 1.0'!G118,IF(AND($B$3="Post",$B$2="Zone 1"),'GCN_Post 1.0'!E398,IF(AND($B$3="Post",$B$2="Zone 2"),'GCN_Post 1.0'!F398,IF(AND($B$3="Post",$B$2="Zone 3"),'GCN_Post 1.0'!G398,IF(AND($B$3="Post",$B$2="Zone 4"),'GCN_Post 1.0'!H398,IF(AND($B$3="Post",$B$2="Zone 5"),'GCN_Post 1.0'!I398,"ERROR")))))))))))))))))))</f>
        <v/>
      </c>
      <c r="V284" s="27" t="str">
        <f t="shared" si="110"/>
        <v/>
      </c>
      <c r="W284" t="str">
        <f t="shared" si="111"/>
        <v/>
      </c>
      <c r="X284" t="str">
        <f t="shared" si="112"/>
        <v/>
      </c>
      <c r="Y284" t="str">
        <f t="shared" si="113"/>
        <v/>
      </c>
      <c r="Z284" t="str">
        <f t="shared" si="114"/>
        <v/>
      </c>
      <c r="AA284" t="str">
        <f t="shared" si="115"/>
        <v/>
      </c>
      <c r="AB284" s="82" t="str">
        <f>IF(AND($B$3="Cantilever",$B$2="Zone 1"),'GCM_Cantilever 1.0'!$G475,IF(AND($B$3="Cantilever",$B$2="Zone 2"),'GCM_Cantilever 1.0'!K475,IF(AND($B$3="HalfTracker",$B$2="Zone 1"),'GCM_Halftracker 1.0'!F490,IF(AND($B$3="HalfTracker",$B$2="Zone 2"),'GCM_Halftracker 1.0'!J490,IF(AND($B$3="Purlin",$B$2="Zone 1"),'GCM_Purlin 1.0'!F545,IF(AND($B$3="Purlin",$B$2="Zone 2"),'GCM_Purlin 1.0'!N545,IF(AND($B$3="Purlin",$B$2="Zone 3"),'GCM_Purlin 1.0'!Y545,IF(AND($B$3="Purlin",$B$2="Zone 4"),'GCM_Purlin 1.0'!AG545,IF(AND($B$3="Purlin",$B$2="Zone 5"),'GCM_Purlin 1.0'!AR545,IF(AND($B$3="Clip",$B$2="Zone 1"),'GCN_Clip 1.0'!H114,IF(AND($B$3="Clip",$B$2="Zone 2"),'GCN_Clip 1.0'!H115,IF(AND($B$3="Clip",$B$2="Zone 3"),'GCN_Clip 1.0'!H116,IF(AND($B$3="Clip",$B$2="Zone 4"),'GCN_Clip 1.0'!H117,IF(AND($B$3="Clip",$B$2="Zone 5"),'GCN_Clip 1.0'!H118,IF(AND($B$3="Post",$B$2="Zone 1"),'GCN_Post 1.0'!J398,IF(AND($B$3="Post",$B$2="Zone 2"),'GCN_Post 1.0'!K398,IF(AND($B$3="Post",$B$2="Zone 3"),'GCN_Post 1.0'!N398,IF(AND($B$3="Post",$B$2="Zone 4"),'GCN_Post 1.0'!O398,IF(AND($B$3="Post",$B$2="Zone 5"),'GCN_Post 1.0'!P398,"ERROR")))))))))))))))))))</f>
        <v/>
      </c>
      <c r="AD284" s="27" t="str">
        <f t="shared" si="116"/>
        <v/>
      </c>
      <c r="AE284" t="str">
        <f t="shared" si="117"/>
        <v/>
      </c>
      <c r="AF284" t="str">
        <f t="shared" si="118"/>
        <v/>
      </c>
      <c r="AG284" t="str">
        <f t="shared" si="119"/>
        <v/>
      </c>
      <c r="AH284" t="str">
        <f t="shared" si="120"/>
        <v/>
      </c>
      <c r="AI284" t="str">
        <f t="shared" si="121"/>
        <v/>
      </c>
      <c r="AJ284" s="82" t="str">
        <f>IF(AND($B$3="Cantilever",$B$2="Zone 1"),'GCM_Cantilever 1.0'!$H475,IF(AND($B$3="Cantilever",$B$2="Zone 2"),'GCM_Cantilever 1.0'!L475,IF(AND($B$3="HalfTracker",$B$2="Zone 1"),'GCM_Halftracker 1.0'!G490,IF(AND($B$3="HalfTracker",$B$2="Zone 2"),'GCM_Halftracker 1.0'!K490,IF(AND($B$3="Purlin",$B$2="Zone 1"),'GCM_Purlin 1.0'!G545,IF(AND($B$3="Purlin",$B$2="Zone 2"),'GCM_Purlin 1.0'!O545,IF(AND($B$3="Purlin",$B$2="Zone 3"),'GCM_Purlin 1.0'!Z545,IF(AND($B$3="Purlin",$B$2="Zone 4"),'GCM_Purlin 1.0'!AH545,IF(AND($B$3="Purlin",$B$2="Zone 5"),'GCM_Purlin 1.0'!AS545,IF(AND($B$3="Clip",$B$2="Zone 1"),'GCN_Clip 1.0'!#REF!,IF(AND($B$3="Clip",$B$2="Zone 2"),'GCN_Clip 1.0'!#REF!,IF(AND($B$3="Clip",$B$2="Zone 3"),'GCN_Clip 1.0'!#REF!,IF(AND($B$3="Clip",$B$2="Zone 4"),'GCN_Clip 1.0'!#REF!,IF(AND($B$3="Clip",$B$2="Zone 5"),'GCN_Clip 1.0'!#REF!,IF(AND($B$3="Post",$B$2="Zone 1"),'GCN_Post 1.0'!Q398,IF(AND($B$3="Post",$B$2="Zone 2"),'GCN_Post 1.0'!R398,IF(AND($B$3="Post",$B$2="Zone 3"),'GCN_Post 1.0'!S398,IF(AND($B$3="Post",$B$2="Zone 4"),'GCN_Post 1.0'!T398,IF(AND($B$3="Post",$B$2="Zone 5"),'GCN_Post 1.0'!V398,"ERROR")))))))))))))))))))</f>
        <v/>
      </c>
      <c r="AL284" s="27" t="str">
        <f t="shared" si="122"/>
        <v/>
      </c>
      <c r="AM284" t="str">
        <f t="shared" si="123"/>
        <v/>
      </c>
      <c r="AN284" t="str">
        <f t="shared" si="124"/>
        <v/>
      </c>
      <c r="AO284" t="str">
        <f t="shared" si="125"/>
        <v/>
      </c>
      <c r="AP284" t="str">
        <f t="shared" si="126"/>
        <v/>
      </c>
      <c r="AQ284" t="str">
        <f t="shared" si="127"/>
        <v/>
      </c>
      <c r="AR284" s="82" t="str">
        <f>IF(AND($B$3="Cantilever",$B$2="Zone 1"),'GCM_Cantilever 1.0'!$I475,IF(AND($B$3="Cantilever",$B$2="Zone 2"),'GCM_Cantilever 1.0'!M475,IF(AND($B$3="HalfTracker",$B$2="Zone 1"),'GCM_Halftracker 1.0'!H490,IF(AND($B$3="HalfTracker",$B$2="Zone 2"),'GCM_Halftracker 1.0'!L490,IF(AND($B$3="Purlin",$B$2="Zone 1"),'GCM_Purlin 1.0'!H545,IF(AND($B$3="Purlin",$B$2="Zone 2"),'GCM_Purlin 1.0'!P545,IF(AND($B$3="Purlin",$B$2="Zone 3"),'GCM_Purlin 1.0'!AA545,IF(AND($B$3="Purlin",$B$2="Zone 4"),'GCM_Purlin 1.0'!AI545,IF(AND($B$3="Purlin",$B$2="Zone 5"),'GCM_Purlin 1.0'!AT545,IF(AND($B$3="Clip",$B$2="Zone 1"),'GCN_Clip 1.0'!#REF!,IF(AND($B$3="Clip",$B$2="Zone 2"),'GCN_Clip 1.0'!#REF!,IF(AND($B$3="Clip",$B$2="Zone 3"),'GCN_Clip 1.0'!#REF!,IF(AND($B$3="Clip",$B$2="Zone 4"),'GCN_Clip 1.0'!#REF!,IF(AND($B$3="Clip",$B$2="Zone 5"),'GCN_Clip 1.0'!#REF!,IF(AND($B$3="Post",$B$2="Zone 1"),'GCN_Post 1.0'!W398,IF(AND($B$3="Post",$B$2="Zone 2"),'GCN_Post 1.0'!X398,IF(AND($B$3="Post",$B$2="Zone 3"),'GCN_Post 1.0'!Y398,IF(AND($B$3="Post",$B$2="Zone 4"),'GCN_Post 1.0'!Z398,IF(AND($B$3="Post",$B$2="Zone 5"),'GCN_Post 1.0'!AA398,"ERROR")))))))))))))))))))</f>
        <v/>
      </c>
    </row>
    <row r="285" spans="6:44" x14ac:dyDescent="0.25">
      <c r="F285">
        <v>112</v>
      </c>
      <c r="G285" s="27" t="str">
        <f t="shared" si="100"/>
        <v/>
      </c>
      <c r="H285" t="str">
        <f t="shared" si="101"/>
        <v/>
      </c>
      <c r="I285" t="str">
        <f t="shared" si="102"/>
        <v/>
      </c>
      <c r="J285" s="28" t="str">
        <f t="shared" si="103"/>
        <v/>
      </c>
      <c r="M285">
        <v>112</v>
      </c>
      <c r="N285" s="27" t="str">
        <f t="shared" si="104"/>
        <v/>
      </c>
      <c r="O285" t="str">
        <f t="shared" si="105"/>
        <v/>
      </c>
      <c r="P285" t="str">
        <f t="shared" si="106"/>
        <v/>
      </c>
      <c r="Q285" t="str">
        <f t="shared" si="107"/>
        <v/>
      </c>
      <c r="R285" t="str">
        <f t="shared" si="108"/>
        <v/>
      </c>
      <c r="S285" t="str">
        <f t="shared" si="109"/>
        <v/>
      </c>
      <c r="T285" s="82" t="str">
        <f>IF(AND($B$3="Cantilever",$B$2="Zone 1"),'GCM_Cantilever 1.0'!$F476,IF(AND($B$3="Cantilever",$B$2="Zone 2"),'GCM_Cantilever 1.0'!J476,IF(AND($B$3="HalfTracker",$B$2="Zone 1"),'GCM_Halftracker 1.0'!E491,IF(AND($B$3="HalfTracker",$B$2="Zone 2"),'GCM_Halftracker 1.0'!I491,IF(AND($B$3="Purlin",$B$2="Zone 1"),'GCM_Purlin 1.0'!E546,IF(AND($B$3="Purlin",$B$2="Zone 2"),'GCM_Purlin 1.0'!M546,IF(AND($B$3="Purlin",$B$2="Zone 3"),'GCM_Purlin 1.0'!X546,IF(AND($B$3="Purlin",$B$2="Zone 4"),'GCM_Purlin 1.0'!AF546,IF(AND($B$3="Purlin",$B$2="Zone 5"),'GCM_Purlin 1.0'!AQ546,IF(AND($B$3="Clip",$B$2="Zone 1"),'GCN_Clip 1.0'!G115,IF(AND($B$3="Clip",$B$2="Zone 2"),'GCN_Clip 1.0'!C116,IF(AND($B$3="Clip",$B$2="Zone 3"),'GCN_Clip 1.0'!G117,IF(AND($B$3="Clip",$B$2="Zone 4"),'GCN_Clip 1.0'!G118,IF(AND($B$3="Clip",$B$2="Zone 5"),'GCN_Clip 1.0'!G119,IF(AND($B$3="Post",$B$2="Zone 1"),'GCN_Post 1.0'!E399,IF(AND($B$3="Post",$B$2="Zone 2"),'GCN_Post 1.0'!F399,IF(AND($B$3="Post",$B$2="Zone 3"),'GCN_Post 1.0'!G399,IF(AND($B$3="Post",$B$2="Zone 4"),'GCN_Post 1.0'!H399,IF(AND($B$3="Post",$B$2="Zone 5"),'GCN_Post 1.0'!I399,"ERROR")))))))))))))))))))</f>
        <v/>
      </c>
      <c r="V285" s="27" t="str">
        <f t="shared" si="110"/>
        <v/>
      </c>
      <c r="W285" t="str">
        <f t="shared" si="111"/>
        <v/>
      </c>
      <c r="X285" t="str">
        <f t="shared" si="112"/>
        <v/>
      </c>
      <c r="Y285" t="str">
        <f t="shared" si="113"/>
        <v/>
      </c>
      <c r="Z285" t="str">
        <f t="shared" si="114"/>
        <v/>
      </c>
      <c r="AA285" t="str">
        <f t="shared" si="115"/>
        <v/>
      </c>
      <c r="AB285" s="82" t="str">
        <f>IF(AND($B$3="Cantilever",$B$2="Zone 1"),'GCM_Cantilever 1.0'!$G476,IF(AND($B$3="Cantilever",$B$2="Zone 2"),'GCM_Cantilever 1.0'!K476,IF(AND($B$3="HalfTracker",$B$2="Zone 1"),'GCM_Halftracker 1.0'!F491,IF(AND($B$3="HalfTracker",$B$2="Zone 2"),'GCM_Halftracker 1.0'!J491,IF(AND($B$3="Purlin",$B$2="Zone 1"),'GCM_Purlin 1.0'!F546,IF(AND($B$3="Purlin",$B$2="Zone 2"),'GCM_Purlin 1.0'!N546,IF(AND($B$3="Purlin",$B$2="Zone 3"),'GCM_Purlin 1.0'!Y546,IF(AND($B$3="Purlin",$B$2="Zone 4"),'GCM_Purlin 1.0'!AG546,IF(AND($B$3="Purlin",$B$2="Zone 5"),'GCM_Purlin 1.0'!AR546,IF(AND($B$3="Clip",$B$2="Zone 1"),'GCN_Clip 1.0'!H115,IF(AND($B$3="Clip",$B$2="Zone 2"),'GCN_Clip 1.0'!H116,IF(AND($B$3="Clip",$B$2="Zone 3"),'GCN_Clip 1.0'!H117,IF(AND($B$3="Clip",$B$2="Zone 4"),'GCN_Clip 1.0'!H118,IF(AND($B$3="Clip",$B$2="Zone 5"),'GCN_Clip 1.0'!H119,IF(AND($B$3="Post",$B$2="Zone 1"),'GCN_Post 1.0'!J399,IF(AND($B$3="Post",$B$2="Zone 2"),'GCN_Post 1.0'!K399,IF(AND($B$3="Post",$B$2="Zone 3"),'GCN_Post 1.0'!N399,IF(AND($B$3="Post",$B$2="Zone 4"),'GCN_Post 1.0'!O399,IF(AND($B$3="Post",$B$2="Zone 5"),'GCN_Post 1.0'!P399,"ERROR")))))))))))))))))))</f>
        <v/>
      </c>
      <c r="AD285" s="27" t="str">
        <f t="shared" si="116"/>
        <v/>
      </c>
      <c r="AE285" t="str">
        <f t="shared" si="117"/>
        <v/>
      </c>
      <c r="AF285" t="str">
        <f t="shared" si="118"/>
        <v/>
      </c>
      <c r="AG285" t="str">
        <f t="shared" si="119"/>
        <v/>
      </c>
      <c r="AH285" t="str">
        <f t="shared" si="120"/>
        <v/>
      </c>
      <c r="AI285" t="str">
        <f t="shared" si="121"/>
        <v/>
      </c>
      <c r="AJ285" s="82" t="str">
        <f>IF(AND($B$3="Cantilever",$B$2="Zone 1"),'GCM_Cantilever 1.0'!$H476,IF(AND($B$3="Cantilever",$B$2="Zone 2"),'GCM_Cantilever 1.0'!L476,IF(AND($B$3="HalfTracker",$B$2="Zone 1"),'GCM_Halftracker 1.0'!G491,IF(AND($B$3="HalfTracker",$B$2="Zone 2"),'GCM_Halftracker 1.0'!K491,IF(AND($B$3="Purlin",$B$2="Zone 1"),'GCM_Purlin 1.0'!G546,IF(AND($B$3="Purlin",$B$2="Zone 2"),'GCM_Purlin 1.0'!O546,IF(AND($B$3="Purlin",$B$2="Zone 3"),'GCM_Purlin 1.0'!Z546,IF(AND($B$3="Purlin",$B$2="Zone 4"),'GCM_Purlin 1.0'!AH546,IF(AND($B$3="Purlin",$B$2="Zone 5"),'GCM_Purlin 1.0'!AS546,IF(AND($B$3="Clip",$B$2="Zone 1"),'GCN_Clip 1.0'!#REF!,IF(AND($B$3="Clip",$B$2="Zone 2"),'GCN_Clip 1.0'!#REF!,IF(AND($B$3="Clip",$B$2="Zone 3"),'GCN_Clip 1.0'!#REF!,IF(AND($B$3="Clip",$B$2="Zone 4"),'GCN_Clip 1.0'!#REF!,IF(AND($B$3="Clip",$B$2="Zone 5"),'GCN_Clip 1.0'!#REF!,IF(AND($B$3="Post",$B$2="Zone 1"),'GCN_Post 1.0'!Q399,IF(AND($B$3="Post",$B$2="Zone 2"),'GCN_Post 1.0'!R399,IF(AND($B$3="Post",$B$2="Zone 3"),'GCN_Post 1.0'!S399,IF(AND($B$3="Post",$B$2="Zone 4"),'GCN_Post 1.0'!T399,IF(AND($B$3="Post",$B$2="Zone 5"),'GCN_Post 1.0'!V399,"ERROR")))))))))))))))))))</f>
        <v/>
      </c>
      <c r="AL285" s="27" t="str">
        <f t="shared" si="122"/>
        <v/>
      </c>
      <c r="AM285" t="str">
        <f t="shared" si="123"/>
        <v/>
      </c>
      <c r="AN285" t="str">
        <f t="shared" si="124"/>
        <v/>
      </c>
      <c r="AO285" t="str">
        <f t="shared" si="125"/>
        <v/>
      </c>
      <c r="AP285" t="str">
        <f t="shared" si="126"/>
        <v/>
      </c>
      <c r="AQ285" t="str">
        <f t="shared" si="127"/>
        <v/>
      </c>
      <c r="AR285" s="82" t="str">
        <f>IF(AND($B$3="Cantilever",$B$2="Zone 1"),'GCM_Cantilever 1.0'!$I476,IF(AND($B$3="Cantilever",$B$2="Zone 2"),'GCM_Cantilever 1.0'!M476,IF(AND($B$3="HalfTracker",$B$2="Zone 1"),'GCM_Halftracker 1.0'!H491,IF(AND($B$3="HalfTracker",$B$2="Zone 2"),'GCM_Halftracker 1.0'!L491,IF(AND($B$3="Purlin",$B$2="Zone 1"),'GCM_Purlin 1.0'!H546,IF(AND($B$3="Purlin",$B$2="Zone 2"),'GCM_Purlin 1.0'!P546,IF(AND($B$3="Purlin",$B$2="Zone 3"),'GCM_Purlin 1.0'!AA546,IF(AND($B$3="Purlin",$B$2="Zone 4"),'GCM_Purlin 1.0'!AI546,IF(AND($B$3="Purlin",$B$2="Zone 5"),'GCM_Purlin 1.0'!AT546,IF(AND($B$3="Clip",$B$2="Zone 1"),'GCN_Clip 1.0'!#REF!,IF(AND($B$3="Clip",$B$2="Zone 2"),'GCN_Clip 1.0'!#REF!,IF(AND($B$3="Clip",$B$2="Zone 3"),'GCN_Clip 1.0'!#REF!,IF(AND($B$3="Clip",$B$2="Zone 4"),'GCN_Clip 1.0'!#REF!,IF(AND($B$3="Clip",$B$2="Zone 5"),'GCN_Clip 1.0'!#REF!,IF(AND($B$3="Post",$B$2="Zone 1"),'GCN_Post 1.0'!W399,IF(AND($B$3="Post",$B$2="Zone 2"),'GCN_Post 1.0'!X399,IF(AND($B$3="Post",$B$2="Zone 3"),'GCN_Post 1.0'!Y399,IF(AND($B$3="Post",$B$2="Zone 4"),'GCN_Post 1.0'!Z399,IF(AND($B$3="Post",$B$2="Zone 5"),'GCN_Post 1.0'!AA399,"ERROR")))))))))))))))))))</f>
        <v/>
      </c>
    </row>
    <row r="286" spans="6:44" x14ac:dyDescent="0.25">
      <c r="F286">
        <v>113</v>
      </c>
      <c r="G286" s="27" t="str">
        <f t="shared" si="100"/>
        <v/>
      </c>
      <c r="H286" t="str">
        <f t="shared" si="101"/>
        <v/>
      </c>
      <c r="I286" t="str">
        <f t="shared" si="102"/>
        <v/>
      </c>
      <c r="J286" s="28" t="str">
        <f t="shared" si="103"/>
        <v/>
      </c>
      <c r="M286">
        <v>113</v>
      </c>
      <c r="N286" s="27" t="str">
        <f t="shared" si="104"/>
        <v/>
      </c>
      <c r="O286" t="str">
        <f t="shared" si="105"/>
        <v/>
      </c>
      <c r="P286" t="str">
        <f t="shared" si="106"/>
        <v/>
      </c>
      <c r="Q286" t="str">
        <f t="shared" si="107"/>
        <v/>
      </c>
      <c r="R286" t="str">
        <f t="shared" si="108"/>
        <v/>
      </c>
      <c r="S286" t="str">
        <f t="shared" si="109"/>
        <v/>
      </c>
      <c r="T286" s="82" t="str">
        <f>IF(AND($B$3="Cantilever",$B$2="Zone 1"),'GCM_Cantilever 1.0'!$F477,IF(AND($B$3="Cantilever",$B$2="Zone 2"),'GCM_Cantilever 1.0'!J477,IF(AND($B$3="HalfTracker",$B$2="Zone 1"),'GCM_Halftracker 1.0'!E492,IF(AND($B$3="HalfTracker",$B$2="Zone 2"),'GCM_Halftracker 1.0'!I492,IF(AND($B$3="Purlin",$B$2="Zone 1"),'GCM_Purlin 1.0'!E547,IF(AND($B$3="Purlin",$B$2="Zone 2"),'GCM_Purlin 1.0'!M547,IF(AND($B$3="Purlin",$B$2="Zone 3"),'GCM_Purlin 1.0'!X547,IF(AND($B$3="Purlin",$B$2="Zone 4"),'GCM_Purlin 1.0'!AF547,IF(AND($B$3="Purlin",$B$2="Zone 5"),'GCM_Purlin 1.0'!AQ547,IF(AND($B$3="Clip",$B$2="Zone 1"),'GCN_Clip 1.0'!G116,IF(AND($B$3="Clip",$B$2="Zone 2"),'GCN_Clip 1.0'!C117,IF(AND($B$3="Clip",$B$2="Zone 3"),'GCN_Clip 1.0'!G118,IF(AND($B$3="Clip",$B$2="Zone 4"),'GCN_Clip 1.0'!G119,IF(AND($B$3="Clip",$B$2="Zone 5"),'GCN_Clip 1.0'!G120,IF(AND($B$3="Post",$B$2="Zone 1"),'GCN_Post 1.0'!E400,IF(AND($B$3="Post",$B$2="Zone 2"),'GCN_Post 1.0'!F400,IF(AND($B$3="Post",$B$2="Zone 3"),'GCN_Post 1.0'!G400,IF(AND($B$3="Post",$B$2="Zone 4"),'GCN_Post 1.0'!H400,IF(AND($B$3="Post",$B$2="Zone 5"),'GCN_Post 1.0'!I400,"ERROR")))))))))))))))))))</f>
        <v/>
      </c>
      <c r="V286" s="27" t="str">
        <f t="shared" si="110"/>
        <v/>
      </c>
      <c r="W286" t="str">
        <f t="shared" si="111"/>
        <v/>
      </c>
      <c r="X286" t="str">
        <f t="shared" si="112"/>
        <v/>
      </c>
      <c r="Y286" t="str">
        <f t="shared" si="113"/>
        <v/>
      </c>
      <c r="Z286" t="str">
        <f t="shared" si="114"/>
        <v/>
      </c>
      <c r="AA286" t="str">
        <f t="shared" si="115"/>
        <v/>
      </c>
      <c r="AB286" s="82" t="str">
        <f>IF(AND($B$3="Cantilever",$B$2="Zone 1"),'GCM_Cantilever 1.0'!$G477,IF(AND($B$3="Cantilever",$B$2="Zone 2"),'GCM_Cantilever 1.0'!K477,IF(AND($B$3="HalfTracker",$B$2="Zone 1"),'GCM_Halftracker 1.0'!F492,IF(AND($B$3="HalfTracker",$B$2="Zone 2"),'GCM_Halftracker 1.0'!J492,IF(AND($B$3="Purlin",$B$2="Zone 1"),'GCM_Purlin 1.0'!F547,IF(AND($B$3="Purlin",$B$2="Zone 2"),'GCM_Purlin 1.0'!N547,IF(AND($B$3="Purlin",$B$2="Zone 3"),'GCM_Purlin 1.0'!Y547,IF(AND($B$3="Purlin",$B$2="Zone 4"),'GCM_Purlin 1.0'!AG547,IF(AND($B$3="Purlin",$B$2="Zone 5"),'GCM_Purlin 1.0'!AR547,IF(AND($B$3="Clip",$B$2="Zone 1"),'GCN_Clip 1.0'!H116,IF(AND($B$3="Clip",$B$2="Zone 2"),'GCN_Clip 1.0'!H117,IF(AND($B$3="Clip",$B$2="Zone 3"),'GCN_Clip 1.0'!H118,IF(AND($B$3="Clip",$B$2="Zone 4"),'GCN_Clip 1.0'!H119,IF(AND($B$3="Clip",$B$2="Zone 5"),'GCN_Clip 1.0'!H120,IF(AND($B$3="Post",$B$2="Zone 1"),'GCN_Post 1.0'!J400,IF(AND($B$3="Post",$B$2="Zone 2"),'GCN_Post 1.0'!K400,IF(AND($B$3="Post",$B$2="Zone 3"),'GCN_Post 1.0'!N400,IF(AND($B$3="Post",$B$2="Zone 4"),'GCN_Post 1.0'!O400,IF(AND($B$3="Post",$B$2="Zone 5"),'GCN_Post 1.0'!P400,"ERROR")))))))))))))))))))</f>
        <v/>
      </c>
      <c r="AD286" s="27" t="str">
        <f t="shared" si="116"/>
        <v/>
      </c>
      <c r="AE286" t="str">
        <f t="shared" si="117"/>
        <v/>
      </c>
      <c r="AF286" t="str">
        <f t="shared" si="118"/>
        <v/>
      </c>
      <c r="AG286" t="str">
        <f t="shared" si="119"/>
        <v/>
      </c>
      <c r="AH286" t="str">
        <f t="shared" si="120"/>
        <v/>
      </c>
      <c r="AI286" t="str">
        <f t="shared" si="121"/>
        <v/>
      </c>
      <c r="AJ286" s="82" t="str">
        <f>IF(AND($B$3="Cantilever",$B$2="Zone 1"),'GCM_Cantilever 1.0'!$H477,IF(AND($B$3="Cantilever",$B$2="Zone 2"),'GCM_Cantilever 1.0'!L477,IF(AND($B$3="HalfTracker",$B$2="Zone 1"),'GCM_Halftracker 1.0'!G492,IF(AND($B$3="HalfTracker",$B$2="Zone 2"),'GCM_Halftracker 1.0'!K492,IF(AND($B$3="Purlin",$B$2="Zone 1"),'GCM_Purlin 1.0'!G547,IF(AND($B$3="Purlin",$B$2="Zone 2"),'GCM_Purlin 1.0'!O547,IF(AND($B$3="Purlin",$B$2="Zone 3"),'GCM_Purlin 1.0'!Z547,IF(AND($B$3="Purlin",$B$2="Zone 4"),'GCM_Purlin 1.0'!AH547,IF(AND($B$3="Purlin",$B$2="Zone 5"),'GCM_Purlin 1.0'!AS547,IF(AND($B$3="Clip",$B$2="Zone 1"),'GCN_Clip 1.0'!#REF!,IF(AND($B$3="Clip",$B$2="Zone 2"),'GCN_Clip 1.0'!#REF!,IF(AND($B$3="Clip",$B$2="Zone 3"),'GCN_Clip 1.0'!#REF!,IF(AND($B$3="Clip",$B$2="Zone 4"),'GCN_Clip 1.0'!#REF!,IF(AND($B$3="Clip",$B$2="Zone 5"),'GCN_Clip 1.0'!#REF!,IF(AND($B$3="Post",$B$2="Zone 1"),'GCN_Post 1.0'!Q400,IF(AND($B$3="Post",$B$2="Zone 2"),'GCN_Post 1.0'!R400,IF(AND($B$3="Post",$B$2="Zone 3"),'GCN_Post 1.0'!S400,IF(AND($B$3="Post",$B$2="Zone 4"),'GCN_Post 1.0'!T400,IF(AND($B$3="Post",$B$2="Zone 5"),'GCN_Post 1.0'!V400,"ERROR")))))))))))))))))))</f>
        <v/>
      </c>
      <c r="AL286" s="27" t="str">
        <f t="shared" si="122"/>
        <v/>
      </c>
      <c r="AM286" t="str">
        <f t="shared" si="123"/>
        <v/>
      </c>
      <c r="AN286" t="str">
        <f t="shared" si="124"/>
        <v/>
      </c>
      <c r="AO286" t="str">
        <f t="shared" si="125"/>
        <v/>
      </c>
      <c r="AP286" t="str">
        <f t="shared" si="126"/>
        <v/>
      </c>
      <c r="AQ286" t="str">
        <f t="shared" si="127"/>
        <v/>
      </c>
      <c r="AR286" s="82" t="str">
        <f>IF(AND($B$3="Cantilever",$B$2="Zone 1"),'GCM_Cantilever 1.0'!$I477,IF(AND($B$3="Cantilever",$B$2="Zone 2"),'GCM_Cantilever 1.0'!M477,IF(AND($B$3="HalfTracker",$B$2="Zone 1"),'GCM_Halftracker 1.0'!H492,IF(AND($B$3="HalfTracker",$B$2="Zone 2"),'GCM_Halftracker 1.0'!L492,IF(AND($B$3="Purlin",$B$2="Zone 1"),'GCM_Purlin 1.0'!H547,IF(AND($B$3="Purlin",$B$2="Zone 2"),'GCM_Purlin 1.0'!P547,IF(AND($B$3="Purlin",$B$2="Zone 3"),'GCM_Purlin 1.0'!AA547,IF(AND($B$3="Purlin",$B$2="Zone 4"),'GCM_Purlin 1.0'!AI547,IF(AND($B$3="Purlin",$B$2="Zone 5"),'GCM_Purlin 1.0'!AT547,IF(AND($B$3="Clip",$B$2="Zone 1"),'GCN_Clip 1.0'!#REF!,IF(AND($B$3="Clip",$B$2="Zone 2"),'GCN_Clip 1.0'!#REF!,IF(AND($B$3="Clip",$B$2="Zone 3"),'GCN_Clip 1.0'!#REF!,IF(AND($B$3="Clip",$B$2="Zone 4"),'GCN_Clip 1.0'!#REF!,IF(AND($B$3="Clip",$B$2="Zone 5"),'GCN_Clip 1.0'!#REF!,IF(AND($B$3="Post",$B$2="Zone 1"),'GCN_Post 1.0'!W400,IF(AND($B$3="Post",$B$2="Zone 2"),'GCN_Post 1.0'!X400,IF(AND($B$3="Post",$B$2="Zone 3"),'GCN_Post 1.0'!Y400,IF(AND($B$3="Post",$B$2="Zone 4"),'GCN_Post 1.0'!Z400,IF(AND($B$3="Post",$B$2="Zone 5"),'GCN_Post 1.0'!AA400,"ERROR")))))))))))))))))))</f>
        <v/>
      </c>
    </row>
    <row r="287" spans="6:44" x14ac:dyDescent="0.25">
      <c r="F287">
        <v>114</v>
      </c>
      <c r="G287" s="27" t="str">
        <f t="shared" si="100"/>
        <v/>
      </c>
      <c r="H287" t="str">
        <f t="shared" si="101"/>
        <v/>
      </c>
      <c r="I287" t="str">
        <f t="shared" si="102"/>
        <v/>
      </c>
      <c r="J287" s="28" t="str">
        <f t="shared" si="103"/>
        <v/>
      </c>
      <c r="M287">
        <v>114</v>
      </c>
      <c r="N287" s="27" t="str">
        <f t="shared" si="104"/>
        <v/>
      </c>
      <c r="O287" t="str">
        <f t="shared" si="105"/>
        <v/>
      </c>
      <c r="P287" t="str">
        <f t="shared" si="106"/>
        <v/>
      </c>
      <c r="Q287" t="str">
        <f t="shared" si="107"/>
        <v/>
      </c>
      <c r="R287" t="str">
        <f t="shared" si="108"/>
        <v/>
      </c>
      <c r="S287" t="str">
        <f t="shared" si="109"/>
        <v/>
      </c>
      <c r="T287" s="82" t="str">
        <f>IF(AND($B$3="Cantilever",$B$2="Zone 1"),'GCM_Cantilever 1.0'!$F478,IF(AND($B$3="Cantilever",$B$2="Zone 2"),'GCM_Cantilever 1.0'!J478,IF(AND($B$3="HalfTracker",$B$2="Zone 1"),'GCM_Halftracker 1.0'!E493,IF(AND($B$3="HalfTracker",$B$2="Zone 2"),'GCM_Halftracker 1.0'!I493,IF(AND($B$3="Purlin",$B$2="Zone 1"),'GCM_Purlin 1.0'!E548,IF(AND($B$3="Purlin",$B$2="Zone 2"),'GCM_Purlin 1.0'!M548,IF(AND($B$3="Purlin",$B$2="Zone 3"),'GCM_Purlin 1.0'!X548,IF(AND($B$3="Purlin",$B$2="Zone 4"),'GCM_Purlin 1.0'!AF548,IF(AND($B$3="Purlin",$B$2="Zone 5"),'GCM_Purlin 1.0'!AQ548,IF(AND($B$3="Clip",$B$2="Zone 1"),'GCN_Clip 1.0'!G117,IF(AND($B$3="Clip",$B$2="Zone 2"),'GCN_Clip 1.0'!C118,IF(AND($B$3="Clip",$B$2="Zone 3"),'GCN_Clip 1.0'!G119,IF(AND($B$3="Clip",$B$2="Zone 4"),'GCN_Clip 1.0'!G120,IF(AND($B$3="Clip",$B$2="Zone 5"),'GCN_Clip 1.0'!G121,IF(AND($B$3="Post",$B$2="Zone 1"),'GCN_Post 1.0'!E401,IF(AND($B$3="Post",$B$2="Zone 2"),'GCN_Post 1.0'!F401,IF(AND($B$3="Post",$B$2="Zone 3"),'GCN_Post 1.0'!G401,IF(AND($B$3="Post",$B$2="Zone 4"),'GCN_Post 1.0'!H401,IF(AND($B$3="Post",$B$2="Zone 5"),'GCN_Post 1.0'!I401,"ERROR")))))))))))))))))))</f>
        <v/>
      </c>
      <c r="V287" s="27" t="str">
        <f t="shared" si="110"/>
        <v/>
      </c>
      <c r="W287" t="str">
        <f t="shared" si="111"/>
        <v/>
      </c>
      <c r="X287" t="str">
        <f t="shared" si="112"/>
        <v/>
      </c>
      <c r="Y287" t="str">
        <f t="shared" si="113"/>
        <v/>
      </c>
      <c r="Z287" t="str">
        <f t="shared" si="114"/>
        <v/>
      </c>
      <c r="AA287" t="str">
        <f t="shared" si="115"/>
        <v/>
      </c>
      <c r="AB287" s="82" t="str">
        <f>IF(AND($B$3="Cantilever",$B$2="Zone 1"),'GCM_Cantilever 1.0'!$G478,IF(AND($B$3="Cantilever",$B$2="Zone 2"),'GCM_Cantilever 1.0'!K478,IF(AND($B$3="HalfTracker",$B$2="Zone 1"),'GCM_Halftracker 1.0'!F493,IF(AND($B$3="HalfTracker",$B$2="Zone 2"),'GCM_Halftracker 1.0'!J493,IF(AND($B$3="Purlin",$B$2="Zone 1"),'GCM_Purlin 1.0'!F548,IF(AND($B$3="Purlin",$B$2="Zone 2"),'GCM_Purlin 1.0'!N548,IF(AND($B$3="Purlin",$B$2="Zone 3"),'GCM_Purlin 1.0'!Y548,IF(AND($B$3="Purlin",$B$2="Zone 4"),'GCM_Purlin 1.0'!AG548,IF(AND($B$3="Purlin",$B$2="Zone 5"),'GCM_Purlin 1.0'!AR548,IF(AND($B$3="Clip",$B$2="Zone 1"),'GCN_Clip 1.0'!H117,IF(AND($B$3="Clip",$B$2="Zone 2"),'GCN_Clip 1.0'!H118,IF(AND($B$3="Clip",$B$2="Zone 3"),'GCN_Clip 1.0'!H119,IF(AND($B$3="Clip",$B$2="Zone 4"),'GCN_Clip 1.0'!H120,IF(AND($B$3="Clip",$B$2="Zone 5"),'GCN_Clip 1.0'!H121,IF(AND($B$3="Post",$B$2="Zone 1"),'GCN_Post 1.0'!J401,IF(AND($B$3="Post",$B$2="Zone 2"),'GCN_Post 1.0'!K401,IF(AND($B$3="Post",$B$2="Zone 3"),'GCN_Post 1.0'!N401,IF(AND($B$3="Post",$B$2="Zone 4"),'GCN_Post 1.0'!O401,IF(AND($B$3="Post",$B$2="Zone 5"),'GCN_Post 1.0'!P401,"ERROR")))))))))))))))))))</f>
        <v/>
      </c>
      <c r="AD287" s="27" t="str">
        <f t="shared" si="116"/>
        <v/>
      </c>
      <c r="AE287" t="str">
        <f t="shared" si="117"/>
        <v/>
      </c>
      <c r="AF287" t="str">
        <f t="shared" si="118"/>
        <v/>
      </c>
      <c r="AG287" t="str">
        <f t="shared" si="119"/>
        <v/>
      </c>
      <c r="AH287" t="str">
        <f t="shared" si="120"/>
        <v/>
      </c>
      <c r="AI287" t="str">
        <f t="shared" si="121"/>
        <v/>
      </c>
      <c r="AJ287" s="82" t="str">
        <f>IF(AND($B$3="Cantilever",$B$2="Zone 1"),'GCM_Cantilever 1.0'!$H478,IF(AND($B$3="Cantilever",$B$2="Zone 2"),'GCM_Cantilever 1.0'!L478,IF(AND($B$3="HalfTracker",$B$2="Zone 1"),'GCM_Halftracker 1.0'!G493,IF(AND($B$3="HalfTracker",$B$2="Zone 2"),'GCM_Halftracker 1.0'!K493,IF(AND($B$3="Purlin",$B$2="Zone 1"),'GCM_Purlin 1.0'!G548,IF(AND($B$3="Purlin",$B$2="Zone 2"),'GCM_Purlin 1.0'!O548,IF(AND($B$3="Purlin",$B$2="Zone 3"),'GCM_Purlin 1.0'!Z548,IF(AND($B$3="Purlin",$B$2="Zone 4"),'GCM_Purlin 1.0'!AH548,IF(AND($B$3="Purlin",$B$2="Zone 5"),'GCM_Purlin 1.0'!AS548,IF(AND($B$3="Clip",$B$2="Zone 1"),'GCN_Clip 1.0'!#REF!,IF(AND($B$3="Clip",$B$2="Zone 2"),'GCN_Clip 1.0'!#REF!,IF(AND($B$3="Clip",$B$2="Zone 3"),'GCN_Clip 1.0'!#REF!,IF(AND($B$3="Clip",$B$2="Zone 4"),'GCN_Clip 1.0'!#REF!,IF(AND($B$3="Clip",$B$2="Zone 5"),'GCN_Clip 1.0'!#REF!,IF(AND($B$3="Post",$B$2="Zone 1"),'GCN_Post 1.0'!Q401,IF(AND($B$3="Post",$B$2="Zone 2"),'GCN_Post 1.0'!R401,IF(AND($B$3="Post",$B$2="Zone 3"),'GCN_Post 1.0'!S401,IF(AND($B$3="Post",$B$2="Zone 4"),'GCN_Post 1.0'!T401,IF(AND($B$3="Post",$B$2="Zone 5"),'GCN_Post 1.0'!V401,"ERROR")))))))))))))))))))</f>
        <v/>
      </c>
      <c r="AL287" s="27" t="str">
        <f t="shared" si="122"/>
        <v/>
      </c>
      <c r="AM287" t="str">
        <f t="shared" si="123"/>
        <v/>
      </c>
      <c r="AN287" t="str">
        <f t="shared" si="124"/>
        <v/>
      </c>
      <c r="AO287" t="str">
        <f t="shared" si="125"/>
        <v/>
      </c>
      <c r="AP287" t="str">
        <f t="shared" si="126"/>
        <v/>
      </c>
      <c r="AQ287" t="str">
        <f t="shared" si="127"/>
        <v/>
      </c>
      <c r="AR287" s="82" t="str">
        <f>IF(AND($B$3="Cantilever",$B$2="Zone 1"),'GCM_Cantilever 1.0'!$I478,IF(AND($B$3="Cantilever",$B$2="Zone 2"),'GCM_Cantilever 1.0'!M478,IF(AND($B$3="HalfTracker",$B$2="Zone 1"),'GCM_Halftracker 1.0'!H493,IF(AND($B$3="HalfTracker",$B$2="Zone 2"),'GCM_Halftracker 1.0'!L493,IF(AND($B$3="Purlin",$B$2="Zone 1"),'GCM_Purlin 1.0'!H548,IF(AND($B$3="Purlin",$B$2="Zone 2"),'GCM_Purlin 1.0'!P548,IF(AND($B$3="Purlin",$B$2="Zone 3"),'GCM_Purlin 1.0'!AA548,IF(AND($B$3="Purlin",$B$2="Zone 4"),'GCM_Purlin 1.0'!AI548,IF(AND($B$3="Purlin",$B$2="Zone 5"),'GCM_Purlin 1.0'!AT548,IF(AND($B$3="Clip",$B$2="Zone 1"),'GCN_Clip 1.0'!#REF!,IF(AND($B$3="Clip",$B$2="Zone 2"),'GCN_Clip 1.0'!#REF!,IF(AND($B$3="Clip",$B$2="Zone 3"),'GCN_Clip 1.0'!#REF!,IF(AND($B$3="Clip",$B$2="Zone 4"),'GCN_Clip 1.0'!#REF!,IF(AND($B$3="Clip",$B$2="Zone 5"),'GCN_Clip 1.0'!#REF!,IF(AND($B$3="Post",$B$2="Zone 1"),'GCN_Post 1.0'!W401,IF(AND($B$3="Post",$B$2="Zone 2"),'GCN_Post 1.0'!X401,IF(AND($B$3="Post",$B$2="Zone 3"),'GCN_Post 1.0'!Y401,IF(AND($B$3="Post",$B$2="Zone 4"),'GCN_Post 1.0'!Z401,IF(AND($B$3="Post",$B$2="Zone 5"),'GCN_Post 1.0'!AA401,"ERROR")))))))))))))))))))</f>
        <v/>
      </c>
    </row>
    <row r="288" spans="6:44" x14ac:dyDescent="0.25">
      <c r="F288">
        <v>115</v>
      </c>
      <c r="G288" s="27" t="str">
        <f t="shared" si="100"/>
        <v/>
      </c>
      <c r="H288" t="str">
        <f t="shared" si="101"/>
        <v/>
      </c>
      <c r="I288" t="str">
        <f t="shared" si="102"/>
        <v/>
      </c>
      <c r="J288" s="28" t="str">
        <f t="shared" si="103"/>
        <v/>
      </c>
      <c r="M288">
        <v>115</v>
      </c>
      <c r="N288" s="27" t="str">
        <f t="shared" si="104"/>
        <v/>
      </c>
      <c r="O288" t="str">
        <f t="shared" si="105"/>
        <v/>
      </c>
      <c r="P288" t="str">
        <f t="shared" si="106"/>
        <v/>
      </c>
      <c r="Q288" t="str">
        <f t="shared" si="107"/>
        <v/>
      </c>
      <c r="R288" t="str">
        <f t="shared" si="108"/>
        <v/>
      </c>
      <c r="S288" t="str">
        <f t="shared" si="109"/>
        <v/>
      </c>
      <c r="T288" s="82" t="str">
        <f>IF(AND($B$3="Cantilever",$B$2="Zone 1"),'GCM_Cantilever 1.0'!$F479,IF(AND($B$3="Cantilever",$B$2="Zone 2"),'GCM_Cantilever 1.0'!J479,IF(AND($B$3="HalfTracker",$B$2="Zone 1"),'GCM_Halftracker 1.0'!E494,IF(AND($B$3="HalfTracker",$B$2="Zone 2"),'GCM_Halftracker 1.0'!I494,IF(AND($B$3="Purlin",$B$2="Zone 1"),'GCM_Purlin 1.0'!E549,IF(AND($B$3="Purlin",$B$2="Zone 2"),'GCM_Purlin 1.0'!M549,IF(AND($B$3="Purlin",$B$2="Zone 3"),'GCM_Purlin 1.0'!X549,IF(AND($B$3="Purlin",$B$2="Zone 4"),'GCM_Purlin 1.0'!AF549,IF(AND($B$3="Purlin",$B$2="Zone 5"),'GCM_Purlin 1.0'!AQ549,IF(AND($B$3="Clip",$B$2="Zone 1"),'GCN_Clip 1.0'!G118,IF(AND($B$3="Clip",$B$2="Zone 2"),'GCN_Clip 1.0'!C119,IF(AND($B$3="Clip",$B$2="Zone 3"),'GCN_Clip 1.0'!G120,IF(AND($B$3="Clip",$B$2="Zone 4"),'GCN_Clip 1.0'!G121,IF(AND($B$3="Clip",$B$2="Zone 5"),'GCN_Clip 1.0'!G122,IF(AND($B$3="Post",$B$2="Zone 1"),'GCN_Post 1.0'!E402,IF(AND($B$3="Post",$B$2="Zone 2"),'GCN_Post 1.0'!F402,IF(AND($B$3="Post",$B$2="Zone 3"),'GCN_Post 1.0'!G402,IF(AND($B$3="Post",$B$2="Zone 4"),'GCN_Post 1.0'!H402,IF(AND($B$3="Post",$B$2="Zone 5"),'GCN_Post 1.0'!I402,"ERROR")))))))))))))))))))</f>
        <v/>
      </c>
      <c r="V288" s="27" t="str">
        <f t="shared" si="110"/>
        <v/>
      </c>
      <c r="W288" t="str">
        <f t="shared" si="111"/>
        <v/>
      </c>
      <c r="X288" t="str">
        <f t="shared" si="112"/>
        <v/>
      </c>
      <c r="Y288" t="str">
        <f t="shared" si="113"/>
        <v/>
      </c>
      <c r="Z288" t="str">
        <f t="shared" si="114"/>
        <v/>
      </c>
      <c r="AA288" t="str">
        <f t="shared" si="115"/>
        <v/>
      </c>
      <c r="AB288" s="82" t="str">
        <f>IF(AND($B$3="Cantilever",$B$2="Zone 1"),'GCM_Cantilever 1.0'!$G479,IF(AND($B$3="Cantilever",$B$2="Zone 2"),'GCM_Cantilever 1.0'!K479,IF(AND($B$3="HalfTracker",$B$2="Zone 1"),'GCM_Halftracker 1.0'!F494,IF(AND($B$3="HalfTracker",$B$2="Zone 2"),'GCM_Halftracker 1.0'!J494,IF(AND($B$3="Purlin",$B$2="Zone 1"),'GCM_Purlin 1.0'!F549,IF(AND($B$3="Purlin",$B$2="Zone 2"),'GCM_Purlin 1.0'!N549,IF(AND($B$3="Purlin",$B$2="Zone 3"),'GCM_Purlin 1.0'!Y549,IF(AND($B$3="Purlin",$B$2="Zone 4"),'GCM_Purlin 1.0'!AG549,IF(AND($B$3="Purlin",$B$2="Zone 5"),'GCM_Purlin 1.0'!AR549,IF(AND($B$3="Clip",$B$2="Zone 1"),'GCN_Clip 1.0'!H118,IF(AND($B$3="Clip",$B$2="Zone 2"),'GCN_Clip 1.0'!H119,IF(AND($B$3="Clip",$B$2="Zone 3"),'GCN_Clip 1.0'!H120,IF(AND($B$3="Clip",$B$2="Zone 4"),'GCN_Clip 1.0'!H121,IF(AND($B$3="Clip",$B$2="Zone 5"),'GCN_Clip 1.0'!H122,IF(AND($B$3="Post",$B$2="Zone 1"),'GCN_Post 1.0'!J402,IF(AND($B$3="Post",$B$2="Zone 2"),'GCN_Post 1.0'!K402,IF(AND($B$3="Post",$B$2="Zone 3"),'GCN_Post 1.0'!N402,IF(AND($B$3="Post",$B$2="Zone 4"),'GCN_Post 1.0'!O402,IF(AND($B$3="Post",$B$2="Zone 5"),'GCN_Post 1.0'!P402,"ERROR")))))))))))))))))))</f>
        <v/>
      </c>
      <c r="AD288" s="27" t="str">
        <f t="shared" si="116"/>
        <v/>
      </c>
      <c r="AE288" t="str">
        <f t="shared" si="117"/>
        <v/>
      </c>
      <c r="AF288" t="str">
        <f t="shared" si="118"/>
        <v/>
      </c>
      <c r="AG288" t="str">
        <f t="shared" si="119"/>
        <v/>
      </c>
      <c r="AH288" t="str">
        <f t="shared" si="120"/>
        <v/>
      </c>
      <c r="AI288" t="str">
        <f t="shared" si="121"/>
        <v/>
      </c>
      <c r="AJ288" s="82" t="str">
        <f>IF(AND($B$3="Cantilever",$B$2="Zone 1"),'GCM_Cantilever 1.0'!$H479,IF(AND($B$3="Cantilever",$B$2="Zone 2"),'GCM_Cantilever 1.0'!L479,IF(AND($B$3="HalfTracker",$B$2="Zone 1"),'GCM_Halftracker 1.0'!G494,IF(AND($B$3="HalfTracker",$B$2="Zone 2"),'GCM_Halftracker 1.0'!K494,IF(AND($B$3="Purlin",$B$2="Zone 1"),'GCM_Purlin 1.0'!G549,IF(AND($B$3="Purlin",$B$2="Zone 2"),'GCM_Purlin 1.0'!O549,IF(AND($B$3="Purlin",$B$2="Zone 3"),'GCM_Purlin 1.0'!Z549,IF(AND($B$3="Purlin",$B$2="Zone 4"),'GCM_Purlin 1.0'!AH549,IF(AND($B$3="Purlin",$B$2="Zone 5"),'GCM_Purlin 1.0'!AS549,IF(AND($B$3="Clip",$B$2="Zone 1"),'GCN_Clip 1.0'!#REF!,IF(AND($B$3="Clip",$B$2="Zone 2"),'GCN_Clip 1.0'!#REF!,IF(AND($B$3="Clip",$B$2="Zone 3"),'GCN_Clip 1.0'!#REF!,IF(AND($B$3="Clip",$B$2="Zone 4"),'GCN_Clip 1.0'!#REF!,IF(AND($B$3="Clip",$B$2="Zone 5"),'GCN_Clip 1.0'!#REF!,IF(AND($B$3="Post",$B$2="Zone 1"),'GCN_Post 1.0'!Q402,IF(AND($B$3="Post",$B$2="Zone 2"),'GCN_Post 1.0'!R402,IF(AND($B$3="Post",$B$2="Zone 3"),'GCN_Post 1.0'!S402,IF(AND($B$3="Post",$B$2="Zone 4"),'GCN_Post 1.0'!T402,IF(AND($B$3="Post",$B$2="Zone 5"),'GCN_Post 1.0'!V402,"ERROR")))))))))))))))))))</f>
        <v/>
      </c>
      <c r="AL288" s="27" t="str">
        <f t="shared" si="122"/>
        <v/>
      </c>
      <c r="AM288" t="str">
        <f t="shared" si="123"/>
        <v/>
      </c>
      <c r="AN288" t="str">
        <f t="shared" si="124"/>
        <v/>
      </c>
      <c r="AO288" t="str">
        <f t="shared" si="125"/>
        <v/>
      </c>
      <c r="AP288" t="str">
        <f t="shared" si="126"/>
        <v/>
      </c>
      <c r="AQ288" t="str">
        <f t="shared" si="127"/>
        <v/>
      </c>
      <c r="AR288" s="82" t="str">
        <f>IF(AND($B$3="Cantilever",$B$2="Zone 1"),'GCM_Cantilever 1.0'!$I479,IF(AND($B$3="Cantilever",$B$2="Zone 2"),'GCM_Cantilever 1.0'!M479,IF(AND($B$3="HalfTracker",$B$2="Zone 1"),'GCM_Halftracker 1.0'!H494,IF(AND($B$3="HalfTracker",$B$2="Zone 2"),'GCM_Halftracker 1.0'!L494,IF(AND($B$3="Purlin",$B$2="Zone 1"),'GCM_Purlin 1.0'!H549,IF(AND($B$3="Purlin",$B$2="Zone 2"),'GCM_Purlin 1.0'!P549,IF(AND($B$3="Purlin",$B$2="Zone 3"),'GCM_Purlin 1.0'!AA549,IF(AND($B$3="Purlin",$B$2="Zone 4"),'GCM_Purlin 1.0'!AI549,IF(AND($B$3="Purlin",$B$2="Zone 5"),'GCM_Purlin 1.0'!AT549,IF(AND($B$3="Clip",$B$2="Zone 1"),'GCN_Clip 1.0'!#REF!,IF(AND($B$3="Clip",$B$2="Zone 2"),'GCN_Clip 1.0'!#REF!,IF(AND($B$3="Clip",$B$2="Zone 3"),'GCN_Clip 1.0'!#REF!,IF(AND($B$3="Clip",$B$2="Zone 4"),'GCN_Clip 1.0'!#REF!,IF(AND($B$3="Clip",$B$2="Zone 5"),'GCN_Clip 1.0'!#REF!,IF(AND($B$3="Post",$B$2="Zone 1"),'GCN_Post 1.0'!W402,IF(AND($B$3="Post",$B$2="Zone 2"),'GCN_Post 1.0'!X402,IF(AND($B$3="Post",$B$2="Zone 3"),'GCN_Post 1.0'!Y402,IF(AND($B$3="Post",$B$2="Zone 4"),'GCN_Post 1.0'!Z402,IF(AND($B$3="Post",$B$2="Zone 5"),'GCN_Post 1.0'!AA402,"ERROR")))))))))))))))))))</f>
        <v/>
      </c>
    </row>
    <row r="289" spans="6:44" x14ac:dyDescent="0.25">
      <c r="F289">
        <v>116</v>
      </c>
      <c r="G289" s="27" t="str">
        <f t="shared" si="100"/>
        <v/>
      </c>
      <c r="H289" t="str">
        <f t="shared" si="101"/>
        <v/>
      </c>
      <c r="I289" t="str">
        <f t="shared" si="102"/>
        <v/>
      </c>
      <c r="J289" s="28" t="str">
        <f t="shared" si="103"/>
        <v/>
      </c>
      <c r="M289">
        <v>116</v>
      </c>
      <c r="N289" s="27" t="str">
        <f t="shared" si="104"/>
        <v/>
      </c>
      <c r="O289" t="str">
        <f t="shared" si="105"/>
        <v/>
      </c>
      <c r="P289" t="str">
        <f t="shared" si="106"/>
        <v/>
      </c>
      <c r="Q289" t="str">
        <f t="shared" si="107"/>
        <v/>
      </c>
      <c r="R289" t="str">
        <f t="shared" si="108"/>
        <v/>
      </c>
      <c r="S289" t="str">
        <f t="shared" si="109"/>
        <v/>
      </c>
      <c r="T289" s="82" t="str">
        <f>IF(AND($B$3="Cantilever",$B$2="Zone 1"),'GCM_Cantilever 1.0'!$F480,IF(AND($B$3="Cantilever",$B$2="Zone 2"),'GCM_Cantilever 1.0'!J480,IF(AND($B$3="HalfTracker",$B$2="Zone 1"),'GCM_Halftracker 1.0'!E495,IF(AND($B$3="HalfTracker",$B$2="Zone 2"),'GCM_Halftracker 1.0'!I495,IF(AND($B$3="Purlin",$B$2="Zone 1"),'GCM_Purlin 1.0'!E550,IF(AND($B$3="Purlin",$B$2="Zone 2"),'GCM_Purlin 1.0'!M550,IF(AND($B$3="Purlin",$B$2="Zone 3"),'GCM_Purlin 1.0'!X550,IF(AND($B$3="Purlin",$B$2="Zone 4"),'GCM_Purlin 1.0'!AF550,IF(AND($B$3="Purlin",$B$2="Zone 5"),'GCM_Purlin 1.0'!AQ550,IF(AND($B$3="Clip",$B$2="Zone 1"),'GCN_Clip 1.0'!G119,IF(AND($B$3="Clip",$B$2="Zone 2"),'GCN_Clip 1.0'!C120,IF(AND($B$3="Clip",$B$2="Zone 3"),'GCN_Clip 1.0'!G121,IF(AND($B$3="Clip",$B$2="Zone 4"),'GCN_Clip 1.0'!G122,IF(AND($B$3="Clip",$B$2="Zone 5"),'GCN_Clip 1.0'!G123,IF(AND($B$3="Post",$B$2="Zone 1"),'GCN_Post 1.0'!E403,IF(AND($B$3="Post",$B$2="Zone 2"),'GCN_Post 1.0'!F403,IF(AND($B$3="Post",$B$2="Zone 3"),'GCN_Post 1.0'!G403,IF(AND($B$3="Post",$B$2="Zone 4"),'GCN_Post 1.0'!H403,IF(AND($B$3="Post",$B$2="Zone 5"),'GCN_Post 1.0'!I403,"ERROR")))))))))))))))))))</f>
        <v/>
      </c>
      <c r="V289" s="27" t="str">
        <f t="shared" si="110"/>
        <v/>
      </c>
      <c r="W289" t="str">
        <f t="shared" si="111"/>
        <v/>
      </c>
      <c r="X289" t="str">
        <f t="shared" si="112"/>
        <v/>
      </c>
      <c r="Y289" t="str">
        <f t="shared" si="113"/>
        <v/>
      </c>
      <c r="Z289" t="str">
        <f t="shared" si="114"/>
        <v/>
      </c>
      <c r="AA289" t="str">
        <f t="shared" si="115"/>
        <v/>
      </c>
      <c r="AB289" s="82" t="str">
        <f>IF(AND($B$3="Cantilever",$B$2="Zone 1"),'GCM_Cantilever 1.0'!$G480,IF(AND($B$3="Cantilever",$B$2="Zone 2"),'GCM_Cantilever 1.0'!K480,IF(AND($B$3="HalfTracker",$B$2="Zone 1"),'GCM_Halftracker 1.0'!F495,IF(AND($B$3="HalfTracker",$B$2="Zone 2"),'GCM_Halftracker 1.0'!J495,IF(AND($B$3="Purlin",$B$2="Zone 1"),'GCM_Purlin 1.0'!F550,IF(AND($B$3="Purlin",$B$2="Zone 2"),'GCM_Purlin 1.0'!N550,IF(AND($B$3="Purlin",$B$2="Zone 3"),'GCM_Purlin 1.0'!Y550,IF(AND($B$3="Purlin",$B$2="Zone 4"),'GCM_Purlin 1.0'!AG550,IF(AND($B$3="Purlin",$B$2="Zone 5"),'GCM_Purlin 1.0'!AR550,IF(AND($B$3="Clip",$B$2="Zone 1"),'GCN_Clip 1.0'!H119,IF(AND($B$3="Clip",$B$2="Zone 2"),'GCN_Clip 1.0'!H120,IF(AND($B$3="Clip",$B$2="Zone 3"),'GCN_Clip 1.0'!H121,IF(AND($B$3="Clip",$B$2="Zone 4"),'GCN_Clip 1.0'!H122,IF(AND($B$3="Clip",$B$2="Zone 5"),'GCN_Clip 1.0'!H123,IF(AND($B$3="Post",$B$2="Zone 1"),'GCN_Post 1.0'!J403,IF(AND($B$3="Post",$B$2="Zone 2"),'GCN_Post 1.0'!K403,IF(AND($B$3="Post",$B$2="Zone 3"),'GCN_Post 1.0'!N403,IF(AND($B$3="Post",$B$2="Zone 4"),'GCN_Post 1.0'!O403,IF(AND($B$3="Post",$B$2="Zone 5"),'GCN_Post 1.0'!P403,"ERROR")))))))))))))))))))</f>
        <v/>
      </c>
      <c r="AD289" s="27" t="str">
        <f t="shared" si="116"/>
        <v/>
      </c>
      <c r="AE289" t="str">
        <f t="shared" si="117"/>
        <v/>
      </c>
      <c r="AF289" t="str">
        <f t="shared" si="118"/>
        <v/>
      </c>
      <c r="AG289" t="str">
        <f t="shared" si="119"/>
        <v/>
      </c>
      <c r="AH289" t="str">
        <f t="shared" si="120"/>
        <v/>
      </c>
      <c r="AI289" t="str">
        <f t="shared" si="121"/>
        <v/>
      </c>
      <c r="AJ289" s="82" t="str">
        <f>IF(AND($B$3="Cantilever",$B$2="Zone 1"),'GCM_Cantilever 1.0'!$H480,IF(AND($B$3="Cantilever",$B$2="Zone 2"),'GCM_Cantilever 1.0'!L480,IF(AND($B$3="HalfTracker",$B$2="Zone 1"),'GCM_Halftracker 1.0'!G495,IF(AND($B$3="HalfTracker",$B$2="Zone 2"),'GCM_Halftracker 1.0'!K495,IF(AND($B$3="Purlin",$B$2="Zone 1"),'GCM_Purlin 1.0'!G550,IF(AND($B$3="Purlin",$B$2="Zone 2"),'GCM_Purlin 1.0'!O550,IF(AND($B$3="Purlin",$B$2="Zone 3"),'GCM_Purlin 1.0'!Z550,IF(AND($B$3="Purlin",$B$2="Zone 4"),'GCM_Purlin 1.0'!AH550,IF(AND($B$3="Purlin",$B$2="Zone 5"),'GCM_Purlin 1.0'!AS550,IF(AND($B$3="Clip",$B$2="Zone 1"),'GCN_Clip 1.0'!#REF!,IF(AND($B$3="Clip",$B$2="Zone 2"),'GCN_Clip 1.0'!#REF!,IF(AND($B$3="Clip",$B$2="Zone 3"),'GCN_Clip 1.0'!#REF!,IF(AND($B$3="Clip",$B$2="Zone 4"),'GCN_Clip 1.0'!#REF!,IF(AND($B$3="Clip",$B$2="Zone 5"),'GCN_Clip 1.0'!#REF!,IF(AND($B$3="Post",$B$2="Zone 1"),'GCN_Post 1.0'!Q403,IF(AND($B$3="Post",$B$2="Zone 2"),'GCN_Post 1.0'!R403,IF(AND($B$3="Post",$B$2="Zone 3"),'GCN_Post 1.0'!S403,IF(AND($B$3="Post",$B$2="Zone 4"),'GCN_Post 1.0'!T403,IF(AND($B$3="Post",$B$2="Zone 5"),'GCN_Post 1.0'!V403,"ERROR")))))))))))))))))))</f>
        <v/>
      </c>
      <c r="AL289" s="27" t="str">
        <f t="shared" si="122"/>
        <v/>
      </c>
      <c r="AM289" t="str">
        <f t="shared" si="123"/>
        <v/>
      </c>
      <c r="AN289" t="str">
        <f t="shared" si="124"/>
        <v/>
      </c>
      <c r="AO289" t="str">
        <f t="shared" si="125"/>
        <v/>
      </c>
      <c r="AP289" t="str">
        <f t="shared" si="126"/>
        <v/>
      </c>
      <c r="AQ289" t="str">
        <f t="shared" si="127"/>
        <v/>
      </c>
      <c r="AR289" s="82" t="str">
        <f>IF(AND($B$3="Cantilever",$B$2="Zone 1"),'GCM_Cantilever 1.0'!$I480,IF(AND($B$3="Cantilever",$B$2="Zone 2"),'GCM_Cantilever 1.0'!M480,IF(AND($B$3="HalfTracker",$B$2="Zone 1"),'GCM_Halftracker 1.0'!H495,IF(AND($B$3="HalfTracker",$B$2="Zone 2"),'GCM_Halftracker 1.0'!L495,IF(AND($B$3="Purlin",$B$2="Zone 1"),'GCM_Purlin 1.0'!H550,IF(AND($B$3="Purlin",$B$2="Zone 2"),'GCM_Purlin 1.0'!P550,IF(AND($B$3="Purlin",$B$2="Zone 3"),'GCM_Purlin 1.0'!AA550,IF(AND($B$3="Purlin",$B$2="Zone 4"),'GCM_Purlin 1.0'!AI550,IF(AND($B$3="Purlin",$B$2="Zone 5"),'GCM_Purlin 1.0'!AT550,IF(AND($B$3="Clip",$B$2="Zone 1"),'GCN_Clip 1.0'!#REF!,IF(AND($B$3="Clip",$B$2="Zone 2"),'GCN_Clip 1.0'!#REF!,IF(AND($B$3="Clip",$B$2="Zone 3"),'GCN_Clip 1.0'!#REF!,IF(AND($B$3="Clip",$B$2="Zone 4"),'GCN_Clip 1.0'!#REF!,IF(AND($B$3="Clip",$B$2="Zone 5"),'GCN_Clip 1.0'!#REF!,IF(AND($B$3="Post",$B$2="Zone 1"),'GCN_Post 1.0'!W403,IF(AND($B$3="Post",$B$2="Zone 2"),'GCN_Post 1.0'!X403,IF(AND($B$3="Post",$B$2="Zone 3"),'GCN_Post 1.0'!Y403,IF(AND($B$3="Post",$B$2="Zone 4"),'GCN_Post 1.0'!Z403,IF(AND($B$3="Post",$B$2="Zone 5"),'GCN_Post 1.0'!AA403,"ERROR")))))))))))))))))))</f>
        <v/>
      </c>
    </row>
    <row r="290" spans="6:44" x14ac:dyDescent="0.25">
      <c r="F290">
        <v>117</v>
      </c>
      <c r="G290" s="27" t="str">
        <f t="shared" si="100"/>
        <v/>
      </c>
      <c r="H290" t="str">
        <f t="shared" si="101"/>
        <v/>
      </c>
      <c r="I290" t="str">
        <f t="shared" si="102"/>
        <v/>
      </c>
      <c r="J290" s="28" t="str">
        <f t="shared" si="103"/>
        <v/>
      </c>
      <c r="M290">
        <v>117</v>
      </c>
      <c r="N290" s="27" t="str">
        <f t="shared" si="104"/>
        <v/>
      </c>
      <c r="O290" t="str">
        <f t="shared" si="105"/>
        <v/>
      </c>
      <c r="P290" t="str">
        <f t="shared" si="106"/>
        <v/>
      </c>
      <c r="Q290" t="str">
        <f t="shared" si="107"/>
        <v/>
      </c>
      <c r="R290" t="str">
        <f t="shared" si="108"/>
        <v/>
      </c>
      <c r="S290" t="str">
        <f t="shared" si="109"/>
        <v/>
      </c>
      <c r="T290" s="82" t="str">
        <f>IF(AND($B$3="Cantilever",$B$2="Zone 1"),'GCM_Cantilever 1.0'!$F481,IF(AND($B$3="Cantilever",$B$2="Zone 2"),'GCM_Cantilever 1.0'!J481,IF(AND($B$3="HalfTracker",$B$2="Zone 1"),'GCM_Halftracker 1.0'!E496,IF(AND($B$3="HalfTracker",$B$2="Zone 2"),'GCM_Halftracker 1.0'!I496,IF(AND($B$3="Purlin",$B$2="Zone 1"),'GCM_Purlin 1.0'!E551,IF(AND($B$3="Purlin",$B$2="Zone 2"),'GCM_Purlin 1.0'!M551,IF(AND($B$3="Purlin",$B$2="Zone 3"),'GCM_Purlin 1.0'!X551,IF(AND($B$3="Purlin",$B$2="Zone 4"),'GCM_Purlin 1.0'!AF551,IF(AND($B$3="Purlin",$B$2="Zone 5"),'GCM_Purlin 1.0'!AQ551,IF(AND($B$3="Clip",$B$2="Zone 1"),'GCN_Clip 1.0'!G120,IF(AND($B$3="Clip",$B$2="Zone 2"),'GCN_Clip 1.0'!C121,IF(AND($B$3="Clip",$B$2="Zone 3"),'GCN_Clip 1.0'!G122,IF(AND($B$3="Clip",$B$2="Zone 4"),'GCN_Clip 1.0'!G123,IF(AND($B$3="Clip",$B$2="Zone 5"),'GCN_Clip 1.0'!G124,IF(AND($B$3="Post",$B$2="Zone 1"),'GCN_Post 1.0'!E404,IF(AND($B$3="Post",$B$2="Zone 2"),'GCN_Post 1.0'!F404,IF(AND($B$3="Post",$B$2="Zone 3"),'GCN_Post 1.0'!G404,IF(AND($B$3="Post",$B$2="Zone 4"),'GCN_Post 1.0'!H404,IF(AND($B$3="Post",$B$2="Zone 5"),'GCN_Post 1.0'!I404,"ERROR")))))))))))))))))))</f>
        <v/>
      </c>
      <c r="V290" s="27" t="str">
        <f t="shared" si="110"/>
        <v/>
      </c>
      <c r="W290" t="str">
        <f t="shared" si="111"/>
        <v/>
      </c>
      <c r="X290" t="str">
        <f t="shared" si="112"/>
        <v/>
      </c>
      <c r="Y290" t="str">
        <f t="shared" si="113"/>
        <v/>
      </c>
      <c r="Z290" t="str">
        <f t="shared" si="114"/>
        <v/>
      </c>
      <c r="AA290" t="str">
        <f t="shared" si="115"/>
        <v/>
      </c>
      <c r="AB290" s="82" t="str">
        <f>IF(AND($B$3="Cantilever",$B$2="Zone 1"),'GCM_Cantilever 1.0'!$G481,IF(AND($B$3="Cantilever",$B$2="Zone 2"),'GCM_Cantilever 1.0'!K481,IF(AND($B$3="HalfTracker",$B$2="Zone 1"),'GCM_Halftracker 1.0'!F496,IF(AND($B$3="HalfTracker",$B$2="Zone 2"),'GCM_Halftracker 1.0'!J496,IF(AND($B$3="Purlin",$B$2="Zone 1"),'GCM_Purlin 1.0'!F551,IF(AND($B$3="Purlin",$B$2="Zone 2"),'GCM_Purlin 1.0'!N551,IF(AND($B$3="Purlin",$B$2="Zone 3"),'GCM_Purlin 1.0'!Y551,IF(AND($B$3="Purlin",$B$2="Zone 4"),'GCM_Purlin 1.0'!AG551,IF(AND($B$3="Purlin",$B$2="Zone 5"),'GCM_Purlin 1.0'!AR551,IF(AND($B$3="Clip",$B$2="Zone 1"),'GCN_Clip 1.0'!H120,IF(AND($B$3="Clip",$B$2="Zone 2"),'GCN_Clip 1.0'!H121,IF(AND($B$3="Clip",$B$2="Zone 3"),'GCN_Clip 1.0'!H122,IF(AND($B$3="Clip",$B$2="Zone 4"),'GCN_Clip 1.0'!H123,IF(AND($B$3="Clip",$B$2="Zone 5"),'GCN_Clip 1.0'!H124,IF(AND($B$3="Post",$B$2="Zone 1"),'GCN_Post 1.0'!J404,IF(AND($B$3="Post",$B$2="Zone 2"),'GCN_Post 1.0'!K404,IF(AND($B$3="Post",$B$2="Zone 3"),'GCN_Post 1.0'!N404,IF(AND($B$3="Post",$B$2="Zone 4"),'GCN_Post 1.0'!O404,IF(AND($B$3="Post",$B$2="Zone 5"),'GCN_Post 1.0'!P404,"ERROR")))))))))))))))))))</f>
        <v/>
      </c>
      <c r="AD290" s="27" t="str">
        <f t="shared" si="116"/>
        <v/>
      </c>
      <c r="AE290" t="str">
        <f t="shared" si="117"/>
        <v/>
      </c>
      <c r="AF290" t="str">
        <f t="shared" si="118"/>
        <v/>
      </c>
      <c r="AG290" t="str">
        <f t="shared" si="119"/>
        <v/>
      </c>
      <c r="AH290" t="str">
        <f t="shared" si="120"/>
        <v/>
      </c>
      <c r="AI290" t="str">
        <f t="shared" si="121"/>
        <v/>
      </c>
      <c r="AJ290" s="82" t="str">
        <f>IF(AND($B$3="Cantilever",$B$2="Zone 1"),'GCM_Cantilever 1.0'!$H481,IF(AND($B$3="Cantilever",$B$2="Zone 2"),'GCM_Cantilever 1.0'!L481,IF(AND($B$3="HalfTracker",$B$2="Zone 1"),'GCM_Halftracker 1.0'!G496,IF(AND($B$3="HalfTracker",$B$2="Zone 2"),'GCM_Halftracker 1.0'!K496,IF(AND($B$3="Purlin",$B$2="Zone 1"),'GCM_Purlin 1.0'!G551,IF(AND($B$3="Purlin",$B$2="Zone 2"),'GCM_Purlin 1.0'!O551,IF(AND($B$3="Purlin",$B$2="Zone 3"),'GCM_Purlin 1.0'!Z551,IF(AND($B$3="Purlin",$B$2="Zone 4"),'GCM_Purlin 1.0'!AH551,IF(AND($B$3="Purlin",$B$2="Zone 5"),'GCM_Purlin 1.0'!AS551,IF(AND($B$3="Clip",$B$2="Zone 1"),'GCN_Clip 1.0'!#REF!,IF(AND($B$3="Clip",$B$2="Zone 2"),'GCN_Clip 1.0'!#REF!,IF(AND($B$3="Clip",$B$2="Zone 3"),'GCN_Clip 1.0'!#REF!,IF(AND($B$3="Clip",$B$2="Zone 4"),'GCN_Clip 1.0'!#REF!,IF(AND($B$3="Clip",$B$2="Zone 5"),'GCN_Clip 1.0'!#REF!,IF(AND($B$3="Post",$B$2="Zone 1"),'GCN_Post 1.0'!Q404,IF(AND($B$3="Post",$B$2="Zone 2"),'GCN_Post 1.0'!R404,IF(AND($B$3="Post",$B$2="Zone 3"),'GCN_Post 1.0'!S404,IF(AND($B$3="Post",$B$2="Zone 4"),'GCN_Post 1.0'!T404,IF(AND($B$3="Post",$B$2="Zone 5"),'GCN_Post 1.0'!V404,"ERROR")))))))))))))))))))</f>
        <v/>
      </c>
      <c r="AL290" s="27" t="str">
        <f t="shared" si="122"/>
        <v/>
      </c>
      <c r="AM290" t="str">
        <f t="shared" si="123"/>
        <v/>
      </c>
      <c r="AN290" t="str">
        <f t="shared" si="124"/>
        <v/>
      </c>
      <c r="AO290" t="str">
        <f t="shared" si="125"/>
        <v/>
      </c>
      <c r="AP290" t="str">
        <f t="shared" si="126"/>
        <v/>
      </c>
      <c r="AQ290" t="str">
        <f t="shared" si="127"/>
        <v/>
      </c>
      <c r="AR290" s="82" t="str">
        <f>IF(AND($B$3="Cantilever",$B$2="Zone 1"),'GCM_Cantilever 1.0'!$I481,IF(AND($B$3="Cantilever",$B$2="Zone 2"),'GCM_Cantilever 1.0'!M481,IF(AND($B$3="HalfTracker",$B$2="Zone 1"),'GCM_Halftracker 1.0'!H496,IF(AND($B$3="HalfTracker",$B$2="Zone 2"),'GCM_Halftracker 1.0'!L496,IF(AND($B$3="Purlin",$B$2="Zone 1"),'GCM_Purlin 1.0'!H551,IF(AND($B$3="Purlin",$B$2="Zone 2"),'GCM_Purlin 1.0'!P551,IF(AND($B$3="Purlin",$B$2="Zone 3"),'GCM_Purlin 1.0'!AA551,IF(AND($B$3="Purlin",$B$2="Zone 4"),'GCM_Purlin 1.0'!AI551,IF(AND($B$3="Purlin",$B$2="Zone 5"),'GCM_Purlin 1.0'!AT551,IF(AND($B$3="Clip",$B$2="Zone 1"),'GCN_Clip 1.0'!#REF!,IF(AND($B$3="Clip",$B$2="Zone 2"),'GCN_Clip 1.0'!#REF!,IF(AND($B$3="Clip",$B$2="Zone 3"),'GCN_Clip 1.0'!#REF!,IF(AND($B$3="Clip",$B$2="Zone 4"),'GCN_Clip 1.0'!#REF!,IF(AND($B$3="Clip",$B$2="Zone 5"),'GCN_Clip 1.0'!#REF!,IF(AND($B$3="Post",$B$2="Zone 1"),'GCN_Post 1.0'!W404,IF(AND($B$3="Post",$B$2="Zone 2"),'GCN_Post 1.0'!X404,IF(AND($B$3="Post",$B$2="Zone 3"),'GCN_Post 1.0'!Y404,IF(AND($B$3="Post",$B$2="Zone 4"),'GCN_Post 1.0'!Z404,IF(AND($B$3="Post",$B$2="Zone 5"),'GCN_Post 1.0'!AA404,"ERROR")))))))))))))))))))</f>
        <v/>
      </c>
    </row>
    <row r="291" spans="6:44" x14ac:dyDescent="0.25">
      <c r="F291">
        <v>118</v>
      </c>
      <c r="G291" s="27" t="str">
        <f t="shared" si="100"/>
        <v/>
      </c>
      <c r="H291" t="str">
        <f t="shared" si="101"/>
        <v/>
      </c>
      <c r="I291" t="str">
        <f t="shared" si="102"/>
        <v/>
      </c>
      <c r="J291" s="28" t="str">
        <f t="shared" si="103"/>
        <v/>
      </c>
      <c r="M291">
        <v>118</v>
      </c>
      <c r="N291" s="27" t="str">
        <f t="shared" si="104"/>
        <v/>
      </c>
      <c r="O291" t="str">
        <f t="shared" si="105"/>
        <v/>
      </c>
      <c r="P291" t="str">
        <f t="shared" si="106"/>
        <v/>
      </c>
      <c r="Q291" t="str">
        <f t="shared" si="107"/>
        <v/>
      </c>
      <c r="R291" t="str">
        <f t="shared" si="108"/>
        <v/>
      </c>
      <c r="S291" t="str">
        <f t="shared" si="109"/>
        <v/>
      </c>
      <c r="T291" s="82" t="str">
        <f>IF(AND($B$3="Cantilever",$B$2="Zone 1"),'GCM_Cantilever 1.0'!$F482,IF(AND($B$3="Cantilever",$B$2="Zone 2"),'GCM_Cantilever 1.0'!J482,IF(AND($B$3="HalfTracker",$B$2="Zone 1"),'GCM_Halftracker 1.0'!E497,IF(AND($B$3="HalfTracker",$B$2="Zone 2"),'GCM_Halftracker 1.0'!I497,IF(AND($B$3="Purlin",$B$2="Zone 1"),'GCM_Purlin 1.0'!E552,IF(AND($B$3="Purlin",$B$2="Zone 2"),'GCM_Purlin 1.0'!M552,IF(AND($B$3="Purlin",$B$2="Zone 3"),'GCM_Purlin 1.0'!X552,IF(AND($B$3="Purlin",$B$2="Zone 4"),'GCM_Purlin 1.0'!AF552,IF(AND($B$3="Purlin",$B$2="Zone 5"),'GCM_Purlin 1.0'!AQ552,IF(AND($B$3="Clip",$B$2="Zone 1"),'GCN_Clip 1.0'!G121,IF(AND($B$3="Clip",$B$2="Zone 2"),'GCN_Clip 1.0'!C122,IF(AND($B$3="Clip",$B$2="Zone 3"),'GCN_Clip 1.0'!G123,IF(AND($B$3="Clip",$B$2="Zone 4"),'GCN_Clip 1.0'!G124,IF(AND($B$3="Clip",$B$2="Zone 5"),'GCN_Clip 1.0'!G125,IF(AND($B$3="Post",$B$2="Zone 1"),'GCN_Post 1.0'!E405,IF(AND($B$3="Post",$B$2="Zone 2"),'GCN_Post 1.0'!F405,IF(AND($B$3="Post",$B$2="Zone 3"),'GCN_Post 1.0'!G405,IF(AND($B$3="Post",$B$2="Zone 4"),'GCN_Post 1.0'!H405,IF(AND($B$3="Post",$B$2="Zone 5"),'GCN_Post 1.0'!I405,"ERROR")))))))))))))))))))</f>
        <v/>
      </c>
      <c r="V291" s="27" t="str">
        <f t="shared" si="110"/>
        <v/>
      </c>
      <c r="W291" t="str">
        <f t="shared" si="111"/>
        <v/>
      </c>
      <c r="X291" t="str">
        <f t="shared" si="112"/>
        <v/>
      </c>
      <c r="Y291" t="str">
        <f t="shared" si="113"/>
        <v/>
      </c>
      <c r="Z291" t="str">
        <f t="shared" si="114"/>
        <v/>
      </c>
      <c r="AA291" t="str">
        <f t="shared" si="115"/>
        <v/>
      </c>
      <c r="AB291" s="82" t="str">
        <f>IF(AND($B$3="Cantilever",$B$2="Zone 1"),'GCM_Cantilever 1.0'!$G482,IF(AND($B$3="Cantilever",$B$2="Zone 2"),'GCM_Cantilever 1.0'!K482,IF(AND($B$3="HalfTracker",$B$2="Zone 1"),'GCM_Halftracker 1.0'!F497,IF(AND($B$3="HalfTracker",$B$2="Zone 2"),'GCM_Halftracker 1.0'!J497,IF(AND($B$3="Purlin",$B$2="Zone 1"),'GCM_Purlin 1.0'!F552,IF(AND($B$3="Purlin",$B$2="Zone 2"),'GCM_Purlin 1.0'!N552,IF(AND($B$3="Purlin",$B$2="Zone 3"),'GCM_Purlin 1.0'!Y552,IF(AND($B$3="Purlin",$B$2="Zone 4"),'GCM_Purlin 1.0'!AG552,IF(AND($B$3="Purlin",$B$2="Zone 5"),'GCM_Purlin 1.0'!AR552,IF(AND($B$3="Clip",$B$2="Zone 1"),'GCN_Clip 1.0'!H121,IF(AND($B$3="Clip",$B$2="Zone 2"),'GCN_Clip 1.0'!H122,IF(AND($B$3="Clip",$B$2="Zone 3"),'GCN_Clip 1.0'!H123,IF(AND($B$3="Clip",$B$2="Zone 4"),'GCN_Clip 1.0'!H124,IF(AND($B$3="Clip",$B$2="Zone 5"),'GCN_Clip 1.0'!H125,IF(AND($B$3="Post",$B$2="Zone 1"),'GCN_Post 1.0'!J405,IF(AND($B$3="Post",$B$2="Zone 2"),'GCN_Post 1.0'!K405,IF(AND($B$3="Post",$B$2="Zone 3"),'GCN_Post 1.0'!N405,IF(AND($B$3="Post",$B$2="Zone 4"),'GCN_Post 1.0'!O405,IF(AND($B$3="Post",$B$2="Zone 5"),'GCN_Post 1.0'!P405,"ERROR")))))))))))))))))))</f>
        <v/>
      </c>
      <c r="AD291" s="27" t="str">
        <f t="shared" si="116"/>
        <v/>
      </c>
      <c r="AE291" t="str">
        <f t="shared" si="117"/>
        <v/>
      </c>
      <c r="AF291" t="str">
        <f t="shared" si="118"/>
        <v/>
      </c>
      <c r="AG291" t="str">
        <f t="shared" si="119"/>
        <v/>
      </c>
      <c r="AH291" t="str">
        <f t="shared" si="120"/>
        <v/>
      </c>
      <c r="AI291" t="str">
        <f t="shared" si="121"/>
        <v/>
      </c>
      <c r="AJ291" s="82" t="str">
        <f>IF(AND($B$3="Cantilever",$B$2="Zone 1"),'GCM_Cantilever 1.0'!$H482,IF(AND($B$3="Cantilever",$B$2="Zone 2"),'GCM_Cantilever 1.0'!L482,IF(AND($B$3="HalfTracker",$B$2="Zone 1"),'GCM_Halftracker 1.0'!G497,IF(AND($B$3="HalfTracker",$B$2="Zone 2"),'GCM_Halftracker 1.0'!K497,IF(AND($B$3="Purlin",$B$2="Zone 1"),'GCM_Purlin 1.0'!G552,IF(AND($B$3="Purlin",$B$2="Zone 2"),'GCM_Purlin 1.0'!O552,IF(AND($B$3="Purlin",$B$2="Zone 3"),'GCM_Purlin 1.0'!Z552,IF(AND($B$3="Purlin",$B$2="Zone 4"),'GCM_Purlin 1.0'!AH552,IF(AND($B$3="Purlin",$B$2="Zone 5"),'GCM_Purlin 1.0'!AS552,IF(AND($B$3="Clip",$B$2="Zone 1"),'GCN_Clip 1.0'!#REF!,IF(AND($B$3="Clip",$B$2="Zone 2"),'GCN_Clip 1.0'!#REF!,IF(AND($B$3="Clip",$B$2="Zone 3"),'GCN_Clip 1.0'!#REF!,IF(AND($B$3="Clip",$B$2="Zone 4"),'GCN_Clip 1.0'!#REF!,IF(AND($B$3="Clip",$B$2="Zone 5"),'GCN_Clip 1.0'!#REF!,IF(AND($B$3="Post",$B$2="Zone 1"),'GCN_Post 1.0'!Q405,IF(AND($B$3="Post",$B$2="Zone 2"),'GCN_Post 1.0'!R405,IF(AND($B$3="Post",$B$2="Zone 3"),'GCN_Post 1.0'!S405,IF(AND($B$3="Post",$B$2="Zone 4"),'GCN_Post 1.0'!T405,IF(AND($B$3="Post",$B$2="Zone 5"),'GCN_Post 1.0'!V405,"ERROR")))))))))))))))))))</f>
        <v/>
      </c>
      <c r="AL291" s="27" t="str">
        <f t="shared" si="122"/>
        <v/>
      </c>
      <c r="AM291" t="str">
        <f t="shared" si="123"/>
        <v/>
      </c>
      <c r="AN291" t="str">
        <f t="shared" si="124"/>
        <v/>
      </c>
      <c r="AO291" t="str">
        <f t="shared" si="125"/>
        <v/>
      </c>
      <c r="AP291" t="str">
        <f t="shared" si="126"/>
        <v/>
      </c>
      <c r="AQ291" t="str">
        <f t="shared" si="127"/>
        <v/>
      </c>
      <c r="AR291" s="82" t="str">
        <f>IF(AND($B$3="Cantilever",$B$2="Zone 1"),'GCM_Cantilever 1.0'!$I482,IF(AND($B$3="Cantilever",$B$2="Zone 2"),'GCM_Cantilever 1.0'!M482,IF(AND($B$3="HalfTracker",$B$2="Zone 1"),'GCM_Halftracker 1.0'!H497,IF(AND($B$3="HalfTracker",$B$2="Zone 2"),'GCM_Halftracker 1.0'!L497,IF(AND($B$3="Purlin",$B$2="Zone 1"),'GCM_Purlin 1.0'!H552,IF(AND($B$3="Purlin",$B$2="Zone 2"),'GCM_Purlin 1.0'!P552,IF(AND($B$3="Purlin",$B$2="Zone 3"),'GCM_Purlin 1.0'!AA552,IF(AND($B$3="Purlin",$B$2="Zone 4"),'GCM_Purlin 1.0'!AI552,IF(AND($B$3="Purlin",$B$2="Zone 5"),'GCM_Purlin 1.0'!AT552,IF(AND($B$3="Clip",$B$2="Zone 1"),'GCN_Clip 1.0'!#REF!,IF(AND($B$3="Clip",$B$2="Zone 2"),'GCN_Clip 1.0'!#REF!,IF(AND($B$3="Clip",$B$2="Zone 3"),'GCN_Clip 1.0'!#REF!,IF(AND($B$3="Clip",$B$2="Zone 4"),'GCN_Clip 1.0'!#REF!,IF(AND($B$3="Clip",$B$2="Zone 5"),'GCN_Clip 1.0'!#REF!,IF(AND($B$3="Post",$B$2="Zone 1"),'GCN_Post 1.0'!W405,IF(AND($B$3="Post",$B$2="Zone 2"),'GCN_Post 1.0'!X405,IF(AND($B$3="Post",$B$2="Zone 3"),'GCN_Post 1.0'!Y405,IF(AND($B$3="Post",$B$2="Zone 4"),'GCN_Post 1.0'!Z405,IF(AND($B$3="Post",$B$2="Zone 5"),'GCN_Post 1.0'!AA405,"ERROR")))))))))))))))))))</f>
        <v/>
      </c>
    </row>
    <row r="292" spans="6:44" x14ac:dyDescent="0.25">
      <c r="F292">
        <v>119</v>
      </c>
      <c r="G292" s="27" t="str">
        <f t="shared" si="100"/>
        <v/>
      </c>
      <c r="H292" t="str">
        <f t="shared" si="101"/>
        <v/>
      </c>
      <c r="I292" t="str">
        <f t="shared" si="102"/>
        <v/>
      </c>
      <c r="J292" s="28" t="str">
        <f t="shared" si="103"/>
        <v/>
      </c>
      <c r="M292">
        <v>119</v>
      </c>
      <c r="N292" s="27" t="str">
        <f t="shared" si="104"/>
        <v/>
      </c>
      <c r="O292" t="str">
        <f t="shared" si="105"/>
        <v/>
      </c>
      <c r="P292" t="str">
        <f t="shared" si="106"/>
        <v/>
      </c>
      <c r="Q292" t="str">
        <f t="shared" si="107"/>
        <v/>
      </c>
      <c r="R292" t="str">
        <f t="shared" si="108"/>
        <v/>
      </c>
      <c r="S292" t="str">
        <f t="shared" si="109"/>
        <v/>
      </c>
      <c r="T292" s="82" t="str">
        <f>IF(AND($B$3="Cantilever",$B$2="Zone 1"),'GCM_Cantilever 1.0'!$F483,IF(AND($B$3="Cantilever",$B$2="Zone 2"),'GCM_Cantilever 1.0'!J483,IF(AND($B$3="HalfTracker",$B$2="Zone 1"),'GCM_Halftracker 1.0'!E498,IF(AND($B$3="HalfTracker",$B$2="Zone 2"),'GCM_Halftracker 1.0'!I498,IF(AND($B$3="Purlin",$B$2="Zone 1"),'GCM_Purlin 1.0'!E553,IF(AND($B$3="Purlin",$B$2="Zone 2"),'GCM_Purlin 1.0'!M553,IF(AND($B$3="Purlin",$B$2="Zone 3"),'GCM_Purlin 1.0'!X553,IF(AND($B$3="Purlin",$B$2="Zone 4"),'GCM_Purlin 1.0'!AF553,IF(AND($B$3="Purlin",$B$2="Zone 5"),'GCM_Purlin 1.0'!AQ553,IF(AND($B$3="Clip",$B$2="Zone 1"),'GCN_Clip 1.0'!G122,IF(AND($B$3="Clip",$B$2="Zone 2"),'GCN_Clip 1.0'!C123,IF(AND($B$3="Clip",$B$2="Zone 3"),'GCN_Clip 1.0'!G124,IF(AND($B$3="Clip",$B$2="Zone 4"),'GCN_Clip 1.0'!G125,IF(AND($B$3="Clip",$B$2="Zone 5"),'GCN_Clip 1.0'!G126,IF(AND($B$3="Post",$B$2="Zone 1"),'GCN_Post 1.0'!E406,IF(AND($B$3="Post",$B$2="Zone 2"),'GCN_Post 1.0'!F406,IF(AND($B$3="Post",$B$2="Zone 3"),'GCN_Post 1.0'!G406,IF(AND($B$3="Post",$B$2="Zone 4"),'GCN_Post 1.0'!H406,IF(AND($B$3="Post",$B$2="Zone 5"),'GCN_Post 1.0'!I406,"ERROR")))))))))))))))))))</f>
        <v/>
      </c>
      <c r="V292" s="27" t="str">
        <f t="shared" si="110"/>
        <v/>
      </c>
      <c r="W292" t="str">
        <f t="shared" si="111"/>
        <v/>
      </c>
      <c r="X292" t="str">
        <f t="shared" si="112"/>
        <v/>
      </c>
      <c r="Y292" t="str">
        <f t="shared" si="113"/>
        <v/>
      </c>
      <c r="Z292" t="str">
        <f t="shared" si="114"/>
        <v/>
      </c>
      <c r="AA292" t="str">
        <f t="shared" si="115"/>
        <v/>
      </c>
      <c r="AB292" s="82" t="str">
        <f>IF(AND($B$3="Cantilever",$B$2="Zone 1"),'GCM_Cantilever 1.0'!$G483,IF(AND($B$3="Cantilever",$B$2="Zone 2"),'GCM_Cantilever 1.0'!K483,IF(AND($B$3="HalfTracker",$B$2="Zone 1"),'GCM_Halftracker 1.0'!F498,IF(AND($B$3="HalfTracker",$B$2="Zone 2"),'GCM_Halftracker 1.0'!J498,IF(AND($B$3="Purlin",$B$2="Zone 1"),'GCM_Purlin 1.0'!F553,IF(AND($B$3="Purlin",$B$2="Zone 2"),'GCM_Purlin 1.0'!N553,IF(AND($B$3="Purlin",$B$2="Zone 3"),'GCM_Purlin 1.0'!Y553,IF(AND($B$3="Purlin",$B$2="Zone 4"),'GCM_Purlin 1.0'!AG553,IF(AND($B$3="Purlin",$B$2="Zone 5"),'GCM_Purlin 1.0'!AR553,IF(AND($B$3="Clip",$B$2="Zone 1"),'GCN_Clip 1.0'!H122,IF(AND($B$3="Clip",$B$2="Zone 2"),'GCN_Clip 1.0'!H123,IF(AND($B$3="Clip",$B$2="Zone 3"),'GCN_Clip 1.0'!H124,IF(AND($B$3="Clip",$B$2="Zone 4"),'GCN_Clip 1.0'!H125,IF(AND($B$3="Clip",$B$2="Zone 5"),'GCN_Clip 1.0'!H126,IF(AND($B$3="Post",$B$2="Zone 1"),'GCN_Post 1.0'!J406,IF(AND($B$3="Post",$B$2="Zone 2"),'GCN_Post 1.0'!K406,IF(AND($B$3="Post",$B$2="Zone 3"),'GCN_Post 1.0'!N406,IF(AND($B$3="Post",$B$2="Zone 4"),'GCN_Post 1.0'!O406,IF(AND($B$3="Post",$B$2="Zone 5"),'GCN_Post 1.0'!P406,"ERROR")))))))))))))))))))</f>
        <v/>
      </c>
      <c r="AD292" s="27" t="str">
        <f t="shared" si="116"/>
        <v/>
      </c>
      <c r="AE292" t="str">
        <f t="shared" si="117"/>
        <v/>
      </c>
      <c r="AF292" t="str">
        <f t="shared" si="118"/>
        <v/>
      </c>
      <c r="AG292" t="str">
        <f t="shared" si="119"/>
        <v/>
      </c>
      <c r="AH292" t="str">
        <f t="shared" si="120"/>
        <v/>
      </c>
      <c r="AI292" t="str">
        <f t="shared" si="121"/>
        <v/>
      </c>
      <c r="AJ292" s="82" t="str">
        <f>IF(AND($B$3="Cantilever",$B$2="Zone 1"),'GCM_Cantilever 1.0'!$H483,IF(AND($B$3="Cantilever",$B$2="Zone 2"),'GCM_Cantilever 1.0'!L483,IF(AND($B$3="HalfTracker",$B$2="Zone 1"),'GCM_Halftracker 1.0'!G498,IF(AND($B$3="HalfTracker",$B$2="Zone 2"),'GCM_Halftracker 1.0'!K498,IF(AND($B$3="Purlin",$B$2="Zone 1"),'GCM_Purlin 1.0'!G553,IF(AND($B$3="Purlin",$B$2="Zone 2"),'GCM_Purlin 1.0'!O553,IF(AND($B$3="Purlin",$B$2="Zone 3"),'GCM_Purlin 1.0'!Z553,IF(AND($B$3="Purlin",$B$2="Zone 4"),'GCM_Purlin 1.0'!AH553,IF(AND($B$3="Purlin",$B$2="Zone 5"),'GCM_Purlin 1.0'!AS553,IF(AND($B$3="Clip",$B$2="Zone 1"),'GCN_Clip 1.0'!#REF!,IF(AND($B$3="Clip",$B$2="Zone 2"),'GCN_Clip 1.0'!#REF!,IF(AND($B$3="Clip",$B$2="Zone 3"),'GCN_Clip 1.0'!#REF!,IF(AND($B$3="Clip",$B$2="Zone 4"),'GCN_Clip 1.0'!#REF!,IF(AND($B$3="Clip",$B$2="Zone 5"),'GCN_Clip 1.0'!#REF!,IF(AND($B$3="Post",$B$2="Zone 1"),'GCN_Post 1.0'!Q406,IF(AND($B$3="Post",$B$2="Zone 2"),'GCN_Post 1.0'!R406,IF(AND($B$3="Post",$B$2="Zone 3"),'GCN_Post 1.0'!S406,IF(AND($B$3="Post",$B$2="Zone 4"),'GCN_Post 1.0'!T406,IF(AND($B$3="Post",$B$2="Zone 5"),'GCN_Post 1.0'!V406,"ERROR")))))))))))))))))))</f>
        <v/>
      </c>
      <c r="AL292" s="27" t="str">
        <f t="shared" si="122"/>
        <v/>
      </c>
      <c r="AM292" t="str">
        <f t="shared" si="123"/>
        <v/>
      </c>
      <c r="AN292" t="str">
        <f t="shared" si="124"/>
        <v/>
      </c>
      <c r="AO292" t="str">
        <f t="shared" si="125"/>
        <v/>
      </c>
      <c r="AP292" t="str">
        <f t="shared" si="126"/>
        <v/>
      </c>
      <c r="AQ292" t="str">
        <f t="shared" si="127"/>
        <v/>
      </c>
      <c r="AR292" s="82" t="str">
        <f>IF(AND($B$3="Cantilever",$B$2="Zone 1"),'GCM_Cantilever 1.0'!$I483,IF(AND($B$3="Cantilever",$B$2="Zone 2"),'GCM_Cantilever 1.0'!M483,IF(AND($B$3="HalfTracker",$B$2="Zone 1"),'GCM_Halftracker 1.0'!H498,IF(AND($B$3="HalfTracker",$B$2="Zone 2"),'GCM_Halftracker 1.0'!L498,IF(AND($B$3="Purlin",$B$2="Zone 1"),'GCM_Purlin 1.0'!H553,IF(AND($B$3="Purlin",$B$2="Zone 2"),'GCM_Purlin 1.0'!P553,IF(AND($B$3="Purlin",$B$2="Zone 3"),'GCM_Purlin 1.0'!AA553,IF(AND($B$3="Purlin",$B$2="Zone 4"),'GCM_Purlin 1.0'!AI553,IF(AND($B$3="Purlin",$B$2="Zone 5"),'GCM_Purlin 1.0'!AT553,IF(AND($B$3="Clip",$B$2="Zone 1"),'GCN_Clip 1.0'!#REF!,IF(AND($B$3="Clip",$B$2="Zone 2"),'GCN_Clip 1.0'!#REF!,IF(AND($B$3="Clip",$B$2="Zone 3"),'GCN_Clip 1.0'!#REF!,IF(AND($B$3="Clip",$B$2="Zone 4"),'GCN_Clip 1.0'!#REF!,IF(AND($B$3="Clip",$B$2="Zone 5"),'GCN_Clip 1.0'!#REF!,IF(AND($B$3="Post",$B$2="Zone 1"),'GCN_Post 1.0'!W406,IF(AND($B$3="Post",$B$2="Zone 2"),'GCN_Post 1.0'!X406,IF(AND($B$3="Post",$B$2="Zone 3"),'GCN_Post 1.0'!Y406,IF(AND($B$3="Post",$B$2="Zone 4"),'GCN_Post 1.0'!Z406,IF(AND($B$3="Post",$B$2="Zone 5"),'GCN_Post 1.0'!AA406,"ERROR")))))))))))))))))))</f>
        <v/>
      </c>
    </row>
    <row r="293" spans="6:44" x14ac:dyDescent="0.25">
      <c r="F293">
        <v>120</v>
      </c>
      <c r="G293" s="27" t="str">
        <f t="shared" si="100"/>
        <v/>
      </c>
      <c r="H293" t="str">
        <f t="shared" si="101"/>
        <v/>
      </c>
      <c r="I293" t="str">
        <f t="shared" si="102"/>
        <v/>
      </c>
      <c r="J293" s="28" t="str">
        <f t="shared" si="103"/>
        <v/>
      </c>
      <c r="M293">
        <v>120</v>
      </c>
      <c r="N293" s="27" t="str">
        <f t="shared" si="104"/>
        <v/>
      </c>
      <c r="O293" t="str">
        <f t="shared" si="105"/>
        <v/>
      </c>
      <c r="P293" t="str">
        <f t="shared" si="106"/>
        <v/>
      </c>
      <c r="Q293" t="str">
        <f t="shared" si="107"/>
        <v/>
      </c>
      <c r="R293" t="str">
        <f t="shared" si="108"/>
        <v/>
      </c>
      <c r="S293" t="str">
        <f t="shared" si="109"/>
        <v/>
      </c>
      <c r="T293" s="82" t="str">
        <f>IF(AND($B$3="Cantilever",$B$2="Zone 1"),'GCM_Cantilever 1.0'!$F484,IF(AND($B$3="Cantilever",$B$2="Zone 2"),'GCM_Cantilever 1.0'!J484,IF(AND($B$3="HalfTracker",$B$2="Zone 1"),'GCM_Halftracker 1.0'!E499,IF(AND($B$3="HalfTracker",$B$2="Zone 2"),'GCM_Halftracker 1.0'!I499,IF(AND($B$3="Purlin",$B$2="Zone 1"),'GCM_Purlin 1.0'!E554,IF(AND($B$3="Purlin",$B$2="Zone 2"),'GCM_Purlin 1.0'!M554,IF(AND($B$3="Purlin",$B$2="Zone 3"),'GCM_Purlin 1.0'!X554,IF(AND($B$3="Purlin",$B$2="Zone 4"),'GCM_Purlin 1.0'!AF554,IF(AND($B$3="Purlin",$B$2="Zone 5"),'GCM_Purlin 1.0'!AQ554,IF(AND($B$3="Clip",$B$2="Zone 1"),'GCN_Clip 1.0'!G123,IF(AND($B$3="Clip",$B$2="Zone 2"),'GCN_Clip 1.0'!C124,IF(AND($B$3="Clip",$B$2="Zone 3"),'GCN_Clip 1.0'!G125,IF(AND($B$3="Clip",$B$2="Zone 4"),'GCN_Clip 1.0'!G126,IF(AND($B$3="Clip",$B$2="Zone 5"),'GCN_Clip 1.0'!G127,IF(AND($B$3="Post",$B$2="Zone 1"),'GCN_Post 1.0'!E407,IF(AND($B$3="Post",$B$2="Zone 2"),'GCN_Post 1.0'!F407,IF(AND($B$3="Post",$B$2="Zone 3"),'GCN_Post 1.0'!G407,IF(AND($B$3="Post",$B$2="Zone 4"),'GCN_Post 1.0'!H407,IF(AND($B$3="Post",$B$2="Zone 5"),'GCN_Post 1.0'!I407,"ERROR")))))))))))))))))))</f>
        <v/>
      </c>
      <c r="V293" s="27" t="str">
        <f t="shared" si="110"/>
        <v/>
      </c>
      <c r="W293" t="str">
        <f t="shared" si="111"/>
        <v/>
      </c>
      <c r="X293" t="str">
        <f t="shared" si="112"/>
        <v/>
      </c>
      <c r="Y293" t="str">
        <f t="shared" si="113"/>
        <v/>
      </c>
      <c r="Z293" t="str">
        <f t="shared" si="114"/>
        <v/>
      </c>
      <c r="AA293" t="str">
        <f t="shared" si="115"/>
        <v/>
      </c>
      <c r="AB293" s="82" t="str">
        <f>IF(AND($B$3="Cantilever",$B$2="Zone 1"),'GCM_Cantilever 1.0'!$G484,IF(AND($B$3="Cantilever",$B$2="Zone 2"),'GCM_Cantilever 1.0'!K484,IF(AND($B$3="HalfTracker",$B$2="Zone 1"),'GCM_Halftracker 1.0'!F499,IF(AND($B$3="HalfTracker",$B$2="Zone 2"),'GCM_Halftracker 1.0'!J499,IF(AND($B$3="Purlin",$B$2="Zone 1"),'GCM_Purlin 1.0'!F554,IF(AND($B$3="Purlin",$B$2="Zone 2"),'GCM_Purlin 1.0'!N554,IF(AND($B$3="Purlin",$B$2="Zone 3"),'GCM_Purlin 1.0'!Y554,IF(AND($B$3="Purlin",$B$2="Zone 4"),'GCM_Purlin 1.0'!AG554,IF(AND($B$3="Purlin",$B$2="Zone 5"),'GCM_Purlin 1.0'!AR554,IF(AND($B$3="Clip",$B$2="Zone 1"),'GCN_Clip 1.0'!H123,IF(AND($B$3="Clip",$B$2="Zone 2"),'GCN_Clip 1.0'!H124,IF(AND($B$3="Clip",$B$2="Zone 3"),'GCN_Clip 1.0'!H125,IF(AND($B$3="Clip",$B$2="Zone 4"),'GCN_Clip 1.0'!H126,IF(AND($B$3="Clip",$B$2="Zone 5"),'GCN_Clip 1.0'!H127,IF(AND($B$3="Post",$B$2="Zone 1"),'GCN_Post 1.0'!J407,IF(AND($B$3="Post",$B$2="Zone 2"),'GCN_Post 1.0'!K407,IF(AND($B$3="Post",$B$2="Zone 3"),'GCN_Post 1.0'!N407,IF(AND($B$3="Post",$B$2="Zone 4"),'GCN_Post 1.0'!O407,IF(AND($B$3="Post",$B$2="Zone 5"),'GCN_Post 1.0'!P407,"ERROR")))))))))))))))))))</f>
        <v/>
      </c>
      <c r="AD293" s="27" t="str">
        <f t="shared" si="116"/>
        <v/>
      </c>
      <c r="AE293" t="str">
        <f t="shared" si="117"/>
        <v/>
      </c>
      <c r="AF293" t="str">
        <f t="shared" si="118"/>
        <v/>
      </c>
      <c r="AG293" t="str">
        <f t="shared" si="119"/>
        <v/>
      </c>
      <c r="AH293" t="str">
        <f t="shared" si="120"/>
        <v/>
      </c>
      <c r="AI293" t="str">
        <f t="shared" si="121"/>
        <v/>
      </c>
      <c r="AJ293" s="82" t="str">
        <f>IF(AND($B$3="Cantilever",$B$2="Zone 1"),'GCM_Cantilever 1.0'!$H484,IF(AND($B$3="Cantilever",$B$2="Zone 2"),'GCM_Cantilever 1.0'!L484,IF(AND($B$3="HalfTracker",$B$2="Zone 1"),'GCM_Halftracker 1.0'!G499,IF(AND($B$3="HalfTracker",$B$2="Zone 2"),'GCM_Halftracker 1.0'!K499,IF(AND($B$3="Purlin",$B$2="Zone 1"),'GCM_Purlin 1.0'!G554,IF(AND($B$3="Purlin",$B$2="Zone 2"),'GCM_Purlin 1.0'!O554,IF(AND($B$3="Purlin",$B$2="Zone 3"),'GCM_Purlin 1.0'!Z554,IF(AND($B$3="Purlin",$B$2="Zone 4"),'GCM_Purlin 1.0'!AH554,IF(AND($B$3="Purlin",$B$2="Zone 5"),'GCM_Purlin 1.0'!AS554,IF(AND($B$3="Clip",$B$2="Zone 1"),'GCN_Clip 1.0'!#REF!,IF(AND($B$3="Clip",$B$2="Zone 2"),'GCN_Clip 1.0'!#REF!,IF(AND($B$3="Clip",$B$2="Zone 3"),'GCN_Clip 1.0'!#REF!,IF(AND($B$3="Clip",$B$2="Zone 4"),'GCN_Clip 1.0'!#REF!,IF(AND($B$3="Clip",$B$2="Zone 5"),'GCN_Clip 1.0'!#REF!,IF(AND($B$3="Post",$B$2="Zone 1"),'GCN_Post 1.0'!Q407,IF(AND($B$3="Post",$B$2="Zone 2"),'GCN_Post 1.0'!R407,IF(AND($B$3="Post",$B$2="Zone 3"),'GCN_Post 1.0'!S407,IF(AND($B$3="Post",$B$2="Zone 4"),'GCN_Post 1.0'!T407,IF(AND($B$3="Post",$B$2="Zone 5"),'GCN_Post 1.0'!V407,"ERROR")))))))))))))))))))</f>
        <v/>
      </c>
      <c r="AL293" s="27" t="str">
        <f t="shared" si="122"/>
        <v/>
      </c>
      <c r="AM293" t="str">
        <f t="shared" si="123"/>
        <v/>
      </c>
      <c r="AN293" t="str">
        <f t="shared" si="124"/>
        <v/>
      </c>
      <c r="AO293" t="str">
        <f t="shared" si="125"/>
        <v/>
      </c>
      <c r="AP293" t="str">
        <f t="shared" si="126"/>
        <v/>
      </c>
      <c r="AQ293" t="str">
        <f t="shared" si="127"/>
        <v/>
      </c>
      <c r="AR293" s="82" t="str">
        <f>IF(AND($B$3="Cantilever",$B$2="Zone 1"),'GCM_Cantilever 1.0'!$I484,IF(AND($B$3="Cantilever",$B$2="Zone 2"),'GCM_Cantilever 1.0'!M484,IF(AND($B$3="HalfTracker",$B$2="Zone 1"),'GCM_Halftracker 1.0'!H499,IF(AND($B$3="HalfTracker",$B$2="Zone 2"),'GCM_Halftracker 1.0'!L499,IF(AND($B$3="Purlin",$B$2="Zone 1"),'GCM_Purlin 1.0'!H554,IF(AND($B$3="Purlin",$B$2="Zone 2"),'GCM_Purlin 1.0'!P554,IF(AND($B$3="Purlin",$B$2="Zone 3"),'GCM_Purlin 1.0'!AA554,IF(AND($B$3="Purlin",$B$2="Zone 4"),'GCM_Purlin 1.0'!AI554,IF(AND($B$3="Purlin",$B$2="Zone 5"),'GCM_Purlin 1.0'!AT554,IF(AND($B$3="Clip",$B$2="Zone 1"),'GCN_Clip 1.0'!#REF!,IF(AND($B$3="Clip",$B$2="Zone 2"),'GCN_Clip 1.0'!#REF!,IF(AND($B$3="Clip",$B$2="Zone 3"),'GCN_Clip 1.0'!#REF!,IF(AND($B$3="Clip",$B$2="Zone 4"),'GCN_Clip 1.0'!#REF!,IF(AND($B$3="Clip",$B$2="Zone 5"),'GCN_Clip 1.0'!#REF!,IF(AND($B$3="Post",$B$2="Zone 1"),'GCN_Post 1.0'!W407,IF(AND($B$3="Post",$B$2="Zone 2"),'GCN_Post 1.0'!X407,IF(AND($B$3="Post",$B$2="Zone 3"),'GCN_Post 1.0'!Y407,IF(AND($B$3="Post",$B$2="Zone 4"),'GCN_Post 1.0'!Z407,IF(AND($B$3="Post",$B$2="Zone 5"),'GCN_Post 1.0'!AA407,"ERROR")))))))))))))))))))</f>
        <v/>
      </c>
    </row>
    <row r="294" spans="6:44" x14ac:dyDescent="0.25">
      <c r="F294">
        <v>121</v>
      </c>
      <c r="G294" s="27" t="str">
        <f t="shared" si="100"/>
        <v/>
      </c>
      <c r="H294" t="str">
        <f t="shared" si="101"/>
        <v/>
      </c>
      <c r="I294" t="str">
        <f t="shared" si="102"/>
        <v/>
      </c>
      <c r="J294" s="28" t="str">
        <f t="shared" si="103"/>
        <v/>
      </c>
      <c r="K294" s="27"/>
      <c r="M294">
        <v>121</v>
      </c>
      <c r="N294" s="27" t="str">
        <f t="shared" si="104"/>
        <v/>
      </c>
      <c r="O294" t="str">
        <f t="shared" si="105"/>
        <v/>
      </c>
      <c r="P294" t="str">
        <f t="shared" si="106"/>
        <v/>
      </c>
      <c r="Q294" t="str">
        <f t="shared" si="107"/>
        <v/>
      </c>
      <c r="R294" t="str">
        <f t="shared" si="108"/>
        <v/>
      </c>
      <c r="S294" t="str">
        <f t="shared" si="109"/>
        <v/>
      </c>
      <c r="T294" s="82" t="str">
        <f>IF(AND($B$3="Cantilever",$B$2="Zone 1"),'GCM_Cantilever 1.0'!$F485,IF(AND($B$3="Cantilever",$B$2="Zone 2"),'GCM_Cantilever 1.0'!J485,IF(AND($B$3="HalfTracker",$B$2="Zone 1"),'GCM_Halftracker 1.0'!E500,IF(AND($B$3="HalfTracker",$B$2="Zone 2"),'GCM_Halftracker 1.0'!I500,IF(AND($B$3="Purlin",$B$2="Zone 1"),'GCM_Purlin 1.0'!E555,IF(AND($B$3="Purlin",$B$2="Zone 2"),'GCM_Purlin 1.0'!M555,IF(AND($B$3="Purlin",$B$2="Zone 3"),'GCM_Purlin 1.0'!X555,IF(AND($B$3="Purlin",$B$2="Zone 4"),'GCM_Purlin 1.0'!AF555,IF(AND($B$3="Purlin",$B$2="Zone 5"),'GCM_Purlin 1.0'!AQ555,IF(AND($B$3="Clip",$B$2="Zone 1"),'GCN_Clip 1.0'!G124,IF(AND($B$3="Clip",$B$2="Zone 2"),'GCN_Clip 1.0'!C125,IF(AND($B$3="Clip",$B$2="Zone 3"),'GCN_Clip 1.0'!G126,IF(AND($B$3="Clip",$B$2="Zone 4"),'GCN_Clip 1.0'!G127,IF(AND($B$3="Clip",$B$2="Zone 5"),'GCN_Clip 1.0'!G128,IF(AND($B$3="Post",$B$2="Zone 1"),'GCN_Post 1.0'!E408,IF(AND($B$3="Post",$B$2="Zone 2"),'GCN_Post 1.0'!F408,IF(AND($B$3="Post",$B$2="Zone 3"),'GCN_Post 1.0'!G408,IF(AND($B$3="Post",$B$2="Zone 4"),'GCN_Post 1.0'!H408,IF(AND($B$3="Post",$B$2="Zone 5"),'GCN_Post 1.0'!I408,"ERROR")))))))))))))))))))</f>
        <v/>
      </c>
      <c r="V294" s="27" t="str">
        <f t="shared" si="110"/>
        <v/>
      </c>
      <c r="W294" t="str">
        <f t="shared" si="111"/>
        <v/>
      </c>
      <c r="X294" t="str">
        <f t="shared" si="112"/>
        <v/>
      </c>
      <c r="Y294" t="str">
        <f t="shared" si="113"/>
        <v/>
      </c>
      <c r="Z294" t="str">
        <f t="shared" si="114"/>
        <v/>
      </c>
      <c r="AA294" t="str">
        <f t="shared" si="115"/>
        <v/>
      </c>
      <c r="AB294" s="82" t="str">
        <f>IF(AND($B$3="Cantilever",$B$2="Zone 1"),'GCM_Cantilever 1.0'!$G485,IF(AND($B$3="Cantilever",$B$2="Zone 2"),'GCM_Cantilever 1.0'!K485,IF(AND($B$3="HalfTracker",$B$2="Zone 1"),'GCM_Halftracker 1.0'!F500,IF(AND($B$3="HalfTracker",$B$2="Zone 2"),'GCM_Halftracker 1.0'!J500,IF(AND($B$3="Purlin",$B$2="Zone 1"),'GCM_Purlin 1.0'!F555,IF(AND($B$3="Purlin",$B$2="Zone 2"),'GCM_Purlin 1.0'!N555,IF(AND($B$3="Purlin",$B$2="Zone 3"),'GCM_Purlin 1.0'!Y555,IF(AND($B$3="Purlin",$B$2="Zone 4"),'GCM_Purlin 1.0'!AG555,IF(AND($B$3="Purlin",$B$2="Zone 5"),'GCM_Purlin 1.0'!AR555,IF(AND($B$3="Clip",$B$2="Zone 1"),'GCN_Clip 1.0'!H124,IF(AND($B$3="Clip",$B$2="Zone 2"),'GCN_Clip 1.0'!H125,IF(AND($B$3="Clip",$B$2="Zone 3"),'GCN_Clip 1.0'!H126,IF(AND($B$3="Clip",$B$2="Zone 4"),'GCN_Clip 1.0'!H127,IF(AND($B$3="Clip",$B$2="Zone 5"),'GCN_Clip 1.0'!H128,IF(AND($B$3="Post",$B$2="Zone 1"),'GCN_Post 1.0'!J408,IF(AND($B$3="Post",$B$2="Zone 2"),'GCN_Post 1.0'!K408,IF(AND($B$3="Post",$B$2="Zone 3"),'GCN_Post 1.0'!N408,IF(AND($B$3="Post",$B$2="Zone 4"),'GCN_Post 1.0'!O408,IF(AND($B$3="Post",$B$2="Zone 5"),'GCN_Post 1.0'!P408,"ERROR")))))))))))))))))))</f>
        <v/>
      </c>
      <c r="AD294" s="27" t="str">
        <f t="shared" si="116"/>
        <v/>
      </c>
      <c r="AE294" t="str">
        <f t="shared" si="117"/>
        <v/>
      </c>
      <c r="AF294" t="str">
        <f t="shared" si="118"/>
        <v/>
      </c>
      <c r="AG294" t="str">
        <f t="shared" si="119"/>
        <v/>
      </c>
      <c r="AH294" t="str">
        <f t="shared" si="120"/>
        <v/>
      </c>
      <c r="AI294" t="str">
        <f t="shared" si="121"/>
        <v/>
      </c>
      <c r="AJ294" s="82" t="str">
        <f>IF(AND($B$3="Cantilever",$B$2="Zone 1"),'GCM_Cantilever 1.0'!$H485,IF(AND($B$3="Cantilever",$B$2="Zone 2"),'GCM_Cantilever 1.0'!L485,IF(AND($B$3="HalfTracker",$B$2="Zone 1"),'GCM_Halftracker 1.0'!G500,IF(AND($B$3="HalfTracker",$B$2="Zone 2"),'GCM_Halftracker 1.0'!K500,IF(AND($B$3="Purlin",$B$2="Zone 1"),'GCM_Purlin 1.0'!G555,IF(AND($B$3="Purlin",$B$2="Zone 2"),'GCM_Purlin 1.0'!O555,IF(AND($B$3="Purlin",$B$2="Zone 3"),'GCM_Purlin 1.0'!Z555,IF(AND($B$3="Purlin",$B$2="Zone 4"),'GCM_Purlin 1.0'!AH555,IF(AND($B$3="Purlin",$B$2="Zone 5"),'GCM_Purlin 1.0'!AS555,IF(AND($B$3="Clip",$B$2="Zone 1"),'GCN_Clip 1.0'!#REF!,IF(AND($B$3="Clip",$B$2="Zone 2"),'GCN_Clip 1.0'!#REF!,IF(AND($B$3="Clip",$B$2="Zone 3"),'GCN_Clip 1.0'!#REF!,IF(AND($B$3="Clip",$B$2="Zone 4"),'GCN_Clip 1.0'!#REF!,IF(AND($B$3="Clip",$B$2="Zone 5"),'GCN_Clip 1.0'!#REF!,IF(AND($B$3="Post",$B$2="Zone 1"),'GCN_Post 1.0'!Q408,IF(AND($B$3="Post",$B$2="Zone 2"),'GCN_Post 1.0'!R408,IF(AND($B$3="Post",$B$2="Zone 3"),'GCN_Post 1.0'!S408,IF(AND($B$3="Post",$B$2="Zone 4"),'GCN_Post 1.0'!T408,IF(AND($B$3="Post",$B$2="Zone 5"),'GCN_Post 1.0'!V408,"ERROR")))))))))))))))))))</f>
        <v/>
      </c>
      <c r="AL294" s="27" t="str">
        <f t="shared" si="122"/>
        <v/>
      </c>
      <c r="AM294" t="str">
        <f t="shared" si="123"/>
        <v/>
      </c>
      <c r="AN294" t="str">
        <f t="shared" si="124"/>
        <v/>
      </c>
      <c r="AO294" t="str">
        <f t="shared" si="125"/>
        <v/>
      </c>
      <c r="AP294" t="str">
        <f t="shared" si="126"/>
        <v/>
      </c>
      <c r="AQ294" t="str">
        <f t="shared" si="127"/>
        <v/>
      </c>
      <c r="AR294" s="82" t="str">
        <f>IF(AND($B$3="Cantilever",$B$2="Zone 1"),'GCM_Cantilever 1.0'!$I485,IF(AND($B$3="Cantilever",$B$2="Zone 2"),'GCM_Cantilever 1.0'!M485,IF(AND($B$3="HalfTracker",$B$2="Zone 1"),'GCM_Halftracker 1.0'!H500,IF(AND($B$3="HalfTracker",$B$2="Zone 2"),'GCM_Halftracker 1.0'!L500,IF(AND($B$3="Purlin",$B$2="Zone 1"),'GCM_Purlin 1.0'!H555,IF(AND($B$3="Purlin",$B$2="Zone 2"),'GCM_Purlin 1.0'!P555,IF(AND($B$3="Purlin",$B$2="Zone 3"),'GCM_Purlin 1.0'!AA555,IF(AND($B$3="Purlin",$B$2="Zone 4"),'GCM_Purlin 1.0'!AI555,IF(AND($B$3="Purlin",$B$2="Zone 5"),'GCM_Purlin 1.0'!AT555,IF(AND($B$3="Clip",$B$2="Zone 1"),'GCN_Clip 1.0'!#REF!,IF(AND($B$3="Clip",$B$2="Zone 2"),'GCN_Clip 1.0'!#REF!,IF(AND($B$3="Clip",$B$2="Zone 3"),'GCN_Clip 1.0'!#REF!,IF(AND($B$3="Clip",$B$2="Zone 4"),'GCN_Clip 1.0'!#REF!,IF(AND($B$3="Clip",$B$2="Zone 5"),'GCN_Clip 1.0'!#REF!,IF(AND($B$3="Post",$B$2="Zone 1"),'GCN_Post 1.0'!W408,IF(AND($B$3="Post",$B$2="Zone 2"),'GCN_Post 1.0'!X408,IF(AND($B$3="Post",$B$2="Zone 3"),'GCN_Post 1.0'!Y408,IF(AND($B$3="Post",$B$2="Zone 4"),'GCN_Post 1.0'!Z408,IF(AND($B$3="Post",$B$2="Zone 5"),'GCN_Post 1.0'!AA408,"ERROR")))))))))))))))))))</f>
        <v/>
      </c>
    </row>
    <row r="295" spans="6:44" x14ac:dyDescent="0.25">
      <c r="F295">
        <v>122</v>
      </c>
      <c r="G295" s="27" t="str">
        <f t="shared" si="100"/>
        <v/>
      </c>
      <c r="H295" t="str">
        <f t="shared" si="101"/>
        <v/>
      </c>
      <c r="I295" t="str">
        <f t="shared" si="102"/>
        <v/>
      </c>
      <c r="J295" s="28" t="str">
        <f t="shared" si="103"/>
        <v/>
      </c>
      <c r="M295">
        <v>122</v>
      </c>
      <c r="N295" s="27" t="str">
        <f t="shared" si="104"/>
        <v/>
      </c>
      <c r="O295" t="str">
        <f t="shared" si="105"/>
        <v/>
      </c>
      <c r="P295" t="str">
        <f t="shared" si="106"/>
        <v/>
      </c>
      <c r="Q295" t="str">
        <f t="shared" si="107"/>
        <v/>
      </c>
      <c r="R295" t="str">
        <f t="shared" si="108"/>
        <v/>
      </c>
      <c r="S295" t="str">
        <f t="shared" si="109"/>
        <v/>
      </c>
      <c r="T295" s="82" t="str">
        <f>IF(AND($B$3="Cantilever",$B$2="Zone 1"),'GCM_Cantilever 1.0'!$F486,IF(AND($B$3="Cantilever",$B$2="Zone 2"),'GCM_Cantilever 1.0'!J486,IF(AND($B$3="HalfTracker",$B$2="Zone 1"),'GCM_Halftracker 1.0'!E501,IF(AND($B$3="HalfTracker",$B$2="Zone 2"),'GCM_Halftracker 1.0'!I501,IF(AND($B$3="Purlin",$B$2="Zone 1"),'GCM_Purlin 1.0'!E556,IF(AND($B$3="Purlin",$B$2="Zone 2"),'GCM_Purlin 1.0'!M556,IF(AND($B$3="Purlin",$B$2="Zone 3"),'GCM_Purlin 1.0'!X556,IF(AND($B$3="Purlin",$B$2="Zone 4"),'GCM_Purlin 1.0'!AF556,IF(AND($B$3="Purlin",$B$2="Zone 5"),'GCM_Purlin 1.0'!AQ556,IF(AND($B$3="Clip",$B$2="Zone 1"),'GCN_Clip 1.0'!G125,IF(AND($B$3="Clip",$B$2="Zone 2"),'GCN_Clip 1.0'!C126,IF(AND($B$3="Clip",$B$2="Zone 3"),'GCN_Clip 1.0'!G127,IF(AND($B$3="Clip",$B$2="Zone 4"),'GCN_Clip 1.0'!G128,IF(AND($B$3="Clip",$B$2="Zone 5"),'GCN_Clip 1.0'!G129,IF(AND($B$3="Post",$B$2="Zone 1"),'GCN_Post 1.0'!E409,IF(AND($B$3="Post",$B$2="Zone 2"),'GCN_Post 1.0'!F409,IF(AND($B$3="Post",$B$2="Zone 3"),'GCN_Post 1.0'!G409,IF(AND($B$3="Post",$B$2="Zone 4"),'GCN_Post 1.0'!H409,IF(AND($B$3="Post",$B$2="Zone 5"),'GCN_Post 1.0'!I409,"ERROR")))))))))))))))))))</f>
        <v/>
      </c>
      <c r="V295" s="27" t="str">
        <f t="shared" si="110"/>
        <v/>
      </c>
      <c r="W295" t="str">
        <f t="shared" si="111"/>
        <v/>
      </c>
      <c r="X295" t="str">
        <f t="shared" si="112"/>
        <v/>
      </c>
      <c r="Y295" t="str">
        <f t="shared" si="113"/>
        <v/>
      </c>
      <c r="Z295" t="str">
        <f t="shared" si="114"/>
        <v/>
      </c>
      <c r="AA295" t="str">
        <f t="shared" si="115"/>
        <v/>
      </c>
      <c r="AB295" s="82" t="str">
        <f>IF(AND($B$3="Cantilever",$B$2="Zone 1"),'GCM_Cantilever 1.0'!$G486,IF(AND($B$3="Cantilever",$B$2="Zone 2"),'GCM_Cantilever 1.0'!K486,IF(AND($B$3="HalfTracker",$B$2="Zone 1"),'GCM_Halftracker 1.0'!F501,IF(AND($B$3="HalfTracker",$B$2="Zone 2"),'GCM_Halftracker 1.0'!J501,IF(AND($B$3="Purlin",$B$2="Zone 1"),'GCM_Purlin 1.0'!F556,IF(AND($B$3="Purlin",$B$2="Zone 2"),'GCM_Purlin 1.0'!N556,IF(AND($B$3="Purlin",$B$2="Zone 3"),'GCM_Purlin 1.0'!Y556,IF(AND($B$3="Purlin",$B$2="Zone 4"),'GCM_Purlin 1.0'!AG556,IF(AND($B$3="Purlin",$B$2="Zone 5"),'GCM_Purlin 1.0'!AR556,IF(AND($B$3="Clip",$B$2="Zone 1"),'GCN_Clip 1.0'!H125,IF(AND($B$3="Clip",$B$2="Zone 2"),'GCN_Clip 1.0'!H126,IF(AND($B$3="Clip",$B$2="Zone 3"),'GCN_Clip 1.0'!H127,IF(AND($B$3="Clip",$B$2="Zone 4"),'GCN_Clip 1.0'!H128,IF(AND($B$3="Clip",$B$2="Zone 5"),'GCN_Clip 1.0'!H129,IF(AND($B$3="Post",$B$2="Zone 1"),'GCN_Post 1.0'!J409,IF(AND($B$3="Post",$B$2="Zone 2"),'GCN_Post 1.0'!K409,IF(AND($B$3="Post",$B$2="Zone 3"),'GCN_Post 1.0'!N409,IF(AND($B$3="Post",$B$2="Zone 4"),'GCN_Post 1.0'!O409,IF(AND($B$3="Post",$B$2="Zone 5"),'GCN_Post 1.0'!P409,"ERROR")))))))))))))))))))</f>
        <v/>
      </c>
      <c r="AD295" s="27" t="str">
        <f t="shared" si="116"/>
        <v/>
      </c>
      <c r="AE295" t="str">
        <f t="shared" si="117"/>
        <v/>
      </c>
      <c r="AF295" t="str">
        <f t="shared" si="118"/>
        <v/>
      </c>
      <c r="AG295" t="str">
        <f t="shared" si="119"/>
        <v/>
      </c>
      <c r="AH295" t="str">
        <f t="shared" si="120"/>
        <v/>
      </c>
      <c r="AI295" t="str">
        <f t="shared" si="121"/>
        <v/>
      </c>
      <c r="AJ295" s="82" t="str">
        <f>IF(AND($B$3="Cantilever",$B$2="Zone 1"),'GCM_Cantilever 1.0'!$H486,IF(AND($B$3="Cantilever",$B$2="Zone 2"),'GCM_Cantilever 1.0'!L486,IF(AND($B$3="HalfTracker",$B$2="Zone 1"),'GCM_Halftracker 1.0'!G501,IF(AND($B$3="HalfTracker",$B$2="Zone 2"),'GCM_Halftracker 1.0'!K501,IF(AND($B$3="Purlin",$B$2="Zone 1"),'GCM_Purlin 1.0'!G556,IF(AND($B$3="Purlin",$B$2="Zone 2"),'GCM_Purlin 1.0'!O556,IF(AND($B$3="Purlin",$B$2="Zone 3"),'GCM_Purlin 1.0'!Z556,IF(AND($B$3="Purlin",$B$2="Zone 4"),'GCM_Purlin 1.0'!AH556,IF(AND($B$3="Purlin",$B$2="Zone 5"),'GCM_Purlin 1.0'!AS556,IF(AND($B$3="Clip",$B$2="Zone 1"),'GCN_Clip 1.0'!#REF!,IF(AND($B$3="Clip",$B$2="Zone 2"),'GCN_Clip 1.0'!#REF!,IF(AND($B$3="Clip",$B$2="Zone 3"),'GCN_Clip 1.0'!#REF!,IF(AND($B$3="Clip",$B$2="Zone 4"),'GCN_Clip 1.0'!#REF!,IF(AND($B$3="Clip",$B$2="Zone 5"),'GCN_Clip 1.0'!#REF!,IF(AND($B$3="Post",$B$2="Zone 1"),'GCN_Post 1.0'!Q409,IF(AND($B$3="Post",$B$2="Zone 2"),'GCN_Post 1.0'!R409,IF(AND($B$3="Post",$B$2="Zone 3"),'GCN_Post 1.0'!S409,IF(AND($B$3="Post",$B$2="Zone 4"),'GCN_Post 1.0'!T409,IF(AND($B$3="Post",$B$2="Zone 5"),'GCN_Post 1.0'!V409,"ERROR")))))))))))))))))))</f>
        <v/>
      </c>
      <c r="AL295" s="27" t="str">
        <f t="shared" si="122"/>
        <v/>
      </c>
      <c r="AM295" t="str">
        <f t="shared" si="123"/>
        <v/>
      </c>
      <c r="AN295" t="str">
        <f t="shared" si="124"/>
        <v/>
      </c>
      <c r="AO295" t="str">
        <f t="shared" si="125"/>
        <v/>
      </c>
      <c r="AP295" t="str">
        <f t="shared" si="126"/>
        <v/>
      </c>
      <c r="AQ295" t="str">
        <f t="shared" si="127"/>
        <v/>
      </c>
      <c r="AR295" s="82" t="str">
        <f>IF(AND($B$3="Cantilever",$B$2="Zone 1"),'GCM_Cantilever 1.0'!$I486,IF(AND($B$3="Cantilever",$B$2="Zone 2"),'GCM_Cantilever 1.0'!M486,IF(AND($B$3="HalfTracker",$B$2="Zone 1"),'GCM_Halftracker 1.0'!H501,IF(AND($B$3="HalfTracker",$B$2="Zone 2"),'GCM_Halftracker 1.0'!L501,IF(AND($B$3="Purlin",$B$2="Zone 1"),'GCM_Purlin 1.0'!H556,IF(AND($B$3="Purlin",$B$2="Zone 2"),'GCM_Purlin 1.0'!P556,IF(AND($B$3="Purlin",$B$2="Zone 3"),'GCM_Purlin 1.0'!AA556,IF(AND($B$3="Purlin",$B$2="Zone 4"),'GCM_Purlin 1.0'!AI556,IF(AND($B$3="Purlin",$B$2="Zone 5"),'GCM_Purlin 1.0'!AT556,IF(AND($B$3="Clip",$B$2="Zone 1"),'GCN_Clip 1.0'!#REF!,IF(AND($B$3="Clip",$B$2="Zone 2"),'GCN_Clip 1.0'!#REF!,IF(AND($B$3="Clip",$B$2="Zone 3"),'GCN_Clip 1.0'!#REF!,IF(AND($B$3="Clip",$B$2="Zone 4"),'GCN_Clip 1.0'!#REF!,IF(AND($B$3="Clip",$B$2="Zone 5"),'GCN_Clip 1.0'!#REF!,IF(AND($B$3="Post",$B$2="Zone 1"),'GCN_Post 1.0'!W409,IF(AND($B$3="Post",$B$2="Zone 2"),'GCN_Post 1.0'!X409,IF(AND($B$3="Post",$B$2="Zone 3"),'GCN_Post 1.0'!Y409,IF(AND($B$3="Post",$B$2="Zone 4"),'GCN_Post 1.0'!Z409,IF(AND($B$3="Post",$B$2="Zone 5"),'GCN_Post 1.0'!AA409,"ERROR")))))))))))))))))))</f>
        <v/>
      </c>
    </row>
    <row r="296" spans="6:44" x14ac:dyDescent="0.25">
      <c r="F296">
        <v>123</v>
      </c>
      <c r="G296" s="27" t="str">
        <f t="shared" si="100"/>
        <v/>
      </c>
      <c r="H296" t="str">
        <f t="shared" si="101"/>
        <v/>
      </c>
      <c r="I296" t="str">
        <f t="shared" si="102"/>
        <v/>
      </c>
      <c r="J296" s="28" t="str">
        <f t="shared" si="103"/>
        <v/>
      </c>
      <c r="M296">
        <v>123</v>
      </c>
      <c r="N296" s="27" t="str">
        <f t="shared" si="104"/>
        <v/>
      </c>
      <c r="O296" t="str">
        <f t="shared" si="105"/>
        <v/>
      </c>
      <c r="P296" t="str">
        <f t="shared" si="106"/>
        <v/>
      </c>
      <c r="Q296" t="str">
        <f t="shared" si="107"/>
        <v/>
      </c>
      <c r="R296" t="str">
        <f t="shared" si="108"/>
        <v/>
      </c>
      <c r="S296" t="str">
        <f t="shared" si="109"/>
        <v/>
      </c>
      <c r="T296" s="82" t="str">
        <f>IF(AND($B$3="Cantilever",$B$2="Zone 1"),'GCM_Cantilever 1.0'!$F487,IF(AND($B$3="Cantilever",$B$2="Zone 2"),'GCM_Cantilever 1.0'!J487,IF(AND($B$3="HalfTracker",$B$2="Zone 1"),'GCM_Halftracker 1.0'!E502,IF(AND($B$3="HalfTracker",$B$2="Zone 2"),'GCM_Halftracker 1.0'!I502,IF(AND($B$3="Purlin",$B$2="Zone 1"),'GCM_Purlin 1.0'!E557,IF(AND($B$3="Purlin",$B$2="Zone 2"),'GCM_Purlin 1.0'!M557,IF(AND($B$3="Purlin",$B$2="Zone 3"),'GCM_Purlin 1.0'!X557,IF(AND($B$3="Purlin",$B$2="Zone 4"),'GCM_Purlin 1.0'!AF557,IF(AND($B$3="Purlin",$B$2="Zone 5"),'GCM_Purlin 1.0'!AQ557,IF(AND($B$3="Clip",$B$2="Zone 1"),'GCN_Clip 1.0'!G126,IF(AND($B$3="Clip",$B$2="Zone 2"),'GCN_Clip 1.0'!C127,IF(AND($B$3="Clip",$B$2="Zone 3"),'GCN_Clip 1.0'!G128,IF(AND($B$3="Clip",$B$2="Zone 4"),'GCN_Clip 1.0'!G129,IF(AND($B$3="Clip",$B$2="Zone 5"),'GCN_Clip 1.0'!G130,IF(AND($B$3="Post",$B$2="Zone 1"),'GCN_Post 1.0'!E410,IF(AND($B$3="Post",$B$2="Zone 2"),'GCN_Post 1.0'!F410,IF(AND($B$3="Post",$B$2="Zone 3"),'GCN_Post 1.0'!G410,IF(AND($B$3="Post",$B$2="Zone 4"),'GCN_Post 1.0'!H410,IF(AND($B$3="Post",$B$2="Zone 5"),'GCN_Post 1.0'!I410,"ERROR")))))))))))))))))))</f>
        <v/>
      </c>
      <c r="V296" s="27" t="str">
        <f t="shared" si="110"/>
        <v/>
      </c>
      <c r="W296" t="str">
        <f t="shared" si="111"/>
        <v/>
      </c>
      <c r="X296" t="str">
        <f t="shared" si="112"/>
        <v/>
      </c>
      <c r="Y296" t="str">
        <f t="shared" si="113"/>
        <v/>
      </c>
      <c r="Z296" t="str">
        <f t="shared" si="114"/>
        <v/>
      </c>
      <c r="AA296" t="str">
        <f t="shared" si="115"/>
        <v/>
      </c>
      <c r="AB296" s="82" t="str">
        <f>IF(AND($B$3="Cantilever",$B$2="Zone 1"),'GCM_Cantilever 1.0'!$G487,IF(AND($B$3="Cantilever",$B$2="Zone 2"),'GCM_Cantilever 1.0'!K487,IF(AND($B$3="HalfTracker",$B$2="Zone 1"),'GCM_Halftracker 1.0'!F502,IF(AND($B$3="HalfTracker",$B$2="Zone 2"),'GCM_Halftracker 1.0'!J502,IF(AND($B$3="Purlin",$B$2="Zone 1"),'GCM_Purlin 1.0'!F557,IF(AND($B$3="Purlin",$B$2="Zone 2"),'GCM_Purlin 1.0'!N557,IF(AND($B$3="Purlin",$B$2="Zone 3"),'GCM_Purlin 1.0'!Y557,IF(AND($B$3="Purlin",$B$2="Zone 4"),'GCM_Purlin 1.0'!AG557,IF(AND($B$3="Purlin",$B$2="Zone 5"),'GCM_Purlin 1.0'!AR557,IF(AND($B$3="Clip",$B$2="Zone 1"),'GCN_Clip 1.0'!H126,IF(AND($B$3="Clip",$B$2="Zone 2"),'GCN_Clip 1.0'!H127,IF(AND($B$3="Clip",$B$2="Zone 3"),'GCN_Clip 1.0'!H128,IF(AND($B$3="Clip",$B$2="Zone 4"),'GCN_Clip 1.0'!H129,IF(AND($B$3="Clip",$B$2="Zone 5"),'GCN_Clip 1.0'!H130,IF(AND($B$3="Post",$B$2="Zone 1"),'GCN_Post 1.0'!J410,IF(AND($B$3="Post",$B$2="Zone 2"),'GCN_Post 1.0'!K410,IF(AND($B$3="Post",$B$2="Zone 3"),'GCN_Post 1.0'!N410,IF(AND($B$3="Post",$B$2="Zone 4"),'GCN_Post 1.0'!O410,IF(AND($B$3="Post",$B$2="Zone 5"),'GCN_Post 1.0'!P410,"ERROR")))))))))))))))))))</f>
        <v/>
      </c>
      <c r="AD296" s="27" t="str">
        <f t="shared" si="116"/>
        <v/>
      </c>
      <c r="AE296" t="str">
        <f t="shared" si="117"/>
        <v/>
      </c>
      <c r="AF296" t="str">
        <f t="shared" si="118"/>
        <v/>
      </c>
      <c r="AG296" t="str">
        <f t="shared" si="119"/>
        <v/>
      </c>
      <c r="AH296" t="str">
        <f t="shared" si="120"/>
        <v/>
      </c>
      <c r="AI296" t="str">
        <f t="shared" si="121"/>
        <v/>
      </c>
      <c r="AJ296" s="82" t="str">
        <f>IF(AND($B$3="Cantilever",$B$2="Zone 1"),'GCM_Cantilever 1.0'!$H487,IF(AND($B$3="Cantilever",$B$2="Zone 2"),'GCM_Cantilever 1.0'!L487,IF(AND($B$3="HalfTracker",$B$2="Zone 1"),'GCM_Halftracker 1.0'!G502,IF(AND($B$3="HalfTracker",$B$2="Zone 2"),'GCM_Halftracker 1.0'!K502,IF(AND($B$3="Purlin",$B$2="Zone 1"),'GCM_Purlin 1.0'!G557,IF(AND($B$3="Purlin",$B$2="Zone 2"),'GCM_Purlin 1.0'!O557,IF(AND($B$3="Purlin",$B$2="Zone 3"),'GCM_Purlin 1.0'!Z557,IF(AND($B$3="Purlin",$B$2="Zone 4"),'GCM_Purlin 1.0'!AH557,IF(AND($B$3="Purlin",$B$2="Zone 5"),'GCM_Purlin 1.0'!AS557,IF(AND($B$3="Clip",$B$2="Zone 1"),'GCN_Clip 1.0'!#REF!,IF(AND($B$3="Clip",$B$2="Zone 2"),'GCN_Clip 1.0'!#REF!,IF(AND($B$3="Clip",$B$2="Zone 3"),'GCN_Clip 1.0'!#REF!,IF(AND($B$3="Clip",$B$2="Zone 4"),'GCN_Clip 1.0'!#REF!,IF(AND($B$3="Clip",$B$2="Zone 5"),'GCN_Clip 1.0'!#REF!,IF(AND($B$3="Post",$B$2="Zone 1"),'GCN_Post 1.0'!Q410,IF(AND($B$3="Post",$B$2="Zone 2"),'GCN_Post 1.0'!R410,IF(AND($B$3="Post",$B$2="Zone 3"),'GCN_Post 1.0'!S410,IF(AND($B$3="Post",$B$2="Zone 4"),'GCN_Post 1.0'!T410,IF(AND($B$3="Post",$B$2="Zone 5"),'GCN_Post 1.0'!V410,"ERROR")))))))))))))))))))</f>
        <v/>
      </c>
      <c r="AL296" s="27" t="str">
        <f t="shared" si="122"/>
        <v/>
      </c>
      <c r="AM296" t="str">
        <f t="shared" si="123"/>
        <v/>
      </c>
      <c r="AN296" t="str">
        <f t="shared" si="124"/>
        <v/>
      </c>
      <c r="AO296" t="str">
        <f t="shared" si="125"/>
        <v/>
      </c>
      <c r="AP296" t="str">
        <f t="shared" si="126"/>
        <v/>
      </c>
      <c r="AQ296" t="str">
        <f t="shared" si="127"/>
        <v/>
      </c>
      <c r="AR296" s="82" t="str">
        <f>IF(AND($B$3="Cantilever",$B$2="Zone 1"),'GCM_Cantilever 1.0'!$I487,IF(AND($B$3="Cantilever",$B$2="Zone 2"),'GCM_Cantilever 1.0'!M487,IF(AND($B$3="HalfTracker",$B$2="Zone 1"),'GCM_Halftracker 1.0'!H502,IF(AND($B$3="HalfTracker",$B$2="Zone 2"),'GCM_Halftracker 1.0'!L502,IF(AND($B$3="Purlin",$B$2="Zone 1"),'GCM_Purlin 1.0'!H557,IF(AND($B$3="Purlin",$B$2="Zone 2"),'GCM_Purlin 1.0'!P557,IF(AND($B$3="Purlin",$B$2="Zone 3"),'GCM_Purlin 1.0'!AA557,IF(AND($B$3="Purlin",$B$2="Zone 4"),'GCM_Purlin 1.0'!AI557,IF(AND($B$3="Purlin",$B$2="Zone 5"),'GCM_Purlin 1.0'!AT557,IF(AND($B$3="Clip",$B$2="Zone 1"),'GCN_Clip 1.0'!#REF!,IF(AND($B$3="Clip",$B$2="Zone 2"),'GCN_Clip 1.0'!#REF!,IF(AND($B$3="Clip",$B$2="Zone 3"),'GCN_Clip 1.0'!#REF!,IF(AND($B$3="Clip",$B$2="Zone 4"),'GCN_Clip 1.0'!#REF!,IF(AND($B$3="Clip",$B$2="Zone 5"),'GCN_Clip 1.0'!#REF!,IF(AND($B$3="Post",$B$2="Zone 1"),'GCN_Post 1.0'!W410,IF(AND($B$3="Post",$B$2="Zone 2"),'GCN_Post 1.0'!X410,IF(AND($B$3="Post",$B$2="Zone 3"),'GCN_Post 1.0'!Y410,IF(AND($B$3="Post",$B$2="Zone 4"),'GCN_Post 1.0'!Z410,IF(AND($B$3="Post",$B$2="Zone 5"),'GCN_Post 1.0'!AA410,"ERROR")))))))))))))))))))</f>
        <v/>
      </c>
    </row>
    <row r="297" spans="6:44" x14ac:dyDescent="0.25">
      <c r="F297">
        <v>124</v>
      </c>
      <c r="G297" s="27" t="str">
        <f t="shared" si="100"/>
        <v/>
      </c>
      <c r="H297" t="str">
        <f t="shared" si="101"/>
        <v/>
      </c>
      <c r="I297" t="str">
        <f t="shared" si="102"/>
        <v/>
      </c>
      <c r="J297" s="28" t="str">
        <f t="shared" si="103"/>
        <v/>
      </c>
      <c r="M297">
        <v>124</v>
      </c>
      <c r="N297" s="27" t="str">
        <f t="shared" si="104"/>
        <v/>
      </c>
      <c r="O297" t="str">
        <f t="shared" si="105"/>
        <v/>
      </c>
      <c r="P297" t="str">
        <f t="shared" si="106"/>
        <v/>
      </c>
      <c r="Q297" t="str">
        <f t="shared" si="107"/>
        <v/>
      </c>
      <c r="R297" t="str">
        <f t="shared" si="108"/>
        <v/>
      </c>
      <c r="S297" t="str">
        <f t="shared" si="109"/>
        <v/>
      </c>
      <c r="T297" s="82" t="str">
        <f>IF(AND($B$3="Cantilever",$B$2="Zone 1"),'GCM_Cantilever 1.0'!$F488,IF(AND($B$3="Cantilever",$B$2="Zone 2"),'GCM_Cantilever 1.0'!J488,IF(AND($B$3="HalfTracker",$B$2="Zone 1"),'GCM_Halftracker 1.0'!E503,IF(AND($B$3="HalfTracker",$B$2="Zone 2"),'GCM_Halftracker 1.0'!I503,IF(AND($B$3="Purlin",$B$2="Zone 1"),'GCM_Purlin 1.0'!E558,IF(AND($B$3="Purlin",$B$2="Zone 2"),'GCM_Purlin 1.0'!M558,IF(AND($B$3="Purlin",$B$2="Zone 3"),'GCM_Purlin 1.0'!X558,IF(AND($B$3="Purlin",$B$2="Zone 4"),'GCM_Purlin 1.0'!AF558,IF(AND($B$3="Purlin",$B$2="Zone 5"),'GCM_Purlin 1.0'!AQ558,IF(AND($B$3="Clip",$B$2="Zone 1"),'GCN_Clip 1.0'!G127,IF(AND($B$3="Clip",$B$2="Zone 2"),'GCN_Clip 1.0'!C128,IF(AND($B$3="Clip",$B$2="Zone 3"),'GCN_Clip 1.0'!G129,IF(AND($B$3="Clip",$B$2="Zone 4"),'GCN_Clip 1.0'!G130,IF(AND($B$3="Clip",$B$2="Zone 5"),'GCN_Clip 1.0'!G131,IF(AND($B$3="Post",$B$2="Zone 1"),'GCN_Post 1.0'!E411,IF(AND($B$3="Post",$B$2="Zone 2"),'GCN_Post 1.0'!F411,IF(AND($B$3="Post",$B$2="Zone 3"),'GCN_Post 1.0'!G411,IF(AND($B$3="Post",$B$2="Zone 4"),'GCN_Post 1.0'!H411,IF(AND($B$3="Post",$B$2="Zone 5"),'GCN_Post 1.0'!I411,"ERROR")))))))))))))))))))</f>
        <v/>
      </c>
      <c r="V297" s="27" t="str">
        <f t="shared" si="110"/>
        <v/>
      </c>
      <c r="W297" t="str">
        <f t="shared" si="111"/>
        <v/>
      </c>
      <c r="X297" t="str">
        <f t="shared" si="112"/>
        <v/>
      </c>
      <c r="Y297" t="str">
        <f t="shared" si="113"/>
        <v/>
      </c>
      <c r="Z297" t="str">
        <f t="shared" si="114"/>
        <v/>
      </c>
      <c r="AA297" t="str">
        <f t="shared" si="115"/>
        <v/>
      </c>
      <c r="AB297" s="82" t="str">
        <f>IF(AND($B$3="Cantilever",$B$2="Zone 1"),'GCM_Cantilever 1.0'!$G488,IF(AND($B$3="Cantilever",$B$2="Zone 2"),'GCM_Cantilever 1.0'!K488,IF(AND($B$3="HalfTracker",$B$2="Zone 1"),'GCM_Halftracker 1.0'!F503,IF(AND($B$3="HalfTracker",$B$2="Zone 2"),'GCM_Halftracker 1.0'!J503,IF(AND($B$3="Purlin",$B$2="Zone 1"),'GCM_Purlin 1.0'!F558,IF(AND($B$3="Purlin",$B$2="Zone 2"),'GCM_Purlin 1.0'!N558,IF(AND($B$3="Purlin",$B$2="Zone 3"),'GCM_Purlin 1.0'!Y558,IF(AND($B$3="Purlin",$B$2="Zone 4"),'GCM_Purlin 1.0'!AG558,IF(AND($B$3="Purlin",$B$2="Zone 5"),'GCM_Purlin 1.0'!AR558,IF(AND($B$3="Clip",$B$2="Zone 1"),'GCN_Clip 1.0'!H127,IF(AND($B$3="Clip",$B$2="Zone 2"),'GCN_Clip 1.0'!H128,IF(AND($B$3="Clip",$B$2="Zone 3"),'GCN_Clip 1.0'!H129,IF(AND($B$3="Clip",$B$2="Zone 4"),'GCN_Clip 1.0'!H130,IF(AND($B$3="Clip",$B$2="Zone 5"),'GCN_Clip 1.0'!H131,IF(AND($B$3="Post",$B$2="Zone 1"),'GCN_Post 1.0'!J411,IF(AND($B$3="Post",$B$2="Zone 2"),'GCN_Post 1.0'!K411,IF(AND($B$3="Post",$B$2="Zone 3"),'GCN_Post 1.0'!N411,IF(AND($B$3="Post",$B$2="Zone 4"),'GCN_Post 1.0'!O411,IF(AND($B$3="Post",$B$2="Zone 5"),'GCN_Post 1.0'!P411,"ERROR")))))))))))))))))))</f>
        <v/>
      </c>
      <c r="AD297" s="27" t="str">
        <f t="shared" si="116"/>
        <v/>
      </c>
      <c r="AE297" t="str">
        <f t="shared" si="117"/>
        <v/>
      </c>
      <c r="AF297" t="str">
        <f t="shared" si="118"/>
        <v/>
      </c>
      <c r="AG297" t="str">
        <f t="shared" si="119"/>
        <v/>
      </c>
      <c r="AH297" t="str">
        <f t="shared" si="120"/>
        <v/>
      </c>
      <c r="AI297" t="str">
        <f t="shared" si="121"/>
        <v/>
      </c>
      <c r="AJ297" s="82" t="str">
        <f>IF(AND($B$3="Cantilever",$B$2="Zone 1"),'GCM_Cantilever 1.0'!$H488,IF(AND($B$3="Cantilever",$B$2="Zone 2"),'GCM_Cantilever 1.0'!L488,IF(AND($B$3="HalfTracker",$B$2="Zone 1"),'GCM_Halftracker 1.0'!G503,IF(AND($B$3="HalfTracker",$B$2="Zone 2"),'GCM_Halftracker 1.0'!K503,IF(AND($B$3="Purlin",$B$2="Zone 1"),'GCM_Purlin 1.0'!G558,IF(AND($B$3="Purlin",$B$2="Zone 2"),'GCM_Purlin 1.0'!O558,IF(AND($B$3="Purlin",$B$2="Zone 3"),'GCM_Purlin 1.0'!Z558,IF(AND($B$3="Purlin",$B$2="Zone 4"),'GCM_Purlin 1.0'!AH558,IF(AND($B$3="Purlin",$B$2="Zone 5"),'GCM_Purlin 1.0'!AS558,IF(AND($B$3="Clip",$B$2="Zone 1"),'GCN_Clip 1.0'!#REF!,IF(AND($B$3="Clip",$B$2="Zone 2"),'GCN_Clip 1.0'!#REF!,IF(AND($B$3="Clip",$B$2="Zone 3"),'GCN_Clip 1.0'!#REF!,IF(AND($B$3="Clip",$B$2="Zone 4"),'GCN_Clip 1.0'!#REF!,IF(AND($B$3="Clip",$B$2="Zone 5"),'GCN_Clip 1.0'!#REF!,IF(AND($B$3="Post",$B$2="Zone 1"),'GCN_Post 1.0'!Q411,IF(AND($B$3="Post",$B$2="Zone 2"),'GCN_Post 1.0'!R411,IF(AND($B$3="Post",$B$2="Zone 3"),'GCN_Post 1.0'!S411,IF(AND($B$3="Post",$B$2="Zone 4"),'GCN_Post 1.0'!T411,IF(AND($B$3="Post",$B$2="Zone 5"),'GCN_Post 1.0'!V411,"ERROR")))))))))))))))))))</f>
        <v/>
      </c>
      <c r="AL297" s="27" t="str">
        <f t="shared" si="122"/>
        <v/>
      </c>
      <c r="AM297" t="str">
        <f t="shared" si="123"/>
        <v/>
      </c>
      <c r="AN297" t="str">
        <f t="shared" si="124"/>
        <v/>
      </c>
      <c r="AO297" t="str">
        <f t="shared" si="125"/>
        <v/>
      </c>
      <c r="AP297" t="str">
        <f t="shared" si="126"/>
        <v/>
      </c>
      <c r="AQ297" t="str">
        <f t="shared" si="127"/>
        <v/>
      </c>
      <c r="AR297" s="82" t="str">
        <f>IF(AND($B$3="Cantilever",$B$2="Zone 1"),'GCM_Cantilever 1.0'!$I488,IF(AND($B$3="Cantilever",$B$2="Zone 2"),'GCM_Cantilever 1.0'!M488,IF(AND($B$3="HalfTracker",$B$2="Zone 1"),'GCM_Halftracker 1.0'!H503,IF(AND($B$3="HalfTracker",$B$2="Zone 2"),'GCM_Halftracker 1.0'!L503,IF(AND($B$3="Purlin",$B$2="Zone 1"),'GCM_Purlin 1.0'!H558,IF(AND($B$3="Purlin",$B$2="Zone 2"),'GCM_Purlin 1.0'!P558,IF(AND($B$3="Purlin",$B$2="Zone 3"),'GCM_Purlin 1.0'!AA558,IF(AND($B$3="Purlin",$B$2="Zone 4"),'GCM_Purlin 1.0'!AI558,IF(AND($B$3="Purlin",$B$2="Zone 5"),'GCM_Purlin 1.0'!AT558,IF(AND($B$3="Clip",$B$2="Zone 1"),'GCN_Clip 1.0'!#REF!,IF(AND($B$3="Clip",$B$2="Zone 2"),'GCN_Clip 1.0'!#REF!,IF(AND($B$3="Clip",$B$2="Zone 3"),'GCN_Clip 1.0'!#REF!,IF(AND($B$3="Clip",$B$2="Zone 4"),'GCN_Clip 1.0'!#REF!,IF(AND($B$3="Clip",$B$2="Zone 5"),'GCN_Clip 1.0'!#REF!,IF(AND($B$3="Post",$B$2="Zone 1"),'GCN_Post 1.0'!W411,IF(AND($B$3="Post",$B$2="Zone 2"),'GCN_Post 1.0'!X411,IF(AND($B$3="Post",$B$2="Zone 3"),'GCN_Post 1.0'!Y411,IF(AND($B$3="Post",$B$2="Zone 4"),'GCN_Post 1.0'!Z411,IF(AND($B$3="Post",$B$2="Zone 5"),'GCN_Post 1.0'!AA411,"ERROR")))))))))))))))))))</f>
        <v/>
      </c>
    </row>
    <row r="298" spans="6:44" x14ac:dyDescent="0.25">
      <c r="F298">
        <v>125</v>
      </c>
      <c r="G298" s="27" t="str">
        <f t="shared" si="100"/>
        <v/>
      </c>
      <c r="H298" t="str">
        <f t="shared" si="101"/>
        <v/>
      </c>
      <c r="I298" t="str">
        <f t="shared" si="102"/>
        <v/>
      </c>
      <c r="J298" s="28" t="str">
        <f t="shared" si="103"/>
        <v/>
      </c>
      <c r="M298">
        <v>125</v>
      </c>
      <c r="N298" s="27" t="str">
        <f t="shared" si="104"/>
        <v/>
      </c>
      <c r="O298" t="str">
        <f t="shared" si="105"/>
        <v/>
      </c>
      <c r="P298" t="str">
        <f t="shared" si="106"/>
        <v/>
      </c>
      <c r="Q298" t="str">
        <f t="shared" si="107"/>
        <v/>
      </c>
      <c r="R298" t="str">
        <f t="shared" si="108"/>
        <v/>
      </c>
      <c r="S298" t="str">
        <f t="shared" si="109"/>
        <v/>
      </c>
      <c r="T298" s="82" t="str">
        <f>IF(AND($B$3="Cantilever",$B$2="Zone 1"),'GCM_Cantilever 1.0'!$F489,IF(AND($B$3="Cantilever",$B$2="Zone 2"),'GCM_Cantilever 1.0'!J489,IF(AND($B$3="HalfTracker",$B$2="Zone 1"),'GCM_Halftracker 1.0'!E504,IF(AND($B$3="HalfTracker",$B$2="Zone 2"),'GCM_Halftracker 1.0'!I504,IF(AND($B$3="Purlin",$B$2="Zone 1"),'GCM_Purlin 1.0'!E559,IF(AND($B$3="Purlin",$B$2="Zone 2"),'GCM_Purlin 1.0'!M559,IF(AND($B$3="Purlin",$B$2="Zone 3"),'GCM_Purlin 1.0'!X559,IF(AND($B$3="Purlin",$B$2="Zone 4"),'GCM_Purlin 1.0'!AF559,IF(AND($B$3="Purlin",$B$2="Zone 5"),'GCM_Purlin 1.0'!AQ559,IF(AND($B$3="Clip",$B$2="Zone 1"),'GCN_Clip 1.0'!G128,IF(AND($B$3="Clip",$B$2="Zone 2"),'GCN_Clip 1.0'!C129,IF(AND($B$3="Clip",$B$2="Zone 3"),'GCN_Clip 1.0'!G130,IF(AND($B$3="Clip",$B$2="Zone 4"),'GCN_Clip 1.0'!G131,IF(AND($B$3="Clip",$B$2="Zone 5"),'GCN_Clip 1.0'!G132,IF(AND($B$3="Post",$B$2="Zone 1"),'GCN_Post 1.0'!E412,IF(AND($B$3="Post",$B$2="Zone 2"),'GCN_Post 1.0'!F412,IF(AND($B$3="Post",$B$2="Zone 3"),'GCN_Post 1.0'!G412,IF(AND($B$3="Post",$B$2="Zone 4"),'GCN_Post 1.0'!H412,IF(AND($B$3="Post",$B$2="Zone 5"),'GCN_Post 1.0'!I412,"ERROR")))))))))))))))))))</f>
        <v/>
      </c>
      <c r="V298" s="27" t="str">
        <f t="shared" si="110"/>
        <v/>
      </c>
      <c r="W298" t="str">
        <f t="shared" si="111"/>
        <v/>
      </c>
      <c r="X298" t="str">
        <f t="shared" si="112"/>
        <v/>
      </c>
      <c r="Y298" t="str">
        <f t="shared" si="113"/>
        <v/>
      </c>
      <c r="Z298" t="str">
        <f t="shared" si="114"/>
        <v/>
      </c>
      <c r="AA298" t="str">
        <f t="shared" si="115"/>
        <v/>
      </c>
      <c r="AB298" s="82" t="str">
        <f>IF(AND($B$3="Cantilever",$B$2="Zone 1"),'GCM_Cantilever 1.0'!$G489,IF(AND($B$3="Cantilever",$B$2="Zone 2"),'GCM_Cantilever 1.0'!K489,IF(AND($B$3="HalfTracker",$B$2="Zone 1"),'GCM_Halftracker 1.0'!F504,IF(AND($B$3="HalfTracker",$B$2="Zone 2"),'GCM_Halftracker 1.0'!J504,IF(AND($B$3="Purlin",$B$2="Zone 1"),'GCM_Purlin 1.0'!F559,IF(AND($B$3="Purlin",$B$2="Zone 2"),'GCM_Purlin 1.0'!N559,IF(AND($B$3="Purlin",$B$2="Zone 3"),'GCM_Purlin 1.0'!Y559,IF(AND($B$3="Purlin",$B$2="Zone 4"),'GCM_Purlin 1.0'!AG559,IF(AND($B$3="Purlin",$B$2="Zone 5"),'GCM_Purlin 1.0'!AR559,IF(AND($B$3="Clip",$B$2="Zone 1"),'GCN_Clip 1.0'!H128,IF(AND($B$3="Clip",$B$2="Zone 2"),'GCN_Clip 1.0'!H129,IF(AND($B$3="Clip",$B$2="Zone 3"),'GCN_Clip 1.0'!H130,IF(AND($B$3="Clip",$B$2="Zone 4"),'GCN_Clip 1.0'!H131,IF(AND($B$3="Clip",$B$2="Zone 5"),'GCN_Clip 1.0'!H132,IF(AND($B$3="Post",$B$2="Zone 1"),'GCN_Post 1.0'!J412,IF(AND($B$3="Post",$B$2="Zone 2"),'GCN_Post 1.0'!K412,IF(AND($B$3="Post",$B$2="Zone 3"),'GCN_Post 1.0'!N412,IF(AND($B$3="Post",$B$2="Zone 4"),'GCN_Post 1.0'!O412,IF(AND($B$3="Post",$B$2="Zone 5"),'GCN_Post 1.0'!P412,"ERROR")))))))))))))))))))</f>
        <v/>
      </c>
      <c r="AD298" s="27" t="str">
        <f t="shared" si="116"/>
        <v/>
      </c>
      <c r="AE298" t="str">
        <f t="shared" si="117"/>
        <v/>
      </c>
      <c r="AF298" t="str">
        <f t="shared" si="118"/>
        <v/>
      </c>
      <c r="AG298" t="str">
        <f t="shared" si="119"/>
        <v/>
      </c>
      <c r="AH298" t="str">
        <f t="shared" si="120"/>
        <v/>
      </c>
      <c r="AI298" t="str">
        <f t="shared" si="121"/>
        <v/>
      </c>
      <c r="AJ298" s="82" t="str">
        <f>IF(AND($B$3="Cantilever",$B$2="Zone 1"),'GCM_Cantilever 1.0'!$H489,IF(AND($B$3="Cantilever",$B$2="Zone 2"),'GCM_Cantilever 1.0'!L489,IF(AND($B$3="HalfTracker",$B$2="Zone 1"),'GCM_Halftracker 1.0'!G504,IF(AND($B$3="HalfTracker",$B$2="Zone 2"),'GCM_Halftracker 1.0'!K504,IF(AND($B$3="Purlin",$B$2="Zone 1"),'GCM_Purlin 1.0'!G559,IF(AND($B$3="Purlin",$B$2="Zone 2"),'GCM_Purlin 1.0'!O559,IF(AND($B$3="Purlin",$B$2="Zone 3"),'GCM_Purlin 1.0'!Z559,IF(AND($B$3="Purlin",$B$2="Zone 4"),'GCM_Purlin 1.0'!AH559,IF(AND($B$3="Purlin",$B$2="Zone 5"),'GCM_Purlin 1.0'!AS559,IF(AND($B$3="Clip",$B$2="Zone 1"),'GCN_Clip 1.0'!#REF!,IF(AND($B$3="Clip",$B$2="Zone 2"),'GCN_Clip 1.0'!#REF!,IF(AND($B$3="Clip",$B$2="Zone 3"),'GCN_Clip 1.0'!#REF!,IF(AND($B$3="Clip",$B$2="Zone 4"),'GCN_Clip 1.0'!#REF!,IF(AND($B$3="Clip",$B$2="Zone 5"),'GCN_Clip 1.0'!#REF!,IF(AND($B$3="Post",$B$2="Zone 1"),'GCN_Post 1.0'!Q412,IF(AND($B$3="Post",$B$2="Zone 2"),'GCN_Post 1.0'!R412,IF(AND($B$3="Post",$B$2="Zone 3"),'GCN_Post 1.0'!S412,IF(AND($B$3="Post",$B$2="Zone 4"),'GCN_Post 1.0'!T412,IF(AND($B$3="Post",$B$2="Zone 5"),'GCN_Post 1.0'!V412,"ERROR")))))))))))))))))))</f>
        <v/>
      </c>
      <c r="AL298" s="27" t="str">
        <f t="shared" si="122"/>
        <v/>
      </c>
      <c r="AM298" t="str">
        <f t="shared" si="123"/>
        <v/>
      </c>
      <c r="AN298" t="str">
        <f t="shared" si="124"/>
        <v/>
      </c>
      <c r="AO298" t="str">
        <f t="shared" si="125"/>
        <v/>
      </c>
      <c r="AP298" t="str">
        <f t="shared" si="126"/>
        <v/>
      </c>
      <c r="AQ298" t="str">
        <f t="shared" si="127"/>
        <v/>
      </c>
      <c r="AR298" s="82" t="str">
        <f>IF(AND($B$3="Cantilever",$B$2="Zone 1"),'GCM_Cantilever 1.0'!$I489,IF(AND($B$3="Cantilever",$B$2="Zone 2"),'GCM_Cantilever 1.0'!M489,IF(AND($B$3="HalfTracker",$B$2="Zone 1"),'GCM_Halftracker 1.0'!H504,IF(AND($B$3="HalfTracker",$B$2="Zone 2"),'GCM_Halftracker 1.0'!L504,IF(AND($B$3="Purlin",$B$2="Zone 1"),'GCM_Purlin 1.0'!H559,IF(AND($B$3="Purlin",$B$2="Zone 2"),'GCM_Purlin 1.0'!P559,IF(AND($B$3="Purlin",$B$2="Zone 3"),'GCM_Purlin 1.0'!AA559,IF(AND($B$3="Purlin",$B$2="Zone 4"),'GCM_Purlin 1.0'!AI559,IF(AND($B$3="Purlin",$B$2="Zone 5"),'GCM_Purlin 1.0'!AT559,IF(AND($B$3="Clip",$B$2="Zone 1"),'GCN_Clip 1.0'!#REF!,IF(AND($B$3="Clip",$B$2="Zone 2"),'GCN_Clip 1.0'!#REF!,IF(AND($B$3="Clip",$B$2="Zone 3"),'GCN_Clip 1.0'!#REF!,IF(AND($B$3="Clip",$B$2="Zone 4"),'GCN_Clip 1.0'!#REF!,IF(AND($B$3="Clip",$B$2="Zone 5"),'GCN_Clip 1.0'!#REF!,IF(AND($B$3="Post",$B$2="Zone 1"),'GCN_Post 1.0'!W412,IF(AND($B$3="Post",$B$2="Zone 2"),'GCN_Post 1.0'!X412,IF(AND($B$3="Post",$B$2="Zone 3"),'GCN_Post 1.0'!Y412,IF(AND($B$3="Post",$B$2="Zone 4"),'GCN_Post 1.0'!Z412,IF(AND($B$3="Post",$B$2="Zone 5"),'GCN_Post 1.0'!AA412,"ERROR")))))))))))))))))))</f>
        <v/>
      </c>
    </row>
    <row r="299" spans="6:44" x14ac:dyDescent="0.25">
      <c r="F299">
        <v>126</v>
      </c>
      <c r="G299" s="27" t="str">
        <f t="shared" si="100"/>
        <v/>
      </c>
      <c r="H299" t="str">
        <f t="shared" si="101"/>
        <v/>
      </c>
      <c r="I299" t="str">
        <f t="shared" si="102"/>
        <v/>
      </c>
      <c r="J299" s="28" t="str">
        <f t="shared" si="103"/>
        <v/>
      </c>
      <c r="M299">
        <v>126</v>
      </c>
      <c r="N299" s="27" t="str">
        <f t="shared" si="104"/>
        <v/>
      </c>
      <c r="O299" t="str">
        <f t="shared" si="105"/>
        <v/>
      </c>
      <c r="P299" t="str">
        <f t="shared" si="106"/>
        <v/>
      </c>
      <c r="Q299" t="str">
        <f t="shared" si="107"/>
        <v/>
      </c>
      <c r="R299" t="str">
        <f t="shared" si="108"/>
        <v/>
      </c>
      <c r="S299" t="str">
        <f t="shared" si="109"/>
        <v/>
      </c>
      <c r="T299" s="82" t="str">
        <f>IF(AND($B$3="Cantilever",$B$2="Zone 1"),'GCM_Cantilever 1.0'!$F490,IF(AND($B$3="Cantilever",$B$2="Zone 2"),'GCM_Cantilever 1.0'!J490,IF(AND($B$3="HalfTracker",$B$2="Zone 1"),'GCM_Halftracker 1.0'!E505,IF(AND($B$3="HalfTracker",$B$2="Zone 2"),'GCM_Halftracker 1.0'!I505,IF(AND($B$3="Purlin",$B$2="Zone 1"),'GCM_Purlin 1.0'!E560,IF(AND($B$3="Purlin",$B$2="Zone 2"),'GCM_Purlin 1.0'!M560,IF(AND($B$3="Purlin",$B$2="Zone 3"),'GCM_Purlin 1.0'!X560,IF(AND($B$3="Purlin",$B$2="Zone 4"),'GCM_Purlin 1.0'!AF560,IF(AND($B$3="Purlin",$B$2="Zone 5"),'GCM_Purlin 1.0'!AQ560,IF(AND($B$3="Clip",$B$2="Zone 1"),'GCN_Clip 1.0'!G129,IF(AND($B$3="Clip",$B$2="Zone 2"),'GCN_Clip 1.0'!C130,IF(AND($B$3="Clip",$B$2="Zone 3"),'GCN_Clip 1.0'!G131,IF(AND($B$3="Clip",$B$2="Zone 4"),'GCN_Clip 1.0'!G132,IF(AND($B$3="Clip",$B$2="Zone 5"),'GCN_Clip 1.0'!G133,IF(AND($B$3="Post",$B$2="Zone 1"),'GCN_Post 1.0'!E413,IF(AND($B$3="Post",$B$2="Zone 2"),'GCN_Post 1.0'!F413,IF(AND($B$3="Post",$B$2="Zone 3"),'GCN_Post 1.0'!G413,IF(AND($B$3="Post",$B$2="Zone 4"),'GCN_Post 1.0'!H413,IF(AND($B$3="Post",$B$2="Zone 5"),'GCN_Post 1.0'!I413,"ERROR")))))))))))))))))))</f>
        <v/>
      </c>
      <c r="V299" s="27" t="str">
        <f t="shared" si="110"/>
        <v/>
      </c>
      <c r="W299" t="str">
        <f t="shared" si="111"/>
        <v/>
      </c>
      <c r="X299" t="str">
        <f t="shared" si="112"/>
        <v/>
      </c>
      <c r="Y299" t="str">
        <f t="shared" si="113"/>
        <v/>
      </c>
      <c r="Z299" t="str">
        <f t="shared" si="114"/>
        <v/>
      </c>
      <c r="AA299" t="str">
        <f t="shared" si="115"/>
        <v/>
      </c>
      <c r="AB299" s="82" t="str">
        <f>IF(AND($B$3="Cantilever",$B$2="Zone 1"),'GCM_Cantilever 1.0'!$G490,IF(AND($B$3="Cantilever",$B$2="Zone 2"),'GCM_Cantilever 1.0'!K490,IF(AND($B$3="HalfTracker",$B$2="Zone 1"),'GCM_Halftracker 1.0'!F505,IF(AND($B$3="HalfTracker",$B$2="Zone 2"),'GCM_Halftracker 1.0'!J505,IF(AND($B$3="Purlin",$B$2="Zone 1"),'GCM_Purlin 1.0'!F560,IF(AND($B$3="Purlin",$B$2="Zone 2"),'GCM_Purlin 1.0'!N560,IF(AND($B$3="Purlin",$B$2="Zone 3"),'GCM_Purlin 1.0'!Y560,IF(AND($B$3="Purlin",$B$2="Zone 4"),'GCM_Purlin 1.0'!AG560,IF(AND($B$3="Purlin",$B$2="Zone 5"),'GCM_Purlin 1.0'!AR560,IF(AND($B$3="Clip",$B$2="Zone 1"),'GCN_Clip 1.0'!H129,IF(AND($B$3="Clip",$B$2="Zone 2"),'GCN_Clip 1.0'!H130,IF(AND($B$3="Clip",$B$2="Zone 3"),'GCN_Clip 1.0'!H131,IF(AND($B$3="Clip",$B$2="Zone 4"),'GCN_Clip 1.0'!H132,IF(AND($B$3="Clip",$B$2="Zone 5"),'GCN_Clip 1.0'!H133,IF(AND($B$3="Post",$B$2="Zone 1"),'GCN_Post 1.0'!J413,IF(AND($B$3="Post",$B$2="Zone 2"),'GCN_Post 1.0'!K413,IF(AND($B$3="Post",$B$2="Zone 3"),'GCN_Post 1.0'!N413,IF(AND($B$3="Post",$B$2="Zone 4"),'GCN_Post 1.0'!O413,IF(AND($B$3="Post",$B$2="Zone 5"),'GCN_Post 1.0'!P413,"ERROR")))))))))))))))))))</f>
        <v/>
      </c>
      <c r="AD299" s="27" t="str">
        <f t="shared" si="116"/>
        <v/>
      </c>
      <c r="AE299" t="str">
        <f t="shared" si="117"/>
        <v/>
      </c>
      <c r="AF299" t="str">
        <f t="shared" si="118"/>
        <v/>
      </c>
      <c r="AG299" t="str">
        <f t="shared" si="119"/>
        <v/>
      </c>
      <c r="AH299" t="str">
        <f t="shared" si="120"/>
        <v/>
      </c>
      <c r="AI299" t="str">
        <f t="shared" si="121"/>
        <v/>
      </c>
      <c r="AJ299" s="82" t="str">
        <f>IF(AND($B$3="Cantilever",$B$2="Zone 1"),'GCM_Cantilever 1.0'!$H490,IF(AND($B$3="Cantilever",$B$2="Zone 2"),'GCM_Cantilever 1.0'!L490,IF(AND($B$3="HalfTracker",$B$2="Zone 1"),'GCM_Halftracker 1.0'!G505,IF(AND($B$3="HalfTracker",$B$2="Zone 2"),'GCM_Halftracker 1.0'!K505,IF(AND($B$3="Purlin",$B$2="Zone 1"),'GCM_Purlin 1.0'!G560,IF(AND($B$3="Purlin",$B$2="Zone 2"),'GCM_Purlin 1.0'!O560,IF(AND($B$3="Purlin",$B$2="Zone 3"),'GCM_Purlin 1.0'!Z560,IF(AND($B$3="Purlin",$B$2="Zone 4"),'GCM_Purlin 1.0'!AH560,IF(AND($B$3="Purlin",$B$2="Zone 5"),'GCM_Purlin 1.0'!AS560,IF(AND($B$3="Clip",$B$2="Zone 1"),'GCN_Clip 1.0'!#REF!,IF(AND($B$3="Clip",$B$2="Zone 2"),'GCN_Clip 1.0'!#REF!,IF(AND($B$3="Clip",$B$2="Zone 3"),'GCN_Clip 1.0'!#REF!,IF(AND($B$3="Clip",$B$2="Zone 4"),'GCN_Clip 1.0'!#REF!,IF(AND($B$3="Clip",$B$2="Zone 5"),'GCN_Clip 1.0'!#REF!,IF(AND($B$3="Post",$B$2="Zone 1"),'GCN_Post 1.0'!Q413,IF(AND($B$3="Post",$B$2="Zone 2"),'GCN_Post 1.0'!R413,IF(AND($B$3="Post",$B$2="Zone 3"),'GCN_Post 1.0'!S413,IF(AND($B$3="Post",$B$2="Zone 4"),'GCN_Post 1.0'!T413,IF(AND($B$3="Post",$B$2="Zone 5"),'GCN_Post 1.0'!V413,"ERROR")))))))))))))))))))</f>
        <v/>
      </c>
      <c r="AL299" s="27" t="str">
        <f t="shared" si="122"/>
        <v/>
      </c>
      <c r="AM299" t="str">
        <f t="shared" si="123"/>
        <v/>
      </c>
      <c r="AN299" t="str">
        <f t="shared" si="124"/>
        <v/>
      </c>
      <c r="AO299" t="str">
        <f t="shared" si="125"/>
        <v/>
      </c>
      <c r="AP299" t="str">
        <f t="shared" si="126"/>
        <v/>
      </c>
      <c r="AQ299" t="str">
        <f t="shared" si="127"/>
        <v/>
      </c>
      <c r="AR299" s="82" t="str">
        <f>IF(AND($B$3="Cantilever",$B$2="Zone 1"),'GCM_Cantilever 1.0'!$I490,IF(AND($B$3="Cantilever",$B$2="Zone 2"),'GCM_Cantilever 1.0'!M490,IF(AND($B$3="HalfTracker",$B$2="Zone 1"),'GCM_Halftracker 1.0'!H505,IF(AND($B$3="HalfTracker",$B$2="Zone 2"),'GCM_Halftracker 1.0'!L505,IF(AND($B$3="Purlin",$B$2="Zone 1"),'GCM_Purlin 1.0'!H560,IF(AND($B$3="Purlin",$B$2="Zone 2"),'GCM_Purlin 1.0'!P560,IF(AND($B$3="Purlin",$B$2="Zone 3"),'GCM_Purlin 1.0'!AA560,IF(AND($B$3="Purlin",$B$2="Zone 4"),'GCM_Purlin 1.0'!AI560,IF(AND($B$3="Purlin",$B$2="Zone 5"),'GCM_Purlin 1.0'!AT560,IF(AND($B$3="Clip",$B$2="Zone 1"),'GCN_Clip 1.0'!#REF!,IF(AND($B$3="Clip",$B$2="Zone 2"),'GCN_Clip 1.0'!#REF!,IF(AND($B$3="Clip",$B$2="Zone 3"),'GCN_Clip 1.0'!#REF!,IF(AND($B$3="Clip",$B$2="Zone 4"),'GCN_Clip 1.0'!#REF!,IF(AND($B$3="Clip",$B$2="Zone 5"),'GCN_Clip 1.0'!#REF!,IF(AND($B$3="Post",$B$2="Zone 1"),'GCN_Post 1.0'!W413,IF(AND($B$3="Post",$B$2="Zone 2"),'GCN_Post 1.0'!X413,IF(AND($B$3="Post",$B$2="Zone 3"),'GCN_Post 1.0'!Y413,IF(AND($B$3="Post",$B$2="Zone 4"),'GCN_Post 1.0'!Z413,IF(AND($B$3="Post",$B$2="Zone 5"),'GCN_Post 1.0'!AA413,"ERROR")))))))))))))))))))</f>
        <v/>
      </c>
    </row>
    <row r="300" spans="6:44" x14ac:dyDescent="0.25">
      <c r="F300">
        <v>127</v>
      </c>
      <c r="G300" s="27" t="str">
        <f t="shared" si="100"/>
        <v/>
      </c>
      <c r="H300" t="str">
        <f t="shared" si="101"/>
        <v/>
      </c>
      <c r="I300" t="str">
        <f t="shared" si="102"/>
        <v/>
      </c>
      <c r="J300" s="28" t="str">
        <f t="shared" si="103"/>
        <v/>
      </c>
      <c r="M300">
        <v>127</v>
      </c>
      <c r="N300" s="27" t="str">
        <f t="shared" si="104"/>
        <v/>
      </c>
      <c r="O300" t="str">
        <f t="shared" si="105"/>
        <v/>
      </c>
      <c r="P300" t="str">
        <f t="shared" si="106"/>
        <v/>
      </c>
      <c r="Q300" t="str">
        <f t="shared" si="107"/>
        <v/>
      </c>
      <c r="R300" t="str">
        <f t="shared" si="108"/>
        <v/>
      </c>
      <c r="S300" t="str">
        <f t="shared" si="109"/>
        <v/>
      </c>
      <c r="T300" s="82" t="str">
        <f>IF(AND($B$3="Cantilever",$B$2="Zone 1"),'GCM_Cantilever 1.0'!$F491,IF(AND($B$3="Cantilever",$B$2="Zone 2"),'GCM_Cantilever 1.0'!J491,IF(AND($B$3="HalfTracker",$B$2="Zone 1"),'GCM_Halftracker 1.0'!E506,IF(AND($B$3="HalfTracker",$B$2="Zone 2"),'GCM_Halftracker 1.0'!I506,IF(AND($B$3="Purlin",$B$2="Zone 1"),'GCM_Purlin 1.0'!E561,IF(AND($B$3="Purlin",$B$2="Zone 2"),'GCM_Purlin 1.0'!M561,IF(AND($B$3="Purlin",$B$2="Zone 3"),'GCM_Purlin 1.0'!X561,IF(AND($B$3="Purlin",$B$2="Zone 4"),'GCM_Purlin 1.0'!AF561,IF(AND($B$3="Purlin",$B$2="Zone 5"),'GCM_Purlin 1.0'!AQ561,IF(AND($B$3="Clip",$B$2="Zone 1"),'GCN_Clip 1.0'!G130,IF(AND($B$3="Clip",$B$2="Zone 2"),'GCN_Clip 1.0'!C131,IF(AND($B$3="Clip",$B$2="Zone 3"),'GCN_Clip 1.0'!G132,IF(AND($B$3="Clip",$B$2="Zone 4"),'GCN_Clip 1.0'!G133,IF(AND($B$3="Clip",$B$2="Zone 5"),'GCN_Clip 1.0'!G134,IF(AND($B$3="Post",$B$2="Zone 1"),'GCN_Post 1.0'!E414,IF(AND($B$3="Post",$B$2="Zone 2"),'GCN_Post 1.0'!F414,IF(AND($B$3="Post",$B$2="Zone 3"),'GCN_Post 1.0'!G414,IF(AND($B$3="Post",$B$2="Zone 4"),'GCN_Post 1.0'!H414,IF(AND($B$3="Post",$B$2="Zone 5"),'GCN_Post 1.0'!I414,"ERROR")))))))))))))))))))</f>
        <v/>
      </c>
      <c r="V300" s="27" t="str">
        <f t="shared" si="110"/>
        <v/>
      </c>
      <c r="W300" t="str">
        <f t="shared" si="111"/>
        <v/>
      </c>
      <c r="X300" t="str">
        <f t="shared" si="112"/>
        <v/>
      </c>
      <c r="Y300" t="str">
        <f t="shared" si="113"/>
        <v/>
      </c>
      <c r="Z300" t="str">
        <f t="shared" si="114"/>
        <v/>
      </c>
      <c r="AA300" t="str">
        <f t="shared" si="115"/>
        <v/>
      </c>
      <c r="AB300" s="82" t="str">
        <f>IF(AND($B$3="Cantilever",$B$2="Zone 1"),'GCM_Cantilever 1.0'!$G491,IF(AND($B$3="Cantilever",$B$2="Zone 2"),'GCM_Cantilever 1.0'!K491,IF(AND($B$3="HalfTracker",$B$2="Zone 1"),'GCM_Halftracker 1.0'!F506,IF(AND($B$3="HalfTracker",$B$2="Zone 2"),'GCM_Halftracker 1.0'!J506,IF(AND($B$3="Purlin",$B$2="Zone 1"),'GCM_Purlin 1.0'!F561,IF(AND($B$3="Purlin",$B$2="Zone 2"),'GCM_Purlin 1.0'!N561,IF(AND($B$3="Purlin",$B$2="Zone 3"),'GCM_Purlin 1.0'!Y561,IF(AND($B$3="Purlin",$B$2="Zone 4"),'GCM_Purlin 1.0'!AG561,IF(AND($B$3="Purlin",$B$2="Zone 5"),'GCM_Purlin 1.0'!AR561,IF(AND($B$3="Clip",$B$2="Zone 1"),'GCN_Clip 1.0'!H130,IF(AND($B$3="Clip",$B$2="Zone 2"),'GCN_Clip 1.0'!H131,IF(AND($B$3="Clip",$B$2="Zone 3"),'GCN_Clip 1.0'!H132,IF(AND($B$3="Clip",$B$2="Zone 4"),'GCN_Clip 1.0'!H133,IF(AND($B$3="Clip",$B$2="Zone 5"),'GCN_Clip 1.0'!H134,IF(AND($B$3="Post",$B$2="Zone 1"),'GCN_Post 1.0'!J414,IF(AND($B$3="Post",$B$2="Zone 2"),'GCN_Post 1.0'!K414,IF(AND($B$3="Post",$B$2="Zone 3"),'GCN_Post 1.0'!N414,IF(AND($B$3="Post",$B$2="Zone 4"),'GCN_Post 1.0'!O414,IF(AND($B$3="Post",$B$2="Zone 5"),'GCN_Post 1.0'!P414,"ERROR")))))))))))))))))))</f>
        <v/>
      </c>
      <c r="AD300" s="27" t="str">
        <f t="shared" si="116"/>
        <v/>
      </c>
      <c r="AE300" t="str">
        <f t="shared" si="117"/>
        <v/>
      </c>
      <c r="AF300" t="str">
        <f t="shared" si="118"/>
        <v/>
      </c>
      <c r="AG300" t="str">
        <f t="shared" si="119"/>
        <v/>
      </c>
      <c r="AH300" t="str">
        <f t="shared" si="120"/>
        <v/>
      </c>
      <c r="AI300" t="str">
        <f t="shared" si="121"/>
        <v/>
      </c>
      <c r="AJ300" s="82" t="str">
        <f>IF(AND($B$3="Cantilever",$B$2="Zone 1"),'GCM_Cantilever 1.0'!$H491,IF(AND($B$3="Cantilever",$B$2="Zone 2"),'GCM_Cantilever 1.0'!L491,IF(AND($B$3="HalfTracker",$B$2="Zone 1"),'GCM_Halftracker 1.0'!G506,IF(AND($B$3="HalfTracker",$B$2="Zone 2"),'GCM_Halftracker 1.0'!K506,IF(AND($B$3="Purlin",$B$2="Zone 1"),'GCM_Purlin 1.0'!G561,IF(AND($B$3="Purlin",$B$2="Zone 2"),'GCM_Purlin 1.0'!O561,IF(AND($B$3="Purlin",$B$2="Zone 3"),'GCM_Purlin 1.0'!Z561,IF(AND($B$3="Purlin",$B$2="Zone 4"),'GCM_Purlin 1.0'!AH561,IF(AND($B$3="Purlin",$B$2="Zone 5"),'GCM_Purlin 1.0'!AS561,IF(AND($B$3="Clip",$B$2="Zone 1"),'GCN_Clip 1.0'!#REF!,IF(AND($B$3="Clip",$B$2="Zone 2"),'GCN_Clip 1.0'!#REF!,IF(AND($B$3="Clip",$B$2="Zone 3"),'GCN_Clip 1.0'!#REF!,IF(AND($B$3="Clip",$B$2="Zone 4"),'GCN_Clip 1.0'!#REF!,IF(AND($B$3="Clip",$B$2="Zone 5"),'GCN_Clip 1.0'!#REF!,IF(AND($B$3="Post",$B$2="Zone 1"),'GCN_Post 1.0'!Q414,IF(AND($B$3="Post",$B$2="Zone 2"),'GCN_Post 1.0'!R414,IF(AND($B$3="Post",$B$2="Zone 3"),'GCN_Post 1.0'!S414,IF(AND($B$3="Post",$B$2="Zone 4"),'GCN_Post 1.0'!T414,IF(AND($B$3="Post",$B$2="Zone 5"),'GCN_Post 1.0'!V414,"ERROR")))))))))))))))))))</f>
        <v/>
      </c>
      <c r="AL300" s="27" t="str">
        <f t="shared" si="122"/>
        <v/>
      </c>
      <c r="AM300" t="str">
        <f t="shared" si="123"/>
        <v/>
      </c>
      <c r="AN300" t="str">
        <f t="shared" si="124"/>
        <v/>
      </c>
      <c r="AO300" t="str">
        <f t="shared" si="125"/>
        <v/>
      </c>
      <c r="AP300" t="str">
        <f t="shared" si="126"/>
        <v/>
      </c>
      <c r="AQ300" t="str">
        <f t="shared" si="127"/>
        <v/>
      </c>
      <c r="AR300" s="82" t="str">
        <f>IF(AND($B$3="Cantilever",$B$2="Zone 1"),'GCM_Cantilever 1.0'!$I491,IF(AND($B$3="Cantilever",$B$2="Zone 2"),'GCM_Cantilever 1.0'!M491,IF(AND($B$3="HalfTracker",$B$2="Zone 1"),'GCM_Halftracker 1.0'!H506,IF(AND($B$3="HalfTracker",$B$2="Zone 2"),'GCM_Halftracker 1.0'!L506,IF(AND($B$3="Purlin",$B$2="Zone 1"),'GCM_Purlin 1.0'!H561,IF(AND($B$3="Purlin",$B$2="Zone 2"),'GCM_Purlin 1.0'!P561,IF(AND($B$3="Purlin",$B$2="Zone 3"),'GCM_Purlin 1.0'!AA561,IF(AND($B$3="Purlin",$B$2="Zone 4"),'GCM_Purlin 1.0'!AI561,IF(AND($B$3="Purlin",$B$2="Zone 5"),'GCM_Purlin 1.0'!AT561,IF(AND($B$3="Clip",$B$2="Zone 1"),'GCN_Clip 1.0'!#REF!,IF(AND($B$3="Clip",$B$2="Zone 2"),'GCN_Clip 1.0'!#REF!,IF(AND($B$3="Clip",$B$2="Zone 3"),'GCN_Clip 1.0'!#REF!,IF(AND($B$3="Clip",$B$2="Zone 4"),'GCN_Clip 1.0'!#REF!,IF(AND($B$3="Clip",$B$2="Zone 5"),'GCN_Clip 1.0'!#REF!,IF(AND($B$3="Post",$B$2="Zone 1"),'GCN_Post 1.0'!W414,IF(AND($B$3="Post",$B$2="Zone 2"),'GCN_Post 1.0'!X414,IF(AND($B$3="Post",$B$2="Zone 3"),'GCN_Post 1.0'!Y414,IF(AND($B$3="Post",$B$2="Zone 4"),'GCN_Post 1.0'!Z414,IF(AND($B$3="Post",$B$2="Zone 5"),'GCN_Post 1.0'!AA414,"ERROR")))))))))))))))))))</f>
        <v/>
      </c>
    </row>
    <row r="301" spans="6:44" x14ac:dyDescent="0.25">
      <c r="F301">
        <v>128</v>
      </c>
      <c r="G301" s="27" t="str">
        <f t="shared" si="100"/>
        <v/>
      </c>
      <c r="H301" t="str">
        <f t="shared" si="101"/>
        <v/>
      </c>
      <c r="I301" t="str">
        <f t="shared" si="102"/>
        <v/>
      </c>
      <c r="J301" s="28" t="str">
        <f t="shared" si="103"/>
        <v/>
      </c>
      <c r="M301">
        <v>128</v>
      </c>
      <c r="N301" s="29" t="str">
        <f t="shared" si="104"/>
        <v/>
      </c>
      <c r="O301" s="30" t="str">
        <f t="shared" si="105"/>
        <v/>
      </c>
      <c r="P301" s="30" t="str">
        <f t="shared" si="106"/>
        <v/>
      </c>
      <c r="Q301" s="30" t="str">
        <f t="shared" si="107"/>
        <v/>
      </c>
      <c r="R301" s="30" t="str">
        <f t="shared" si="108"/>
        <v/>
      </c>
      <c r="S301" s="30" t="str">
        <f t="shared" si="109"/>
        <v/>
      </c>
      <c r="T301" s="242" t="str">
        <f>IF(AND($B$3="Cantilever",$B$2="Zone 1"),'GCM_Cantilever 1.0'!$F492,IF(AND($B$3="Cantilever",$B$2="Zone 2"),'GCM_Cantilever 1.0'!J492,IF(AND($B$3="HalfTracker",$B$2="Zone 1"),'GCM_Halftracker 1.0'!E507,IF(AND($B$3="HalfTracker",$B$2="Zone 2"),'GCM_Halftracker 1.0'!I507,IF(AND($B$3="Purlin",$B$2="Zone 1"),'GCM_Purlin 1.0'!E562,IF(AND($B$3="Purlin",$B$2="Zone 2"),'GCM_Purlin 1.0'!M562,IF(AND($B$3="Purlin",$B$2="Zone 3"),'GCM_Purlin 1.0'!X562,IF(AND($B$3="Purlin",$B$2="Zone 4"),'GCM_Purlin 1.0'!AF562,IF(AND($B$3="Purlin",$B$2="Zone 5"),'GCM_Purlin 1.0'!AQ562,IF(AND($B$3="Clip",$B$2="Zone 1"),'GCN_Clip 1.0'!G131,IF(AND($B$3="Clip",$B$2="Zone 2"),'GCN_Clip 1.0'!C132,IF(AND($B$3="Clip",$B$2="Zone 3"),'GCN_Clip 1.0'!G133,IF(AND($B$3="Clip",$B$2="Zone 4"),'GCN_Clip 1.0'!G134,IF(AND($B$3="Clip",$B$2="Zone 5"),'GCN_Clip 1.0'!G135,IF(AND($B$3="Post",$B$2="Zone 1"),'GCN_Post 1.0'!E415,IF(AND($B$3="Post",$B$2="Zone 2"),'GCN_Post 1.0'!F415,IF(AND($B$3="Post",$B$2="Zone 3"),'GCN_Post 1.0'!G415,IF(AND($B$3="Post",$B$2="Zone 4"),'GCN_Post 1.0'!H415,IF(AND($B$3="Post",$B$2="Zone 5"),'GCN_Post 1.0'!I415,"ERROR")))))))))))))))))))</f>
        <v/>
      </c>
      <c r="V301" s="29" t="str">
        <f t="shared" si="110"/>
        <v/>
      </c>
      <c r="W301" s="30" t="str">
        <f t="shared" si="111"/>
        <v/>
      </c>
      <c r="X301" s="30" t="str">
        <f t="shared" si="112"/>
        <v/>
      </c>
      <c r="Y301" s="30" t="str">
        <f t="shared" si="113"/>
        <v/>
      </c>
      <c r="Z301" s="30" t="str">
        <f t="shared" si="114"/>
        <v/>
      </c>
      <c r="AA301" s="30" t="str">
        <f t="shared" si="115"/>
        <v/>
      </c>
      <c r="AB301" s="242" t="str">
        <f>IF(AND($B$3="Cantilever",$B$2="Zone 1"),'GCM_Cantilever 1.0'!$G492,IF(AND($B$3="Cantilever",$B$2="Zone 2"),'GCM_Cantilever 1.0'!K492,IF(AND($B$3="HalfTracker",$B$2="Zone 1"),'GCM_Halftracker 1.0'!F507,IF(AND($B$3="HalfTracker",$B$2="Zone 2"),'GCM_Halftracker 1.0'!J507,IF(AND($B$3="Purlin",$B$2="Zone 1"),'GCM_Purlin 1.0'!F562,IF(AND($B$3="Purlin",$B$2="Zone 2"),'GCM_Purlin 1.0'!N562,IF(AND($B$3="Purlin",$B$2="Zone 3"),'GCM_Purlin 1.0'!Y562,IF(AND($B$3="Purlin",$B$2="Zone 4"),'GCM_Purlin 1.0'!AG562,IF(AND($B$3="Purlin",$B$2="Zone 5"),'GCM_Purlin 1.0'!AR562,IF(AND($B$3="Clip",$B$2="Zone 1"),'GCN_Clip 1.0'!H131,IF(AND($B$3="Clip",$B$2="Zone 2"),'GCN_Clip 1.0'!H132,IF(AND($B$3="Clip",$B$2="Zone 3"),'GCN_Clip 1.0'!H133,IF(AND($B$3="Clip",$B$2="Zone 4"),'GCN_Clip 1.0'!H134,IF(AND($B$3="Clip",$B$2="Zone 5"),'GCN_Clip 1.0'!H135,IF(AND($B$3="Post",$B$2="Zone 1"),'GCN_Post 1.0'!J415,IF(AND($B$3="Post",$B$2="Zone 2"),'GCN_Post 1.0'!K415,IF(AND($B$3="Post",$B$2="Zone 3"),'GCN_Post 1.0'!N415,IF(AND($B$3="Post",$B$2="Zone 4"),'GCN_Post 1.0'!O415,IF(AND($B$3="Post",$B$2="Zone 5"),'GCN_Post 1.0'!P415,"ERROR")))))))))))))))))))</f>
        <v/>
      </c>
      <c r="AD301" s="29" t="str">
        <f t="shared" si="116"/>
        <v/>
      </c>
      <c r="AE301" s="30" t="str">
        <f t="shared" si="117"/>
        <v/>
      </c>
      <c r="AF301" s="30" t="str">
        <f t="shared" si="118"/>
        <v/>
      </c>
      <c r="AG301" s="30" t="str">
        <f t="shared" si="119"/>
        <v/>
      </c>
      <c r="AH301" s="30" t="str">
        <f t="shared" si="120"/>
        <v/>
      </c>
      <c r="AI301" s="30" t="str">
        <f t="shared" si="121"/>
        <v/>
      </c>
      <c r="AJ301" s="242" t="str">
        <f>IF(AND($B$3="Cantilever",$B$2="Zone 1"),'GCM_Cantilever 1.0'!$H492,IF(AND($B$3="Cantilever",$B$2="Zone 2"),'GCM_Cantilever 1.0'!L492,IF(AND($B$3="HalfTracker",$B$2="Zone 1"),'GCM_Halftracker 1.0'!G507,IF(AND($B$3="HalfTracker",$B$2="Zone 2"),'GCM_Halftracker 1.0'!K507,IF(AND($B$3="Purlin",$B$2="Zone 1"),'GCM_Purlin 1.0'!G562,IF(AND($B$3="Purlin",$B$2="Zone 2"),'GCM_Purlin 1.0'!O562,IF(AND($B$3="Purlin",$B$2="Zone 3"),'GCM_Purlin 1.0'!Z562,IF(AND($B$3="Purlin",$B$2="Zone 4"),'GCM_Purlin 1.0'!AH562,IF(AND($B$3="Purlin",$B$2="Zone 5"),'GCM_Purlin 1.0'!AS562,IF(AND($B$3="Clip",$B$2="Zone 1"),'GCN_Clip 1.0'!#REF!,IF(AND($B$3="Clip",$B$2="Zone 2"),'GCN_Clip 1.0'!#REF!,IF(AND($B$3="Clip",$B$2="Zone 3"),'GCN_Clip 1.0'!#REF!,IF(AND($B$3="Clip",$B$2="Zone 4"),'GCN_Clip 1.0'!#REF!,IF(AND($B$3="Clip",$B$2="Zone 5"),'GCN_Clip 1.0'!#REF!,IF(AND($B$3="Post",$B$2="Zone 1"),'GCN_Post 1.0'!Q415,IF(AND($B$3="Post",$B$2="Zone 2"),'GCN_Post 1.0'!R415,IF(AND($B$3="Post",$B$2="Zone 3"),'GCN_Post 1.0'!S415,IF(AND($B$3="Post",$B$2="Zone 4"),'GCN_Post 1.0'!T415,IF(AND($B$3="Post",$B$2="Zone 5"),'GCN_Post 1.0'!V415,"ERROR")))))))))))))))))))</f>
        <v/>
      </c>
      <c r="AL301" s="29" t="str">
        <f t="shared" si="122"/>
        <v/>
      </c>
      <c r="AM301" s="30" t="str">
        <f t="shared" si="123"/>
        <v/>
      </c>
      <c r="AN301" s="30" t="str">
        <f t="shared" si="124"/>
        <v/>
      </c>
      <c r="AO301" s="30" t="str">
        <f t="shared" si="125"/>
        <v/>
      </c>
      <c r="AP301" s="30" t="str">
        <f t="shared" si="126"/>
        <v/>
      </c>
      <c r="AQ301" s="30" t="str">
        <f t="shared" si="127"/>
        <v/>
      </c>
      <c r="AR301" s="242" t="str">
        <f>IF(AND($B$3="Cantilever",$B$2="Zone 1"),'GCM_Cantilever 1.0'!$I492,IF(AND($B$3="Cantilever",$B$2="Zone 2"),'GCM_Cantilever 1.0'!M492,IF(AND($B$3="HalfTracker",$B$2="Zone 1"),'GCM_Halftracker 1.0'!H507,IF(AND($B$3="HalfTracker",$B$2="Zone 2"),'GCM_Halftracker 1.0'!L507,IF(AND($B$3="Purlin",$B$2="Zone 1"),'GCM_Purlin 1.0'!H562,IF(AND($B$3="Purlin",$B$2="Zone 2"),'GCM_Purlin 1.0'!P562,IF(AND($B$3="Purlin",$B$2="Zone 3"),'GCM_Purlin 1.0'!AA562,IF(AND($B$3="Purlin",$B$2="Zone 4"),'GCM_Purlin 1.0'!AI562,IF(AND($B$3="Purlin",$B$2="Zone 5"),'GCM_Purlin 1.0'!AT562,IF(AND($B$3="Clip",$B$2="Zone 1"),'GCN_Clip 1.0'!#REF!,IF(AND($B$3="Clip",$B$2="Zone 2"),'GCN_Clip 1.0'!#REF!,IF(AND($B$3="Clip",$B$2="Zone 3"),'GCN_Clip 1.0'!#REF!,IF(AND($B$3="Clip",$B$2="Zone 4"),'GCN_Clip 1.0'!#REF!,IF(AND($B$3="Clip",$B$2="Zone 5"),'GCN_Clip 1.0'!#REF!,IF(AND($B$3="Post",$B$2="Zone 1"),'GCN_Post 1.0'!W415,IF(AND($B$3="Post",$B$2="Zone 2"),'GCN_Post 1.0'!X415,IF(AND($B$3="Post",$B$2="Zone 3"),'GCN_Post 1.0'!Y415,IF(AND($B$3="Post",$B$2="Zone 4"),'GCN_Post 1.0'!Z415,IF(AND($B$3="Post",$B$2="Zone 5"),'GCN_Post 1.0'!AA415,"ERROR")))))))))))))))))))</f>
        <v/>
      </c>
    </row>
    <row r="302" spans="6:44" x14ac:dyDescent="0.25">
      <c r="F302">
        <v>129</v>
      </c>
      <c r="G302" s="27" t="str">
        <f t="shared" ref="G302:G333" si="128">IFERROR(VLOOKUP(SMALL($C$8:$C$170,F302),$C$8:$J$170,5,FALSE),"")</f>
        <v/>
      </c>
      <c r="H302" t="str">
        <f t="shared" ref="H302:H333" si="129">IFERROR(VLOOKUP(SMALL($C$8:$C$170,F302),$C$8:$J$170,6,FALSE),"")</f>
        <v/>
      </c>
      <c r="I302" t="str">
        <f t="shared" ref="I302:I333" si="130">IFERROR(VLOOKUP(SMALL($C$8:$C$170,F302),$C$8:$J$170,7,FALSE),"")</f>
        <v/>
      </c>
      <c r="J302" s="28" t="str">
        <f t="shared" ref="J302:J333" si="131">IFERROR(VLOOKUP(SMALL($C$8:$C$170,F302),$C$8:$J$170,8,FALSE),"")</f>
        <v/>
      </c>
    </row>
    <row r="303" spans="6:44" x14ac:dyDescent="0.25">
      <c r="F303">
        <v>130</v>
      </c>
      <c r="G303" s="27" t="str">
        <f t="shared" si="128"/>
        <v/>
      </c>
      <c r="H303" t="str">
        <f t="shared" si="129"/>
        <v/>
      </c>
      <c r="I303" t="str">
        <f t="shared" si="130"/>
        <v/>
      </c>
      <c r="J303" s="28" t="str">
        <f t="shared" si="131"/>
        <v/>
      </c>
    </row>
    <row r="304" spans="6:44" x14ac:dyDescent="0.25">
      <c r="F304">
        <v>131</v>
      </c>
      <c r="G304" s="27" t="str">
        <f t="shared" si="128"/>
        <v/>
      </c>
      <c r="H304" t="str">
        <f t="shared" si="129"/>
        <v/>
      </c>
      <c r="I304" t="str">
        <f t="shared" si="130"/>
        <v/>
      </c>
      <c r="J304" s="28" t="str">
        <f t="shared" si="131"/>
        <v/>
      </c>
    </row>
    <row r="305" spans="6:10" x14ac:dyDescent="0.25">
      <c r="F305">
        <v>132</v>
      </c>
      <c r="G305" s="27" t="str">
        <f t="shared" si="128"/>
        <v/>
      </c>
      <c r="H305" t="str">
        <f t="shared" si="129"/>
        <v/>
      </c>
      <c r="I305" t="str">
        <f t="shared" si="130"/>
        <v/>
      </c>
      <c r="J305" s="28" t="str">
        <f t="shared" si="131"/>
        <v/>
      </c>
    </row>
    <row r="306" spans="6:10" x14ac:dyDescent="0.25">
      <c r="F306">
        <v>133</v>
      </c>
      <c r="G306" s="27" t="str">
        <f t="shared" si="128"/>
        <v/>
      </c>
      <c r="H306" t="str">
        <f t="shared" si="129"/>
        <v/>
      </c>
      <c r="I306" t="str">
        <f t="shared" si="130"/>
        <v/>
      </c>
      <c r="J306" s="28" t="str">
        <f t="shared" si="131"/>
        <v/>
      </c>
    </row>
    <row r="307" spans="6:10" x14ac:dyDescent="0.25">
      <c r="F307">
        <v>134</v>
      </c>
      <c r="G307" s="27" t="str">
        <f t="shared" si="128"/>
        <v/>
      </c>
      <c r="H307" t="str">
        <f t="shared" si="129"/>
        <v/>
      </c>
      <c r="I307" t="str">
        <f t="shared" si="130"/>
        <v/>
      </c>
      <c r="J307" s="28" t="str">
        <f t="shared" si="131"/>
        <v/>
      </c>
    </row>
    <row r="308" spans="6:10" x14ac:dyDescent="0.25">
      <c r="F308">
        <v>135</v>
      </c>
      <c r="G308" s="27" t="str">
        <f t="shared" si="128"/>
        <v/>
      </c>
      <c r="H308" t="str">
        <f t="shared" si="129"/>
        <v/>
      </c>
      <c r="I308" t="str">
        <f t="shared" si="130"/>
        <v/>
      </c>
      <c r="J308" s="28" t="str">
        <f t="shared" si="131"/>
        <v/>
      </c>
    </row>
    <row r="309" spans="6:10" x14ac:dyDescent="0.25">
      <c r="F309">
        <v>136</v>
      </c>
      <c r="G309" s="27" t="str">
        <f t="shared" si="128"/>
        <v/>
      </c>
      <c r="H309" t="str">
        <f t="shared" si="129"/>
        <v/>
      </c>
      <c r="I309" t="str">
        <f t="shared" si="130"/>
        <v/>
      </c>
      <c r="J309" s="28" t="str">
        <f t="shared" si="131"/>
        <v/>
      </c>
    </row>
    <row r="310" spans="6:10" x14ac:dyDescent="0.25">
      <c r="F310">
        <v>137</v>
      </c>
      <c r="G310" s="27" t="str">
        <f t="shared" si="128"/>
        <v/>
      </c>
      <c r="H310" t="str">
        <f t="shared" si="129"/>
        <v/>
      </c>
      <c r="I310" t="str">
        <f t="shared" si="130"/>
        <v/>
      </c>
      <c r="J310" s="28" t="str">
        <f t="shared" si="131"/>
        <v/>
      </c>
    </row>
    <row r="311" spans="6:10" x14ac:dyDescent="0.25">
      <c r="F311">
        <v>138</v>
      </c>
      <c r="G311" s="27" t="str">
        <f t="shared" si="128"/>
        <v/>
      </c>
      <c r="H311" t="str">
        <f t="shared" si="129"/>
        <v/>
      </c>
      <c r="I311" t="str">
        <f t="shared" si="130"/>
        <v/>
      </c>
      <c r="J311" s="28" t="str">
        <f t="shared" si="131"/>
        <v/>
      </c>
    </row>
    <row r="312" spans="6:10" x14ac:dyDescent="0.25">
      <c r="F312">
        <v>139</v>
      </c>
      <c r="G312" s="27" t="str">
        <f t="shared" si="128"/>
        <v/>
      </c>
      <c r="H312" t="str">
        <f t="shared" si="129"/>
        <v/>
      </c>
      <c r="I312" t="str">
        <f t="shared" si="130"/>
        <v/>
      </c>
      <c r="J312" s="28" t="str">
        <f t="shared" si="131"/>
        <v/>
      </c>
    </row>
    <row r="313" spans="6:10" x14ac:dyDescent="0.25">
      <c r="F313">
        <v>140</v>
      </c>
      <c r="G313" s="27" t="str">
        <f t="shared" si="128"/>
        <v/>
      </c>
      <c r="H313" t="str">
        <f t="shared" si="129"/>
        <v/>
      </c>
      <c r="I313" t="str">
        <f t="shared" si="130"/>
        <v/>
      </c>
      <c r="J313" s="28" t="str">
        <f t="shared" si="131"/>
        <v/>
      </c>
    </row>
    <row r="314" spans="6:10" x14ac:dyDescent="0.25">
      <c r="F314">
        <v>141</v>
      </c>
      <c r="G314" s="27" t="str">
        <f t="shared" si="128"/>
        <v/>
      </c>
      <c r="H314" t="str">
        <f t="shared" si="129"/>
        <v/>
      </c>
      <c r="I314" t="str">
        <f t="shared" si="130"/>
        <v/>
      </c>
      <c r="J314" s="28" t="str">
        <f t="shared" si="131"/>
        <v/>
      </c>
    </row>
    <row r="315" spans="6:10" x14ac:dyDescent="0.25">
      <c r="F315">
        <v>142</v>
      </c>
      <c r="G315" s="27" t="str">
        <f t="shared" si="128"/>
        <v/>
      </c>
      <c r="H315" t="str">
        <f t="shared" si="129"/>
        <v/>
      </c>
      <c r="I315" t="str">
        <f t="shared" si="130"/>
        <v/>
      </c>
      <c r="J315" s="28" t="str">
        <f t="shared" si="131"/>
        <v/>
      </c>
    </row>
    <row r="316" spans="6:10" x14ac:dyDescent="0.25">
      <c r="F316">
        <v>143</v>
      </c>
      <c r="G316" s="27" t="str">
        <f t="shared" si="128"/>
        <v/>
      </c>
      <c r="H316" t="str">
        <f t="shared" si="129"/>
        <v/>
      </c>
      <c r="I316" t="str">
        <f t="shared" si="130"/>
        <v/>
      </c>
      <c r="J316" s="28" t="str">
        <f t="shared" si="131"/>
        <v/>
      </c>
    </row>
    <row r="317" spans="6:10" x14ac:dyDescent="0.25">
      <c r="F317">
        <v>144</v>
      </c>
      <c r="G317" s="27" t="str">
        <f t="shared" si="128"/>
        <v/>
      </c>
      <c r="H317" t="str">
        <f t="shared" si="129"/>
        <v/>
      </c>
      <c r="I317" t="str">
        <f t="shared" si="130"/>
        <v/>
      </c>
      <c r="J317" s="28" t="str">
        <f t="shared" si="131"/>
        <v/>
      </c>
    </row>
    <row r="318" spans="6:10" x14ac:dyDescent="0.25">
      <c r="F318">
        <v>145</v>
      </c>
      <c r="G318" s="27" t="str">
        <f t="shared" si="128"/>
        <v/>
      </c>
      <c r="H318" t="str">
        <f t="shared" si="129"/>
        <v/>
      </c>
      <c r="I318" t="str">
        <f t="shared" si="130"/>
        <v/>
      </c>
      <c r="J318" s="28" t="str">
        <f t="shared" si="131"/>
        <v/>
      </c>
    </row>
    <row r="319" spans="6:10" x14ac:dyDescent="0.25">
      <c r="F319">
        <v>146</v>
      </c>
      <c r="G319" s="27" t="str">
        <f t="shared" si="128"/>
        <v/>
      </c>
      <c r="H319" t="str">
        <f t="shared" si="129"/>
        <v/>
      </c>
      <c r="I319" t="str">
        <f t="shared" si="130"/>
        <v/>
      </c>
      <c r="J319" s="28" t="str">
        <f t="shared" si="131"/>
        <v/>
      </c>
    </row>
    <row r="320" spans="6:10" x14ac:dyDescent="0.25">
      <c r="F320">
        <v>147</v>
      </c>
      <c r="G320" s="27" t="str">
        <f t="shared" si="128"/>
        <v/>
      </c>
      <c r="H320" t="str">
        <f t="shared" si="129"/>
        <v/>
      </c>
      <c r="I320" t="str">
        <f t="shared" si="130"/>
        <v/>
      </c>
      <c r="J320" s="28" t="str">
        <f t="shared" si="131"/>
        <v/>
      </c>
    </row>
    <row r="321" spans="6:10" x14ac:dyDescent="0.25">
      <c r="F321">
        <v>148</v>
      </c>
      <c r="G321" s="27" t="str">
        <f t="shared" si="128"/>
        <v/>
      </c>
      <c r="H321" t="str">
        <f t="shared" si="129"/>
        <v/>
      </c>
      <c r="I321" t="str">
        <f t="shared" si="130"/>
        <v/>
      </c>
      <c r="J321" s="28" t="str">
        <f t="shared" si="131"/>
        <v/>
      </c>
    </row>
    <row r="322" spans="6:10" x14ac:dyDescent="0.25">
      <c r="F322">
        <v>149</v>
      </c>
      <c r="G322" s="27" t="str">
        <f t="shared" si="128"/>
        <v/>
      </c>
      <c r="H322" t="str">
        <f t="shared" si="129"/>
        <v/>
      </c>
      <c r="I322" t="str">
        <f t="shared" si="130"/>
        <v/>
      </c>
      <c r="J322" s="28" t="str">
        <f t="shared" si="131"/>
        <v/>
      </c>
    </row>
    <row r="323" spans="6:10" x14ac:dyDescent="0.25">
      <c r="F323">
        <v>150</v>
      </c>
      <c r="G323" s="27" t="str">
        <f t="shared" si="128"/>
        <v/>
      </c>
      <c r="H323" t="str">
        <f t="shared" si="129"/>
        <v/>
      </c>
      <c r="I323" t="str">
        <f t="shared" si="130"/>
        <v/>
      </c>
      <c r="J323" s="28" t="str">
        <f t="shared" si="131"/>
        <v/>
      </c>
    </row>
    <row r="324" spans="6:10" x14ac:dyDescent="0.25">
      <c r="F324">
        <v>151</v>
      </c>
      <c r="G324" s="27" t="str">
        <f t="shared" si="128"/>
        <v/>
      </c>
      <c r="H324" t="str">
        <f t="shared" si="129"/>
        <v/>
      </c>
      <c r="I324" t="str">
        <f t="shared" si="130"/>
        <v/>
      </c>
      <c r="J324" s="28" t="str">
        <f t="shared" si="131"/>
        <v/>
      </c>
    </row>
    <row r="325" spans="6:10" x14ac:dyDescent="0.25">
      <c r="F325">
        <v>152</v>
      </c>
      <c r="G325" s="27" t="str">
        <f t="shared" si="128"/>
        <v/>
      </c>
      <c r="H325" t="str">
        <f t="shared" si="129"/>
        <v/>
      </c>
      <c r="I325" t="str">
        <f t="shared" si="130"/>
        <v/>
      </c>
      <c r="J325" s="28" t="str">
        <f t="shared" si="131"/>
        <v/>
      </c>
    </row>
    <row r="326" spans="6:10" x14ac:dyDescent="0.25">
      <c r="F326">
        <v>153</v>
      </c>
      <c r="G326" s="27" t="str">
        <f t="shared" si="128"/>
        <v/>
      </c>
      <c r="H326" t="str">
        <f t="shared" si="129"/>
        <v/>
      </c>
      <c r="I326" t="str">
        <f t="shared" si="130"/>
        <v/>
      </c>
      <c r="J326" s="28" t="str">
        <f t="shared" si="131"/>
        <v/>
      </c>
    </row>
    <row r="327" spans="6:10" x14ac:dyDescent="0.25">
      <c r="F327">
        <v>154</v>
      </c>
      <c r="G327" s="27" t="str">
        <f t="shared" si="128"/>
        <v/>
      </c>
      <c r="H327" t="str">
        <f t="shared" si="129"/>
        <v/>
      </c>
      <c r="I327" t="str">
        <f t="shared" si="130"/>
        <v/>
      </c>
      <c r="J327" s="28" t="str">
        <f t="shared" si="131"/>
        <v/>
      </c>
    </row>
    <row r="328" spans="6:10" x14ac:dyDescent="0.25">
      <c r="F328">
        <v>155</v>
      </c>
      <c r="G328" s="27" t="str">
        <f t="shared" si="128"/>
        <v/>
      </c>
      <c r="H328" t="str">
        <f t="shared" si="129"/>
        <v/>
      </c>
      <c r="I328" t="str">
        <f t="shared" si="130"/>
        <v/>
      </c>
      <c r="J328" s="28" t="str">
        <f t="shared" si="131"/>
        <v/>
      </c>
    </row>
    <row r="329" spans="6:10" x14ac:dyDescent="0.25">
      <c r="F329">
        <v>156</v>
      </c>
      <c r="G329" s="27" t="str">
        <f t="shared" si="128"/>
        <v/>
      </c>
      <c r="H329" t="str">
        <f t="shared" si="129"/>
        <v/>
      </c>
      <c r="I329" t="str">
        <f t="shared" si="130"/>
        <v/>
      </c>
      <c r="J329" s="28" t="str">
        <f t="shared" si="131"/>
        <v/>
      </c>
    </row>
    <row r="330" spans="6:10" x14ac:dyDescent="0.25">
      <c r="F330">
        <v>157</v>
      </c>
      <c r="G330" s="27" t="str">
        <f t="shared" si="128"/>
        <v/>
      </c>
      <c r="H330" t="str">
        <f t="shared" si="129"/>
        <v/>
      </c>
      <c r="I330" t="str">
        <f t="shared" si="130"/>
        <v/>
      </c>
      <c r="J330" s="28" t="str">
        <f t="shared" si="131"/>
        <v/>
      </c>
    </row>
    <row r="331" spans="6:10" x14ac:dyDescent="0.25">
      <c r="F331">
        <v>158</v>
      </c>
      <c r="G331" s="27" t="str">
        <f t="shared" si="128"/>
        <v/>
      </c>
      <c r="H331" t="str">
        <f t="shared" si="129"/>
        <v/>
      </c>
      <c r="I331" t="str">
        <f t="shared" si="130"/>
        <v/>
      </c>
      <c r="J331" s="28" t="str">
        <f t="shared" si="131"/>
        <v/>
      </c>
    </row>
    <row r="332" spans="6:10" x14ac:dyDescent="0.25">
      <c r="F332">
        <v>159</v>
      </c>
      <c r="G332" s="27" t="str">
        <f t="shared" si="128"/>
        <v/>
      </c>
      <c r="H332" t="str">
        <f t="shared" si="129"/>
        <v/>
      </c>
      <c r="I332" t="str">
        <f t="shared" si="130"/>
        <v/>
      </c>
      <c r="J332" s="28" t="str">
        <f t="shared" si="131"/>
        <v/>
      </c>
    </row>
    <row r="333" spans="6:10" x14ac:dyDescent="0.25">
      <c r="F333">
        <v>160</v>
      </c>
      <c r="G333" s="29" t="str">
        <f t="shared" si="128"/>
        <v/>
      </c>
      <c r="H333" s="30" t="str">
        <f t="shared" si="129"/>
        <v/>
      </c>
      <c r="I333" s="30" t="str">
        <f t="shared" si="130"/>
        <v/>
      </c>
      <c r="J333" s="31" t="str">
        <f t="shared" si="131"/>
        <v/>
      </c>
    </row>
  </sheetData>
  <mergeCells count="16">
    <mergeCell ref="G5:J5"/>
    <mergeCell ref="O6:U6"/>
    <mergeCell ref="N172:T172"/>
    <mergeCell ref="AL172:AR172"/>
    <mergeCell ref="S7:T7"/>
    <mergeCell ref="AD172:AJ172"/>
    <mergeCell ref="AL173:AR173"/>
    <mergeCell ref="N173:T173"/>
    <mergeCell ref="O5:U5"/>
    <mergeCell ref="O89:U89"/>
    <mergeCell ref="AD173:AJ173"/>
    <mergeCell ref="V172:AB172"/>
    <mergeCell ref="O90:U90"/>
    <mergeCell ref="G172:J172"/>
    <mergeCell ref="G89:J89"/>
    <mergeCell ref="V173:AB173"/>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pageSetUpPr fitToPage="1"/>
  </sheetPr>
  <dimension ref="B2:H40"/>
  <sheetViews>
    <sheetView view="pageBreakPreview" topLeftCell="A20" zoomScaleNormal="100" zoomScaleSheetLayoutView="100" workbookViewId="0">
      <selection activeCell="C39" sqref="C39"/>
    </sheetView>
  </sheetViews>
  <sheetFormatPr defaultRowHeight="15" x14ac:dyDescent="0.25"/>
  <cols>
    <col min="2" max="2" width="26" customWidth="1"/>
    <col min="3" max="7" width="17.42578125" customWidth="1"/>
    <col min="8" max="8" width="13.7109375" bestFit="1" customWidth="1"/>
  </cols>
  <sheetData>
    <row r="2" spans="2:7" ht="15" customHeight="1" x14ac:dyDescent="0.25">
      <c r="B2" s="203" t="s">
        <v>442</v>
      </c>
      <c r="C2" s="581" t="str">
        <f>Inputs!B1</f>
        <v xml:space="preserve">Customer </v>
      </c>
      <c r="D2" s="554"/>
    </row>
    <row r="3" spans="2:7" ht="15.75" customHeight="1" x14ac:dyDescent="0.25">
      <c r="B3" s="204" t="s">
        <v>443</v>
      </c>
      <c r="C3" s="583" t="str">
        <f>Inputs!B2</f>
        <v xml:space="preserve">Project </v>
      </c>
      <c r="D3" s="556"/>
    </row>
    <row r="4" spans="2:7" ht="15.75" customHeight="1" x14ac:dyDescent="0.25">
      <c r="B4" s="205" t="s">
        <v>444</v>
      </c>
      <c r="C4" s="584" t="str">
        <f>Inputs!B3</f>
        <v xml:space="preserve">City, State Zip </v>
      </c>
      <c r="D4" s="561"/>
    </row>
    <row r="5" spans="2:7" ht="15.75" customHeight="1" thickBot="1" x14ac:dyDescent="0.3"/>
    <row r="6" spans="2:7" ht="21" customHeight="1" x14ac:dyDescent="0.25">
      <c r="B6" s="582" t="str">
        <f>"Maximum Module Pressures - "&amp;Inputs!B33&amp;" Degree - "&amp;Inputs!B51</f>
        <v>Maximum Module Pressures - XX Degree - Stow</v>
      </c>
      <c r="C6" s="547"/>
      <c r="D6" s="547"/>
      <c r="E6" s="547"/>
      <c r="F6" s="547"/>
      <c r="G6" s="548"/>
    </row>
    <row r="7" spans="2:7" ht="15.75" customHeight="1" thickBot="1" x14ac:dyDescent="0.3">
      <c r="B7" s="550"/>
      <c r="C7" s="551"/>
      <c r="D7" s="551"/>
      <c r="E7" s="551"/>
      <c r="F7" s="551"/>
      <c r="G7" s="552"/>
    </row>
    <row r="8" spans="2:7" ht="15.75" customHeight="1" thickBot="1" x14ac:dyDescent="0.3"/>
    <row r="9" spans="2:7" ht="15.75" customHeight="1" thickBot="1" x14ac:dyDescent="0.3">
      <c r="B9" s="199" t="s">
        <v>445</v>
      </c>
      <c r="C9" s="452" t="s">
        <v>446</v>
      </c>
      <c r="D9" s="189" t="s">
        <v>447</v>
      </c>
      <c r="E9" s="190" t="s">
        <v>448</v>
      </c>
      <c r="F9" s="191" t="s">
        <v>449</v>
      </c>
      <c r="G9" s="192" t="s">
        <v>450</v>
      </c>
    </row>
    <row r="10" spans="2:7" x14ac:dyDescent="0.25">
      <c r="B10" s="187" t="s">
        <v>6</v>
      </c>
      <c r="C10" s="160">
        <f>GCN_Module!CE4</f>
        <v>0</v>
      </c>
      <c r="D10" s="160">
        <f>GCN_Module!CE5</f>
        <v>0</v>
      </c>
      <c r="E10" s="160">
        <f>GCN_Module!CE6</f>
        <v>0</v>
      </c>
      <c r="F10" s="160">
        <f>GCN_Module!CE7</f>
        <v>0</v>
      </c>
      <c r="G10" s="186">
        <f>GCN_Module!CE8</f>
        <v>0</v>
      </c>
    </row>
    <row r="11" spans="2:7" ht="15.75" customHeight="1" thickBot="1" x14ac:dyDescent="0.3">
      <c r="B11" s="188" t="s">
        <v>7</v>
      </c>
      <c r="C11" s="456">
        <f>GCN_Module!CE9</f>
        <v>0</v>
      </c>
      <c r="D11" s="456">
        <f>GCN_Module!CE10</f>
        <v>0</v>
      </c>
      <c r="E11" s="456">
        <f>GCN_Module!CE11</f>
        <v>0</v>
      </c>
      <c r="F11" s="456">
        <f>GCN_Module!CE12</f>
        <v>0</v>
      </c>
      <c r="G11" s="457">
        <f>GCN_Module!CE13</f>
        <v>0</v>
      </c>
    </row>
    <row r="12" spans="2:7" ht="15.75" customHeight="1" thickBot="1" x14ac:dyDescent="0.3"/>
    <row r="13" spans="2:7" ht="15.75" customHeight="1" thickBot="1" x14ac:dyDescent="0.3">
      <c r="B13" s="199" t="s">
        <v>451</v>
      </c>
      <c r="C13" s="452" t="s">
        <v>446</v>
      </c>
      <c r="D13" s="189" t="s">
        <v>447</v>
      </c>
      <c r="E13" s="190" t="s">
        <v>448</v>
      </c>
      <c r="F13" s="191" t="s">
        <v>449</v>
      </c>
      <c r="G13" s="192" t="s">
        <v>450</v>
      </c>
    </row>
    <row r="14" spans="2:7" x14ac:dyDescent="0.25">
      <c r="B14" s="187" t="s">
        <v>452</v>
      </c>
      <c r="C14" s="458" t="e">
        <f>Inputs!$B$39*C10</f>
        <v>#VALUE!</v>
      </c>
      <c r="D14" s="459" t="e">
        <f>Inputs!$B$39*D10</f>
        <v>#VALUE!</v>
      </c>
      <c r="E14" s="459" t="e">
        <f>Inputs!$B$39*E10</f>
        <v>#VALUE!</v>
      </c>
      <c r="F14" s="459" t="e">
        <f>Inputs!$B$39*F10</f>
        <v>#VALUE!</v>
      </c>
      <c r="G14" s="460" t="e">
        <f>Inputs!$B$39*G10</f>
        <v>#VALUE!</v>
      </c>
    </row>
    <row r="15" spans="2:7" x14ac:dyDescent="0.25">
      <c r="B15" s="187" t="s">
        <v>453</v>
      </c>
      <c r="C15" s="461" t="e">
        <f>Inputs!$B$39*C11</f>
        <v>#VALUE!</v>
      </c>
      <c r="D15" s="160" t="e">
        <f>Inputs!$B$39*D11</f>
        <v>#VALUE!</v>
      </c>
      <c r="E15" s="160" t="e">
        <f>Inputs!$B$39*E11</f>
        <v>#VALUE!</v>
      </c>
      <c r="F15" s="160" t="e">
        <f>Inputs!$B$39*F11</f>
        <v>#VALUE!</v>
      </c>
      <c r="G15" s="186" t="e">
        <f>Inputs!$B$39*G11</f>
        <v>#VALUE!</v>
      </c>
    </row>
    <row r="16" spans="2:7" x14ac:dyDescent="0.25">
      <c r="B16" s="187" t="s">
        <v>454</v>
      </c>
      <c r="C16" s="461" t="e">
        <f>Inputs!$B$28*COS(Radians)</f>
        <v>#VALUE!</v>
      </c>
      <c r="D16" s="160" t="e">
        <f>Inputs!$B$28*COS(Radians)</f>
        <v>#VALUE!</v>
      </c>
      <c r="E16" s="160" t="e">
        <f>Inputs!$B$28*COS(Radians)</f>
        <v>#VALUE!</v>
      </c>
      <c r="F16" s="160" t="e">
        <f>Inputs!$B$28*COS(Radians)</f>
        <v>#VALUE!</v>
      </c>
      <c r="G16" s="186" t="e">
        <f>Inputs!$B$28*COS(Radians)</f>
        <v>#VALUE!</v>
      </c>
    </row>
    <row r="17" spans="2:7" ht="15.75" hidden="1" customHeight="1" thickBot="1" x14ac:dyDescent="0.3">
      <c r="B17" s="188" t="s">
        <v>455</v>
      </c>
      <c r="C17" s="462" t="e">
        <f>Inputs!$B$32*0</f>
        <v>#VALUE!</v>
      </c>
      <c r="D17" s="462" t="e">
        <f>Inputs!$B$32*0</f>
        <v>#VALUE!</v>
      </c>
      <c r="E17" s="462" t="e">
        <f>Inputs!$B$32*0</f>
        <v>#VALUE!</v>
      </c>
      <c r="F17" s="462" t="e">
        <f>Inputs!$B$32*0</f>
        <v>#VALUE!</v>
      </c>
      <c r="G17" s="462" t="e">
        <f>Inputs!$B$32*0</f>
        <v>#VALUE!</v>
      </c>
    </row>
    <row r="18" spans="2:7" ht="15.75" customHeight="1" thickBot="1" x14ac:dyDescent="0.3"/>
    <row r="19" spans="2:7" ht="15.75" customHeight="1" thickBot="1" x14ac:dyDescent="0.3">
      <c r="B19" s="199" t="s">
        <v>456</v>
      </c>
      <c r="C19" s="453" t="s">
        <v>446</v>
      </c>
      <c r="D19" s="195" t="s">
        <v>447</v>
      </c>
      <c r="E19" s="196" t="s">
        <v>448</v>
      </c>
      <c r="F19" s="197" t="s">
        <v>449</v>
      </c>
      <c r="G19" s="198" t="s">
        <v>450</v>
      </c>
    </row>
    <row r="20" spans="2:7" x14ac:dyDescent="0.25">
      <c r="B20" s="187" t="s">
        <v>457</v>
      </c>
      <c r="C20" s="458" t="e">
        <f>0.6*C14</f>
        <v>#VALUE!</v>
      </c>
      <c r="D20" s="459" t="e">
        <f>0.6*D14</f>
        <v>#VALUE!</v>
      </c>
      <c r="E20" s="459" t="e">
        <f>0.6*E14</f>
        <v>#VALUE!</v>
      </c>
      <c r="F20" s="459" t="e">
        <f>0.6*F14</f>
        <v>#VALUE!</v>
      </c>
      <c r="G20" s="460" t="e">
        <f>0.6*G14</f>
        <v>#VALUE!</v>
      </c>
    </row>
    <row r="21" spans="2:7" x14ac:dyDescent="0.25">
      <c r="B21" s="187" t="s">
        <v>458</v>
      </c>
      <c r="C21" s="461" t="e">
        <f>C17+0.6*C15</f>
        <v>#VALUE!</v>
      </c>
      <c r="D21" s="160" t="e">
        <f>D17+0.6*D15</f>
        <v>#VALUE!</v>
      </c>
      <c r="E21" s="160" t="e">
        <f>E17+0.6*E15</f>
        <v>#VALUE!</v>
      </c>
      <c r="F21" s="160" t="e">
        <f>F17+0.6*F15</f>
        <v>#VALUE!</v>
      </c>
      <c r="G21" s="186" t="e">
        <f>G17+0.6*G15</f>
        <v>#VALUE!</v>
      </c>
    </row>
    <row r="22" spans="2:7" x14ac:dyDescent="0.25">
      <c r="B22" s="187" t="s">
        <v>457</v>
      </c>
      <c r="C22" s="461" t="e">
        <f>0.6*C17+0.6*C14</f>
        <v>#VALUE!</v>
      </c>
      <c r="D22" s="160" t="e">
        <f>0.6*D17+0.6*D14</f>
        <v>#VALUE!</v>
      </c>
      <c r="E22" s="160" t="e">
        <f>0.6*E17+0.6*E14</f>
        <v>#VALUE!</v>
      </c>
      <c r="F22" s="160" t="e">
        <f>0.6*F17+0.6*F14</f>
        <v>#VALUE!</v>
      </c>
      <c r="G22" s="186" t="e">
        <f>0.6*G17+0.6*G14</f>
        <v>#VALUE!</v>
      </c>
    </row>
    <row r="23" spans="2:7" x14ac:dyDescent="0.25">
      <c r="B23" s="187" t="s">
        <v>458</v>
      </c>
      <c r="C23" s="461" t="e">
        <f>0.6*C17+0.6*C15</f>
        <v>#VALUE!</v>
      </c>
      <c r="D23" s="160" t="e">
        <f>0.6*D17+0.6*D15</f>
        <v>#VALUE!</v>
      </c>
      <c r="E23" s="160" t="e">
        <f>0.6*E17+0.6*E15</f>
        <v>#VALUE!</v>
      </c>
      <c r="F23" s="160" t="e">
        <f>0.6*F17+0.6*F15</f>
        <v>#VALUE!</v>
      </c>
      <c r="G23" s="186" t="e">
        <f>0.6*G17+0.6*G15</f>
        <v>#VALUE!</v>
      </c>
    </row>
    <row r="24" spans="2:7" x14ac:dyDescent="0.25">
      <c r="B24" s="187" t="s">
        <v>459</v>
      </c>
      <c r="C24" s="461" t="e">
        <f>0.7*C16+C17</f>
        <v>#VALUE!</v>
      </c>
      <c r="D24" s="160" t="e">
        <f>0.7*D16+D17</f>
        <v>#VALUE!</v>
      </c>
      <c r="E24" s="160" t="e">
        <f>0.7*E16+E17</f>
        <v>#VALUE!</v>
      </c>
      <c r="F24" s="160" t="e">
        <f>0.7*F16+F17</f>
        <v>#VALUE!</v>
      </c>
      <c r="G24" s="186" t="e">
        <f>0.7*G16+G17</f>
        <v>#VALUE!</v>
      </c>
    </row>
    <row r="25" spans="2:7" x14ac:dyDescent="0.25">
      <c r="B25" s="187" t="s">
        <v>460</v>
      </c>
      <c r="C25" s="461" t="e">
        <f>C17+0.45*C14+0.525*C16</f>
        <v>#VALUE!</v>
      </c>
      <c r="D25" s="160" t="e">
        <f>D17+0.45*D14+0.525*D16</f>
        <v>#VALUE!</v>
      </c>
      <c r="E25" s="160" t="e">
        <f>E17+0.45*E14+0.525*E16</f>
        <v>#VALUE!</v>
      </c>
      <c r="F25" s="160" t="e">
        <f>F17+0.45*F14+0.525*F16</f>
        <v>#VALUE!</v>
      </c>
      <c r="G25" s="186" t="e">
        <f>G17+0.45*G14+0.525*G16</f>
        <v>#VALUE!</v>
      </c>
    </row>
    <row r="26" spans="2:7" ht="15.75" customHeight="1" thickBot="1" x14ac:dyDescent="0.3">
      <c r="B26" s="188" t="s">
        <v>461</v>
      </c>
      <c r="C26" s="462" t="e">
        <f>C17+0.45*C15+0.75*C16</f>
        <v>#VALUE!</v>
      </c>
      <c r="D26" s="193" t="e">
        <f>D17+0.45*D15+0.75*D16</f>
        <v>#VALUE!</v>
      </c>
      <c r="E26" s="193" t="e">
        <f>E17+0.45*E15+0.75*E16</f>
        <v>#VALUE!</v>
      </c>
      <c r="F26" s="193" t="e">
        <f>F17+0.45*F15+0.75*F16</f>
        <v>#VALUE!</v>
      </c>
      <c r="G26" s="194" t="e">
        <f>G17+0.45*G15+0.75*G16</f>
        <v>#VALUE!</v>
      </c>
    </row>
    <row r="27" spans="2:7" ht="15.75" customHeight="1" thickBot="1" x14ac:dyDescent="0.3"/>
    <row r="28" spans="2:7" ht="15.75" customHeight="1" thickBot="1" x14ac:dyDescent="0.3">
      <c r="B28" s="199" t="s">
        <v>456</v>
      </c>
      <c r="C28" s="453" t="s">
        <v>462</v>
      </c>
      <c r="D28" s="195" t="s">
        <v>463</v>
      </c>
      <c r="E28" s="196" t="s">
        <v>464</v>
      </c>
      <c r="F28" s="197" t="s">
        <v>465</v>
      </c>
      <c r="G28" s="198" t="s">
        <v>466</v>
      </c>
    </row>
    <row r="29" spans="2:7" x14ac:dyDescent="0.25">
      <c r="B29" s="187" t="s">
        <v>457</v>
      </c>
      <c r="C29" s="160" t="e">
        <f t="shared" ref="C29:G35" si="0">C20*47.8802</f>
        <v>#VALUE!</v>
      </c>
      <c r="D29" s="160" t="e">
        <f t="shared" si="0"/>
        <v>#VALUE!</v>
      </c>
      <c r="E29" s="160" t="e">
        <f t="shared" si="0"/>
        <v>#VALUE!</v>
      </c>
      <c r="F29" s="160" t="e">
        <f t="shared" si="0"/>
        <v>#VALUE!</v>
      </c>
      <c r="G29" s="186" t="e">
        <f t="shared" si="0"/>
        <v>#VALUE!</v>
      </c>
    </row>
    <row r="30" spans="2:7" x14ac:dyDescent="0.25">
      <c r="B30" s="187" t="s">
        <v>458</v>
      </c>
      <c r="C30" s="160" t="e">
        <f t="shared" si="0"/>
        <v>#VALUE!</v>
      </c>
      <c r="D30" s="160" t="e">
        <f t="shared" si="0"/>
        <v>#VALUE!</v>
      </c>
      <c r="E30" s="160" t="e">
        <f t="shared" si="0"/>
        <v>#VALUE!</v>
      </c>
      <c r="F30" s="160" t="e">
        <f t="shared" si="0"/>
        <v>#VALUE!</v>
      </c>
      <c r="G30" s="186" t="e">
        <f t="shared" si="0"/>
        <v>#VALUE!</v>
      </c>
    </row>
    <row r="31" spans="2:7" x14ac:dyDescent="0.25">
      <c r="B31" s="187" t="s">
        <v>457</v>
      </c>
      <c r="C31" s="160" t="e">
        <f t="shared" si="0"/>
        <v>#VALUE!</v>
      </c>
      <c r="D31" s="160" t="e">
        <f t="shared" si="0"/>
        <v>#VALUE!</v>
      </c>
      <c r="E31" s="160" t="e">
        <f t="shared" si="0"/>
        <v>#VALUE!</v>
      </c>
      <c r="F31" s="160" t="e">
        <f t="shared" si="0"/>
        <v>#VALUE!</v>
      </c>
      <c r="G31" s="186" t="e">
        <f t="shared" si="0"/>
        <v>#VALUE!</v>
      </c>
    </row>
    <row r="32" spans="2:7" x14ac:dyDescent="0.25">
      <c r="B32" s="187" t="s">
        <v>458</v>
      </c>
      <c r="C32" s="160" t="e">
        <f t="shared" si="0"/>
        <v>#VALUE!</v>
      </c>
      <c r="D32" s="160" t="e">
        <f t="shared" si="0"/>
        <v>#VALUE!</v>
      </c>
      <c r="E32" s="160" t="e">
        <f t="shared" si="0"/>
        <v>#VALUE!</v>
      </c>
      <c r="F32" s="160" t="e">
        <f t="shared" si="0"/>
        <v>#VALUE!</v>
      </c>
      <c r="G32" s="186" t="e">
        <f t="shared" si="0"/>
        <v>#VALUE!</v>
      </c>
    </row>
    <row r="33" spans="2:8" x14ac:dyDescent="0.25">
      <c r="B33" s="187" t="s">
        <v>467</v>
      </c>
      <c r="C33" s="160" t="e">
        <f t="shared" si="0"/>
        <v>#VALUE!</v>
      </c>
      <c r="D33" s="160" t="e">
        <f t="shared" si="0"/>
        <v>#VALUE!</v>
      </c>
      <c r="E33" s="160" t="e">
        <f t="shared" si="0"/>
        <v>#VALUE!</v>
      </c>
      <c r="F33" s="160" t="e">
        <f t="shared" si="0"/>
        <v>#VALUE!</v>
      </c>
      <c r="G33" s="186" t="e">
        <f t="shared" si="0"/>
        <v>#VALUE!</v>
      </c>
    </row>
    <row r="34" spans="2:8" x14ac:dyDescent="0.25">
      <c r="B34" s="187" t="s">
        <v>460</v>
      </c>
      <c r="C34" s="160" t="e">
        <f t="shared" si="0"/>
        <v>#VALUE!</v>
      </c>
      <c r="D34" s="160" t="e">
        <f t="shared" si="0"/>
        <v>#VALUE!</v>
      </c>
      <c r="E34" s="160" t="e">
        <f t="shared" si="0"/>
        <v>#VALUE!</v>
      </c>
      <c r="F34" s="160" t="e">
        <f t="shared" si="0"/>
        <v>#VALUE!</v>
      </c>
      <c r="G34" s="186" t="e">
        <f t="shared" si="0"/>
        <v>#VALUE!</v>
      </c>
    </row>
    <row r="35" spans="2:8" ht="15.75" customHeight="1" thickBot="1" x14ac:dyDescent="0.3">
      <c r="B35" s="188" t="s">
        <v>461</v>
      </c>
      <c r="C35" s="193" t="e">
        <f t="shared" si="0"/>
        <v>#VALUE!</v>
      </c>
      <c r="D35" s="193" t="e">
        <f t="shared" si="0"/>
        <v>#VALUE!</v>
      </c>
      <c r="E35" s="193" t="e">
        <f t="shared" si="0"/>
        <v>#VALUE!</v>
      </c>
      <c r="F35" s="193" t="e">
        <f t="shared" si="0"/>
        <v>#VALUE!</v>
      </c>
      <c r="G35" s="194" t="e">
        <f t="shared" si="0"/>
        <v>#VALUE!</v>
      </c>
    </row>
    <row r="38" spans="2:8" x14ac:dyDescent="0.25">
      <c r="B38" s="201"/>
      <c r="C38" s="580" t="s">
        <v>468</v>
      </c>
      <c r="D38" s="563"/>
      <c r="E38" s="201"/>
      <c r="F38" s="580" t="s">
        <v>469</v>
      </c>
      <c r="G38" s="563"/>
      <c r="H38" s="201" t="s">
        <v>470</v>
      </c>
    </row>
    <row r="39" spans="2:8" x14ac:dyDescent="0.25">
      <c r="B39" s="202" t="s">
        <v>471</v>
      </c>
      <c r="C39" s="35">
        <v>1600</v>
      </c>
      <c r="D39" s="35" t="s">
        <v>472</v>
      </c>
      <c r="E39" s="35" t="e">
        <f>IF(C39&gt;F39,"&gt;","&lt;")</f>
        <v>#VALUE!</v>
      </c>
      <c r="F39" s="200" t="e">
        <f>ABS(MIN(C29:G35))</f>
        <v>#VALUE!</v>
      </c>
      <c r="G39" s="35" t="s">
        <v>472</v>
      </c>
      <c r="H39" s="35" t="e">
        <f>IF(C39&gt;F39,"Good","No Good")</f>
        <v>#VALUE!</v>
      </c>
    </row>
    <row r="40" spans="2:8" x14ac:dyDescent="0.25">
      <c r="B40" s="202" t="s">
        <v>473</v>
      </c>
      <c r="C40" s="35">
        <v>1800</v>
      </c>
      <c r="D40" s="35" t="s">
        <v>472</v>
      </c>
      <c r="E40" s="35" t="e">
        <f>IF(C40&gt;F40,"&gt;","&lt;")</f>
        <v>#VALUE!</v>
      </c>
      <c r="F40" s="200" t="e">
        <f>ABS(MAX(C29:G35))</f>
        <v>#VALUE!</v>
      </c>
      <c r="G40" s="35" t="s">
        <v>472</v>
      </c>
      <c r="H40" s="35" t="e">
        <f>IF(C40&gt;F40,"Good","No Good")</f>
        <v>#VALUE!</v>
      </c>
    </row>
  </sheetData>
  <mergeCells count="6">
    <mergeCell ref="C38:D38"/>
    <mergeCell ref="C2:D2"/>
    <mergeCell ref="F38:G38"/>
    <mergeCell ref="B6:G7"/>
    <mergeCell ref="C3:D3"/>
    <mergeCell ref="C4:D4"/>
  </mergeCells>
  <pageMargins left="0.7" right="0.7" top="0.75" bottom="0.75" header="0.3" footer="0.3"/>
  <pageSetup scale="82"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B2:H40"/>
  <sheetViews>
    <sheetView view="pageBreakPreview" topLeftCell="A20" zoomScaleNormal="100" zoomScaleSheetLayoutView="100" workbookViewId="0">
      <selection activeCell="C39" sqref="C39"/>
    </sheetView>
  </sheetViews>
  <sheetFormatPr defaultRowHeight="15" x14ac:dyDescent="0.25"/>
  <cols>
    <col min="2" max="2" width="26" customWidth="1"/>
    <col min="3" max="7" width="17.42578125" customWidth="1"/>
    <col min="8" max="8" width="13.7109375" bestFit="1" customWidth="1"/>
  </cols>
  <sheetData>
    <row r="2" spans="2:7" ht="15" customHeight="1" x14ac:dyDescent="0.25">
      <c r="B2" s="203" t="s">
        <v>442</v>
      </c>
      <c r="C2" s="581" t="str">
        <f>Inputs!B1</f>
        <v xml:space="preserve">Customer </v>
      </c>
      <c r="D2" s="554"/>
    </row>
    <row r="3" spans="2:7" ht="15.75" customHeight="1" x14ac:dyDescent="0.25">
      <c r="B3" s="204" t="s">
        <v>443</v>
      </c>
      <c r="C3" s="583" t="str">
        <f>Inputs!B2</f>
        <v xml:space="preserve">Project </v>
      </c>
      <c r="D3" s="556"/>
    </row>
    <row r="4" spans="2:7" ht="15.75" customHeight="1" x14ac:dyDescent="0.25">
      <c r="B4" s="205" t="s">
        <v>444</v>
      </c>
      <c r="C4" s="584" t="str">
        <f>Inputs!B3</f>
        <v xml:space="preserve">City, State Zip </v>
      </c>
      <c r="D4" s="561"/>
    </row>
    <row r="5" spans="2:7" ht="15.75" customHeight="1" thickBot="1" x14ac:dyDescent="0.3"/>
    <row r="6" spans="2:7" ht="21" customHeight="1" x14ac:dyDescent="0.25">
      <c r="B6" s="582" t="str">
        <f>"Maximum Module Pressures - "&amp;Inputs!B33&amp;" Degree - "&amp;Inputs!B51</f>
        <v>Maximum Module Pressures - XX Degree - Stow</v>
      </c>
      <c r="C6" s="547"/>
      <c r="D6" s="547"/>
      <c r="E6" s="547"/>
      <c r="F6" s="547"/>
      <c r="G6" s="548"/>
    </row>
    <row r="7" spans="2:7" ht="15.75" customHeight="1" thickBot="1" x14ac:dyDescent="0.3">
      <c r="B7" s="550"/>
      <c r="C7" s="551"/>
      <c r="D7" s="551"/>
      <c r="E7" s="551"/>
      <c r="F7" s="551"/>
      <c r="G7" s="552"/>
    </row>
    <row r="8" spans="2:7" ht="15.75" customHeight="1" thickBot="1" x14ac:dyDescent="0.3"/>
    <row r="9" spans="2:7" ht="15.75" customHeight="1" thickBot="1" x14ac:dyDescent="0.3">
      <c r="B9" s="199" t="s">
        <v>445</v>
      </c>
      <c r="C9" s="452" t="s">
        <v>446</v>
      </c>
      <c r="D9" s="189" t="s">
        <v>447</v>
      </c>
      <c r="E9" s="190" t="s">
        <v>448</v>
      </c>
      <c r="F9" s="191" t="s">
        <v>449</v>
      </c>
      <c r="G9" s="192" t="s">
        <v>450</v>
      </c>
    </row>
    <row r="10" spans="2:7" x14ac:dyDescent="0.25">
      <c r="B10" s="187" t="s">
        <v>6</v>
      </c>
      <c r="C10" s="160">
        <f>GCN_Module!CE4</f>
        <v>0</v>
      </c>
      <c r="D10" s="160">
        <f>GCN_Module!CE5</f>
        <v>0</v>
      </c>
      <c r="E10" s="160">
        <f>GCN_Module!CE6</f>
        <v>0</v>
      </c>
      <c r="F10" s="160">
        <f>GCN_Module!CE7</f>
        <v>0</v>
      </c>
      <c r="G10" s="186">
        <f>GCN_Module!CE8</f>
        <v>0</v>
      </c>
    </row>
    <row r="11" spans="2:7" ht="15.75" customHeight="1" thickBot="1" x14ac:dyDescent="0.3">
      <c r="B11" s="188" t="s">
        <v>7</v>
      </c>
      <c r="C11" s="456">
        <f>GCN_Module!CE9</f>
        <v>0</v>
      </c>
      <c r="D11" s="456">
        <f>GCN_Module!CE10</f>
        <v>0</v>
      </c>
      <c r="E11" s="456">
        <f>GCN_Module!CE11</f>
        <v>0</v>
      </c>
      <c r="F11" s="456">
        <f>GCN_Module!CE12</f>
        <v>0</v>
      </c>
      <c r="G11" s="457">
        <f>GCN_Module!CE13</f>
        <v>0</v>
      </c>
    </row>
    <row r="12" spans="2:7" ht="15.75" customHeight="1" thickBot="1" x14ac:dyDescent="0.3"/>
    <row r="13" spans="2:7" ht="15.75" customHeight="1" thickBot="1" x14ac:dyDescent="0.3">
      <c r="B13" s="199" t="s">
        <v>451</v>
      </c>
      <c r="C13" s="452" t="s">
        <v>446</v>
      </c>
      <c r="D13" s="189" t="s">
        <v>447</v>
      </c>
      <c r="E13" s="190" t="s">
        <v>448</v>
      </c>
      <c r="F13" s="191" t="s">
        <v>449</v>
      </c>
      <c r="G13" s="192" t="s">
        <v>450</v>
      </c>
    </row>
    <row r="14" spans="2:7" x14ac:dyDescent="0.25">
      <c r="B14" s="187" t="s">
        <v>452</v>
      </c>
      <c r="C14" s="458" t="e">
        <f>Inputs!$B$39*C10</f>
        <v>#VALUE!</v>
      </c>
      <c r="D14" s="459" t="e">
        <f>Inputs!$B$39*D10</f>
        <v>#VALUE!</v>
      </c>
      <c r="E14" s="459" t="e">
        <f>Inputs!$B$39*E10</f>
        <v>#VALUE!</v>
      </c>
      <c r="F14" s="459" t="e">
        <f>Inputs!$B$39*F10</f>
        <v>#VALUE!</v>
      </c>
      <c r="G14" s="460" t="e">
        <f>Inputs!$B$39*G10</f>
        <v>#VALUE!</v>
      </c>
    </row>
    <row r="15" spans="2:7" x14ac:dyDescent="0.25">
      <c r="B15" s="187" t="s">
        <v>453</v>
      </c>
      <c r="C15" s="461" t="e">
        <f>Inputs!$B$39*C11</f>
        <v>#VALUE!</v>
      </c>
      <c r="D15" s="160" t="e">
        <f>Inputs!$B$39*D11</f>
        <v>#VALUE!</v>
      </c>
      <c r="E15" s="160" t="e">
        <f>Inputs!$B$39*E11</f>
        <v>#VALUE!</v>
      </c>
      <c r="F15" s="160" t="e">
        <f>Inputs!$B$39*F11</f>
        <v>#VALUE!</v>
      </c>
      <c r="G15" s="186" t="e">
        <f>Inputs!$B$39*G11</f>
        <v>#VALUE!</v>
      </c>
    </row>
    <row r="16" spans="2:7" x14ac:dyDescent="0.25">
      <c r="B16" s="187" t="s">
        <v>454</v>
      </c>
      <c r="C16" s="461" t="e">
        <f>Inputs!$B$28*COS(Radians)</f>
        <v>#VALUE!</v>
      </c>
      <c r="D16" s="160" t="e">
        <f>Inputs!$B$28*COS(Radians)</f>
        <v>#VALUE!</v>
      </c>
      <c r="E16" s="160" t="e">
        <f>Inputs!$B$28*COS(Radians)</f>
        <v>#VALUE!</v>
      </c>
      <c r="F16" s="160" t="e">
        <f>Inputs!$B$28*COS(Radians)</f>
        <v>#VALUE!</v>
      </c>
      <c r="G16" s="186" t="e">
        <f>Inputs!$B$28*COS(Radians)</f>
        <v>#VALUE!</v>
      </c>
    </row>
    <row r="17" spans="2:7" ht="15.75" hidden="1" customHeight="1" thickBot="1" x14ac:dyDescent="0.3">
      <c r="B17" s="188" t="s">
        <v>455</v>
      </c>
      <c r="C17" s="462" t="e">
        <f>Inputs!$B$32*0</f>
        <v>#VALUE!</v>
      </c>
      <c r="D17" s="462" t="e">
        <f>Inputs!$B$32*0</f>
        <v>#VALUE!</v>
      </c>
      <c r="E17" s="462" t="e">
        <f>Inputs!$B$32*0</f>
        <v>#VALUE!</v>
      </c>
      <c r="F17" s="462" t="e">
        <f>Inputs!$B$32*0</f>
        <v>#VALUE!</v>
      </c>
      <c r="G17" s="462" t="e">
        <f>Inputs!$B$32*0</f>
        <v>#VALUE!</v>
      </c>
    </row>
    <row r="18" spans="2:7" ht="15.75" customHeight="1" thickBot="1" x14ac:dyDescent="0.3"/>
    <row r="19" spans="2:7" ht="15.75" customHeight="1" thickBot="1" x14ac:dyDescent="0.3">
      <c r="B19" s="199" t="s">
        <v>456</v>
      </c>
      <c r="C19" s="453" t="s">
        <v>446</v>
      </c>
      <c r="D19" s="195" t="s">
        <v>447</v>
      </c>
      <c r="E19" s="196" t="s">
        <v>448</v>
      </c>
      <c r="F19" s="197" t="s">
        <v>449</v>
      </c>
      <c r="G19" s="198" t="s">
        <v>450</v>
      </c>
    </row>
    <row r="20" spans="2:7" x14ac:dyDescent="0.25">
      <c r="B20" s="187" t="s">
        <v>457</v>
      </c>
      <c r="C20" s="160" t="e">
        <f>0.6*C14</f>
        <v>#VALUE!</v>
      </c>
      <c r="D20" s="160" t="e">
        <f>0.6*D14</f>
        <v>#VALUE!</v>
      </c>
      <c r="E20" s="160" t="e">
        <f>0.6*E14</f>
        <v>#VALUE!</v>
      </c>
      <c r="F20" s="160" t="e">
        <f>0.6*F14</f>
        <v>#VALUE!</v>
      </c>
      <c r="G20" s="186" t="e">
        <f>0.6*G14</f>
        <v>#VALUE!</v>
      </c>
    </row>
    <row r="21" spans="2:7" x14ac:dyDescent="0.25">
      <c r="B21" s="187" t="s">
        <v>458</v>
      </c>
      <c r="C21" s="160" t="e">
        <f>C17+0.6*C15</f>
        <v>#VALUE!</v>
      </c>
      <c r="D21" s="160" t="e">
        <f>D17+0.6*D15</f>
        <v>#VALUE!</v>
      </c>
      <c r="E21" s="160" t="e">
        <f>E17+0.6*E15</f>
        <v>#VALUE!</v>
      </c>
      <c r="F21" s="160" t="e">
        <f>F17+0.6*F15</f>
        <v>#VALUE!</v>
      </c>
      <c r="G21" s="186" t="e">
        <f>G17+0.6*G15</f>
        <v>#VALUE!</v>
      </c>
    </row>
    <row r="22" spans="2:7" x14ac:dyDescent="0.25">
      <c r="B22" s="187" t="s">
        <v>457</v>
      </c>
      <c r="C22" s="160" t="e">
        <f>0.6*C17+0.6*C14</f>
        <v>#VALUE!</v>
      </c>
      <c r="D22" s="160" t="e">
        <f>0.6*D17+0.6*D14</f>
        <v>#VALUE!</v>
      </c>
      <c r="E22" s="160" t="e">
        <f>0.6*E17+0.6*E14</f>
        <v>#VALUE!</v>
      </c>
      <c r="F22" s="160" t="e">
        <f>0.6*F17+0.6*F14</f>
        <v>#VALUE!</v>
      </c>
      <c r="G22" s="186" t="e">
        <f>0.6*G17+0.6*G14</f>
        <v>#VALUE!</v>
      </c>
    </row>
    <row r="23" spans="2:7" x14ac:dyDescent="0.25">
      <c r="B23" s="187" t="s">
        <v>458</v>
      </c>
      <c r="C23" s="160" t="e">
        <f>0.6*C17+0.6*C15</f>
        <v>#VALUE!</v>
      </c>
      <c r="D23" s="160" t="e">
        <f>0.6*D17+0.6*D15</f>
        <v>#VALUE!</v>
      </c>
      <c r="E23" s="160" t="e">
        <f>0.6*E17+0.6*E15</f>
        <v>#VALUE!</v>
      </c>
      <c r="F23" s="160" t="e">
        <f>0.6*F17+0.6*F15</f>
        <v>#VALUE!</v>
      </c>
      <c r="G23" s="186" t="e">
        <f>0.6*G17+0.6*G15</f>
        <v>#VALUE!</v>
      </c>
    </row>
    <row r="24" spans="2:7" x14ac:dyDescent="0.25">
      <c r="B24" s="187" t="s">
        <v>474</v>
      </c>
      <c r="C24" s="160" t="e">
        <f>C16+C17</f>
        <v>#VALUE!</v>
      </c>
      <c r="D24" s="160" t="e">
        <f>D16+D17</f>
        <v>#VALUE!</v>
      </c>
      <c r="E24" s="160" t="e">
        <f>E16+E17</f>
        <v>#VALUE!</v>
      </c>
      <c r="F24" s="160" t="e">
        <f>F16+F17</f>
        <v>#VALUE!</v>
      </c>
      <c r="G24" s="186" t="e">
        <f>G16+G17</f>
        <v>#VALUE!</v>
      </c>
    </row>
    <row r="25" spans="2:7" x14ac:dyDescent="0.25">
      <c r="B25" s="187" t="s">
        <v>475</v>
      </c>
      <c r="C25" s="160" t="e">
        <f>C17+0.45*C14+0.75*C16</f>
        <v>#VALUE!</v>
      </c>
      <c r="D25" s="160" t="e">
        <f>D17+0.45*D14+0.75*D16</f>
        <v>#VALUE!</v>
      </c>
      <c r="E25" s="160" t="e">
        <f>E17+0.45*E14+0.75*E16</f>
        <v>#VALUE!</v>
      </c>
      <c r="F25" s="160" t="e">
        <f>F17+0.45*F14+0.75*F16</f>
        <v>#VALUE!</v>
      </c>
      <c r="G25" s="186" t="e">
        <f>G17+0.45*G14+0.75*G16</f>
        <v>#VALUE!</v>
      </c>
    </row>
    <row r="26" spans="2:7" ht="15.75" customHeight="1" thickBot="1" x14ac:dyDescent="0.3">
      <c r="B26" s="188" t="s">
        <v>476</v>
      </c>
      <c r="C26" s="193" t="e">
        <f>C17+0.45*C15+0.75*C16</f>
        <v>#VALUE!</v>
      </c>
      <c r="D26" s="193" t="e">
        <f>D17+0.45*D15+0.75*D16</f>
        <v>#VALUE!</v>
      </c>
      <c r="E26" s="193" t="e">
        <f>E17+0.45*E15+0.75*E16</f>
        <v>#VALUE!</v>
      </c>
      <c r="F26" s="193" t="e">
        <f>F17+0.45*F15+0.75*F16</f>
        <v>#VALUE!</v>
      </c>
      <c r="G26" s="194" t="e">
        <f>G17+0.45*G15+0.75*G16</f>
        <v>#VALUE!</v>
      </c>
    </row>
    <row r="27" spans="2:7" ht="15.75" customHeight="1" thickBot="1" x14ac:dyDescent="0.3"/>
    <row r="28" spans="2:7" ht="15.75" customHeight="1" thickBot="1" x14ac:dyDescent="0.3">
      <c r="B28" s="199" t="s">
        <v>456</v>
      </c>
      <c r="C28" s="453" t="s">
        <v>462</v>
      </c>
      <c r="D28" s="195" t="s">
        <v>463</v>
      </c>
      <c r="E28" s="196" t="s">
        <v>464</v>
      </c>
      <c r="F28" s="197" t="s">
        <v>465</v>
      </c>
      <c r="G28" s="198" t="s">
        <v>466</v>
      </c>
    </row>
    <row r="29" spans="2:7" x14ac:dyDescent="0.25">
      <c r="B29" s="187" t="s">
        <v>457</v>
      </c>
      <c r="C29" s="160" t="e">
        <f t="shared" ref="C29:G35" si="0">C20*47.8802</f>
        <v>#VALUE!</v>
      </c>
      <c r="D29" s="160" t="e">
        <f t="shared" si="0"/>
        <v>#VALUE!</v>
      </c>
      <c r="E29" s="160" t="e">
        <f t="shared" si="0"/>
        <v>#VALUE!</v>
      </c>
      <c r="F29" s="160" t="e">
        <f t="shared" si="0"/>
        <v>#VALUE!</v>
      </c>
      <c r="G29" s="186" t="e">
        <f t="shared" si="0"/>
        <v>#VALUE!</v>
      </c>
    </row>
    <row r="30" spans="2:7" x14ac:dyDescent="0.25">
      <c r="B30" s="187" t="s">
        <v>458</v>
      </c>
      <c r="C30" s="160" t="e">
        <f t="shared" si="0"/>
        <v>#VALUE!</v>
      </c>
      <c r="D30" s="160" t="e">
        <f t="shared" si="0"/>
        <v>#VALUE!</v>
      </c>
      <c r="E30" s="160" t="e">
        <f t="shared" si="0"/>
        <v>#VALUE!</v>
      </c>
      <c r="F30" s="160" t="e">
        <f t="shared" si="0"/>
        <v>#VALUE!</v>
      </c>
      <c r="G30" s="186" t="e">
        <f t="shared" si="0"/>
        <v>#VALUE!</v>
      </c>
    </row>
    <row r="31" spans="2:7" x14ac:dyDescent="0.25">
      <c r="B31" s="187" t="s">
        <v>457</v>
      </c>
      <c r="C31" s="160" t="e">
        <f t="shared" si="0"/>
        <v>#VALUE!</v>
      </c>
      <c r="D31" s="160" t="e">
        <f t="shared" si="0"/>
        <v>#VALUE!</v>
      </c>
      <c r="E31" s="160" t="e">
        <f t="shared" si="0"/>
        <v>#VALUE!</v>
      </c>
      <c r="F31" s="160" t="e">
        <f t="shared" si="0"/>
        <v>#VALUE!</v>
      </c>
      <c r="G31" s="186" t="e">
        <f t="shared" si="0"/>
        <v>#VALUE!</v>
      </c>
    </row>
    <row r="32" spans="2:7" x14ac:dyDescent="0.25">
      <c r="B32" s="187" t="s">
        <v>458</v>
      </c>
      <c r="C32" s="160" t="e">
        <f t="shared" si="0"/>
        <v>#VALUE!</v>
      </c>
      <c r="D32" s="160" t="e">
        <f t="shared" si="0"/>
        <v>#VALUE!</v>
      </c>
      <c r="E32" s="160" t="e">
        <f t="shared" si="0"/>
        <v>#VALUE!</v>
      </c>
      <c r="F32" s="160" t="e">
        <f t="shared" si="0"/>
        <v>#VALUE!</v>
      </c>
      <c r="G32" s="186" t="e">
        <f t="shared" si="0"/>
        <v>#VALUE!</v>
      </c>
    </row>
    <row r="33" spans="2:8" x14ac:dyDescent="0.25">
      <c r="B33" s="187" t="s">
        <v>474</v>
      </c>
      <c r="C33" s="160" t="e">
        <f t="shared" si="0"/>
        <v>#VALUE!</v>
      </c>
      <c r="D33" s="160" t="e">
        <f t="shared" si="0"/>
        <v>#VALUE!</v>
      </c>
      <c r="E33" s="160" t="e">
        <f t="shared" si="0"/>
        <v>#VALUE!</v>
      </c>
      <c r="F33" s="160" t="e">
        <f t="shared" si="0"/>
        <v>#VALUE!</v>
      </c>
      <c r="G33" s="186" t="e">
        <f t="shared" si="0"/>
        <v>#VALUE!</v>
      </c>
    </row>
    <row r="34" spans="2:8" x14ac:dyDescent="0.25">
      <c r="B34" s="187" t="s">
        <v>475</v>
      </c>
      <c r="C34" s="160" t="e">
        <f t="shared" si="0"/>
        <v>#VALUE!</v>
      </c>
      <c r="D34" s="160" t="e">
        <f t="shared" si="0"/>
        <v>#VALUE!</v>
      </c>
      <c r="E34" s="160" t="e">
        <f t="shared" si="0"/>
        <v>#VALUE!</v>
      </c>
      <c r="F34" s="160" t="e">
        <f t="shared" si="0"/>
        <v>#VALUE!</v>
      </c>
      <c r="G34" s="186" t="e">
        <f t="shared" si="0"/>
        <v>#VALUE!</v>
      </c>
    </row>
    <row r="35" spans="2:8" ht="15.75" customHeight="1" thickBot="1" x14ac:dyDescent="0.3">
      <c r="B35" s="188" t="s">
        <v>476</v>
      </c>
      <c r="C35" s="193" t="e">
        <f t="shared" si="0"/>
        <v>#VALUE!</v>
      </c>
      <c r="D35" s="193" t="e">
        <f t="shared" si="0"/>
        <v>#VALUE!</v>
      </c>
      <c r="E35" s="193" t="e">
        <f t="shared" si="0"/>
        <v>#VALUE!</v>
      </c>
      <c r="F35" s="193" t="e">
        <f t="shared" si="0"/>
        <v>#VALUE!</v>
      </c>
      <c r="G35" s="194" t="e">
        <f t="shared" si="0"/>
        <v>#VALUE!</v>
      </c>
    </row>
    <row r="38" spans="2:8" x14ac:dyDescent="0.25">
      <c r="B38" s="201"/>
      <c r="C38" s="580" t="s">
        <v>468</v>
      </c>
      <c r="D38" s="563"/>
      <c r="E38" s="201"/>
      <c r="F38" s="580" t="s">
        <v>469</v>
      </c>
      <c r="G38" s="563"/>
      <c r="H38" s="201" t="s">
        <v>470</v>
      </c>
    </row>
    <row r="39" spans="2:8" x14ac:dyDescent="0.25">
      <c r="B39" s="202" t="s">
        <v>471</v>
      </c>
      <c r="C39" s="35">
        <v>1600</v>
      </c>
      <c r="D39" s="35" t="s">
        <v>472</v>
      </c>
      <c r="E39" s="35" t="e">
        <f>IF(C39&gt;F39,"&gt;","&lt;")</f>
        <v>#VALUE!</v>
      </c>
      <c r="F39" s="200" t="e">
        <f>ABS(MIN(C29:G35))</f>
        <v>#VALUE!</v>
      </c>
      <c r="G39" s="35" t="s">
        <v>472</v>
      </c>
      <c r="H39" s="35" t="e">
        <f>IF(C39&gt;F39,"Good","No Good")</f>
        <v>#VALUE!</v>
      </c>
    </row>
    <row r="40" spans="2:8" x14ac:dyDescent="0.25">
      <c r="B40" s="202" t="s">
        <v>473</v>
      </c>
      <c r="C40" s="35">
        <v>1800</v>
      </c>
      <c r="D40" s="35" t="s">
        <v>472</v>
      </c>
      <c r="E40" s="35" t="e">
        <f>IF(C40&gt;F40,"&gt;","&lt;")</f>
        <v>#VALUE!</v>
      </c>
      <c r="F40" s="200" t="e">
        <f>ABS(MAX(C29:G35))</f>
        <v>#VALUE!</v>
      </c>
      <c r="G40" s="35" t="s">
        <v>472</v>
      </c>
      <c r="H40" s="35" t="e">
        <f>IF(C40&gt;F40,"Good","No Good")</f>
        <v>#VALUE!</v>
      </c>
    </row>
  </sheetData>
  <mergeCells count="6">
    <mergeCell ref="C38:D38"/>
    <mergeCell ref="C2:D2"/>
    <mergeCell ref="F38:G38"/>
    <mergeCell ref="B6:G7"/>
    <mergeCell ref="C3:D3"/>
    <mergeCell ref="C4:D4"/>
  </mergeCells>
  <pageMargins left="0.7" right="0.7" top="0.75" bottom="0.75" header="0.3" footer="0.3"/>
  <pageSetup scale="82"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
    <pageSetUpPr fitToPage="1"/>
  </sheetPr>
  <dimension ref="B2:H40"/>
  <sheetViews>
    <sheetView view="pageBreakPreview" zoomScaleNormal="100" zoomScaleSheetLayoutView="100" workbookViewId="0">
      <selection activeCell="E15" sqref="E15"/>
    </sheetView>
  </sheetViews>
  <sheetFormatPr defaultRowHeight="15" x14ac:dyDescent="0.25"/>
  <cols>
    <col min="2" max="2" width="26" customWidth="1"/>
    <col min="3" max="7" width="17.42578125" customWidth="1"/>
    <col min="8" max="8" width="13.7109375" bestFit="1" customWidth="1"/>
  </cols>
  <sheetData>
    <row r="2" spans="2:7" ht="15" customHeight="1" x14ac:dyDescent="0.25">
      <c r="B2" s="203" t="s">
        <v>442</v>
      </c>
      <c r="C2" s="581" t="str">
        <f>Inputs!B1</f>
        <v xml:space="preserve">Customer </v>
      </c>
      <c r="D2" s="554"/>
    </row>
    <row r="3" spans="2:7" ht="15.75" customHeight="1" x14ac:dyDescent="0.25">
      <c r="B3" s="204" t="s">
        <v>443</v>
      </c>
      <c r="C3" s="583" t="str">
        <f>Inputs!B2</f>
        <v xml:space="preserve">Project </v>
      </c>
      <c r="D3" s="556"/>
    </row>
    <row r="4" spans="2:7" ht="15.75" customHeight="1" x14ac:dyDescent="0.25">
      <c r="B4" s="205" t="s">
        <v>444</v>
      </c>
      <c r="C4" s="584" t="str">
        <f>Inputs!B3</f>
        <v xml:space="preserve">City, State Zip </v>
      </c>
      <c r="D4" s="561"/>
    </row>
    <row r="5" spans="2:7" ht="15.75" customHeight="1" thickBot="1" x14ac:dyDescent="0.3"/>
    <row r="6" spans="2:7" ht="21" customHeight="1" x14ac:dyDescent="0.25">
      <c r="B6" s="582" t="str">
        <f>"Dynamic Amplification Factors (DAFs) - "&amp;Inputs!B33&amp;" Degree - "&amp;Inputs!B51</f>
        <v>Dynamic Amplification Factors (DAFs) - XX Degree - Stow</v>
      </c>
      <c r="C6" s="547"/>
      <c r="D6" s="547"/>
      <c r="E6" s="548"/>
      <c r="F6" s="467"/>
      <c r="G6" s="467"/>
    </row>
    <row r="7" spans="2:7" ht="15.75" customHeight="1" thickBot="1" x14ac:dyDescent="0.3">
      <c r="B7" s="550"/>
      <c r="C7" s="551"/>
      <c r="D7" s="551"/>
      <c r="E7" s="552"/>
      <c r="F7" s="467"/>
      <c r="G7" s="467"/>
    </row>
    <row r="8" spans="2:7" ht="15.75" customHeight="1" thickBot="1" x14ac:dyDescent="0.3"/>
    <row r="9" spans="2:7" ht="15.75" customHeight="1" thickBot="1" x14ac:dyDescent="0.3">
      <c r="B9" s="199" t="s">
        <v>477</v>
      </c>
      <c r="C9" s="463" t="s">
        <v>478</v>
      </c>
      <c r="D9" s="454"/>
      <c r="E9" s="454"/>
      <c r="F9" s="454"/>
      <c r="G9" s="454"/>
    </row>
    <row r="10" spans="2:7" x14ac:dyDescent="0.25">
      <c r="B10" s="187" t="s">
        <v>479</v>
      </c>
      <c r="C10" s="186">
        <f>Inputs!B53</f>
        <v>1.05</v>
      </c>
      <c r="D10" s="160"/>
      <c r="E10" s="160"/>
      <c r="F10" s="160"/>
      <c r="G10" s="160"/>
    </row>
    <row r="11" spans="2:7" ht="15.75" customHeight="1" thickBot="1" x14ac:dyDescent="0.3">
      <c r="B11" s="188" t="s">
        <v>480</v>
      </c>
      <c r="C11" s="457">
        <f>Inputs!B54</f>
        <v>1.05</v>
      </c>
      <c r="D11" s="161"/>
      <c r="E11" s="161"/>
      <c r="F11" s="161"/>
      <c r="G11" s="161"/>
    </row>
    <row r="12" spans="2:7" ht="15.75" customHeight="1" thickBot="1" x14ac:dyDescent="0.3"/>
    <row r="13" spans="2:7" ht="15.75" customHeight="1" thickBot="1" x14ac:dyDescent="0.3">
      <c r="B13" s="463" t="s">
        <v>481</v>
      </c>
      <c r="C13" s="463" t="s">
        <v>478</v>
      </c>
      <c r="D13" s="454"/>
      <c r="E13" s="454"/>
      <c r="F13" s="454"/>
      <c r="G13" s="454"/>
    </row>
    <row r="14" spans="2:7" x14ac:dyDescent="0.25">
      <c r="B14" s="187" t="s">
        <v>482</v>
      </c>
      <c r="C14" s="464" t="e">
        <f ca="1">Inputs!B57</f>
        <v>#VALUE!</v>
      </c>
      <c r="D14" s="160"/>
      <c r="E14" s="160"/>
      <c r="F14" s="160"/>
      <c r="G14" s="160"/>
    </row>
    <row r="15" spans="2:7" x14ac:dyDescent="0.25">
      <c r="B15" s="187" t="s">
        <v>483</v>
      </c>
      <c r="C15" s="465" t="e">
        <f ca="1">Inputs!B58</f>
        <v>#VALUE!</v>
      </c>
      <c r="D15" s="160"/>
      <c r="E15" s="160"/>
      <c r="F15" s="160"/>
      <c r="G15" s="160"/>
    </row>
    <row r="16" spans="2:7" x14ac:dyDescent="0.25">
      <c r="B16" s="187" t="s">
        <v>484</v>
      </c>
      <c r="C16" s="465" t="e">
        <f ca="1">Inputs!B59</f>
        <v>#VALUE!</v>
      </c>
      <c r="D16" s="160"/>
      <c r="E16" s="160"/>
      <c r="F16" s="160"/>
      <c r="G16" s="160"/>
    </row>
    <row r="17" spans="2:7" x14ac:dyDescent="0.25">
      <c r="B17" s="187" t="s">
        <v>485</v>
      </c>
      <c r="C17" s="465" t="e">
        <f ca="1">Inputs!B60</f>
        <v>#VALUE!</v>
      </c>
      <c r="D17" s="160"/>
      <c r="E17" s="160"/>
      <c r="F17" s="160"/>
      <c r="G17" s="160"/>
    </row>
    <row r="18" spans="2:7" x14ac:dyDescent="0.25">
      <c r="B18" s="187" t="s">
        <v>486</v>
      </c>
      <c r="C18" s="465" t="e">
        <f ca="1">Inputs!B61</f>
        <v>#VALUE!</v>
      </c>
    </row>
    <row r="19" spans="2:7" x14ac:dyDescent="0.25">
      <c r="B19" s="187" t="s">
        <v>487</v>
      </c>
      <c r="C19" s="465" t="e">
        <f ca="1">Inputs!B62</f>
        <v>#VALUE!</v>
      </c>
      <c r="D19" s="455"/>
      <c r="E19" s="455"/>
      <c r="F19" s="455"/>
      <c r="G19" s="455"/>
    </row>
    <row r="20" spans="2:7" x14ac:dyDescent="0.25">
      <c r="B20" s="187" t="s">
        <v>488</v>
      </c>
      <c r="C20" s="465" t="e">
        <f ca="1">Inputs!B63</f>
        <v>#VALUE!</v>
      </c>
      <c r="D20" s="160"/>
      <c r="E20" s="160"/>
      <c r="F20" s="160"/>
      <c r="G20" s="160"/>
    </row>
    <row r="21" spans="2:7" x14ac:dyDescent="0.25">
      <c r="B21" s="187" t="s">
        <v>489</v>
      </c>
      <c r="C21" s="465" t="e">
        <f ca="1">Inputs!B64</f>
        <v>#VALUE!</v>
      </c>
      <c r="D21" s="160"/>
      <c r="E21" s="160"/>
      <c r="F21" s="160"/>
      <c r="G21" s="160"/>
    </row>
    <row r="22" spans="2:7" x14ac:dyDescent="0.25">
      <c r="B22" s="187" t="s">
        <v>490</v>
      </c>
      <c r="C22" s="465" t="e">
        <f ca="1">Inputs!B65</f>
        <v>#VALUE!</v>
      </c>
      <c r="D22" s="160"/>
      <c r="E22" s="160"/>
      <c r="F22" s="160"/>
      <c r="G22" s="160"/>
    </row>
    <row r="23" spans="2:7" ht="15.75" customHeight="1" thickBot="1" x14ac:dyDescent="0.3">
      <c r="B23" s="188" t="s">
        <v>491</v>
      </c>
      <c r="C23" s="466" t="e">
        <f ca="1">Inputs!B66</f>
        <v>#VALUE!</v>
      </c>
      <c r="D23" s="160"/>
      <c r="E23" s="160"/>
      <c r="F23" s="160"/>
      <c r="G23" s="160"/>
    </row>
    <row r="24" spans="2:7" x14ac:dyDescent="0.25">
      <c r="B24" s="454"/>
      <c r="C24" s="160"/>
      <c r="D24" s="160"/>
      <c r="E24" s="160"/>
      <c r="F24" s="160"/>
      <c r="G24" s="160"/>
    </row>
    <row r="25" spans="2:7" x14ac:dyDescent="0.25">
      <c r="B25" s="454"/>
      <c r="C25" s="160"/>
      <c r="D25" s="160"/>
      <c r="E25" s="160"/>
      <c r="F25" s="160"/>
      <c r="G25" s="160"/>
    </row>
    <row r="26" spans="2:7" x14ac:dyDescent="0.25">
      <c r="B26" s="454"/>
      <c r="C26" s="160"/>
      <c r="D26" s="160"/>
      <c r="E26" s="160"/>
      <c r="F26" s="160"/>
      <c r="G26" s="160"/>
    </row>
    <row r="28" spans="2:7" x14ac:dyDescent="0.25">
      <c r="B28" s="454"/>
      <c r="C28" s="455"/>
      <c r="D28" s="455"/>
      <c r="E28" s="455"/>
      <c r="F28" s="455"/>
      <c r="G28" s="455"/>
    </row>
    <row r="29" spans="2:7" x14ac:dyDescent="0.25">
      <c r="B29" s="454"/>
      <c r="C29" s="160"/>
      <c r="D29" s="160"/>
      <c r="E29" s="160"/>
      <c r="F29" s="160"/>
      <c r="G29" s="160"/>
    </row>
    <row r="30" spans="2:7" x14ac:dyDescent="0.25">
      <c r="B30" s="454"/>
      <c r="C30" s="160"/>
      <c r="D30" s="160"/>
      <c r="E30" s="160"/>
      <c r="F30" s="160"/>
      <c r="G30" s="160"/>
    </row>
    <row r="31" spans="2:7" x14ac:dyDescent="0.25">
      <c r="B31" s="454"/>
      <c r="C31" s="160"/>
      <c r="D31" s="160"/>
      <c r="E31" s="160"/>
      <c r="F31" s="160"/>
      <c r="G31" s="160"/>
    </row>
    <row r="32" spans="2:7" x14ac:dyDescent="0.25">
      <c r="B32" s="454"/>
      <c r="C32" s="160"/>
      <c r="D32" s="160"/>
      <c r="E32" s="160"/>
      <c r="F32" s="160"/>
      <c r="G32" s="160"/>
    </row>
    <row r="33" spans="2:8" x14ac:dyDescent="0.25">
      <c r="B33" s="454"/>
      <c r="C33" s="160"/>
      <c r="D33" s="160"/>
      <c r="E33" s="160"/>
      <c r="F33" s="160"/>
      <c r="G33" s="160"/>
    </row>
    <row r="34" spans="2:8" x14ac:dyDescent="0.25">
      <c r="B34" s="454"/>
      <c r="C34" s="160"/>
      <c r="D34" s="160"/>
      <c r="E34" s="160"/>
      <c r="F34" s="160"/>
      <c r="G34" s="160"/>
    </row>
    <row r="35" spans="2:8" x14ac:dyDescent="0.25">
      <c r="B35" s="454"/>
      <c r="C35" s="160"/>
      <c r="D35" s="160"/>
      <c r="E35" s="160"/>
      <c r="F35" s="160"/>
      <c r="G35" s="160"/>
    </row>
    <row r="38" spans="2:8" x14ac:dyDescent="0.25">
      <c r="B38" s="454"/>
      <c r="C38" s="585"/>
      <c r="D38" s="565"/>
      <c r="E38" s="454"/>
      <c r="F38" s="585"/>
      <c r="G38" s="565"/>
      <c r="H38" s="454"/>
    </row>
    <row r="39" spans="2:8" x14ac:dyDescent="0.25">
      <c r="B39" s="454"/>
      <c r="C39" s="210"/>
      <c r="D39" s="210"/>
      <c r="E39" s="210"/>
      <c r="F39" s="160"/>
      <c r="G39" s="210"/>
      <c r="H39" s="210"/>
    </row>
    <row r="40" spans="2:8" x14ac:dyDescent="0.25">
      <c r="B40" s="454"/>
      <c r="C40" s="210"/>
      <c r="D40" s="210"/>
      <c r="E40" s="210"/>
      <c r="F40" s="160"/>
      <c r="G40" s="210"/>
      <c r="H40" s="210"/>
    </row>
  </sheetData>
  <mergeCells count="6">
    <mergeCell ref="C38:D38"/>
    <mergeCell ref="C2:D2"/>
    <mergeCell ref="F38:G38"/>
    <mergeCell ref="C3:D3"/>
    <mergeCell ref="B6:E7"/>
    <mergeCell ref="C4:D4"/>
  </mergeCells>
  <pageMargins left="0.7" right="0.7" top="0.75" bottom="0.75" header="0.3" footer="0.3"/>
  <pageSetup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B2:BJ526"/>
  <sheetViews>
    <sheetView zoomScale="70" zoomScaleNormal="70" workbookViewId="0">
      <selection activeCell="M2" sqref="M2"/>
    </sheetView>
  </sheetViews>
  <sheetFormatPr defaultRowHeight="15" x14ac:dyDescent="0.25"/>
  <cols>
    <col min="4" max="23" width="15.7109375" customWidth="1"/>
    <col min="24" max="24" width="14.140625" customWidth="1"/>
    <col min="25" max="25" width="13.42578125" customWidth="1"/>
    <col min="26" max="26" width="10.7109375" customWidth="1"/>
    <col min="27" max="27" width="12.7109375" customWidth="1"/>
    <col min="28" max="28" width="14.85546875" customWidth="1"/>
    <col min="29" max="45" width="9.140625" customWidth="1"/>
    <col min="47" max="47" width="10.7109375" bestFit="1" customWidth="1"/>
    <col min="48" max="48" width="12.7109375" bestFit="1" customWidth="1"/>
    <col min="49" max="49" width="14.85546875" bestFit="1" customWidth="1"/>
  </cols>
  <sheetData>
    <row r="2" spans="3:62" x14ac:dyDescent="0.25">
      <c r="C2" t="str">
        <f>"Tilt ="&amp;Inputs!B33</f>
        <v>Tilt =XX</v>
      </c>
      <c r="D2" s="534"/>
      <c r="E2" s="535"/>
      <c r="F2" s="535"/>
      <c r="G2" s="535"/>
      <c r="H2" s="535"/>
      <c r="I2" s="535"/>
      <c r="J2" s="535"/>
      <c r="K2" s="535"/>
      <c r="L2" s="535"/>
      <c r="M2" s="535" t="s">
        <v>492</v>
      </c>
      <c r="N2" s="535"/>
      <c r="O2" s="535"/>
      <c r="P2" s="535"/>
      <c r="Q2" s="535"/>
      <c r="R2" s="535"/>
      <c r="S2" s="535"/>
      <c r="T2" s="535"/>
      <c r="U2" s="535"/>
      <c r="V2" s="535"/>
      <c r="W2" s="536"/>
      <c r="Y2" s="571" t="s">
        <v>493</v>
      </c>
      <c r="Z2" s="572"/>
      <c r="AA2" s="572"/>
      <c r="AB2" s="572"/>
      <c r="AC2" s="572"/>
      <c r="AD2" s="572"/>
      <c r="AE2" s="572"/>
      <c r="AF2" s="572"/>
      <c r="AG2" s="572"/>
      <c r="AH2" s="572"/>
      <c r="AI2" s="572"/>
      <c r="AJ2" s="572"/>
      <c r="AK2" s="572"/>
      <c r="AL2" s="572"/>
      <c r="AM2" s="572"/>
      <c r="AN2" s="572"/>
      <c r="AO2" s="572"/>
      <c r="AP2" s="572"/>
      <c r="AQ2" s="572"/>
      <c r="AR2" s="554"/>
      <c r="AT2" s="571" t="s">
        <v>494</v>
      </c>
      <c r="AU2" s="572"/>
      <c r="AV2" s="572"/>
      <c r="AW2" s="572"/>
      <c r="AX2" s="572"/>
      <c r="AY2" s="572"/>
      <c r="AZ2" s="572"/>
      <c r="BA2" s="572"/>
      <c r="BB2" s="572"/>
      <c r="BC2" s="572"/>
      <c r="BD2" s="572"/>
      <c r="BE2" s="572"/>
      <c r="BF2" s="572"/>
      <c r="BG2" s="572"/>
      <c r="BH2" s="572"/>
      <c r="BI2" s="572"/>
      <c r="BJ2" s="554"/>
    </row>
    <row r="3" spans="3:62" x14ac:dyDescent="0.25">
      <c r="D3" s="209" t="s">
        <v>9</v>
      </c>
      <c r="E3" s="209" t="s">
        <v>495</v>
      </c>
      <c r="F3" s="209" t="s">
        <v>495</v>
      </c>
      <c r="G3" s="308" t="s">
        <v>496</v>
      </c>
      <c r="H3" s="24"/>
      <c r="I3" s="25"/>
      <c r="J3" s="25"/>
      <c r="K3" s="25"/>
      <c r="L3" s="25"/>
      <c r="M3" s="533" t="s">
        <v>497</v>
      </c>
      <c r="N3" s="25"/>
      <c r="O3" s="25"/>
      <c r="P3" s="25"/>
      <c r="Q3" s="25"/>
      <c r="R3" s="25"/>
      <c r="S3" s="25"/>
      <c r="T3" s="25"/>
      <c r="U3" s="25"/>
      <c r="V3" s="25"/>
      <c r="W3" s="26"/>
      <c r="Y3" s="9" t="s">
        <v>9</v>
      </c>
      <c r="Z3" s="9" t="s">
        <v>495</v>
      </c>
      <c r="AA3" s="9" t="s">
        <v>495</v>
      </c>
      <c r="AB3" s="9" t="s">
        <v>496</v>
      </c>
      <c r="AC3" s="594" t="s">
        <v>497</v>
      </c>
      <c r="AD3" s="572"/>
      <c r="AE3" s="572"/>
      <c r="AF3" s="572"/>
      <c r="AG3" s="572"/>
      <c r="AH3" s="572"/>
      <c r="AI3" s="572"/>
      <c r="AJ3" s="572"/>
      <c r="AK3" s="572"/>
      <c r="AL3" s="572"/>
      <c r="AM3" s="572"/>
      <c r="AN3" s="572"/>
      <c r="AO3" s="572"/>
      <c r="AP3" s="572"/>
      <c r="AQ3" s="572"/>
      <c r="AR3" s="554"/>
      <c r="AT3" s="9" t="s">
        <v>9</v>
      </c>
      <c r="AU3" s="9" t="s">
        <v>495</v>
      </c>
      <c r="AV3" s="9" t="s">
        <v>495</v>
      </c>
      <c r="AW3" s="9" t="s">
        <v>496</v>
      </c>
      <c r="AX3" s="594" t="s">
        <v>497</v>
      </c>
      <c r="AY3" s="572"/>
      <c r="AZ3" s="572"/>
      <c r="BA3" s="572"/>
      <c r="BB3" s="572"/>
      <c r="BC3" s="572"/>
      <c r="BD3" s="572"/>
      <c r="BE3" s="572"/>
      <c r="BF3" s="572"/>
      <c r="BG3" s="572"/>
      <c r="BH3" s="572"/>
      <c r="BI3" s="572"/>
      <c r="BJ3" s="554"/>
    </row>
    <row r="4" spans="3:62" x14ac:dyDescent="0.25">
      <c r="D4" s="590"/>
      <c r="E4" s="592" t="s">
        <v>6</v>
      </c>
      <c r="F4" s="588"/>
      <c r="G4" s="150"/>
      <c r="H4" s="151"/>
      <c r="I4" s="151"/>
      <c r="J4" s="151"/>
      <c r="K4" s="151"/>
      <c r="L4" s="151"/>
      <c r="M4" s="151"/>
      <c r="N4" s="151"/>
      <c r="O4" s="151"/>
      <c r="P4" s="151"/>
      <c r="Q4" s="151"/>
      <c r="R4" s="151"/>
      <c r="S4" s="151"/>
      <c r="T4" s="151"/>
      <c r="U4" s="151"/>
      <c r="V4" s="151"/>
      <c r="W4" s="151"/>
      <c r="Y4" s="590"/>
      <c r="Z4" s="592" t="s">
        <v>6</v>
      </c>
      <c r="AA4" s="32">
        <v>-0.17794109667053881</v>
      </c>
      <c r="AB4" s="25" t="s">
        <v>498</v>
      </c>
      <c r="AC4" s="24" t="str">
        <f>IF(H4=""," ",H4*Inputs!$B$39)</f>
        <v xml:space="preserve"> </v>
      </c>
      <c r="AD4" s="24" t="str">
        <f>IF(I4=""," ",I4*Inputs!$B$39)</f>
        <v xml:space="preserve"> </v>
      </c>
      <c r="AE4" s="24" t="str">
        <f>IF(J4=""," ",J4*Inputs!$B$39)</f>
        <v xml:space="preserve"> </v>
      </c>
      <c r="AF4" s="24" t="str">
        <f>IF(K4=""," ",K4*Inputs!$B$39)</f>
        <v xml:space="preserve"> </v>
      </c>
      <c r="AG4" s="24" t="str">
        <f>IF(L4=""," ",L4*Inputs!$B$39)</f>
        <v xml:space="preserve"> </v>
      </c>
      <c r="AH4" s="24" t="str">
        <f>IF(M4=""," ",M4*Inputs!$B$39)</f>
        <v xml:space="preserve"> </v>
      </c>
      <c r="AI4" s="24" t="str">
        <f>IF(N4=""," ",N4*Inputs!$B$39)</f>
        <v xml:space="preserve"> </v>
      </c>
      <c r="AJ4" s="24" t="str">
        <f>IF(O4=""," ",O4*Inputs!$B$39)</f>
        <v xml:space="preserve"> </v>
      </c>
      <c r="AK4" s="24" t="str">
        <f>IF(P4=""," ",P4*Inputs!$B$39)</f>
        <v xml:space="preserve"> </v>
      </c>
      <c r="AL4" s="24" t="str">
        <f>IF(Q4=""," ",Q4*Inputs!$B$39)</f>
        <v xml:space="preserve"> </v>
      </c>
      <c r="AM4" s="24" t="str">
        <f>IF(R4=""," ",R4*Inputs!$B$39)</f>
        <v xml:space="preserve"> </v>
      </c>
      <c r="AN4" s="24" t="str">
        <f>IF(S4=""," ",S4*Inputs!$B$39)</f>
        <v xml:space="preserve"> </v>
      </c>
      <c r="AO4" s="24" t="str">
        <f>IF(T4=""," ",T4*Inputs!$B$39)</f>
        <v xml:space="preserve"> </v>
      </c>
      <c r="AP4" s="24" t="str">
        <f>IF(U4=""," ",U4*Inputs!$B$39)</f>
        <v xml:space="preserve"> </v>
      </c>
      <c r="AQ4" s="24" t="str">
        <f>IF(V4=""," ",V4*Inputs!$B$39)</f>
        <v xml:space="preserve"> </v>
      </c>
      <c r="AR4" s="24" t="str">
        <f>IF(W4=""," ",W4*Inputs!$B$39)</f>
        <v xml:space="preserve"> </v>
      </c>
      <c r="AT4" s="590"/>
      <c r="AU4" s="592" t="s">
        <v>6</v>
      </c>
      <c r="AV4" s="32">
        <v>-0.17794109667053881</v>
      </c>
      <c r="AW4" s="25" t="s">
        <v>498</v>
      </c>
      <c r="AX4" s="32" t="str">
        <f>IF(AC4=" "," ",AC4*Inputs!$B$53)</f>
        <v xml:space="preserve"> </v>
      </c>
      <c r="AY4" s="32" t="str">
        <f>IF(AD4=" "," ",AD4*Inputs!$B$53)</f>
        <v xml:space="preserve"> </v>
      </c>
      <c r="AZ4" s="32" t="str">
        <f>IF(AE4=" "," ",AE4*Inputs!$B$53)</f>
        <v xml:space="preserve"> </v>
      </c>
      <c r="BA4" s="32" t="str">
        <f>IF(AF4=" "," ",AF4*Inputs!$B$53)</f>
        <v xml:space="preserve"> </v>
      </c>
      <c r="BB4" s="32" t="str">
        <f>IF(AG4=" "," ",AG4*Inputs!$B$53)</f>
        <v xml:space="preserve"> </v>
      </c>
      <c r="BC4" s="32" t="str">
        <f>IF(AH4=" "," ",AH4*Inputs!$B$53)</f>
        <v xml:space="preserve"> </v>
      </c>
      <c r="BD4" s="32" t="str">
        <f>IF(AI4=" "," ",AI4*Inputs!$B$53)</f>
        <v xml:space="preserve"> </v>
      </c>
      <c r="BE4" s="32" t="str">
        <f>IF(AJ4=" "," ",AJ4*Inputs!$B$53)</f>
        <v xml:space="preserve"> </v>
      </c>
      <c r="BF4" s="32" t="str">
        <f>IF(AK4=" "," ",AK4*Inputs!$B$53)</f>
        <v xml:space="preserve"> </v>
      </c>
      <c r="BG4" s="32" t="str">
        <f>IF(AL4=" "," ",AL4*Inputs!$B$53)</f>
        <v xml:space="preserve"> </v>
      </c>
      <c r="BH4" s="32" t="str">
        <f>IF(AM4=" "," ",AM4*Inputs!$B$53)</f>
        <v xml:space="preserve"> </v>
      </c>
      <c r="BI4" s="32" t="str">
        <f>IF(AN4=" "," ",AN4*Inputs!$B$53)</f>
        <v xml:space="preserve"> </v>
      </c>
      <c r="BJ4" s="32" t="str">
        <f>IF(AO4=" "," ",AO4*Inputs!$B$53)</f>
        <v xml:space="preserve"> </v>
      </c>
    </row>
    <row r="5" spans="3:62" x14ac:dyDescent="0.25">
      <c r="D5" s="589"/>
      <c r="E5" s="589"/>
      <c r="F5" s="589"/>
      <c r="G5" s="21"/>
      <c r="H5" s="152"/>
      <c r="I5" s="152"/>
      <c r="J5" s="152"/>
      <c r="K5" s="152"/>
      <c r="L5" s="152"/>
      <c r="M5" s="152"/>
      <c r="N5" s="152"/>
      <c r="O5" s="152"/>
      <c r="P5" s="152"/>
      <c r="Q5" s="152"/>
      <c r="R5" s="152"/>
      <c r="S5" s="152"/>
      <c r="T5" s="152"/>
      <c r="U5" s="152"/>
      <c r="V5" s="152"/>
      <c r="W5" s="152"/>
      <c r="Y5" s="589"/>
      <c r="Z5" s="589"/>
      <c r="AA5" s="33"/>
      <c r="AB5" t="s">
        <v>499</v>
      </c>
      <c r="AC5" s="24" t="str">
        <f>IF(H5=""," ",H5*Inputs!$B$39)</f>
        <v xml:space="preserve"> </v>
      </c>
      <c r="AD5" s="24" t="str">
        <f>IF(I5=""," ",I5*Inputs!$B$39)</f>
        <v xml:space="preserve"> </v>
      </c>
      <c r="AE5" s="24" t="str">
        <f>IF(J5=""," ",J5*Inputs!$B$39)</f>
        <v xml:space="preserve"> </v>
      </c>
      <c r="AF5" s="24" t="str">
        <f>IF(K5=""," ",K5*Inputs!$B$39)</f>
        <v xml:space="preserve"> </v>
      </c>
      <c r="AG5" s="24" t="str">
        <f>IF(L5=""," ",L5*Inputs!$B$39)</f>
        <v xml:space="preserve"> </v>
      </c>
      <c r="AH5" s="24" t="str">
        <f>IF(M5=""," ",M5*Inputs!$B$39)</f>
        <v xml:space="preserve"> </v>
      </c>
      <c r="AI5" s="24" t="str">
        <f>IF(N5=""," ",N5*Inputs!$B$39)</f>
        <v xml:space="preserve"> </v>
      </c>
      <c r="AJ5" s="24" t="str">
        <f>IF(O5=""," ",O5*Inputs!$B$39)</f>
        <v xml:space="preserve"> </v>
      </c>
      <c r="AK5" s="24" t="str">
        <f>IF(P5=""," ",P5*Inputs!$B$39)</f>
        <v xml:space="preserve"> </v>
      </c>
      <c r="AL5" s="24" t="str">
        <f>IF(Q5=""," ",Q5*Inputs!$B$39)</f>
        <v xml:space="preserve"> </v>
      </c>
      <c r="AM5" s="24" t="str">
        <f>IF(R5=""," ",R5*Inputs!$B$39)</f>
        <v xml:space="preserve"> </v>
      </c>
      <c r="AN5" s="24" t="str">
        <f>IF(S5=""," ",S5*Inputs!$B$39)</f>
        <v xml:space="preserve"> </v>
      </c>
      <c r="AO5" s="24" t="str">
        <f>IF(T5=""," ",T5*Inputs!$B$39)</f>
        <v xml:space="preserve"> </v>
      </c>
      <c r="AP5" s="24" t="str">
        <f>IF(U5=""," ",U5*Inputs!$B$39)</f>
        <v xml:space="preserve"> </v>
      </c>
      <c r="AQ5" s="24" t="str">
        <f>IF(V5=""," ",V5*Inputs!$B$39)</f>
        <v xml:space="preserve"> </v>
      </c>
      <c r="AR5" s="24" t="str">
        <f>IF(W5=""," ",W5*Inputs!$B$39)</f>
        <v xml:space="preserve"> </v>
      </c>
      <c r="AT5" s="589"/>
      <c r="AU5" s="589"/>
      <c r="AV5" s="33"/>
      <c r="AW5" t="s">
        <v>499</v>
      </c>
      <c r="AX5" s="32" t="str">
        <f>IF(AC5=" "," ",AC5*Inputs!$B$53)</f>
        <v xml:space="preserve"> </v>
      </c>
      <c r="AY5" s="32" t="str">
        <f>IF(AD5=" "," ",AD5*Inputs!$B$53)</f>
        <v xml:space="preserve"> </v>
      </c>
      <c r="AZ5" s="32" t="str">
        <f>IF(AE5=" "," ",AE5*Inputs!$B$53)</f>
        <v xml:space="preserve"> </v>
      </c>
      <c r="BA5" s="32" t="str">
        <f>IF(AF5=" "," ",AF5*Inputs!$B$53)</f>
        <v xml:space="preserve"> </v>
      </c>
      <c r="BB5" s="32" t="str">
        <f>IF(AG5=" "," ",AG5*Inputs!$B$53)</f>
        <v xml:space="preserve"> </v>
      </c>
      <c r="BC5" s="32" t="str">
        <f>IF(AH5=" "," ",AH5*Inputs!$B$53)</f>
        <v xml:space="preserve"> </v>
      </c>
      <c r="BD5" s="32" t="str">
        <f>IF(AI5=" "," ",AI5*Inputs!$B$53)</f>
        <v xml:space="preserve"> </v>
      </c>
      <c r="BE5" s="32" t="str">
        <f>IF(AJ5=" "," ",AJ5*Inputs!$B$53)</f>
        <v xml:space="preserve"> </v>
      </c>
      <c r="BF5" s="32" t="str">
        <f>IF(AK5=" "," ",AK5*Inputs!$B$53)</f>
        <v xml:space="preserve"> </v>
      </c>
      <c r="BG5" s="32" t="str">
        <f>IF(AL5=" "," ",AL5*Inputs!$B$53)</f>
        <v xml:space="preserve"> </v>
      </c>
      <c r="BH5" s="32" t="str">
        <f>IF(AM5=" "," ",AM5*Inputs!$B$53)</f>
        <v xml:space="preserve"> </v>
      </c>
      <c r="BI5" s="32" t="str">
        <f>IF(AN5=" "," ",AN5*Inputs!$B$53)</f>
        <v xml:space="preserve"> </v>
      </c>
      <c r="BJ5" s="32" t="str">
        <f>IF(AO5=" "," ",AO5*Inputs!$B$53)</f>
        <v xml:space="preserve"> </v>
      </c>
    </row>
    <row r="6" spans="3:62" x14ac:dyDescent="0.25">
      <c r="D6" s="589"/>
      <c r="E6" s="589"/>
      <c r="F6" s="589"/>
      <c r="G6" s="21"/>
      <c r="H6" s="152"/>
      <c r="I6" s="152"/>
      <c r="J6" s="152"/>
      <c r="K6" s="152"/>
      <c r="L6" s="152"/>
      <c r="M6" s="152"/>
      <c r="N6" s="152"/>
      <c r="O6" s="152"/>
      <c r="P6" s="152"/>
      <c r="Q6" s="152"/>
      <c r="R6" s="152"/>
      <c r="S6" s="152"/>
      <c r="T6" s="152"/>
      <c r="U6" s="152"/>
      <c r="V6" s="152"/>
      <c r="W6" s="152"/>
      <c r="Y6" s="589"/>
      <c r="Z6" s="589"/>
      <c r="AA6" s="33"/>
      <c r="AB6" t="s">
        <v>500</v>
      </c>
      <c r="AC6" s="24" t="str">
        <f>IF(H6=""," ",H6*Inputs!$B$39)</f>
        <v xml:space="preserve"> </v>
      </c>
      <c r="AD6" s="24" t="str">
        <f>IF(I6=""," ",I6*Inputs!$B$39)</f>
        <v xml:space="preserve"> </v>
      </c>
      <c r="AE6" s="24" t="str">
        <f>IF(J6=""," ",J6*Inputs!$B$39)</f>
        <v xml:space="preserve"> </v>
      </c>
      <c r="AF6" s="24" t="str">
        <f>IF(K6=""," ",K6*Inputs!$B$39)</f>
        <v xml:space="preserve"> </v>
      </c>
      <c r="AG6" s="24" t="str">
        <f>IF(L6=""," ",L6*Inputs!$B$39)</f>
        <v xml:space="preserve"> </v>
      </c>
      <c r="AH6" s="24" t="str">
        <f>IF(M6=""," ",M6*Inputs!$B$39)</f>
        <v xml:space="preserve"> </v>
      </c>
      <c r="AI6" s="24" t="str">
        <f>IF(N6=""," ",N6*Inputs!$B$39)</f>
        <v xml:space="preserve"> </v>
      </c>
      <c r="AJ6" s="24" t="str">
        <f>IF(O6=""," ",O6*Inputs!$B$39)</f>
        <v xml:space="preserve"> </v>
      </c>
      <c r="AK6" s="24" t="str">
        <f>IF(P6=""," ",P6*Inputs!$B$39)</f>
        <v xml:space="preserve"> </v>
      </c>
      <c r="AL6" s="24" t="str">
        <f>IF(Q6=""," ",Q6*Inputs!$B$39)</f>
        <v xml:space="preserve"> </v>
      </c>
      <c r="AM6" s="24" t="str">
        <f>IF(R6=""," ",R6*Inputs!$B$39)</f>
        <v xml:space="preserve"> </v>
      </c>
      <c r="AN6" s="24" t="str">
        <f>IF(S6=""," ",S6*Inputs!$B$39)</f>
        <v xml:space="preserve"> </v>
      </c>
      <c r="AO6" s="24" t="str">
        <f>IF(T6=""," ",T6*Inputs!$B$39)</f>
        <v xml:space="preserve"> </v>
      </c>
      <c r="AP6" s="24" t="str">
        <f>IF(U6=""," ",U6*Inputs!$B$39)</f>
        <v xml:space="preserve"> </v>
      </c>
      <c r="AQ6" s="24" t="str">
        <f>IF(V6=""," ",V6*Inputs!$B$39)</f>
        <v xml:space="preserve"> </v>
      </c>
      <c r="AR6" s="24" t="str">
        <f>IF(W6=""," ",W6*Inputs!$B$39)</f>
        <v xml:space="preserve"> </v>
      </c>
      <c r="AT6" s="589"/>
      <c r="AU6" s="589"/>
      <c r="AV6" s="33"/>
      <c r="AW6" t="s">
        <v>500</v>
      </c>
      <c r="AX6" s="32" t="str">
        <f>IF(AC6=" "," ",AC6*Inputs!$B$53)</f>
        <v xml:space="preserve"> </v>
      </c>
      <c r="AY6" s="32" t="str">
        <f>IF(AD6=" "," ",AD6*Inputs!$B$53)</f>
        <v xml:space="preserve"> </v>
      </c>
      <c r="AZ6" s="32" t="str">
        <f>IF(AE6=" "," ",AE6*Inputs!$B$53)</f>
        <v xml:space="preserve"> </v>
      </c>
      <c r="BA6" s="32" t="str">
        <f>IF(AF6=" "," ",AF6*Inputs!$B$53)</f>
        <v xml:space="preserve"> </v>
      </c>
      <c r="BB6" s="32" t="str">
        <f>IF(AG6=" "," ",AG6*Inputs!$B$53)</f>
        <v xml:space="preserve"> </v>
      </c>
      <c r="BC6" s="32" t="str">
        <f>IF(AH6=" "," ",AH6*Inputs!$B$53)</f>
        <v xml:space="preserve"> </v>
      </c>
      <c r="BD6" s="32" t="str">
        <f>IF(AI6=" "," ",AI6*Inputs!$B$53)</f>
        <v xml:space="preserve"> </v>
      </c>
      <c r="BE6" s="32" t="str">
        <f>IF(AJ6=" "," ",AJ6*Inputs!$B$53)</f>
        <v xml:space="preserve"> </v>
      </c>
      <c r="BF6" s="32" t="str">
        <f>IF(AK6=" "," ",AK6*Inputs!$B$53)</f>
        <v xml:space="preserve"> </v>
      </c>
      <c r="BG6" s="32" t="str">
        <f>IF(AL6=" "," ",AL6*Inputs!$B$53)</f>
        <v xml:space="preserve"> </v>
      </c>
      <c r="BH6" s="32" t="str">
        <f>IF(AM6=" "," ",AM6*Inputs!$B$53)</f>
        <v xml:space="preserve"> </v>
      </c>
      <c r="BI6" s="32" t="str">
        <f>IF(AN6=" "," ",AN6*Inputs!$B$53)</f>
        <v xml:space="preserve"> </v>
      </c>
      <c r="BJ6" s="32" t="str">
        <f>IF(AO6=" "," ",AO6*Inputs!$B$53)</f>
        <v xml:space="preserve"> </v>
      </c>
    </row>
    <row r="7" spans="3:62" x14ac:dyDescent="0.25">
      <c r="D7" s="591"/>
      <c r="E7" s="589"/>
      <c r="F7" s="589"/>
      <c r="G7" s="21"/>
      <c r="H7" s="152"/>
      <c r="I7" s="152"/>
      <c r="J7" s="152"/>
      <c r="K7" s="152"/>
      <c r="L7" s="152"/>
      <c r="M7" s="152"/>
      <c r="N7" s="152"/>
      <c r="O7" s="152"/>
      <c r="P7" s="152"/>
      <c r="Q7" s="152"/>
      <c r="R7" s="152"/>
      <c r="S7" s="152"/>
      <c r="T7" s="152"/>
      <c r="U7" s="152"/>
      <c r="V7" s="152"/>
      <c r="W7" s="152"/>
      <c r="Y7" s="591"/>
      <c r="Z7" s="589"/>
      <c r="AA7" s="6"/>
      <c r="AB7" s="30" t="s">
        <v>501</v>
      </c>
      <c r="AC7" s="24" t="str">
        <f>IF(H7=""," ",H7*Inputs!$B$39)</f>
        <v xml:space="preserve"> </v>
      </c>
      <c r="AD7" s="24" t="str">
        <f>IF(I7=""," ",I7*Inputs!$B$39)</f>
        <v xml:space="preserve"> </v>
      </c>
      <c r="AE7" s="24" t="str">
        <f>IF(J7=""," ",J7*Inputs!$B$39)</f>
        <v xml:space="preserve"> </v>
      </c>
      <c r="AF7" s="24" t="str">
        <f>IF(K7=""," ",K7*Inputs!$B$39)</f>
        <v xml:space="preserve"> </v>
      </c>
      <c r="AG7" s="24" t="str">
        <f>IF(L7=""," ",L7*Inputs!$B$39)</f>
        <v xml:space="preserve"> </v>
      </c>
      <c r="AH7" s="24" t="str">
        <f>IF(M7=""," ",M7*Inputs!$B$39)</f>
        <v xml:space="preserve"> </v>
      </c>
      <c r="AI7" s="24" t="str">
        <f>IF(N7=""," ",N7*Inputs!$B$39)</f>
        <v xml:space="preserve"> </v>
      </c>
      <c r="AJ7" s="24" t="str">
        <f>IF(O7=""," ",O7*Inputs!$B$39)</f>
        <v xml:space="preserve"> </v>
      </c>
      <c r="AK7" s="24" t="str">
        <f>IF(P7=""," ",P7*Inputs!$B$39)</f>
        <v xml:space="preserve"> </v>
      </c>
      <c r="AL7" s="24" t="str">
        <f>IF(Q7=""," ",Q7*Inputs!$B$39)</f>
        <v xml:space="preserve"> </v>
      </c>
      <c r="AM7" s="24" t="str">
        <f>IF(R7=""," ",R7*Inputs!$B$39)</f>
        <v xml:space="preserve"> </v>
      </c>
      <c r="AN7" s="24" t="str">
        <f>IF(S7=""," ",S7*Inputs!$B$39)</f>
        <v xml:space="preserve"> </v>
      </c>
      <c r="AO7" s="24" t="str">
        <f>IF(T7=""," ",T7*Inputs!$B$39)</f>
        <v xml:space="preserve"> </v>
      </c>
      <c r="AP7" s="24" t="str">
        <f>IF(U7=""," ",U7*Inputs!$B$39)</f>
        <v xml:space="preserve"> </v>
      </c>
      <c r="AQ7" s="24" t="str">
        <f>IF(V7=""," ",V7*Inputs!$B$39)</f>
        <v xml:space="preserve"> </v>
      </c>
      <c r="AR7" s="24" t="str">
        <f>IF(W7=""," ",W7*Inputs!$B$39)</f>
        <v xml:space="preserve"> </v>
      </c>
      <c r="AT7" s="591"/>
      <c r="AU7" s="589"/>
      <c r="AV7" s="6"/>
      <c r="AW7" s="30" t="s">
        <v>501</v>
      </c>
      <c r="AX7" s="32" t="str">
        <f>IF(AC7=" "," ",AC7*Inputs!$B$53)</f>
        <v xml:space="preserve"> </v>
      </c>
      <c r="AY7" s="32" t="str">
        <f>IF(AD7=" "," ",AD7*Inputs!$B$53)</f>
        <v xml:space="preserve"> </v>
      </c>
      <c r="AZ7" s="32" t="str">
        <f>IF(AE7=" "," ",AE7*Inputs!$B$53)</f>
        <v xml:space="preserve"> </v>
      </c>
      <c r="BA7" s="32" t="str">
        <f>IF(AF7=" "," ",AF7*Inputs!$B$53)</f>
        <v xml:space="preserve"> </v>
      </c>
      <c r="BB7" s="32" t="str">
        <f>IF(AG7=" "," ",AG7*Inputs!$B$53)</f>
        <v xml:space="preserve"> </v>
      </c>
      <c r="BC7" s="32" t="str">
        <f>IF(AH7=" "," ",AH7*Inputs!$B$53)</f>
        <v xml:space="preserve"> </v>
      </c>
      <c r="BD7" s="32" t="str">
        <f>IF(AI7=" "," ",AI7*Inputs!$B$53)</f>
        <v xml:space="preserve"> </v>
      </c>
      <c r="BE7" s="32" t="str">
        <f>IF(AJ7=" "," ",AJ7*Inputs!$B$53)</f>
        <v xml:space="preserve"> </v>
      </c>
      <c r="BF7" s="32" t="str">
        <f>IF(AK7=" "," ",AK7*Inputs!$B$53)</f>
        <v xml:space="preserve"> </v>
      </c>
      <c r="BG7" s="32" t="str">
        <f>IF(AL7=" "," ",AL7*Inputs!$B$53)</f>
        <v xml:space="preserve"> </v>
      </c>
      <c r="BH7" s="32" t="str">
        <f>IF(AM7=" "," ",AM7*Inputs!$B$53)</f>
        <v xml:space="preserve"> </v>
      </c>
      <c r="BI7" s="32" t="str">
        <f>IF(AN7=" "," ",AN7*Inputs!$B$53)</f>
        <v xml:space="preserve"> </v>
      </c>
      <c r="BJ7" s="32" t="str">
        <f>IF(AO7=" "," ",AO7*Inputs!$B$53)</f>
        <v xml:space="preserve"> </v>
      </c>
    </row>
    <row r="8" spans="3:62" x14ac:dyDescent="0.25">
      <c r="D8" s="593"/>
      <c r="E8" s="589"/>
      <c r="F8" s="595"/>
      <c r="G8" s="150"/>
      <c r="H8" s="151"/>
      <c r="I8" s="151"/>
      <c r="J8" s="151"/>
      <c r="K8" s="151"/>
      <c r="L8" s="151"/>
      <c r="M8" s="151"/>
      <c r="N8" s="151"/>
      <c r="O8" s="151"/>
      <c r="P8" s="151"/>
      <c r="Q8" s="151"/>
      <c r="R8" s="151"/>
      <c r="S8" s="151"/>
      <c r="T8" s="151"/>
      <c r="U8" s="151"/>
      <c r="V8" s="151"/>
      <c r="W8" s="151"/>
      <c r="Y8" s="593"/>
      <c r="Z8" s="589"/>
      <c r="AA8" s="32">
        <v>-0.18152649014928621</v>
      </c>
      <c r="AB8" s="25" t="s">
        <v>498</v>
      </c>
      <c r="AC8" s="24" t="str">
        <f>IF(H8=""," ",H8*Inputs!$B$39)</f>
        <v xml:space="preserve"> </v>
      </c>
      <c r="AD8" s="24" t="str">
        <f>IF(I8=""," ",I8*Inputs!$B$39)</f>
        <v xml:space="preserve"> </v>
      </c>
      <c r="AE8" s="24" t="str">
        <f>IF(J8=""," ",J8*Inputs!$B$39)</f>
        <v xml:space="preserve"> </v>
      </c>
      <c r="AF8" s="24" t="str">
        <f>IF(K8=""," ",K8*Inputs!$B$39)</f>
        <v xml:space="preserve"> </v>
      </c>
      <c r="AG8" s="24" t="str">
        <f>IF(L8=""," ",L8*Inputs!$B$39)</f>
        <v xml:space="preserve"> </v>
      </c>
      <c r="AH8" s="24" t="str">
        <f>IF(M8=""," ",M8*Inputs!$B$39)</f>
        <v xml:space="preserve"> </v>
      </c>
      <c r="AI8" s="24" t="str">
        <f>IF(N8=""," ",N8*Inputs!$B$39)</f>
        <v xml:space="preserve"> </v>
      </c>
      <c r="AJ8" s="24" t="str">
        <f>IF(O8=""," ",O8*Inputs!$B$39)</f>
        <v xml:space="preserve"> </v>
      </c>
      <c r="AK8" s="24" t="str">
        <f>IF(P8=""," ",P8*Inputs!$B$39)</f>
        <v xml:space="preserve"> </v>
      </c>
      <c r="AL8" s="24" t="str">
        <f>IF(Q8=""," ",Q8*Inputs!$B$39)</f>
        <v xml:space="preserve"> </v>
      </c>
      <c r="AM8" s="24" t="str">
        <f>IF(R8=""," ",R8*Inputs!$B$39)</f>
        <v xml:space="preserve"> </v>
      </c>
      <c r="AN8" s="24" t="str">
        <f>IF(S8=""," ",S8*Inputs!$B$39)</f>
        <v xml:space="preserve"> </v>
      </c>
      <c r="AO8" s="24" t="str">
        <f>IF(T8=""," ",T8*Inputs!$B$39)</f>
        <v xml:space="preserve"> </v>
      </c>
      <c r="AP8" s="24" t="str">
        <f>IF(U8=""," ",U8*Inputs!$B$39)</f>
        <v xml:space="preserve"> </v>
      </c>
      <c r="AQ8" s="24" t="str">
        <f>IF(V8=""," ",V8*Inputs!$B$39)</f>
        <v xml:space="preserve"> </v>
      </c>
      <c r="AR8" s="24" t="str">
        <f>IF(W8=""," ",W8*Inputs!$B$39)</f>
        <v xml:space="preserve"> </v>
      </c>
      <c r="AT8" s="593"/>
      <c r="AU8" s="589"/>
      <c r="AV8" s="32">
        <v>-0.18152649014928621</v>
      </c>
      <c r="AW8" s="25" t="s">
        <v>498</v>
      </c>
      <c r="AX8" s="32" t="str">
        <f>IF(AC8=" "," ",AC8*Inputs!$B$53)</f>
        <v xml:space="preserve"> </v>
      </c>
      <c r="AY8" s="32" t="str">
        <f>IF(AD8=" "," ",AD8*Inputs!$B$53)</f>
        <v xml:space="preserve"> </v>
      </c>
      <c r="AZ8" s="32" t="str">
        <f>IF(AE8=" "," ",AE8*Inputs!$B$53)</f>
        <v xml:space="preserve"> </v>
      </c>
      <c r="BA8" s="32" t="str">
        <f>IF(AF8=" "," ",AF8*Inputs!$B$53)</f>
        <v xml:space="preserve"> </v>
      </c>
      <c r="BB8" s="32" t="str">
        <f>IF(AG8=" "," ",AG8*Inputs!$B$53)</f>
        <v xml:space="preserve"> </v>
      </c>
      <c r="BC8" s="32" t="str">
        <f>IF(AH8=" "," ",AH8*Inputs!$B$53)</f>
        <v xml:space="preserve"> </v>
      </c>
      <c r="BD8" s="32" t="str">
        <f>IF(AI8=" "," ",AI8*Inputs!$B$53)</f>
        <v xml:space="preserve"> </v>
      </c>
      <c r="BE8" s="32" t="str">
        <f>IF(AJ8=" "," ",AJ8*Inputs!$B$53)</f>
        <v xml:space="preserve"> </v>
      </c>
      <c r="BF8" s="32" t="str">
        <f>IF(AK8=" "," ",AK8*Inputs!$B$53)</f>
        <v xml:space="preserve"> </v>
      </c>
      <c r="BG8" s="32" t="str">
        <f>IF(AL8=" "," ",AL8*Inputs!$B$53)</f>
        <v xml:space="preserve"> </v>
      </c>
      <c r="BH8" s="32" t="str">
        <f>IF(AM8=" "," ",AM8*Inputs!$B$53)</f>
        <v xml:space="preserve"> </v>
      </c>
      <c r="BI8" s="32" t="str">
        <f>IF(AN8=" "," ",AN8*Inputs!$B$53)</f>
        <v xml:space="preserve"> </v>
      </c>
      <c r="BJ8" s="32" t="str">
        <f>IF(AO8=" "," ",AO8*Inputs!$B$53)</f>
        <v xml:space="preserve"> </v>
      </c>
    </row>
    <row r="9" spans="3:62" x14ac:dyDescent="0.25">
      <c r="D9" s="589"/>
      <c r="E9" s="589"/>
      <c r="F9" s="589"/>
      <c r="G9" s="21"/>
      <c r="H9" s="152"/>
      <c r="I9" s="152"/>
      <c r="J9" s="152"/>
      <c r="K9" s="152"/>
      <c r="L9" s="152"/>
      <c r="M9" s="152"/>
      <c r="N9" s="152"/>
      <c r="O9" s="152"/>
      <c r="P9" s="152"/>
      <c r="Q9" s="152"/>
      <c r="R9" s="152"/>
      <c r="S9" s="152"/>
      <c r="T9" s="152"/>
      <c r="U9" s="152"/>
      <c r="V9" s="152"/>
      <c r="W9" s="152"/>
      <c r="Y9" s="589"/>
      <c r="Z9" s="589"/>
      <c r="AA9" s="33"/>
      <c r="AB9" t="s">
        <v>499</v>
      </c>
      <c r="AC9" s="24" t="str">
        <f>IF(H9=""," ",H9*Inputs!$B$39)</f>
        <v xml:space="preserve"> </v>
      </c>
      <c r="AD9" s="24" t="str">
        <f>IF(I9=""," ",I9*Inputs!$B$39)</f>
        <v xml:space="preserve"> </v>
      </c>
      <c r="AE9" s="24" t="str">
        <f>IF(J9=""," ",J9*Inputs!$B$39)</f>
        <v xml:space="preserve"> </v>
      </c>
      <c r="AF9" s="24" t="str">
        <f>IF(K9=""," ",K9*Inputs!$B$39)</f>
        <v xml:space="preserve"> </v>
      </c>
      <c r="AG9" s="24" t="str">
        <f>IF(L9=""," ",L9*Inputs!$B$39)</f>
        <v xml:space="preserve"> </v>
      </c>
      <c r="AH9" s="24" t="str">
        <f>IF(M9=""," ",M9*Inputs!$B$39)</f>
        <v xml:space="preserve"> </v>
      </c>
      <c r="AI9" s="24" t="str">
        <f>IF(N9=""," ",N9*Inputs!$B$39)</f>
        <v xml:space="preserve"> </v>
      </c>
      <c r="AJ9" s="24" t="str">
        <f>IF(O9=""," ",O9*Inputs!$B$39)</f>
        <v xml:space="preserve"> </v>
      </c>
      <c r="AK9" s="24" t="str">
        <f>IF(P9=""," ",P9*Inputs!$B$39)</f>
        <v xml:space="preserve"> </v>
      </c>
      <c r="AL9" s="24" t="str">
        <f>IF(Q9=""," ",Q9*Inputs!$B$39)</f>
        <v xml:space="preserve"> </v>
      </c>
      <c r="AM9" s="24" t="str">
        <f>IF(R9=""," ",R9*Inputs!$B$39)</f>
        <v xml:space="preserve"> </v>
      </c>
      <c r="AN9" s="24" t="str">
        <f>IF(S9=""," ",S9*Inputs!$B$39)</f>
        <v xml:space="preserve"> </v>
      </c>
      <c r="AO9" s="24" t="str">
        <f>IF(T9=""," ",T9*Inputs!$B$39)</f>
        <v xml:space="preserve"> </v>
      </c>
      <c r="AP9" s="24" t="str">
        <f>IF(U9=""," ",U9*Inputs!$B$39)</f>
        <v xml:space="preserve"> </v>
      </c>
      <c r="AQ9" s="24" t="str">
        <f>IF(V9=""," ",V9*Inputs!$B$39)</f>
        <v xml:space="preserve"> </v>
      </c>
      <c r="AR9" s="24" t="str">
        <f>IF(W9=""," ",W9*Inputs!$B$39)</f>
        <v xml:space="preserve"> </v>
      </c>
      <c r="AT9" s="589"/>
      <c r="AU9" s="589"/>
      <c r="AV9" s="33"/>
      <c r="AW9" t="s">
        <v>499</v>
      </c>
      <c r="AX9" s="32" t="str">
        <f>IF(AC9=" "," ",AC9*Inputs!$B$53)</f>
        <v xml:space="preserve"> </v>
      </c>
      <c r="AY9" s="32" t="str">
        <f>IF(AD9=" "," ",AD9*Inputs!$B$53)</f>
        <v xml:space="preserve"> </v>
      </c>
      <c r="AZ9" s="32" t="str">
        <f>IF(AE9=" "," ",AE9*Inputs!$B$53)</f>
        <v xml:space="preserve"> </v>
      </c>
      <c r="BA9" s="32" t="str">
        <f>IF(AF9=" "," ",AF9*Inputs!$B$53)</f>
        <v xml:space="preserve"> </v>
      </c>
      <c r="BB9" s="32" t="str">
        <f>IF(AG9=" "," ",AG9*Inputs!$B$53)</f>
        <v xml:space="preserve"> </v>
      </c>
      <c r="BC9" s="32" t="str">
        <f>IF(AH9=" "," ",AH9*Inputs!$B$53)</f>
        <v xml:space="preserve"> </v>
      </c>
      <c r="BD9" s="32" t="str">
        <f>IF(AI9=" "," ",AI9*Inputs!$B$53)</f>
        <v xml:space="preserve"> </v>
      </c>
      <c r="BE9" s="32" t="str">
        <f>IF(AJ9=" "," ",AJ9*Inputs!$B$53)</f>
        <v xml:space="preserve"> </v>
      </c>
      <c r="BF9" s="32" t="str">
        <f>IF(AK9=" "," ",AK9*Inputs!$B$53)</f>
        <v xml:space="preserve"> </v>
      </c>
      <c r="BG9" s="32" t="str">
        <f>IF(AL9=" "," ",AL9*Inputs!$B$53)</f>
        <v xml:space="preserve"> </v>
      </c>
      <c r="BH9" s="32" t="str">
        <f>IF(AM9=" "," ",AM9*Inputs!$B$53)</f>
        <v xml:space="preserve"> </v>
      </c>
      <c r="BI9" s="32" t="str">
        <f>IF(AN9=" "," ",AN9*Inputs!$B$53)</f>
        <v xml:space="preserve"> </v>
      </c>
      <c r="BJ9" s="32" t="str">
        <f>IF(AO9=" "," ",AO9*Inputs!$B$53)</f>
        <v xml:space="preserve"> </v>
      </c>
    </row>
    <row r="10" spans="3:62" x14ac:dyDescent="0.25">
      <c r="D10" s="589"/>
      <c r="E10" s="589"/>
      <c r="F10" s="589"/>
      <c r="G10" s="21"/>
      <c r="H10" s="152"/>
      <c r="I10" s="152"/>
      <c r="J10" s="152"/>
      <c r="K10" s="152"/>
      <c r="L10" s="152"/>
      <c r="M10" s="152"/>
      <c r="N10" s="152"/>
      <c r="O10" s="152"/>
      <c r="P10" s="152"/>
      <c r="Q10" s="152"/>
      <c r="R10" s="152"/>
      <c r="S10" s="152"/>
      <c r="T10" s="152"/>
      <c r="U10" s="152"/>
      <c r="V10" s="152"/>
      <c r="W10" s="152"/>
      <c r="Y10" s="589"/>
      <c r="Z10" s="589"/>
      <c r="AA10" s="33"/>
      <c r="AB10" t="s">
        <v>500</v>
      </c>
      <c r="AC10" s="24" t="str">
        <f>IF(H10=""," ",H10*Inputs!$B$39)</f>
        <v xml:space="preserve"> </v>
      </c>
      <c r="AD10" s="24" t="str">
        <f>IF(I10=""," ",I10*Inputs!$B$39)</f>
        <v xml:space="preserve"> </v>
      </c>
      <c r="AE10" s="24" t="str">
        <f>IF(J10=""," ",J10*Inputs!$B$39)</f>
        <v xml:space="preserve"> </v>
      </c>
      <c r="AF10" s="24" t="str">
        <f>IF(K10=""," ",K10*Inputs!$B$39)</f>
        <v xml:space="preserve"> </v>
      </c>
      <c r="AG10" s="24" t="str">
        <f>IF(L10=""," ",L10*Inputs!$B$39)</f>
        <v xml:space="preserve"> </v>
      </c>
      <c r="AH10" s="24" t="str">
        <f>IF(M10=""," ",M10*Inputs!$B$39)</f>
        <v xml:space="preserve"> </v>
      </c>
      <c r="AI10" s="24" t="str">
        <f>IF(N10=""," ",N10*Inputs!$B$39)</f>
        <v xml:space="preserve"> </v>
      </c>
      <c r="AJ10" s="24" t="str">
        <f>IF(O10=""," ",O10*Inputs!$B$39)</f>
        <v xml:space="preserve"> </v>
      </c>
      <c r="AK10" s="24" t="str">
        <f>IF(P10=""," ",P10*Inputs!$B$39)</f>
        <v xml:space="preserve"> </v>
      </c>
      <c r="AL10" s="24" t="str">
        <f>IF(Q10=""," ",Q10*Inputs!$B$39)</f>
        <v xml:space="preserve"> </v>
      </c>
      <c r="AM10" s="24" t="str">
        <f>IF(R10=""," ",R10*Inputs!$B$39)</f>
        <v xml:space="preserve"> </v>
      </c>
      <c r="AN10" s="24" t="str">
        <f>IF(S10=""," ",S10*Inputs!$B$39)</f>
        <v xml:space="preserve"> </v>
      </c>
      <c r="AO10" s="24" t="str">
        <f>IF(T10=""," ",T10*Inputs!$B$39)</f>
        <v xml:space="preserve"> </v>
      </c>
      <c r="AP10" s="24" t="str">
        <f>IF(U10=""," ",U10*Inputs!$B$39)</f>
        <v xml:space="preserve"> </v>
      </c>
      <c r="AQ10" s="24" t="str">
        <f>IF(V10=""," ",V10*Inputs!$B$39)</f>
        <v xml:space="preserve"> </v>
      </c>
      <c r="AR10" s="24" t="str">
        <f>IF(W10=""," ",W10*Inputs!$B$39)</f>
        <v xml:space="preserve"> </v>
      </c>
      <c r="AT10" s="589"/>
      <c r="AU10" s="589"/>
      <c r="AV10" s="33"/>
      <c r="AW10" t="s">
        <v>500</v>
      </c>
      <c r="AX10" s="32" t="str">
        <f>IF(AC10=" "," ",AC10*Inputs!$B$53)</f>
        <v xml:space="preserve"> </v>
      </c>
      <c r="AY10" s="32" t="str">
        <f>IF(AD10=" "," ",AD10*Inputs!$B$53)</f>
        <v xml:space="preserve"> </v>
      </c>
      <c r="AZ10" s="32" t="str">
        <f>IF(AE10=" "," ",AE10*Inputs!$B$53)</f>
        <v xml:space="preserve"> </v>
      </c>
      <c r="BA10" s="32" t="str">
        <f>IF(AF10=" "," ",AF10*Inputs!$B$53)</f>
        <v xml:space="preserve"> </v>
      </c>
      <c r="BB10" s="32" t="str">
        <f>IF(AG10=" "," ",AG10*Inputs!$B$53)</f>
        <v xml:space="preserve"> </v>
      </c>
      <c r="BC10" s="32" t="str">
        <f>IF(AH10=" "," ",AH10*Inputs!$B$53)</f>
        <v xml:space="preserve"> </v>
      </c>
      <c r="BD10" s="32" t="str">
        <f>IF(AI10=" "," ",AI10*Inputs!$B$53)</f>
        <v xml:space="preserve"> </v>
      </c>
      <c r="BE10" s="32" t="str">
        <f>IF(AJ10=" "," ",AJ10*Inputs!$B$53)</f>
        <v xml:space="preserve"> </v>
      </c>
      <c r="BF10" s="32" t="str">
        <f>IF(AK10=" "," ",AK10*Inputs!$B$53)</f>
        <v xml:space="preserve"> </v>
      </c>
      <c r="BG10" s="32" t="str">
        <f>IF(AL10=" "," ",AL10*Inputs!$B$53)</f>
        <v xml:space="preserve"> </v>
      </c>
      <c r="BH10" s="32" t="str">
        <f>IF(AM10=" "," ",AM10*Inputs!$B$53)</f>
        <v xml:space="preserve"> </v>
      </c>
      <c r="BI10" s="32" t="str">
        <f>IF(AN10=" "," ",AN10*Inputs!$B$53)</f>
        <v xml:space="preserve"> </v>
      </c>
      <c r="BJ10" s="32" t="str">
        <f>IF(AO10=" "," ",AO10*Inputs!$B$53)</f>
        <v xml:space="preserve"> </v>
      </c>
    </row>
    <row r="11" spans="3:62" x14ac:dyDescent="0.25">
      <c r="D11" s="591"/>
      <c r="E11" s="591"/>
      <c r="F11" s="591"/>
      <c r="G11" s="21"/>
      <c r="H11" s="152"/>
      <c r="I11" s="152"/>
      <c r="J11" s="152"/>
      <c r="K11" s="152"/>
      <c r="L11" s="152"/>
      <c r="M11" s="152"/>
      <c r="N11" s="152"/>
      <c r="O11" s="152"/>
      <c r="P11" s="152"/>
      <c r="Q11" s="152"/>
      <c r="R11" s="152"/>
      <c r="S11" s="152"/>
      <c r="T11" s="152"/>
      <c r="U11" s="152"/>
      <c r="V11" s="152"/>
      <c r="W11" s="152"/>
      <c r="Y11" s="591"/>
      <c r="Z11" s="591"/>
      <c r="AA11" s="6"/>
      <c r="AB11" s="30" t="s">
        <v>501</v>
      </c>
      <c r="AC11" s="24" t="str">
        <f>IF(H11=""," ",H11*Inputs!$B$39)</f>
        <v xml:space="preserve"> </v>
      </c>
      <c r="AD11" s="24" t="str">
        <f>IF(I11=""," ",I11*Inputs!$B$39)</f>
        <v xml:space="preserve"> </v>
      </c>
      <c r="AE11" s="24" t="str">
        <f>IF(J11=""," ",J11*Inputs!$B$39)</f>
        <v xml:space="preserve"> </v>
      </c>
      <c r="AF11" s="24" t="str">
        <f>IF(K11=""," ",K11*Inputs!$B$39)</f>
        <v xml:space="preserve"> </v>
      </c>
      <c r="AG11" s="24" t="str">
        <f>IF(L11=""," ",L11*Inputs!$B$39)</f>
        <v xml:space="preserve"> </v>
      </c>
      <c r="AH11" s="24" t="str">
        <f>IF(M11=""," ",M11*Inputs!$B$39)</f>
        <v xml:space="preserve"> </v>
      </c>
      <c r="AI11" s="24" t="str">
        <f>IF(N11=""," ",N11*Inputs!$B$39)</f>
        <v xml:space="preserve"> </v>
      </c>
      <c r="AJ11" s="24" t="str">
        <f>IF(O11=""," ",O11*Inputs!$B$39)</f>
        <v xml:space="preserve"> </v>
      </c>
      <c r="AK11" s="24" t="str">
        <f>IF(P11=""," ",P11*Inputs!$B$39)</f>
        <v xml:space="preserve"> </v>
      </c>
      <c r="AL11" s="24" t="str">
        <f>IF(Q11=""," ",Q11*Inputs!$B$39)</f>
        <v xml:space="preserve"> </v>
      </c>
      <c r="AM11" s="24" t="str">
        <f>IF(R11=""," ",R11*Inputs!$B$39)</f>
        <v xml:space="preserve"> </v>
      </c>
      <c r="AN11" s="24" t="str">
        <f>IF(S11=""," ",S11*Inputs!$B$39)</f>
        <v xml:space="preserve"> </v>
      </c>
      <c r="AO11" s="24" t="str">
        <f>IF(T11=""," ",T11*Inputs!$B$39)</f>
        <v xml:space="preserve"> </v>
      </c>
      <c r="AP11" s="24" t="str">
        <f>IF(U11=""," ",U11*Inputs!$B$39)</f>
        <v xml:space="preserve"> </v>
      </c>
      <c r="AQ11" s="24" t="str">
        <f>IF(V11=""," ",V11*Inputs!$B$39)</f>
        <v xml:space="preserve"> </v>
      </c>
      <c r="AR11" s="24" t="str">
        <f>IF(W11=""," ",W11*Inputs!$B$39)</f>
        <v xml:space="preserve"> </v>
      </c>
      <c r="AT11" s="591"/>
      <c r="AU11" s="591"/>
      <c r="AV11" s="6"/>
      <c r="AW11" s="30" t="s">
        <v>501</v>
      </c>
      <c r="AX11" s="32" t="str">
        <f>IF(AC11=" "," ",AC11*Inputs!$B$53)</f>
        <v xml:space="preserve"> </v>
      </c>
      <c r="AY11" s="32" t="str">
        <f>IF(AD11=" "," ",AD11*Inputs!$B$53)</f>
        <v xml:space="preserve"> </v>
      </c>
      <c r="AZ11" s="32" t="str">
        <f>IF(AE11=" "," ",AE11*Inputs!$B$53)</f>
        <v xml:space="preserve"> </v>
      </c>
      <c r="BA11" s="32" t="str">
        <f>IF(AF11=" "," ",AF11*Inputs!$B$53)</f>
        <v xml:space="preserve"> </v>
      </c>
      <c r="BB11" s="32" t="str">
        <f>IF(AG11=" "," ",AG11*Inputs!$B$53)</f>
        <v xml:space="preserve"> </v>
      </c>
      <c r="BC11" s="32" t="str">
        <f>IF(AH11=" "," ",AH11*Inputs!$B$53)</f>
        <v xml:space="preserve"> </v>
      </c>
      <c r="BD11" s="32" t="str">
        <f>IF(AI11=" "," ",AI11*Inputs!$B$53)</f>
        <v xml:space="preserve"> </v>
      </c>
      <c r="BE11" s="32" t="str">
        <f>IF(AJ11=" "," ",AJ11*Inputs!$B$53)</f>
        <v xml:space="preserve"> </v>
      </c>
      <c r="BF11" s="32" t="str">
        <f>IF(AK11=" "," ",AK11*Inputs!$B$53)</f>
        <v xml:space="preserve"> </v>
      </c>
      <c r="BG11" s="32" t="str">
        <f>IF(AL11=" "," ",AL11*Inputs!$B$53)</f>
        <v xml:space="preserve"> </v>
      </c>
      <c r="BH11" s="32" t="str">
        <f>IF(AM11=" "," ",AM11*Inputs!$B$53)</f>
        <v xml:space="preserve"> </v>
      </c>
      <c r="BI11" s="32" t="str">
        <f>IF(AN11=" "," ",AN11*Inputs!$B$53)</f>
        <v xml:space="preserve"> </v>
      </c>
      <c r="BJ11" s="32" t="str">
        <f>IF(AO11=" "," ",AO11*Inputs!$B$53)</f>
        <v xml:space="preserve"> </v>
      </c>
    </row>
    <row r="12" spans="3:62" x14ac:dyDescent="0.25">
      <c r="D12" s="590"/>
      <c r="E12" s="592" t="s">
        <v>7</v>
      </c>
      <c r="F12" s="595"/>
      <c r="G12" s="150"/>
      <c r="H12" s="151"/>
      <c r="I12" s="151"/>
      <c r="J12" s="151"/>
      <c r="K12" s="151"/>
      <c r="L12" s="151"/>
      <c r="M12" s="151"/>
      <c r="N12" s="151"/>
      <c r="O12" s="151"/>
      <c r="P12" s="151"/>
      <c r="Q12" s="151"/>
      <c r="R12" s="151"/>
      <c r="S12" s="151"/>
      <c r="T12" s="151"/>
      <c r="U12" s="151"/>
      <c r="V12" s="151"/>
      <c r="W12" s="151"/>
      <c r="Y12" s="590"/>
      <c r="Z12" s="592" t="s">
        <v>7</v>
      </c>
      <c r="AA12" s="32">
        <v>-0.202571700672278</v>
      </c>
      <c r="AB12" s="25" t="s">
        <v>498</v>
      </c>
      <c r="AC12" s="24" t="str">
        <f>IF(H12=""," ",H12*Inputs!$B$39)</f>
        <v xml:space="preserve"> </v>
      </c>
      <c r="AD12" s="24" t="str">
        <f>IF(I12=""," ",I12*Inputs!$B$39)</f>
        <v xml:space="preserve"> </v>
      </c>
      <c r="AE12" s="24" t="str">
        <f>IF(J12=""," ",J12*Inputs!$B$39)</f>
        <v xml:space="preserve"> </v>
      </c>
      <c r="AF12" s="24" t="str">
        <f>IF(K12=""," ",K12*Inputs!$B$39)</f>
        <v xml:space="preserve"> </v>
      </c>
      <c r="AG12" s="24" t="str">
        <f>IF(L12=""," ",L12*Inputs!$B$39)</f>
        <v xml:space="preserve"> </v>
      </c>
      <c r="AH12" s="24" t="str">
        <f>IF(M12=""," ",M12*Inputs!$B$39)</f>
        <v xml:space="preserve"> </v>
      </c>
      <c r="AI12" s="24" t="str">
        <f>IF(N12=""," ",N12*Inputs!$B$39)</f>
        <v xml:space="preserve"> </v>
      </c>
      <c r="AJ12" s="24" t="str">
        <f>IF(O12=""," ",O12*Inputs!$B$39)</f>
        <v xml:space="preserve"> </v>
      </c>
      <c r="AK12" s="24" t="str">
        <f>IF(P12=""," ",P12*Inputs!$B$39)</f>
        <v xml:space="preserve"> </v>
      </c>
      <c r="AL12" s="24" t="str">
        <f>IF(Q12=""," ",Q12*Inputs!$B$39)</f>
        <v xml:space="preserve"> </v>
      </c>
      <c r="AM12" s="24" t="str">
        <f>IF(R12=""," ",R12*Inputs!$B$39)</f>
        <v xml:space="preserve"> </v>
      </c>
      <c r="AN12" s="24" t="str">
        <f>IF(S12=""," ",S12*Inputs!$B$39)</f>
        <v xml:space="preserve"> </v>
      </c>
      <c r="AO12" s="24" t="str">
        <f>IF(T12=""," ",T12*Inputs!$B$39)</f>
        <v xml:space="preserve"> </v>
      </c>
      <c r="AP12" s="24" t="str">
        <f>IF(U12=""," ",U12*Inputs!$B$39)</f>
        <v xml:space="preserve"> </v>
      </c>
      <c r="AQ12" s="24" t="str">
        <f>IF(V12=""," ",V12*Inputs!$B$39)</f>
        <v xml:space="preserve"> </v>
      </c>
      <c r="AR12" s="24" t="str">
        <f>IF(W12=""," ",W12*Inputs!$B$39)</f>
        <v xml:space="preserve"> </v>
      </c>
      <c r="AT12" s="590"/>
      <c r="AU12" s="592" t="s">
        <v>7</v>
      </c>
      <c r="AV12" s="32">
        <v>-0.202571700672278</v>
      </c>
      <c r="AW12" s="25" t="s">
        <v>498</v>
      </c>
      <c r="AX12" s="32" t="str">
        <f>IF(AC12=" "," ",AC12*Inputs!$B$54)</f>
        <v xml:space="preserve"> </v>
      </c>
      <c r="AY12" s="32" t="str">
        <f>IF(AD12=" "," ",AD12*Inputs!$B$54)</f>
        <v xml:space="preserve"> </v>
      </c>
      <c r="AZ12" s="32" t="str">
        <f>IF(AE12=" "," ",AE12*Inputs!$B$54)</f>
        <v xml:space="preserve"> </v>
      </c>
      <c r="BA12" s="32" t="str">
        <f>IF(AF12=" "," ",AF12*Inputs!$B$54)</f>
        <v xml:space="preserve"> </v>
      </c>
      <c r="BB12" s="32" t="str">
        <f>IF(AG12=" "," ",AG12*Inputs!$B$54)</f>
        <v xml:space="preserve"> </v>
      </c>
      <c r="BC12" s="32" t="str">
        <f>IF(AH12=" "," ",AH12*Inputs!$B$54)</f>
        <v xml:space="preserve"> </v>
      </c>
      <c r="BD12" s="32" t="str">
        <f>IF(AI12=" "," ",AI12*Inputs!$B$54)</f>
        <v xml:space="preserve"> </v>
      </c>
      <c r="BE12" s="32" t="str">
        <f>IF(AJ12=" "," ",AJ12*Inputs!$B$54)</f>
        <v xml:space="preserve"> </v>
      </c>
      <c r="BF12" s="32" t="str">
        <f>IF(AK12=" "," ",AK12*Inputs!$B$54)</f>
        <v xml:space="preserve"> </v>
      </c>
      <c r="BG12" s="32" t="str">
        <f>IF(AL12=" "," ",AL12*Inputs!$B$54)</f>
        <v xml:space="preserve"> </v>
      </c>
      <c r="BH12" s="32" t="str">
        <f>IF(AM12=" "," ",AM12*Inputs!$B$54)</f>
        <v xml:space="preserve"> </v>
      </c>
      <c r="BI12" s="32" t="str">
        <f>IF(AN12=" "," ",AN12*Inputs!$B$54)</f>
        <v xml:space="preserve"> </v>
      </c>
      <c r="BJ12" s="32" t="str">
        <f>IF(AO12=" "," ",AO12*Inputs!$B$54)</f>
        <v xml:space="preserve"> </v>
      </c>
    </row>
    <row r="13" spans="3:62" x14ac:dyDescent="0.25">
      <c r="D13" s="589"/>
      <c r="E13" s="589"/>
      <c r="F13" s="589"/>
      <c r="G13" s="21"/>
      <c r="H13" s="152"/>
      <c r="I13" s="152"/>
      <c r="J13" s="152"/>
      <c r="K13" s="152"/>
      <c r="L13" s="152"/>
      <c r="M13" s="152"/>
      <c r="N13" s="152"/>
      <c r="O13" s="152"/>
      <c r="P13" s="152"/>
      <c r="Q13" s="152"/>
      <c r="R13" s="152"/>
      <c r="S13" s="152"/>
      <c r="T13" s="152"/>
      <c r="U13" s="152"/>
      <c r="V13" s="152"/>
      <c r="W13" s="152"/>
      <c r="Y13" s="589"/>
      <c r="Z13" s="589"/>
      <c r="AA13" s="33"/>
      <c r="AB13" t="s">
        <v>499</v>
      </c>
      <c r="AC13" s="24" t="str">
        <f>IF(H13=""," ",H13*Inputs!$B$39)</f>
        <v xml:space="preserve"> </v>
      </c>
      <c r="AD13" s="24" t="str">
        <f>IF(I13=""," ",I13*Inputs!$B$39)</f>
        <v xml:space="preserve"> </v>
      </c>
      <c r="AE13" s="24" t="str">
        <f>IF(J13=""," ",J13*Inputs!$B$39)</f>
        <v xml:space="preserve"> </v>
      </c>
      <c r="AF13" s="24" t="str">
        <f>IF(K13=""," ",K13*Inputs!$B$39)</f>
        <v xml:space="preserve"> </v>
      </c>
      <c r="AG13" s="24" t="str">
        <f>IF(L13=""," ",L13*Inputs!$B$39)</f>
        <v xml:space="preserve"> </v>
      </c>
      <c r="AH13" s="24" t="str">
        <f>IF(M13=""," ",M13*Inputs!$B$39)</f>
        <v xml:space="preserve"> </v>
      </c>
      <c r="AI13" s="24" t="str">
        <f>IF(N13=""," ",N13*Inputs!$B$39)</f>
        <v xml:space="preserve"> </v>
      </c>
      <c r="AJ13" s="24" t="str">
        <f>IF(O13=""," ",O13*Inputs!$B$39)</f>
        <v xml:space="preserve"> </v>
      </c>
      <c r="AK13" s="24" t="str">
        <f>IF(P13=""," ",P13*Inputs!$B$39)</f>
        <v xml:space="preserve"> </v>
      </c>
      <c r="AL13" s="24" t="str">
        <f>IF(Q13=""," ",Q13*Inputs!$B$39)</f>
        <v xml:space="preserve"> </v>
      </c>
      <c r="AM13" s="24" t="str">
        <f>IF(R13=""," ",R13*Inputs!$B$39)</f>
        <v xml:space="preserve"> </v>
      </c>
      <c r="AN13" s="24" t="str">
        <f>IF(S13=""," ",S13*Inputs!$B$39)</f>
        <v xml:space="preserve"> </v>
      </c>
      <c r="AO13" s="24" t="str">
        <f>IF(T13=""," ",T13*Inputs!$B$39)</f>
        <v xml:space="preserve"> </v>
      </c>
      <c r="AP13" s="24" t="str">
        <f>IF(U13=""," ",U13*Inputs!$B$39)</f>
        <v xml:space="preserve"> </v>
      </c>
      <c r="AQ13" s="24" t="str">
        <f>IF(V13=""," ",V13*Inputs!$B$39)</f>
        <v xml:space="preserve"> </v>
      </c>
      <c r="AR13" s="24" t="str">
        <f>IF(W13=""," ",W13*Inputs!$B$39)</f>
        <v xml:space="preserve"> </v>
      </c>
      <c r="AT13" s="589"/>
      <c r="AU13" s="589"/>
      <c r="AV13" s="33"/>
      <c r="AW13" t="s">
        <v>499</v>
      </c>
      <c r="AX13" s="32" t="str">
        <f>IF(AC13=" "," ",AC13*Inputs!$B$54)</f>
        <v xml:space="preserve"> </v>
      </c>
      <c r="AY13" s="32" t="str">
        <f>IF(AD13=" "," ",AD13*Inputs!$B$54)</f>
        <v xml:space="preserve"> </v>
      </c>
      <c r="AZ13" s="32" t="str">
        <f>IF(AE13=" "," ",AE13*Inputs!$B$54)</f>
        <v xml:space="preserve"> </v>
      </c>
      <c r="BA13" s="32" t="str">
        <f>IF(AF13=" "," ",AF13*Inputs!$B$54)</f>
        <v xml:space="preserve"> </v>
      </c>
      <c r="BB13" s="32" t="str">
        <f>IF(AG13=" "," ",AG13*Inputs!$B$54)</f>
        <v xml:space="preserve"> </v>
      </c>
      <c r="BC13" s="32" t="str">
        <f>IF(AH13=" "," ",AH13*Inputs!$B$54)</f>
        <v xml:space="preserve"> </v>
      </c>
      <c r="BD13" s="32" t="str">
        <f>IF(AI13=" "," ",AI13*Inputs!$B$54)</f>
        <v xml:space="preserve"> </v>
      </c>
      <c r="BE13" s="32" t="str">
        <f>IF(AJ13=" "," ",AJ13*Inputs!$B$54)</f>
        <v xml:space="preserve"> </v>
      </c>
      <c r="BF13" s="32" t="str">
        <f>IF(AK13=" "," ",AK13*Inputs!$B$54)</f>
        <v xml:space="preserve"> </v>
      </c>
      <c r="BG13" s="32" t="str">
        <f>IF(AL13=" "," ",AL13*Inputs!$B$54)</f>
        <v xml:space="preserve"> </v>
      </c>
      <c r="BH13" s="32" t="str">
        <f>IF(AM13=" "," ",AM13*Inputs!$B$54)</f>
        <v xml:space="preserve"> </v>
      </c>
      <c r="BI13" s="32" t="str">
        <f>IF(AN13=" "," ",AN13*Inputs!$B$54)</f>
        <v xml:space="preserve"> </v>
      </c>
      <c r="BJ13" s="32" t="str">
        <f>IF(AO13=" "," ",AO13*Inputs!$B$54)</f>
        <v xml:space="preserve"> </v>
      </c>
    </row>
    <row r="14" spans="3:62" x14ac:dyDescent="0.25">
      <c r="D14" s="589"/>
      <c r="E14" s="589"/>
      <c r="F14" s="589"/>
      <c r="G14" s="21"/>
      <c r="H14" s="152"/>
      <c r="I14" s="152"/>
      <c r="J14" s="152"/>
      <c r="K14" s="152"/>
      <c r="L14" s="152"/>
      <c r="M14" s="152"/>
      <c r="N14" s="152"/>
      <c r="O14" s="152"/>
      <c r="P14" s="152"/>
      <c r="Q14" s="152"/>
      <c r="R14" s="152"/>
      <c r="S14" s="152"/>
      <c r="T14" s="152"/>
      <c r="U14" s="152"/>
      <c r="V14" s="152"/>
      <c r="W14" s="152"/>
      <c r="Y14" s="589"/>
      <c r="Z14" s="589"/>
      <c r="AA14" s="33"/>
      <c r="AB14" t="s">
        <v>500</v>
      </c>
      <c r="AC14" s="24" t="str">
        <f>IF(H14=""," ",H14*Inputs!$B$39)</f>
        <v xml:space="preserve"> </v>
      </c>
      <c r="AD14" s="24" t="str">
        <f>IF(I14=""," ",I14*Inputs!$B$39)</f>
        <v xml:space="preserve"> </v>
      </c>
      <c r="AE14" s="24" t="str">
        <f>IF(J14=""," ",J14*Inputs!$B$39)</f>
        <v xml:space="preserve"> </v>
      </c>
      <c r="AF14" s="24" t="str">
        <f>IF(K14=""," ",K14*Inputs!$B$39)</f>
        <v xml:space="preserve"> </v>
      </c>
      <c r="AG14" s="24" t="str">
        <f>IF(L14=""," ",L14*Inputs!$B$39)</f>
        <v xml:space="preserve"> </v>
      </c>
      <c r="AH14" s="24" t="str">
        <f>IF(M14=""," ",M14*Inputs!$B$39)</f>
        <v xml:space="preserve"> </v>
      </c>
      <c r="AI14" s="24" t="str">
        <f>IF(N14=""," ",N14*Inputs!$B$39)</f>
        <v xml:space="preserve"> </v>
      </c>
      <c r="AJ14" s="24" t="str">
        <f>IF(O14=""," ",O14*Inputs!$B$39)</f>
        <v xml:space="preserve"> </v>
      </c>
      <c r="AK14" s="24" t="str">
        <f>IF(P14=""," ",P14*Inputs!$B$39)</f>
        <v xml:space="preserve"> </v>
      </c>
      <c r="AL14" s="24" t="str">
        <f>IF(Q14=""," ",Q14*Inputs!$B$39)</f>
        <v xml:space="preserve"> </v>
      </c>
      <c r="AM14" s="24" t="str">
        <f>IF(R14=""," ",R14*Inputs!$B$39)</f>
        <v xml:space="preserve"> </v>
      </c>
      <c r="AN14" s="24" t="str">
        <f>IF(S14=""," ",S14*Inputs!$B$39)</f>
        <v xml:space="preserve"> </v>
      </c>
      <c r="AO14" s="24" t="str">
        <f>IF(T14=""," ",T14*Inputs!$B$39)</f>
        <v xml:space="preserve"> </v>
      </c>
      <c r="AP14" s="24" t="str">
        <f>IF(U14=""," ",U14*Inputs!$B$39)</f>
        <v xml:space="preserve"> </v>
      </c>
      <c r="AQ14" s="24" t="str">
        <f>IF(V14=""," ",V14*Inputs!$B$39)</f>
        <v xml:space="preserve"> </v>
      </c>
      <c r="AR14" s="24" t="str">
        <f>IF(W14=""," ",W14*Inputs!$B$39)</f>
        <v xml:space="preserve"> </v>
      </c>
      <c r="AT14" s="589"/>
      <c r="AU14" s="589"/>
      <c r="AV14" s="33"/>
      <c r="AW14" t="s">
        <v>500</v>
      </c>
      <c r="AX14" s="32" t="str">
        <f>IF(AC14=" "," ",AC14*Inputs!$B$54)</f>
        <v xml:space="preserve"> </v>
      </c>
      <c r="AY14" s="32" t="str">
        <f>IF(AD14=" "," ",AD14*Inputs!$B$54)</f>
        <v xml:space="preserve"> </v>
      </c>
      <c r="AZ14" s="32" t="str">
        <f>IF(AE14=" "," ",AE14*Inputs!$B$54)</f>
        <v xml:space="preserve"> </v>
      </c>
      <c r="BA14" s="32" t="str">
        <f>IF(AF14=" "," ",AF14*Inputs!$B$54)</f>
        <v xml:space="preserve"> </v>
      </c>
      <c r="BB14" s="32" t="str">
        <f>IF(AG14=" "," ",AG14*Inputs!$B$54)</f>
        <v xml:space="preserve"> </v>
      </c>
      <c r="BC14" s="32" t="str">
        <f>IF(AH14=" "," ",AH14*Inputs!$B$54)</f>
        <v xml:space="preserve"> </v>
      </c>
      <c r="BD14" s="32" t="str">
        <f>IF(AI14=" "," ",AI14*Inputs!$B$54)</f>
        <v xml:space="preserve"> </v>
      </c>
      <c r="BE14" s="32" t="str">
        <f>IF(AJ14=" "," ",AJ14*Inputs!$B$54)</f>
        <v xml:space="preserve"> </v>
      </c>
      <c r="BF14" s="32" t="str">
        <f>IF(AK14=" "," ",AK14*Inputs!$B$54)</f>
        <v xml:space="preserve"> </v>
      </c>
      <c r="BG14" s="32" t="str">
        <f>IF(AL14=" "," ",AL14*Inputs!$B$54)</f>
        <v xml:space="preserve"> </v>
      </c>
      <c r="BH14" s="32" t="str">
        <f>IF(AM14=" "," ",AM14*Inputs!$B$54)</f>
        <v xml:space="preserve"> </v>
      </c>
      <c r="BI14" s="32" t="str">
        <f>IF(AN14=" "," ",AN14*Inputs!$B$54)</f>
        <v xml:space="preserve"> </v>
      </c>
      <c r="BJ14" s="32" t="str">
        <f>IF(AO14=" "," ",AO14*Inputs!$B$54)</f>
        <v xml:space="preserve"> </v>
      </c>
    </row>
    <row r="15" spans="3:62" x14ac:dyDescent="0.25">
      <c r="D15" s="591"/>
      <c r="E15" s="589"/>
      <c r="F15" s="591"/>
      <c r="G15" s="149"/>
      <c r="H15" s="153"/>
      <c r="I15" s="153"/>
      <c r="J15" s="153"/>
      <c r="K15" s="153"/>
      <c r="L15" s="153"/>
      <c r="M15" s="153"/>
      <c r="N15" s="153"/>
      <c r="O15" s="153"/>
      <c r="P15" s="153"/>
      <c r="Q15" s="153"/>
      <c r="R15" s="153"/>
      <c r="S15" s="153"/>
      <c r="T15" s="153"/>
      <c r="U15" s="153"/>
      <c r="V15" s="153"/>
      <c r="W15" s="153"/>
      <c r="Y15" s="591"/>
      <c r="Z15" s="589"/>
      <c r="AA15" s="6"/>
      <c r="AB15" s="30" t="s">
        <v>501</v>
      </c>
      <c r="AC15" s="24" t="str">
        <f>IF(H15=""," ",H15*Inputs!$B$39)</f>
        <v xml:space="preserve"> </v>
      </c>
      <c r="AD15" s="24" t="str">
        <f>IF(I15=""," ",I15*Inputs!$B$39)</f>
        <v xml:space="preserve"> </v>
      </c>
      <c r="AE15" s="24" t="str">
        <f>IF(J15=""," ",J15*Inputs!$B$39)</f>
        <v xml:space="preserve"> </v>
      </c>
      <c r="AF15" s="24" t="str">
        <f>IF(K15=""," ",K15*Inputs!$B$39)</f>
        <v xml:space="preserve"> </v>
      </c>
      <c r="AG15" s="24" t="str">
        <f>IF(L15=""," ",L15*Inputs!$B$39)</f>
        <v xml:space="preserve"> </v>
      </c>
      <c r="AH15" s="24" t="str">
        <f>IF(M15=""," ",M15*Inputs!$B$39)</f>
        <v xml:space="preserve"> </v>
      </c>
      <c r="AI15" s="24" t="str">
        <f>IF(N15=""," ",N15*Inputs!$B$39)</f>
        <v xml:space="preserve"> </v>
      </c>
      <c r="AJ15" s="24" t="str">
        <f>IF(O15=""," ",O15*Inputs!$B$39)</f>
        <v xml:space="preserve"> </v>
      </c>
      <c r="AK15" s="24" t="str">
        <f>IF(P15=""," ",P15*Inputs!$B$39)</f>
        <v xml:space="preserve"> </v>
      </c>
      <c r="AL15" s="24" t="str">
        <f>IF(Q15=""," ",Q15*Inputs!$B$39)</f>
        <v xml:space="preserve"> </v>
      </c>
      <c r="AM15" s="24" t="str">
        <f>IF(R15=""," ",R15*Inputs!$B$39)</f>
        <v xml:space="preserve"> </v>
      </c>
      <c r="AN15" s="24" t="str">
        <f>IF(S15=""," ",S15*Inputs!$B$39)</f>
        <v xml:space="preserve"> </v>
      </c>
      <c r="AO15" s="24" t="str">
        <f>IF(T15=""," ",T15*Inputs!$B$39)</f>
        <v xml:space="preserve"> </v>
      </c>
      <c r="AP15" s="24" t="str">
        <f>IF(U15=""," ",U15*Inputs!$B$39)</f>
        <v xml:space="preserve"> </v>
      </c>
      <c r="AQ15" s="24" t="str">
        <f>IF(V15=""," ",V15*Inputs!$B$39)</f>
        <v xml:space="preserve"> </v>
      </c>
      <c r="AR15" s="24" t="str">
        <f>IF(W15=""," ",W15*Inputs!$B$39)</f>
        <v xml:space="preserve"> </v>
      </c>
      <c r="AT15" s="591"/>
      <c r="AU15" s="589"/>
      <c r="AV15" s="6"/>
      <c r="AW15" s="30" t="s">
        <v>501</v>
      </c>
      <c r="AX15" s="32" t="str">
        <f>IF(AC15=" "," ",AC15*Inputs!$B$54)</f>
        <v xml:space="preserve"> </v>
      </c>
      <c r="AY15" s="32" t="str">
        <f>IF(AD15=" "," ",AD15*Inputs!$B$54)</f>
        <v xml:space="preserve"> </v>
      </c>
      <c r="AZ15" s="32" t="str">
        <f>IF(AE15=" "," ",AE15*Inputs!$B$54)</f>
        <v xml:space="preserve"> </v>
      </c>
      <c r="BA15" s="32" t="str">
        <f>IF(AF15=" "," ",AF15*Inputs!$B$54)</f>
        <v xml:space="preserve"> </v>
      </c>
      <c r="BB15" s="32" t="str">
        <f>IF(AG15=" "," ",AG15*Inputs!$B$54)</f>
        <v xml:space="preserve"> </v>
      </c>
      <c r="BC15" s="32" t="str">
        <f>IF(AH15=" "," ",AH15*Inputs!$B$54)</f>
        <v xml:space="preserve"> </v>
      </c>
      <c r="BD15" s="32" t="str">
        <f>IF(AI15=" "," ",AI15*Inputs!$B$54)</f>
        <v xml:space="preserve"> </v>
      </c>
      <c r="BE15" s="32" t="str">
        <f>IF(AJ15=" "," ",AJ15*Inputs!$B$54)</f>
        <v xml:space="preserve"> </v>
      </c>
      <c r="BF15" s="32" t="str">
        <f>IF(AK15=" "," ",AK15*Inputs!$B$54)</f>
        <v xml:space="preserve"> </v>
      </c>
      <c r="BG15" s="32" t="str">
        <f>IF(AL15=" "," ",AL15*Inputs!$B$54)</f>
        <v xml:space="preserve"> </v>
      </c>
      <c r="BH15" s="32" t="str">
        <f>IF(AM15=" "," ",AM15*Inputs!$B$54)</f>
        <v xml:space="preserve"> </v>
      </c>
      <c r="BI15" s="32" t="str">
        <f>IF(AN15=" "," ",AN15*Inputs!$B$54)</f>
        <v xml:space="preserve"> </v>
      </c>
      <c r="BJ15" s="32" t="str">
        <f>IF(AO15=" "," ",AO15*Inputs!$B$54)</f>
        <v xml:space="preserve"> </v>
      </c>
    </row>
    <row r="16" spans="3:62" x14ac:dyDescent="0.25">
      <c r="D16" s="596"/>
      <c r="E16" s="589"/>
      <c r="F16" s="595"/>
      <c r="G16" s="21"/>
      <c r="H16" s="152"/>
      <c r="I16" s="152"/>
      <c r="J16" s="152"/>
      <c r="K16" s="152"/>
      <c r="L16" s="152"/>
      <c r="M16" s="152"/>
      <c r="N16" s="152"/>
      <c r="O16" s="152"/>
      <c r="P16" s="152"/>
      <c r="Q16" s="152"/>
      <c r="R16" s="152"/>
      <c r="S16" s="152"/>
      <c r="T16" s="152"/>
      <c r="U16" s="152"/>
      <c r="V16" s="152"/>
      <c r="W16" s="152"/>
      <c r="Y16" s="596"/>
      <c r="Z16" s="589"/>
      <c r="AA16" s="32">
        <v>-0.20027915142327271</v>
      </c>
      <c r="AB16" s="25" t="s">
        <v>498</v>
      </c>
      <c r="AC16" s="24" t="str">
        <f>IF(H16=""," ",H16*Inputs!$B$39)</f>
        <v xml:space="preserve"> </v>
      </c>
      <c r="AD16" s="24" t="str">
        <f>IF(I16=""," ",I16*Inputs!$B$39)</f>
        <v xml:space="preserve"> </v>
      </c>
      <c r="AE16" s="24" t="str">
        <f>IF(J16=""," ",J16*Inputs!$B$39)</f>
        <v xml:space="preserve"> </v>
      </c>
      <c r="AF16" s="24" t="str">
        <f>IF(K16=""," ",K16*Inputs!$B$39)</f>
        <v xml:space="preserve"> </v>
      </c>
      <c r="AG16" s="24" t="str">
        <f>IF(L16=""," ",L16*Inputs!$B$39)</f>
        <v xml:space="preserve"> </v>
      </c>
      <c r="AH16" s="24" t="str">
        <f>IF(M16=""," ",M16*Inputs!$B$39)</f>
        <v xml:space="preserve"> </v>
      </c>
      <c r="AI16" s="24" t="str">
        <f>IF(N16=""," ",N16*Inputs!$B$39)</f>
        <v xml:space="preserve"> </v>
      </c>
      <c r="AJ16" s="24" t="str">
        <f>IF(O16=""," ",O16*Inputs!$B$39)</f>
        <v xml:space="preserve"> </v>
      </c>
      <c r="AK16" s="24" t="str">
        <f>IF(P16=""," ",P16*Inputs!$B$39)</f>
        <v xml:space="preserve"> </v>
      </c>
      <c r="AL16" s="24" t="str">
        <f>IF(Q16=""," ",Q16*Inputs!$B$39)</f>
        <v xml:space="preserve"> </v>
      </c>
      <c r="AM16" s="24" t="str">
        <f>IF(R16=""," ",R16*Inputs!$B$39)</f>
        <v xml:space="preserve"> </v>
      </c>
      <c r="AN16" s="24" t="str">
        <f>IF(S16=""," ",S16*Inputs!$B$39)</f>
        <v xml:space="preserve"> </v>
      </c>
      <c r="AO16" s="24" t="str">
        <f>IF(T16=""," ",T16*Inputs!$B$39)</f>
        <v xml:space="preserve"> </v>
      </c>
      <c r="AP16" s="24" t="str">
        <f>IF(U16=""," ",U16*Inputs!$B$39)</f>
        <v xml:space="preserve"> </v>
      </c>
      <c r="AQ16" s="24" t="str">
        <f>IF(V16=""," ",V16*Inputs!$B$39)</f>
        <v xml:space="preserve"> </v>
      </c>
      <c r="AR16" s="24" t="str">
        <f>IF(W16=""," ",W16*Inputs!$B$39)</f>
        <v xml:space="preserve"> </v>
      </c>
      <c r="AT16" s="596"/>
      <c r="AU16" s="589"/>
      <c r="AV16" s="32">
        <v>-0.20027915142327271</v>
      </c>
      <c r="AW16" s="25" t="s">
        <v>498</v>
      </c>
      <c r="AX16" s="32" t="str">
        <f>IF(AC16=" "," ",AC16*Inputs!$B$54)</f>
        <v xml:space="preserve"> </v>
      </c>
      <c r="AY16" s="32" t="str">
        <f>IF(AD16=" "," ",AD16*Inputs!$B$54)</f>
        <v xml:space="preserve"> </v>
      </c>
      <c r="AZ16" s="32" t="str">
        <f>IF(AE16=" "," ",AE16*Inputs!$B$54)</f>
        <v xml:space="preserve"> </v>
      </c>
      <c r="BA16" s="32" t="str">
        <f>IF(AF16=" "," ",AF16*Inputs!$B$54)</f>
        <v xml:space="preserve"> </v>
      </c>
      <c r="BB16" s="32" t="str">
        <f>IF(AG16=" "," ",AG16*Inputs!$B$54)</f>
        <v xml:space="preserve"> </v>
      </c>
      <c r="BC16" s="32" t="str">
        <f>IF(AH16=" "," ",AH16*Inputs!$B$54)</f>
        <v xml:space="preserve"> </v>
      </c>
      <c r="BD16" s="32" t="str">
        <f>IF(AI16=" "," ",AI16*Inputs!$B$54)</f>
        <v xml:space="preserve"> </v>
      </c>
      <c r="BE16" s="32" t="str">
        <f>IF(AJ16=" "," ",AJ16*Inputs!$B$54)</f>
        <v xml:space="preserve"> </v>
      </c>
      <c r="BF16" s="32" t="str">
        <f>IF(AK16=" "," ",AK16*Inputs!$B$54)</f>
        <v xml:space="preserve"> </v>
      </c>
      <c r="BG16" s="32" t="str">
        <f>IF(AL16=" "," ",AL16*Inputs!$B$54)</f>
        <v xml:space="preserve"> </v>
      </c>
      <c r="BH16" s="32" t="str">
        <f>IF(AM16=" "," ",AM16*Inputs!$B$54)</f>
        <v xml:space="preserve"> </v>
      </c>
      <c r="BI16" s="32" t="str">
        <f>IF(AN16=" "," ",AN16*Inputs!$B$54)</f>
        <v xml:space="preserve"> </v>
      </c>
      <c r="BJ16" s="32" t="str">
        <f>IF(AO16=" "," ",AO16*Inputs!$B$54)</f>
        <v xml:space="preserve"> </v>
      </c>
    </row>
    <row r="17" spans="3:62" x14ac:dyDescent="0.25">
      <c r="D17" s="589"/>
      <c r="E17" s="589"/>
      <c r="F17" s="589"/>
      <c r="G17" s="21"/>
      <c r="H17" s="152"/>
      <c r="I17" s="152"/>
      <c r="J17" s="152"/>
      <c r="K17" s="152"/>
      <c r="L17" s="152"/>
      <c r="M17" s="152"/>
      <c r="N17" s="152"/>
      <c r="O17" s="152"/>
      <c r="P17" s="152"/>
      <c r="Q17" s="152"/>
      <c r="R17" s="152"/>
      <c r="S17" s="152"/>
      <c r="T17" s="152"/>
      <c r="U17" s="152"/>
      <c r="V17" s="152"/>
      <c r="W17" s="152"/>
      <c r="Y17" s="589"/>
      <c r="Z17" s="589"/>
      <c r="AA17" s="33"/>
      <c r="AB17" t="s">
        <v>499</v>
      </c>
      <c r="AC17" s="24" t="str">
        <f>IF(H17=""," ",H17*Inputs!$B$39)</f>
        <v xml:space="preserve"> </v>
      </c>
      <c r="AD17" s="24" t="str">
        <f>IF(I17=""," ",I17*Inputs!$B$39)</f>
        <v xml:space="preserve"> </v>
      </c>
      <c r="AE17" s="24" t="str">
        <f>IF(J17=""," ",J17*Inputs!$B$39)</f>
        <v xml:space="preserve"> </v>
      </c>
      <c r="AF17" s="24" t="str">
        <f>IF(K17=""," ",K17*Inputs!$B$39)</f>
        <v xml:space="preserve"> </v>
      </c>
      <c r="AG17" s="24" t="str">
        <f>IF(L17=""," ",L17*Inputs!$B$39)</f>
        <v xml:space="preserve"> </v>
      </c>
      <c r="AH17" s="24" t="str">
        <f>IF(M17=""," ",M17*Inputs!$B$39)</f>
        <v xml:space="preserve"> </v>
      </c>
      <c r="AI17" s="24" t="str">
        <f>IF(N17=""," ",N17*Inputs!$B$39)</f>
        <v xml:space="preserve"> </v>
      </c>
      <c r="AJ17" s="24" t="str">
        <f>IF(O17=""," ",O17*Inputs!$B$39)</f>
        <v xml:space="preserve"> </v>
      </c>
      <c r="AK17" s="24" t="str">
        <f>IF(P17=""," ",P17*Inputs!$B$39)</f>
        <v xml:space="preserve"> </v>
      </c>
      <c r="AL17" s="24" t="str">
        <f>IF(Q17=""," ",Q17*Inputs!$B$39)</f>
        <v xml:space="preserve"> </v>
      </c>
      <c r="AM17" s="24" t="str">
        <f>IF(R17=""," ",R17*Inputs!$B$39)</f>
        <v xml:space="preserve"> </v>
      </c>
      <c r="AN17" s="24" t="str">
        <f>IF(S17=""," ",S17*Inputs!$B$39)</f>
        <v xml:space="preserve"> </v>
      </c>
      <c r="AO17" s="24" t="str">
        <f>IF(T17=""," ",T17*Inputs!$B$39)</f>
        <v xml:space="preserve"> </v>
      </c>
      <c r="AP17" s="24" t="str">
        <f>IF(U17=""," ",U17*Inputs!$B$39)</f>
        <v xml:space="preserve"> </v>
      </c>
      <c r="AQ17" s="24" t="str">
        <f>IF(V17=""," ",V17*Inputs!$B$39)</f>
        <v xml:space="preserve"> </v>
      </c>
      <c r="AR17" s="24" t="str">
        <f>IF(W17=""," ",W17*Inputs!$B$39)</f>
        <v xml:space="preserve"> </v>
      </c>
      <c r="AT17" s="589"/>
      <c r="AU17" s="589"/>
      <c r="AV17" s="33"/>
      <c r="AW17" t="s">
        <v>499</v>
      </c>
      <c r="AX17" s="32" t="str">
        <f>IF(AC17=" "," ",AC17*Inputs!$B$54)</f>
        <v xml:space="preserve"> </v>
      </c>
      <c r="AY17" s="32" t="str">
        <f>IF(AD17=" "," ",AD17*Inputs!$B$54)</f>
        <v xml:space="preserve"> </v>
      </c>
      <c r="AZ17" s="32" t="str">
        <f>IF(AE17=" "," ",AE17*Inputs!$B$54)</f>
        <v xml:space="preserve"> </v>
      </c>
      <c r="BA17" s="32" t="str">
        <f>IF(AF17=" "," ",AF17*Inputs!$B$54)</f>
        <v xml:space="preserve"> </v>
      </c>
      <c r="BB17" s="32" t="str">
        <f>IF(AG17=" "," ",AG17*Inputs!$B$54)</f>
        <v xml:space="preserve"> </v>
      </c>
      <c r="BC17" s="32" t="str">
        <f>IF(AH17=" "," ",AH17*Inputs!$B$54)</f>
        <v xml:space="preserve"> </v>
      </c>
      <c r="BD17" s="32" t="str">
        <f>IF(AI17=" "," ",AI17*Inputs!$B$54)</f>
        <v xml:space="preserve"> </v>
      </c>
      <c r="BE17" s="32" t="str">
        <f>IF(AJ17=" "," ",AJ17*Inputs!$B$54)</f>
        <v xml:space="preserve"> </v>
      </c>
      <c r="BF17" s="32" t="str">
        <f>IF(AK17=" "," ",AK17*Inputs!$B$54)</f>
        <v xml:space="preserve"> </v>
      </c>
      <c r="BG17" s="32" t="str">
        <f>IF(AL17=" "," ",AL17*Inputs!$B$54)</f>
        <v xml:space="preserve"> </v>
      </c>
      <c r="BH17" s="32" t="str">
        <f>IF(AM17=" "," ",AM17*Inputs!$B$54)</f>
        <v xml:space="preserve"> </v>
      </c>
      <c r="BI17" s="32" t="str">
        <f>IF(AN17=" "," ",AN17*Inputs!$B$54)</f>
        <v xml:space="preserve"> </v>
      </c>
      <c r="BJ17" s="32" t="str">
        <f>IF(AO17=" "," ",AO17*Inputs!$B$54)</f>
        <v xml:space="preserve"> </v>
      </c>
    </row>
    <row r="18" spans="3:62" x14ac:dyDescent="0.25">
      <c r="D18" s="589"/>
      <c r="E18" s="589"/>
      <c r="F18" s="589"/>
      <c r="G18" s="21"/>
      <c r="H18" s="152"/>
      <c r="I18" s="152"/>
      <c r="J18" s="152"/>
      <c r="K18" s="152"/>
      <c r="L18" s="152"/>
      <c r="M18" s="152"/>
      <c r="N18" s="152"/>
      <c r="O18" s="152"/>
      <c r="P18" s="152"/>
      <c r="Q18" s="152"/>
      <c r="R18" s="152"/>
      <c r="S18" s="152"/>
      <c r="T18" s="152"/>
      <c r="U18" s="152"/>
      <c r="V18" s="152"/>
      <c r="W18" s="152"/>
      <c r="Y18" s="589"/>
      <c r="Z18" s="589"/>
      <c r="AA18" s="33"/>
      <c r="AB18" t="s">
        <v>500</v>
      </c>
      <c r="AC18" s="24" t="str">
        <f>IF(H18=""," ",H18*Inputs!$B$39)</f>
        <v xml:space="preserve"> </v>
      </c>
      <c r="AD18" s="24" t="str">
        <f>IF(I18=""," ",I18*Inputs!$B$39)</f>
        <v xml:space="preserve"> </v>
      </c>
      <c r="AE18" s="24" t="str">
        <f>IF(J18=""," ",J18*Inputs!$B$39)</f>
        <v xml:space="preserve"> </v>
      </c>
      <c r="AF18" s="24" t="str">
        <f>IF(K18=""," ",K18*Inputs!$B$39)</f>
        <v xml:space="preserve"> </v>
      </c>
      <c r="AG18" s="24" t="str">
        <f>IF(L18=""," ",L18*Inputs!$B$39)</f>
        <v xml:space="preserve"> </v>
      </c>
      <c r="AH18" s="24" t="str">
        <f>IF(M18=""," ",M18*Inputs!$B$39)</f>
        <v xml:space="preserve"> </v>
      </c>
      <c r="AI18" s="24" t="str">
        <f>IF(N18=""," ",N18*Inputs!$B$39)</f>
        <v xml:space="preserve"> </v>
      </c>
      <c r="AJ18" s="24" t="str">
        <f>IF(O18=""," ",O18*Inputs!$B$39)</f>
        <v xml:space="preserve"> </v>
      </c>
      <c r="AK18" s="24" t="str">
        <f>IF(P18=""," ",P18*Inputs!$B$39)</f>
        <v xml:space="preserve"> </v>
      </c>
      <c r="AL18" s="24" t="str">
        <f>IF(Q18=""," ",Q18*Inputs!$B$39)</f>
        <v xml:space="preserve"> </v>
      </c>
      <c r="AM18" s="24" t="str">
        <f>IF(R18=""," ",R18*Inputs!$B$39)</f>
        <v xml:space="preserve"> </v>
      </c>
      <c r="AN18" s="24" t="str">
        <f>IF(S18=""," ",S18*Inputs!$B$39)</f>
        <v xml:space="preserve"> </v>
      </c>
      <c r="AO18" s="24" t="str">
        <f>IF(T18=""," ",T18*Inputs!$B$39)</f>
        <v xml:space="preserve"> </v>
      </c>
      <c r="AP18" s="24" t="str">
        <f>IF(U18=""," ",U18*Inputs!$B$39)</f>
        <v xml:space="preserve"> </v>
      </c>
      <c r="AQ18" s="24" t="str">
        <f>IF(V18=""," ",V18*Inputs!$B$39)</f>
        <v xml:space="preserve"> </v>
      </c>
      <c r="AR18" s="24" t="str">
        <f>IF(W18=""," ",W18*Inputs!$B$39)</f>
        <v xml:space="preserve"> </v>
      </c>
      <c r="AT18" s="589"/>
      <c r="AU18" s="589"/>
      <c r="AV18" s="33"/>
      <c r="AW18" t="s">
        <v>500</v>
      </c>
      <c r="AX18" s="32" t="str">
        <f>IF(AC18=" "," ",AC18*Inputs!$B$54)</f>
        <v xml:space="preserve"> </v>
      </c>
      <c r="AY18" s="32" t="str">
        <f>IF(AD18=" "," ",AD18*Inputs!$B$54)</f>
        <v xml:space="preserve"> </v>
      </c>
      <c r="AZ18" s="32" t="str">
        <f>IF(AE18=" "," ",AE18*Inputs!$B$54)</f>
        <v xml:space="preserve"> </v>
      </c>
      <c r="BA18" s="32" t="str">
        <f>IF(AF18=" "," ",AF18*Inputs!$B$54)</f>
        <v xml:space="preserve"> </v>
      </c>
      <c r="BB18" s="32" t="str">
        <f>IF(AG18=" "," ",AG18*Inputs!$B$54)</f>
        <v xml:space="preserve"> </v>
      </c>
      <c r="BC18" s="32" t="str">
        <f>IF(AH18=" "," ",AH18*Inputs!$B$54)</f>
        <v xml:space="preserve"> </v>
      </c>
      <c r="BD18" s="32" t="str">
        <f>IF(AI18=" "," ",AI18*Inputs!$B$54)</f>
        <v xml:space="preserve"> </v>
      </c>
      <c r="BE18" s="32" t="str">
        <f>IF(AJ18=" "," ",AJ18*Inputs!$B$54)</f>
        <v xml:space="preserve"> </v>
      </c>
      <c r="BF18" s="32" t="str">
        <f>IF(AK18=" "," ",AK18*Inputs!$B$54)</f>
        <v xml:space="preserve"> </v>
      </c>
      <c r="BG18" s="32" t="str">
        <f>IF(AL18=" "," ",AL18*Inputs!$B$54)</f>
        <v xml:space="preserve"> </v>
      </c>
      <c r="BH18" s="32" t="str">
        <f>IF(AM18=" "," ",AM18*Inputs!$B$54)</f>
        <v xml:space="preserve"> </v>
      </c>
      <c r="BI18" s="32" t="str">
        <f>IF(AN18=" "," ",AN18*Inputs!$B$54)</f>
        <v xml:space="preserve"> </v>
      </c>
      <c r="BJ18" s="32" t="str">
        <f>IF(AO18=" "," ",AO18*Inputs!$B$54)</f>
        <v xml:space="preserve"> </v>
      </c>
    </row>
    <row r="19" spans="3:62" x14ac:dyDescent="0.25">
      <c r="D19" s="589"/>
      <c r="E19" s="591"/>
      <c r="F19" s="591"/>
      <c r="G19" s="149"/>
      <c r="H19" s="153"/>
      <c r="I19" s="153"/>
      <c r="J19" s="153"/>
      <c r="K19" s="153"/>
      <c r="L19" s="153"/>
      <c r="M19" s="153"/>
      <c r="N19" s="153"/>
      <c r="O19" s="153"/>
      <c r="P19" s="153"/>
      <c r="Q19" s="153"/>
      <c r="R19" s="153"/>
      <c r="S19" s="153"/>
      <c r="T19" s="153"/>
      <c r="U19" s="153"/>
      <c r="V19" s="153"/>
      <c r="W19" s="153"/>
      <c r="Y19" s="589"/>
      <c r="Z19" s="591"/>
      <c r="AA19" s="6"/>
      <c r="AB19" s="30" t="s">
        <v>501</v>
      </c>
      <c r="AC19" s="24" t="str">
        <f>IF(H19=""," ",H19*Inputs!$B$39)</f>
        <v xml:space="preserve"> </v>
      </c>
      <c r="AD19" s="24" t="str">
        <f>IF(I19=""," ",I19*Inputs!$B$39)</f>
        <v xml:space="preserve"> </v>
      </c>
      <c r="AE19" s="24" t="str">
        <f>IF(J19=""," ",J19*Inputs!$B$39)</f>
        <v xml:space="preserve"> </v>
      </c>
      <c r="AF19" s="24" t="str">
        <f>IF(K19=""," ",K19*Inputs!$B$39)</f>
        <v xml:space="preserve"> </v>
      </c>
      <c r="AG19" s="24" t="str">
        <f>IF(L19=""," ",L19*Inputs!$B$39)</f>
        <v xml:space="preserve"> </v>
      </c>
      <c r="AH19" s="24" t="str">
        <f>IF(M19=""," ",M19*Inputs!$B$39)</f>
        <v xml:space="preserve"> </v>
      </c>
      <c r="AI19" s="24" t="str">
        <f>IF(N19=""," ",N19*Inputs!$B$39)</f>
        <v xml:space="preserve"> </v>
      </c>
      <c r="AJ19" s="24" t="str">
        <f>IF(O19=""," ",O19*Inputs!$B$39)</f>
        <v xml:space="preserve"> </v>
      </c>
      <c r="AK19" s="24" t="str">
        <f>IF(P19=""," ",P19*Inputs!$B$39)</f>
        <v xml:space="preserve"> </v>
      </c>
      <c r="AL19" s="24" t="str">
        <f>IF(Q19=""," ",Q19*Inputs!$B$39)</f>
        <v xml:space="preserve"> </v>
      </c>
      <c r="AM19" s="24" t="str">
        <f>IF(R19=""," ",R19*Inputs!$B$39)</f>
        <v xml:space="preserve"> </v>
      </c>
      <c r="AN19" s="24" t="str">
        <f>IF(S19=""," ",S19*Inputs!$B$39)</f>
        <v xml:space="preserve"> </v>
      </c>
      <c r="AO19" s="24" t="str">
        <f>IF(T19=""," ",T19*Inputs!$B$39)</f>
        <v xml:space="preserve"> </v>
      </c>
      <c r="AP19" s="24" t="str">
        <f>IF(U19=""," ",U19*Inputs!$B$39)</f>
        <v xml:space="preserve"> </v>
      </c>
      <c r="AQ19" s="24" t="str">
        <f>IF(V19=""," ",V19*Inputs!$B$39)</f>
        <v xml:space="preserve"> </v>
      </c>
      <c r="AR19" s="24" t="str">
        <f>IF(W19=""," ",W19*Inputs!$B$39)</f>
        <v xml:space="preserve"> </v>
      </c>
      <c r="AT19" s="589"/>
      <c r="AU19" s="591"/>
      <c r="AV19" s="6"/>
      <c r="AW19" s="30" t="s">
        <v>501</v>
      </c>
      <c r="AX19" s="32" t="str">
        <f>IF(AC19=" "," ",AC19*Inputs!$B$54)</f>
        <v xml:space="preserve"> </v>
      </c>
      <c r="AY19" s="32" t="str">
        <f>IF(AD19=" "," ",AD19*Inputs!$B$54)</f>
        <v xml:space="preserve"> </v>
      </c>
      <c r="AZ19" s="32" t="str">
        <f>IF(AE19=" "," ",AE19*Inputs!$B$54)</f>
        <v xml:space="preserve"> </v>
      </c>
      <c r="BA19" s="32" t="str">
        <f>IF(AF19=" "," ",AF19*Inputs!$B$54)</f>
        <v xml:space="preserve"> </v>
      </c>
      <c r="BB19" s="32" t="str">
        <f>IF(AG19=" "," ",AG19*Inputs!$B$54)</f>
        <v xml:space="preserve"> </v>
      </c>
      <c r="BC19" s="32" t="str">
        <f>IF(AH19=" "," ",AH19*Inputs!$B$54)</f>
        <v xml:space="preserve"> </v>
      </c>
      <c r="BD19" s="32" t="str">
        <f>IF(AI19=" "," ",AI19*Inputs!$B$54)</f>
        <v xml:space="preserve"> </v>
      </c>
      <c r="BE19" s="32" t="str">
        <f>IF(AJ19=" "," ",AJ19*Inputs!$B$54)</f>
        <v xml:space="preserve"> </v>
      </c>
      <c r="BF19" s="32" t="str">
        <f>IF(AK19=" "," ",AK19*Inputs!$B$54)</f>
        <v xml:space="preserve"> </v>
      </c>
      <c r="BG19" s="32" t="str">
        <f>IF(AL19=" "," ",AL19*Inputs!$B$54)</f>
        <v xml:space="preserve"> </v>
      </c>
      <c r="BH19" s="32" t="str">
        <f>IF(AM19=" "," ",AM19*Inputs!$B$54)</f>
        <v xml:space="preserve"> </v>
      </c>
      <c r="BI19" s="32" t="str">
        <f>IF(AN19=" "," ",AN19*Inputs!$B$54)</f>
        <v xml:space="preserve"> </v>
      </c>
      <c r="BJ19" s="32" t="str">
        <f>IF(AO19=" "," ",AO19*Inputs!$B$54)</f>
        <v xml:space="preserve"> </v>
      </c>
    </row>
    <row r="21" spans="3:62" x14ac:dyDescent="0.25">
      <c r="C21" t="str">
        <f>"Tilt ="&amp;Inputs!B33</f>
        <v>Tilt =XX</v>
      </c>
      <c r="D21" s="534"/>
      <c r="E21" s="535"/>
      <c r="F21" s="535"/>
      <c r="G21" s="535"/>
      <c r="H21" s="535"/>
      <c r="I21" s="535"/>
      <c r="J21" s="535"/>
      <c r="K21" s="535"/>
      <c r="L21" s="535"/>
      <c r="M21" s="535" t="s">
        <v>502</v>
      </c>
      <c r="N21" s="535"/>
      <c r="O21" s="535"/>
      <c r="P21" s="535"/>
      <c r="Q21" s="535"/>
      <c r="R21" s="535"/>
      <c r="S21" s="535"/>
      <c r="T21" s="535"/>
      <c r="U21" s="535"/>
      <c r="V21" s="535"/>
      <c r="W21" s="536"/>
      <c r="Y21" s="571" t="s">
        <v>503</v>
      </c>
      <c r="Z21" s="572"/>
      <c r="AA21" s="572"/>
      <c r="AB21" s="572"/>
      <c r="AC21" s="572"/>
      <c r="AD21" s="572"/>
      <c r="AE21" s="572"/>
      <c r="AF21" s="572"/>
      <c r="AG21" s="572"/>
      <c r="AH21" s="572"/>
      <c r="AI21" s="572"/>
      <c r="AJ21" s="572"/>
      <c r="AK21" s="572"/>
      <c r="AL21" s="572"/>
      <c r="AM21" s="572"/>
      <c r="AN21" s="572"/>
      <c r="AO21" s="572"/>
      <c r="AP21" s="572"/>
      <c r="AQ21" s="572"/>
      <c r="AR21" s="554"/>
      <c r="AT21" s="571" t="s">
        <v>504</v>
      </c>
      <c r="AU21" s="572"/>
      <c r="AV21" s="572"/>
      <c r="AW21" s="572"/>
      <c r="AX21" s="572"/>
      <c r="AY21" s="572"/>
      <c r="AZ21" s="572"/>
      <c r="BA21" s="572"/>
      <c r="BB21" s="572"/>
      <c r="BC21" s="572"/>
      <c r="BD21" s="572"/>
      <c r="BE21" s="572"/>
      <c r="BF21" s="572"/>
      <c r="BG21" s="572"/>
      <c r="BH21" s="572"/>
      <c r="BI21" s="572"/>
      <c r="BJ21" s="554"/>
    </row>
    <row r="22" spans="3:62" x14ac:dyDescent="0.25">
      <c r="D22" s="209" t="s">
        <v>9</v>
      </c>
      <c r="E22" s="209" t="s">
        <v>495</v>
      </c>
      <c r="F22" s="209" t="s">
        <v>495</v>
      </c>
      <c r="G22" s="308" t="s">
        <v>496</v>
      </c>
      <c r="H22" s="24"/>
      <c r="I22" s="25"/>
      <c r="J22" s="25"/>
      <c r="K22" s="25"/>
      <c r="L22" s="25"/>
      <c r="M22" s="533" t="s">
        <v>497</v>
      </c>
      <c r="N22" s="25"/>
      <c r="O22" s="25"/>
      <c r="P22" s="25"/>
      <c r="Q22" s="25"/>
      <c r="R22" s="25"/>
      <c r="S22" s="25"/>
      <c r="T22" s="25"/>
      <c r="U22" s="25"/>
      <c r="V22" s="25"/>
      <c r="W22" s="26"/>
      <c r="Y22" s="9" t="s">
        <v>9</v>
      </c>
      <c r="Z22" s="9" t="s">
        <v>495</v>
      </c>
      <c r="AA22" s="9" t="s">
        <v>495</v>
      </c>
      <c r="AB22" s="9" t="s">
        <v>496</v>
      </c>
      <c r="AC22" s="594" t="s">
        <v>497</v>
      </c>
      <c r="AD22" s="572"/>
      <c r="AE22" s="572"/>
      <c r="AF22" s="572"/>
      <c r="AG22" s="572"/>
      <c r="AH22" s="572"/>
      <c r="AI22" s="572"/>
      <c r="AJ22" s="572"/>
      <c r="AK22" s="572"/>
      <c r="AL22" s="572"/>
      <c r="AM22" s="572"/>
      <c r="AN22" s="572"/>
      <c r="AO22" s="572"/>
      <c r="AP22" s="572"/>
      <c r="AQ22" s="572"/>
      <c r="AR22" s="554"/>
      <c r="AT22" s="9" t="s">
        <v>9</v>
      </c>
      <c r="AU22" s="9" t="s">
        <v>495</v>
      </c>
      <c r="AV22" s="9" t="s">
        <v>495</v>
      </c>
      <c r="AW22" s="9" t="s">
        <v>496</v>
      </c>
      <c r="AX22" s="594" t="s">
        <v>497</v>
      </c>
      <c r="AY22" s="572"/>
      <c r="AZ22" s="572"/>
      <c r="BA22" s="572"/>
      <c r="BB22" s="572"/>
      <c r="BC22" s="572"/>
      <c r="BD22" s="572"/>
      <c r="BE22" s="572"/>
      <c r="BF22" s="572"/>
      <c r="BG22" s="572"/>
      <c r="BH22" s="572"/>
      <c r="BI22" s="572"/>
      <c r="BJ22" s="554"/>
    </row>
    <row r="23" spans="3:62" x14ac:dyDescent="0.25">
      <c r="D23" s="590"/>
      <c r="E23" s="592" t="s">
        <v>6</v>
      </c>
      <c r="F23" s="588"/>
      <c r="G23" s="150"/>
      <c r="H23" s="151"/>
      <c r="I23" s="151"/>
      <c r="J23" s="151"/>
      <c r="K23" s="151"/>
      <c r="L23" s="151"/>
      <c r="M23" s="151"/>
      <c r="N23" s="151"/>
      <c r="O23" s="151"/>
      <c r="P23" s="151"/>
      <c r="Q23" s="151"/>
      <c r="R23" s="151"/>
      <c r="S23" s="151"/>
      <c r="T23" s="151"/>
      <c r="U23" s="151"/>
      <c r="V23" s="151"/>
      <c r="W23" s="151"/>
      <c r="Y23" s="590"/>
      <c r="Z23" s="592" t="s">
        <v>6</v>
      </c>
      <c r="AA23" s="32">
        <v>7.3847716160808735E-2</v>
      </c>
      <c r="AB23" s="24" t="s">
        <v>498</v>
      </c>
      <c r="AC23" s="24" t="str">
        <f>IF(H23=""," ",H23*Inputs!$B$39)</f>
        <v xml:space="preserve"> </v>
      </c>
      <c r="AD23" s="24" t="str">
        <f>IF(I23=""," ",I23*Inputs!$B$39)</f>
        <v xml:space="preserve"> </v>
      </c>
      <c r="AE23" s="24" t="str">
        <f>IF(J23=""," ",J23*Inputs!$B$39)</f>
        <v xml:space="preserve"> </v>
      </c>
      <c r="AF23" s="24" t="str">
        <f>IF(K23=""," ",K23*Inputs!$B$39)</f>
        <v xml:space="preserve"> </v>
      </c>
      <c r="AG23" s="24" t="str">
        <f>IF(L23=""," ",L23*Inputs!$B$39)</f>
        <v xml:space="preserve"> </v>
      </c>
      <c r="AH23" s="24" t="str">
        <f>IF(M23=""," ",M23*Inputs!$B$39)</f>
        <v xml:space="preserve"> </v>
      </c>
      <c r="AI23" s="24" t="str">
        <f>IF(N23=""," ",N23*Inputs!$B$39)</f>
        <v xml:space="preserve"> </v>
      </c>
      <c r="AJ23" s="24" t="str">
        <f>IF(O23=""," ",O23*Inputs!$B$39)</f>
        <v xml:space="preserve"> </v>
      </c>
      <c r="AK23" s="24" t="str">
        <f>IF(P23=""," ",P23*Inputs!$B$39)</f>
        <v xml:space="preserve"> </v>
      </c>
      <c r="AL23" s="24" t="str">
        <f>IF(Q23=""," ",Q23*Inputs!$B$39)</f>
        <v xml:space="preserve"> </v>
      </c>
      <c r="AM23" s="24" t="str">
        <f>IF(R23=""," ",R23*Inputs!$B$39)</f>
        <v xml:space="preserve"> </v>
      </c>
      <c r="AN23" s="24" t="str">
        <f>IF(S23=""," ",S23*Inputs!$B$39)</f>
        <v xml:space="preserve"> </v>
      </c>
      <c r="AO23" s="24" t="str">
        <f>IF(T23=""," ",T23*Inputs!$B$39)</f>
        <v xml:space="preserve"> </v>
      </c>
      <c r="AP23" s="24" t="str">
        <f>IF(U23=""," ",U23*Inputs!$B$39)</f>
        <v xml:space="preserve"> </v>
      </c>
      <c r="AQ23" s="24" t="str">
        <f>IF(V23=""," ",V23*Inputs!$B$39)</f>
        <v xml:space="preserve"> </v>
      </c>
      <c r="AR23" s="24" t="str">
        <f>IF(W23=""," ",W23*Inputs!$B$39)</f>
        <v xml:space="preserve"> </v>
      </c>
      <c r="AT23" s="590"/>
      <c r="AU23" s="592" t="s">
        <v>6</v>
      </c>
      <c r="AV23" s="32">
        <v>7.3847716160808735E-2</v>
      </c>
      <c r="AW23" s="24" t="s">
        <v>498</v>
      </c>
      <c r="AX23" s="32" t="str">
        <f>IF(AC23=" "," ",AC23*Inputs!$B$53)</f>
        <v xml:space="preserve"> </v>
      </c>
      <c r="AY23" s="32" t="str">
        <f>IF(AD23=" "," ",AD23*Inputs!$B$53)</f>
        <v xml:space="preserve"> </v>
      </c>
      <c r="AZ23" s="32" t="str">
        <f>IF(AE23=" "," ",AE23*Inputs!$B$53)</f>
        <v xml:space="preserve"> </v>
      </c>
      <c r="BA23" s="32" t="str">
        <f>IF(AF23=" "," ",AF23*Inputs!$B$53)</f>
        <v xml:space="preserve"> </v>
      </c>
      <c r="BB23" s="32" t="str">
        <f>IF(AG23=" "," ",AG23*Inputs!$B$53)</f>
        <v xml:space="preserve"> </v>
      </c>
      <c r="BC23" s="32" t="str">
        <f>IF(AH23=" "," ",AH23*Inputs!$B$53)</f>
        <v xml:space="preserve"> </v>
      </c>
      <c r="BD23" s="32" t="str">
        <f>IF(AI23=" "," ",AI23*Inputs!$B$53)</f>
        <v xml:space="preserve"> </v>
      </c>
      <c r="BE23" s="32" t="str">
        <f>IF(AJ23=" "," ",AJ23*Inputs!$B$53)</f>
        <v xml:space="preserve"> </v>
      </c>
      <c r="BF23" s="32" t="str">
        <f>IF(AK23=" "," ",AK23*Inputs!$B$53)</f>
        <v xml:space="preserve"> </v>
      </c>
      <c r="BG23" s="32" t="str">
        <f>IF(AL23=" "," ",AL23*Inputs!$B$53)</f>
        <v xml:space="preserve"> </v>
      </c>
      <c r="BH23" s="32" t="str">
        <f>IF(AM23=" "," ",AM23*Inputs!$B$53)</f>
        <v xml:space="preserve"> </v>
      </c>
      <c r="BI23" s="32" t="str">
        <f>IF(AN23=" "," ",AN23*Inputs!$B$53)</f>
        <v xml:space="preserve"> </v>
      </c>
      <c r="BJ23" s="32" t="str">
        <f>IF(AO23=" "," ",AO23*Inputs!$B$53)</f>
        <v xml:space="preserve"> </v>
      </c>
    </row>
    <row r="24" spans="3:62" x14ac:dyDescent="0.25">
      <c r="D24" s="589"/>
      <c r="E24" s="589"/>
      <c r="F24" s="589"/>
      <c r="G24" s="21"/>
      <c r="H24" s="152"/>
      <c r="I24" s="152"/>
      <c r="J24" s="152"/>
      <c r="K24" s="152"/>
      <c r="L24" s="152"/>
      <c r="M24" s="152"/>
      <c r="N24" s="152"/>
      <c r="O24" s="152"/>
      <c r="P24" s="152"/>
      <c r="Q24" s="152"/>
      <c r="R24" s="152"/>
      <c r="S24" s="152"/>
      <c r="T24" s="152"/>
      <c r="U24" s="152"/>
      <c r="V24" s="152"/>
      <c r="W24" s="152"/>
      <c r="Y24" s="589"/>
      <c r="Z24" s="589"/>
      <c r="AA24" s="33"/>
      <c r="AB24" s="27" t="s">
        <v>499</v>
      </c>
      <c r="AC24" s="24" t="str">
        <f>IF(H24=""," ",H24*Inputs!$B$39)</f>
        <v xml:space="preserve"> </v>
      </c>
      <c r="AD24" s="24" t="str">
        <f>IF(I24=""," ",I24*Inputs!$B$39)</f>
        <v xml:space="preserve"> </v>
      </c>
      <c r="AE24" s="24" t="str">
        <f>IF(J24=""," ",J24*Inputs!$B$39)</f>
        <v xml:space="preserve"> </v>
      </c>
      <c r="AF24" s="24" t="str">
        <f>IF(K24=""," ",K24*Inputs!$B$39)</f>
        <v xml:space="preserve"> </v>
      </c>
      <c r="AG24" s="24" t="str">
        <f>IF(L24=""," ",L24*Inputs!$B$39)</f>
        <v xml:space="preserve"> </v>
      </c>
      <c r="AH24" s="24" t="str">
        <f>IF(M24=""," ",M24*Inputs!$B$39)</f>
        <v xml:space="preserve"> </v>
      </c>
      <c r="AI24" s="24" t="str">
        <f>IF(N24=""," ",N24*Inputs!$B$39)</f>
        <v xml:space="preserve"> </v>
      </c>
      <c r="AJ24" s="24" t="str">
        <f>IF(O24=""," ",O24*Inputs!$B$39)</f>
        <v xml:space="preserve"> </v>
      </c>
      <c r="AK24" s="24" t="str">
        <f>IF(P24=""," ",P24*Inputs!$B$39)</f>
        <v xml:space="preserve"> </v>
      </c>
      <c r="AL24" s="24" t="str">
        <f>IF(Q24=""," ",Q24*Inputs!$B$39)</f>
        <v xml:space="preserve"> </v>
      </c>
      <c r="AM24" s="24" t="str">
        <f>IF(R24=""," ",R24*Inputs!$B$39)</f>
        <v xml:space="preserve"> </v>
      </c>
      <c r="AN24" s="24" t="str">
        <f>IF(S24=""," ",S24*Inputs!$B$39)</f>
        <v xml:space="preserve"> </v>
      </c>
      <c r="AO24" s="24" t="str">
        <f>IF(T24=""," ",T24*Inputs!$B$39)</f>
        <v xml:space="preserve"> </v>
      </c>
      <c r="AP24" s="24" t="str">
        <f>IF(U24=""," ",U24*Inputs!$B$39)</f>
        <v xml:space="preserve"> </v>
      </c>
      <c r="AQ24" s="24" t="str">
        <f>IF(V24=""," ",V24*Inputs!$B$39)</f>
        <v xml:space="preserve"> </v>
      </c>
      <c r="AR24" s="24" t="str">
        <f>IF(W24=""," ",W24*Inputs!$B$39)</f>
        <v xml:space="preserve"> </v>
      </c>
      <c r="AT24" s="589"/>
      <c r="AU24" s="589"/>
      <c r="AV24" s="33"/>
      <c r="AW24" s="27" t="s">
        <v>499</v>
      </c>
      <c r="AX24" s="32" t="str">
        <f>IF(AC24=" "," ",AC24*Inputs!$B$53)</f>
        <v xml:space="preserve"> </v>
      </c>
      <c r="AY24" s="32" t="str">
        <f>IF(AD24=" "," ",AD24*Inputs!$B$53)</f>
        <v xml:space="preserve"> </v>
      </c>
      <c r="AZ24" s="32" t="str">
        <f>IF(AE24=" "," ",AE24*Inputs!$B$53)</f>
        <v xml:space="preserve"> </v>
      </c>
      <c r="BA24" s="32" t="str">
        <f>IF(AF24=" "," ",AF24*Inputs!$B$53)</f>
        <v xml:space="preserve"> </v>
      </c>
      <c r="BB24" s="32" t="str">
        <f>IF(AG24=" "," ",AG24*Inputs!$B$53)</f>
        <v xml:space="preserve"> </v>
      </c>
      <c r="BC24" s="32" t="str">
        <f>IF(AH24=" "," ",AH24*Inputs!$B$53)</f>
        <v xml:space="preserve"> </v>
      </c>
      <c r="BD24" s="32" t="str">
        <f>IF(AI24=" "," ",AI24*Inputs!$B$53)</f>
        <v xml:space="preserve"> </v>
      </c>
      <c r="BE24" s="32" t="str">
        <f>IF(AJ24=" "," ",AJ24*Inputs!$B$53)</f>
        <v xml:space="preserve"> </v>
      </c>
      <c r="BF24" s="32" t="str">
        <f>IF(AK24=" "," ",AK24*Inputs!$B$53)</f>
        <v xml:space="preserve"> </v>
      </c>
      <c r="BG24" s="32" t="str">
        <f>IF(AL24=" "," ",AL24*Inputs!$B$53)</f>
        <v xml:space="preserve"> </v>
      </c>
      <c r="BH24" s="32" t="str">
        <f>IF(AM24=" "," ",AM24*Inputs!$B$53)</f>
        <v xml:space="preserve"> </v>
      </c>
      <c r="BI24" s="32" t="str">
        <f>IF(AN24=" "," ",AN24*Inputs!$B$53)</f>
        <v xml:space="preserve"> </v>
      </c>
      <c r="BJ24" s="32" t="str">
        <f>IF(AO24=" "," ",AO24*Inputs!$B$53)</f>
        <v xml:space="preserve"> </v>
      </c>
    </row>
    <row r="25" spans="3:62" x14ac:dyDescent="0.25">
      <c r="D25" s="589"/>
      <c r="E25" s="589"/>
      <c r="F25" s="589"/>
      <c r="G25" s="21"/>
      <c r="H25" s="152"/>
      <c r="I25" s="152"/>
      <c r="J25" s="152"/>
      <c r="K25" s="152"/>
      <c r="L25" s="152"/>
      <c r="M25" s="152"/>
      <c r="N25" s="152"/>
      <c r="O25" s="152"/>
      <c r="P25" s="152"/>
      <c r="Q25" s="152"/>
      <c r="R25" s="152"/>
      <c r="S25" s="152"/>
      <c r="T25" s="152"/>
      <c r="U25" s="152"/>
      <c r="V25" s="152"/>
      <c r="W25" s="152"/>
      <c r="Y25" s="589"/>
      <c r="Z25" s="589"/>
      <c r="AA25" s="33"/>
      <c r="AB25" s="27" t="s">
        <v>500</v>
      </c>
      <c r="AC25" s="24" t="str">
        <f>IF(H25=""," ",H25*Inputs!$B$39)</f>
        <v xml:space="preserve"> </v>
      </c>
      <c r="AD25" s="24" t="str">
        <f>IF(I25=""," ",I25*Inputs!$B$39)</f>
        <v xml:space="preserve"> </v>
      </c>
      <c r="AE25" s="24" t="str">
        <f>IF(J25=""," ",J25*Inputs!$B$39)</f>
        <v xml:space="preserve"> </v>
      </c>
      <c r="AF25" s="24" t="str">
        <f>IF(K25=""," ",K25*Inputs!$B$39)</f>
        <v xml:space="preserve"> </v>
      </c>
      <c r="AG25" s="24" t="str">
        <f>IF(L25=""," ",L25*Inputs!$B$39)</f>
        <v xml:space="preserve"> </v>
      </c>
      <c r="AH25" s="24" t="str">
        <f>IF(M25=""," ",M25*Inputs!$B$39)</f>
        <v xml:space="preserve"> </v>
      </c>
      <c r="AI25" s="24" t="str">
        <f>IF(N25=""," ",N25*Inputs!$B$39)</f>
        <v xml:space="preserve"> </v>
      </c>
      <c r="AJ25" s="24" t="str">
        <f>IF(O25=""," ",O25*Inputs!$B$39)</f>
        <v xml:space="preserve"> </v>
      </c>
      <c r="AK25" s="24" t="str">
        <f>IF(P25=""," ",P25*Inputs!$B$39)</f>
        <v xml:space="preserve"> </v>
      </c>
      <c r="AL25" s="24" t="str">
        <f>IF(Q25=""," ",Q25*Inputs!$B$39)</f>
        <v xml:space="preserve"> </v>
      </c>
      <c r="AM25" s="24" t="str">
        <f>IF(R25=""," ",R25*Inputs!$B$39)</f>
        <v xml:space="preserve"> </v>
      </c>
      <c r="AN25" s="24" t="str">
        <f>IF(S25=""," ",S25*Inputs!$B$39)</f>
        <v xml:space="preserve"> </v>
      </c>
      <c r="AO25" s="24" t="str">
        <f>IF(T25=""," ",T25*Inputs!$B$39)</f>
        <v xml:space="preserve"> </v>
      </c>
      <c r="AP25" s="24" t="str">
        <f>IF(U25=""," ",U25*Inputs!$B$39)</f>
        <v xml:space="preserve"> </v>
      </c>
      <c r="AQ25" s="24" t="str">
        <f>IF(V25=""," ",V25*Inputs!$B$39)</f>
        <v xml:space="preserve"> </v>
      </c>
      <c r="AR25" s="24" t="str">
        <f>IF(W25=""," ",W25*Inputs!$B$39)</f>
        <v xml:space="preserve"> </v>
      </c>
      <c r="AT25" s="589"/>
      <c r="AU25" s="589"/>
      <c r="AV25" s="33"/>
      <c r="AW25" s="27" t="s">
        <v>500</v>
      </c>
      <c r="AX25" s="32" t="str">
        <f>IF(AC25=" "," ",AC25*Inputs!$B$53)</f>
        <v xml:space="preserve"> </v>
      </c>
      <c r="AY25" s="32" t="str">
        <f>IF(AD25=" "," ",AD25*Inputs!$B$53)</f>
        <v xml:space="preserve"> </v>
      </c>
      <c r="AZ25" s="32" t="str">
        <f>IF(AE25=" "," ",AE25*Inputs!$B$53)</f>
        <v xml:space="preserve"> </v>
      </c>
      <c r="BA25" s="32" t="str">
        <f>IF(AF25=" "," ",AF25*Inputs!$B$53)</f>
        <v xml:space="preserve"> </v>
      </c>
      <c r="BB25" s="32" t="str">
        <f>IF(AG25=" "," ",AG25*Inputs!$B$53)</f>
        <v xml:space="preserve"> </v>
      </c>
      <c r="BC25" s="32" t="str">
        <f>IF(AH25=" "," ",AH25*Inputs!$B$53)</f>
        <v xml:space="preserve"> </v>
      </c>
      <c r="BD25" s="32" t="str">
        <f>IF(AI25=" "," ",AI25*Inputs!$B$53)</f>
        <v xml:space="preserve"> </v>
      </c>
      <c r="BE25" s="32" t="str">
        <f>IF(AJ25=" "," ",AJ25*Inputs!$B$53)</f>
        <v xml:space="preserve"> </v>
      </c>
      <c r="BF25" s="32" t="str">
        <f>IF(AK25=" "," ",AK25*Inputs!$B$53)</f>
        <v xml:space="preserve"> </v>
      </c>
      <c r="BG25" s="32" t="str">
        <f>IF(AL25=" "," ",AL25*Inputs!$B$53)</f>
        <v xml:space="preserve"> </v>
      </c>
      <c r="BH25" s="32" t="str">
        <f>IF(AM25=" "," ",AM25*Inputs!$B$53)</f>
        <v xml:space="preserve"> </v>
      </c>
      <c r="BI25" s="32" t="str">
        <f>IF(AN25=" "," ",AN25*Inputs!$B$53)</f>
        <v xml:space="preserve"> </v>
      </c>
      <c r="BJ25" s="32" t="str">
        <f>IF(AO25=" "," ",AO25*Inputs!$B$53)</f>
        <v xml:space="preserve"> </v>
      </c>
    </row>
    <row r="26" spans="3:62" x14ac:dyDescent="0.25">
      <c r="D26" s="591"/>
      <c r="E26" s="589"/>
      <c r="F26" s="589"/>
      <c r="G26" s="21"/>
      <c r="H26" s="152"/>
      <c r="I26" s="152"/>
      <c r="J26" s="152"/>
      <c r="K26" s="152"/>
      <c r="L26" s="152"/>
      <c r="M26" s="152"/>
      <c r="N26" s="152"/>
      <c r="O26" s="152"/>
      <c r="P26" s="152"/>
      <c r="Q26" s="152"/>
      <c r="R26" s="152"/>
      <c r="S26" s="152"/>
      <c r="T26" s="152"/>
      <c r="U26" s="152"/>
      <c r="V26" s="152"/>
      <c r="W26" s="152"/>
      <c r="Y26" s="591"/>
      <c r="Z26" s="589"/>
      <c r="AA26" s="6"/>
      <c r="AB26" s="29" t="s">
        <v>501</v>
      </c>
      <c r="AC26" s="24" t="str">
        <f>IF(H26=""," ",H26*Inputs!$B$39)</f>
        <v xml:space="preserve"> </v>
      </c>
      <c r="AD26" s="24" t="str">
        <f>IF(I26=""," ",I26*Inputs!$B$39)</f>
        <v xml:space="preserve"> </v>
      </c>
      <c r="AE26" s="24" t="str">
        <f>IF(J26=""," ",J26*Inputs!$B$39)</f>
        <v xml:space="preserve"> </v>
      </c>
      <c r="AF26" s="24" t="str">
        <f>IF(K26=""," ",K26*Inputs!$B$39)</f>
        <v xml:space="preserve"> </v>
      </c>
      <c r="AG26" s="24" t="str">
        <f>IF(L26=""," ",L26*Inputs!$B$39)</f>
        <v xml:space="preserve"> </v>
      </c>
      <c r="AH26" s="24" t="str">
        <f>IF(M26=""," ",M26*Inputs!$B$39)</f>
        <v xml:space="preserve"> </v>
      </c>
      <c r="AI26" s="24" t="str">
        <f>IF(N26=""," ",N26*Inputs!$B$39)</f>
        <v xml:space="preserve"> </v>
      </c>
      <c r="AJ26" s="24" t="str">
        <f>IF(O26=""," ",O26*Inputs!$B$39)</f>
        <v xml:space="preserve"> </v>
      </c>
      <c r="AK26" s="24" t="str">
        <f>IF(P26=""," ",P26*Inputs!$B$39)</f>
        <v xml:space="preserve"> </v>
      </c>
      <c r="AL26" s="24" t="str">
        <f>IF(Q26=""," ",Q26*Inputs!$B$39)</f>
        <v xml:space="preserve"> </v>
      </c>
      <c r="AM26" s="24" t="str">
        <f>IF(R26=""," ",R26*Inputs!$B$39)</f>
        <v xml:space="preserve"> </v>
      </c>
      <c r="AN26" s="24" t="str">
        <f>IF(S26=""," ",S26*Inputs!$B$39)</f>
        <v xml:space="preserve"> </v>
      </c>
      <c r="AO26" s="24" t="str">
        <f>IF(T26=""," ",T26*Inputs!$B$39)</f>
        <v xml:space="preserve"> </v>
      </c>
      <c r="AP26" s="24" t="str">
        <f>IF(U26=""," ",U26*Inputs!$B$39)</f>
        <v xml:space="preserve"> </v>
      </c>
      <c r="AQ26" s="24" t="str">
        <f>IF(V26=""," ",V26*Inputs!$B$39)</f>
        <v xml:space="preserve"> </v>
      </c>
      <c r="AR26" s="24" t="str">
        <f>IF(W26=""," ",W26*Inputs!$B$39)</f>
        <v xml:space="preserve"> </v>
      </c>
      <c r="AT26" s="591"/>
      <c r="AU26" s="589"/>
      <c r="AV26" s="6"/>
      <c r="AW26" s="29" t="s">
        <v>501</v>
      </c>
      <c r="AX26" s="32" t="str">
        <f>IF(AC26=" "," ",AC26*Inputs!$B$53)</f>
        <v xml:space="preserve"> </v>
      </c>
      <c r="AY26" s="32" t="str">
        <f>IF(AD26=" "," ",AD26*Inputs!$B$53)</f>
        <v xml:space="preserve"> </v>
      </c>
      <c r="AZ26" s="32" t="str">
        <f>IF(AE26=" "," ",AE26*Inputs!$B$53)</f>
        <v xml:space="preserve"> </v>
      </c>
      <c r="BA26" s="32" t="str">
        <f>IF(AF26=" "," ",AF26*Inputs!$B$53)</f>
        <v xml:space="preserve"> </v>
      </c>
      <c r="BB26" s="32" t="str">
        <f>IF(AG26=" "," ",AG26*Inputs!$B$53)</f>
        <v xml:space="preserve"> </v>
      </c>
      <c r="BC26" s="32" t="str">
        <f>IF(AH26=" "," ",AH26*Inputs!$B$53)</f>
        <v xml:space="preserve"> </v>
      </c>
      <c r="BD26" s="32" t="str">
        <f>IF(AI26=" "," ",AI26*Inputs!$B$53)</f>
        <v xml:space="preserve"> </v>
      </c>
      <c r="BE26" s="32" t="str">
        <f>IF(AJ26=" "," ",AJ26*Inputs!$B$53)</f>
        <v xml:space="preserve"> </v>
      </c>
      <c r="BF26" s="32" t="str">
        <f>IF(AK26=" "," ",AK26*Inputs!$B$53)</f>
        <v xml:space="preserve"> </v>
      </c>
      <c r="BG26" s="32" t="str">
        <f>IF(AL26=" "," ",AL26*Inputs!$B$53)</f>
        <v xml:space="preserve"> </v>
      </c>
      <c r="BH26" s="32" t="str">
        <f>IF(AM26=" "," ",AM26*Inputs!$B$53)</f>
        <v xml:space="preserve"> </v>
      </c>
      <c r="BI26" s="32" t="str">
        <f>IF(AN26=" "," ",AN26*Inputs!$B$53)</f>
        <v xml:space="preserve"> </v>
      </c>
      <c r="BJ26" s="32" t="str">
        <f>IF(AO26=" "," ",AO26*Inputs!$B$53)</f>
        <v xml:space="preserve"> </v>
      </c>
    </row>
    <row r="27" spans="3:62" x14ac:dyDescent="0.25">
      <c r="D27" s="593"/>
      <c r="E27" s="589"/>
      <c r="F27" s="595"/>
      <c r="G27" s="150"/>
      <c r="H27" s="151"/>
      <c r="I27" s="151"/>
      <c r="J27" s="151"/>
      <c r="K27" s="151"/>
      <c r="L27" s="151"/>
      <c r="M27" s="151"/>
      <c r="N27" s="151"/>
      <c r="O27" s="151"/>
      <c r="P27" s="151"/>
      <c r="Q27" s="151"/>
      <c r="R27" s="151"/>
      <c r="S27" s="151"/>
      <c r="T27" s="151"/>
      <c r="U27" s="151"/>
      <c r="V27" s="151"/>
      <c r="W27" s="151"/>
      <c r="Y27" s="593"/>
      <c r="Z27" s="589"/>
      <c r="AA27" s="32">
        <v>4.5593572819102618E-2</v>
      </c>
      <c r="AB27" s="24" t="s">
        <v>498</v>
      </c>
      <c r="AC27" s="24" t="str">
        <f>IF(H27=""," ",H27*Inputs!$B$39)</f>
        <v xml:space="preserve"> </v>
      </c>
      <c r="AD27" s="24" t="str">
        <f>IF(I27=""," ",I27*Inputs!$B$39)</f>
        <v xml:space="preserve"> </v>
      </c>
      <c r="AE27" s="24" t="str">
        <f>IF(J27=""," ",J27*Inputs!$B$39)</f>
        <v xml:space="preserve"> </v>
      </c>
      <c r="AF27" s="24" t="str">
        <f>IF(K27=""," ",K27*Inputs!$B$39)</f>
        <v xml:space="preserve"> </v>
      </c>
      <c r="AG27" s="24" t="str">
        <f>IF(L27=""," ",L27*Inputs!$B$39)</f>
        <v xml:space="preserve"> </v>
      </c>
      <c r="AH27" s="24" t="str">
        <f>IF(M27=""," ",M27*Inputs!$B$39)</f>
        <v xml:space="preserve"> </v>
      </c>
      <c r="AI27" s="24" t="str">
        <f>IF(N27=""," ",N27*Inputs!$B$39)</f>
        <v xml:space="preserve"> </v>
      </c>
      <c r="AJ27" s="24" t="str">
        <f>IF(O27=""," ",O27*Inputs!$B$39)</f>
        <v xml:space="preserve"> </v>
      </c>
      <c r="AK27" s="24" t="str">
        <f>IF(P27=""," ",P27*Inputs!$B$39)</f>
        <v xml:space="preserve"> </v>
      </c>
      <c r="AL27" s="24" t="str">
        <f>IF(Q27=""," ",Q27*Inputs!$B$39)</f>
        <v xml:space="preserve"> </v>
      </c>
      <c r="AM27" s="24" t="str">
        <f>IF(R27=""," ",R27*Inputs!$B$39)</f>
        <v xml:space="preserve"> </v>
      </c>
      <c r="AN27" s="24" t="str">
        <f>IF(S27=""," ",S27*Inputs!$B$39)</f>
        <v xml:space="preserve"> </v>
      </c>
      <c r="AO27" s="24" t="str">
        <f>IF(T27=""," ",T27*Inputs!$B$39)</f>
        <v xml:space="preserve"> </v>
      </c>
      <c r="AP27" s="24" t="str">
        <f>IF(U27=""," ",U27*Inputs!$B$39)</f>
        <v xml:space="preserve"> </v>
      </c>
      <c r="AQ27" s="24" t="str">
        <f>IF(V27=""," ",V27*Inputs!$B$39)</f>
        <v xml:space="preserve"> </v>
      </c>
      <c r="AR27" s="24" t="str">
        <f>IF(W27=""," ",W27*Inputs!$B$39)</f>
        <v xml:space="preserve"> </v>
      </c>
      <c r="AT27" s="593"/>
      <c r="AU27" s="589"/>
      <c r="AV27" s="32">
        <v>4.5593572819102618E-2</v>
      </c>
      <c r="AW27" s="24" t="s">
        <v>498</v>
      </c>
      <c r="AX27" s="32" t="str">
        <f>IF(AC27=" "," ",AC27*Inputs!$B$53)</f>
        <v xml:space="preserve"> </v>
      </c>
      <c r="AY27" s="32" t="str">
        <f>IF(AD27=" "," ",AD27*Inputs!$B$53)</f>
        <v xml:space="preserve"> </v>
      </c>
      <c r="AZ27" s="32" t="str">
        <f>IF(AE27=" "," ",AE27*Inputs!$B$53)</f>
        <v xml:space="preserve"> </v>
      </c>
      <c r="BA27" s="32" t="str">
        <f>IF(AF27=" "," ",AF27*Inputs!$B$53)</f>
        <v xml:space="preserve"> </v>
      </c>
      <c r="BB27" s="32" t="str">
        <f>IF(AG27=" "," ",AG27*Inputs!$B$53)</f>
        <v xml:space="preserve"> </v>
      </c>
      <c r="BC27" s="32" t="str">
        <f>IF(AH27=" "," ",AH27*Inputs!$B$53)</f>
        <v xml:space="preserve"> </v>
      </c>
      <c r="BD27" s="32" t="str">
        <f>IF(AI27=" "," ",AI27*Inputs!$B$53)</f>
        <v xml:space="preserve"> </v>
      </c>
      <c r="BE27" s="32" t="str">
        <f>IF(AJ27=" "," ",AJ27*Inputs!$B$53)</f>
        <v xml:space="preserve"> </v>
      </c>
      <c r="BF27" s="32" t="str">
        <f>IF(AK27=" "," ",AK27*Inputs!$B$53)</f>
        <v xml:space="preserve"> </v>
      </c>
      <c r="BG27" s="32" t="str">
        <f>IF(AL27=" "," ",AL27*Inputs!$B$53)</f>
        <v xml:space="preserve"> </v>
      </c>
      <c r="BH27" s="32" t="str">
        <f>IF(AM27=" "," ",AM27*Inputs!$B$53)</f>
        <v xml:space="preserve"> </v>
      </c>
      <c r="BI27" s="32" t="str">
        <f>IF(AN27=" "," ",AN27*Inputs!$B$53)</f>
        <v xml:space="preserve"> </v>
      </c>
      <c r="BJ27" s="32" t="str">
        <f>IF(AO27=" "," ",AO27*Inputs!$B$53)</f>
        <v xml:space="preserve"> </v>
      </c>
    </row>
    <row r="28" spans="3:62" x14ac:dyDescent="0.25">
      <c r="D28" s="589"/>
      <c r="E28" s="589"/>
      <c r="F28" s="589"/>
      <c r="G28" s="21"/>
      <c r="H28" s="152"/>
      <c r="I28" s="152"/>
      <c r="J28" s="152"/>
      <c r="K28" s="152"/>
      <c r="L28" s="152"/>
      <c r="M28" s="152"/>
      <c r="N28" s="152"/>
      <c r="O28" s="152"/>
      <c r="P28" s="152"/>
      <c r="Q28" s="152"/>
      <c r="R28" s="152"/>
      <c r="S28" s="152"/>
      <c r="T28" s="152"/>
      <c r="U28" s="152"/>
      <c r="V28" s="152"/>
      <c r="W28" s="152"/>
      <c r="Y28" s="589"/>
      <c r="Z28" s="589"/>
      <c r="AA28" s="33"/>
      <c r="AB28" s="27" t="s">
        <v>499</v>
      </c>
      <c r="AC28" s="24" t="str">
        <f>IF(H28=""," ",H28*Inputs!$B$39)</f>
        <v xml:space="preserve"> </v>
      </c>
      <c r="AD28" s="24" t="str">
        <f>IF(I28=""," ",I28*Inputs!$B$39)</f>
        <v xml:space="preserve"> </v>
      </c>
      <c r="AE28" s="24" t="str">
        <f>IF(J28=""," ",J28*Inputs!$B$39)</f>
        <v xml:space="preserve"> </v>
      </c>
      <c r="AF28" s="24" t="str">
        <f>IF(K28=""," ",K28*Inputs!$B$39)</f>
        <v xml:space="preserve"> </v>
      </c>
      <c r="AG28" s="24" t="str">
        <f>IF(L28=""," ",L28*Inputs!$B$39)</f>
        <v xml:space="preserve"> </v>
      </c>
      <c r="AH28" s="24" t="str">
        <f>IF(M28=""," ",M28*Inputs!$B$39)</f>
        <v xml:space="preserve"> </v>
      </c>
      <c r="AI28" s="24" t="str">
        <f>IF(N28=""," ",N28*Inputs!$B$39)</f>
        <v xml:space="preserve"> </v>
      </c>
      <c r="AJ28" s="24" t="str">
        <f>IF(O28=""," ",O28*Inputs!$B$39)</f>
        <v xml:space="preserve"> </v>
      </c>
      <c r="AK28" s="24" t="str">
        <f>IF(P28=""," ",P28*Inputs!$B$39)</f>
        <v xml:space="preserve"> </v>
      </c>
      <c r="AL28" s="24" t="str">
        <f>IF(Q28=""," ",Q28*Inputs!$B$39)</f>
        <v xml:space="preserve"> </v>
      </c>
      <c r="AM28" s="24" t="str">
        <f>IF(R28=""," ",R28*Inputs!$B$39)</f>
        <v xml:space="preserve"> </v>
      </c>
      <c r="AN28" s="24" t="str">
        <f>IF(S28=""," ",S28*Inputs!$B$39)</f>
        <v xml:space="preserve"> </v>
      </c>
      <c r="AO28" s="24" t="str">
        <f>IF(T28=""," ",T28*Inputs!$B$39)</f>
        <v xml:space="preserve"> </v>
      </c>
      <c r="AP28" s="24" t="str">
        <f>IF(U28=""," ",U28*Inputs!$B$39)</f>
        <v xml:space="preserve"> </v>
      </c>
      <c r="AQ28" s="24" t="str">
        <f>IF(V28=""," ",V28*Inputs!$B$39)</f>
        <v xml:space="preserve"> </v>
      </c>
      <c r="AR28" s="24" t="str">
        <f>IF(W28=""," ",W28*Inputs!$B$39)</f>
        <v xml:space="preserve"> </v>
      </c>
      <c r="AT28" s="589"/>
      <c r="AU28" s="589"/>
      <c r="AV28" s="33"/>
      <c r="AW28" s="27" t="s">
        <v>499</v>
      </c>
      <c r="AX28" s="32" t="str">
        <f>IF(AC28=" "," ",AC28*Inputs!$B$53)</f>
        <v xml:space="preserve"> </v>
      </c>
      <c r="AY28" s="32" t="str">
        <f>IF(AD28=" "," ",AD28*Inputs!$B$53)</f>
        <v xml:space="preserve"> </v>
      </c>
      <c r="AZ28" s="32" t="str">
        <f>IF(AE28=" "," ",AE28*Inputs!$B$53)</f>
        <v xml:space="preserve"> </v>
      </c>
      <c r="BA28" s="32" t="str">
        <f>IF(AF28=" "," ",AF28*Inputs!$B$53)</f>
        <v xml:space="preserve"> </v>
      </c>
      <c r="BB28" s="32" t="str">
        <f>IF(AG28=" "," ",AG28*Inputs!$B$53)</f>
        <v xml:space="preserve"> </v>
      </c>
      <c r="BC28" s="32" t="str">
        <f>IF(AH28=" "," ",AH28*Inputs!$B$53)</f>
        <v xml:space="preserve"> </v>
      </c>
      <c r="BD28" s="32" t="str">
        <f>IF(AI28=" "," ",AI28*Inputs!$B$53)</f>
        <v xml:space="preserve"> </v>
      </c>
      <c r="BE28" s="32" t="str">
        <f>IF(AJ28=" "," ",AJ28*Inputs!$B$53)</f>
        <v xml:space="preserve"> </v>
      </c>
      <c r="BF28" s="32" t="str">
        <f>IF(AK28=" "," ",AK28*Inputs!$B$53)</f>
        <v xml:space="preserve"> </v>
      </c>
      <c r="BG28" s="32" t="str">
        <f>IF(AL28=" "," ",AL28*Inputs!$B$53)</f>
        <v xml:space="preserve"> </v>
      </c>
      <c r="BH28" s="32" t="str">
        <f>IF(AM28=" "," ",AM28*Inputs!$B$53)</f>
        <v xml:space="preserve"> </v>
      </c>
      <c r="BI28" s="32" t="str">
        <f>IF(AN28=" "," ",AN28*Inputs!$B$53)</f>
        <v xml:space="preserve"> </v>
      </c>
      <c r="BJ28" s="32" t="str">
        <f>IF(AO28=" "," ",AO28*Inputs!$B$53)</f>
        <v xml:space="preserve"> </v>
      </c>
    </row>
    <row r="29" spans="3:62" x14ac:dyDescent="0.25">
      <c r="D29" s="589"/>
      <c r="E29" s="589"/>
      <c r="F29" s="589"/>
      <c r="G29" s="21"/>
      <c r="H29" s="152"/>
      <c r="I29" s="152"/>
      <c r="J29" s="152"/>
      <c r="K29" s="152"/>
      <c r="L29" s="152"/>
      <c r="M29" s="152"/>
      <c r="N29" s="152"/>
      <c r="O29" s="152"/>
      <c r="P29" s="152"/>
      <c r="Q29" s="152"/>
      <c r="R29" s="152"/>
      <c r="S29" s="152"/>
      <c r="T29" s="152"/>
      <c r="U29" s="152"/>
      <c r="V29" s="152"/>
      <c r="W29" s="152"/>
      <c r="Y29" s="589"/>
      <c r="Z29" s="589"/>
      <c r="AA29" s="33"/>
      <c r="AB29" s="27" t="s">
        <v>500</v>
      </c>
      <c r="AC29" s="24" t="str">
        <f>IF(H29=""," ",H29*Inputs!$B$39)</f>
        <v xml:space="preserve"> </v>
      </c>
      <c r="AD29" s="24" t="str">
        <f>IF(I29=""," ",I29*Inputs!$B$39)</f>
        <v xml:space="preserve"> </v>
      </c>
      <c r="AE29" s="24" t="str">
        <f>IF(J29=""," ",J29*Inputs!$B$39)</f>
        <v xml:space="preserve"> </v>
      </c>
      <c r="AF29" s="24" t="str">
        <f>IF(K29=""," ",K29*Inputs!$B$39)</f>
        <v xml:space="preserve"> </v>
      </c>
      <c r="AG29" s="24" t="str">
        <f>IF(L29=""," ",L29*Inputs!$B$39)</f>
        <v xml:space="preserve"> </v>
      </c>
      <c r="AH29" s="24" t="str">
        <f>IF(M29=""," ",M29*Inputs!$B$39)</f>
        <v xml:space="preserve"> </v>
      </c>
      <c r="AI29" s="24" t="str">
        <f>IF(N29=""," ",N29*Inputs!$B$39)</f>
        <v xml:space="preserve"> </v>
      </c>
      <c r="AJ29" s="24" t="str">
        <f>IF(O29=""," ",O29*Inputs!$B$39)</f>
        <v xml:space="preserve"> </v>
      </c>
      <c r="AK29" s="24" t="str">
        <f>IF(P29=""," ",P29*Inputs!$B$39)</f>
        <v xml:space="preserve"> </v>
      </c>
      <c r="AL29" s="24" t="str">
        <f>IF(Q29=""," ",Q29*Inputs!$B$39)</f>
        <v xml:space="preserve"> </v>
      </c>
      <c r="AM29" s="24" t="str">
        <f>IF(R29=""," ",R29*Inputs!$B$39)</f>
        <v xml:space="preserve"> </v>
      </c>
      <c r="AN29" s="24" t="str">
        <f>IF(S29=""," ",S29*Inputs!$B$39)</f>
        <v xml:space="preserve"> </v>
      </c>
      <c r="AO29" s="24" t="str">
        <f>IF(T29=""," ",T29*Inputs!$B$39)</f>
        <v xml:space="preserve"> </v>
      </c>
      <c r="AP29" s="24" t="str">
        <f>IF(U29=""," ",U29*Inputs!$B$39)</f>
        <v xml:space="preserve"> </v>
      </c>
      <c r="AQ29" s="24" t="str">
        <f>IF(V29=""," ",V29*Inputs!$B$39)</f>
        <v xml:space="preserve"> </v>
      </c>
      <c r="AR29" s="24" t="str">
        <f>IF(W29=""," ",W29*Inputs!$B$39)</f>
        <v xml:space="preserve"> </v>
      </c>
      <c r="AT29" s="589"/>
      <c r="AU29" s="589"/>
      <c r="AV29" s="33"/>
      <c r="AW29" s="27" t="s">
        <v>500</v>
      </c>
      <c r="AX29" s="32" t="str">
        <f>IF(AC29=" "," ",AC29*Inputs!$B$53)</f>
        <v xml:space="preserve"> </v>
      </c>
      <c r="AY29" s="32" t="str">
        <f>IF(AD29=" "," ",AD29*Inputs!$B$53)</f>
        <v xml:space="preserve"> </v>
      </c>
      <c r="AZ29" s="32" t="str">
        <f>IF(AE29=" "," ",AE29*Inputs!$B$53)</f>
        <v xml:space="preserve"> </v>
      </c>
      <c r="BA29" s="32" t="str">
        <f>IF(AF29=" "," ",AF29*Inputs!$B$53)</f>
        <v xml:space="preserve"> </v>
      </c>
      <c r="BB29" s="32" t="str">
        <f>IF(AG29=" "," ",AG29*Inputs!$B$53)</f>
        <v xml:space="preserve"> </v>
      </c>
      <c r="BC29" s="32" t="str">
        <f>IF(AH29=" "," ",AH29*Inputs!$B$53)</f>
        <v xml:space="preserve"> </v>
      </c>
      <c r="BD29" s="32" t="str">
        <f>IF(AI29=" "," ",AI29*Inputs!$B$53)</f>
        <v xml:space="preserve"> </v>
      </c>
      <c r="BE29" s="32" t="str">
        <f>IF(AJ29=" "," ",AJ29*Inputs!$B$53)</f>
        <v xml:space="preserve"> </v>
      </c>
      <c r="BF29" s="32" t="str">
        <f>IF(AK29=" "," ",AK29*Inputs!$B$53)</f>
        <v xml:space="preserve"> </v>
      </c>
      <c r="BG29" s="32" t="str">
        <f>IF(AL29=" "," ",AL29*Inputs!$B$53)</f>
        <v xml:space="preserve"> </v>
      </c>
      <c r="BH29" s="32" t="str">
        <f>IF(AM29=" "," ",AM29*Inputs!$B$53)</f>
        <v xml:space="preserve"> </v>
      </c>
      <c r="BI29" s="32" t="str">
        <f>IF(AN29=" "," ",AN29*Inputs!$B$53)</f>
        <v xml:space="preserve"> </v>
      </c>
      <c r="BJ29" s="32" t="str">
        <f>IF(AO29=" "," ",AO29*Inputs!$B$53)</f>
        <v xml:space="preserve"> </v>
      </c>
    </row>
    <row r="30" spans="3:62" x14ac:dyDescent="0.25">
      <c r="D30" s="591"/>
      <c r="E30" s="591"/>
      <c r="F30" s="591"/>
      <c r="G30" s="21"/>
      <c r="H30" s="152"/>
      <c r="I30" s="152"/>
      <c r="J30" s="152"/>
      <c r="K30" s="152"/>
      <c r="L30" s="152"/>
      <c r="M30" s="152"/>
      <c r="N30" s="152"/>
      <c r="O30" s="152"/>
      <c r="P30" s="152"/>
      <c r="Q30" s="152"/>
      <c r="R30" s="152"/>
      <c r="S30" s="152"/>
      <c r="T30" s="152"/>
      <c r="U30" s="152"/>
      <c r="V30" s="152"/>
      <c r="W30" s="152"/>
      <c r="Y30" s="591"/>
      <c r="Z30" s="591"/>
      <c r="AA30" s="6"/>
      <c r="AB30" s="29" t="s">
        <v>501</v>
      </c>
      <c r="AC30" s="24" t="str">
        <f>IF(H30=""," ",H30*Inputs!$B$39)</f>
        <v xml:space="preserve"> </v>
      </c>
      <c r="AD30" s="24" t="str">
        <f>IF(I30=""," ",I30*Inputs!$B$39)</f>
        <v xml:space="preserve"> </v>
      </c>
      <c r="AE30" s="24" t="str">
        <f>IF(J30=""," ",J30*Inputs!$B$39)</f>
        <v xml:space="preserve"> </v>
      </c>
      <c r="AF30" s="24" t="str">
        <f>IF(K30=""," ",K30*Inputs!$B$39)</f>
        <v xml:space="preserve"> </v>
      </c>
      <c r="AG30" s="24" t="str">
        <f>IF(L30=""," ",L30*Inputs!$B$39)</f>
        <v xml:space="preserve"> </v>
      </c>
      <c r="AH30" s="24" t="str">
        <f>IF(M30=""," ",M30*Inputs!$B$39)</f>
        <v xml:space="preserve"> </v>
      </c>
      <c r="AI30" s="24" t="str">
        <f>IF(N30=""," ",N30*Inputs!$B$39)</f>
        <v xml:space="preserve"> </v>
      </c>
      <c r="AJ30" s="24" t="str">
        <f>IF(O30=""," ",O30*Inputs!$B$39)</f>
        <v xml:space="preserve"> </v>
      </c>
      <c r="AK30" s="24" t="str">
        <f>IF(P30=""," ",P30*Inputs!$B$39)</f>
        <v xml:space="preserve"> </v>
      </c>
      <c r="AL30" s="24" t="str">
        <f>IF(Q30=""," ",Q30*Inputs!$B$39)</f>
        <v xml:space="preserve"> </v>
      </c>
      <c r="AM30" s="24" t="str">
        <f>IF(R30=""," ",R30*Inputs!$B$39)</f>
        <v xml:space="preserve"> </v>
      </c>
      <c r="AN30" s="24" t="str">
        <f>IF(S30=""," ",S30*Inputs!$B$39)</f>
        <v xml:space="preserve"> </v>
      </c>
      <c r="AO30" s="24" t="str">
        <f>IF(T30=""," ",T30*Inputs!$B$39)</f>
        <v xml:space="preserve"> </v>
      </c>
      <c r="AP30" s="24" t="str">
        <f>IF(U30=""," ",U30*Inputs!$B$39)</f>
        <v xml:space="preserve"> </v>
      </c>
      <c r="AQ30" s="24" t="str">
        <f>IF(V30=""," ",V30*Inputs!$B$39)</f>
        <v xml:space="preserve"> </v>
      </c>
      <c r="AR30" s="24" t="str">
        <f>IF(W30=""," ",W30*Inputs!$B$39)</f>
        <v xml:space="preserve"> </v>
      </c>
      <c r="AT30" s="591"/>
      <c r="AU30" s="591"/>
      <c r="AV30" s="6"/>
      <c r="AW30" s="29" t="s">
        <v>501</v>
      </c>
      <c r="AX30" s="32" t="str">
        <f>IF(AC30=" "," ",AC30*Inputs!$B$53)</f>
        <v xml:space="preserve"> </v>
      </c>
      <c r="AY30" s="32" t="str">
        <f>IF(AD30=" "," ",AD30*Inputs!$B$53)</f>
        <v xml:space="preserve"> </v>
      </c>
      <c r="AZ30" s="32" t="str">
        <f>IF(AE30=" "," ",AE30*Inputs!$B$53)</f>
        <v xml:space="preserve"> </v>
      </c>
      <c r="BA30" s="32" t="str">
        <f>IF(AF30=" "," ",AF30*Inputs!$B$53)</f>
        <v xml:space="preserve"> </v>
      </c>
      <c r="BB30" s="32" t="str">
        <f>IF(AG30=" "," ",AG30*Inputs!$B$53)</f>
        <v xml:space="preserve"> </v>
      </c>
      <c r="BC30" s="32" t="str">
        <f>IF(AH30=" "," ",AH30*Inputs!$B$53)</f>
        <v xml:space="preserve"> </v>
      </c>
      <c r="BD30" s="32" t="str">
        <f>IF(AI30=" "," ",AI30*Inputs!$B$53)</f>
        <v xml:space="preserve"> </v>
      </c>
      <c r="BE30" s="32" t="str">
        <f>IF(AJ30=" "," ",AJ30*Inputs!$B$53)</f>
        <v xml:space="preserve"> </v>
      </c>
      <c r="BF30" s="32" t="str">
        <f>IF(AK30=" "," ",AK30*Inputs!$B$53)</f>
        <v xml:space="preserve"> </v>
      </c>
      <c r="BG30" s="32" t="str">
        <f>IF(AL30=" "," ",AL30*Inputs!$B$53)</f>
        <v xml:space="preserve"> </v>
      </c>
      <c r="BH30" s="32" t="str">
        <f>IF(AM30=" "," ",AM30*Inputs!$B$53)</f>
        <v xml:space="preserve"> </v>
      </c>
      <c r="BI30" s="32" t="str">
        <f>IF(AN30=" "," ",AN30*Inputs!$B$53)</f>
        <v xml:space="preserve"> </v>
      </c>
      <c r="BJ30" s="32" t="str">
        <f>IF(AO30=" "," ",AO30*Inputs!$B$53)</f>
        <v xml:space="preserve"> </v>
      </c>
    </row>
    <row r="31" spans="3:62" x14ac:dyDescent="0.25">
      <c r="D31" s="590"/>
      <c r="E31" s="592" t="s">
        <v>7</v>
      </c>
      <c r="F31" s="595"/>
      <c r="G31" s="150"/>
      <c r="H31" s="151"/>
      <c r="I31" s="151"/>
      <c r="J31" s="151"/>
      <c r="K31" s="151"/>
      <c r="L31" s="151"/>
      <c r="M31" s="151"/>
      <c r="N31" s="151"/>
      <c r="O31" s="151"/>
      <c r="P31" s="151"/>
      <c r="Q31" s="151"/>
      <c r="R31" s="151"/>
      <c r="S31" s="151"/>
      <c r="T31" s="151"/>
      <c r="U31" s="151"/>
      <c r="V31" s="151"/>
      <c r="W31" s="151"/>
      <c r="Y31" s="590"/>
      <c r="Z31" s="592" t="s">
        <v>7</v>
      </c>
      <c r="AA31" s="32">
        <v>0.1193756533180448</v>
      </c>
      <c r="AB31" s="24" t="s">
        <v>498</v>
      </c>
      <c r="AC31" s="24" t="str">
        <f>IF(H31=""," ",H31*Inputs!$B$39)</f>
        <v xml:space="preserve"> </v>
      </c>
      <c r="AD31" s="24" t="str">
        <f>IF(I31=""," ",I31*Inputs!$B$39)</f>
        <v xml:space="preserve"> </v>
      </c>
      <c r="AE31" s="24" t="str">
        <f>IF(J31=""," ",J31*Inputs!$B$39)</f>
        <v xml:space="preserve"> </v>
      </c>
      <c r="AF31" s="24" t="str">
        <f>IF(K31=""," ",K31*Inputs!$B$39)</f>
        <v xml:space="preserve"> </v>
      </c>
      <c r="AG31" s="24" t="str">
        <f>IF(L31=""," ",L31*Inputs!$B$39)</f>
        <v xml:space="preserve"> </v>
      </c>
      <c r="AH31" s="24" t="str">
        <f>IF(M31=""," ",M31*Inputs!$B$39)</f>
        <v xml:space="preserve"> </v>
      </c>
      <c r="AI31" s="24" t="str">
        <f>IF(N31=""," ",N31*Inputs!$B$39)</f>
        <v xml:space="preserve"> </v>
      </c>
      <c r="AJ31" s="24" t="str">
        <f>IF(O31=""," ",O31*Inputs!$B$39)</f>
        <v xml:space="preserve"> </v>
      </c>
      <c r="AK31" s="24" t="str">
        <f>IF(P31=""," ",P31*Inputs!$B$39)</f>
        <v xml:space="preserve"> </v>
      </c>
      <c r="AL31" s="24" t="str">
        <f>IF(Q31=""," ",Q31*Inputs!$B$39)</f>
        <v xml:space="preserve"> </v>
      </c>
      <c r="AM31" s="24" t="str">
        <f>IF(R31=""," ",R31*Inputs!$B$39)</f>
        <v xml:space="preserve"> </v>
      </c>
      <c r="AN31" s="24" t="str">
        <f>IF(S31=""," ",S31*Inputs!$B$39)</f>
        <v xml:space="preserve"> </v>
      </c>
      <c r="AO31" s="24" t="str">
        <f>IF(T31=""," ",T31*Inputs!$B$39)</f>
        <v xml:space="preserve"> </v>
      </c>
      <c r="AP31" s="24" t="str">
        <f>IF(U31=""," ",U31*Inputs!$B$39)</f>
        <v xml:space="preserve"> </v>
      </c>
      <c r="AQ31" s="24" t="str">
        <f>IF(V31=""," ",V31*Inputs!$B$39)</f>
        <v xml:space="preserve"> </v>
      </c>
      <c r="AR31" s="24" t="str">
        <f>IF(W31=""," ",W31*Inputs!$B$39)</f>
        <v xml:space="preserve"> </v>
      </c>
      <c r="AT31" s="590"/>
      <c r="AU31" s="592" t="s">
        <v>7</v>
      </c>
      <c r="AV31" s="32">
        <v>0.1193756533180448</v>
      </c>
      <c r="AW31" s="24" t="s">
        <v>498</v>
      </c>
      <c r="AX31" s="32" t="str">
        <f>IF(AC31=" "," ",AC31*Inputs!$B$54)</f>
        <v xml:space="preserve"> </v>
      </c>
      <c r="AY31" s="32" t="str">
        <f>IF(AD31=" "," ",AD31*Inputs!$B$54)</f>
        <v xml:space="preserve"> </v>
      </c>
      <c r="AZ31" s="32" t="str">
        <f>IF(AE31=" "," ",AE31*Inputs!$B$54)</f>
        <v xml:space="preserve"> </v>
      </c>
      <c r="BA31" s="32" t="str">
        <f>IF(AF31=" "," ",AF31*Inputs!$B$54)</f>
        <v xml:space="preserve"> </v>
      </c>
      <c r="BB31" s="32" t="str">
        <f>IF(AG31=" "," ",AG31*Inputs!$B$54)</f>
        <v xml:space="preserve"> </v>
      </c>
      <c r="BC31" s="32" t="str">
        <f>IF(AH31=" "," ",AH31*Inputs!$B$54)</f>
        <v xml:space="preserve"> </v>
      </c>
      <c r="BD31" s="32" t="str">
        <f>IF(AI31=" "," ",AI31*Inputs!$B$54)</f>
        <v xml:space="preserve"> </v>
      </c>
      <c r="BE31" s="32" t="str">
        <f>IF(AJ31=" "," ",AJ31*Inputs!$B$54)</f>
        <v xml:space="preserve"> </v>
      </c>
      <c r="BF31" s="32" t="str">
        <f>IF(AK31=" "," ",AK31*Inputs!$B$54)</f>
        <v xml:space="preserve"> </v>
      </c>
      <c r="BG31" s="32" t="str">
        <f>IF(AL31=" "," ",AL31*Inputs!$B$54)</f>
        <v xml:space="preserve"> </v>
      </c>
      <c r="BH31" s="32" t="str">
        <f>IF(AM31=" "," ",AM31*Inputs!$B$54)</f>
        <v xml:space="preserve"> </v>
      </c>
      <c r="BI31" s="32" t="str">
        <f>IF(AN31=" "," ",AN31*Inputs!$B$54)</f>
        <v xml:space="preserve"> </v>
      </c>
      <c r="BJ31" s="32" t="str">
        <f>IF(AO31=" "," ",AO31*Inputs!$B$54)</f>
        <v xml:space="preserve"> </v>
      </c>
    </row>
    <row r="32" spans="3:62" x14ac:dyDescent="0.25">
      <c r="D32" s="589"/>
      <c r="E32" s="589"/>
      <c r="F32" s="589"/>
      <c r="G32" s="21"/>
      <c r="H32" s="152"/>
      <c r="I32" s="152"/>
      <c r="J32" s="152"/>
      <c r="K32" s="152"/>
      <c r="L32" s="152"/>
      <c r="M32" s="152"/>
      <c r="N32" s="152"/>
      <c r="O32" s="152"/>
      <c r="P32" s="152"/>
      <c r="Q32" s="152"/>
      <c r="R32" s="152"/>
      <c r="S32" s="152"/>
      <c r="T32" s="152"/>
      <c r="U32" s="152"/>
      <c r="V32" s="152"/>
      <c r="W32" s="152"/>
      <c r="Y32" s="589"/>
      <c r="Z32" s="589"/>
      <c r="AA32" s="33"/>
      <c r="AB32" s="27" t="s">
        <v>499</v>
      </c>
      <c r="AC32" s="24" t="str">
        <f>IF(H32=""," ",H32*Inputs!$B$39)</f>
        <v xml:space="preserve"> </v>
      </c>
      <c r="AD32" s="24" t="str">
        <f>IF(I32=""," ",I32*Inputs!$B$39)</f>
        <v xml:space="preserve"> </v>
      </c>
      <c r="AE32" s="24" t="str">
        <f>IF(J32=""," ",J32*Inputs!$B$39)</f>
        <v xml:space="preserve"> </v>
      </c>
      <c r="AF32" s="24" t="str">
        <f>IF(K32=""," ",K32*Inputs!$B$39)</f>
        <v xml:space="preserve"> </v>
      </c>
      <c r="AG32" s="24" t="str">
        <f>IF(L32=""," ",L32*Inputs!$B$39)</f>
        <v xml:space="preserve"> </v>
      </c>
      <c r="AH32" s="24" t="str">
        <f>IF(M32=""," ",M32*Inputs!$B$39)</f>
        <v xml:space="preserve"> </v>
      </c>
      <c r="AI32" s="24" t="str">
        <f>IF(N32=""," ",N32*Inputs!$B$39)</f>
        <v xml:space="preserve"> </v>
      </c>
      <c r="AJ32" s="24" t="str">
        <f>IF(O32=""," ",O32*Inputs!$B$39)</f>
        <v xml:space="preserve"> </v>
      </c>
      <c r="AK32" s="24" t="str">
        <f>IF(P32=""," ",P32*Inputs!$B$39)</f>
        <v xml:space="preserve"> </v>
      </c>
      <c r="AL32" s="24" t="str">
        <f>IF(Q32=""," ",Q32*Inputs!$B$39)</f>
        <v xml:space="preserve"> </v>
      </c>
      <c r="AM32" s="24" t="str">
        <f>IF(R32=""," ",R32*Inputs!$B$39)</f>
        <v xml:space="preserve"> </v>
      </c>
      <c r="AN32" s="24" t="str">
        <f>IF(S32=""," ",S32*Inputs!$B$39)</f>
        <v xml:space="preserve"> </v>
      </c>
      <c r="AO32" s="24" t="str">
        <f>IF(T32=""," ",T32*Inputs!$B$39)</f>
        <v xml:space="preserve"> </v>
      </c>
      <c r="AP32" s="24" t="str">
        <f>IF(U32=""," ",U32*Inputs!$B$39)</f>
        <v xml:space="preserve"> </v>
      </c>
      <c r="AQ32" s="24" t="str">
        <f>IF(V32=""," ",V32*Inputs!$B$39)</f>
        <v xml:space="preserve"> </v>
      </c>
      <c r="AR32" s="24" t="str">
        <f>IF(W32=""," ",W32*Inputs!$B$39)</f>
        <v xml:space="preserve"> </v>
      </c>
      <c r="AT32" s="589"/>
      <c r="AU32" s="589"/>
      <c r="AV32" s="33"/>
      <c r="AW32" s="27" t="s">
        <v>499</v>
      </c>
      <c r="AX32" s="32" t="str">
        <f>IF(AC32=" "," ",AC32*Inputs!$B$54)</f>
        <v xml:space="preserve"> </v>
      </c>
      <c r="AY32" s="32" t="str">
        <f>IF(AD32=" "," ",AD32*Inputs!$B$54)</f>
        <v xml:space="preserve"> </v>
      </c>
      <c r="AZ32" s="32" t="str">
        <f>IF(AE32=" "," ",AE32*Inputs!$B$54)</f>
        <v xml:space="preserve"> </v>
      </c>
      <c r="BA32" s="32" t="str">
        <f>IF(AF32=" "," ",AF32*Inputs!$B$54)</f>
        <v xml:space="preserve"> </v>
      </c>
      <c r="BB32" s="32" t="str">
        <f>IF(AG32=" "," ",AG32*Inputs!$B$54)</f>
        <v xml:space="preserve"> </v>
      </c>
      <c r="BC32" s="32" t="str">
        <f>IF(AH32=" "," ",AH32*Inputs!$B$54)</f>
        <v xml:space="preserve"> </v>
      </c>
      <c r="BD32" s="32" t="str">
        <f>IF(AI32=" "," ",AI32*Inputs!$B$54)</f>
        <v xml:space="preserve"> </v>
      </c>
      <c r="BE32" s="32" t="str">
        <f>IF(AJ32=" "," ",AJ32*Inputs!$B$54)</f>
        <v xml:space="preserve"> </v>
      </c>
      <c r="BF32" s="32" t="str">
        <f>IF(AK32=" "," ",AK32*Inputs!$B$54)</f>
        <v xml:space="preserve"> </v>
      </c>
      <c r="BG32" s="32" t="str">
        <f>IF(AL32=" "," ",AL32*Inputs!$B$54)</f>
        <v xml:space="preserve"> </v>
      </c>
      <c r="BH32" s="32" t="str">
        <f>IF(AM32=" "," ",AM32*Inputs!$B$54)</f>
        <v xml:space="preserve"> </v>
      </c>
      <c r="BI32" s="32" t="str">
        <f>IF(AN32=" "," ",AN32*Inputs!$B$54)</f>
        <v xml:space="preserve"> </v>
      </c>
      <c r="BJ32" s="32" t="str">
        <f>IF(AO32=" "," ",AO32*Inputs!$B$54)</f>
        <v xml:space="preserve"> </v>
      </c>
    </row>
    <row r="33" spans="4:62" x14ac:dyDescent="0.25">
      <c r="D33" s="589"/>
      <c r="E33" s="589"/>
      <c r="F33" s="589"/>
      <c r="G33" s="21"/>
      <c r="H33" s="152"/>
      <c r="I33" s="152"/>
      <c r="J33" s="152"/>
      <c r="K33" s="152"/>
      <c r="L33" s="152"/>
      <c r="M33" s="152"/>
      <c r="N33" s="152"/>
      <c r="O33" s="152"/>
      <c r="P33" s="152"/>
      <c r="Q33" s="152"/>
      <c r="R33" s="152"/>
      <c r="S33" s="152"/>
      <c r="T33" s="152"/>
      <c r="U33" s="152"/>
      <c r="V33" s="152"/>
      <c r="W33" s="152"/>
      <c r="Y33" s="589"/>
      <c r="Z33" s="589"/>
      <c r="AA33" s="33"/>
      <c r="AB33" s="27" t="s">
        <v>500</v>
      </c>
      <c r="AC33" s="24" t="str">
        <f>IF(H33=""," ",H33*Inputs!$B$39)</f>
        <v xml:space="preserve"> </v>
      </c>
      <c r="AD33" s="24" t="str">
        <f>IF(I33=""," ",I33*Inputs!$B$39)</f>
        <v xml:space="preserve"> </v>
      </c>
      <c r="AE33" s="24" t="str">
        <f>IF(J33=""," ",J33*Inputs!$B$39)</f>
        <v xml:space="preserve"> </v>
      </c>
      <c r="AF33" s="24" t="str">
        <f>IF(K33=""," ",K33*Inputs!$B$39)</f>
        <v xml:space="preserve"> </v>
      </c>
      <c r="AG33" s="24" t="str">
        <f>IF(L33=""," ",L33*Inputs!$B$39)</f>
        <v xml:space="preserve"> </v>
      </c>
      <c r="AH33" s="24" t="str">
        <f>IF(M33=""," ",M33*Inputs!$B$39)</f>
        <v xml:space="preserve"> </v>
      </c>
      <c r="AI33" s="24" t="str">
        <f>IF(N33=""," ",N33*Inputs!$B$39)</f>
        <v xml:space="preserve"> </v>
      </c>
      <c r="AJ33" s="24" t="str">
        <f>IF(O33=""," ",O33*Inputs!$B$39)</f>
        <v xml:space="preserve"> </v>
      </c>
      <c r="AK33" s="24" t="str">
        <f>IF(P33=""," ",P33*Inputs!$B$39)</f>
        <v xml:space="preserve"> </v>
      </c>
      <c r="AL33" s="24" t="str">
        <f>IF(Q33=""," ",Q33*Inputs!$B$39)</f>
        <v xml:space="preserve"> </v>
      </c>
      <c r="AM33" s="24" t="str">
        <f>IF(R33=""," ",R33*Inputs!$B$39)</f>
        <v xml:space="preserve"> </v>
      </c>
      <c r="AN33" s="24" t="str">
        <f>IF(S33=""," ",S33*Inputs!$B$39)</f>
        <v xml:space="preserve"> </v>
      </c>
      <c r="AO33" s="24" t="str">
        <f>IF(T33=""," ",T33*Inputs!$B$39)</f>
        <v xml:space="preserve"> </v>
      </c>
      <c r="AP33" s="24" t="str">
        <f>IF(U33=""," ",U33*Inputs!$B$39)</f>
        <v xml:space="preserve"> </v>
      </c>
      <c r="AQ33" s="24" t="str">
        <f>IF(V33=""," ",V33*Inputs!$B$39)</f>
        <v xml:space="preserve"> </v>
      </c>
      <c r="AR33" s="24" t="str">
        <f>IF(W33=""," ",W33*Inputs!$B$39)</f>
        <v xml:space="preserve"> </v>
      </c>
      <c r="AT33" s="589"/>
      <c r="AU33" s="589"/>
      <c r="AV33" s="33"/>
      <c r="AW33" s="27" t="s">
        <v>500</v>
      </c>
      <c r="AX33" s="32" t="str">
        <f>IF(AC33=" "," ",AC33*Inputs!$B$54)</f>
        <v xml:space="preserve"> </v>
      </c>
      <c r="AY33" s="32" t="str">
        <f>IF(AD33=" "," ",AD33*Inputs!$B$54)</f>
        <v xml:space="preserve"> </v>
      </c>
      <c r="AZ33" s="32" t="str">
        <f>IF(AE33=" "," ",AE33*Inputs!$B$54)</f>
        <v xml:space="preserve"> </v>
      </c>
      <c r="BA33" s="32" t="str">
        <f>IF(AF33=" "," ",AF33*Inputs!$B$54)</f>
        <v xml:space="preserve"> </v>
      </c>
      <c r="BB33" s="32" t="str">
        <f>IF(AG33=" "," ",AG33*Inputs!$B$54)</f>
        <v xml:space="preserve"> </v>
      </c>
      <c r="BC33" s="32" t="str">
        <f>IF(AH33=" "," ",AH33*Inputs!$B$54)</f>
        <v xml:space="preserve"> </v>
      </c>
      <c r="BD33" s="32" t="str">
        <f>IF(AI33=" "," ",AI33*Inputs!$B$54)</f>
        <v xml:space="preserve"> </v>
      </c>
      <c r="BE33" s="32" t="str">
        <f>IF(AJ33=" "," ",AJ33*Inputs!$B$54)</f>
        <v xml:space="preserve"> </v>
      </c>
      <c r="BF33" s="32" t="str">
        <f>IF(AK33=" "," ",AK33*Inputs!$B$54)</f>
        <v xml:space="preserve"> </v>
      </c>
      <c r="BG33" s="32" t="str">
        <f>IF(AL33=" "," ",AL33*Inputs!$B$54)</f>
        <v xml:space="preserve"> </v>
      </c>
      <c r="BH33" s="32" t="str">
        <f>IF(AM33=" "," ",AM33*Inputs!$B$54)</f>
        <v xml:space="preserve"> </v>
      </c>
      <c r="BI33" s="32" t="str">
        <f>IF(AN33=" "," ",AN33*Inputs!$B$54)</f>
        <v xml:space="preserve"> </v>
      </c>
      <c r="BJ33" s="32" t="str">
        <f>IF(AO33=" "," ",AO33*Inputs!$B$54)</f>
        <v xml:space="preserve"> </v>
      </c>
    </row>
    <row r="34" spans="4:62" x14ac:dyDescent="0.25">
      <c r="D34" s="591"/>
      <c r="E34" s="589"/>
      <c r="F34" s="591"/>
      <c r="G34" s="149"/>
      <c r="H34" s="153"/>
      <c r="I34" s="153"/>
      <c r="J34" s="153"/>
      <c r="K34" s="153"/>
      <c r="L34" s="153"/>
      <c r="M34" s="153"/>
      <c r="N34" s="153"/>
      <c r="O34" s="153"/>
      <c r="P34" s="153"/>
      <c r="Q34" s="153"/>
      <c r="R34" s="153"/>
      <c r="S34" s="153"/>
      <c r="T34" s="153"/>
      <c r="U34" s="153"/>
      <c r="V34" s="153"/>
      <c r="W34" s="153"/>
      <c r="Y34" s="591"/>
      <c r="Z34" s="589"/>
      <c r="AA34" s="6"/>
      <c r="AB34" s="29" t="s">
        <v>501</v>
      </c>
      <c r="AC34" s="24" t="str">
        <f>IF(H34=""," ",H34*Inputs!$B$39)</f>
        <v xml:space="preserve"> </v>
      </c>
      <c r="AD34" s="24" t="str">
        <f>IF(I34=""," ",I34*Inputs!$B$39)</f>
        <v xml:space="preserve"> </v>
      </c>
      <c r="AE34" s="24" t="str">
        <f>IF(J34=""," ",J34*Inputs!$B$39)</f>
        <v xml:space="preserve"> </v>
      </c>
      <c r="AF34" s="24" t="str">
        <f>IF(K34=""," ",K34*Inputs!$B$39)</f>
        <v xml:space="preserve"> </v>
      </c>
      <c r="AG34" s="24" t="str">
        <f>IF(L34=""," ",L34*Inputs!$B$39)</f>
        <v xml:space="preserve"> </v>
      </c>
      <c r="AH34" s="24" t="str">
        <f>IF(M34=""," ",M34*Inputs!$B$39)</f>
        <v xml:space="preserve"> </v>
      </c>
      <c r="AI34" s="24" t="str">
        <f>IF(N34=""," ",N34*Inputs!$B$39)</f>
        <v xml:space="preserve"> </v>
      </c>
      <c r="AJ34" s="24" t="str">
        <f>IF(O34=""," ",O34*Inputs!$B$39)</f>
        <v xml:space="preserve"> </v>
      </c>
      <c r="AK34" s="24" t="str">
        <f>IF(P34=""," ",P34*Inputs!$B$39)</f>
        <v xml:space="preserve"> </v>
      </c>
      <c r="AL34" s="24" t="str">
        <f>IF(Q34=""," ",Q34*Inputs!$B$39)</f>
        <v xml:space="preserve"> </v>
      </c>
      <c r="AM34" s="24" t="str">
        <f>IF(R34=""," ",R34*Inputs!$B$39)</f>
        <v xml:space="preserve"> </v>
      </c>
      <c r="AN34" s="24" t="str">
        <f>IF(S34=""," ",S34*Inputs!$B$39)</f>
        <v xml:space="preserve"> </v>
      </c>
      <c r="AO34" s="24" t="str">
        <f>IF(T34=""," ",T34*Inputs!$B$39)</f>
        <v xml:space="preserve"> </v>
      </c>
      <c r="AP34" s="24" t="str">
        <f>IF(U34=""," ",U34*Inputs!$B$39)</f>
        <v xml:space="preserve"> </v>
      </c>
      <c r="AQ34" s="24" t="str">
        <f>IF(V34=""," ",V34*Inputs!$B$39)</f>
        <v xml:space="preserve"> </v>
      </c>
      <c r="AR34" s="24" t="str">
        <f>IF(W34=""," ",W34*Inputs!$B$39)</f>
        <v xml:space="preserve"> </v>
      </c>
      <c r="AT34" s="591"/>
      <c r="AU34" s="589"/>
      <c r="AV34" s="6"/>
      <c r="AW34" s="29" t="s">
        <v>501</v>
      </c>
      <c r="AX34" s="32" t="str">
        <f>IF(AC34=" "," ",AC34*Inputs!$B$54)</f>
        <v xml:space="preserve"> </v>
      </c>
      <c r="AY34" s="32" t="str">
        <f>IF(AD34=" "," ",AD34*Inputs!$B$54)</f>
        <v xml:space="preserve"> </v>
      </c>
      <c r="AZ34" s="32" t="str">
        <f>IF(AE34=" "," ",AE34*Inputs!$B$54)</f>
        <v xml:space="preserve"> </v>
      </c>
      <c r="BA34" s="32" t="str">
        <f>IF(AF34=" "," ",AF34*Inputs!$B$54)</f>
        <v xml:space="preserve"> </v>
      </c>
      <c r="BB34" s="32" t="str">
        <f>IF(AG34=" "," ",AG34*Inputs!$B$54)</f>
        <v xml:space="preserve"> </v>
      </c>
      <c r="BC34" s="32" t="str">
        <f>IF(AH34=" "," ",AH34*Inputs!$B$54)</f>
        <v xml:space="preserve"> </v>
      </c>
      <c r="BD34" s="32" t="str">
        <f>IF(AI34=" "," ",AI34*Inputs!$B$54)</f>
        <v xml:space="preserve"> </v>
      </c>
      <c r="BE34" s="32" t="str">
        <f>IF(AJ34=" "," ",AJ34*Inputs!$B$54)</f>
        <v xml:space="preserve"> </v>
      </c>
      <c r="BF34" s="32" t="str">
        <f>IF(AK34=" "," ",AK34*Inputs!$B$54)</f>
        <v xml:space="preserve"> </v>
      </c>
      <c r="BG34" s="32" t="str">
        <f>IF(AL34=" "," ",AL34*Inputs!$B$54)</f>
        <v xml:space="preserve"> </v>
      </c>
      <c r="BH34" s="32" t="str">
        <f>IF(AM34=" "," ",AM34*Inputs!$B$54)</f>
        <v xml:space="preserve"> </v>
      </c>
      <c r="BI34" s="32" t="str">
        <f>IF(AN34=" "," ",AN34*Inputs!$B$54)</f>
        <v xml:space="preserve"> </v>
      </c>
      <c r="BJ34" s="32" t="str">
        <f>IF(AO34=" "," ",AO34*Inputs!$B$54)</f>
        <v xml:space="preserve"> </v>
      </c>
    </row>
    <row r="35" spans="4:62" x14ac:dyDescent="0.25">
      <c r="D35" s="593"/>
      <c r="E35" s="589"/>
      <c r="F35" s="595"/>
      <c r="G35" s="21"/>
      <c r="H35" s="152"/>
      <c r="I35" s="152"/>
      <c r="J35" s="152"/>
      <c r="K35" s="152"/>
      <c r="L35" s="152"/>
      <c r="M35" s="152"/>
      <c r="N35" s="152"/>
      <c r="O35" s="152"/>
      <c r="P35" s="152"/>
      <c r="Q35" s="152"/>
      <c r="R35" s="152"/>
      <c r="S35" s="152"/>
      <c r="T35" s="152"/>
      <c r="U35" s="152"/>
      <c r="V35" s="152"/>
      <c r="W35" s="152"/>
      <c r="Y35" s="593"/>
      <c r="Z35" s="589"/>
      <c r="AA35" s="33">
        <v>7.1400691447036327E-2</v>
      </c>
      <c r="AB35" s="27" t="s">
        <v>498</v>
      </c>
      <c r="AC35" s="24" t="str">
        <f>IF(H35=""," ",H35*Inputs!$B$39)</f>
        <v xml:space="preserve"> </v>
      </c>
      <c r="AD35" s="24" t="str">
        <f>IF(I35=""," ",I35*Inputs!$B$39)</f>
        <v xml:space="preserve"> </v>
      </c>
      <c r="AE35" s="24" t="str">
        <f>IF(J35=""," ",J35*Inputs!$B$39)</f>
        <v xml:space="preserve"> </v>
      </c>
      <c r="AF35" s="24" t="str">
        <f>IF(K35=""," ",K35*Inputs!$B$39)</f>
        <v xml:space="preserve"> </v>
      </c>
      <c r="AG35" s="24" t="str">
        <f>IF(L35=""," ",L35*Inputs!$B$39)</f>
        <v xml:space="preserve"> </v>
      </c>
      <c r="AH35" s="24" t="str">
        <f>IF(M35=""," ",M35*Inputs!$B$39)</f>
        <v xml:space="preserve"> </v>
      </c>
      <c r="AI35" s="24" t="str">
        <f>IF(N35=""," ",N35*Inputs!$B$39)</f>
        <v xml:space="preserve"> </v>
      </c>
      <c r="AJ35" s="24" t="str">
        <f>IF(O35=""," ",O35*Inputs!$B$39)</f>
        <v xml:space="preserve"> </v>
      </c>
      <c r="AK35" s="24" t="str">
        <f>IF(P35=""," ",P35*Inputs!$B$39)</f>
        <v xml:space="preserve"> </v>
      </c>
      <c r="AL35" s="24" t="str">
        <f>IF(Q35=""," ",Q35*Inputs!$B$39)</f>
        <v xml:space="preserve"> </v>
      </c>
      <c r="AM35" s="24" t="str">
        <f>IF(R35=""," ",R35*Inputs!$B$39)</f>
        <v xml:space="preserve"> </v>
      </c>
      <c r="AN35" s="24" t="str">
        <f>IF(S35=""," ",S35*Inputs!$B$39)</f>
        <v xml:space="preserve"> </v>
      </c>
      <c r="AO35" s="24" t="str">
        <f>IF(T35=""," ",T35*Inputs!$B$39)</f>
        <v xml:space="preserve"> </v>
      </c>
      <c r="AP35" s="24" t="str">
        <f>IF(U35=""," ",U35*Inputs!$B$39)</f>
        <v xml:space="preserve"> </v>
      </c>
      <c r="AQ35" s="24" t="str">
        <f>IF(V35=""," ",V35*Inputs!$B$39)</f>
        <v xml:space="preserve"> </v>
      </c>
      <c r="AR35" s="24" t="str">
        <f>IF(W35=""," ",W35*Inputs!$B$39)</f>
        <v xml:space="preserve"> </v>
      </c>
      <c r="AT35" s="593"/>
      <c r="AU35" s="589"/>
      <c r="AV35" s="33">
        <v>7.1400691447036327E-2</v>
      </c>
      <c r="AW35" s="27" t="s">
        <v>498</v>
      </c>
      <c r="AX35" s="32" t="str">
        <f>IF(AC35=" "," ",AC35*Inputs!$B$54)</f>
        <v xml:space="preserve"> </v>
      </c>
      <c r="AY35" s="32" t="str">
        <f>IF(AD35=" "," ",AD35*Inputs!$B$54)</f>
        <v xml:space="preserve"> </v>
      </c>
      <c r="AZ35" s="32" t="str">
        <f>IF(AE35=" "," ",AE35*Inputs!$B$54)</f>
        <v xml:space="preserve"> </v>
      </c>
      <c r="BA35" s="32" t="str">
        <f>IF(AF35=" "," ",AF35*Inputs!$B$54)</f>
        <v xml:space="preserve"> </v>
      </c>
      <c r="BB35" s="32" t="str">
        <f>IF(AG35=" "," ",AG35*Inputs!$B$54)</f>
        <v xml:space="preserve"> </v>
      </c>
      <c r="BC35" s="32" t="str">
        <f>IF(AH35=" "," ",AH35*Inputs!$B$54)</f>
        <v xml:space="preserve"> </v>
      </c>
      <c r="BD35" s="32" t="str">
        <f>IF(AI35=" "," ",AI35*Inputs!$B$54)</f>
        <v xml:space="preserve"> </v>
      </c>
      <c r="BE35" s="32" t="str">
        <f>IF(AJ35=" "," ",AJ35*Inputs!$B$54)</f>
        <v xml:space="preserve"> </v>
      </c>
      <c r="BF35" s="32" t="str">
        <f>IF(AK35=" "," ",AK35*Inputs!$B$54)</f>
        <v xml:space="preserve"> </v>
      </c>
      <c r="BG35" s="32" t="str">
        <f>IF(AL35=" "," ",AL35*Inputs!$B$54)</f>
        <v xml:space="preserve"> </v>
      </c>
      <c r="BH35" s="32" t="str">
        <f>IF(AM35=" "," ",AM35*Inputs!$B$54)</f>
        <v xml:space="preserve"> </v>
      </c>
      <c r="BI35" s="32" t="str">
        <f>IF(AN35=" "," ",AN35*Inputs!$B$54)</f>
        <v xml:space="preserve"> </v>
      </c>
      <c r="BJ35" s="32" t="str">
        <f>IF(AO35=" "," ",AO35*Inputs!$B$54)</f>
        <v xml:space="preserve"> </v>
      </c>
    </row>
    <row r="36" spans="4:62" x14ac:dyDescent="0.25">
      <c r="D36" s="589"/>
      <c r="E36" s="589"/>
      <c r="F36" s="589"/>
      <c r="G36" s="21"/>
      <c r="H36" s="152"/>
      <c r="I36" s="152"/>
      <c r="J36" s="152"/>
      <c r="K36" s="152"/>
      <c r="L36" s="152"/>
      <c r="M36" s="152"/>
      <c r="N36" s="152"/>
      <c r="O36" s="152"/>
      <c r="P36" s="152"/>
      <c r="Q36" s="152"/>
      <c r="R36" s="152"/>
      <c r="S36" s="152"/>
      <c r="T36" s="152"/>
      <c r="U36" s="152"/>
      <c r="V36" s="152"/>
      <c r="W36" s="152"/>
      <c r="Y36" s="589"/>
      <c r="Z36" s="589"/>
      <c r="AA36" s="33"/>
      <c r="AB36" s="27" t="s">
        <v>499</v>
      </c>
      <c r="AC36" s="24" t="str">
        <f>IF(H36=""," ",H36*Inputs!$B$39)</f>
        <v xml:space="preserve"> </v>
      </c>
      <c r="AD36" s="24" t="str">
        <f>IF(I36=""," ",I36*Inputs!$B$39)</f>
        <v xml:space="preserve"> </v>
      </c>
      <c r="AE36" s="24" t="str">
        <f>IF(J36=""," ",J36*Inputs!$B$39)</f>
        <v xml:space="preserve"> </v>
      </c>
      <c r="AF36" s="24" t="str">
        <f>IF(K36=""," ",K36*Inputs!$B$39)</f>
        <v xml:space="preserve"> </v>
      </c>
      <c r="AG36" s="24" t="str">
        <f>IF(L36=""," ",L36*Inputs!$B$39)</f>
        <v xml:space="preserve"> </v>
      </c>
      <c r="AH36" s="24" t="str">
        <f>IF(M36=""," ",M36*Inputs!$B$39)</f>
        <v xml:space="preserve"> </v>
      </c>
      <c r="AI36" s="24" t="str">
        <f>IF(N36=""," ",N36*Inputs!$B$39)</f>
        <v xml:space="preserve"> </v>
      </c>
      <c r="AJ36" s="24" t="str">
        <f>IF(O36=""," ",O36*Inputs!$B$39)</f>
        <v xml:space="preserve"> </v>
      </c>
      <c r="AK36" s="24" t="str">
        <f>IF(P36=""," ",P36*Inputs!$B$39)</f>
        <v xml:space="preserve"> </v>
      </c>
      <c r="AL36" s="24" t="str">
        <f>IF(Q36=""," ",Q36*Inputs!$B$39)</f>
        <v xml:space="preserve"> </v>
      </c>
      <c r="AM36" s="24" t="str">
        <f>IF(R36=""," ",R36*Inputs!$B$39)</f>
        <v xml:space="preserve"> </v>
      </c>
      <c r="AN36" s="24" t="str">
        <f>IF(S36=""," ",S36*Inputs!$B$39)</f>
        <v xml:space="preserve"> </v>
      </c>
      <c r="AO36" s="24" t="str">
        <f>IF(T36=""," ",T36*Inputs!$B$39)</f>
        <v xml:space="preserve"> </v>
      </c>
      <c r="AP36" s="24" t="str">
        <f>IF(U36=""," ",U36*Inputs!$B$39)</f>
        <v xml:space="preserve"> </v>
      </c>
      <c r="AQ36" s="24" t="str">
        <f>IF(V36=""," ",V36*Inputs!$B$39)</f>
        <v xml:space="preserve"> </v>
      </c>
      <c r="AR36" s="24" t="str">
        <f>IF(W36=""," ",W36*Inputs!$B$39)</f>
        <v xml:space="preserve"> </v>
      </c>
      <c r="AT36" s="589"/>
      <c r="AU36" s="589"/>
      <c r="AV36" s="33"/>
      <c r="AW36" s="27" t="s">
        <v>499</v>
      </c>
      <c r="AX36" s="32" t="str">
        <f>IF(AC36=" "," ",AC36*Inputs!$B$54)</f>
        <v xml:space="preserve"> </v>
      </c>
      <c r="AY36" s="32" t="str">
        <f>IF(AD36=" "," ",AD36*Inputs!$B$54)</f>
        <v xml:space="preserve"> </v>
      </c>
      <c r="AZ36" s="32" t="str">
        <f>IF(AE36=" "," ",AE36*Inputs!$B$54)</f>
        <v xml:space="preserve"> </v>
      </c>
      <c r="BA36" s="32" t="str">
        <f>IF(AF36=" "," ",AF36*Inputs!$B$54)</f>
        <v xml:space="preserve"> </v>
      </c>
      <c r="BB36" s="32" t="str">
        <f>IF(AG36=" "," ",AG36*Inputs!$B$54)</f>
        <v xml:space="preserve"> </v>
      </c>
      <c r="BC36" s="32" t="str">
        <f>IF(AH36=" "," ",AH36*Inputs!$B$54)</f>
        <v xml:space="preserve"> </v>
      </c>
      <c r="BD36" s="32" t="str">
        <f>IF(AI36=" "," ",AI36*Inputs!$B$54)</f>
        <v xml:space="preserve"> </v>
      </c>
      <c r="BE36" s="32" t="str">
        <f>IF(AJ36=" "," ",AJ36*Inputs!$B$54)</f>
        <v xml:space="preserve"> </v>
      </c>
      <c r="BF36" s="32" t="str">
        <f>IF(AK36=" "," ",AK36*Inputs!$B$54)</f>
        <v xml:space="preserve"> </v>
      </c>
      <c r="BG36" s="32" t="str">
        <f>IF(AL36=" "," ",AL36*Inputs!$B$54)</f>
        <v xml:space="preserve"> </v>
      </c>
      <c r="BH36" s="32" t="str">
        <f>IF(AM36=" "," ",AM36*Inputs!$B$54)</f>
        <v xml:space="preserve"> </v>
      </c>
      <c r="BI36" s="32" t="str">
        <f>IF(AN36=" "," ",AN36*Inputs!$B$54)</f>
        <v xml:space="preserve"> </v>
      </c>
      <c r="BJ36" s="32" t="str">
        <f>IF(AO36=" "," ",AO36*Inputs!$B$54)</f>
        <v xml:space="preserve"> </v>
      </c>
    </row>
    <row r="37" spans="4:62" x14ac:dyDescent="0.25">
      <c r="D37" s="589"/>
      <c r="E37" s="589"/>
      <c r="F37" s="589"/>
      <c r="G37" s="21"/>
      <c r="H37" s="152"/>
      <c r="I37" s="152"/>
      <c r="J37" s="152"/>
      <c r="K37" s="152"/>
      <c r="L37" s="152"/>
      <c r="M37" s="152"/>
      <c r="N37" s="152"/>
      <c r="O37" s="152"/>
      <c r="P37" s="152"/>
      <c r="Q37" s="152"/>
      <c r="R37" s="152"/>
      <c r="S37" s="152"/>
      <c r="T37" s="152"/>
      <c r="U37" s="152"/>
      <c r="V37" s="152"/>
      <c r="W37" s="152"/>
      <c r="Y37" s="589"/>
      <c r="Z37" s="589"/>
      <c r="AA37" s="33"/>
      <c r="AB37" s="27" t="s">
        <v>500</v>
      </c>
      <c r="AC37" s="24" t="str">
        <f>IF(H37=""," ",H37*Inputs!$B$39)</f>
        <v xml:space="preserve"> </v>
      </c>
      <c r="AD37" s="24" t="str">
        <f>IF(I37=""," ",I37*Inputs!$B$39)</f>
        <v xml:space="preserve"> </v>
      </c>
      <c r="AE37" s="24" t="str">
        <f>IF(J37=""," ",J37*Inputs!$B$39)</f>
        <v xml:space="preserve"> </v>
      </c>
      <c r="AF37" s="24" t="str">
        <f>IF(K37=""," ",K37*Inputs!$B$39)</f>
        <v xml:space="preserve"> </v>
      </c>
      <c r="AG37" s="24" t="str">
        <f>IF(L37=""," ",L37*Inputs!$B$39)</f>
        <v xml:space="preserve"> </v>
      </c>
      <c r="AH37" s="24" t="str">
        <f>IF(M37=""," ",M37*Inputs!$B$39)</f>
        <v xml:space="preserve"> </v>
      </c>
      <c r="AI37" s="24" t="str">
        <f>IF(N37=""," ",N37*Inputs!$B$39)</f>
        <v xml:space="preserve"> </v>
      </c>
      <c r="AJ37" s="24" t="str">
        <f>IF(O37=""," ",O37*Inputs!$B$39)</f>
        <v xml:space="preserve"> </v>
      </c>
      <c r="AK37" s="24" t="str">
        <f>IF(P37=""," ",P37*Inputs!$B$39)</f>
        <v xml:space="preserve"> </v>
      </c>
      <c r="AL37" s="24" t="str">
        <f>IF(Q37=""," ",Q37*Inputs!$B$39)</f>
        <v xml:space="preserve"> </v>
      </c>
      <c r="AM37" s="24" t="str">
        <f>IF(R37=""," ",R37*Inputs!$B$39)</f>
        <v xml:space="preserve"> </v>
      </c>
      <c r="AN37" s="24" t="str">
        <f>IF(S37=""," ",S37*Inputs!$B$39)</f>
        <v xml:space="preserve"> </v>
      </c>
      <c r="AO37" s="24" t="str">
        <f>IF(T37=""," ",T37*Inputs!$B$39)</f>
        <v xml:space="preserve"> </v>
      </c>
      <c r="AP37" s="24" t="str">
        <f>IF(U37=""," ",U37*Inputs!$B$39)</f>
        <v xml:space="preserve"> </v>
      </c>
      <c r="AQ37" s="24" t="str">
        <f>IF(V37=""," ",V37*Inputs!$B$39)</f>
        <v xml:space="preserve"> </v>
      </c>
      <c r="AR37" s="24" t="str">
        <f>IF(W37=""," ",W37*Inputs!$B$39)</f>
        <v xml:space="preserve"> </v>
      </c>
      <c r="AT37" s="589"/>
      <c r="AU37" s="589"/>
      <c r="AV37" s="33"/>
      <c r="AW37" s="27" t="s">
        <v>500</v>
      </c>
      <c r="AX37" s="32" t="str">
        <f>IF(AC37=" "," ",AC37*Inputs!$B$54)</f>
        <v xml:space="preserve"> </v>
      </c>
      <c r="AY37" s="32" t="str">
        <f>IF(AD37=" "," ",AD37*Inputs!$B$54)</f>
        <v xml:space="preserve"> </v>
      </c>
      <c r="AZ37" s="32" t="str">
        <f>IF(AE37=" "," ",AE37*Inputs!$B$54)</f>
        <v xml:space="preserve"> </v>
      </c>
      <c r="BA37" s="32" t="str">
        <f>IF(AF37=" "," ",AF37*Inputs!$B$54)</f>
        <v xml:space="preserve"> </v>
      </c>
      <c r="BB37" s="32" t="str">
        <f>IF(AG37=" "," ",AG37*Inputs!$B$54)</f>
        <v xml:space="preserve"> </v>
      </c>
      <c r="BC37" s="32" t="str">
        <f>IF(AH37=" "," ",AH37*Inputs!$B$54)</f>
        <v xml:space="preserve"> </v>
      </c>
      <c r="BD37" s="32" t="str">
        <f>IF(AI37=" "," ",AI37*Inputs!$B$54)</f>
        <v xml:space="preserve"> </v>
      </c>
      <c r="BE37" s="32" t="str">
        <f>IF(AJ37=" "," ",AJ37*Inputs!$B$54)</f>
        <v xml:space="preserve"> </v>
      </c>
      <c r="BF37" s="32" t="str">
        <f>IF(AK37=" "," ",AK37*Inputs!$B$54)</f>
        <v xml:space="preserve"> </v>
      </c>
      <c r="BG37" s="32" t="str">
        <f>IF(AL37=" "," ",AL37*Inputs!$B$54)</f>
        <v xml:space="preserve"> </v>
      </c>
      <c r="BH37" s="32" t="str">
        <f>IF(AM37=" "," ",AM37*Inputs!$B$54)</f>
        <v xml:space="preserve"> </v>
      </c>
      <c r="BI37" s="32" t="str">
        <f>IF(AN37=" "," ",AN37*Inputs!$B$54)</f>
        <v xml:space="preserve"> </v>
      </c>
      <c r="BJ37" s="32" t="str">
        <f>IF(AO37=" "," ",AO37*Inputs!$B$54)</f>
        <v xml:space="preserve"> </v>
      </c>
    </row>
    <row r="38" spans="4:62" x14ac:dyDescent="0.25">
      <c r="D38" s="591"/>
      <c r="E38" s="591"/>
      <c r="F38" s="591"/>
      <c r="G38" s="149"/>
      <c r="H38" s="153"/>
      <c r="I38" s="153"/>
      <c r="J38" s="153"/>
      <c r="K38" s="153"/>
      <c r="L38" s="153"/>
      <c r="M38" s="153"/>
      <c r="N38" s="153"/>
      <c r="O38" s="153"/>
      <c r="P38" s="153"/>
      <c r="Q38" s="153"/>
      <c r="R38" s="153"/>
      <c r="S38" s="153"/>
      <c r="T38" s="153"/>
      <c r="U38" s="153"/>
      <c r="V38" s="153"/>
      <c r="W38" s="153"/>
      <c r="Y38" s="591"/>
      <c r="Z38" s="591"/>
      <c r="AA38" s="6"/>
      <c r="AB38" s="29" t="s">
        <v>501</v>
      </c>
      <c r="AC38" s="24" t="str">
        <f>IF(H38=""," ",H38*Inputs!$B$39)</f>
        <v xml:space="preserve"> </v>
      </c>
      <c r="AD38" s="24" t="str">
        <f>IF(I38=""," ",I38*Inputs!$B$39)</f>
        <v xml:space="preserve"> </v>
      </c>
      <c r="AE38" s="24" t="str">
        <f>IF(J38=""," ",J38*Inputs!$B$39)</f>
        <v xml:space="preserve"> </v>
      </c>
      <c r="AF38" s="24" t="str">
        <f>IF(K38=""," ",K38*Inputs!$B$39)</f>
        <v xml:space="preserve"> </v>
      </c>
      <c r="AG38" s="24" t="str">
        <f>IF(L38=""," ",L38*Inputs!$B$39)</f>
        <v xml:space="preserve"> </v>
      </c>
      <c r="AH38" s="24" t="str">
        <f>IF(M38=""," ",M38*Inputs!$B$39)</f>
        <v xml:space="preserve"> </v>
      </c>
      <c r="AI38" s="24" t="str">
        <f>IF(N38=""," ",N38*Inputs!$B$39)</f>
        <v xml:space="preserve"> </v>
      </c>
      <c r="AJ38" s="24" t="str">
        <f>IF(O38=""," ",O38*Inputs!$B$39)</f>
        <v xml:space="preserve"> </v>
      </c>
      <c r="AK38" s="24" t="str">
        <f>IF(P38=""," ",P38*Inputs!$B$39)</f>
        <v xml:space="preserve"> </v>
      </c>
      <c r="AL38" s="24" t="str">
        <f>IF(Q38=""," ",Q38*Inputs!$B$39)</f>
        <v xml:space="preserve"> </v>
      </c>
      <c r="AM38" s="24" t="str">
        <f>IF(R38=""," ",R38*Inputs!$B$39)</f>
        <v xml:space="preserve"> </v>
      </c>
      <c r="AN38" s="24" t="str">
        <f>IF(S38=""," ",S38*Inputs!$B$39)</f>
        <v xml:space="preserve"> </v>
      </c>
      <c r="AO38" s="24" t="str">
        <f>IF(T38=""," ",T38*Inputs!$B$39)</f>
        <v xml:space="preserve"> </v>
      </c>
      <c r="AP38" s="24" t="str">
        <f>IF(U38=""," ",U38*Inputs!$B$39)</f>
        <v xml:space="preserve"> </v>
      </c>
      <c r="AQ38" s="24" t="str">
        <f>IF(V38=""," ",V38*Inputs!$B$39)</f>
        <v xml:space="preserve"> </v>
      </c>
      <c r="AR38" s="24" t="str">
        <f>IF(W38=""," ",W38*Inputs!$B$39)</f>
        <v xml:space="preserve"> </v>
      </c>
      <c r="AT38" s="591"/>
      <c r="AU38" s="591"/>
      <c r="AV38" s="6"/>
      <c r="AW38" s="29" t="s">
        <v>501</v>
      </c>
      <c r="AX38" s="32" t="str">
        <f>IF(AC38=" "," ",AC38*Inputs!$B$54)</f>
        <v xml:space="preserve"> </v>
      </c>
      <c r="AY38" s="32" t="str">
        <f>IF(AD38=" "," ",AD38*Inputs!$B$54)</f>
        <v xml:space="preserve"> </v>
      </c>
      <c r="AZ38" s="32" t="str">
        <f>IF(AE38=" "," ",AE38*Inputs!$B$54)</f>
        <v xml:space="preserve"> </v>
      </c>
      <c r="BA38" s="32" t="str">
        <f>IF(AF38=" "," ",AF38*Inputs!$B$54)</f>
        <v xml:space="preserve"> </v>
      </c>
      <c r="BB38" s="32" t="str">
        <f>IF(AG38=" "," ",AG38*Inputs!$B$54)</f>
        <v xml:space="preserve"> </v>
      </c>
      <c r="BC38" s="32" t="str">
        <f>IF(AH38=" "," ",AH38*Inputs!$B$54)</f>
        <v xml:space="preserve"> </v>
      </c>
      <c r="BD38" s="32" t="str">
        <f>IF(AI38=" "," ",AI38*Inputs!$B$54)</f>
        <v xml:space="preserve"> </v>
      </c>
      <c r="BE38" s="32" t="str">
        <f>IF(AJ38=" "," ",AJ38*Inputs!$B$54)</f>
        <v xml:space="preserve"> </v>
      </c>
      <c r="BF38" s="32" t="str">
        <f>IF(AK38=" "," ",AK38*Inputs!$B$54)</f>
        <v xml:space="preserve"> </v>
      </c>
      <c r="BG38" s="32" t="str">
        <f>IF(AL38=" "," ",AL38*Inputs!$B$54)</f>
        <v xml:space="preserve"> </v>
      </c>
      <c r="BH38" s="32" t="str">
        <f>IF(AM38=" "," ",AM38*Inputs!$B$54)</f>
        <v xml:space="preserve"> </v>
      </c>
      <c r="BI38" s="32" t="str">
        <f>IF(AN38=" "," ",AN38*Inputs!$B$54)</f>
        <v xml:space="preserve"> </v>
      </c>
      <c r="BJ38" s="32" t="str">
        <f>IF(AO38=" "," ",AO38*Inputs!$B$54)</f>
        <v xml:space="preserve"> </v>
      </c>
    </row>
    <row r="43" spans="4:62" ht="30" hidden="1" customHeight="1" x14ac:dyDescent="0.25">
      <c r="F43" s="586" t="s">
        <v>505</v>
      </c>
      <c r="G43" s="554"/>
      <c r="H43" s="586" t="s">
        <v>506</v>
      </c>
      <c r="I43" s="554"/>
      <c r="J43" s="586" t="s">
        <v>507</v>
      </c>
      <c r="K43" s="554"/>
      <c r="L43" s="586" t="s">
        <v>508</v>
      </c>
      <c r="M43" s="554"/>
      <c r="O43" s="587" t="s">
        <v>505</v>
      </c>
      <c r="P43" s="554"/>
      <c r="Q43" s="587" t="s">
        <v>506</v>
      </c>
      <c r="R43" s="554"/>
      <c r="S43" s="216"/>
      <c r="T43" s="216"/>
      <c r="U43" s="216"/>
      <c r="V43" s="587" t="s">
        <v>507</v>
      </c>
      <c r="W43" s="554"/>
      <c r="X43" s="587" t="s">
        <v>508</v>
      </c>
      <c r="Y43" s="554"/>
    </row>
    <row r="44" spans="4:62" hidden="1" x14ac:dyDescent="0.25">
      <c r="F44" s="53" t="s">
        <v>509</v>
      </c>
      <c r="G44" s="53" t="s">
        <v>510</v>
      </c>
      <c r="H44" s="53" t="s">
        <v>509</v>
      </c>
      <c r="I44" s="53" t="s">
        <v>510</v>
      </c>
      <c r="J44" s="53" t="s">
        <v>509</v>
      </c>
      <c r="K44" s="53" t="s">
        <v>510</v>
      </c>
      <c r="L44" s="53" t="s">
        <v>509</v>
      </c>
      <c r="M44" s="53" t="s">
        <v>510</v>
      </c>
      <c r="O44" s="54" t="s">
        <v>509</v>
      </c>
      <c r="P44" s="54" t="s">
        <v>510</v>
      </c>
      <c r="Q44" s="54" t="s">
        <v>509</v>
      </c>
      <c r="R44" s="54" t="s">
        <v>510</v>
      </c>
      <c r="S44" s="54"/>
      <c r="T44" s="54"/>
      <c r="U44" s="54"/>
      <c r="V44" s="54" t="s">
        <v>509</v>
      </c>
      <c r="W44" s="54" t="s">
        <v>510</v>
      </c>
      <c r="X44" s="54" t="s">
        <v>509</v>
      </c>
      <c r="Y44" s="54" t="s">
        <v>510</v>
      </c>
    </row>
    <row r="45" spans="4:62" hidden="1" x14ac:dyDescent="0.25">
      <c r="F45" s="55" t="str">
        <f>AC4</f>
        <v xml:space="preserve"> </v>
      </c>
      <c r="G45" s="55" t="str">
        <f>AC23</f>
        <v xml:space="preserve"> </v>
      </c>
      <c r="H45" s="55" t="str">
        <f>AC12</f>
        <v xml:space="preserve"> </v>
      </c>
      <c r="I45" s="55" t="str">
        <f>AC31</f>
        <v xml:space="preserve"> </v>
      </c>
      <c r="J45" s="55" t="str">
        <f>AX4</f>
        <v xml:space="preserve"> </v>
      </c>
      <c r="K45" s="55" t="str">
        <f>AX23</f>
        <v xml:space="preserve"> </v>
      </c>
      <c r="L45" s="55" t="str">
        <f>AX12</f>
        <v xml:space="preserve"> </v>
      </c>
      <c r="M45" s="55" t="str">
        <f>AX31</f>
        <v xml:space="preserve"> </v>
      </c>
      <c r="O45" s="55" t="str">
        <f>AC8</f>
        <v xml:space="preserve"> </v>
      </c>
      <c r="P45" s="55" t="str">
        <f>AC27</f>
        <v xml:space="preserve"> </v>
      </c>
      <c r="Q45" s="55" t="str">
        <f>AC16</f>
        <v xml:space="preserve"> </v>
      </c>
      <c r="R45" s="55" t="str">
        <f>AC35</f>
        <v xml:space="preserve"> </v>
      </c>
      <c r="S45" s="55"/>
      <c r="T45" s="55"/>
      <c r="U45" s="55"/>
      <c r="V45" s="55" t="str">
        <f>AX8</f>
        <v xml:space="preserve"> </v>
      </c>
      <c r="W45" s="55" t="str">
        <f>AX27</f>
        <v xml:space="preserve"> </v>
      </c>
      <c r="X45" s="55" t="str">
        <f>AX16</f>
        <v xml:space="preserve"> </v>
      </c>
      <c r="Y45" s="55" t="str">
        <f>AX35</f>
        <v xml:space="preserve"> </v>
      </c>
    </row>
    <row r="46" spans="4:62" hidden="1" x14ac:dyDescent="0.25">
      <c r="F46" s="55" t="str">
        <f>AC5</f>
        <v xml:space="preserve"> </v>
      </c>
      <c r="G46" s="55" t="str">
        <f>AC24</f>
        <v xml:space="preserve"> </v>
      </c>
      <c r="H46" s="55" t="str">
        <f>AC13</f>
        <v xml:space="preserve"> </v>
      </c>
      <c r="I46" s="55" t="str">
        <f>AC32</f>
        <v xml:space="preserve"> </v>
      </c>
      <c r="J46" s="55" t="str">
        <f>AX5</f>
        <v xml:space="preserve"> </v>
      </c>
      <c r="K46" s="55" t="str">
        <f>AX24</f>
        <v xml:space="preserve"> </v>
      </c>
      <c r="L46" s="55" t="str">
        <f>AX13</f>
        <v xml:space="preserve"> </v>
      </c>
      <c r="M46" s="55" t="str">
        <f>AX32</f>
        <v xml:space="preserve"> </v>
      </c>
      <c r="O46" s="55" t="str">
        <f>AC9</f>
        <v xml:space="preserve"> </v>
      </c>
      <c r="P46" s="55" t="str">
        <f>AC28</f>
        <v xml:space="preserve"> </v>
      </c>
      <c r="Q46" s="55" t="str">
        <f>AC17</f>
        <v xml:space="preserve"> </v>
      </c>
      <c r="R46" s="55" t="str">
        <f>AC36</f>
        <v xml:space="preserve"> </v>
      </c>
      <c r="S46" s="55"/>
      <c r="T46" s="55"/>
      <c r="U46" s="55"/>
      <c r="V46" s="55" t="str">
        <f>AX9</f>
        <v xml:space="preserve"> </v>
      </c>
      <c r="W46" s="55" t="str">
        <f>AX28</f>
        <v xml:space="preserve"> </v>
      </c>
      <c r="X46" s="55" t="str">
        <f>AX17</f>
        <v xml:space="preserve"> </v>
      </c>
      <c r="Y46" s="55" t="str">
        <f>AX36</f>
        <v xml:space="preserve"> </v>
      </c>
    </row>
    <row r="47" spans="4:62" hidden="1" x14ac:dyDescent="0.25">
      <c r="F47" s="55" t="str">
        <f>AC6</f>
        <v xml:space="preserve"> </v>
      </c>
      <c r="G47" s="55" t="str">
        <f>AC25</f>
        <v xml:space="preserve"> </v>
      </c>
      <c r="H47" s="55" t="str">
        <f>AC14</f>
        <v xml:space="preserve"> </v>
      </c>
      <c r="I47" s="55" t="str">
        <f>AC33</f>
        <v xml:space="preserve"> </v>
      </c>
      <c r="J47" s="55" t="str">
        <f>AX6</f>
        <v xml:space="preserve"> </v>
      </c>
      <c r="K47" s="55" t="str">
        <f>AX25</f>
        <v xml:space="preserve"> </v>
      </c>
      <c r="L47" s="55" t="str">
        <f>AX14</f>
        <v xml:space="preserve"> </v>
      </c>
      <c r="M47" s="55" t="str">
        <f>AX33</f>
        <v xml:space="preserve"> </v>
      </c>
      <c r="O47" s="55" t="str">
        <f>AC10</f>
        <v xml:space="preserve"> </v>
      </c>
      <c r="P47" s="55" t="str">
        <f>AC29</f>
        <v xml:space="preserve"> </v>
      </c>
      <c r="Q47" s="55" t="str">
        <f>AC18</f>
        <v xml:space="preserve"> </v>
      </c>
      <c r="R47" s="55" t="str">
        <f>AC37</f>
        <v xml:space="preserve"> </v>
      </c>
      <c r="S47" s="55"/>
      <c r="T47" s="55"/>
      <c r="U47" s="55"/>
      <c r="V47" s="55" t="str">
        <f>AX10</f>
        <v xml:space="preserve"> </v>
      </c>
      <c r="W47" s="55" t="str">
        <f>AX29</f>
        <v xml:space="preserve"> </v>
      </c>
      <c r="X47" s="55" t="str">
        <f>AX18</f>
        <v xml:space="preserve"> </v>
      </c>
      <c r="Y47" s="55" t="str">
        <f>AX37</f>
        <v xml:space="preserve"> </v>
      </c>
    </row>
    <row r="48" spans="4:62" hidden="1" x14ac:dyDescent="0.25">
      <c r="F48" s="56" t="str">
        <f>AC7</f>
        <v xml:space="preserve"> </v>
      </c>
      <c r="G48" s="56" t="str">
        <f>AC26</f>
        <v xml:space="preserve"> </v>
      </c>
      <c r="H48" s="56" t="str">
        <f>AC15</f>
        <v xml:space="preserve"> </v>
      </c>
      <c r="I48" s="56" t="str">
        <f>AC34</f>
        <v xml:space="preserve"> </v>
      </c>
      <c r="J48" s="56" t="str">
        <f>AX7</f>
        <v xml:space="preserve"> </v>
      </c>
      <c r="K48" s="56" t="str">
        <f>AX26</f>
        <v xml:space="preserve"> </v>
      </c>
      <c r="L48" s="56" t="str">
        <f>AX15</f>
        <v xml:space="preserve"> </v>
      </c>
      <c r="M48" s="56" t="str">
        <f>AX34</f>
        <v xml:space="preserve"> </v>
      </c>
      <c r="O48" s="56" t="str">
        <f>AC11</f>
        <v xml:space="preserve"> </v>
      </c>
      <c r="P48" s="56" t="str">
        <f>AC30</f>
        <v xml:space="preserve"> </v>
      </c>
      <c r="Q48" s="56" t="str">
        <f>AC19</f>
        <v xml:space="preserve"> </v>
      </c>
      <c r="R48" s="56" t="str">
        <f>AC38</f>
        <v xml:space="preserve"> </v>
      </c>
      <c r="S48" s="56"/>
      <c r="T48" s="56"/>
      <c r="U48" s="56"/>
      <c r="V48" s="56" t="str">
        <f>AX11</f>
        <v xml:space="preserve"> </v>
      </c>
      <c r="W48" s="56" t="str">
        <f>AX30</f>
        <v xml:space="preserve"> </v>
      </c>
      <c r="X48" s="56" t="str">
        <f>AX19</f>
        <v xml:space="preserve"> </v>
      </c>
      <c r="Y48" s="56" t="str">
        <f>AX38</f>
        <v xml:space="preserve"> </v>
      </c>
    </row>
    <row r="49" spans="6:25" hidden="1" x14ac:dyDescent="0.25">
      <c r="F49" s="57" t="str">
        <f>AD4</f>
        <v xml:space="preserve"> </v>
      </c>
      <c r="G49" s="57" t="str">
        <f>AD23</f>
        <v xml:space="preserve"> </v>
      </c>
      <c r="H49" s="57" t="str">
        <f>AD12</f>
        <v xml:space="preserve"> </v>
      </c>
      <c r="I49" s="57" t="str">
        <f>AD31</f>
        <v xml:space="preserve"> </v>
      </c>
      <c r="J49" s="57" t="str">
        <f>AY4</f>
        <v xml:space="preserve"> </v>
      </c>
      <c r="K49" s="57" t="str">
        <f>AY23</f>
        <v xml:space="preserve"> </v>
      </c>
      <c r="L49" s="57" t="str">
        <f>AY12</f>
        <v xml:space="preserve"> </v>
      </c>
      <c r="M49" s="57" t="str">
        <f>AY31</f>
        <v xml:space="preserve"> </v>
      </c>
      <c r="O49" s="57" t="str">
        <f>AD8</f>
        <v xml:space="preserve"> </v>
      </c>
      <c r="P49" s="57" t="str">
        <f>AD27</f>
        <v xml:space="preserve"> </v>
      </c>
      <c r="Q49" s="57" t="str">
        <f>AD16</f>
        <v xml:space="preserve"> </v>
      </c>
      <c r="R49" s="57" t="str">
        <f>AD35</f>
        <v xml:space="preserve"> </v>
      </c>
      <c r="S49" s="57"/>
      <c r="T49" s="57"/>
      <c r="U49" s="57"/>
      <c r="V49" s="57" t="str">
        <f>AY8</f>
        <v xml:space="preserve"> </v>
      </c>
      <c r="W49" s="57" t="str">
        <f>AY27</f>
        <v xml:space="preserve"> </v>
      </c>
      <c r="X49" s="57" t="str">
        <f>AY16</f>
        <v xml:space="preserve"> </v>
      </c>
      <c r="Y49" s="57" t="str">
        <f>AY35</f>
        <v xml:space="preserve"> </v>
      </c>
    </row>
    <row r="50" spans="6:25" hidden="1" x14ac:dyDescent="0.25">
      <c r="F50" s="55" t="str">
        <f>AD5</f>
        <v xml:space="preserve"> </v>
      </c>
      <c r="G50" s="55" t="str">
        <f>AD24</f>
        <v xml:space="preserve"> </v>
      </c>
      <c r="H50" s="55" t="str">
        <f>AD13</f>
        <v xml:space="preserve"> </v>
      </c>
      <c r="I50" s="55" t="str">
        <f>AD32</f>
        <v xml:space="preserve"> </v>
      </c>
      <c r="J50" s="55" t="str">
        <f>AY5</f>
        <v xml:space="preserve"> </v>
      </c>
      <c r="K50" s="55" t="str">
        <f>AY24</f>
        <v xml:space="preserve"> </v>
      </c>
      <c r="L50" s="55" t="str">
        <f>AY13</f>
        <v xml:space="preserve"> </v>
      </c>
      <c r="M50" s="55" t="str">
        <f>AY32</f>
        <v xml:space="preserve"> </v>
      </c>
      <c r="O50" s="55" t="str">
        <f>AD9</f>
        <v xml:space="preserve"> </v>
      </c>
      <c r="P50" s="55" t="str">
        <f>AD28</f>
        <v xml:space="preserve"> </v>
      </c>
      <c r="Q50" s="55" t="str">
        <f>AD17</f>
        <v xml:space="preserve"> </v>
      </c>
      <c r="R50" s="55" t="str">
        <f>AD36</f>
        <v xml:space="preserve"> </v>
      </c>
      <c r="S50" s="55"/>
      <c r="T50" s="55"/>
      <c r="U50" s="55"/>
      <c r="V50" s="55" t="str">
        <f>AY9</f>
        <v xml:space="preserve"> </v>
      </c>
      <c r="W50" s="55" t="str">
        <f>AY28</f>
        <v xml:space="preserve"> </v>
      </c>
      <c r="X50" s="55" t="str">
        <f>AY17</f>
        <v xml:space="preserve"> </v>
      </c>
      <c r="Y50" s="55" t="str">
        <f>AY36</f>
        <v xml:space="preserve"> </v>
      </c>
    </row>
    <row r="51" spans="6:25" hidden="1" x14ac:dyDescent="0.25">
      <c r="F51" s="55" t="str">
        <f>AD6</f>
        <v xml:space="preserve"> </v>
      </c>
      <c r="G51" s="55" t="str">
        <f>AD25</f>
        <v xml:space="preserve"> </v>
      </c>
      <c r="H51" s="55" t="str">
        <f>AD14</f>
        <v xml:space="preserve"> </v>
      </c>
      <c r="I51" s="55" t="str">
        <f>AD33</f>
        <v xml:space="preserve"> </v>
      </c>
      <c r="J51" s="55" t="str">
        <f>AY6</f>
        <v xml:space="preserve"> </v>
      </c>
      <c r="K51" s="55" t="str">
        <f>AY25</f>
        <v xml:space="preserve"> </v>
      </c>
      <c r="L51" s="55" t="str">
        <f>AY14</f>
        <v xml:space="preserve"> </v>
      </c>
      <c r="M51" s="55" t="str">
        <f>AY33</f>
        <v xml:space="preserve"> </v>
      </c>
      <c r="O51" s="55" t="str">
        <f>AD10</f>
        <v xml:space="preserve"> </v>
      </c>
      <c r="P51" s="55" t="str">
        <f>AD29</f>
        <v xml:space="preserve"> </v>
      </c>
      <c r="Q51" s="55" t="str">
        <f>AD18</f>
        <v xml:space="preserve"> </v>
      </c>
      <c r="R51" s="55" t="str">
        <f>AD37</f>
        <v xml:space="preserve"> </v>
      </c>
      <c r="S51" s="55"/>
      <c r="T51" s="55"/>
      <c r="U51" s="55"/>
      <c r="V51" s="55" t="str">
        <f>AY10</f>
        <v xml:space="preserve"> </v>
      </c>
      <c r="W51" s="55" t="str">
        <f>AY29</f>
        <v xml:space="preserve"> </v>
      </c>
      <c r="X51" s="55" t="str">
        <f>AY18</f>
        <v xml:space="preserve"> </v>
      </c>
      <c r="Y51" s="55" t="str">
        <f>AY37</f>
        <v xml:space="preserve"> </v>
      </c>
    </row>
    <row r="52" spans="6:25" hidden="1" x14ac:dyDescent="0.25">
      <c r="F52" s="56" t="str">
        <f>AD7</f>
        <v xml:space="preserve"> </v>
      </c>
      <c r="G52" s="56" t="str">
        <f>AD26</f>
        <v xml:space="preserve"> </v>
      </c>
      <c r="H52" s="56" t="str">
        <f>AD15</f>
        <v xml:space="preserve"> </v>
      </c>
      <c r="I52" s="56" t="str">
        <f>AD34</f>
        <v xml:space="preserve"> </v>
      </c>
      <c r="J52" s="56" t="str">
        <f>AY7</f>
        <v xml:space="preserve"> </v>
      </c>
      <c r="K52" s="56" t="str">
        <f>AY26</f>
        <v xml:space="preserve"> </v>
      </c>
      <c r="L52" s="56" t="str">
        <f>AY15</f>
        <v xml:space="preserve"> </v>
      </c>
      <c r="M52" s="56" t="str">
        <f>AY34</f>
        <v xml:space="preserve"> </v>
      </c>
      <c r="O52" s="56" t="str">
        <f>AD11</f>
        <v xml:space="preserve"> </v>
      </c>
      <c r="P52" s="56" t="str">
        <f>AD30</f>
        <v xml:space="preserve"> </v>
      </c>
      <c r="Q52" s="56" t="str">
        <f>AD19</f>
        <v xml:space="preserve"> </v>
      </c>
      <c r="R52" s="56" t="str">
        <f>AD38</f>
        <v xml:space="preserve"> </v>
      </c>
      <c r="S52" s="56"/>
      <c r="T52" s="56"/>
      <c r="U52" s="56"/>
      <c r="V52" s="56" t="str">
        <f>AY11</f>
        <v xml:space="preserve"> </v>
      </c>
      <c r="W52" s="56" t="str">
        <f>AY30</f>
        <v xml:space="preserve"> </v>
      </c>
      <c r="X52" s="56" t="str">
        <f>AY19</f>
        <v xml:space="preserve"> </v>
      </c>
      <c r="Y52" s="56" t="str">
        <f>AY38</f>
        <v xml:space="preserve"> </v>
      </c>
    </row>
    <row r="53" spans="6:25" hidden="1" x14ac:dyDescent="0.25">
      <c r="F53" s="57" t="str">
        <f>AE4</f>
        <v xml:space="preserve"> </v>
      </c>
      <c r="G53" s="57" t="str">
        <f>AE23</f>
        <v xml:space="preserve"> </v>
      </c>
      <c r="H53" s="57" t="str">
        <f>AE12</f>
        <v xml:space="preserve"> </v>
      </c>
      <c r="I53" s="57" t="str">
        <f>AE31</f>
        <v xml:space="preserve"> </v>
      </c>
      <c r="J53" s="57" t="str">
        <f>AZ4</f>
        <v xml:space="preserve"> </v>
      </c>
      <c r="K53" s="57" t="str">
        <f>AZ23</f>
        <v xml:space="preserve"> </v>
      </c>
      <c r="L53" s="57" t="str">
        <f>AZ12</f>
        <v xml:space="preserve"> </v>
      </c>
      <c r="M53" s="57" t="str">
        <f>AZ31</f>
        <v xml:space="preserve"> </v>
      </c>
      <c r="O53" s="57" t="str">
        <f>AE8</f>
        <v xml:space="preserve"> </v>
      </c>
      <c r="P53" s="57" t="str">
        <f>AE27</f>
        <v xml:space="preserve"> </v>
      </c>
      <c r="Q53" s="57" t="str">
        <f>AE16</f>
        <v xml:space="preserve"> </v>
      </c>
      <c r="R53" s="57" t="str">
        <f>AE35</f>
        <v xml:space="preserve"> </v>
      </c>
      <c r="S53" s="57"/>
      <c r="T53" s="57"/>
      <c r="U53" s="57"/>
      <c r="V53" s="57" t="str">
        <f>AZ8</f>
        <v xml:space="preserve"> </v>
      </c>
      <c r="W53" s="57" t="str">
        <f>AZ27</f>
        <v xml:space="preserve"> </v>
      </c>
      <c r="X53" s="57" t="str">
        <f>AZ16</f>
        <v xml:space="preserve"> </v>
      </c>
      <c r="Y53" s="57" t="str">
        <f>AZ35</f>
        <v xml:space="preserve"> </v>
      </c>
    </row>
    <row r="54" spans="6:25" hidden="1" x14ac:dyDescent="0.25">
      <c r="F54" s="55" t="str">
        <f>AE5</f>
        <v xml:space="preserve"> </v>
      </c>
      <c r="G54" s="55" t="str">
        <f>AE24</f>
        <v xml:space="preserve"> </v>
      </c>
      <c r="H54" s="55" t="str">
        <f>AE13</f>
        <v xml:space="preserve"> </v>
      </c>
      <c r="I54" s="55" t="str">
        <f>AE32</f>
        <v xml:space="preserve"> </v>
      </c>
      <c r="J54" s="55" t="str">
        <f>AZ5</f>
        <v xml:space="preserve"> </v>
      </c>
      <c r="K54" s="55" t="str">
        <f>AZ24</f>
        <v xml:space="preserve"> </v>
      </c>
      <c r="L54" s="55" t="str">
        <f>AZ13</f>
        <v xml:space="preserve"> </v>
      </c>
      <c r="M54" s="55" t="str">
        <f>AZ32</f>
        <v xml:space="preserve"> </v>
      </c>
      <c r="O54" s="55" t="str">
        <f>AE9</f>
        <v xml:space="preserve"> </v>
      </c>
      <c r="P54" s="55" t="str">
        <f>AE28</f>
        <v xml:space="preserve"> </v>
      </c>
      <c r="Q54" s="55" t="str">
        <f>AE17</f>
        <v xml:space="preserve"> </v>
      </c>
      <c r="R54" s="55" t="str">
        <f>AE36</f>
        <v xml:space="preserve"> </v>
      </c>
      <c r="S54" s="55"/>
      <c r="T54" s="55"/>
      <c r="U54" s="55"/>
      <c r="V54" s="55" t="str">
        <f>AZ9</f>
        <v xml:space="preserve"> </v>
      </c>
      <c r="W54" s="55" t="str">
        <f>AZ28</f>
        <v xml:space="preserve"> </v>
      </c>
      <c r="X54" s="55" t="str">
        <f>AZ17</f>
        <v xml:space="preserve"> </v>
      </c>
      <c r="Y54" s="55" t="str">
        <f>AZ36</f>
        <v xml:space="preserve"> </v>
      </c>
    </row>
    <row r="55" spans="6:25" hidden="1" x14ac:dyDescent="0.25">
      <c r="F55" s="55" t="str">
        <f>AE6</f>
        <v xml:space="preserve"> </v>
      </c>
      <c r="G55" s="55" t="str">
        <f>AE25</f>
        <v xml:space="preserve"> </v>
      </c>
      <c r="H55" s="55" t="str">
        <f>AE14</f>
        <v xml:space="preserve"> </v>
      </c>
      <c r="I55" s="55" t="str">
        <f>AE33</f>
        <v xml:space="preserve"> </v>
      </c>
      <c r="J55" s="55" t="str">
        <f>AZ6</f>
        <v xml:space="preserve"> </v>
      </c>
      <c r="K55" s="55" t="str">
        <f>AZ25</f>
        <v xml:space="preserve"> </v>
      </c>
      <c r="L55" s="55" t="str">
        <f>AZ14</f>
        <v xml:space="preserve"> </v>
      </c>
      <c r="M55" s="55" t="str">
        <f>AZ33</f>
        <v xml:space="preserve"> </v>
      </c>
      <c r="O55" s="55" t="str">
        <f>AE10</f>
        <v xml:space="preserve"> </v>
      </c>
      <c r="P55" s="55" t="str">
        <f>AE29</f>
        <v xml:space="preserve"> </v>
      </c>
      <c r="Q55" s="55" t="str">
        <f>AE18</f>
        <v xml:space="preserve"> </v>
      </c>
      <c r="R55" s="55" t="str">
        <f>AE37</f>
        <v xml:space="preserve"> </v>
      </c>
      <c r="S55" s="55"/>
      <c r="T55" s="55"/>
      <c r="U55" s="55"/>
      <c r="V55" s="55" t="str">
        <f>AZ10</f>
        <v xml:space="preserve"> </v>
      </c>
      <c r="W55" s="55" t="str">
        <f>AZ29</f>
        <v xml:space="preserve"> </v>
      </c>
      <c r="X55" s="55" t="str">
        <f>AZ18</f>
        <v xml:space="preserve"> </v>
      </c>
      <c r="Y55" s="55" t="str">
        <f>AZ37</f>
        <v xml:space="preserve"> </v>
      </c>
    </row>
    <row r="56" spans="6:25" hidden="1" x14ac:dyDescent="0.25">
      <c r="F56" s="56" t="str">
        <f>AE7</f>
        <v xml:space="preserve"> </v>
      </c>
      <c r="G56" s="56" t="str">
        <f>AE26</f>
        <v xml:space="preserve"> </v>
      </c>
      <c r="H56" s="56" t="str">
        <f>AE15</f>
        <v xml:space="preserve"> </v>
      </c>
      <c r="I56" s="56" t="str">
        <f>AE34</f>
        <v xml:space="preserve"> </v>
      </c>
      <c r="J56" s="56" t="str">
        <f>AZ7</f>
        <v xml:space="preserve"> </v>
      </c>
      <c r="K56" s="56" t="str">
        <f>AZ26</f>
        <v xml:space="preserve"> </v>
      </c>
      <c r="L56" s="56" t="str">
        <f>AZ15</f>
        <v xml:space="preserve"> </v>
      </c>
      <c r="M56" s="56" t="str">
        <f>AZ34</f>
        <v xml:space="preserve"> </v>
      </c>
      <c r="O56" s="56" t="str">
        <f>AE11</f>
        <v xml:space="preserve"> </v>
      </c>
      <c r="P56" s="56" t="str">
        <f>AE30</f>
        <v xml:space="preserve"> </v>
      </c>
      <c r="Q56" s="56" t="str">
        <f>AE19</f>
        <v xml:space="preserve"> </v>
      </c>
      <c r="R56" s="56" t="str">
        <f>AE38</f>
        <v xml:space="preserve"> </v>
      </c>
      <c r="S56" s="56"/>
      <c r="T56" s="56"/>
      <c r="U56" s="56"/>
      <c r="V56" s="56" t="str">
        <f>AZ11</f>
        <v xml:space="preserve"> </v>
      </c>
      <c r="W56" s="56" t="str">
        <f>AZ30</f>
        <v xml:space="preserve"> </v>
      </c>
      <c r="X56" s="56" t="str">
        <f>AZ19</f>
        <v xml:space="preserve"> </v>
      </c>
      <c r="Y56" s="56" t="str">
        <f>AZ38</f>
        <v xml:space="preserve"> </v>
      </c>
    </row>
    <row r="57" spans="6:25" hidden="1" x14ac:dyDescent="0.25">
      <c r="F57" s="57" t="str">
        <f>AF4</f>
        <v xml:space="preserve"> </v>
      </c>
      <c r="G57" s="57" t="str">
        <f>AF23</f>
        <v xml:space="preserve"> </v>
      </c>
      <c r="H57" s="57" t="str">
        <f>AF12</f>
        <v xml:space="preserve"> </v>
      </c>
      <c r="I57" s="57" t="str">
        <f>AF31</f>
        <v xml:space="preserve"> </v>
      </c>
      <c r="J57" s="57" t="str">
        <f>BA4</f>
        <v xml:space="preserve"> </v>
      </c>
      <c r="K57" s="57" t="str">
        <f>BA23</f>
        <v xml:space="preserve"> </v>
      </c>
      <c r="L57" s="57" t="str">
        <f>BA12</f>
        <v xml:space="preserve"> </v>
      </c>
      <c r="M57" s="57" t="str">
        <f>BA31</f>
        <v xml:space="preserve"> </v>
      </c>
      <c r="O57" s="57" t="str">
        <f>AF8</f>
        <v xml:space="preserve"> </v>
      </c>
      <c r="P57" s="57" t="str">
        <f>AF27</f>
        <v xml:space="preserve"> </v>
      </c>
      <c r="Q57" s="57" t="str">
        <f>AF16</f>
        <v xml:space="preserve"> </v>
      </c>
      <c r="R57" s="57" t="str">
        <f>AF35</f>
        <v xml:space="preserve"> </v>
      </c>
      <c r="S57" s="57"/>
      <c r="T57" s="57"/>
      <c r="U57" s="57"/>
      <c r="V57" s="57" t="str">
        <f>BA8</f>
        <v xml:space="preserve"> </v>
      </c>
      <c r="W57" s="57" t="str">
        <f>BA27</f>
        <v xml:space="preserve"> </v>
      </c>
      <c r="X57" s="57" t="str">
        <f>BA16</f>
        <v xml:space="preserve"> </v>
      </c>
      <c r="Y57" s="57" t="str">
        <f>BA35</f>
        <v xml:space="preserve"> </v>
      </c>
    </row>
    <row r="58" spans="6:25" hidden="1" x14ac:dyDescent="0.25">
      <c r="F58" s="55" t="str">
        <f>AF5</f>
        <v xml:space="preserve"> </v>
      </c>
      <c r="G58" s="55" t="str">
        <f>AF24</f>
        <v xml:space="preserve"> </v>
      </c>
      <c r="H58" s="55" t="str">
        <f>AF13</f>
        <v xml:space="preserve"> </v>
      </c>
      <c r="I58" s="55" t="str">
        <f>AF32</f>
        <v xml:space="preserve"> </v>
      </c>
      <c r="J58" s="55" t="str">
        <f>BA5</f>
        <v xml:space="preserve"> </v>
      </c>
      <c r="K58" s="55" t="str">
        <f>BA24</f>
        <v xml:space="preserve"> </v>
      </c>
      <c r="L58" s="55" t="str">
        <f>BA13</f>
        <v xml:space="preserve"> </v>
      </c>
      <c r="M58" s="55" t="str">
        <f>BA32</f>
        <v xml:space="preserve"> </v>
      </c>
      <c r="O58" s="55" t="str">
        <f>AF9</f>
        <v xml:space="preserve"> </v>
      </c>
      <c r="P58" s="55" t="str">
        <f>AF28</f>
        <v xml:space="preserve"> </v>
      </c>
      <c r="Q58" s="55" t="str">
        <f>AF17</f>
        <v xml:space="preserve"> </v>
      </c>
      <c r="R58" s="55" t="str">
        <f>AF36</f>
        <v xml:space="preserve"> </v>
      </c>
      <c r="S58" s="55"/>
      <c r="T58" s="55"/>
      <c r="U58" s="55"/>
      <c r="V58" s="55" t="str">
        <f>BA9</f>
        <v xml:space="preserve"> </v>
      </c>
      <c r="W58" s="55" t="str">
        <f>BA28</f>
        <v xml:space="preserve"> </v>
      </c>
      <c r="X58" s="55" t="str">
        <f>BA17</f>
        <v xml:space="preserve"> </v>
      </c>
      <c r="Y58" s="55" t="str">
        <f>BA36</f>
        <v xml:space="preserve"> </v>
      </c>
    </row>
    <row r="59" spans="6:25" hidden="1" x14ac:dyDescent="0.25">
      <c r="F59" s="55" t="str">
        <f>AF6</f>
        <v xml:space="preserve"> </v>
      </c>
      <c r="G59" s="55" t="str">
        <f>AF25</f>
        <v xml:space="preserve"> </v>
      </c>
      <c r="H59" s="55" t="str">
        <f>AF14</f>
        <v xml:space="preserve"> </v>
      </c>
      <c r="I59" s="55" t="str">
        <f>AF33</f>
        <v xml:space="preserve"> </v>
      </c>
      <c r="J59" s="55" t="str">
        <f>BA6</f>
        <v xml:space="preserve"> </v>
      </c>
      <c r="K59" s="55" t="str">
        <f>BA25</f>
        <v xml:space="preserve"> </v>
      </c>
      <c r="L59" s="55" t="str">
        <f>BA14</f>
        <v xml:space="preserve"> </v>
      </c>
      <c r="M59" s="55" t="str">
        <f>BA33</f>
        <v xml:space="preserve"> </v>
      </c>
      <c r="O59" s="55" t="str">
        <f>AF10</f>
        <v xml:space="preserve"> </v>
      </c>
      <c r="P59" s="55" t="str">
        <f>AF29</f>
        <v xml:space="preserve"> </v>
      </c>
      <c r="Q59" s="55" t="str">
        <f>AF18</f>
        <v xml:space="preserve"> </v>
      </c>
      <c r="R59" s="55" t="str">
        <f>AF37</f>
        <v xml:space="preserve"> </v>
      </c>
      <c r="S59" s="55"/>
      <c r="T59" s="55"/>
      <c r="U59" s="55"/>
      <c r="V59" s="55" t="str">
        <f>BA10</f>
        <v xml:space="preserve"> </v>
      </c>
      <c r="W59" s="55" t="str">
        <f>BA29</f>
        <v xml:space="preserve"> </v>
      </c>
      <c r="X59" s="55" t="str">
        <f>BA18</f>
        <v xml:space="preserve"> </v>
      </c>
      <c r="Y59" s="55" t="str">
        <f>BA37</f>
        <v xml:space="preserve"> </v>
      </c>
    </row>
    <row r="60" spans="6:25" hidden="1" x14ac:dyDescent="0.25">
      <c r="F60" s="56" t="str">
        <f>AF7</f>
        <v xml:space="preserve"> </v>
      </c>
      <c r="G60" s="56" t="str">
        <f>AF26</f>
        <v xml:space="preserve"> </v>
      </c>
      <c r="H60" s="56" t="str">
        <f>AF15</f>
        <v xml:space="preserve"> </v>
      </c>
      <c r="I60" s="56" t="str">
        <f>AF34</f>
        <v xml:space="preserve"> </v>
      </c>
      <c r="J60" s="56" t="str">
        <f>BA7</f>
        <v xml:space="preserve"> </v>
      </c>
      <c r="K60" s="56" t="str">
        <f>BA26</f>
        <v xml:space="preserve"> </v>
      </c>
      <c r="L60" s="56" t="str">
        <f>BA15</f>
        <v xml:space="preserve"> </v>
      </c>
      <c r="M60" s="56" t="str">
        <f>BA34</f>
        <v xml:space="preserve"> </v>
      </c>
      <c r="O60" s="56" t="str">
        <f>AF11</f>
        <v xml:space="preserve"> </v>
      </c>
      <c r="P60" s="56" t="str">
        <f>AF30</f>
        <v xml:space="preserve"> </v>
      </c>
      <c r="Q60" s="56" t="str">
        <f>AF19</f>
        <v xml:space="preserve"> </v>
      </c>
      <c r="R60" s="56" t="str">
        <f>AF38</f>
        <v xml:space="preserve"> </v>
      </c>
      <c r="S60" s="56"/>
      <c r="T60" s="56"/>
      <c r="U60" s="56"/>
      <c r="V60" s="56" t="str">
        <f>BA11</f>
        <v xml:space="preserve"> </v>
      </c>
      <c r="W60" s="56" t="str">
        <f>BA30</f>
        <v xml:space="preserve"> </v>
      </c>
      <c r="X60" s="56" t="str">
        <f>BA19</f>
        <v xml:space="preserve"> </v>
      </c>
      <c r="Y60" s="56" t="str">
        <f>BA38</f>
        <v xml:space="preserve"> </v>
      </c>
    </row>
    <row r="61" spans="6:25" hidden="1" x14ac:dyDescent="0.25">
      <c r="F61" s="57" t="str">
        <f>AG4</f>
        <v xml:space="preserve"> </v>
      </c>
      <c r="G61" s="57" t="str">
        <f>AG23</f>
        <v xml:space="preserve"> </v>
      </c>
      <c r="H61" s="57" t="str">
        <f>AG12</f>
        <v xml:space="preserve"> </v>
      </c>
      <c r="I61" s="57" t="str">
        <f>AG31</f>
        <v xml:space="preserve"> </v>
      </c>
      <c r="J61" s="57" t="str">
        <f>BB4</f>
        <v xml:space="preserve"> </v>
      </c>
      <c r="K61" s="57" t="str">
        <f>BB23</f>
        <v xml:space="preserve"> </v>
      </c>
      <c r="L61" s="57" t="str">
        <f>BB12</f>
        <v xml:space="preserve"> </v>
      </c>
      <c r="M61" s="57" t="str">
        <f>BB31</f>
        <v xml:space="preserve"> </v>
      </c>
      <c r="O61" s="57" t="str">
        <f>AG8</f>
        <v xml:space="preserve"> </v>
      </c>
      <c r="P61" s="57" t="str">
        <f>AG27</f>
        <v xml:space="preserve"> </v>
      </c>
      <c r="Q61" s="57" t="str">
        <f>AG16</f>
        <v xml:space="preserve"> </v>
      </c>
      <c r="R61" s="57" t="str">
        <f>AG35</f>
        <v xml:space="preserve"> </v>
      </c>
      <c r="S61" s="57"/>
      <c r="T61" s="57"/>
      <c r="U61" s="57"/>
      <c r="V61" s="57" t="str">
        <f>BB8</f>
        <v xml:space="preserve"> </v>
      </c>
      <c r="W61" s="57" t="str">
        <f>BB27</f>
        <v xml:space="preserve"> </v>
      </c>
      <c r="X61" s="57" t="str">
        <f>BB16</f>
        <v xml:space="preserve"> </v>
      </c>
      <c r="Y61" s="57" t="str">
        <f>BB35</f>
        <v xml:space="preserve"> </v>
      </c>
    </row>
    <row r="62" spans="6:25" hidden="1" x14ac:dyDescent="0.25">
      <c r="F62" s="55" t="str">
        <f>AG5</f>
        <v xml:space="preserve"> </v>
      </c>
      <c r="G62" s="55" t="str">
        <f>AG24</f>
        <v xml:space="preserve"> </v>
      </c>
      <c r="H62" s="55" t="str">
        <f>AG13</f>
        <v xml:space="preserve"> </v>
      </c>
      <c r="I62" s="55" t="str">
        <f>AG32</f>
        <v xml:space="preserve"> </v>
      </c>
      <c r="J62" s="55" t="str">
        <f>BB5</f>
        <v xml:space="preserve"> </v>
      </c>
      <c r="K62" s="55" t="str">
        <f>BB24</f>
        <v xml:space="preserve"> </v>
      </c>
      <c r="L62" s="55" t="str">
        <f>BB13</f>
        <v xml:space="preserve"> </v>
      </c>
      <c r="M62" s="55" t="str">
        <f>BB32</f>
        <v xml:space="preserve"> </v>
      </c>
      <c r="O62" s="55" t="str">
        <f>AG9</f>
        <v xml:space="preserve"> </v>
      </c>
      <c r="P62" s="55" t="str">
        <f>AG28</f>
        <v xml:space="preserve"> </v>
      </c>
      <c r="Q62" s="55" t="str">
        <f>AG17</f>
        <v xml:space="preserve"> </v>
      </c>
      <c r="R62" s="55" t="str">
        <f>AG36</f>
        <v xml:space="preserve"> </v>
      </c>
      <c r="S62" s="55"/>
      <c r="T62" s="55"/>
      <c r="U62" s="55"/>
      <c r="V62" s="55" t="str">
        <f>BB9</f>
        <v xml:space="preserve"> </v>
      </c>
      <c r="W62" s="55" t="str">
        <f>BB28</f>
        <v xml:space="preserve"> </v>
      </c>
      <c r="X62" s="55" t="str">
        <f>BB17</f>
        <v xml:space="preserve"> </v>
      </c>
      <c r="Y62" s="55" t="str">
        <f>BB36</f>
        <v xml:space="preserve"> </v>
      </c>
    </row>
    <row r="63" spans="6:25" hidden="1" x14ac:dyDescent="0.25">
      <c r="F63" s="55" t="str">
        <f>AG6</f>
        <v xml:space="preserve"> </v>
      </c>
      <c r="G63" s="55" t="str">
        <f>AG25</f>
        <v xml:space="preserve"> </v>
      </c>
      <c r="H63" s="55" t="str">
        <f>AG14</f>
        <v xml:space="preserve"> </v>
      </c>
      <c r="I63" s="55" t="str">
        <f>AG33</f>
        <v xml:space="preserve"> </v>
      </c>
      <c r="J63" s="55" t="str">
        <f>BB6</f>
        <v xml:space="preserve"> </v>
      </c>
      <c r="K63" s="55" t="str">
        <f>BB25</f>
        <v xml:space="preserve"> </v>
      </c>
      <c r="L63" s="55" t="str">
        <f>BB14</f>
        <v xml:space="preserve"> </v>
      </c>
      <c r="M63" s="55" t="str">
        <f>BB33</f>
        <v xml:space="preserve"> </v>
      </c>
      <c r="O63" s="55" t="str">
        <f>AG10</f>
        <v xml:space="preserve"> </v>
      </c>
      <c r="P63" s="55" t="str">
        <f>AG29</f>
        <v xml:space="preserve"> </v>
      </c>
      <c r="Q63" s="55" t="str">
        <f>AG18</f>
        <v xml:space="preserve"> </v>
      </c>
      <c r="R63" s="55" t="str">
        <f>AG37</f>
        <v xml:space="preserve"> </v>
      </c>
      <c r="S63" s="55"/>
      <c r="T63" s="55"/>
      <c r="U63" s="55"/>
      <c r="V63" s="55" t="str">
        <f>BB10</f>
        <v xml:space="preserve"> </v>
      </c>
      <c r="W63" s="55" t="str">
        <f>BB29</f>
        <v xml:space="preserve"> </v>
      </c>
      <c r="X63" s="55" t="str">
        <f>BB18</f>
        <v xml:space="preserve"> </v>
      </c>
      <c r="Y63" s="55" t="str">
        <f>BB37</f>
        <v xml:space="preserve"> </v>
      </c>
    </row>
    <row r="64" spans="6:25" hidden="1" x14ac:dyDescent="0.25">
      <c r="F64" s="56" t="str">
        <f>AG7</f>
        <v xml:space="preserve"> </v>
      </c>
      <c r="G64" s="56" t="str">
        <f>AG26</f>
        <v xml:space="preserve"> </v>
      </c>
      <c r="H64" s="56" t="str">
        <f>AG15</f>
        <v xml:space="preserve"> </v>
      </c>
      <c r="I64" s="56" t="str">
        <f>AG34</f>
        <v xml:space="preserve"> </v>
      </c>
      <c r="J64" s="56" t="str">
        <f>BB7</f>
        <v xml:space="preserve"> </v>
      </c>
      <c r="K64" s="56" t="str">
        <f>BB26</f>
        <v xml:space="preserve"> </v>
      </c>
      <c r="L64" s="56" t="str">
        <f>BB15</f>
        <v xml:space="preserve"> </v>
      </c>
      <c r="M64" s="56" t="str">
        <f>BB34</f>
        <v xml:space="preserve"> </v>
      </c>
      <c r="O64" s="56" t="str">
        <f>AG11</f>
        <v xml:space="preserve"> </v>
      </c>
      <c r="P64" s="56" t="str">
        <f>AG30</f>
        <v xml:space="preserve"> </v>
      </c>
      <c r="Q64" s="56" t="str">
        <f>AG19</f>
        <v xml:space="preserve"> </v>
      </c>
      <c r="R64" s="56" t="str">
        <f>AG38</f>
        <v xml:space="preserve"> </v>
      </c>
      <c r="S64" s="56"/>
      <c r="T64" s="56"/>
      <c r="U64" s="56"/>
      <c r="V64" s="56" t="str">
        <f>BB11</f>
        <v xml:space="preserve"> </v>
      </c>
      <c r="W64" s="56" t="str">
        <f>BB30</f>
        <v xml:space="preserve"> </v>
      </c>
      <c r="X64" s="56" t="str">
        <f>BB19</f>
        <v xml:space="preserve"> </v>
      </c>
      <c r="Y64" s="56" t="str">
        <f>BB38</f>
        <v xml:space="preserve"> </v>
      </c>
    </row>
    <row r="65" spans="6:25" hidden="1" x14ac:dyDescent="0.25">
      <c r="F65" s="57" t="str">
        <f>AH4</f>
        <v xml:space="preserve"> </v>
      </c>
      <c r="G65" s="57" t="str">
        <f>AH23</f>
        <v xml:space="preserve"> </v>
      </c>
      <c r="H65" s="57" t="str">
        <f>AH12</f>
        <v xml:space="preserve"> </v>
      </c>
      <c r="I65" s="57" t="str">
        <f>AH31</f>
        <v xml:space="preserve"> </v>
      </c>
      <c r="J65" s="57" t="str">
        <f>BC4</f>
        <v xml:space="preserve"> </v>
      </c>
      <c r="K65" s="57" t="str">
        <f>BC23</f>
        <v xml:space="preserve"> </v>
      </c>
      <c r="L65" s="57" t="str">
        <f>BC12</f>
        <v xml:space="preserve"> </v>
      </c>
      <c r="M65" s="57" t="str">
        <f>BC31</f>
        <v xml:space="preserve"> </v>
      </c>
      <c r="O65" s="57" t="str">
        <f>AH8</f>
        <v xml:space="preserve"> </v>
      </c>
      <c r="P65" s="57" t="str">
        <f>AH27</f>
        <v xml:space="preserve"> </v>
      </c>
      <c r="Q65" s="57" t="str">
        <f>AH16</f>
        <v xml:space="preserve"> </v>
      </c>
      <c r="R65" s="57" t="str">
        <f>AH35</f>
        <v xml:space="preserve"> </v>
      </c>
      <c r="S65" s="57"/>
      <c r="T65" s="57"/>
      <c r="U65" s="57"/>
      <c r="V65" s="57" t="str">
        <f>BC8</f>
        <v xml:space="preserve"> </v>
      </c>
      <c r="W65" s="57" t="str">
        <f>BC27</f>
        <v xml:space="preserve"> </v>
      </c>
      <c r="X65" s="57" t="str">
        <f>BC16</f>
        <v xml:space="preserve"> </v>
      </c>
      <c r="Y65" s="57" t="str">
        <f>BC35</f>
        <v xml:space="preserve"> </v>
      </c>
    </row>
    <row r="66" spans="6:25" hidden="1" x14ac:dyDescent="0.25">
      <c r="F66" s="55" t="str">
        <f>AH5</f>
        <v xml:space="preserve"> </v>
      </c>
      <c r="G66" s="55" t="str">
        <f>AH24</f>
        <v xml:space="preserve"> </v>
      </c>
      <c r="H66" s="55" t="str">
        <f>AH13</f>
        <v xml:space="preserve"> </v>
      </c>
      <c r="I66" s="55" t="str">
        <f>AH32</f>
        <v xml:space="preserve"> </v>
      </c>
      <c r="J66" s="55" t="str">
        <f>BC5</f>
        <v xml:space="preserve"> </v>
      </c>
      <c r="K66" s="55" t="str">
        <f>BC24</f>
        <v xml:space="preserve"> </v>
      </c>
      <c r="L66" s="55" t="str">
        <f>BC13</f>
        <v xml:space="preserve"> </v>
      </c>
      <c r="M66" s="55" t="str">
        <f>BC32</f>
        <v xml:space="preserve"> </v>
      </c>
      <c r="O66" s="55" t="str">
        <f>AH9</f>
        <v xml:space="preserve"> </v>
      </c>
      <c r="P66" s="55" t="str">
        <f>AH28</f>
        <v xml:space="preserve"> </v>
      </c>
      <c r="Q66" s="55" t="str">
        <f>AH17</f>
        <v xml:space="preserve"> </v>
      </c>
      <c r="R66" s="55" t="str">
        <f>AH36</f>
        <v xml:space="preserve"> </v>
      </c>
      <c r="S66" s="55"/>
      <c r="T66" s="55"/>
      <c r="U66" s="55"/>
      <c r="V66" s="55" t="str">
        <f>BC9</f>
        <v xml:space="preserve"> </v>
      </c>
      <c r="W66" s="55" t="str">
        <f>BC28</f>
        <v xml:space="preserve"> </v>
      </c>
      <c r="X66" s="55" t="str">
        <f>BC17</f>
        <v xml:space="preserve"> </v>
      </c>
      <c r="Y66" s="55" t="str">
        <f>BC36</f>
        <v xml:space="preserve"> </v>
      </c>
    </row>
    <row r="67" spans="6:25" hidden="1" x14ac:dyDescent="0.25">
      <c r="F67" s="55" t="str">
        <f>AH6</f>
        <v xml:space="preserve"> </v>
      </c>
      <c r="G67" s="55" t="str">
        <f>AH25</f>
        <v xml:space="preserve"> </v>
      </c>
      <c r="H67" s="55" t="str">
        <f>AH14</f>
        <v xml:space="preserve"> </v>
      </c>
      <c r="I67" s="55" t="str">
        <f>AH33</f>
        <v xml:space="preserve"> </v>
      </c>
      <c r="J67" s="55" t="str">
        <f>BC6</f>
        <v xml:space="preserve"> </v>
      </c>
      <c r="K67" s="55" t="str">
        <f>BC25</f>
        <v xml:space="preserve"> </v>
      </c>
      <c r="L67" s="55" t="str">
        <f>BC14</f>
        <v xml:space="preserve"> </v>
      </c>
      <c r="M67" s="55" t="str">
        <f>BC33</f>
        <v xml:space="preserve"> </v>
      </c>
      <c r="O67" s="55" t="str">
        <f>AH10</f>
        <v xml:space="preserve"> </v>
      </c>
      <c r="P67" s="55" t="str">
        <f>AH29</f>
        <v xml:space="preserve"> </v>
      </c>
      <c r="Q67" s="55" t="str">
        <f>AH18</f>
        <v xml:space="preserve"> </v>
      </c>
      <c r="R67" s="55" t="str">
        <f>AH37</f>
        <v xml:space="preserve"> </v>
      </c>
      <c r="S67" s="55"/>
      <c r="T67" s="55"/>
      <c r="U67" s="55"/>
      <c r="V67" s="55" t="str">
        <f>BC10</f>
        <v xml:space="preserve"> </v>
      </c>
      <c r="W67" s="55" t="str">
        <f>BC29</f>
        <v xml:space="preserve"> </v>
      </c>
      <c r="X67" s="55" t="str">
        <f>BC18</f>
        <v xml:space="preserve"> </v>
      </c>
      <c r="Y67" s="55" t="str">
        <f>BC37</f>
        <v xml:space="preserve"> </v>
      </c>
    </row>
    <row r="68" spans="6:25" hidden="1" x14ac:dyDescent="0.25">
      <c r="F68" s="56" t="str">
        <f>AH7</f>
        <v xml:space="preserve"> </v>
      </c>
      <c r="G68" s="56" t="str">
        <f>AH26</f>
        <v xml:space="preserve"> </v>
      </c>
      <c r="H68" s="56" t="str">
        <f>AH15</f>
        <v xml:space="preserve"> </v>
      </c>
      <c r="I68" s="56" t="str">
        <f>AH34</f>
        <v xml:space="preserve"> </v>
      </c>
      <c r="J68" s="56" t="str">
        <f>BC7</f>
        <v xml:space="preserve"> </v>
      </c>
      <c r="K68" s="56" t="str">
        <f>BC26</f>
        <v xml:space="preserve"> </v>
      </c>
      <c r="L68" s="56" t="str">
        <f>BC15</f>
        <v xml:space="preserve"> </v>
      </c>
      <c r="M68" s="56" t="str">
        <f>BC34</f>
        <v xml:space="preserve"> </v>
      </c>
      <c r="O68" s="56" t="str">
        <f>AH11</f>
        <v xml:space="preserve"> </v>
      </c>
      <c r="P68" s="56" t="str">
        <f>AH30</f>
        <v xml:space="preserve"> </v>
      </c>
      <c r="Q68" s="56" t="str">
        <f>AH19</f>
        <v xml:space="preserve"> </v>
      </c>
      <c r="R68" s="56" t="str">
        <f>AH38</f>
        <v xml:space="preserve"> </v>
      </c>
      <c r="S68" s="56"/>
      <c r="T68" s="56"/>
      <c r="U68" s="56"/>
      <c r="V68" s="56" t="str">
        <f>BC11</f>
        <v xml:space="preserve"> </v>
      </c>
      <c r="W68" s="56" t="str">
        <f>BC30</f>
        <v xml:space="preserve"> </v>
      </c>
      <c r="X68" s="56" t="str">
        <f>BC19</f>
        <v xml:space="preserve"> </v>
      </c>
      <c r="Y68" s="56" t="str">
        <f>BC38</f>
        <v xml:space="preserve"> </v>
      </c>
    </row>
    <row r="69" spans="6:25" hidden="1" x14ac:dyDescent="0.25">
      <c r="F69" s="57" t="str">
        <f>AI4</f>
        <v xml:space="preserve"> </v>
      </c>
      <c r="G69" s="57" t="str">
        <f>AI23</f>
        <v xml:space="preserve"> </v>
      </c>
      <c r="H69" s="57" t="str">
        <f>AI12</f>
        <v xml:space="preserve"> </v>
      </c>
      <c r="I69" s="57" t="str">
        <f>AI31</f>
        <v xml:space="preserve"> </v>
      </c>
      <c r="J69" s="57" t="str">
        <f>BD4</f>
        <v xml:space="preserve"> </v>
      </c>
      <c r="K69" s="57" t="str">
        <f>BD23</f>
        <v xml:space="preserve"> </v>
      </c>
      <c r="L69" s="57" t="str">
        <f>BD12</f>
        <v xml:space="preserve"> </v>
      </c>
      <c r="M69" s="57" t="str">
        <f>BD31</f>
        <v xml:space="preserve"> </v>
      </c>
      <c r="O69" s="57" t="str">
        <f>AI8</f>
        <v xml:space="preserve"> </v>
      </c>
      <c r="P69" s="57" t="str">
        <f>AI27</f>
        <v xml:space="preserve"> </v>
      </c>
      <c r="Q69" s="57" t="str">
        <f>AI16</f>
        <v xml:space="preserve"> </v>
      </c>
      <c r="R69" s="57" t="str">
        <f>AI35</f>
        <v xml:space="preserve"> </v>
      </c>
      <c r="S69" s="57"/>
      <c r="T69" s="57"/>
      <c r="U69" s="57"/>
      <c r="V69" s="57" t="str">
        <f>BD8</f>
        <v xml:space="preserve"> </v>
      </c>
      <c r="W69" s="57" t="str">
        <f>BD27</f>
        <v xml:space="preserve"> </v>
      </c>
      <c r="X69" s="57" t="str">
        <f>BD16</f>
        <v xml:space="preserve"> </v>
      </c>
      <c r="Y69" s="57" t="str">
        <f>BD35</f>
        <v xml:space="preserve"> </v>
      </c>
    </row>
    <row r="70" spans="6:25" hidden="1" x14ac:dyDescent="0.25">
      <c r="F70" s="55" t="str">
        <f>AI5</f>
        <v xml:space="preserve"> </v>
      </c>
      <c r="G70" s="55" t="str">
        <f>AI24</f>
        <v xml:space="preserve"> </v>
      </c>
      <c r="H70" s="55" t="str">
        <f>AI13</f>
        <v xml:space="preserve"> </v>
      </c>
      <c r="I70" s="55" t="str">
        <f>AI32</f>
        <v xml:space="preserve"> </v>
      </c>
      <c r="J70" s="55" t="str">
        <f>BD5</f>
        <v xml:space="preserve"> </v>
      </c>
      <c r="K70" s="55" t="str">
        <f>BD24</f>
        <v xml:space="preserve"> </v>
      </c>
      <c r="L70" s="55" t="str">
        <f>BD13</f>
        <v xml:space="preserve"> </v>
      </c>
      <c r="M70" s="55" t="str">
        <f>BD32</f>
        <v xml:space="preserve"> </v>
      </c>
      <c r="O70" s="55" t="str">
        <f>AI9</f>
        <v xml:space="preserve"> </v>
      </c>
      <c r="P70" s="55" t="str">
        <f>AI28</f>
        <v xml:space="preserve"> </v>
      </c>
      <c r="Q70" s="55" t="str">
        <f>AI17</f>
        <v xml:space="preserve"> </v>
      </c>
      <c r="R70" s="55" t="str">
        <f>AI36</f>
        <v xml:space="preserve"> </v>
      </c>
      <c r="S70" s="55"/>
      <c r="T70" s="55"/>
      <c r="U70" s="55"/>
      <c r="V70" s="55" t="str">
        <f>BD9</f>
        <v xml:space="preserve"> </v>
      </c>
      <c r="W70" s="55" t="str">
        <f>BD28</f>
        <v xml:space="preserve"> </v>
      </c>
      <c r="X70" s="55" t="str">
        <f>BD17</f>
        <v xml:space="preserve"> </v>
      </c>
      <c r="Y70" s="55" t="str">
        <f>BD36</f>
        <v xml:space="preserve"> </v>
      </c>
    </row>
    <row r="71" spans="6:25" hidden="1" x14ac:dyDescent="0.25">
      <c r="F71" s="55" t="str">
        <f>AI6</f>
        <v xml:space="preserve"> </v>
      </c>
      <c r="G71" s="55" t="str">
        <f>AI25</f>
        <v xml:space="preserve"> </v>
      </c>
      <c r="H71" s="55" t="str">
        <f>AI14</f>
        <v xml:space="preserve"> </v>
      </c>
      <c r="I71" s="55" t="str">
        <f>AI33</f>
        <v xml:space="preserve"> </v>
      </c>
      <c r="J71" s="55" t="str">
        <f>BD6</f>
        <v xml:space="preserve"> </v>
      </c>
      <c r="K71" s="55" t="str">
        <f>BD25</f>
        <v xml:space="preserve"> </v>
      </c>
      <c r="L71" s="55" t="str">
        <f>BD14</f>
        <v xml:space="preserve"> </v>
      </c>
      <c r="M71" s="55" t="str">
        <f>BD33</f>
        <v xml:space="preserve"> </v>
      </c>
      <c r="O71" s="55" t="str">
        <f>AI10</f>
        <v xml:space="preserve"> </v>
      </c>
      <c r="P71" s="55" t="str">
        <f>AI29</f>
        <v xml:space="preserve"> </v>
      </c>
      <c r="Q71" s="55" t="str">
        <f>AI18</f>
        <v xml:space="preserve"> </v>
      </c>
      <c r="R71" s="55" t="str">
        <f>AI37</f>
        <v xml:space="preserve"> </v>
      </c>
      <c r="S71" s="55"/>
      <c r="T71" s="55"/>
      <c r="U71" s="55"/>
      <c r="V71" s="55" t="str">
        <f>BD10</f>
        <v xml:space="preserve"> </v>
      </c>
      <c r="W71" s="55" t="str">
        <f>BD29</f>
        <v xml:space="preserve"> </v>
      </c>
      <c r="X71" s="55" t="str">
        <f>BD18</f>
        <v xml:space="preserve"> </v>
      </c>
      <c r="Y71" s="55" t="str">
        <f>BD37</f>
        <v xml:space="preserve"> </v>
      </c>
    </row>
    <row r="72" spans="6:25" hidden="1" x14ac:dyDescent="0.25">
      <c r="F72" s="56" t="str">
        <f>AI7</f>
        <v xml:space="preserve"> </v>
      </c>
      <c r="G72" s="56" t="str">
        <f>AI26</f>
        <v xml:space="preserve"> </v>
      </c>
      <c r="H72" s="56" t="str">
        <f>AI15</f>
        <v xml:space="preserve"> </v>
      </c>
      <c r="I72" s="56" t="str">
        <f>AI34</f>
        <v xml:space="preserve"> </v>
      </c>
      <c r="J72" s="56" t="str">
        <f>BD7</f>
        <v xml:space="preserve"> </v>
      </c>
      <c r="K72" s="56" t="str">
        <f>BD26</f>
        <v xml:space="preserve"> </v>
      </c>
      <c r="L72" s="56" t="str">
        <f>BD15</f>
        <v xml:space="preserve"> </v>
      </c>
      <c r="M72" s="56" t="str">
        <f>BD34</f>
        <v xml:space="preserve"> </v>
      </c>
      <c r="O72" s="56" t="str">
        <f>AI11</f>
        <v xml:space="preserve"> </v>
      </c>
      <c r="P72" s="56" t="str">
        <f>AI30</f>
        <v xml:space="preserve"> </v>
      </c>
      <c r="Q72" s="56" t="str">
        <f>AI19</f>
        <v xml:space="preserve"> </v>
      </c>
      <c r="R72" s="56" t="str">
        <f>AI38</f>
        <v xml:space="preserve"> </v>
      </c>
      <c r="S72" s="56"/>
      <c r="T72" s="56"/>
      <c r="U72" s="56"/>
      <c r="V72" s="56" t="str">
        <f>BD11</f>
        <v xml:space="preserve"> </v>
      </c>
      <c r="W72" s="56" t="str">
        <f>BD30</f>
        <v xml:space="preserve"> </v>
      </c>
      <c r="X72" s="56" t="str">
        <f>BD19</f>
        <v xml:space="preserve"> </v>
      </c>
      <c r="Y72" s="56" t="str">
        <f>BD38</f>
        <v xml:space="preserve"> </v>
      </c>
    </row>
    <row r="73" spans="6:25" hidden="1" x14ac:dyDescent="0.25">
      <c r="F73" s="57" t="str">
        <f>AJ4</f>
        <v xml:space="preserve"> </v>
      </c>
      <c r="G73" s="57" t="str">
        <f>AJ23</f>
        <v xml:space="preserve"> </v>
      </c>
      <c r="H73" s="57" t="str">
        <f>AJ12</f>
        <v xml:space="preserve"> </v>
      </c>
      <c r="I73" s="57" t="str">
        <f>AJ31</f>
        <v xml:space="preserve"> </v>
      </c>
      <c r="J73" s="57" t="str">
        <f>BE4</f>
        <v xml:space="preserve"> </v>
      </c>
      <c r="K73" s="57" t="str">
        <f>BE23</f>
        <v xml:space="preserve"> </v>
      </c>
      <c r="L73" s="57" t="str">
        <f>BE12</f>
        <v xml:space="preserve"> </v>
      </c>
      <c r="M73" s="57" t="str">
        <f>BE31</f>
        <v xml:space="preserve"> </v>
      </c>
      <c r="O73" s="57" t="str">
        <f>AJ8</f>
        <v xml:space="preserve"> </v>
      </c>
      <c r="P73" s="57" t="str">
        <f>AJ27</f>
        <v xml:space="preserve"> </v>
      </c>
      <c r="Q73" s="57" t="str">
        <f>AJ16</f>
        <v xml:space="preserve"> </v>
      </c>
      <c r="R73" s="57" t="str">
        <f>AJ35</f>
        <v xml:space="preserve"> </v>
      </c>
      <c r="S73" s="57"/>
      <c r="T73" s="57"/>
      <c r="U73" s="57"/>
      <c r="V73" s="57" t="str">
        <f>BE8</f>
        <v xml:space="preserve"> </v>
      </c>
      <c r="W73" s="57" t="str">
        <f>BE27</f>
        <v xml:space="preserve"> </v>
      </c>
      <c r="X73" s="57" t="str">
        <f>BE16</f>
        <v xml:space="preserve"> </v>
      </c>
      <c r="Y73" s="57" t="str">
        <f>BE35</f>
        <v xml:space="preserve"> </v>
      </c>
    </row>
    <row r="74" spans="6:25" hidden="1" x14ac:dyDescent="0.25">
      <c r="F74" s="55" t="str">
        <f>AJ5</f>
        <v xml:space="preserve"> </v>
      </c>
      <c r="G74" s="55" t="str">
        <f>AJ24</f>
        <v xml:space="preserve"> </v>
      </c>
      <c r="H74" s="55" t="str">
        <f>AJ13</f>
        <v xml:space="preserve"> </v>
      </c>
      <c r="I74" s="55" t="str">
        <f>AJ32</f>
        <v xml:space="preserve"> </v>
      </c>
      <c r="J74" s="55" t="str">
        <f>BE5</f>
        <v xml:space="preserve"> </v>
      </c>
      <c r="K74" s="55" t="str">
        <f>BE24</f>
        <v xml:space="preserve"> </v>
      </c>
      <c r="L74" s="55" t="str">
        <f>BE13</f>
        <v xml:space="preserve"> </v>
      </c>
      <c r="M74" s="55" t="str">
        <f>BE32</f>
        <v xml:space="preserve"> </v>
      </c>
      <c r="O74" s="55" t="str">
        <f>AJ9</f>
        <v xml:space="preserve"> </v>
      </c>
      <c r="P74" s="55" t="str">
        <f>AJ28</f>
        <v xml:space="preserve"> </v>
      </c>
      <c r="Q74" s="55" t="str">
        <f>AJ17</f>
        <v xml:space="preserve"> </v>
      </c>
      <c r="R74" s="55" t="str">
        <f>AJ36</f>
        <v xml:space="preserve"> </v>
      </c>
      <c r="S74" s="55"/>
      <c r="T74" s="55"/>
      <c r="U74" s="55"/>
      <c r="V74" s="55" t="str">
        <f>BE9</f>
        <v xml:space="preserve"> </v>
      </c>
      <c r="W74" s="55" t="str">
        <f>BE28</f>
        <v xml:space="preserve"> </v>
      </c>
      <c r="X74" s="55" t="str">
        <f>BE17</f>
        <v xml:space="preserve"> </v>
      </c>
      <c r="Y74" s="55" t="str">
        <f>BE36</f>
        <v xml:space="preserve"> </v>
      </c>
    </row>
    <row r="75" spans="6:25" hidden="1" x14ac:dyDescent="0.25">
      <c r="F75" s="55" t="str">
        <f>AJ6</f>
        <v xml:space="preserve"> </v>
      </c>
      <c r="G75" s="55" t="str">
        <f>AJ25</f>
        <v xml:space="preserve"> </v>
      </c>
      <c r="H75" s="55" t="str">
        <f>AJ14</f>
        <v xml:space="preserve"> </v>
      </c>
      <c r="I75" s="55" t="str">
        <f>AJ33</f>
        <v xml:space="preserve"> </v>
      </c>
      <c r="J75" s="55" t="str">
        <f>BE6</f>
        <v xml:space="preserve"> </v>
      </c>
      <c r="K75" s="55" t="str">
        <f>BE25</f>
        <v xml:space="preserve"> </v>
      </c>
      <c r="L75" s="55" t="str">
        <f>BE14</f>
        <v xml:space="preserve"> </v>
      </c>
      <c r="M75" s="55" t="str">
        <f>BE33</f>
        <v xml:space="preserve"> </v>
      </c>
      <c r="O75" s="55" t="str">
        <f>AJ10</f>
        <v xml:space="preserve"> </v>
      </c>
      <c r="P75" s="55" t="str">
        <f>AJ29</f>
        <v xml:space="preserve"> </v>
      </c>
      <c r="Q75" s="55" t="str">
        <f>AJ18</f>
        <v xml:space="preserve"> </v>
      </c>
      <c r="R75" s="55" t="str">
        <f>AJ37</f>
        <v xml:space="preserve"> </v>
      </c>
      <c r="S75" s="55"/>
      <c r="T75" s="55"/>
      <c r="U75" s="55"/>
      <c r="V75" s="55" t="str">
        <f>BE10</f>
        <v xml:space="preserve"> </v>
      </c>
      <c r="W75" s="55" t="str">
        <f>BE29</f>
        <v xml:space="preserve"> </v>
      </c>
      <c r="X75" s="55" t="str">
        <f>BE18</f>
        <v xml:space="preserve"> </v>
      </c>
      <c r="Y75" s="55" t="str">
        <f>BE37</f>
        <v xml:space="preserve"> </v>
      </c>
    </row>
    <row r="76" spans="6:25" hidden="1" x14ac:dyDescent="0.25">
      <c r="F76" s="56" t="str">
        <f>AJ7</f>
        <v xml:space="preserve"> </v>
      </c>
      <c r="G76" s="56" t="str">
        <f>AJ26</f>
        <v xml:space="preserve"> </v>
      </c>
      <c r="H76" s="56" t="str">
        <f>AJ15</f>
        <v xml:space="preserve"> </v>
      </c>
      <c r="I76" s="56" t="str">
        <f>AJ34</f>
        <v xml:space="preserve"> </v>
      </c>
      <c r="J76" s="56" t="str">
        <f>BE7</f>
        <v xml:space="preserve"> </v>
      </c>
      <c r="K76" s="56" t="str">
        <f>BE26</f>
        <v xml:space="preserve"> </v>
      </c>
      <c r="L76" s="56" t="str">
        <f>BE15</f>
        <v xml:space="preserve"> </v>
      </c>
      <c r="M76" s="56" t="str">
        <f>BE34</f>
        <v xml:space="preserve"> </v>
      </c>
      <c r="O76" s="56" t="str">
        <f>AJ11</f>
        <v xml:space="preserve"> </v>
      </c>
      <c r="P76" s="56" t="str">
        <f>AJ30</f>
        <v xml:space="preserve"> </v>
      </c>
      <c r="Q76" s="56" t="str">
        <f>AJ19</f>
        <v xml:space="preserve"> </v>
      </c>
      <c r="R76" s="56" t="str">
        <f>AJ38</f>
        <v xml:space="preserve"> </v>
      </c>
      <c r="S76" s="56"/>
      <c r="T76" s="56"/>
      <c r="U76" s="56"/>
      <c r="V76" s="56" t="str">
        <f>BE11</f>
        <v xml:space="preserve"> </v>
      </c>
      <c r="W76" s="56" t="str">
        <f>BE30</f>
        <v xml:space="preserve"> </v>
      </c>
      <c r="X76" s="56" t="str">
        <f>BE19</f>
        <v xml:space="preserve"> </v>
      </c>
      <c r="Y76" s="56" t="str">
        <f>BE38</f>
        <v xml:space="preserve"> </v>
      </c>
    </row>
    <row r="77" spans="6:25" hidden="1" x14ac:dyDescent="0.25">
      <c r="F77" s="57" t="str">
        <f>AN4</f>
        <v xml:space="preserve"> </v>
      </c>
      <c r="G77" s="57" t="str">
        <f>AN23</f>
        <v xml:space="preserve"> </v>
      </c>
      <c r="H77" s="57" t="str">
        <f>AN12</f>
        <v xml:space="preserve"> </v>
      </c>
      <c r="I77" s="57" t="str">
        <f>AN31</f>
        <v xml:space="preserve"> </v>
      </c>
      <c r="J77" s="57" t="str">
        <f>BF4</f>
        <v xml:space="preserve"> </v>
      </c>
      <c r="K77" s="57" t="str">
        <f>BF23</f>
        <v xml:space="preserve"> </v>
      </c>
      <c r="L77" s="57" t="str">
        <f>BF12</f>
        <v xml:space="preserve"> </v>
      </c>
      <c r="M77" s="57" t="str">
        <f>BF31</f>
        <v xml:space="preserve"> </v>
      </c>
      <c r="O77" s="57" t="str">
        <f>AN8</f>
        <v xml:space="preserve"> </v>
      </c>
      <c r="P77" s="57" t="str">
        <f>AN27</f>
        <v xml:space="preserve"> </v>
      </c>
      <c r="Q77" s="57" t="str">
        <f>AN16</f>
        <v xml:space="preserve"> </v>
      </c>
      <c r="R77" s="57" t="str">
        <f>AN35</f>
        <v xml:space="preserve"> </v>
      </c>
      <c r="S77" s="57"/>
      <c r="T77" s="57"/>
      <c r="U77" s="57"/>
      <c r="V77" s="57" t="str">
        <f>BF8</f>
        <v xml:space="preserve"> </v>
      </c>
      <c r="W77" s="57" t="str">
        <f>BF27</f>
        <v xml:space="preserve"> </v>
      </c>
      <c r="X77" s="57" t="str">
        <f>BF16</f>
        <v xml:space="preserve"> </v>
      </c>
      <c r="Y77" s="57" t="str">
        <f>BF35</f>
        <v xml:space="preserve"> </v>
      </c>
    </row>
    <row r="78" spans="6:25" hidden="1" x14ac:dyDescent="0.25">
      <c r="F78" s="55" t="str">
        <f>AN5</f>
        <v xml:space="preserve"> </v>
      </c>
      <c r="G78" s="55" t="str">
        <f>AN24</f>
        <v xml:space="preserve"> </v>
      </c>
      <c r="H78" s="55" t="str">
        <f>AN13</f>
        <v xml:space="preserve"> </v>
      </c>
      <c r="I78" s="55" t="str">
        <f>AN32</f>
        <v xml:space="preserve"> </v>
      </c>
      <c r="J78" s="55" t="str">
        <f>BF5</f>
        <v xml:space="preserve"> </v>
      </c>
      <c r="K78" s="55" t="str">
        <f>BF24</f>
        <v xml:space="preserve"> </v>
      </c>
      <c r="L78" s="55" t="str">
        <f>BF13</f>
        <v xml:space="preserve"> </v>
      </c>
      <c r="M78" s="55" t="str">
        <f>BF32</f>
        <v xml:space="preserve"> </v>
      </c>
      <c r="O78" s="55" t="str">
        <f>AN9</f>
        <v xml:space="preserve"> </v>
      </c>
      <c r="P78" s="55" t="str">
        <f>AN28</f>
        <v xml:space="preserve"> </v>
      </c>
      <c r="Q78" s="55" t="str">
        <f>AN17</f>
        <v xml:space="preserve"> </v>
      </c>
      <c r="R78" s="55" t="str">
        <f>AN36</f>
        <v xml:space="preserve"> </v>
      </c>
      <c r="S78" s="55"/>
      <c r="T78" s="55"/>
      <c r="U78" s="55"/>
      <c r="V78" s="55" t="str">
        <f>BF9</f>
        <v xml:space="preserve"> </v>
      </c>
      <c r="W78" s="55" t="str">
        <f>BF28</f>
        <v xml:space="preserve"> </v>
      </c>
      <c r="X78" s="55" t="str">
        <f>BF17</f>
        <v xml:space="preserve"> </v>
      </c>
      <c r="Y78" s="55" t="str">
        <f>BF36</f>
        <v xml:space="preserve"> </v>
      </c>
    </row>
    <row r="79" spans="6:25" hidden="1" x14ac:dyDescent="0.25">
      <c r="F79" s="55" t="str">
        <f>AN6</f>
        <v xml:space="preserve"> </v>
      </c>
      <c r="G79" s="55" t="str">
        <f>AN25</f>
        <v xml:space="preserve"> </v>
      </c>
      <c r="H79" s="55" t="str">
        <f>AN14</f>
        <v xml:space="preserve"> </v>
      </c>
      <c r="I79" s="55" t="str">
        <f>AN33</f>
        <v xml:space="preserve"> </v>
      </c>
      <c r="J79" s="55" t="str">
        <f>BF6</f>
        <v xml:space="preserve"> </v>
      </c>
      <c r="K79" s="55" t="str">
        <f>BF25</f>
        <v xml:space="preserve"> </v>
      </c>
      <c r="L79" s="55" t="str">
        <f>BF14</f>
        <v xml:space="preserve"> </v>
      </c>
      <c r="M79" s="55" t="str">
        <f>BF33</f>
        <v xml:space="preserve"> </v>
      </c>
      <c r="O79" s="55" t="str">
        <f>AN10</f>
        <v xml:space="preserve"> </v>
      </c>
      <c r="P79" s="55" t="str">
        <f>AN29</f>
        <v xml:space="preserve"> </v>
      </c>
      <c r="Q79" s="55" t="str">
        <f>AN18</f>
        <v xml:space="preserve"> </v>
      </c>
      <c r="R79" s="55" t="str">
        <f>AN37</f>
        <v xml:space="preserve"> </v>
      </c>
      <c r="S79" s="55"/>
      <c r="T79" s="55"/>
      <c r="U79" s="55"/>
      <c r="V79" s="55" t="str">
        <f>BF10</f>
        <v xml:space="preserve"> </v>
      </c>
      <c r="W79" s="55" t="str">
        <f>BF29</f>
        <v xml:space="preserve"> </v>
      </c>
      <c r="X79" s="55" t="str">
        <f>BF18</f>
        <v xml:space="preserve"> </v>
      </c>
      <c r="Y79" s="55" t="str">
        <f>BF37</f>
        <v xml:space="preserve"> </v>
      </c>
    </row>
    <row r="80" spans="6:25" hidden="1" x14ac:dyDescent="0.25">
      <c r="F80" s="56" t="str">
        <f>AN7</f>
        <v xml:space="preserve"> </v>
      </c>
      <c r="G80" s="56" t="str">
        <f>AN26</f>
        <v xml:space="preserve"> </v>
      </c>
      <c r="H80" s="56" t="str">
        <f>AN15</f>
        <v xml:space="preserve"> </v>
      </c>
      <c r="I80" s="56" t="str">
        <f>AN34</f>
        <v xml:space="preserve"> </v>
      </c>
      <c r="J80" s="56" t="str">
        <f>BF7</f>
        <v xml:space="preserve"> </v>
      </c>
      <c r="K80" s="56" t="str">
        <f>BF26</f>
        <v xml:space="preserve"> </v>
      </c>
      <c r="L80" s="56" t="str">
        <f>BF15</f>
        <v xml:space="preserve"> </v>
      </c>
      <c r="M80" s="56" t="str">
        <f>BF34</f>
        <v xml:space="preserve"> </v>
      </c>
      <c r="O80" s="56" t="str">
        <f>AN11</f>
        <v xml:space="preserve"> </v>
      </c>
      <c r="P80" s="56" t="str">
        <f>AN30</f>
        <v xml:space="preserve"> </v>
      </c>
      <c r="Q80" s="56" t="str">
        <f>AN19</f>
        <v xml:space="preserve"> </v>
      </c>
      <c r="R80" s="56" t="str">
        <f>AN38</f>
        <v xml:space="preserve"> </v>
      </c>
      <c r="S80" s="56"/>
      <c r="T80" s="56"/>
      <c r="U80" s="56"/>
      <c r="V80" s="56" t="str">
        <f>BF11</f>
        <v xml:space="preserve"> </v>
      </c>
      <c r="W80" s="56" t="str">
        <f>BF30</f>
        <v xml:space="preserve"> </v>
      </c>
      <c r="X80" s="56" t="str">
        <f>BF19</f>
        <v xml:space="preserve"> </v>
      </c>
      <c r="Y80" s="56" t="str">
        <f>BF38</f>
        <v xml:space="preserve"> </v>
      </c>
    </row>
    <row r="81" spans="6:25" hidden="1" x14ac:dyDescent="0.25">
      <c r="F81" s="57" t="str">
        <f>AO4</f>
        <v xml:space="preserve"> </v>
      </c>
      <c r="G81" s="57" t="str">
        <f>AO23</f>
        <v xml:space="preserve"> </v>
      </c>
      <c r="H81" s="57" t="str">
        <f>AO12</f>
        <v xml:space="preserve"> </v>
      </c>
      <c r="I81" s="57" t="str">
        <f>AO31</f>
        <v xml:space="preserve"> </v>
      </c>
      <c r="J81" s="57" t="str">
        <f>BG4</f>
        <v xml:space="preserve"> </v>
      </c>
      <c r="K81" s="57" t="str">
        <f>BG23</f>
        <v xml:space="preserve"> </v>
      </c>
      <c r="L81" s="57" t="str">
        <f>BG12</f>
        <v xml:space="preserve"> </v>
      </c>
      <c r="M81" s="57" t="str">
        <f>BG31</f>
        <v xml:space="preserve"> </v>
      </c>
      <c r="O81" s="57" t="str">
        <f>AO8</f>
        <v xml:space="preserve"> </v>
      </c>
      <c r="P81" s="57" t="str">
        <f>AO27</f>
        <v xml:space="preserve"> </v>
      </c>
      <c r="Q81" s="57" t="str">
        <f>AO16</f>
        <v xml:space="preserve"> </v>
      </c>
      <c r="R81" s="57" t="str">
        <f>AO35</f>
        <v xml:space="preserve"> </v>
      </c>
      <c r="S81" s="57"/>
      <c r="T81" s="57"/>
      <c r="U81" s="57"/>
      <c r="V81" s="57" t="str">
        <f>BG8</f>
        <v xml:space="preserve"> </v>
      </c>
      <c r="W81" s="57" t="str">
        <f>BG27</f>
        <v xml:space="preserve"> </v>
      </c>
      <c r="X81" s="57" t="str">
        <f>BG16</f>
        <v xml:space="preserve"> </v>
      </c>
      <c r="Y81" s="57" t="str">
        <f>BG35</f>
        <v xml:space="preserve"> </v>
      </c>
    </row>
    <row r="82" spans="6:25" hidden="1" x14ac:dyDescent="0.25">
      <c r="F82" s="55" t="str">
        <f>AO5</f>
        <v xml:space="preserve"> </v>
      </c>
      <c r="G82" s="55" t="str">
        <f>AO24</f>
        <v xml:space="preserve"> </v>
      </c>
      <c r="H82" s="55" t="str">
        <f>AO13</f>
        <v xml:space="preserve"> </v>
      </c>
      <c r="I82" s="55" t="str">
        <f>AO32</f>
        <v xml:space="preserve"> </v>
      </c>
      <c r="J82" s="55" t="str">
        <f>BG5</f>
        <v xml:space="preserve"> </v>
      </c>
      <c r="K82" s="55" t="str">
        <f>BG24</f>
        <v xml:space="preserve"> </v>
      </c>
      <c r="L82" s="55" t="str">
        <f>BG13</f>
        <v xml:space="preserve"> </v>
      </c>
      <c r="M82" s="55" t="str">
        <f>BG32</f>
        <v xml:space="preserve"> </v>
      </c>
      <c r="O82" s="55" t="str">
        <f>AO9</f>
        <v xml:space="preserve"> </v>
      </c>
      <c r="P82" s="55" t="str">
        <f>AO28</f>
        <v xml:space="preserve"> </v>
      </c>
      <c r="Q82" s="55" t="str">
        <f>AO17</f>
        <v xml:space="preserve"> </v>
      </c>
      <c r="R82" s="55" t="str">
        <f>AO36</f>
        <v xml:space="preserve"> </v>
      </c>
      <c r="S82" s="55"/>
      <c r="T82" s="55"/>
      <c r="U82" s="55"/>
      <c r="V82" s="55" t="str">
        <f>BG9</f>
        <v xml:space="preserve"> </v>
      </c>
      <c r="W82" s="55" t="str">
        <f>BG28</f>
        <v xml:space="preserve"> </v>
      </c>
      <c r="X82" s="55" t="str">
        <f>BG17</f>
        <v xml:space="preserve"> </v>
      </c>
      <c r="Y82" s="55" t="str">
        <f>BG36</f>
        <v xml:space="preserve"> </v>
      </c>
    </row>
    <row r="83" spans="6:25" hidden="1" x14ac:dyDescent="0.25">
      <c r="F83" s="55" t="str">
        <f>AO6</f>
        <v xml:space="preserve"> </v>
      </c>
      <c r="G83" s="55" t="str">
        <f>AO25</f>
        <v xml:space="preserve"> </v>
      </c>
      <c r="H83" s="55" t="str">
        <f>AO14</f>
        <v xml:space="preserve"> </v>
      </c>
      <c r="I83" s="55" t="str">
        <f>AO33</f>
        <v xml:space="preserve"> </v>
      </c>
      <c r="J83" s="55" t="str">
        <f>BG6</f>
        <v xml:space="preserve"> </v>
      </c>
      <c r="K83" s="55" t="str">
        <f>BG25</f>
        <v xml:space="preserve"> </v>
      </c>
      <c r="L83" s="55" t="str">
        <f>BG14</f>
        <v xml:space="preserve"> </v>
      </c>
      <c r="M83" s="55" t="str">
        <f>BG33</f>
        <v xml:space="preserve"> </v>
      </c>
      <c r="O83" s="55" t="str">
        <f>AO10</f>
        <v xml:space="preserve"> </v>
      </c>
      <c r="P83" s="55" t="str">
        <f>AO29</f>
        <v xml:space="preserve"> </v>
      </c>
      <c r="Q83" s="55" t="str">
        <f>AO18</f>
        <v xml:space="preserve"> </v>
      </c>
      <c r="R83" s="55" t="str">
        <f>AO37</f>
        <v xml:space="preserve"> </v>
      </c>
      <c r="S83" s="55"/>
      <c r="T83" s="55"/>
      <c r="U83" s="55"/>
      <c r="V83" s="55" t="str">
        <f>BG10</f>
        <v xml:space="preserve"> </v>
      </c>
      <c r="W83" s="55" t="str">
        <f>BG29</f>
        <v xml:space="preserve"> </v>
      </c>
      <c r="X83" s="55" t="str">
        <f>BG18</f>
        <v xml:space="preserve"> </v>
      </c>
      <c r="Y83" s="55" t="str">
        <f>BG37</f>
        <v xml:space="preserve"> </v>
      </c>
    </row>
    <row r="84" spans="6:25" hidden="1" x14ac:dyDescent="0.25">
      <c r="F84" s="56" t="str">
        <f>AO7</f>
        <v xml:space="preserve"> </v>
      </c>
      <c r="G84" s="56" t="str">
        <f>AO26</f>
        <v xml:space="preserve"> </v>
      </c>
      <c r="H84" s="56" t="str">
        <f>AO15</f>
        <v xml:space="preserve"> </v>
      </c>
      <c r="I84" s="56" t="str">
        <f>AO34</f>
        <v xml:space="preserve"> </v>
      </c>
      <c r="J84" s="56" t="str">
        <f>BG7</f>
        <v xml:space="preserve"> </v>
      </c>
      <c r="K84" s="56" t="str">
        <f>BG26</f>
        <v xml:space="preserve"> </v>
      </c>
      <c r="L84" s="56" t="str">
        <f>BG15</f>
        <v xml:space="preserve"> </v>
      </c>
      <c r="M84" s="56" t="str">
        <f>BG34</f>
        <v xml:space="preserve"> </v>
      </c>
      <c r="O84" s="56" t="str">
        <f>AO11</f>
        <v xml:space="preserve"> </v>
      </c>
      <c r="P84" s="56" t="str">
        <f>AO30</f>
        <v xml:space="preserve"> </v>
      </c>
      <c r="Q84" s="56" t="str">
        <f>AO19</f>
        <v xml:space="preserve"> </v>
      </c>
      <c r="R84" s="56" t="str">
        <f>AO38</f>
        <v xml:space="preserve"> </v>
      </c>
      <c r="S84" s="56"/>
      <c r="T84" s="56"/>
      <c r="U84" s="56"/>
      <c r="V84" s="56" t="str">
        <f>BG11</f>
        <v xml:space="preserve"> </v>
      </c>
      <c r="W84" s="56" t="str">
        <f>BG30</f>
        <v xml:space="preserve"> </v>
      </c>
      <c r="X84" s="56" t="str">
        <f>BG19</f>
        <v xml:space="preserve"> </v>
      </c>
      <c r="Y84" s="56" t="str">
        <f>BG38</f>
        <v xml:space="preserve"> </v>
      </c>
    </row>
    <row r="85" spans="6:25" hidden="1" x14ac:dyDescent="0.25">
      <c r="F85" s="57" t="str">
        <f>AP4</f>
        <v xml:space="preserve"> </v>
      </c>
      <c r="G85" s="57" t="str">
        <f>AP23</f>
        <v xml:space="preserve"> </v>
      </c>
      <c r="H85" s="57" t="str">
        <f>AP12</f>
        <v xml:space="preserve"> </v>
      </c>
      <c r="I85" s="57" t="str">
        <f>AP31</f>
        <v xml:space="preserve"> </v>
      </c>
      <c r="J85" s="57" t="str">
        <f>BH4</f>
        <v xml:space="preserve"> </v>
      </c>
      <c r="K85" s="57" t="str">
        <f>BH23</f>
        <v xml:space="preserve"> </v>
      </c>
      <c r="L85" s="57" t="str">
        <f>BH12</f>
        <v xml:space="preserve"> </v>
      </c>
      <c r="M85" s="57" t="str">
        <f>BH31</f>
        <v xml:space="preserve"> </v>
      </c>
      <c r="O85" s="57" t="str">
        <f>AP8</f>
        <v xml:space="preserve"> </v>
      </c>
      <c r="P85" s="57" t="str">
        <f>AP27</f>
        <v xml:space="preserve"> </v>
      </c>
      <c r="Q85" s="57" t="str">
        <f>AP16</f>
        <v xml:space="preserve"> </v>
      </c>
      <c r="R85" s="57" t="str">
        <f>AP35</f>
        <v xml:space="preserve"> </v>
      </c>
      <c r="S85" s="57"/>
      <c r="T85" s="57"/>
      <c r="U85" s="57"/>
      <c r="V85" s="57" t="str">
        <f>BH8</f>
        <v xml:space="preserve"> </v>
      </c>
      <c r="W85" s="57" t="str">
        <f>BH27</f>
        <v xml:space="preserve"> </v>
      </c>
      <c r="X85" s="57" t="str">
        <f>BH16</f>
        <v xml:space="preserve"> </v>
      </c>
      <c r="Y85" s="57" t="str">
        <f>BH35</f>
        <v xml:space="preserve"> </v>
      </c>
    </row>
    <row r="86" spans="6:25" hidden="1" x14ac:dyDescent="0.25">
      <c r="F86" s="55" t="str">
        <f>AP5</f>
        <v xml:space="preserve"> </v>
      </c>
      <c r="G86" s="55" t="str">
        <f>AP24</f>
        <v xml:space="preserve"> </v>
      </c>
      <c r="H86" s="55" t="str">
        <f>AP13</f>
        <v xml:space="preserve"> </v>
      </c>
      <c r="I86" s="55" t="str">
        <f>AP32</f>
        <v xml:space="preserve"> </v>
      </c>
      <c r="J86" s="55" t="str">
        <f>BH5</f>
        <v xml:space="preserve"> </v>
      </c>
      <c r="K86" s="55" t="str">
        <f>BH24</f>
        <v xml:space="preserve"> </v>
      </c>
      <c r="L86" s="55" t="str">
        <f>BH13</f>
        <v xml:space="preserve"> </v>
      </c>
      <c r="M86" s="55" t="str">
        <f>BH32</f>
        <v xml:space="preserve"> </v>
      </c>
      <c r="O86" s="55" t="str">
        <f>AP9</f>
        <v xml:space="preserve"> </v>
      </c>
      <c r="P86" s="55" t="str">
        <f>AP28</f>
        <v xml:space="preserve"> </v>
      </c>
      <c r="Q86" s="55" t="str">
        <f>AP17</f>
        <v xml:space="preserve"> </v>
      </c>
      <c r="R86" s="55" t="str">
        <f>AP36</f>
        <v xml:space="preserve"> </v>
      </c>
      <c r="S86" s="55"/>
      <c r="T86" s="55"/>
      <c r="U86" s="55"/>
      <c r="V86" s="55" t="str">
        <f>BH9</f>
        <v xml:space="preserve"> </v>
      </c>
      <c r="W86" s="55" t="str">
        <f>BH28</f>
        <v xml:space="preserve"> </v>
      </c>
      <c r="X86" s="55" t="str">
        <f>BH17</f>
        <v xml:space="preserve"> </v>
      </c>
      <c r="Y86" s="55" t="str">
        <f>BH36</f>
        <v xml:space="preserve"> </v>
      </c>
    </row>
    <row r="87" spans="6:25" hidden="1" x14ac:dyDescent="0.25">
      <c r="F87" s="55" t="str">
        <f>AP6</f>
        <v xml:space="preserve"> </v>
      </c>
      <c r="G87" s="55" t="str">
        <f>AP25</f>
        <v xml:space="preserve"> </v>
      </c>
      <c r="H87" s="55" t="str">
        <f>AP14</f>
        <v xml:space="preserve"> </v>
      </c>
      <c r="I87" s="55" t="str">
        <f>AP33</f>
        <v xml:space="preserve"> </v>
      </c>
      <c r="J87" s="55" t="str">
        <f>BH6</f>
        <v xml:space="preserve"> </v>
      </c>
      <c r="K87" s="55" t="str">
        <f>BH25</f>
        <v xml:space="preserve"> </v>
      </c>
      <c r="L87" s="55" t="str">
        <f>BH14</f>
        <v xml:space="preserve"> </v>
      </c>
      <c r="M87" s="55" t="str">
        <f>BH33</f>
        <v xml:space="preserve"> </v>
      </c>
      <c r="O87" s="55" t="str">
        <f>AP10</f>
        <v xml:space="preserve"> </v>
      </c>
      <c r="P87" s="55" t="str">
        <f>AP29</f>
        <v xml:space="preserve"> </v>
      </c>
      <c r="Q87" s="55" t="str">
        <f>AP18</f>
        <v xml:space="preserve"> </v>
      </c>
      <c r="R87" s="55" t="str">
        <f>AP37</f>
        <v xml:space="preserve"> </v>
      </c>
      <c r="S87" s="55"/>
      <c r="T87" s="55"/>
      <c r="U87" s="55"/>
      <c r="V87" s="55" t="str">
        <f>BH10</f>
        <v xml:space="preserve"> </v>
      </c>
      <c r="W87" s="55" t="str">
        <f>BH29</f>
        <v xml:space="preserve"> </v>
      </c>
      <c r="X87" s="55" t="str">
        <f>BH18</f>
        <v xml:space="preserve"> </v>
      </c>
      <c r="Y87" s="55" t="str">
        <f>BH37</f>
        <v xml:space="preserve"> </v>
      </c>
    </row>
    <row r="88" spans="6:25" hidden="1" x14ac:dyDescent="0.25">
      <c r="F88" s="56" t="str">
        <f>AP7</f>
        <v xml:space="preserve"> </v>
      </c>
      <c r="G88" s="56" t="str">
        <f>AP26</f>
        <v xml:space="preserve"> </v>
      </c>
      <c r="H88" s="56" t="str">
        <f>AP15</f>
        <v xml:space="preserve"> </v>
      </c>
      <c r="I88" s="56" t="str">
        <f>AP34</f>
        <v xml:space="preserve"> </v>
      </c>
      <c r="J88" s="56" t="str">
        <f>BH7</f>
        <v xml:space="preserve"> </v>
      </c>
      <c r="K88" s="56" t="str">
        <f>BH26</f>
        <v xml:space="preserve"> </v>
      </c>
      <c r="L88" s="56" t="str">
        <f>BH15</f>
        <v xml:space="preserve"> </v>
      </c>
      <c r="M88" s="56" t="str">
        <f>BH34</f>
        <v xml:space="preserve"> </v>
      </c>
      <c r="O88" s="56" t="str">
        <f>AP11</f>
        <v xml:space="preserve"> </v>
      </c>
      <c r="P88" s="56" t="str">
        <f>AP30</f>
        <v xml:space="preserve"> </v>
      </c>
      <c r="Q88" s="56" t="str">
        <f>AP19</f>
        <v xml:space="preserve"> </v>
      </c>
      <c r="R88" s="56" t="str">
        <f>AP38</f>
        <v xml:space="preserve"> </v>
      </c>
      <c r="S88" s="56"/>
      <c r="T88" s="56"/>
      <c r="U88" s="56"/>
      <c r="V88" s="56" t="str">
        <f>BH11</f>
        <v xml:space="preserve"> </v>
      </c>
      <c r="W88" s="56" t="str">
        <f>BH30</f>
        <v xml:space="preserve"> </v>
      </c>
      <c r="X88" s="56" t="str">
        <f>BH19</f>
        <v xml:space="preserve"> </v>
      </c>
      <c r="Y88" s="56" t="str">
        <f>BH38</f>
        <v xml:space="preserve"> </v>
      </c>
    </row>
    <row r="89" spans="6:25" hidden="1" x14ac:dyDescent="0.25">
      <c r="F89" s="57" t="str">
        <f>AQ4</f>
        <v xml:space="preserve"> </v>
      </c>
      <c r="G89" s="57" t="str">
        <f>AQ23</f>
        <v xml:space="preserve"> </v>
      </c>
      <c r="H89" s="57" t="str">
        <f>AQ12</f>
        <v xml:space="preserve"> </v>
      </c>
      <c r="I89" s="57" t="str">
        <f>AQ31</f>
        <v xml:space="preserve"> </v>
      </c>
      <c r="J89" s="57" t="str">
        <f>BI4</f>
        <v xml:space="preserve"> </v>
      </c>
      <c r="K89" s="57" t="str">
        <f>BI23</f>
        <v xml:space="preserve"> </v>
      </c>
      <c r="L89" s="57" t="str">
        <f>BI12</f>
        <v xml:space="preserve"> </v>
      </c>
      <c r="M89" s="57" t="str">
        <f>BI31</f>
        <v xml:space="preserve"> </v>
      </c>
      <c r="O89" s="57" t="str">
        <f>AQ8</f>
        <v xml:space="preserve"> </v>
      </c>
      <c r="P89" s="57" t="str">
        <f>AQ27</f>
        <v xml:space="preserve"> </v>
      </c>
      <c r="Q89" s="57" t="str">
        <f>AQ16</f>
        <v xml:space="preserve"> </v>
      </c>
      <c r="R89" s="57" t="str">
        <f>AQ35</f>
        <v xml:space="preserve"> </v>
      </c>
      <c r="S89" s="57"/>
      <c r="T89" s="57"/>
      <c r="U89" s="57"/>
      <c r="V89" s="57" t="str">
        <f>BI8</f>
        <v xml:space="preserve"> </v>
      </c>
      <c r="W89" s="57" t="str">
        <f>BI27</f>
        <v xml:space="preserve"> </v>
      </c>
      <c r="X89" s="57" t="str">
        <f>BI16</f>
        <v xml:space="preserve"> </v>
      </c>
      <c r="Y89" s="57" t="str">
        <f>BI35</f>
        <v xml:space="preserve"> </v>
      </c>
    </row>
    <row r="90" spans="6:25" hidden="1" x14ac:dyDescent="0.25">
      <c r="F90" s="55" t="str">
        <f>AQ5</f>
        <v xml:space="preserve"> </v>
      </c>
      <c r="G90" s="55" t="str">
        <f>AQ24</f>
        <v xml:space="preserve"> </v>
      </c>
      <c r="H90" s="55" t="str">
        <f>AQ13</f>
        <v xml:space="preserve"> </v>
      </c>
      <c r="I90" s="55" t="str">
        <f>AQ32</f>
        <v xml:space="preserve"> </v>
      </c>
      <c r="J90" s="55" t="str">
        <f>BI5</f>
        <v xml:space="preserve"> </v>
      </c>
      <c r="K90" s="55" t="str">
        <f>BI24</f>
        <v xml:space="preserve"> </v>
      </c>
      <c r="L90" s="55" t="str">
        <f>BI13</f>
        <v xml:space="preserve"> </v>
      </c>
      <c r="M90" s="55" t="str">
        <f>BI32</f>
        <v xml:space="preserve"> </v>
      </c>
      <c r="O90" s="55" t="str">
        <f>AQ9</f>
        <v xml:space="preserve"> </v>
      </c>
      <c r="P90" s="55" t="str">
        <f>AQ28</f>
        <v xml:space="preserve"> </v>
      </c>
      <c r="Q90" s="55" t="str">
        <f>AQ17</f>
        <v xml:space="preserve"> </v>
      </c>
      <c r="R90" s="55" t="str">
        <f>AQ36</f>
        <v xml:space="preserve"> </v>
      </c>
      <c r="S90" s="55"/>
      <c r="T90" s="55"/>
      <c r="U90" s="55"/>
      <c r="V90" s="55" t="str">
        <f>BI9</f>
        <v xml:space="preserve"> </v>
      </c>
      <c r="W90" s="55" t="str">
        <f>BI28</f>
        <v xml:space="preserve"> </v>
      </c>
      <c r="X90" s="55" t="str">
        <f>BI17</f>
        <v xml:space="preserve"> </v>
      </c>
      <c r="Y90" s="55" t="str">
        <f>BI36</f>
        <v xml:space="preserve"> </v>
      </c>
    </row>
    <row r="91" spans="6:25" hidden="1" x14ac:dyDescent="0.25">
      <c r="F91" s="55" t="str">
        <f>AQ6</f>
        <v xml:space="preserve"> </v>
      </c>
      <c r="G91" s="55" t="str">
        <f>AQ25</f>
        <v xml:space="preserve"> </v>
      </c>
      <c r="H91" s="55" t="str">
        <f>AQ14</f>
        <v xml:space="preserve"> </v>
      </c>
      <c r="I91" s="55" t="str">
        <f>AQ33</f>
        <v xml:space="preserve"> </v>
      </c>
      <c r="J91" s="55" t="str">
        <f>BI6</f>
        <v xml:space="preserve"> </v>
      </c>
      <c r="K91" s="55" t="str">
        <f>BI25</f>
        <v xml:space="preserve"> </v>
      </c>
      <c r="L91" s="55" t="str">
        <f>BI14</f>
        <v xml:space="preserve"> </v>
      </c>
      <c r="M91" s="55" t="str">
        <f>BI33</f>
        <v xml:space="preserve"> </v>
      </c>
      <c r="O91" s="55" t="str">
        <f>AQ10</f>
        <v xml:space="preserve"> </v>
      </c>
      <c r="P91" s="55" t="str">
        <f>AQ29</f>
        <v xml:space="preserve"> </v>
      </c>
      <c r="Q91" s="55" t="str">
        <f>AQ18</f>
        <v xml:space="preserve"> </v>
      </c>
      <c r="R91" s="55" t="str">
        <f>AQ37</f>
        <v xml:space="preserve"> </v>
      </c>
      <c r="S91" s="55"/>
      <c r="T91" s="55"/>
      <c r="U91" s="55"/>
      <c r="V91" s="55" t="str">
        <f>BI10</f>
        <v xml:space="preserve"> </v>
      </c>
      <c r="W91" s="55" t="str">
        <f>BI29</f>
        <v xml:space="preserve"> </v>
      </c>
      <c r="X91" s="55" t="str">
        <f>BI18</f>
        <v xml:space="preserve"> </v>
      </c>
      <c r="Y91" s="55" t="str">
        <f>BI37</f>
        <v xml:space="preserve"> </v>
      </c>
    </row>
    <row r="92" spans="6:25" hidden="1" x14ac:dyDescent="0.25">
      <c r="F92" s="56" t="str">
        <f>AQ7</f>
        <v xml:space="preserve"> </v>
      </c>
      <c r="G92" s="56" t="str">
        <f>AQ26</f>
        <v xml:space="preserve"> </v>
      </c>
      <c r="H92" s="56" t="str">
        <f>AQ15</f>
        <v xml:space="preserve"> </v>
      </c>
      <c r="I92" s="56" t="str">
        <f>AQ34</f>
        <v xml:space="preserve"> </v>
      </c>
      <c r="J92" s="56" t="str">
        <f>BI7</f>
        <v xml:space="preserve"> </v>
      </c>
      <c r="K92" s="56" t="str">
        <f>BI26</f>
        <v xml:space="preserve"> </v>
      </c>
      <c r="L92" s="56" t="str">
        <f>BI15</f>
        <v xml:space="preserve"> </v>
      </c>
      <c r="M92" s="56" t="str">
        <f>BI34</f>
        <v xml:space="preserve"> </v>
      </c>
      <c r="O92" s="56" t="str">
        <f>AQ11</f>
        <v xml:space="preserve"> </v>
      </c>
      <c r="P92" s="56" t="str">
        <f>AQ30</f>
        <v xml:space="preserve"> </v>
      </c>
      <c r="Q92" s="56" t="str">
        <f>AQ19</f>
        <v xml:space="preserve"> </v>
      </c>
      <c r="R92" s="56" t="str">
        <f>AQ38</f>
        <v xml:space="preserve"> </v>
      </c>
      <c r="S92" s="56"/>
      <c r="T92" s="56"/>
      <c r="U92" s="56"/>
      <c r="V92" s="56" t="str">
        <f>BI11</f>
        <v xml:space="preserve"> </v>
      </c>
      <c r="W92" s="56" t="str">
        <f>BI30</f>
        <v xml:space="preserve"> </v>
      </c>
      <c r="X92" s="56" t="str">
        <f>BI19</f>
        <v xml:space="preserve"> </v>
      </c>
      <c r="Y92" s="56" t="str">
        <f>BI38</f>
        <v xml:space="preserve"> </v>
      </c>
    </row>
    <row r="93" spans="6:25" hidden="1" x14ac:dyDescent="0.25">
      <c r="F93" s="57" t="str">
        <f>AR4</f>
        <v xml:space="preserve"> </v>
      </c>
      <c r="G93" s="57" t="str">
        <f>AR23</f>
        <v xml:space="preserve"> </v>
      </c>
      <c r="H93" s="57" t="str">
        <f>AR12</f>
        <v xml:space="preserve"> </v>
      </c>
      <c r="I93" s="57" t="str">
        <f>AR31</f>
        <v xml:space="preserve"> </v>
      </c>
      <c r="J93" s="57" t="str">
        <f>BJ4</f>
        <v xml:space="preserve"> </v>
      </c>
      <c r="K93" s="57" t="str">
        <f>BJ23</f>
        <v xml:space="preserve"> </v>
      </c>
      <c r="L93" s="57" t="str">
        <f>BJ12</f>
        <v xml:space="preserve"> </v>
      </c>
      <c r="M93" s="57" t="str">
        <f>BJ31</f>
        <v xml:space="preserve"> </v>
      </c>
      <c r="O93" s="57" t="str">
        <f>AR8</f>
        <v xml:space="preserve"> </v>
      </c>
      <c r="P93" s="57" t="str">
        <f>AR27</f>
        <v xml:space="preserve"> </v>
      </c>
      <c r="Q93" s="57" t="str">
        <f>AR16</f>
        <v xml:space="preserve"> </v>
      </c>
      <c r="R93" s="57" t="str">
        <f>AR35</f>
        <v xml:space="preserve"> </v>
      </c>
      <c r="S93" s="57"/>
      <c r="T93" s="57"/>
      <c r="U93" s="57"/>
      <c r="V93" s="57" t="str">
        <f>BJ8</f>
        <v xml:space="preserve"> </v>
      </c>
      <c r="W93" s="57" t="str">
        <f>BJ27</f>
        <v xml:space="preserve"> </v>
      </c>
      <c r="X93" s="57" t="str">
        <f>BJ16</f>
        <v xml:space="preserve"> </v>
      </c>
      <c r="Y93" s="57" t="str">
        <f>BJ35</f>
        <v xml:space="preserve"> </v>
      </c>
    </row>
    <row r="94" spans="6:25" hidden="1" x14ac:dyDescent="0.25">
      <c r="F94" s="55" t="str">
        <f>AR5</f>
        <v xml:space="preserve"> </v>
      </c>
      <c r="G94" s="55" t="str">
        <f>AR24</f>
        <v xml:space="preserve"> </v>
      </c>
      <c r="H94" s="55" t="str">
        <f>AR13</f>
        <v xml:space="preserve"> </v>
      </c>
      <c r="I94" s="55" t="str">
        <f>AR32</f>
        <v xml:space="preserve"> </v>
      </c>
      <c r="J94" s="55" t="str">
        <f>BJ5</f>
        <v xml:space="preserve"> </v>
      </c>
      <c r="K94" s="55" t="str">
        <f>BJ24</f>
        <v xml:space="preserve"> </v>
      </c>
      <c r="L94" s="55" t="str">
        <f>BJ13</f>
        <v xml:space="preserve"> </v>
      </c>
      <c r="M94" s="55" t="str">
        <f>BJ32</f>
        <v xml:space="preserve"> </v>
      </c>
      <c r="O94" s="55" t="str">
        <f>AR9</f>
        <v xml:space="preserve"> </v>
      </c>
      <c r="P94" s="55" t="str">
        <f>AR28</f>
        <v xml:space="preserve"> </v>
      </c>
      <c r="Q94" s="55" t="str">
        <f>AR17</f>
        <v xml:space="preserve"> </v>
      </c>
      <c r="R94" s="55" t="str">
        <f>AR36</f>
        <v xml:space="preserve"> </v>
      </c>
      <c r="S94" s="55"/>
      <c r="T94" s="55"/>
      <c r="U94" s="55"/>
      <c r="V94" s="55" t="str">
        <f>BJ9</f>
        <v xml:space="preserve"> </v>
      </c>
      <c r="W94" s="55" t="str">
        <f>BJ28</f>
        <v xml:space="preserve"> </v>
      </c>
      <c r="X94" s="55" t="str">
        <f>BJ17</f>
        <v xml:space="preserve"> </v>
      </c>
      <c r="Y94" s="55" t="str">
        <f>BJ36</f>
        <v xml:space="preserve"> </v>
      </c>
    </row>
    <row r="95" spans="6:25" hidden="1" x14ac:dyDescent="0.25">
      <c r="F95" s="55" t="str">
        <f>AR6</f>
        <v xml:space="preserve"> </v>
      </c>
      <c r="G95" s="55" t="str">
        <f>AR25</f>
        <v xml:space="preserve"> </v>
      </c>
      <c r="H95" s="55" t="str">
        <f>AR14</f>
        <v xml:space="preserve"> </v>
      </c>
      <c r="I95" s="55" t="str">
        <f>AR33</f>
        <v xml:space="preserve"> </v>
      </c>
      <c r="J95" s="55" t="str">
        <f>BJ6</f>
        <v xml:space="preserve"> </v>
      </c>
      <c r="K95" s="55" t="str">
        <f>BJ25</f>
        <v xml:space="preserve"> </v>
      </c>
      <c r="L95" s="55" t="str">
        <f>BJ14</f>
        <v xml:space="preserve"> </v>
      </c>
      <c r="M95" s="55" t="str">
        <f>BJ33</f>
        <v xml:space="preserve"> </v>
      </c>
      <c r="O95" s="55" t="str">
        <f>AR10</f>
        <v xml:space="preserve"> </v>
      </c>
      <c r="P95" s="55" t="str">
        <f>AR29</f>
        <v xml:space="preserve"> </v>
      </c>
      <c r="Q95" s="55" t="str">
        <f>AR18</f>
        <v xml:space="preserve"> </v>
      </c>
      <c r="R95" s="55" t="str">
        <f>AR37</f>
        <v xml:space="preserve"> </v>
      </c>
      <c r="S95" s="55"/>
      <c r="T95" s="55"/>
      <c r="U95" s="55"/>
      <c r="V95" s="55" t="str">
        <f>BJ10</f>
        <v xml:space="preserve"> </v>
      </c>
      <c r="W95" s="55" t="str">
        <f>BJ29</f>
        <v xml:space="preserve"> </v>
      </c>
      <c r="X95" s="55" t="str">
        <f>BJ18</f>
        <v xml:space="preserve"> </v>
      </c>
      <c r="Y95" s="55" t="str">
        <f>BJ37</f>
        <v xml:space="preserve"> </v>
      </c>
    </row>
    <row r="96" spans="6:25" hidden="1" x14ac:dyDescent="0.25">
      <c r="F96" s="56" t="str">
        <f>AR7</f>
        <v xml:space="preserve"> </v>
      </c>
      <c r="G96" s="56" t="str">
        <f>AR26</f>
        <v xml:space="preserve"> </v>
      </c>
      <c r="H96" s="56" t="str">
        <f>AR15</f>
        <v xml:space="preserve"> </v>
      </c>
      <c r="I96" s="56" t="str">
        <f>AR34</f>
        <v xml:space="preserve"> </v>
      </c>
      <c r="J96" s="56" t="str">
        <f>BJ7</f>
        <v xml:space="preserve"> </v>
      </c>
      <c r="K96" s="56" t="str">
        <f>BJ26</f>
        <v xml:space="preserve"> </v>
      </c>
      <c r="L96" s="56" t="str">
        <f>BJ15</f>
        <v xml:space="preserve"> </v>
      </c>
      <c r="M96" s="56" t="str">
        <f>BJ34</f>
        <v xml:space="preserve"> </v>
      </c>
      <c r="O96" s="56" t="str">
        <f>AR11</f>
        <v xml:space="preserve"> </v>
      </c>
      <c r="P96" s="56" t="str">
        <f>AR30</f>
        <v xml:space="preserve"> </v>
      </c>
      <c r="Q96" s="56" t="str">
        <f>AR19</f>
        <v xml:space="preserve"> </v>
      </c>
      <c r="R96" s="56" t="str">
        <f>AR38</f>
        <v xml:space="preserve"> </v>
      </c>
      <c r="S96" s="56"/>
      <c r="T96" s="56"/>
      <c r="U96" s="56"/>
      <c r="V96" s="56" t="str">
        <f>BJ11</f>
        <v xml:space="preserve"> </v>
      </c>
      <c r="W96" s="56" t="str">
        <f>BJ30</f>
        <v xml:space="preserve"> </v>
      </c>
      <c r="X96" s="56" t="str">
        <f>BJ19</f>
        <v xml:space="preserve"> </v>
      </c>
      <c r="Y96" s="56" t="str">
        <f>BJ38</f>
        <v xml:space="preserve"> </v>
      </c>
    </row>
    <row r="97" spans="2:25" hidden="1" x14ac:dyDescent="0.25">
      <c r="F97" s="55"/>
      <c r="G97" s="55"/>
      <c r="H97" s="55"/>
      <c r="I97" s="55"/>
      <c r="J97" s="55"/>
      <c r="K97" s="55"/>
      <c r="L97" s="55"/>
      <c r="M97" s="55"/>
      <c r="O97" s="55"/>
      <c r="P97" s="55"/>
      <c r="Q97" s="55"/>
      <c r="R97" s="55"/>
      <c r="S97" s="55"/>
      <c r="T97" s="55"/>
      <c r="U97" s="55"/>
      <c r="V97" s="55"/>
      <c r="W97" s="55"/>
      <c r="X97" s="55"/>
      <c r="Y97" s="55"/>
    </row>
    <row r="98" spans="2:25" hidden="1" x14ac:dyDescent="0.25">
      <c r="B98">
        <v>1</v>
      </c>
      <c r="C98" t="str">
        <f t="shared" ref="C98:C129" si="0">IF(ISNUMBER(D98),B98,"")</f>
        <v/>
      </c>
      <c r="D98" s="55" t="str">
        <f t="shared" ref="D98:D129" si="1">IF(ISNUMBER(F45),-ABS(F45),"")</f>
        <v/>
      </c>
      <c r="E98" s="55" t="str">
        <f t="shared" ref="E98:E129" si="2">IF(ISNUMBER(G45),-ABS(G45),"")</f>
        <v/>
      </c>
      <c r="F98" s="55" t="str">
        <f t="shared" ref="F98:F129" si="3">IF(ISNUMBER(H45),ABS(H45),"")</f>
        <v/>
      </c>
      <c r="G98" s="55" t="str">
        <f t="shared" ref="G98:G129" si="4">IF(ISNUMBER(I45),ABS(I45),"")</f>
        <v/>
      </c>
      <c r="H98" s="55" t="str">
        <f t="shared" ref="H98:H129" si="5">IF(ISNUMBER(J45),-ABS(J45),"")</f>
        <v/>
      </c>
      <c r="I98" s="55" t="str">
        <f t="shared" ref="I98:I129" si="6">IF(ISNUMBER(K45),-ABS(K45),"")</f>
        <v/>
      </c>
      <c r="J98" s="55" t="str">
        <f t="shared" ref="J98:J129" si="7">IF(ISNUMBER(L45),ABS(L45),"")</f>
        <v/>
      </c>
      <c r="K98" s="55" t="str">
        <f t="shared" ref="K98:K129" si="8">IF(ISNUMBER(M45),ABS(M45),"")</f>
        <v/>
      </c>
      <c r="M98">
        <v>1</v>
      </c>
      <c r="N98" t="str">
        <f t="shared" ref="N98:N129" si="9">IF(ISNUMBER(O98),M98,"")</f>
        <v/>
      </c>
      <c r="O98" s="55" t="str">
        <f t="shared" ref="O98:P117" si="10">IF(ISNUMBER(O45),-ABS(O45),"")</f>
        <v/>
      </c>
      <c r="P98" s="55" t="str">
        <f t="shared" si="10"/>
        <v/>
      </c>
      <c r="Q98" s="55" t="str">
        <f t="shared" ref="Q98:R117" si="11">IF(ISNUMBER(Q45),ABS(Q45),"")</f>
        <v/>
      </c>
      <c r="R98" s="55" t="str">
        <f t="shared" si="11"/>
        <v/>
      </c>
      <c r="S98" s="55"/>
      <c r="T98" s="55"/>
      <c r="U98" s="55"/>
      <c r="V98" s="55" t="str">
        <f t="shared" ref="V98:W117" si="12">IF(ISNUMBER(V45),-ABS(V45),"")</f>
        <v/>
      </c>
      <c r="W98" s="55" t="str">
        <f t="shared" si="12"/>
        <v/>
      </c>
      <c r="X98" s="55" t="str">
        <f t="shared" ref="X98:Y117" si="13">IF(ISNUMBER(X45),ABS(X45),"")</f>
        <v/>
      </c>
      <c r="Y98" s="55" t="str">
        <f t="shared" si="13"/>
        <v/>
      </c>
    </row>
    <row r="99" spans="2:25" hidden="1" x14ac:dyDescent="0.25">
      <c r="B99">
        <v>2</v>
      </c>
      <c r="C99" t="str">
        <f t="shared" si="0"/>
        <v/>
      </c>
      <c r="D99" s="55" t="str">
        <f t="shared" si="1"/>
        <v/>
      </c>
      <c r="E99" s="55" t="str">
        <f t="shared" si="2"/>
        <v/>
      </c>
      <c r="F99" s="55" t="str">
        <f t="shared" si="3"/>
        <v/>
      </c>
      <c r="G99" s="55" t="str">
        <f t="shared" si="4"/>
        <v/>
      </c>
      <c r="H99" s="55" t="str">
        <f t="shared" si="5"/>
        <v/>
      </c>
      <c r="I99" s="55" t="str">
        <f t="shared" si="6"/>
        <v/>
      </c>
      <c r="J99" s="55" t="str">
        <f t="shared" si="7"/>
        <v/>
      </c>
      <c r="K99" s="55" t="str">
        <f t="shared" si="8"/>
        <v/>
      </c>
      <c r="M99">
        <v>2</v>
      </c>
      <c r="N99" t="str">
        <f t="shared" si="9"/>
        <v/>
      </c>
      <c r="O99" s="55" t="str">
        <f t="shared" si="10"/>
        <v/>
      </c>
      <c r="P99" s="55" t="str">
        <f t="shared" si="10"/>
        <v/>
      </c>
      <c r="Q99" s="55" t="str">
        <f t="shared" si="11"/>
        <v/>
      </c>
      <c r="R99" s="55" t="str">
        <f t="shared" si="11"/>
        <v/>
      </c>
      <c r="S99" s="55"/>
      <c r="T99" s="55"/>
      <c r="U99" s="55"/>
      <c r="V99" s="55" t="str">
        <f t="shared" si="12"/>
        <v/>
      </c>
      <c r="W99" s="55" t="str">
        <f t="shared" si="12"/>
        <v/>
      </c>
      <c r="X99" s="55" t="str">
        <f t="shared" si="13"/>
        <v/>
      </c>
      <c r="Y99" s="55" t="str">
        <f t="shared" si="13"/>
        <v/>
      </c>
    </row>
    <row r="100" spans="2:25" hidden="1" x14ac:dyDescent="0.25">
      <c r="B100">
        <v>3</v>
      </c>
      <c r="C100" t="str">
        <f t="shared" si="0"/>
        <v/>
      </c>
      <c r="D100" s="55" t="str">
        <f t="shared" si="1"/>
        <v/>
      </c>
      <c r="E100" s="55" t="str">
        <f t="shared" si="2"/>
        <v/>
      </c>
      <c r="F100" s="55" t="str">
        <f t="shared" si="3"/>
        <v/>
      </c>
      <c r="G100" s="55" t="str">
        <f t="shared" si="4"/>
        <v/>
      </c>
      <c r="H100" s="55" t="str">
        <f t="shared" si="5"/>
        <v/>
      </c>
      <c r="I100" s="55" t="str">
        <f t="shared" si="6"/>
        <v/>
      </c>
      <c r="J100" s="55" t="str">
        <f t="shared" si="7"/>
        <v/>
      </c>
      <c r="K100" s="55" t="str">
        <f t="shared" si="8"/>
        <v/>
      </c>
      <c r="M100">
        <v>3</v>
      </c>
      <c r="N100" t="str">
        <f t="shared" si="9"/>
        <v/>
      </c>
      <c r="O100" s="55" t="str">
        <f t="shared" si="10"/>
        <v/>
      </c>
      <c r="P100" s="55" t="str">
        <f t="shared" si="10"/>
        <v/>
      </c>
      <c r="Q100" s="55" t="str">
        <f t="shared" si="11"/>
        <v/>
      </c>
      <c r="R100" s="55" t="str">
        <f t="shared" si="11"/>
        <v/>
      </c>
      <c r="S100" s="55"/>
      <c r="T100" s="55"/>
      <c r="U100" s="55"/>
      <c r="V100" s="55" t="str">
        <f t="shared" si="12"/>
        <v/>
      </c>
      <c r="W100" s="55" t="str">
        <f t="shared" si="12"/>
        <v/>
      </c>
      <c r="X100" s="55" t="str">
        <f t="shared" si="13"/>
        <v/>
      </c>
      <c r="Y100" s="55" t="str">
        <f t="shared" si="13"/>
        <v/>
      </c>
    </row>
    <row r="101" spans="2:25" hidden="1" x14ac:dyDescent="0.25">
      <c r="B101">
        <v>4</v>
      </c>
      <c r="C101" t="str">
        <f t="shared" si="0"/>
        <v/>
      </c>
      <c r="D101" s="55" t="str">
        <f t="shared" si="1"/>
        <v/>
      </c>
      <c r="E101" s="55" t="str">
        <f t="shared" si="2"/>
        <v/>
      </c>
      <c r="F101" s="55" t="str">
        <f t="shared" si="3"/>
        <v/>
      </c>
      <c r="G101" s="55" t="str">
        <f t="shared" si="4"/>
        <v/>
      </c>
      <c r="H101" s="55" t="str">
        <f t="shared" si="5"/>
        <v/>
      </c>
      <c r="I101" s="55" t="str">
        <f t="shared" si="6"/>
        <v/>
      </c>
      <c r="J101" s="55" t="str">
        <f t="shared" si="7"/>
        <v/>
      </c>
      <c r="K101" s="55" t="str">
        <f t="shared" si="8"/>
        <v/>
      </c>
      <c r="M101">
        <v>4</v>
      </c>
      <c r="N101" t="str">
        <f t="shared" si="9"/>
        <v/>
      </c>
      <c r="O101" s="55" t="str">
        <f t="shared" si="10"/>
        <v/>
      </c>
      <c r="P101" s="55" t="str">
        <f t="shared" si="10"/>
        <v/>
      </c>
      <c r="Q101" s="55" t="str">
        <f t="shared" si="11"/>
        <v/>
      </c>
      <c r="R101" s="55" t="str">
        <f t="shared" si="11"/>
        <v/>
      </c>
      <c r="S101" s="55"/>
      <c r="T101" s="55"/>
      <c r="U101" s="55"/>
      <c r="V101" s="55" t="str">
        <f t="shared" si="12"/>
        <v/>
      </c>
      <c r="W101" s="55" t="str">
        <f t="shared" si="12"/>
        <v/>
      </c>
      <c r="X101" s="55" t="str">
        <f t="shared" si="13"/>
        <v/>
      </c>
      <c r="Y101" s="55" t="str">
        <f t="shared" si="13"/>
        <v/>
      </c>
    </row>
    <row r="102" spans="2:25" hidden="1" x14ac:dyDescent="0.25">
      <c r="B102">
        <v>5</v>
      </c>
      <c r="C102" t="str">
        <f t="shared" si="0"/>
        <v/>
      </c>
      <c r="D102" s="55" t="str">
        <f t="shared" si="1"/>
        <v/>
      </c>
      <c r="E102" s="55" t="str">
        <f t="shared" si="2"/>
        <v/>
      </c>
      <c r="F102" s="55" t="str">
        <f t="shared" si="3"/>
        <v/>
      </c>
      <c r="G102" s="55" t="str">
        <f t="shared" si="4"/>
        <v/>
      </c>
      <c r="H102" s="55" t="str">
        <f t="shared" si="5"/>
        <v/>
      </c>
      <c r="I102" s="55" t="str">
        <f t="shared" si="6"/>
        <v/>
      </c>
      <c r="J102" s="55" t="str">
        <f t="shared" si="7"/>
        <v/>
      </c>
      <c r="K102" s="55" t="str">
        <f t="shared" si="8"/>
        <v/>
      </c>
      <c r="M102">
        <v>5</v>
      </c>
      <c r="N102" t="str">
        <f t="shared" si="9"/>
        <v/>
      </c>
      <c r="O102" s="55" t="str">
        <f t="shared" si="10"/>
        <v/>
      </c>
      <c r="P102" s="55" t="str">
        <f t="shared" si="10"/>
        <v/>
      </c>
      <c r="Q102" s="55" t="str">
        <f t="shared" si="11"/>
        <v/>
      </c>
      <c r="R102" s="55" t="str">
        <f t="shared" si="11"/>
        <v/>
      </c>
      <c r="S102" s="55"/>
      <c r="T102" s="55"/>
      <c r="U102" s="55"/>
      <c r="V102" s="55" t="str">
        <f t="shared" si="12"/>
        <v/>
      </c>
      <c r="W102" s="55" t="str">
        <f t="shared" si="12"/>
        <v/>
      </c>
      <c r="X102" s="55" t="str">
        <f t="shared" si="13"/>
        <v/>
      </c>
      <c r="Y102" s="55" t="str">
        <f t="shared" si="13"/>
        <v/>
      </c>
    </row>
    <row r="103" spans="2:25" hidden="1" x14ac:dyDescent="0.25">
      <c r="B103">
        <v>6</v>
      </c>
      <c r="C103" t="str">
        <f t="shared" si="0"/>
        <v/>
      </c>
      <c r="D103" s="55" t="str">
        <f t="shared" si="1"/>
        <v/>
      </c>
      <c r="E103" s="55" t="str">
        <f t="shared" si="2"/>
        <v/>
      </c>
      <c r="F103" s="55" t="str">
        <f t="shared" si="3"/>
        <v/>
      </c>
      <c r="G103" s="55" t="str">
        <f t="shared" si="4"/>
        <v/>
      </c>
      <c r="H103" s="55" t="str">
        <f t="shared" si="5"/>
        <v/>
      </c>
      <c r="I103" s="55" t="str">
        <f t="shared" si="6"/>
        <v/>
      </c>
      <c r="J103" s="55" t="str">
        <f t="shared" si="7"/>
        <v/>
      </c>
      <c r="K103" s="55" t="str">
        <f t="shared" si="8"/>
        <v/>
      </c>
      <c r="M103">
        <v>6</v>
      </c>
      <c r="N103" t="str">
        <f t="shared" si="9"/>
        <v/>
      </c>
      <c r="O103" s="55" t="str">
        <f t="shared" si="10"/>
        <v/>
      </c>
      <c r="P103" s="55" t="str">
        <f t="shared" si="10"/>
        <v/>
      </c>
      <c r="Q103" s="55" t="str">
        <f t="shared" si="11"/>
        <v/>
      </c>
      <c r="R103" s="55" t="str">
        <f t="shared" si="11"/>
        <v/>
      </c>
      <c r="S103" s="55"/>
      <c r="T103" s="55"/>
      <c r="U103" s="55"/>
      <c r="V103" s="55" t="str">
        <f t="shared" si="12"/>
        <v/>
      </c>
      <c r="W103" s="55" t="str">
        <f t="shared" si="12"/>
        <v/>
      </c>
      <c r="X103" s="55" t="str">
        <f t="shared" si="13"/>
        <v/>
      </c>
      <c r="Y103" s="55" t="str">
        <f t="shared" si="13"/>
        <v/>
      </c>
    </row>
    <row r="104" spans="2:25" hidden="1" x14ac:dyDescent="0.25">
      <c r="B104">
        <v>7</v>
      </c>
      <c r="C104" t="str">
        <f t="shared" si="0"/>
        <v/>
      </c>
      <c r="D104" s="55" t="str">
        <f t="shared" si="1"/>
        <v/>
      </c>
      <c r="E104" s="55" t="str">
        <f t="shared" si="2"/>
        <v/>
      </c>
      <c r="F104" s="55" t="str">
        <f t="shared" si="3"/>
        <v/>
      </c>
      <c r="G104" s="55" t="str">
        <f t="shared" si="4"/>
        <v/>
      </c>
      <c r="H104" s="55" t="str">
        <f t="shared" si="5"/>
        <v/>
      </c>
      <c r="I104" s="55" t="str">
        <f t="shared" si="6"/>
        <v/>
      </c>
      <c r="J104" s="55" t="str">
        <f t="shared" si="7"/>
        <v/>
      </c>
      <c r="K104" s="55" t="str">
        <f t="shared" si="8"/>
        <v/>
      </c>
      <c r="M104">
        <v>7</v>
      </c>
      <c r="N104" t="str">
        <f t="shared" si="9"/>
        <v/>
      </c>
      <c r="O104" s="55" t="str">
        <f t="shared" si="10"/>
        <v/>
      </c>
      <c r="P104" s="55" t="str">
        <f t="shared" si="10"/>
        <v/>
      </c>
      <c r="Q104" s="55" t="str">
        <f t="shared" si="11"/>
        <v/>
      </c>
      <c r="R104" s="55" t="str">
        <f t="shared" si="11"/>
        <v/>
      </c>
      <c r="S104" s="55"/>
      <c r="T104" s="55"/>
      <c r="U104" s="55"/>
      <c r="V104" s="55" t="str">
        <f t="shared" si="12"/>
        <v/>
      </c>
      <c r="W104" s="55" t="str">
        <f t="shared" si="12"/>
        <v/>
      </c>
      <c r="X104" s="55" t="str">
        <f t="shared" si="13"/>
        <v/>
      </c>
      <c r="Y104" s="55" t="str">
        <f t="shared" si="13"/>
        <v/>
      </c>
    </row>
    <row r="105" spans="2:25" hidden="1" x14ac:dyDescent="0.25">
      <c r="B105">
        <v>8</v>
      </c>
      <c r="C105" t="str">
        <f t="shared" si="0"/>
        <v/>
      </c>
      <c r="D105" s="55" t="str">
        <f t="shared" si="1"/>
        <v/>
      </c>
      <c r="E105" s="55" t="str">
        <f t="shared" si="2"/>
        <v/>
      </c>
      <c r="F105" s="55" t="str">
        <f t="shared" si="3"/>
        <v/>
      </c>
      <c r="G105" s="55" t="str">
        <f t="shared" si="4"/>
        <v/>
      </c>
      <c r="H105" s="55" t="str">
        <f t="shared" si="5"/>
        <v/>
      </c>
      <c r="I105" s="55" t="str">
        <f t="shared" si="6"/>
        <v/>
      </c>
      <c r="J105" s="55" t="str">
        <f t="shared" si="7"/>
        <v/>
      </c>
      <c r="K105" s="55" t="str">
        <f t="shared" si="8"/>
        <v/>
      </c>
      <c r="M105">
        <v>8</v>
      </c>
      <c r="N105" t="str">
        <f t="shared" si="9"/>
        <v/>
      </c>
      <c r="O105" s="55" t="str">
        <f t="shared" si="10"/>
        <v/>
      </c>
      <c r="P105" s="55" t="str">
        <f t="shared" si="10"/>
        <v/>
      </c>
      <c r="Q105" s="55" t="str">
        <f t="shared" si="11"/>
        <v/>
      </c>
      <c r="R105" s="55" t="str">
        <f t="shared" si="11"/>
        <v/>
      </c>
      <c r="S105" s="55"/>
      <c r="T105" s="55"/>
      <c r="U105" s="55"/>
      <c r="V105" s="55" t="str">
        <f t="shared" si="12"/>
        <v/>
      </c>
      <c r="W105" s="55" t="str">
        <f t="shared" si="12"/>
        <v/>
      </c>
      <c r="X105" s="55" t="str">
        <f t="shared" si="13"/>
        <v/>
      </c>
      <c r="Y105" s="55" t="str">
        <f t="shared" si="13"/>
        <v/>
      </c>
    </row>
    <row r="106" spans="2:25" hidden="1" x14ac:dyDescent="0.25">
      <c r="B106">
        <v>9</v>
      </c>
      <c r="C106" t="str">
        <f t="shared" si="0"/>
        <v/>
      </c>
      <c r="D106" s="55" t="str">
        <f t="shared" si="1"/>
        <v/>
      </c>
      <c r="E106" s="55" t="str">
        <f t="shared" si="2"/>
        <v/>
      </c>
      <c r="F106" s="55" t="str">
        <f t="shared" si="3"/>
        <v/>
      </c>
      <c r="G106" s="55" t="str">
        <f t="shared" si="4"/>
        <v/>
      </c>
      <c r="H106" s="55" t="str">
        <f t="shared" si="5"/>
        <v/>
      </c>
      <c r="I106" s="55" t="str">
        <f t="shared" si="6"/>
        <v/>
      </c>
      <c r="J106" s="55" t="str">
        <f t="shared" si="7"/>
        <v/>
      </c>
      <c r="K106" s="55" t="str">
        <f t="shared" si="8"/>
        <v/>
      </c>
      <c r="M106">
        <v>9</v>
      </c>
      <c r="N106" t="str">
        <f t="shared" si="9"/>
        <v/>
      </c>
      <c r="O106" s="55" t="str">
        <f t="shared" si="10"/>
        <v/>
      </c>
      <c r="P106" s="55" t="str">
        <f t="shared" si="10"/>
        <v/>
      </c>
      <c r="Q106" s="55" t="str">
        <f t="shared" si="11"/>
        <v/>
      </c>
      <c r="R106" s="55" t="str">
        <f t="shared" si="11"/>
        <v/>
      </c>
      <c r="S106" s="55"/>
      <c r="T106" s="55"/>
      <c r="U106" s="55"/>
      <c r="V106" s="55" t="str">
        <f t="shared" si="12"/>
        <v/>
      </c>
      <c r="W106" s="55" t="str">
        <f t="shared" si="12"/>
        <v/>
      </c>
      <c r="X106" s="55" t="str">
        <f t="shared" si="13"/>
        <v/>
      </c>
      <c r="Y106" s="55" t="str">
        <f t="shared" si="13"/>
        <v/>
      </c>
    </row>
    <row r="107" spans="2:25" hidden="1" x14ac:dyDescent="0.25">
      <c r="B107">
        <v>10</v>
      </c>
      <c r="C107" t="str">
        <f t="shared" si="0"/>
        <v/>
      </c>
      <c r="D107" s="55" t="str">
        <f t="shared" si="1"/>
        <v/>
      </c>
      <c r="E107" s="55" t="str">
        <f t="shared" si="2"/>
        <v/>
      </c>
      <c r="F107" s="55" t="str">
        <f t="shared" si="3"/>
        <v/>
      </c>
      <c r="G107" s="55" t="str">
        <f t="shared" si="4"/>
        <v/>
      </c>
      <c r="H107" s="55" t="str">
        <f t="shared" si="5"/>
        <v/>
      </c>
      <c r="I107" s="55" t="str">
        <f t="shared" si="6"/>
        <v/>
      </c>
      <c r="J107" s="55" t="str">
        <f t="shared" si="7"/>
        <v/>
      </c>
      <c r="K107" s="55" t="str">
        <f t="shared" si="8"/>
        <v/>
      </c>
      <c r="M107">
        <v>10</v>
      </c>
      <c r="N107" t="str">
        <f t="shared" si="9"/>
        <v/>
      </c>
      <c r="O107" s="55" t="str">
        <f t="shared" si="10"/>
        <v/>
      </c>
      <c r="P107" s="55" t="str">
        <f t="shared" si="10"/>
        <v/>
      </c>
      <c r="Q107" s="55" t="str">
        <f t="shared" si="11"/>
        <v/>
      </c>
      <c r="R107" s="55" t="str">
        <f t="shared" si="11"/>
        <v/>
      </c>
      <c r="S107" s="55"/>
      <c r="T107" s="55"/>
      <c r="U107" s="55"/>
      <c r="V107" s="55" t="str">
        <f t="shared" si="12"/>
        <v/>
      </c>
      <c r="W107" s="55" t="str">
        <f t="shared" si="12"/>
        <v/>
      </c>
      <c r="X107" s="55" t="str">
        <f t="shared" si="13"/>
        <v/>
      </c>
      <c r="Y107" s="55" t="str">
        <f t="shared" si="13"/>
        <v/>
      </c>
    </row>
    <row r="108" spans="2:25" hidden="1" x14ac:dyDescent="0.25">
      <c r="B108">
        <v>11</v>
      </c>
      <c r="C108" t="str">
        <f t="shared" si="0"/>
        <v/>
      </c>
      <c r="D108" s="55" t="str">
        <f t="shared" si="1"/>
        <v/>
      </c>
      <c r="E108" s="55" t="str">
        <f t="shared" si="2"/>
        <v/>
      </c>
      <c r="F108" s="55" t="str">
        <f t="shared" si="3"/>
        <v/>
      </c>
      <c r="G108" s="55" t="str">
        <f t="shared" si="4"/>
        <v/>
      </c>
      <c r="H108" s="55" t="str">
        <f t="shared" si="5"/>
        <v/>
      </c>
      <c r="I108" s="55" t="str">
        <f t="shared" si="6"/>
        <v/>
      </c>
      <c r="J108" s="55" t="str">
        <f t="shared" si="7"/>
        <v/>
      </c>
      <c r="K108" s="55" t="str">
        <f t="shared" si="8"/>
        <v/>
      </c>
      <c r="M108">
        <v>11</v>
      </c>
      <c r="N108" t="str">
        <f t="shared" si="9"/>
        <v/>
      </c>
      <c r="O108" s="55" t="str">
        <f t="shared" si="10"/>
        <v/>
      </c>
      <c r="P108" s="55" t="str">
        <f t="shared" si="10"/>
        <v/>
      </c>
      <c r="Q108" s="55" t="str">
        <f t="shared" si="11"/>
        <v/>
      </c>
      <c r="R108" s="55" t="str">
        <f t="shared" si="11"/>
        <v/>
      </c>
      <c r="S108" s="55"/>
      <c r="T108" s="55"/>
      <c r="U108" s="55"/>
      <c r="V108" s="55" t="str">
        <f t="shared" si="12"/>
        <v/>
      </c>
      <c r="W108" s="55" t="str">
        <f t="shared" si="12"/>
        <v/>
      </c>
      <c r="X108" s="55" t="str">
        <f t="shared" si="13"/>
        <v/>
      </c>
      <c r="Y108" s="55" t="str">
        <f t="shared" si="13"/>
        <v/>
      </c>
    </row>
    <row r="109" spans="2:25" hidden="1" x14ac:dyDescent="0.25">
      <c r="B109">
        <v>12</v>
      </c>
      <c r="C109" t="str">
        <f t="shared" si="0"/>
        <v/>
      </c>
      <c r="D109" s="55" t="str">
        <f t="shared" si="1"/>
        <v/>
      </c>
      <c r="E109" s="55" t="str">
        <f t="shared" si="2"/>
        <v/>
      </c>
      <c r="F109" s="55" t="str">
        <f t="shared" si="3"/>
        <v/>
      </c>
      <c r="G109" s="55" t="str">
        <f t="shared" si="4"/>
        <v/>
      </c>
      <c r="H109" s="55" t="str">
        <f t="shared" si="5"/>
        <v/>
      </c>
      <c r="I109" s="55" t="str">
        <f t="shared" si="6"/>
        <v/>
      </c>
      <c r="J109" s="55" t="str">
        <f t="shared" si="7"/>
        <v/>
      </c>
      <c r="K109" s="55" t="str">
        <f t="shared" si="8"/>
        <v/>
      </c>
      <c r="M109">
        <v>12</v>
      </c>
      <c r="N109" t="str">
        <f t="shared" si="9"/>
        <v/>
      </c>
      <c r="O109" s="55" t="str">
        <f t="shared" si="10"/>
        <v/>
      </c>
      <c r="P109" s="55" t="str">
        <f t="shared" si="10"/>
        <v/>
      </c>
      <c r="Q109" s="55" t="str">
        <f t="shared" si="11"/>
        <v/>
      </c>
      <c r="R109" s="55" t="str">
        <f t="shared" si="11"/>
        <v/>
      </c>
      <c r="S109" s="55"/>
      <c r="T109" s="55"/>
      <c r="U109" s="55"/>
      <c r="V109" s="55" t="str">
        <f t="shared" si="12"/>
        <v/>
      </c>
      <c r="W109" s="55" t="str">
        <f t="shared" si="12"/>
        <v/>
      </c>
      <c r="X109" s="55" t="str">
        <f t="shared" si="13"/>
        <v/>
      </c>
      <c r="Y109" s="55" t="str">
        <f t="shared" si="13"/>
        <v/>
      </c>
    </row>
    <row r="110" spans="2:25" hidden="1" x14ac:dyDescent="0.25">
      <c r="B110">
        <v>13</v>
      </c>
      <c r="C110" t="str">
        <f t="shared" si="0"/>
        <v/>
      </c>
      <c r="D110" s="55" t="str">
        <f t="shared" si="1"/>
        <v/>
      </c>
      <c r="E110" s="55" t="str">
        <f t="shared" si="2"/>
        <v/>
      </c>
      <c r="F110" s="55" t="str">
        <f t="shared" si="3"/>
        <v/>
      </c>
      <c r="G110" s="55" t="str">
        <f t="shared" si="4"/>
        <v/>
      </c>
      <c r="H110" s="55" t="str">
        <f t="shared" si="5"/>
        <v/>
      </c>
      <c r="I110" s="55" t="str">
        <f t="shared" si="6"/>
        <v/>
      </c>
      <c r="J110" s="55" t="str">
        <f t="shared" si="7"/>
        <v/>
      </c>
      <c r="K110" s="55" t="str">
        <f t="shared" si="8"/>
        <v/>
      </c>
      <c r="M110">
        <v>13</v>
      </c>
      <c r="N110" t="str">
        <f t="shared" si="9"/>
        <v/>
      </c>
      <c r="O110" s="55" t="str">
        <f t="shared" si="10"/>
        <v/>
      </c>
      <c r="P110" s="55" t="str">
        <f t="shared" si="10"/>
        <v/>
      </c>
      <c r="Q110" s="55" t="str">
        <f t="shared" si="11"/>
        <v/>
      </c>
      <c r="R110" s="55" t="str">
        <f t="shared" si="11"/>
        <v/>
      </c>
      <c r="S110" s="55"/>
      <c r="T110" s="55"/>
      <c r="U110" s="55"/>
      <c r="V110" s="55" t="str">
        <f t="shared" si="12"/>
        <v/>
      </c>
      <c r="W110" s="55" t="str">
        <f t="shared" si="12"/>
        <v/>
      </c>
      <c r="X110" s="55" t="str">
        <f t="shared" si="13"/>
        <v/>
      </c>
      <c r="Y110" s="55" t="str">
        <f t="shared" si="13"/>
        <v/>
      </c>
    </row>
    <row r="111" spans="2:25" hidden="1" x14ac:dyDescent="0.25">
      <c r="B111">
        <v>14</v>
      </c>
      <c r="C111" t="str">
        <f t="shared" si="0"/>
        <v/>
      </c>
      <c r="D111" s="55" t="str">
        <f t="shared" si="1"/>
        <v/>
      </c>
      <c r="E111" s="55" t="str">
        <f t="shared" si="2"/>
        <v/>
      </c>
      <c r="F111" s="55" t="str">
        <f t="shared" si="3"/>
        <v/>
      </c>
      <c r="G111" s="55" t="str">
        <f t="shared" si="4"/>
        <v/>
      </c>
      <c r="H111" s="55" t="str">
        <f t="shared" si="5"/>
        <v/>
      </c>
      <c r="I111" s="55" t="str">
        <f t="shared" si="6"/>
        <v/>
      </c>
      <c r="J111" s="55" t="str">
        <f t="shared" si="7"/>
        <v/>
      </c>
      <c r="K111" s="55" t="str">
        <f t="shared" si="8"/>
        <v/>
      </c>
      <c r="M111">
        <v>14</v>
      </c>
      <c r="N111" t="str">
        <f t="shared" si="9"/>
        <v/>
      </c>
      <c r="O111" s="55" t="str">
        <f t="shared" si="10"/>
        <v/>
      </c>
      <c r="P111" s="55" t="str">
        <f t="shared" si="10"/>
        <v/>
      </c>
      <c r="Q111" s="55" t="str">
        <f t="shared" si="11"/>
        <v/>
      </c>
      <c r="R111" s="55" t="str">
        <f t="shared" si="11"/>
        <v/>
      </c>
      <c r="S111" s="55"/>
      <c r="T111" s="55"/>
      <c r="U111" s="55"/>
      <c r="V111" s="55" t="str">
        <f t="shared" si="12"/>
        <v/>
      </c>
      <c r="W111" s="55" t="str">
        <f t="shared" si="12"/>
        <v/>
      </c>
      <c r="X111" s="55" t="str">
        <f t="shared" si="13"/>
        <v/>
      </c>
      <c r="Y111" s="55" t="str">
        <f t="shared" si="13"/>
        <v/>
      </c>
    </row>
    <row r="112" spans="2:25" hidden="1" x14ac:dyDescent="0.25">
      <c r="B112">
        <v>15</v>
      </c>
      <c r="C112" t="str">
        <f t="shared" si="0"/>
        <v/>
      </c>
      <c r="D112" s="55" t="str">
        <f t="shared" si="1"/>
        <v/>
      </c>
      <c r="E112" s="55" t="str">
        <f t="shared" si="2"/>
        <v/>
      </c>
      <c r="F112" s="55" t="str">
        <f t="shared" si="3"/>
        <v/>
      </c>
      <c r="G112" s="55" t="str">
        <f t="shared" si="4"/>
        <v/>
      </c>
      <c r="H112" s="55" t="str">
        <f t="shared" si="5"/>
        <v/>
      </c>
      <c r="I112" s="55" t="str">
        <f t="shared" si="6"/>
        <v/>
      </c>
      <c r="J112" s="55" t="str">
        <f t="shared" si="7"/>
        <v/>
      </c>
      <c r="K112" s="55" t="str">
        <f t="shared" si="8"/>
        <v/>
      </c>
      <c r="M112">
        <v>15</v>
      </c>
      <c r="N112" t="str">
        <f t="shared" si="9"/>
        <v/>
      </c>
      <c r="O112" s="55" t="str">
        <f t="shared" si="10"/>
        <v/>
      </c>
      <c r="P112" s="55" t="str">
        <f t="shared" si="10"/>
        <v/>
      </c>
      <c r="Q112" s="55" t="str">
        <f t="shared" si="11"/>
        <v/>
      </c>
      <c r="R112" s="55" t="str">
        <f t="shared" si="11"/>
        <v/>
      </c>
      <c r="S112" s="55"/>
      <c r="T112" s="55"/>
      <c r="U112" s="55"/>
      <c r="V112" s="55" t="str">
        <f t="shared" si="12"/>
        <v/>
      </c>
      <c r="W112" s="55" t="str">
        <f t="shared" si="12"/>
        <v/>
      </c>
      <c r="X112" s="55" t="str">
        <f t="shared" si="13"/>
        <v/>
      </c>
      <c r="Y112" s="55" t="str">
        <f t="shared" si="13"/>
        <v/>
      </c>
    </row>
    <row r="113" spans="2:25" hidden="1" x14ac:dyDescent="0.25">
      <c r="B113">
        <v>16</v>
      </c>
      <c r="C113" t="str">
        <f t="shared" si="0"/>
        <v/>
      </c>
      <c r="D113" s="55" t="str">
        <f t="shared" si="1"/>
        <v/>
      </c>
      <c r="E113" s="55" t="str">
        <f t="shared" si="2"/>
        <v/>
      </c>
      <c r="F113" s="55" t="str">
        <f t="shared" si="3"/>
        <v/>
      </c>
      <c r="G113" s="55" t="str">
        <f t="shared" si="4"/>
        <v/>
      </c>
      <c r="H113" s="55" t="str">
        <f t="shared" si="5"/>
        <v/>
      </c>
      <c r="I113" s="55" t="str">
        <f t="shared" si="6"/>
        <v/>
      </c>
      <c r="J113" s="55" t="str">
        <f t="shared" si="7"/>
        <v/>
      </c>
      <c r="K113" s="55" t="str">
        <f t="shared" si="8"/>
        <v/>
      </c>
      <c r="M113">
        <v>16</v>
      </c>
      <c r="N113" t="str">
        <f t="shared" si="9"/>
        <v/>
      </c>
      <c r="O113" s="55" t="str">
        <f t="shared" si="10"/>
        <v/>
      </c>
      <c r="P113" s="55" t="str">
        <f t="shared" si="10"/>
        <v/>
      </c>
      <c r="Q113" s="55" t="str">
        <f t="shared" si="11"/>
        <v/>
      </c>
      <c r="R113" s="55" t="str">
        <f t="shared" si="11"/>
        <v/>
      </c>
      <c r="S113" s="55"/>
      <c r="T113" s="55"/>
      <c r="U113" s="55"/>
      <c r="V113" s="55" t="str">
        <f t="shared" si="12"/>
        <v/>
      </c>
      <c r="W113" s="55" t="str">
        <f t="shared" si="12"/>
        <v/>
      </c>
      <c r="X113" s="55" t="str">
        <f t="shared" si="13"/>
        <v/>
      </c>
      <c r="Y113" s="55" t="str">
        <f t="shared" si="13"/>
        <v/>
      </c>
    </row>
    <row r="114" spans="2:25" hidden="1" x14ac:dyDescent="0.25">
      <c r="B114">
        <v>17</v>
      </c>
      <c r="C114" t="str">
        <f t="shared" si="0"/>
        <v/>
      </c>
      <c r="D114" s="55" t="str">
        <f t="shared" si="1"/>
        <v/>
      </c>
      <c r="E114" s="55" t="str">
        <f t="shared" si="2"/>
        <v/>
      </c>
      <c r="F114" s="55" t="str">
        <f t="shared" si="3"/>
        <v/>
      </c>
      <c r="G114" s="55" t="str">
        <f t="shared" si="4"/>
        <v/>
      </c>
      <c r="H114" s="55" t="str">
        <f t="shared" si="5"/>
        <v/>
      </c>
      <c r="I114" s="55" t="str">
        <f t="shared" si="6"/>
        <v/>
      </c>
      <c r="J114" s="55" t="str">
        <f t="shared" si="7"/>
        <v/>
      </c>
      <c r="K114" s="55" t="str">
        <f t="shared" si="8"/>
        <v/>
      </c>
      <c r="M114">
        <v>17</v>
      </c>
      <c r="N114" t="str">
        <f t="shared" si="9"/>
        <v/>
      </c>
      <c r="O114" s="55" t="str">
        <f t="shared" si="10"/>
        <v/>
      </c>
      <c r="P114" s="55" t="str">
        <f t="shared" si="10"/>
        <v/>
      </c>
      <c r="Q114" s="55" t="str">
        <f t="shared" si="11"/>
        <v/>
      </c>
      <c r="R114" s="55" t="str">
        <f t="shared" si="11"/>
        <v/>
      </c>
      <c r="S114" s="55"/>
      <c r="T114" s="55"/>
      <c r="U114" s="55"/>
      <c r="V114" s="55" t="str">
        <f t="shared" si="12"/>
        <v/>
      </c>
      <c r="W114" s="55" t="str">
        <f t="shared" si="12"/>
        <v/>
      </c>
      <c r="X114" s="55" t="str">
        <f t="shared" si="13"/>
        <v/>
      </c>
      <c r="Y114" s="55" t="str">
        <f t="shared" si="13"/>
        <v/>
      </c>
    </row>
    <row r="115" spans="2:25" hidden="1" x14ac:dyDescent="0.25">
      <c r="B115">
        <v>18</v>
      </c>
      <c r="C115" t="str">
        <f t="shared" si="0"/>
        <v/>
      </c>
      <c r="D115" s="55" t="str">
        <f t="shared" si="1"/>
        <v/>
      </c>
      <c r="E115" s="55" t="str">
        <f t="shared" si="2"/>
        <v/>
      </c>
      <c r="F115" s="55" t="str">
        <f t="shared" si="3"/>
        <v/>
      </c>
      <c r="G115" s="55" t="str">
        <f t="shared" si="4"/>
        <v/>
      </c>
      <c r="H115" s="55" t="str">
        <f t="shared" si="5"/>
        <v/>
      </c>
      <c r="I115" s="55" t="str">
        <f t="shared" si="6"/>
        <v/>
      </c>
      <c r="J115" s="55" t="str">
        <f t="shared" si="7"/>
        <v/>
      </c>
      <c r="K115" s="55" t="str">
        <f t="shared" si="8"/>
        <v/>
      </c>
      <c r="M115">
        <v>18</v>
      </c>
      <c r="N115" t="str">
        <f t="shared" si="9"/>
        <v/>
      </c>
      <c r="O115" s="55" t="str">
        <f t="shared" si="10"/>
        <v/>
      </c>
      <c r="P115" s="55" t="str">
        <f t="shared" si="10"/>
        <v/>
      </c>
      <c r="Q115" s="55" t="str">
        <f t="shared" si="11"/>
        <v/>
      </c>
      <c r="R115" s="55" t="str">
        <f t="shared" si="11"/>
        <v/>
      </c>
      <c r="S115" s="55"/>
      <c r="T115" s="55"/>
      <c r="U115" s="55"/>
      <c r="V115" s="55" t="str">
        <f t="shared" si="12"/>
        <v/>
      </c>
      <c r="W115" s="55" t="str">
        <f t="shared" si="12"/>
        <v/>
      </c>
      <c r="X115" s="55" t="str">
        <f t="shared" si="13"/>
        <v/>
      </c>
      <c r="Y115" s="55" t="str">
        <f t="shared" si="13"/>
        <v/>
      </c>
    </row>
    <row r="116" spans="2:25" hidden="1" x14ac:dyDescent="0.25">
      <c r="B116">
        <v>19</v>
      </c>
      <c r="C116" t="str">
        <f t="shared" si="0"/>
        <v/>
      </c>
      <c r="D116" s="55" t="str">
        <f t="shared" si="1"/>
        <v/>
      </c>
      <c r="E116" s="55" t="str">
        <f t="shared" si="2"/>
        <v/>
      </c>
      <c r="F116" s="55" t="str">
        <f t="shared" si="3"/>
        <v/>
      </c>
      <c r="G116" s="55" t="str">
        <f t="shared" si="4"/>
        <v/>
      </c>
      <c r="H116" s="55" t="str">
        <f t="shared" si="5"/>
        <v/>
      </c>
      <c r="I116" s="55" t="str">
        <f t="shared" si="6"/>
        <v/>
      </c>
      <c r="J116" s="55" t="str">
        <f t="shared" si="7"/>
        <v/>
      </c>
      <c r="K116" s="55" t="str">
        <f t="shared" si="8"/>
        <v/>
      </c>
      <c r="M116">
        <v>19</v>
      </c>
      <c r="N116" t="str">
        <f t="shared" si="9"/>
        <v/>
      </c>
      <c r="O116" s="55" t="str">
        <f t="shared" si="10"/>
        <v/>
      </c>
      <c r="P116" s="55" t="str">
        <f t="shared" si="10"/>
        <v/>
      </c>
      <c r="Q116" s="55" t="str">
        <f t="shared" si="11"/>
        <v/>
      </c>
      <c r="R116" s="55" t="str">
        <f t="shared" si="11"/>
        <v/>
      </c>
      <c r="S116" s="55"/>
      <c r="T116" s="55"/>
      <c r="U116" s="55"/>
      <c r="V116" s="55" t="str">
        <f t="shared" si="12"/>
        <v/>
      </c>
      <c r="W116" s="55" t="str">
        <f t="shared" si="12"/>
        <v/>
      </c>
      <c r="X116" s="55" t="str">
        <f t="shared" si="13"/>
        <v/>
      </c>
      <c r="Y116" s="55" t="str">
        <f t="shared" si="13"/>
        <v/>
      </c>
    </row>
    <row r="117" spans="2:25" hidden="1" x14ac:dyDescent="0.25">
      <c r="B117">
        <v>20</v>
      </c>
      <c r="C117" t="str">
        <f t="shared" si="0"/>
        <v/>
      </c>
      <c r="D117" s="55" t="str">
        <f t="shared" si="1"/>
        <v/>
      </c>
      <c r="E117" s="55" t="str">
        <f t="shared" si="2"/>
        <v/>
      </c>
      <c r="F117" s="55" t="str">
        <f t="shared" si="3"/>
        <v/>
      </c>
      <c r="G117" s="55" t="str">
        <f t="shared" si="4"/>
        <v/>
      </c>
      <c r="H117" s="55" t="str">
        <f t="shared" si="5"/>
        <v/>
      </c>
      <c r="I117" s="55" t="str">
        <f t="shared" si="6"/>
        <v/>
      </c>
      <c r="J117" s="55" t="str">
        <f t="shared" si="7"/>
        <v/>
      </c>
      <c r="K117" s="55" t="str">
        <f t="shared" si="8"/>
        <v/>
      </c>
      <c r="M117">
        <v>20</v>
      </c>
      <c r="N117" t="str">
        <f t="shared" si="9"/>
        <v/>
      </c>
      <c r="O117" s="55" t="str">
        <f t="shared" si="10"/>
        <v/>
      </c>
      <c r="P117" s="55" t="str">
        <f t="shared" si="10"/>
        <v/>
      </c>
      <c r="Q117" s="55" t="str">
        <f t="shared" si="11"/>
        <v/>
      </c>
      <c r="R117" s="55" t="str">
        <f t="shared" si="11"/>
        <v/>
      </c>
      <c r="S117" s="55"/>
      <c r="T117" s="55"/>
      <c r="U117" s="55"/>
      <c r="V117" s="55" t="str">
        <f t="shared" si="12"/>
        <v/>
      </c>
      <c r="W117" s="55" t="str">
        <f t="shared" si="12"/>
        <v/>
      </c>
      <c r="X117" s="55" t="str">
        <f t="shared" si="13"/>
        <v/>
      </c>
      <c r="Y117" s="55" t="str">
        <f t="shared" si="13"/>
        <v/>
      </c>
    </row>
    <row r="118" spans="2:25" hidden="1" x14ac:dyDescent="0.25">
      <c r="B118">
        <v>21</v>
      </c>
      <c r="C118" t="str">
        <f t="shared" si="0"/>
        <v/>
      </c>
      <c r="D118" s="55" t="str">
        <f t="shared" si="1"/>
        <v/>
      </c>
      <c r="E118" s="55" t="str">
        <f t="shared" si="2"/>
        <v/>
      </c>
      <c r="F118" s="55" t="str">
        <f t="shared" si="3"/>
        <v/>
      </c>
      <c r="G118" s="55" t="str">
        <f t="shared" si="4"/>
        <v/>
      </c>
      <c r="H118" s="55" t="str">
        <f t="shared" si="5"/>
        <v/>
      </c>
      <c r="I118" s="55" t="str">
        <f t="shared" si="6"/>
        <v/>
      </c>
      <c r="J118" s="55" t="str">
        <f t="shared" si="7"/>
        <v/>
      </c>
      <c r="K118" s="55" t="str">
        <f t="shared" si="8"/>
        <v/>
      </c>
      <c r="M118">
        <v>21</v>
      </c>
      <c r="N118" t="str">
        <f t="shared" si="9"/>
        <v/>
      </c>
      <c r="O118" s="55" t="str">
        <f t="shared" ref="O118:P137" si="14">IF(ISNUMBER(O65),-ABS(O65),"")</f>
        <v/>
      </c>
      <c r="P118" s="55" t="str">
        <f t="shared" si="14"/>
        <v/>
      </c>
      <c r="Q118" s="55" t="str">
        <f t="shared" ref="Q118:R137" si="15">IF(ISNUMBER(Q65),ABS(Q65),"")</f>
        <v/>
      </c>
      <c r="R118" s="55" t="str">
        <f t="shared" si="15"/>
        <v/>
      </c>
      <c r="S118" s="55"/>
      <c r="T118" s="55"/>
      <c r="U118" s="55"/>
      <c r="V118" s="55" t="str">
        <f t="shared" ref="V118:W137" si="16">IF(ISNUMBER(V65),-ABS(V65),"")</f>
        <v/>
      </c>
      <c r="W118" s="55" t="str">
        <f t="shared" si="16"/>
        <v/>
      </c>
      <c r="X118" s="55" t="str">
        <f t="shared" ref="X118:Y137" si="17">IF(ISNUMBER(X65),ABS(X65),"")</f>
        <v/>
      </c>
      <c r="Y118" s="55" t="str">
        <f t="shared" si="17"/>
        <v/>
      </c>
    </row>
    <row r="119" spans="2:25" hidden="1" x14ac:dyDescent="0.25">
      <c r="B119">
        <v>22</v>
      </c>
      <c r="C119" t="str">
        <f t="shared" si="0"/>
        <v/>
      </c>
      <c r="D119" s="55" t="str">
        <f t="shared" si="1"/>
        <v/>
      </c>
      <c r="E119" s="55" t="str">
        <f t="shared" si="2"/>
        <v/>
      </c>
      <c r="F119" s="55" t="str">
        <f t="shared" si="3"/>
        <v/>
      </c>
      <c r="G119" s="55" t="str">
        <f t="shared" si="4"/>
        <v/>
      </c>
      <c r="H119" s="55" t="str">
        <f t="shared" si="5"/>
        <v/>
      </c>
      <c r="I119" s="55" t="str">
        <f t="shared" si="6"/>
        <v/>
      </c>
      <c r="J119" s="55" t="str">
        <f t="shared" si="7"/>
        <v/>
      </c>
      <c r="K119" s="55" t="str">
        <f t="shared" si="8"/>
        <v/>
      </c>
      <c r="M119">
        <v>22</v>
      </c>
      <c r="N119" t="str">
        <f t="shared" si="9"/>
        <v/>
      </c>
      <c r="O119" s="55" t="str">
        <f t="shared" si="14"/>
        <v/>
      </c>
      <c r="P119" s="55" t="str">
        <f t="shared" si="14"/>
        <v/>
      </c>
      <c r="Q119" s="55" t="str">
        <f t="shared" si="15"/>
        <v/>
      </c>
      <c r="R119" s="55" t="str">
        <f t="shared" si="15"/>
        <v/>
      </c>
      <c r="S119" s="55"/>
      <c r="T119" s="55"/>
      <c r="U119" s="55"/>
      <c r="V119" s="55" t="str">
        <f t="shared" si="16"/>
        <v/>
      </c>
      <c r="W119" s="55" t="str">
        <f t="shared" si="16"/>
        <v/>
      </c>
      <c r="X119" s="55" t="str">
        <f t="shared" si="17"/>
        <v/>
      </c>
      <c r="Y119" s="55" t="str">
        <f t="shared" si="17"/>
        <v/>
      </c>
    </row>
    <row r="120" spans="2:25" hidden="1" x14ac:dyDescent="0.25">
      <c r="B120">
        <v>23</v>
      </c>
      <c r="C120" t="str">
        <f t="shared" si="0"/>
        <v/>
      </c>
      <c r="D120" s="55" t="str">
        <f t="shared" si="1"/>
        <v/>
      </c>
      <c r="E120" s="55" t="str">
        <f t="shared" si="2"/>
        <v/>
      </c>
      <c r="F120" s="55" t="str">
        <f t="shared" si="3"/>
        <v/>
      </c>
      <c r="G120" s="55" t="str">
        <f t="shared" si="4"/>
        <v/>
      </c>
      <c r="H120" s="55" t="str">
        <f t="shared" si="5"/>
        <v/>
      </c>
      <c r="I120" s="55" t="str">
        <f t="shared" si="6"/>
        <v/>
      </c>
      <c r="J120" s="55" t="str">
        <f t="shared" si="7"/>
        <v/>
      </c>
      <c r="K120" s="55" t="str">
        <f t="shared" si="8"/>
        <v/>
      </c>
      <c r="M120">
        <v>23</v>
      </c>
      <c r="N120" t="str">
        <f t="shared" si="9"/>
        <v/>
      </c>
      <c r="O120" s="55" t="str">
        <f t="shared" si="14"/>
        <v/>
      </c>
      <c r="P120" s="55" t="str">
        <f t="shared" si="14"/>
        <v/>
      </c>
      <c r="Q120" s="55" t="str">
        <f t="shared" si="15"/>
        <v/>
      </c>
      <c r="R120" s="55" t="str">
        <f t="shared" si="15"/>
        <v/>
      </c>
      <c r="S120" s="55"/>
      <c r="T120" s="55"/>
      <c r="U120" s="55"/>
      <c r="V120" s="55" t="str">
        <f t="shared" si="16"/>
        <v/>
      </c>
      <c r="W120" s="55" t="str">
        <f t="shared" si="16"/>
        <v/>
      </c>
      <c r="X120" s="55" t="str">
        <f t="shared" si="17"/>
        <v/>
      </c>
      <c r="Y120" s="55" t="str">
        <f t="shared" si="17"/>
        <v/>
      </c>
    </row>
    <row r="121" spans="2:25" hidden="1" x14ac:dyDescent="0.25">
      <c r="B121">
        <v>24</v>
      </c>
      <c r="C121" t="str">
        <f t="shared" si="0"/>
        <v/>
      </c>
      <c r="D121" s="55" t="str">
        <f t="shared" si="1"/>
        <v/>
      </c>
      <c r="E121" s="55" t="str">
        <f t="shared" si="2"/>
        <v/>
      </c>
      <c r="F121" s="55" t="str">
        <f t="shared" si="3"/>
        <v/>
      </c>
      <c r="G121" s="55" t="str">
        <f t="shared" si="4"/>
        <v/>
      </c>
      <c r="H121" s="55" t="str">
        <f t="shared" si="5"/>
        <v/>
      </c>
      <c r="I121" s="55" t="str">
        <f t="shared" si="6"/>
        <v/>
      </c>
      <c r="J121" s="55" t="str">
        <f t="shared" si="7"/>
        <v/>
      </c>
      <c r="K121" s="55" t="str">
        <f t="shared" si="8"/>
        <v/>
      </c>
      <c r="M121">
        <v>24</v>
      </c>
      <c r="N121" t="str">
        <f t="shared" si="9"/>
        <v/>
      </c>
      <c r="O121" s="55" t="str">
        <f t="shared" si="14"/>
        <v/>
      </c>
      <c r="P121" s="55" t="str">
        <f t="shared" si="14"/>
        <v/>
      </c>
      <c r="Q121" s="55" t="str">
        <f t="shared" si="15"/>
        <v/>
      </c>
      <c r="R121" s="55" t="str">
        <f t="shared" si="15"/>
        <v/>
      </c>
      <c r="S121" s="55"/>
      <c r="T121" s="55"/>
      <c r="U121" s="55"/>
      <c r="V121" s="55" t="str">
        <f t="shared" si="16"/>
        <v/>
      </c>
      <c r="W121" s="55" t="str">
        <f t="shared" si="16"/>
        <v/>
      </c>
      <c r="X121" s="55" t="str">
        <f t="shared" si="17"/>
        <v/>
      </c>
      <c r="Y121" s="55" t="str">
        <f t="shared" si="17"/>
        <v/>
      </c>
    </row>
    <row r="122" spans="2:25" hidden="1" x14ac:dyDescent="0.25">
      <c r="B122">
        <v>25</v>
      </c>
      <c r="C122" t="str">
        <f t="shared" si="0"/>
        <v/>
      </c>
      <c r="D122" s="55" t="str">
        <f t="shared" si="1"/>
        <v/>
      </c>
      <c r="E122" s="55" t="str">
        <f t="shared" si="2"/>
        <v/>
      </c>
      <c r="F122" s="55" t="str">
        <f t="shared" si="3"/>
        <v/>
      </c>
      <c r="G122" s="55" t="str">
        <f t="shared" si="4"/>
        <v/>
      </c>
      <c r="H122" s="55" t="str">
        <f t="shared" si="5"/>
        <v/>
      </c>
      <c r="I122" s="55" t="str">
        <f t="shared" si="6"/>
        <v/>
      </c>
      <c r="J122" s="55" t="str">
        <f t="shared" si="7"/>
        <v/>
      </c>
      <c r="K122" s="55" t="str">
        <f t="shared" si="8"/>
        <v/>
      </c>
      <c r="M122">
        <v>25</v>
      </c>
      <c r="N122" t="str">
        <f t="shared" si="9"/>
        <v/>
      </c>
      <c r="O122" s="55" t="str">
        <f t="shared" si="14"/>
        <v/>
      </c>
      <c r="P122" s="55" t="str">
        <f t="shared" si="14"/>
        <v/>
      </c>
      <c r="Q122" s="55" t="str">
        <f t="shared" si="15"/>
        <v/>
      </c>
      <c r="R122" s="55" t="str">
        <f t="shared" si="15"/>
        <v/>
      </c>
      <c r="S122" s="55"/>
      <c r="T122" s="55"/>
      <c r="U122" s="55"/>
      <c r="V122" s="55" t="str">
        <f t="shared" si="16"/>
        <v/>
      </c>
      <c r="W122" s="55" t="str">
        <f t="shared" si="16"/>
        <v/>
      </c>
      <c r="X122" s="55" t="str">
        <f t="shared" si="17"/>
        <v/>
      </c>
      <c r="Y122" s="55" t="str">
        <f t="shared" si="17"/>
        <v/>
      </c>
    </row>
    <row r="123" spans="2:25" hidden="1" x14ac:dyDescent="0.25">
      <c r="B123">
        <v>26</v>
      </c>
      <c r="C123" t="str">
        <f t="shared" si="0"/>
        <v/>
      </c>
      <c r="D123" s="55" t="str">
        <f t="shared" si="1"/>
        <v/>
      </c>
      <c r="E123" s="55" t="str">
        <f t="shared" si="2"/>
        <v/>
      </c>
      <c r="F123" s="55" t="str">
        <f t="shared" si="3"/>
        <v/>
      </c>
      <c r="G123" s="55" t="str">
        <f t="shared" si="4"/>
        <v/>
      </c>
      <c r="H123" s="55" t="str">
        <f t="shared" si="5"/>
        <v/>
      </c>
      <c r="I123" s="55" t="str">
        <f t="shared" si="6"/>
        <v/>
      </c>
      <c r="J123" s="55" t="str">
        <f t="shared" si="7"/>
        <v/>
      </c>
      <c r="K123" s="55" t="str">
        <f t="shared" si="8"/>
        <v/>
      </c>
      <c r="M123">
        <v>26</v>
      </c>
      <c r="N123" t="str">
        <f t="shared" si="9"/>
        <v/>
      </c>
      <c r="O123" s="55" t="str">
        <f t="shared" si="14"/>
        <v/>
      </c>
      <c r="P123" s="55" t="str">
        <f t="shared" si="14"/>
        <v/>
      </c>
      <c r="Q123" s="55" t="str">
        <f t="shared" si="15"/>
        <v/>
      </c>
      <c r="R123" s="55" t="str">
        <f t="shared" si="15"/>
        <v/>
      </c>
      <c r="S123" s="55"/>
      <c r="T123" s="55"/>
      <c r="U123" s="55"/>
      <c r="V123" s="55" t="str">
        <f t="shared" si="16"/>
        <v/>
      </c>
      <c r="W123" s="55" t="str">
        <f t="shared" si="16"/>
        <v/>
      </c>
      <c r="X123" s="55" t="str">
        <f t="shared" si="17"/>
        <v/>
      </c>
      <c r="Y123" s="55" t="str">
        <f t="shared" si="17"/>
        <v/>
      </c>
    </row>
    <row r="124" spans="2:25" hidden="1" x14ac:dyDescent="0.25">
      <c r="B124">
        <v>27</v>
      </c>
      <c r="C124" t="str">
        <f t="shared" si="0"/>
        <v/>
      </c>
      <c r="D124" s="55" t="str">
        <f t="shared" si="1"/>
        <v/>
      </c>
      <c r="E124" s="55" t="str">
        <f t="shared" si="2"/>
        <v/>
      </c>
      <c r="F124" s="55" t="str">
        <f t="shared" si="3"/>
        <v/>
      </c>
      <c r="G124" s="55" t="str">
        <f t="shared" si="4"/>
        <v/>
      </c>
      <c r="H124" s="55" t="str">
        <f t="shared" si="5"/>
        <v/>
      </c>
      <c r="I124" s="55" t="str">
        <f t="shared" si="6"/>
        <v/>
      </c>
      <c r="J124" s="55" t="str">
        <f t="shared" si="7"/>
        <v/>
      </c>
      <c r="K124" s="55" t="str">
        <f t="shared" si="8"/>
        <v/>
      </c>
      <c r="M124">
        <v>27</v>
      </c>
      <c r="N124" t="str">
        <f t="shared" si="9"/>
        <v/>
      </c>
      <c r="O124" s="55" t="str">
        <f t="shared" si="14"/>
        <v/>
      </c>
      <c r="P124" s="55" t="str">
        <f t="shared" si="14"/>
        <v/>
      </c>
      <c r="Q124" s="55" t="str">
        <f t="shared" si="15"/>
        <v/>
      </c>
      <c r="R124" s="55" t="str">
        <f t="shared" si="15"/>
        <v/>
      </c>
      <c r="S124" s="55"/>
      <c r="T124" s="55"/>
      <c r="U124" s="55"/>
      <c r="V124" s="55" t="str">
        <f t="shared" si="16"/>
        <v/>
      </c>
      <c r="W124" s="55" t="str">
        <f t="shared" si="16"/>
        <v/>
      </c>
      <c r="X124" s="55" t="str">
        <f t="shared" si="17"/>
        <v/>
      </c>
      <c r="Y124" s="55" t="str">
        <f t="shared" si="17"/>
        <v/>
      </c>
    </row>
    <row r="125" spans="2:25" hidden="1" x14ac:dyDescent="0.25">
      <c r="B125">
        <v>28</v>
      </c>
      <c r="C125" t="str">
        <f t="shared" si="0"/>
        <v/>
      </c>
      <c r="D125" s="55" t="str">
        <f t="shared" si="1"/>
        <v/>
      </c>
      <c r="E125" s="55" t="str">
        <f t="shared" si="2"/>
        <v/>
      </c>
      <c r="F125" s="55" t="str">
        <f t="shared" si="3"/>
        <v/>
      </c>
      <c r="G125" s="55" t="str">
        <f t="shared" si="4"/>
        <v/>
      </c>
      <c r="H125" s="55" t="str">
        <f t="shared" si="5"/>
        <v/>
      </c>
      <c r="I125" s="55" t="str">
        <f t="shared" si="6"/>
        <v/>
      </c>
      <c r="J125" s="55" t="str">
        <f t="shared" si="7"/>
        <v/>
      </c>
      <c r="K125" s="55" t="str">
        <f t="shared" si="8"/>
        <v/>
      </c>
      <c r="M125">
        <v>28</v>
      </c>
      <c r="N125" t="str">
        <f t="shared" si="9"/>
        <v/>
      </c>
      <c r="O125" s="55" t="str">
        <f t="shared" si="14"/>
        <v/>
      </c>
      <c r="P125" s="55" t="str">
        <f t="shared" si="14"/>
        <v/>
      </c>
      <c r="Q125" s="55" t="str">
        <f t="shared" si="15"/>
        <v/>
      </c>
      <c r="R125" s="55" t="str">
        <f t="shared" si="15"/>
        <v/>
      </c>
      <c r="S125" s="55"/>
      <c r="T125" s="55"/>
      <c r="U125" s="55"/>
      <c r="V125" s="55" t="str">
        <f t="shared" si="16"/>
        <v/>
      </c>
      <c r="W125" s="55" t="str">
        <f t="shared" si="16"/>
        <v/>
      </c>
      <c r="X125" s="55" t="str">
        <f t="shared" si="17"/>
        <v/>
      </c>
      <c r="Y125" s="55" t="str">
        <f t="shared" si="17"/>
        <v/>
      </c>
    </row>
    <row r="126" spans="2:25" hidden="1" x14ac:dyDescent="0.25">
      <c r="B126">
        <v>29</v>
      </c>
      <c r="C126" t="str">
        <f t="shared" si="0"/>
        <v/>
      </c>
      <c r="D126" s="55" t="str">
        <f t="shared" si="1"/>
        <v/>
      </c>
      <c r="E126" s="55" t="str">
        <f t="shared" si="2"/>
        <v/>
      </c>
      <c r="F126" s="55" t="str">
        <f t="shared" si="3"/>
        <v/>
      </c>
      <c r="G126" s="55" t="str">
        <f t="shared" si="4"/>
        <v/>
      </c>
      <c r="H126" s="55" t="str">
        <f t="shared" si="5"/>
        <v/>
      </c>
      <c r="I126" s="55" t="str">
        <f t="shared" si="6"/>
        <v/>
      </c>
      <c r="J126" s="55" t="str">
        <f t="shared" si="7"/>
        <v/>
      </c>
      <c r="K126" s="55" t="str">
        <f t="shared" si="8"/>
        <v/>
      </c>
      <c r="M126">
        <v>29</v>
      </c>
      <c r="N126" t="str">
        <f t="shared" si="9"/>
        <v/>
      </c>
      <c r="O126" s="55" t="str">
        <f t="shared" si="14"/>
        <v/>
      </c>
      <c r="P126" s="55" t="str">
        <f t="shared" si="14"/>
        <v/>
      </c>
      <c r="Q126" s="55" t="str">
        <f t="shared" si="15"/>
        <v/>
      </c>
      <c r="R126" s="55" t="str">
        <f t="shared" si="15"/>
        <v/>
      </c>
      <c r="S126" s="55"/>
      <c r="T126" s="55"/>
      <c r="U126" s="55"/>
      <c r="V126" s="55" t="str">
        <f t="shared" si="16"/>
        <v/>
      </c>
      <c r="W126" s="55" t="str">
        <f t="shared" si="16"/>
        <v/>
      </c>
      <c r="X126" s="55" t="str">
        <f t="shared" si="17"/>
        <v/>
      </c>
      <c r="Y126" s="55" t="str">
        <f t="shared" si="17"/>
        <v/>
      </c>
    </row>
    <row r="127" spans="2:25" hidden="1" x14ac:dyDescent="0.25">
      <c r="B127">
        <v>30</v>
      </c>
      <c r="C127" t="str">
        <f t="shared" si="0"/>
        <v/>
      </c>
      <c r="D127" s="55" t="str">
        <f t="shared" si="1"/>
        <v/>
      </c>
      <c r="E127" s="55" t="str">
        <f t="shared" si="2"/>
        <v/>
      </c>
      <c r="F127" s="55" t="str">
        <f t="shared" si="3"/>
        <v/>
      </c>
      <c r="G127" s="55" t="str">
        <f t="shared" si="4"/>
        <v/>
      </c>
      <c r="H127" s="55" t="str">
        <f t="shared" si="5"/>
        <v/>
      </c>
      <c r="I127" s="55" t="str">
        <f t="shared" si="6"/>
        <v/>
      </c>
      <c r="J127" s="55" t="str">
        <f t="shared" si="7"/>
        <v/>
      </c>
      <c r="K127" s="55" t="str">
        <f t="shared" si="8"/>
        <v/>
      </c>
      <c r="M127">
        <v>30</v>
      </c>
      <c r="N127" t="str">
        <f t="shared" si="9"/>
        <v/>
      </c>
      <c r="O127" s="55" t="str">
        <f t="shared" si="14"/>
        <v/>
      </c>
      <c r="P127" s="55" t="str">
        <f t="shared" si="14"/>
        <v/>
      </c>
      <c r="Q127" s="55" t="str">
        <f t="shared" si="15"/>
        <v/>
      </c>
      <c r="R127" s="55" t="str">
        <f t="shared" si="15"/>
        <v/>
      </c>
      <c r="S127" s="55"/>
      <c r="T127" s="55"/>
      <c r="U127" s="55"/>
      <c r="V127" s="55" t="str">
        <f t="shared" si="16"/>
        <v/>
      </c>
      <c r="W127" s="55" t="str">
        <f t="shared" si="16"/>
        <v/>
      </c>
      <c r="X127" s="55" t="str">
        <f t="shared" si="17"/>
        <v/>
      </c>
      <c r="Y127" s="55" t="str">
        <f t="shared" si="17"/>
        <v/>
      </c>
    </row>
    <row r="128" spans="2:25" hidden="1" x14ac:dyDescent="0.25">
      <c r="B128">
        <v>31</v>
      </c>
      <c r="C128" t="str">
        <f t="shared" si="0"/>
        <v/>
      </c>
      <c r="D128" s="55" t="str">
        <f t="shared" si="1"/>
        <v/>
      </c>
      <c r="E128" s="55" t="str">
        <f t="shared" si="2"/>
        <v/>
      </c>
      <c r="F128" s="55" t="str">
        <f t="shared" si="3"/>
        <v/>
      </c>
      <c r="G128" s="55" t="str">
        <f t="shared" si="4"/>
        <v/>
      </c>
      <c r="H128" s="55" t="str">
        <f t="shared" si="5"/>
        <v/>
      </c>
      <c r="I128" s="55" t="str">
        <f t="shared" si="6"/>
        <v/>
      </c>
      <c r="J128" s="55" t="str">
        <f t="shared" si="7"/>
        <v/>
      </c>
      <c r="K128" s="55" t="str">
        <f t="shared" si="8"/>
        <v/>
      </c>
      <c r="M128">
        <v>31</v>
      </c>
      <c r="N128" t="str">
        <f t="shared" si="9"/>
        <v/>
      </c>
      <c r="O128" s="55" t="str">
        <f t="shared" si="14"/>
        <v/>
      </c>
      <c r="P128" s="55" t="str">
        <f t="shared" si="14"/>
        <v/>
      </c>
      <c r="Q128" s="55" t="str">
        <f t="shared" si="15"/>
        <v/>
      </c>
      <c r="R128" s="55" t="str">
        <f t="shared" si="15"/>
        <v/>
      </c>
      <c r="S128" s="55"/>
      <c r="T128" s="55"/>
      <c r="U128" s="55"/>
      <c r="V128" s="55" t="str">
        <f t="shared" si="16"/>
        <v/>
      </c>
      <c r="W128" s="55" t="str">
        <f t="shared" si="16"/>
        <v/>
      </c>
      <c r="X128" s="55" t="str">
        <f t="shared" si="17"/>
        <v/>
      </c>
      <c r="Y128" s="55" t="str">
        <f t="shared" si="17"/>
        <v/>
      </c>
    </row>
    <row r="129" spans="2:25" hidden="1" x14ac:dyDescent="0.25">
      <c r="B129">
        <v>32</v>
      </c>
      <c r="C129" t="str">
        <f t="shared" si="0"/>
        <v/>
      </c>
      <c r="D129" s="55" t="str">
        <f t="shared" si="1"/>
        <v/>
      </c>
      <c r="E129" s="55" t="str">
        <f t="shared" si="2"/>
        <v/>
      </c>
      <c r="F129" s="55" t="str">
        <f t="shared" si="3"/>
        <v/>
      </c>
      <c r="G129" s="55" t="str">
        <f t="shared" si="4"/>
        <v/>
      </c>
      <c r="H129" s="55" t="str">
        <f t="shared" si="5"/>
        <v/>
      </c>
      <c r="I129" s="55" t="str">
        <f t="shared" si="6"/>
        <v/>
      </c>
      <c r="J129" s="55" t="str">
        <f t="shared" si="7"/>
        <v/>
      </c>
      <c r="K129" s="55" t="str">
        <f t="shared" si="8"/>
        <v/>
      </c>
      <c r="M129">
        <v>32</v>
      </c>
      <c r="N129" t="str">
        <f t="shared" si="9"/>
        <v/>
      </c>
      <c r="O129" s="55" t="str">
        <f t="shared" si="14"/>
        <v/>
      </c>
      <c r="P129" s="55" t="str">
        <f t="shared" si="14"/>
        <v/>
      </c>
      <c r="Q129" s="55" t="str">
        <f t="shared" si="15"/>
        <v/>
      </c>
      <c r="R129" s="55" t="str">
        <f t="shared" si="15"/>
        <v/>
      </c>
      <c r="S129" s="55"/>
      <c r="T129" s="55"/>
      <c r="U129" s="55"/>
      <c r="V129" s="55" t="str">
        <f t="shared" si="16"/>
        <v/>
      </c>
      <c r="W129" s="55" t="str">
        <f t="shared" si="16"/>
        <v/>
      </c>
      <c r="X129" s="55" t="str">
        <f t="shared" si="17"/>
        <v/>
      </c>
      <c r="Y129" s="55" t="str">
        <f t="shared" si="17"/>
        <v/>
      </c>
    </row>
    <row r="130" spans="2:25" hidden="1" x14ac:dyDescent="0.25">
      <c r="B130">
        <v>33</v>
      </c>
      <c r="C130" t="str">
        <f t="shared" ref="C130:C161" si="18">IF(ISNUMBER(D130),B130,"")</f>
        <v/>
      </c>
      <c r="D130" s="55" t="str">
        <f t="shared" ref="D130:D161" si="19">IF(ISNUMBER(F77),-ABS(F77),"")</f>
        <v/>
      </c>
      <c r="E130" s="55" t="str">
        <f t="shared" ref="E130:E161" si="20">IF(ISNUMBER(G77),-ABS(G77),"")</f>
        <v/>
      </c>
      <c r="F130" s="55" t="str">
        <f t="shared" ref="F130:F161" si="21">IF(ISNUMBER(H77),ABS(H77),"")</f>
        <v/>
      </c>
      <c r="G130" s="55" t="str">
        <f t="shared" ref="G130:G161" si="22">IF(ISNUMBER(I77),ABS(I77),"")</f>
        <v/>
      </c>
      <c r="H130" s="55" t="str">
        <f t="shared" ref="H130:H161" si="23">IF(ISNUMBER(J77),-ABS(J77),"")</f>
        <v/>
      </c>
      <c r="I130" s="55" t="str">
        <f t="shared" ref="I130:I161" si="24">IF(ISNUMBER(K77),-ABS(K77),"")</f>
        <v/>
      </c>
      <c r="J130" s="55" t="str">
        <f t="shared" ref="J130:J161" si="25">IF(ISNUMBER(L77),ABS(L77),"")</f>
        <v/>
      </c>
      <c r="K130" s="55" t="str">
        <f t="shared" ref="K130:K161" si="26">IF(ISNUMBER(M77),ABS(M77),"")</f>
        <v/>
      </c>
      <c r="M130">
        <v>33</v>
      </c>
      <c r="N130" t="str">
        <f t="shared" ref="N130:N161" si="27">IF(ISNUMBER(O130),M130,"")</f>
        <v/>
      </c>
      <c r="O130" s="55" t="str">
        <f t="shared" si="14"/>
        <v/>
      </c>
      <c r="P130" s="55" t="str">
        <f t="shared" si="14"/>
        <v/>
      </c>
      <c r="Q130" s="55" t="str">
        <f t="shared" si="15"/>
        <v/>
      </c>
      <c r="R130" s="55" t="str">
        <f t="shared" si="15"/>
        <v/>
      </c>
      <c r="S130" s="55"/>
      <c r="T130" s="55"/>
      <c r="U130" s="55"/>
      <c r="V130" s="55" t="str">
        <f t="shared" si="16"/>
        <v/>
      </c>
      <c r="W130" s="55" t="str">
        <f t="shared" si="16"/>
        <v/>
      </c>
      <c r="X130" s="55" t="str">
        <f t="shared" si="17"/>
        <v/>
      </c>
      <c r="Y130" s="55" t="str">
        <f t="shared" si="17"/>
        <v/>
      </c>
    </row>
    <row r="131" spans="2:25" hidden="1" x14ac:dyDescent="0.25">
      <c r="B131">
        <v>34</v>
      </c>
      <c r="C131" t="str">
        <f t="shared" si="18"/>
        <v/>
      </c>
      <c r="D131" s="55" t="str">
        <f t="shared" si="19"/>
        <v/>
      </c>
      <c r="E131" s="55" t="str">
        <f t="shared" si="20"/>
        <v/>
      </c>
      <c r="F131" s="55" t="str">
        <f t="shared" si="21"/>
        <v/>
      </c>
      <c r="G131" s="55" t="str">
        <f t="shared" si="22"/>
        <v/>
      </c>
      <c r="H131" s="55" t="str">
        <f t="shared" si="23"/>
        <v/>
      </c>
      <c r="I131" s="55" t="str">
        <f t="shared" si="24"/>
        <v/>
      </c>
      <c r="J131" s="55" t="str">
        <f t="shared" si="25"/>
        <v/>
      </c>
      <c r="K131" s="55" t="str">
        <f t="shared" si="26"/>
        <v/>
      </c>
      <c r="M131">
        <v>34</v>
      </c>
      <c r="N131" t="str">
        <f t="shared" si="27"/>
        <v/>
      </c>
      <c r="O131" s="55" t="str">
        <f t="shared" si="14"/>
        <v/>
      </c>
      <c r="P131" s="55" t="str">
        <f t="shared" si="14"/>
        <v/>
      </c>
      <c r="Q131" s="55" t="str">
        <f t="shared" si="15"/>
        <v/>
      </c>
      <c r="R131" s="55" t="str">
        <f t="shared" si="15"/>
        <v/>
      </c>
      <c r="S131" s="55"/>
      <c r="T131" s="55"/>
      <c r="U131" s="55"/>
      <c r="V131" s="55" t="str">
        <f t="shared" si="16"/>
        <v/>
      </c>
      <c r="W131" s="55" t="str">
        <f t="shared" si="16"/>
        <v/>
      </c>
      <c r="X131" s="55" t="str">
        <f t="shared" si="17"/>
        <v/>
      </c>
      <c r="Y131" s="55" t="str">
        <f t="shared" si="17"/>
        <v/>
      </c>
    </row>
    <row r="132" spans="2:25" hidden="1" x14ac:dyDescent="0.25">
      <c r="B132">
        <v>35</v>
      </c>
      <c r="C132" t="str">
        <f t="shared" si="18"/>
        <v/>
      </c>
      <c r="D132" s="55" t="str">
        <f t="shared" si="19"/>
        <v/>
      </c>
      <c r="E132" s="55" t="str">
        <f t="shared" si="20"/>
        <v/>
      </c>
      <c r="F132" s="55" t="str">
        <f t="shared" si="21"/>
        <v/>
      </c>
      <c r="G132" s="55" t="str">
        <f t="shared" si="22"/>
        <v/>
      </c>
      <c r="H132" s="55" t="str">
        <f t="shared" si="23"/>
        <v/>
      </c>
      <c r="I132" s="55" t="str">
        <f t="shared" si="24"/>
        <v/>
      </c>
      <c r="J132" s="55" t="str">
        <f t="shared" si="25"/>
        <v/>
      </c>
      <c r="K132" s="55" t="str">
        <f t="shared" si="26"/>
        <v/>
      </c>
      <c r="M132">
        <v>35</v>
      </c>
      <c r="N132" t="str">
        <f t="shared" si="27"/>
        <v/>
      </c>
      <c r="O132" s="55" t="str">
        <f t="shared" si="14"/>
        <v/>
      </c>
      <c r="P132" s="55" t="str">
        <f t="shared" si="14"/>
        <v/>
      </c>
      <c r="Q132" s="55" t="str">
        <f t="shared" si="15"/>
        <v/>
      </c>
      <c r="R132" s="55" t="str">
        <f t="shared" si="15"/>
        <v/>
      </c>
      <c r="S132" s="55"/>
      <c r="T132" s="55"/>
      <c r="U132" s="55"/>
      <c r="V132" s="55" t="str">
        <f t="shared" si="16"/>
        <v/>
      </c>
      <c r="W132" s="55" t="str">
        <f t="shared" si="16"/>
        <v/>
      </c>
      <c r="X132" s="55" t="str">
        <f t="shared" si="17"/>
        <v/>
      </c>
      <c r="Y132" s="55" t="str">
        <f t="shared" si="17"/>
        <v/>
      </c>
    </row>
    <row r="133" spans="2:25" hidden="1" x14ac:dyDescent="0.25">
      <c r="B133">
        <v>36</v>
      </c>
      <c r="C133" t="str">
        <f t="shared" si="18"/>
        <v/>
      </c>
      <c r="D133" s="55" t="str">
        <f t="shared" si="19"/>
        <v/>
      </c>
      <c r="E133" s="55" t="str">
        <f t="shared" si="20"/>
        <v/>
      </c>
      <c r="F133" s="55" t="str">
        <f t="shared" si="21"/>
        <v/>
      </c>
      <c r="G133" s="55" t="str">
        <f t="shared" si="22"/>
        <v/>
      </c>
      <c r="H133" s="55" t="str">
        <f t="shared" si="23"/>
        <v/>
      </c>
      <c r="I133" s="55" t="str">
        <f t="shared" si="24"/>
        <v/>
      </c>
      <c r="J133" s="55" t="str">
        <f t="shared" si="25"/>
        <v/>
      </c>
      <c r="K133" s="55" t="str">
        <f t="shared" si="26"/>
        <v/>
      </c>
      <c r="M133">
        <v>36</v>
      </c>
      <c r="N133" t="str">
        <f t="shared" si="27"/>
        <v/>
      </c>
      <c r="O133" s="55" t="str">
        <f t="shared" si="14"/>
        <v/>
      </c>
      <c r="P133" s="55" t="str">
        <f t="shared" si="14"/>
        <v/>
      </c>
      <c r="Q133" s="55" t="str">
        <f t="shared" si="15"/>
        <v/>
      </c>
      <c r="R133" s="55" t="str">
        <f t="shared" si="15"/>
        <v/>
      </c>
      <c r="S133" s="55"/>
      <c r="T133" s="55"/>
      <c r="U133" s="55"/>
      <c r="V133" s="55" t="str">
        <f t="shared" si="16"/>
        <v/>
      </c>
      <c r="W133" s="55" t="str">
        <f t="shared" si="16"/>
        <v/>
      </c>
      <c r="X133" s="55" t="str">
        <f t="shared" si="17"/>
        <v/>
      </c>
      <c r="Y133" s="55" t="str">
        <f t="shared" si="17"/>
        <v/>
      </c>
    </row>
    <row r="134" spans="2:25" hidden="1" x14ac:dyDescent="0.25">
      <c r="B134">
        <v>37</v>
      </c>
      <c r="C134" t="str">
        <f t="shared" si="18"/>
        <v/>
      </c>
      <c r="D134" s="55" t="str">
        <f t="shared" si="19"/>
        <v/>
      </c>
      <c r="E134" s="55" t="str">
        <f t="shared" si="20"/>
        <v/>
      </c>
      <c r="F134" s="55" t="str">
        <f t="shared" si="21"/>
        <v/>
      </c>
      <c r="G134" s="55" t="str">
        <f t="shared" si="22"/>
        <v/>
      </c>
      <c r="H134" s="55" t="str">
        <f t="shared" si="23"/>
        <v/>
      </c>
      <c r="I134" s="55" t="str">
        <f t="shared" si="24"/>
        <v/>
      </c>
      <c r="J134" s="55" t="str">
        <f t="shared" si="25"/>
        <v/>
      </c>
      <c r="K134" s="55" t="str">
        <f t="shared" si="26"/>
        <v/>
      </c>
      <c r="M134">
        <v>37</v>
      </c>
      <c r="N134" t="str">
        <f t="shared" si="27"/>
        <v/>
      </c>
      <c r="O134" s="55" t="str">
        <f t="shared" si="14"/>
        <v/>
      </c>
      <c r="P134" s="55" t="str">
        <f t="shared" si="14"/>
        <v/>
      </c>
      <c r="Q134" s="55" t="str">
        <f t="shared" si="15"/>
        <v/>
      </c>
      <c r="R134" s="55" t="str">
        <f t="shared" si="15"/>
        <v/>
      </c>
      <c r="S134" s="55"/>
      <c r="T134" s="55"/>
      <c r="U134" s="55"/>
      <c r="V134" s="55" t="str">
        <f t="shared" si="16"/>
        <v/>
      </c>
      <c r="W134" s="55" t="str">
        <f t="shared" si="16"/>
        <v/>
      </c>
      <c r="X134" s="55" t="str">
        <f t="shared" si="17"/>
        <v/>
      </c>
      <c r="Y134" s="55" t="str">
        <f t="shared" si="17"/>
        <v/>
      </c>
    </row>
    <row r="135" spans="2:25" hidden="1" x14ac:dyDescent="0.25">
      <c r="B135">
        <v>38</v>
      </c>
      <c r="C135" t="str">
        <f t="shared" si="18"/>
        <v/>
      </c>
      <c r="D135" s="55" t="str">
        <f t="shared" si="19"/>
        <v/>
      </c>
      <c r="E135" s="55" t="str">
        <f t="shared" si="20"/>
        <v/>
      </c>
      <c r="F135" s="55" t="str">
        <f t="shared" si="21"/>
        <v/>
      </c>
      <c r="G135" s="55" t="str">
        <f t="shared" si="22"/>
        <v/>
      </c>
      <c r="H135" s="55" t="str">
        <f t="shared" si="23"/>
        <v/>
      </c>
      <c r="I135" s="55" t="str">
        <f t="shared" si="24"/>
        <v/>
      </c>
      <c r="J135" s="55" t="str">
        <f t="shared" si="25"/>
        <v/>
      </c>
      <c r="K135" s="55" t="str">
        <f t="shared" si="26"/>
        <v/>
      </c>
      <c r="M135">
        <v>38</v>
      </c>
      <c r="N135" t="str">
        <f t="shared" si="27"/>
        <v/>
      </c>
      <c r="O135" s="55" t="str">
        <f t="shared" si="14"/>
        <v/>
      </c>
      <c r="P135" s="55" t="str">
        <f t="shared" si="14"/>
        <v/>
      </c>
      <c r="Q135" s="55" t="str">
        <f t="shared" si="15"/>
        <v/>
      </c>
      <c r="R135" s="55" t="str">
        <f t="shared" si="15"/>
        <v/>
      </c>
      <c r="S135" s="55"/>
      <c r="T135" s="55"/>
      <c r="U135" s="55"/>
      <c r="V135" s="55" t="str">
        <f t="shared" si="16"/>
        <v/>
      </c>
      <c r="W135" s="55" t="str">
        <f t="shared" si="16"/>
        <v/>
      </c>
      <c r="X135" s="55" t="str">
        <f t="shared" si="17"/>
        <v/>
      </c>
      <c r="Y135" s="55" t="str">
        <f t="shared" si="17"/>
        <v/>
      </c>
    </row>
    <row r="136" spans="2:25" hidden="1" x14ac:dyDescent="0.25">
      <c r="B136">
        <v>39</v>
      </c>
      <c r="C136" t="str">
        <f t="shared" si="18"/>
        <v/>
      </c>
      <c r="D136" s="55" t="str">
        <f t="shared" si="19"/>
        <v/>
      </c>
      <c r="E136" s="55" t="str">
        <f t="shared" si="20"/>
        <v/>
      </c>
      <c r="F136" s="55" t="str">
        <f t="shared" si="21"/>
        <v/>
      </c>
      <c r="G136" s="55" t="str">
        <f t="shared" si="22"/>
        <v/>
      </c>
      <c r="H136" s="55" t="str">
        <f t="shared" si="23"/>
        <v/>
      </c>
      <c r="I136" s="55" t="str">
        <f t="shared" si="24"/>
        <v/>
      </c>
      <c r="J136" s="55" t="str">
        <f t="shared" si="25"/>
        <v/>
      </c>
      <c r="K136" s="55" t="str">
        <f t="shared" si="26"/>
        <v/>
      </c>
      <c r="M136">
        <v>39</v>
      </c>
      <c r="N136" t="str">
        <f t="shared" si="27"/>
        <v/>
      </c>
      <c r="O136" s="55" t="str">
        <f t="shared" si="14"/>
        <v/>
      </c>
      <c r="P136" s="55" t="str">
        <f t="shared" si="14"/>
        <v/>
      </c>
      <c r="Q136" s="55" t="str">
        <f t="shared" si="15"/>
        <v/>
      </c>
      <c r="R136" s="55" t="str">
        <f t="shared" si="15"/>
        <v/>
      </c>
      <c r="S136" s="55"/>
      <c r="T136" s="55"/>
      <c r="U136" s="55"/>
      <c r="V136" s="55" t="str">
        <f t="shared" si="16"/>
        <v/>
      </c>
      <c r="W136" s="55" t="str">
        <f t="shared" si="16"/>
        <v/>
      </c>
      <c r="X136" s="55" t="str">
        <f t="shared" si="17"/>
        <v/>
      </c>
      <c r="Y136" s="55" t="str">
        <f t="shared" si="17"/>
        <v/>
      </c>
    </row>
    <row r="137" spans="2:25" hidden="1" x14ac:dyDescent="0.25">
      <c r="B137">
        <v>40</v>
      </c>
      <c r="C137" t="str">
        <f t="shared" si="18"/>
        <v/>
      </c>
      <c r="D137" s="55" t="str">
        <f t="shared" si="19"/>
        <v/>
      </c>
      <c r="E137" s="55" t="str">
        <f t="shared" si="20"/>
        <v/>
      </c>
      <c r="F137" s="55" t="str">
        <f t="shared" si="21"/>
        <v/>
      </c>
      <c r="G137" s="55" t="str">
        <f t="shared" si="22"/>
        <v/>
      </c>
      <c r="H137" s="55" t="str">
        <f t="shared" si="23"/>
        <v/>
      </c>
      <c r="I137" s="55" t="str">
        <f t="shared" si="24"/>
        <v/>
      </c>
      <c r="J137" s="55" t="str">
        <f t="shared" si="25"/>
        <v/>
      </c>
      <c r="K137" s="55" t="str">
        <f t="shared" si="26"/>
        <v/>
      </c>
      <c r="M137">
        <v>40</v>
      </c>
      <c r="N137" t="str">
        <f t="shared" si="27"/>
        <v/>
      </c>
      <c r="O137" s="55" t="str">
        <f t="shared" si="14"/>
        <v/>
      </c>
      <c r="P137" s="55" t="str">
        <f t="shared" si="14"/>
        <v/>
      </c>
      <c r="Q137" s="55" t="str">
        <f t="shared" si="15"/>
        <v/>
      </c>
      <c r="R137" s="55" t="str">
        <f t="shared" si="15"/>
        <v/>
      </c>
      <c r="S137" s="55"/>
      <c r="T137" s="55"/>
      <c r="U137" s="55"/>
      <c r="V137" s="55" t="str">
        <f t="shared" si="16"/>
        <v/>
      </c>
      <c r="W137" s="55" t="str">
        <f t="shared" si="16"/>
        <v/>
      </c>
      <c r="X137" s="55" t="str">
        <f t="shared" si="17"/>
        <v/>
      </c>
      <c r="Y137" s="55" t="str">
        <f t="shared" si="17"/>
        <v/>
      </c>
    </row>
    <row r="138" spans="2:25" hidden="1" x14ac:dyDescent="0.25">
      <c r="B138">
        <v>41</v>
      </c>
      <c r="C138" t="str">
        <f t="shared" si="18"/>
        <v/>
      </c>
      <c r="D138" s="55" t="str">
        <f t="shared" si="19"/>
        <v/>
      </c>
      <c r="E138" s="55" t="str">
        <f t="shared" si="20"/>
        <v/>
      </c>
      <c r="F138" s="55" t="str">
        <f t="shared" si="21"/>
        <v/>
      </c>
      <c r="G138" s="55" t="str">
        <f t="shared" si="22"/>
        <v/>
      </c>
      <c r="H138" s="55" t="str">
        <f t="shared" si="23"/>
        <v/>
      </c>
      <c r="I138" s="55" t="str">
        <f t="shared" si="24"/>
        <v/>
      </c>
      <c r="J138" s="55" t="str">
        <f t="shared" si="25"/>
        <v/>
      </c>
      <c r="K138" s="55" t="str">
        <f t="shared" si="26"/>
        <v/>
      </c>
      <c r="M138">
        <v>41</v>
      </c>
      <c r="N138" t="str">
        <f t="shared" si="27"/>
        <v/>
      </c>
      <c r="O138" s="55" t="str">
        <f t="shared" ref="O138:P157" si="28">IF(ISNUMBER(O85),-ABS(O85),"")</f>
        <v/>
      </c>
      <c r="P138" s="55" t="str">
        <f t="shared" si="28"/>
        <v/>
      </c>
      <c r="Q138" s="55" t="str">
        <f t="shared" ref="Q138:R157" si="29">IF(ISNUMBER(Q85),ABS(Q85),"")</f>
        <v/>
      </c>
      <c r="R138" s="55" t="str">
        <f t="shared" si="29"/>
        <v/>
      </c>
      <c r="S138" s="55"/>
      <c r="T138" s="55"/>
      <c r="U138" s="55"/>
      <c r="V138" s="55" t="str">
        <f t="shared" ref="V138:W157" si="30">IF(ISNUMBER(V85),-ABS(V85),"")</f>
        <v/>
      </c>
      <c r="W138" s="55" t="str">
        <f t="shared" si="30"/>
        <v/>
      </c>
      <c r="X138" s="55" t="str">
        <f t="shared" ref="X138:Y157" si="31">IF(ISNUMBER(X85),ABS(X85),"")</f>
        <v/>
      </c>
      <c r="Y138" s="55" t="str">
        <f t="shared" si="31"/>
        <v/>
      </c>
    </row>
    <row r="139" spans="2:25" hidden="1" x14ac:dyDescent="0.25">
      <c r="B139">
        <v>42</v>
      </c>
      <c r="C139" t="str">
        <f t="shared" si="18"/>
        <v/>
      </c>
      <c r="D139" s="55" t="str">
        <f t="shared" si="19"/>
        <v/>
      </c>
      <c r="E139" s="55" t="str">
        <f t="shared" si="20"/>
        <v/>
      </c>
      <c r="F139" s="55" t="str">
        <f t="shared" si="21"/>
        <v/>
      </c>
      <c r="G139" s="55" t="str">
        <f t="shared" si="22"/>
        <v/>
      </c>
      <c r="H139" s="55" t="str">
        <f t="shared" si="23"/>
        <v/>
      </c>
      <c r="I139" s="55" t="str">
        <f t="shared" si="24"/>
        <v/>
      </c>
      <c r="J139" s="55" t="str">
        <f t="shared" si="25"/>
        <v/>
      </c>
      <c r="K139" s="55" t="str">
        <f t="shared" si="26"/>
        <v/>
      </c>
      <c r="M139">
        <v>42</v>
      </c>
      <c r="N139" t="str">
        <f t="shared" si="27"/>
        <v/>
      </c>
      <c r="O139" s="55" t="str">
        <f t="shared" si="28"/>
        <v/>
      </c>
      <c r="P139" s="55" t="str">
        <f t="shared" si="28"/>
        <v/>
      </c>
      <c r="Q139" s="55" t="str">
        <f t="shared" si="29"/>
        <v/>
      </c>
      <c r="R139" s="55" t="str">
        <f t="shared" si="29"/>
        <v/>
      </c>
      <c r="S139" s="55"/>
      <c r="T139" s="55"/>
      <c r="U139" s="55"/>
      <c r="V139" s="55" t="str">
        <f t="shared" si="30"/>
        <v/>
      </c>
      <c r="W139" s="55" t="str">
        <f t="shared" si="30"/>
        <v/>
      </c>
      <c r="X139" s="55" t="str">
        <f t="shared" si="31"/>
        <v/>
      </c>
      <c r="Y139" s="55" t="str">
        <f t="shared" si="31"/>
        <v/>
      </c>
    </row>
    <row r="140" spans="2:25" hidden="1" x14ac:dyDescent="0.25">
      <c r="B140">
        <v>43</v>
      </c>
      <c r="C140" t="str">
        <f t="shared" si="18"/>
        <v/>
      </c>
      <c r="D140" s="55" t="str">
        <f t="shared" si="19"/>
        <v/>
      </c>
      <c r="E140" s="55" t="str">
        <f t="shared" si="20"/>
        <v/>
      </c>
      <c r="F140" s="55" t="str">
        <f t="shared" si="21"/>
        <v/>
      </c>
      <c r="G140" s="55" t="str">
        <f t="shared" si="22"/>
        <v/>
      </c>
      <c r="H140" s="55" t="str">
        <f t="shared" si="23"/>
        <v/>
      </c>
      <c r="I140" s="55" t="str">
        <f t="shared" si="24"/>
        <v/>
      </c>
      <c r="J140" s="55" t="str">
        <f t="shared" si="25"/>
        <v/>
      </c>
      <c r="K140" s="55" t="str">
        <f t="shared" si="26"/>
        <v/>
      </c>
      <c r="M140">
        <v>43</v>
      </c>
      <c r="N140" t="str">
        <f t="shared" si="27"/>
        <v/>
      </c>
      <c r="O140" s="55" t="str">
        <f t="shared" si="28"/>
        <v/>
      </c>
      <c r="P140" s="55" t="str">
        <f t="shared" si="28"/>
        <v/>
      </c>
      <c r="Q140" s="55" t="str">
        <f t="shared" si="29"/>
        <v/>
      </c>
      <c r="R140" s="55" t="str">
        <f t="shared" si="29"/>
        <v/>
      </c>
      <c r="S140" s="55"/>
      <c r="T140" s="55"/>
      <c r="U140" s="55"/>
      <c r="V140" s="55" t="str">
        <f t="shared" si="30"/>
        <v/>
      </c>
      <c r="W140" s="55" t="str">
        <f t="shared" si="30"/>
        <v/>
      </c>
      <c r="X140" s="55" t="str">
        <f t="shared" si="31"/>
        <v/>
      </c>
      <c r="Y140" s="55" t="str">
        <f t="shared" si="31"/>
        <v/>
      </c>
    </row>
    <row r="141" spans="2:25" hidden="1" x14ac:dyDescent="0.25">
      <c r="B141">
        <v>44</v>
      </c>
      <c r="C141" t="str">
        <f t="shared" si="18"/>
        <v/>
      </c>
      <c r="D141" s="55" t="str">
        <f t="shared" si="19"/>
        <v/>
      </c>
      <c r="E141" s="55" t="str">
        <f t="shared" si="20"/>
        <v/>
      </c>
      <c r="F141" s="55" t="str">
        <f t="shared" si="21"/>
        <v/>
      </c>
      <c r="G141" s="55" t="str">
        <f t="shared" si="22"/>
        <v/>
      </c>
      <c r="H141" s="55" t="str">
        <f t="shared" si="23"/>
        <v/>
      </c>
      <c r="I141" s="55" t="str">
        <f t="shared" si="24"/>
        <v/>
      </c>
      <c r="J141" s="55" t="str">
        <f t="shared" si="25"/>
        <v/>
      </c>
      <c r="K141" s="55" t="str">
        <f t="shared" si="26"/>
        <v/>
      </c>
      <c r="M141">
        <v>44</v>
      </c>
      <c r="N141" t="str">
        <f t="shared" si="27"/>
        <v/>
      </c>
      <c r="O141" s="55" t="str">
        <f t="shared" si="28"/>
        <v/>
      </c>
      <c r="P141" s="55" t="str">
        <f t="shared" si="28"/>
        <v/>
      </c>
      <c r="Q141" s="55" t="str">
        <f t="shared" si="29"/>
        <v/>
      </c>
      <c r="R141" s="55" t="str">
        <f t="shared" si="29"/>
        <v/>
      </c>
      <c r="S141" s="55"/>
      <c r="T141" s="55"/>
      <c r="U141" s="55"/>
      <c r="V141" s="55" t="str">
        <f t="shared" si="30"/>
        <v/>
      </c>
      <c r="W141" s="55" t="str">
        <f t="shared" si="30"/>
        <v/>
      </c>
      <c r="X141" s="55" t="str">
        <f t="shared" si="31"/>
        <v/>
      </c>
      <c r="Y141" s="55" t="str">
        <f t="shared" si="31"/>
        <v/>
      </c>
    </row>
    <row r="142" spans="2:25" hidden="1" x14ac:dyDescent="0.25">
      <c r="B142">
        <v>45</v>
      </c>
      <c r="C142" t="str">
        <f t="shared" si="18"/>
        <v/>
      </c>
      <c r="D142" s="55" t="str">
        <f t="shared" si="19"/>
        <v/>
      </c>
      <c r="E142" s="55" t="str">
        <f t="shared" si="20"/>
        <v/>
      </c>
      <c r="F142" s="55" t="str">
        <f t="shared" si="21"/>
        <v/>
      </c>
      <c r="G142" s="55" t="str">
        <f t="shared" si="22"/>
        <v/>
      </c>
      <c r="H142" s="55" t="str">
        <f t="shared" si="23"/>
        <v/>
      </c>
      <c r="I142" s="55" t="str">
        <f t="shared" si="24"/>
        <v/>
      </c>
      <c r="J142" s="55" t="str">
        <f t="shared" si="25"/>
        <v/>
      </c>
      <c r="K142" s="55" t="str">
        <f t="shared" si="26"/>
        <v/>
      </c>
      <c r="M142">
        <v>45</v>
      </c>
      <c r="N142" t="str">
        <f t="shared" si="27"/>
        <v/>
      </c>
      <c r="O142" s="55" t="str">
        <f t="shared" si="28"/>
        <v/>
      </c>
      <c r="P142" s="55" t="str">
        <f t="shared" si="28"/>
        <v/>
      </c>
      <c r="Q142" s="55" t="str">
        <f t="shared" si="29"/>
        <v/>
      </c>
      <c r="R142" s="55" t="str">
        <f t="shared" si="29"/>
        <v/>
      </c>
      <c r="S142" s="55"/>
      <c r="T142" s="55"/>
      <c r="U142" s="55"/>
      <c r="V142" s="55" t="str">
        <f t="shared" si="30"/>
        <v/>
      </c>
      <c r="W142" s="55" t="str">
        <f t="shared" si="30"/>
        <v/>
      </c>
      <c r="X142" s="55" t="str">
        <f t="shared" si="31"/>
        <v/>
      </c>
      <c r="Y142" s="55" t="str">
        <f t="shared" si="31"/>
        <v/>
      </c>
    </row>
    <row r="143" spans="2:25" hidden="1" x14ac:dyDescent="0.25">
      <c r="B143">
        <v>46</v>
      </c>
      <c r="C143" t="str">
        <f t="shared" si="18"/>
        <v/>
      </c>
      <c r="D143" s="55" t="str">
        <f t="shared" si="19"/>
        <v/>
      </c>
      <c r="E143" s="55" t="str">
        <f t="shared" si="20"/>
        <v/>
      </c>
      <c r="F143" s="55" t="str">
        <f t="shared" si="21"/>
        <v/>
      </c>
      <c r="G143" s="55" t="str">
        <f t="shared" si="22"/>
        <v/>
      </c>
      <c r="H143" s="55" t="str">
        <f t="shared" si="23"/>
        <v/>
      </c>
      <c r="I143" s="55" t="str">
        <f t="shared" si="24"/>
        <v/>
      </c>
      <c r="J143" s="55" t="str">
        <f t="shared" si="25"/>
        <v/>
      </c>
      <c r="K143" s="55" t="str">
        <f t="shared" si="26"/>
        <v/>
      </c>
      <c r="M143">
        <v>46</v>
      </c>
      <c r="N143" t="str">
        <f t="shared" si="27"/>
        <v/>
      </c>
      <c r="O143" s="55" t="str">
        <f t="shared" si="28"/>
        <v/>
      </c>
      <c r="P143" s="55" t="str">
        <f t="shared" si="28"/>
        <v/>
      </c>
      <c r="Q143" s="55" t="str">
        <f t="shared" si="29"/>
        <v/>
      </c>
      <c r="R143" s="55" t="str">
        <f t="shared" si="29"/>
        <v/>
      </c>
      <c r="S143" s="55"/>
      <c r="T143" s="55"/>
      <c r="U143" s="55"/>
      <c r="V143" s="55" t="str">
        <f t="shared" si="30"/>
        <v/>
      </c>
      <c r="W143" s="55" t="str">
        <f t="shared" si="30"/>
        <v/>
      </c>
      <c r="X143" s="55" t="str">
        <f t="shared" si="31"/>
        <v/>
      </c>
      <c r="Y143" s="55" t="str">
        <f t="shared" si="31"/>
        <v/>
      </c>
    </row>
    <row r="144" spans="2:25" hidden="1" x14ac:dyDescent="0.25">
      <c r="B144">
        <v>47</v>
      </c>
      <c r="C144" t="str">
        <f t="shared" si="18"/>
        <v/>
      </c>
      <c r="D144" s="55" t="str">
        <f t="shared" si="19"/>
        <v/>
      </c>
      <c r="E144" s="55" t="str">
        <f t="shared" si="20"/>
        <v/>
      </c>
      <c r="F144" s="55" t="str">
        <f t="shared" si="21"/>
        <v/>
      </c>
      <c r="G144" s="55" t="str">
        <f t="shared" si="22"/>
        <v/>
      </c>
      <c r="H144" s="55" t="str">
        <f t="shared" si="23"/>
        <v/>
      </c>
      <c r="I144" s="55" t="str">
        <f t="shared" si="24"/>
        <v/>
      </c>
      <c r="J144" s="55" t="str">
        <f t="shared" si="25"/>
        <v/>
      </c>
      <c r="K144" s="55" t="str">
        <f t="shared" si="26"/>
        <v/>
      </c>
      <c r="M144">
        <v>47</v>
      </c>
      <c r="N144" t="str">
        <f t="shared" si="27"/>
        <v/>
      </c>
      <c r="O144" s="55" t="str">
        <f t="shared" si="28"/>
        <v/>
      </c>
      <c r="P144" s="55" t="str">
        <f t="shared" si="28"/>
        <v/>
      </c>
      <c r="Q144" s="55" t="str">
        <f t="shared" si="29"/>
        <v/>
      </c>
      <c r="R144" s="55" t="str">
        <f t="shared" si="29"/>
        <v/>
      </c>
      <c r="S144" s="55"/>
      <c r="T144" s="55"/>
      <c r="U144" s="55"/>
      <c r="V144" s="55" t="str">
        <f t="shared" si="30"/>
        <v/>
      </c>
      <c r="W144" s="55" t="str">
        <f t="shared" si="30"/>
        <v/>
      </c>
      <c r="X144" s="55" t="str">
        <f t="shared" si="31"/>
        <v/>
      </c>
      <c r="Y144" s="55" t="str">
        <f t="shared" si="31"/>
        <v/>
      </c>
    </row>
    <row r="145" spans="2:25" hidden="1" x14ac:dyDescent="0.25">
      <c r="B145">
        <v>48</v>
      </c>
      <c r="C145" t="str">
        <f t="shared" si="18"/>
        <v/>
      </c>
      <c r="D145" s="55" t="str">
        <f t="shared" si="19"/>
        <v/>
      </c>
      <c r="E145" s="55" t="str">
        <f t="shared" si="20"/>
        <v/>
      </c>
      <c r="F145" s="55" t="str">
        <f t="shared" si="21"/>
        <v/>
      </c>
      <c r="G145" s="55" t="str">
        <f t="shared" si="22"/>
        <v/>
      </c>
      <c r="H145" s="55" t="str">
        <f t="shared" si="23"/>
        <v/>
      </c>
      <c r="I145" s="55" t="str">
        <f t="shared" si="24"/>
        <v/>
      </c>
      <c r="J145" s="55" t="str">
        <f t="shared" si="25"/>
        <v/>
      </c>
      <c r="K145" s="55" t="str">
        <f t="shared" si="26"/>
        <v/>
      </c>
      <c r="M145">
        <v>48</v>
      </c>
      <c r="N145" t="str">
        <f t="shared" si="27"/>
        <v/>
      </c>
      <c r="O145" s="55" t="str">
        <f t="shared" si="28"/>
        <v/>
      </c>
      <c r="P145" s="55" t="str">
        <f t="shared" si="28"/>
        <v/>
      </c>
      <c r="Q145" s="55" t="str">
        <f t="shared" si="29"/>
        <v/>
      </c>
      <c r="R145" s="55" t="str">
        <f t="shared" si="29"/>
        <v/>
      </c>
      <c r="S145" s="55"/>
      <c r="T145" s="55"/>
      <c r="U145" s="55"/>
      <c r="V145" s="55" t="str">
        <f t="shared" si="30"/>
        <v/>
      </c>
      <c r="W145" s="55" t="str">
        <f t="shared" si="30"/>
        <v/>
      </c>
      <c r="X145" s="55" t="str">
        <f t="shared" si="31"/>
        <v/>
      </c>
      <c r="Y145" s="55" t="str">
        <f t="shared" si="31"/>
        <v/>
      </c>
    </row>
    <row r="146" spans="2:25" hidden="1" x14ac:dyDescent="0.25">
      <c r="B146">
        <v>49</v>
      </c>
      <c r="C146" t="str">
        <f t="shared" si="18"/>
        <v/>
      </c>
      <c r="D146" s="55" t="str">
        <f t="shared" si="19"/>
        <v/>
      </c>
      <c r="E146" s="55" t="str">
        <f t="shared" si="20"/>
        <v/>
      </c>
      <c r="F146" s="55" t="str">
        <f t="shared" si="21"/>
        <v/>
      </c>
      <c r="G146" s="55" t="str">
        <f t="shared" si="22"/>
        <v/>
      </c>
      <c r="H146" s="55" t="str">
        <f t="shared" si="23"/>
        <v/>
      </c>
      <c r="I146" s="55" t="str">
        <f t="shared" si="24"/>
        <v/>
      </c>
      <c r="J146" s="55" t="str">
        <f t="shared" si="25"/>
        <v/>
      </c>
      <c r="K146" s="55" t="str">
        <f t="shared" si="26"/>
        <v/>
      </c>
      <c r="M146">
        <v>49</v>
      </c>
      <c r="N146" t="str">
        <f t="shared" si="27"/>
        <v/>
      </c>
      <c r="O146" s="55" t="str">
        <f t="shared" si="28"/>
        <v/>
      </c>
      <c r="P146" s="55" t="str">
        <f t="shared" si="28"/>
        <v/>
      </c>
      <c r="Q146" s="55" t="str">
        <f t="shared" si="29"/>
        <v/>
      </c>
      <c r="R146" s="55" t="str">
        <f t="shared" si="29"/>
        <v/>
      </c>
      <c r="S146" s="55"/>
      <c r="T146" s="55"/>
      <c r="U146" s="55"/>
      <c r="V146" s="55" t="str">
        <f t="shared" si="30"/>
        <v/>
      </c>
      <c r="W146" s="55" t="str">
        <f t="shared" si="30"/>
        <v/>
      </c>
      <c r="X146" s="55" t="str">
        <f t="shared" si="31"/>
        <v/>
      </c>
      <c r="Y146" s="55" t="str">
        <f t="shared" si="31"/>
        <v/>
      </c>
    </row>
    <row r="147" spans="2:25" hidden="1" x14ac:dyDescent="0.25">
      <c r="B147">
        <v>50</v>
      </c>
      <c r="C147" t="str">
        <f t="shared" si="18"/>
        <v/>
      </c>
      <c r="D147" s="55" t="str">
        <f t="shared" si="19"/>
        <v/>
      </c>
      <c r="E147" s="55" t="str">
        <f t="shared" si="20"/>
        <v/>
      </c>
      <c r="F147" s="55" t="str">
        <f t="shared" si="21"/>
        <v/>
      </c>
      <c r="G147" s="55" t="str">
        <f t="shared" si="22"/>
        <v/>
      </c>
      <c r="H147" s="55" t="str">
        <f t="shared" si="23"/>
        <v/>
      </c>
      <c r="I147" s="55" t="str">
        <f t="shared" si="24"/>
        <v/>
      </c>
      <c r="J147" s="55" t="str">
        <f t="shared" si="25"/>
        <v/>
      </c>
      <c r="K147" s="55" t="str">
        <f t="shared" si="26"/>
        <v/>
      </c>
      <c r="M147">
        <v>50</v>
      </c>
      <c r="N147" t="str">
        <f t="shared" si="27"/>
        <v/>
      </c>
      <c r="O147" s="55" t="str">
        <f t="shared" si="28"/>
        <v/>
      </c>
      <c r="P147" s="55" t="str">
        <f t="shared" si="28"/>
        <v/>
      </c>
      <c r="Q147" s="55" t="str">
        <f t="shared" si="29"/>
        <v/>
      </c>
      <c r="R147" s="55" t="str">
        <f t="shared" si="29"/>
        <v/>
      </c>
      <c r="S147" s="55"/>
      <c r="T147" s="55"/>
      <c r="U147" s="55"/>
      <c r="V147" s="55" t="str">
        <f t="shared" si="30"/>
        <v/>
      </c>
      <c r="W147" s="55" t="str">
        <f t="shared" si="30"/>
        <v/>
      </c>
      <c r="X147" s="55" t="str">
        <f t="shared" si="31"/>
        <v/>
      </c>
      <c r="Y147" s="55" t="str">
        <f t="shared" si="31"/>
        <v/>
      </c>
    </row>
    <row r="148" spans="2:25" hidden="1" x14ac:dyDescent="0.25">
      <c r="B148">
        <v>51</v>
      </c>
      <c r="C148" t="str">
        <f t="shared" si="18"/>
        <v/>
      </c>
      <c r="D148" s="55" t="str">
        <f t="shared" si="19"/>
        <v/>
      </c>
      <c r="E148" s="55" t="str">
        <f t="shared" si="20"/>
        <v/>
      </c>
      <c r="F148" s="55" t="str">
        <f t="shared" si="21"/>
        <v/>
      </c>
      <c r="G148" s="55" t="str">
        <f t="shared" si="22"/>
        <v/>
      </c>
      <c r="H148" s="55" t="str">
        <f t="shared" si="23"/>
        <v/>
      </c>
      <c r="I148" s="55" t="str">
        <f t="shared" si="24"/>
        <v/>
      </c>
      <c r="J148" s="55" t="str">
        <f t="shared" si="25"/>
        <v/>
      </c>
      <c r="K148" s="55" t="str">
        <f t="shared" si="26"/>
        <v/>
      </c>
      <c r="M148">
        <v>51</v>
      </c>
      <c r="N148" t="str">
        <f t="shared" si="27"/>
        <v/>
      </c>
      <c r="O148" s="55" t="str">
        <f t="shared" si="28"/>
        <v/>
      </c>
      <c r="P148" s="55" t="str">
        <f t="shared" si="28"/>
        <v/>
      </c>
      <c r="Q148" s="55" t="str">
        <f t="shared" si="29"/>
        <v/>
      </c>
      <c r="R148" s="55" t="str">
        <f t="shared" si="29"/>
        <v/>
      </c>
      <c r="S148" s="55"/>
      <c r="T148" s="55"/>
      <c r="U148" s="55"/>
      <c r="V148" s="55" t="str">
        <f t="shared" si="30"/>
        <v/>
      </c>
      <c r="W148" s="55" t="str">
        <f t="shared" si="30"/>
        <v/>
      </c>
      <c r="X148" s="55" t="str">
        <f t="shared" si="31"/>
        <v/>
      </c>
      <c r="Y148" s="55" t="str">
        <f t="shared" si="31"/>
        <v/>
      </c>
    </row>
    <row r="149" spans="2:25" hidden="1" x14ac:dyDescent="0.25">
      <c r="B149">
        <v>52</v>
      </c>
      <c r="C149" t="str">
        <f t="shared" si="18"/>
        <v/>
      </c>
      <c r="D149" s="55" t="str">
        <f t="shared" si="19"/>
        <v/>
      </c>
      <c r="E149" s="55" t="str">
        <f t="shared" si="20"/>
        <v/>
      </c>
      <c r="F149" s="55" t="str">
        <f t="shared" si="21"/>
        <v/>
      </c>
      <c r="G149" s="55" t="str">
        <f t="shared" si="22"/>
        <v/>
      </c>
      <c r="H149" s="55" t="str">
        <f t="shared" si="23"/>
        <v/>
      </c>
      <c r="I149" s="55" t="str">
        <f t="shared" si="24"/>
        <v/>
      </c>
      <c r="J149" s="55" t="str">
        <f t="shared" si="25"/>
        <v/>
      </c>
      <c r="K149" s="55" t="str">
        <f t="shared" si="26"/>
        <v/>
      </c>
      <c r="M149">
        <v>52</v>
      </c>
      <c r="N149" t="str">
        <f t="shared" si="27"/>
        <v/>
      </c>
      <c r="O149" s="55" t="str">
        <f t="shared" si="28"/>
        <v/>
      </c>
      <c r="P149" s="55" t="str">
        <f t="shared" si="28"/>
        <v/>
      </c>
      <c r="Q149" s="55" t="str">
        <f t="shared" si="29"/>
        <v/>
      </c>
      <c r="R149" s="55" t="str">
        <f t="shared" si="29"/>
        <v/>
      </c>
      <c r="S149" s="55"/>
      <c r="T149" s="55"/>
      <c r="U149" s="55"/>
      <c r="V149" s="55" t="str">
        <f t="shared" si="30"/>
        <v/>
      </c>
      <c r="W149" s="55" t="str">
        <f t="shared" si="30"/>
        <v/>
      </c>
      <c r="X149" s="55" t="str">
        <f t="shared" si="31"/>
        <v/>
      </c>
      <c r="Y149" s="55" t="str">
        <f t="shared" si="31"/>
        <v/>
      </c>
    </row>
    <row r="150" spans="2:25" hidden="1" x14ac:dyDescent="0.25">
      <c r="B150">
        <v>53</v>
      </c>
      <c r="C150" t="str">
        <f t="shared" si="18"/>
        <v/>
      </c>
      <c r="D150" s="55" t="str">
        <f t="shared" ref="D150:E169" si="32">IF(ISNUMBER(D98),-ABS(D98),"")</f>
        <v/>
      </c>
      <c r="E150" s="55" t="str">
        <f t="shared" si="32"/>
        <v/>
      </c>
      <c r="F150" s="55" t="str">
        <f t="shared" ref="F150:G169" si="33">IF(ISNUMBER(F98),ABS(F98),"")</f>
        <v/>
      </c>
      <c r="G150" s="55" t="str">
        <f t="shared" si="33"/>
        <v/>
      </c>
      <c r="H150" s="55" t="str">
        <f t="shared" ref="H150:I169" si="34">IF(ISNUMBER(H98),-ABS(H98),"")</f>
        <v/>
      </c>
      <c r="I150" s="55" t="str">
        <f t="shared" si="34"/>
        <v/>
      </c>
      <c r="J150" s="55" t="str">
        <f t="shared" ref="J150:K169" si="35">IF(ISNUMBER(J98),ABS(J98),"")</f>
        <v/>
      </c>
      <c r="K150" s="55" t="str">
        <f t="shared" si="35"/>
        <v/>
      </c>
      <c r="M150">
        <v>53</v>
      </c>
      <c r="N150" t="str">
        <f t="shared" si="27"/>
        <v/>
      </c>
      <c r="O150" s="55" t="str">
        <f t="shared" si="28"/>
        <v/>
      </c>
      <c r="P150" s="55" t="str">
        <f t="shared" si="28"/>
        <v/>
      </c>
      <c r="Q150" s="55" t="str">
        <f t="shared" si="29"/>
        <v/>
      </c>
      <c r="R150" s="55" t="str">
        <f t="shared" si="29"/>
        <v/>
      </c>
      <c r="S150" s="55"/>
      <c r="T150" s="55"/>
      <c r="U150" s="55"/>
      <c r="V150" s="55" t="str">
        <f t="shared" si="30"/>
        <v/>
      </c>
      <c r="W150" s="55" t="str">
        <f t="shared" si="30"/>
        <v/>
      </c>
      <c r="X150" s="55" t="str">
        <f t="shared" si="31"/>
        <v/>
      </c>
      <c r="Y150" s="55" t="str">
        <f t="shared" si="31"/>
        <v/>
      </c>
    </row>
    <row r="151" spans="2:25" hidden="1" x14ac:dyDescent="0.25">
      <c r="B151">
        <v>54</v>
      </c>
      <c r="C151" t="str">
        <f t="shared" si="18"/>
        <v/>
      </c>
      <c r="D151" s="55" t="str">
        <f t="shared" si="32"/>
        <v/>
      </c>
      <c r="E151" s="55" t="str">
        <f t="shared" si="32"/>
        <v/>
      </c>
      <c r="F151" s="55" t="str">
        <f t="shared" si="33"/>
        <v/>
      </c>
      <c r="G151" s="55" t="str">
        <f t="shared" si="33"/>
        <v/>
      </c>
      <c r="H151" s="55" t="str">
        <f t="shared" si="34"/>
        <v/>
      </c>
      <c r="I151" s="55" t="str">
        <f t="shared" si="34"/>
        <v/>
      </c>
      <c r="J151" s="55" t="str">
        <f t="shared" si="35"/>
        <v/>
      </c>
      <c r="K151" s="55" t="str">
        <f t="shared" si="35"/>
        <v/>
      </c>
      <c r="M151">
        <v>54</v>
      </c>
      <c r="N151" t="str">
        <f t="shared" si="27"/>
        <v/>
      </c>
      <c r="O151" s="55" t="str">
        <f t="shared" si="28"/>
        <v/>
      </c>
      <c r="P151" s="55" t="str">
        <f t="shared" si="28"/>
        <v/>
      </c>
      <c r="Q151" s="55" t="str">
        <f t="shared" si="29"/>
        <v/>
      </c>
      <c r="R151" s="55" t="str">
        <f t="shared" si="29"/>
        <v/>
      </c>
      <c r="S151" s="55"/>
      <c r="T151" s="55"/>
      <c r="U151" s="55"/>
      <c r="V151" s="55" t="str">
        <f t="shared" si="30"/>
        <v/>
      </c>
      <c r="W151" s="55" t="str">
        <f t="shared" si="30"/>
        <v/>
      </c>
      <c r="X151" s="55" t="str">
        <f t="shared" si="31"/>
        <v/>
      </c>
      <c r="Y151" s="55" t="str">
        <f t="shared" si="31"/>
        <v/>
      </c>
    </row>
    <row r="152" spans="2:25" hidden="1" x14ac:dyDescent="0.25">
      <c r="B152">
        <v>55</v>
      </c>
      <c r="C152" t="str">
        <f t="shared" si="18"/>
        <v/>
      </c>
      <c r="D152" s="55" t="str">
        <f t="shared" si="32"/>
        <v/>
      </c>
      <c r="E152" s="55" t="str">
        <f t="shared" si="32"/>
        <v/>
      </c>
      <c r="F152" s="55" t="str">
        <f t="shared" si="33"/>
        <v/>
      </c>
      <c r="G152" s="55" t="str">
        <f t="shared" si="33"/>
        <v/>
      </c>
      <c r="H152" s="55" t="str">
        <f t="shared" si="34"/>
        <v/>
      </c>
      <c r="I152" s="55" t="str">
        <f t="shared" si="34"/>
        <v/>
      </c>
      <c r="J152" s="55" t="str">
        <f t="shared" si="35"/>
        <v/>
      </c>
      <c r="K152" s="55" t="str">
        <f t="shared" si="35"/>
        <v/>
      </c>
      <c r="M152">
        <v>55</v>
      </c>
      <c r="N152" t="str">
        <f t="shared" si="27"/>
        <v/>
      </c>
      <c r="O152" s="55" t="str">
        <f t="shared" si="28"/>
        <v/>
      </c>
      <c r="P152" s="55" t="str">
        <f t="shared" si="28"/>
        <v/>
      </c>
      <c r="Q152" s="55" t="str">
        <f t="shared" si="29"/>
        <v/>
      </c>
      <c r="R152" s="55" t="str">
        <f t="shared" si="29"/>
        <v/>
      </c>
      <c r="S152" s="55"/>
      <c r="T152" s="55"/>
      <c r="U152" s="55"/>
      <c r="V152" s="55" t="str">
        <f t="shared" si="30"/>
        <v/>
      </c>
      <c r="W152" s="55" t="str">
        <f t="shared" si="30"/>
        <v/>
      </c>
      <c r="X152" s="55" t="str">
        <f t="shared" si="31"/>
        <v/>
      </c>
      <c r="Y152" s="55" t="str">
        <f t="shared" si="31"/>
        <v/>
      </c>
    </row>
    <row r="153" spans="2:25" hidden="1" x14ac:dyDescent="0.25">
      <c r="B153">
        <v>56</v>
      </c>
      <c r="C153" t="str">
        <f t="shared" si="18"/>
        <v/>
      </c>
      <c r="D153" s="55" t="str">
        <f t="shared" si="32"/>
        <v/>
      </c>
      <c r="E153" s="55" t="str">
        <f t="shared" si="32"/>
        <v/>
      </c>
      <c r="F153" s="55" t="str">
        <f t="shared" si="33"/>
        <v/>
      </c>
      <c r="G153" s="55" t="str">
        <f t="shared" si="33"/>
        <v/>
      </c>
      <c r="H153" s="55" t="str">
        <f t="shared" si="34"/>
        <v/>
      </c>
      <c r="I153" s="55" t="str">
        <f t="shared" si="34"/>
        <v/>
      </c>
      <c r="J153" s="55" t="str">
        <f t="shared" si="35"/>
        <v/>
      </c>
      <c r="K153" s="55" t="str">
        <f t="shared" si="35"/>
        <v/>
      </c>
      <c r="M153">
        <v>56</v>
      </c>
      <c r="N153" t="str">
        <f t="shared" si="27"/>
        <v/>
      </c>
      <c r="O153" s="55" t="str">
        <f t="shared" si="28"/>
        <v/>
      </c>
      <c r="P153" s="55" t="str">
        <f t="shared" si="28"/>
        <v/>
      </c>
      <c r="Q153" s="55" t="str">
        <f t="shared" si="29"/>
        <v/>
      </c>
      <c r="R153" s="55" t="str">
        <f t="shared" si="29"/>
        <v/>
      </c>
      <c r="S153" s="55"/>
      <c r="T153" s="55"/>
      <c r="U153" s="55"/>
      <c r="V153" s="55" t="str">
        <f t="shared" si="30"/>
        <v/>
      </c>
      <c r="W153" s="55" t="str">
        <f t="shared" si="30"/>
        <v/>
      </c>
      <c r="X153" s="55" t="str">
        <f t="shared" si="31"/>
        <v/>
      </c>
      <c r="Y153" s="55" t="str">
        <f t="shared" si="31"/>
        <v/>
      </c>
    </row>
    <row r="154" spans="2:25" hidden="1" x14ac:dyDescent="0.25">
      <c r="B154">
        <v>57</v>
      </c>
      <c r="C154" t="str">
        <f t="shared" si="18"/>
        <v/>
      </c>
      <c r="D154" s="55" t="str">
        <f t="shared" si="32"/>
        <v/>
      </c>
      <c r="E154" s="55" t="str">
        <f t="shared" si="32"/>
        <v/>
      </c>
      <c r="F154" s="55" t="str">
        <f t="shared" si="33"/>
        <v/>
      </c>
      <c r="G154" s="55" t="str">
        <f t="shared" si="33"/>
        <v/>
      </c>
      <c r="H154" s="55" t="str">
        <f t="shared" si="34"/>
        <v/>
      </c>
      <c r="I154" s="55" t="str">
        <f t="shared" si="34"/>
        <v/>
      </c>
      <c r="J154" s="55" t="str">
        <f t="shared" si="35"/>
        <v/>
      </c>
      <c r="K154" s="55" t="str">
        <f t="shared" si="35"/>
        <v/>
      </c>
      <c r="M154">
        <v>57</v>
      </c>
      <c r="N154" t="str">
        <f t="shared" si="27"/>
        <v/>
      </c>
      <c r="O154" s="55" t="str">
        <f t="shared" si="28"/>
        <v/>
      </c>
      <c r="P154" s="55" t="str">
        <f t="shared" si="28"/>
        <v/>
      </c>
      <c r="Q154" s="55" t="str">
        <f t="shared" si="29"/>
        <v/>
      </c>
      <c r="R154" s="55" t="str">
        <f t="shared" si="29"/>
        <v/>
      </c>
      <c r="S154" s="55"/>
      <c r="T154" s="55"/>
      <c r="U154" s="55"/>
      <c r="V154" s="55" t="str">
        <f t="shared" si="30"/>
        <v/>
      </c>
      <c r="W154" s="55" t="str">
        <f t="shared" si="30"/>
        <v/>
      </c>
      <c r="X154" s="55" t="str">
        <f t="shared" si="31"/>
        <v/>
      </c>
      <c r="Y154" s="55" t="str">
        <f t="shared" si="31"/>
        <v/>
      </c>
    </row>
    <row r="155" spans="2:25" hidden="1" x14ac:dyDescent="0.25">
      <c r="B155">
        <v>58</v>
      </c>
      <c r="C155" t="str">
        <f t="shared" si="18"/>
        <v/>
      </c>
      <c r="D155" s="55" t="str">
        <f t="shared" si="32"/>
        <v/>
      </c>
      <c r="E155" s="55" t="str">
        <f t="shared" si="32"/>
        <v/>
      </c>
      <c r="F155" s="55" t="str">
        <f t="shared" si="33"/>
        <v/>
      </c>
      <c r="G155" s="55" t="str">
        <f t="shared" si="33"/>
        <v/>
      </c>
      <c r="H155" s="55" t="str">
        <f t="shared" si="34"/>
        <v/>
      </c>
      <c r="I155" s="55" t="str">
        <f t="shared" si="34"/>
        <v/>
      </c>
      <c r="J155" s="55" t="str">
        <f t="shared" si="35"/>
        <v/>
      </c>
      <c r="K155" s="55" t="str">
        <f t="shared" si="35"/>
        <v/>
      </c>
      <c r="M155">
        <v>58</v>
      </c>
      <c r="N155" t="str">
        <f t="shared" si="27"/>
        <v/>
      </c>
      <c r="O155" s="55" t="str">
        <f t="shared" si="28"/>
        <v/>
      </c>
      <c r="P155" s="55" t="str">
        <f t="shared" si="28"/>
        <v/>
      </c>
      <c r="Q155" s="55" t="str">
        <f t="shared" si="29"/>
        <v/>
      </c>
      <c r="R155" s="55" t="str">
        <f t="shared" si="29"/>
        <v/>
      </c>
      <c r="S155" s="55"/>
      <c r="T155" s="55"/>
      <c r="U155" s="55"/>
      <c r="V155" s="55" t="str">
        <f t="shared" si="30"/>
        <v/>
      </c>
      <c r="W155" s="55" t="str">
        <f t="shared" si="30"/>
        <v/>
      </c>
      <c r="X155" s="55" t="str">
        <f t="shared" si="31"/>
        <v/>
      </c>
      <c r="Y155" s="55" t="str">
        <f t="shared" si="31"/>
        <v/>
      </c>
    </row>
    <row r="156" spans="2:25" hidden="1" x14ac:dyDescent="0.25">
      <c r="B156">
        <v>59</v>
      </c>
      <c r="C156" t="str">
        <f t="shared" si="18"/>
        <v/>
      </c>
      <c r="D156" s="55" t="str">
        <f t="shared" si="32"/>
        <v/>
      </c>
      <c r="E156" s="55" t="str">
        <f t="shared" si="32"/>
        <v/>
      </c>
      <c r="F156" s="55" t="str">
        <f t="shared" si="33"/>
        <v/>
      </c>
      <c r="G156" s="55" t="str">
        <f t="shared" si="33"/>
        <v/>
      </c>
      <c r="H156" s="55" t="str">
        <f t="shared" si="34"/>
        <v/>
      </c>
      <c r="I156" s="55" t="str">
        <f t="shared" si="34"/>
        <v/>
      </c>
      <c r="J156" s="55" t="str">
        <f t="shared" si="35"/>
        <v/>
      </c>
      <c r="K156" s="55" t="str">
        <f t="shared" si="35"/>
        <v/>
      </c>
      <c r="M156">
        <v>59</v>
      </c>
      <c r="N156" t="str">
        <f t="shared" si="27"/>
        <v/>
      </c>
      <c r="O156" s="55" t="str">
        <f t="shared" si="28"/>
        <v/>
      </c>
      <c r="P156" s="55" t="str">
        <f t="shared" si="28"/>
        <v/>
      </c>
      <c r="Q156" s="55" t="str">
        <f t="shared" si="29"/>
        <v/>
      </c>
      <c r="R156" s="55" t="str">
        <f t="shared" si="29"/>
        <v/>
      </c>
      <c r="S156" s="55"/>
      <c r="T156" s="55"/>
      <c r="U156" s="55"/>
      <c r="V156" s="55" t="str">
        <f t="shared" si="30"/>
        <v/>
      </c>
      <c r="W156" s="55" t="str">
        <f t="shared" si="30"/>
        <v/>
      </c>
      <c r="X156" s="55" t="str">
        <f t="shared" si="31"/>
        <v/>
      </c>
      <c r="Y156" s="55" t="str">
        <f t="shared" si="31"/>
        <v/>
      </c>
    </row>
    <row r="157" spans="2:25" hidden="1" x14ac:dyDescent="0.25">
      <c r="B157">
        <v>60</v>
      </c>
      <c r="C157" t="str">
        <f t="shared" si="18"/>
        <v/>
      </c>
      <c r="D157" s="55" t="str">
        <f t="shared" si="32"/>
        <v/>
      </c>
      <c r="E157" s="55" t="str">
        <f t="shared" si="32"/>
        <v/>
      </c>
      <c r="F157" s="55" t="str">
        <f t="shared" si="33"/>
        <v/>
      </c>
      <c r="G157" s="55" t="str">
        <f t="shared" si="33"/>
        <v/>
      </c>
      <c r="H157" s="55" t="str">
        <f t="shared" si="34"/>
        <v/>
      </c>
      <c r="I157" s="55" t="str">
        <f t="shared" si="34"/>
        <v/>
      </c>
      <c r="J157" s="55" t="str">
        <f t="shared" si="35"/>
        <v/>
      </c>
      <c r="K157" s="55" t="str">
        <f t="shared" si="35"/>
        <v/>
      </c>
      <c r="M157">
        <v>60</v>
      </c>
      <c r="N157" t="str">
        <f t="shared" si="27"/>
        <v/>
      </c>
      <c r="O157" s="55" t="str">
        <f t="shared" si="28"/>
        <v/>
      </c>
      <c r="P157" s="55" t="str">
        <f t="shared" si="28"/>
        <v/>
      </c>
      <c r="Q157" s="55" t="str">
        <f t="shared" si="29"/>
        <v/>
      </c>
      <c r="R157" s="55" t="str">
        <f t="shared" si="29"/>
        <v/>
      </c>
      <c r="S157" s="55"/>
      <c r="T157" s="55"/>
      <c r="U157" s="55"/>
      <c r="V157" s="55" t="str">
        <f t="shared" si="30"/>
        <v/>
      </c>
      <c r="W157" s="55" t="str">
        <f t="shared" si="30"/>
        <v/>
      </c>
      <c r="X157" s="55" t="str">
        <f t="shared" si="31"/>
        <v/>
      </c>
      <c r="Y157" s="55" t="str">
        <f t="shared" si="31"/>
        <v/>
      </c>
    </row>
    <row r="158" spans="2:25" hidden="1" x14ac:dyDescent="0.25">
      <c r="B158">
        <v>61</v>
      </c>
      <c r="C158" t="str">
        <f t="shared" si="18"/>
        <v/>
      </c>
      <c r="D158" s="55" t="str">
        <f t="shared" si="32"/>
        <v/>
      </c>
      <c r="E158" s="55" t="str">
        <f t="shared" si="32"/>
        <v/>
      </c>
      <c r="F158" s="55" t="str">
        <f t="shared" si="33"/>
        <v/>
      </c>
      <c r="G158" s="55" t="str">
        <f t="shared" si="33"/>
        <v/>
      </c>
      <c r="H158" s="55" t="str">
        <f t="shared" si="34"/>
        <v/>
      </c>
      <c r="I158" s="55" t="str">
        <f t="shared" si="34"/>
        <v/>
      </c>
      <c r="J158" s="55" t="str">
        <f t="shared" si="35"/>
        <v/>
      </c>
      <c r="K158" s="55" t="str">
        <f t="shared" si="35"/>
        <v/>
      </c>
      <c r="M158">
        <v>61</v>
      </c>
      <c r="N158" t="str">
        <f t="shared" si="27"/>
        <v/>
      </c>
      <c r="O158" s="55" t="str">
        <f t="shared" ref="O158:P177" si="36">IF(ISNUMBER(O105),-ABS(O105),"")</f>
        <v/>
      </c>
      <c r="P158" s="55" t="str">
        <f t="shared" si="36"/>
        <v/>
      </c>
      <c r="Q158" s="55" t="str">
        <f t="shared" ref="Q158:R177" si="37">IF(ISNUMBER(Q105),ABS(Q105),"")</f>
        <v/>
      </c>
      <c r="R158" s="55" t="str">
        <f t="shared" si="37"/>
        <v/>
      </c>
      <c r="S158" s="55"/>
      <c r="T158" s="55"/>
      <c r="U158" s="55"/>
      <c r="V158" s="55" t="str">
        <f t="shared" ref="V158:W177" si="38">IF(ISNUMBER(V105),-ABS(V105),"")</f>
        <v/>
      </c>
      <c r="W158" s="55" t="str">
        <f t="shared" si="38"/>
        <v/>
      </c>
      <c r="X158" s="55" t="str">
        <f t="shared" ref="X158:Y177" si="39">IF(ISNUMBER(X105),ABS(X105),"")</f>
        <v/>
      </c>
      <c r="Y158" s="55" t="str">
        <f t="shared" si="39"/>
        <v/>
      </c>
    </row>
    <row r="159" spans="2:25" hidden="1" x14ac:dyDescent="0.25">
      <c r="B159">
        <v>62</v>
      </c>
      <c r="C159" t="str">
        <f t="shared" si="18"/>
        <v/>
      </c>
      <c r="D159" s="55" t="str">
        <f t="shared" si="32"/>
        <v/>
      </c>
      <c r="E159" s="55" t="str">
        <f t="shared" si="32"/>
        <v/>
      </c>
      <c r="F159" s="55" t="str">
        <f t="shared" si="33"/>
        <v/>
      </c>
      <c r="G159" s="55" t="str">
        <f t="shared" si="33"/>
        <v/>
      </c>
      <c r="H159" s="55" t="str">
        <f t="shared" si="34"/>
        <v/>
      </c>
      <c r="I159" s="55" t="str">
        <f t="shared" si="34"/>
        <v/>
      </c>
      <c r="J159" s="55" t="str">
        <f t="shared" si="35"/>
        <v/>
      </c>
      <c r="K159" s="55" t="str">
        <f t="shared" si="35"/>
        <v/>
      </c>
      <c r="M159">
        <v>62</v>
      </c>
      <c r="N159" t="str">
        <f t="shared" si="27"/>
        <v/>
      </c>
      <c r="O159" s="55" t="str">
        <f t="shared" si="36"/>
        <v/>
      </c>
      <c r="P159" s="55" t="str">
        <f t="shared" si="36"/>
        <v/>
      </c>
      <c r="Q159" s="55" t="str">
        <f t="shared" si="37"/>
        <v/>
      </c>
      <c r="R159" s="55" t="str">
        <f t="shared" si="37"/>
        <v/>
      </c>
      <c r="S159" s="55"/>
      <c r="T159" s="55"/>
      <c r="U159" s="55"/>
      <c r="V159" s="55" t="str">
        <f t="shared" si="38"/>
        <v/>
      </c>
      <c r="W159" s="55" t="str">
        <f t="shared" si="38"/>
        <v/>
      </c>
      <c r="X159" s="55" t="str">
        <f t="shared" si="39"/>
        <v/>
      </c>
      <c r="Y159" s="55" t="str">
        <f t="shared" si="39"/>
        <v/>
      </c>
    </row>
    <row r="160" spans="2:25" hidden="1" x14ac:dyDescent="0.25">
      <c r="B160">
        <v>63</v>
      </c>
      <c r="C160" t="str">
        <f t="shared" si="18"/>
        <v/>
      </c>
      <c r="D160" s="55" t="str">
        <f t="shared" si="32"/>
        <v/>
      </c>
      <c r="E160" s="55" t="str">
        <f t="shared" si="32"/>
        <v/>
      </c>
      <c r="F160" s="55" t="str">
        <f t="shared" si="33"/>
        <v/>
      </c>
      <c r="G160" s="55" t="str">
        <f t="shared" si="33"/>
        <v/>
      </c>
      <c r="H160" s="55" t="str">
        <f t="shared" si="34"/>
        <v/>
      </c>
      <c r="I160" s="55" t="str">
        <f t="shared" si="34"/>
        <v/>
      </c>
      <c r="J160" s="55" t="str">
        <f t="shared" si="35"/>
        <v/>
      </c>
      <c r="K160" s="55" t="str">
        <f t="shared" si="35"/>
        <v/>
      </c>
      <c r="M160">
        <v>63</v>
      </c>
      <c r="N160" t="str">
        <f t="shared" si="27"/>
        <v/>
      </c>
      <c r="O160" s="55" t="str">
        <f t="shared" si="36"/>
        <v/>
      </c>
      <c r="P160" s="55" t="str">
        <f t="shared" si="36"/>
        <v/>
      </c>
      <c r="Q160" s="55" t="str">
        <f t="shared" si="37"/>
        <v/>
      </c>
      <c r="R160" s="55" t="str">
        <f t="shared" si="37"/>
        <v/>
      </c>
      <c r="S160" s="55"/>
      <c r="T160" s="55"/>
      <c r="U160" s="55"/>
      <c r="V160" s="55" t="str">
        <f t="shared" si="38"/>
        <v/>
      </c>
      <c r="W160" s="55" t="str">
        <f t="shared" si="38"/>
        <v/>
      </c>
      <c r="X160" s="55" t="str">
        <f t="shared" si="39"/>
        <v/>
      </c>
      <c r="Y160" s="55" t="str">
        <f t="shared" si="39"/>
        <v/>
      </c>
    </row>
    <row r="161" spans="2:25" hidden="1" x14ac:dyDescent="0.25">
      <c r="B161">
        <v>64</v>
      </c>
      <c r="C161" t="str">
        <f t="shared" si="18"/>
        <v/>
      </c>
      <c r="D161" s="55" t="str">
        <f t="shared" si="32"/>
        <v/>
      </c>
      <c r="E161" s="55" t="str">
        <f t="shared" si="32"/>
        <v/>
      </c>
      <c r="F161" s="55" t="str">
        <f t="shared" si="33"/>
        <v/>
      </c>
      <c r="G161" s="55" t="str">
        <f t="shared" si="33"/>
        <v/>
      </c>
      <c r="H161" s="55" t="str">
        <f t="shared" si="34"/>
        <v/>
      </c>
      <c r="I161" s="55" t="str">
        <f t="shared" si="34"/>
        <v/>
      </c>
      <c r="J161" s="55" t="str">
        <f t="shared" si="35"/>
        <v/>
      </c>
      <c r="K161" s="55" t="str">
        <f t="shared" si="35"/>
        <v/>
      </c>
      <c r="M161">
        <v>64</v>
      </c>
      <c r="N161" t="str">
        <f t="shared" si="27"/>
        <v/>
      </c>
      <c r="O161" s="55" t="str">
        <f t="shared" si="36"/>
        <v/>
      </c>
      <c r="P161" s="55" t="str">
        <f t="shared" si="36"/>
        <v/>
      </c>
      <c r="Q161" s="55" t="str">
        <f t="shared" si="37"/>
        <v/>
      </c>
      <c r="R161" s="55" t="str">
        <f t="shared" si="37"/>
        <v/>
      </c>
      <c r="S161" s="55"/>
      <c r="T161" s="55"/>
      <c r="U161" s="55"/>
      <c r="V161" s="55" t="str">
        <f t="shared" si="38"/>
        <v/>
      </c>
      <c r="W161" s="55" t="str">
        <f t="shared" si="38"/>
        <v/>
      </c>
      <c r="X161" s="55" t="str">
        <f t="shared" si="39"/>
        <v/>
      </c>
      <c r="Y161" s="55" t="str">
        <f t="shared" si="39"/>
        <v/>
      </c>
    </row>
    <row r="162" spans="2:25" hidden="1" x14ac:dyDescent="0.25">
      <c r="B162">
        <v>65</v>
      </c>
      <c r="C162" t="str">
        <f t="shared" ref="C162:C193" si="40">IF(ISNUMBER(D162),B162,"")</f>
        <v/>
      </c>
      <c r="D162" s="55" t="str">
        <f t="shared" si="32"/>
        <v/>
      </c>
      <c r="E162" s="55" t="str">
        <f t="shared" si="32"/>
        <v/>
      </c>
      <c r="F162" s="55" t="str">
        <f t="shared" si="33"/>
        <v/>
      </c>
      <c r="G162" s="55" t="str">
        <f t="shared" si="33"/>
        <v/>
      </c>
      <c r="H162" s="55" t="str">
        <f t="shared" si="34"/>
        <v/>
      </c>
      <c r="I162" s="55" t="str">
        <f t="shared" si="34"/>
        <v/>
      </c>
      <c r="J162" s="55" t="str">
        <f t="shared" si="35"/>
        <v/>
      </c>
      <c r="K162" s="55" t="str">
        <f t="shared" si="35"/>
        <v/>
      </c>
      <c r="M162">
        <v>65</v>
      </c>
      <c r="N162" t="str">
        <f t="shared" ref="N162:N193" si="41">IF(ISNUMBER(O162),M162,"")</f>
        <v/>
      </c>
      <c r="O162" s="55" t="str">
        <f t="shared" si="36"/>
        <v/>
      </c>
      <c r="P162" s="55" t="str">
        <f t="shared" si="36"/>
        <v/>
      </c>
      <c r="Q162" s="55" t="str">
        <f t="shared" si="37"/>
        <v/>
      </c>
      <c r="R162" s="55" t="str">
        <f t="shared" si="37"/>
        <v/>
      </c>
      <c r="S162" s="55"/>
      <c r="T162" s="55"/>
      <c r="U162" s="55"/>
      <c r="V162" s="55" t="str">
        <f t="shared" si="38"/>
        <v/>
      </c>
      <c r="W162" s="55" t="str">
        <f t="shared" si="38"/>
        <v/>
      </c>
      <c r="X162" s="55" t="str">
        <f t="shared" si="39"/>
        <v/>
      </c>
      <c r="Y162" s="55" t="str">
        <f t="shared" si="39"/>
        <v/>
      </c>
    </row>
    <row r="163" spans="2:25" hidden="1" x14ac:dyDescent="0.25">
      <c r="B163">
        <v>66</v>
      </c>
      <c r="C163" t="str">
        <f t="shared" si="40"/>
        <v/>
      </c>
      <c r="D163" s="55" t="str">
        <f t="shared" si="32"/>
        <v/>
      </c>
      <c r="E163" s="55" t="str">
        <f t="shared" si="32"/>
        <v/>
      </c>
      <c r="F163" s="55" t="str">
        <f t="shared" si="33"/>
        <v/>
      </c>
      <c r="G163" s="55" t="str">
        <f t="shared" si="33"/>
        <v/>
      </c>
      <c r="H163" s="55" t="str">
        <f t="shared" si="34"/>
        <v/>
      </c>
      <c r="I163" s="55" t="str">
        <f t="shared" si="34"/>
        <v/>
      </c>
      <c r="J163" s="55" t="str">
        <f t="shared" si="35"/>
        <v/>
      </c>
      <c r="K163" s="55" t="str">
        <f t="shared" si="35"/>
        <v/>
      </c>
      <c r="M163">
        <v>66</v>
      </c>
      <c r="N163" t="str">
        <f t="shared" si="41"/>
        <v/>
      </c>
      <c r="O163" s="55" t="str">
        <f t="shared" si="36"/>
        <v/>
      </c>
      <c r="P163" s="55" t="str">
        <f t="shared" si="36"/>
        <v/>
      </c>
      <c r="Q163" s="55" t="str">
        <f t="shared" si="37"/>
        <v/>
      </c>
      <c r="R163" s="55" t="str">
        <f t="shared" si="37"/>
        <v/>
      </c>
      <c r="S163" s="55"/>
      <c r="T163" s="55"/>
      <c r="U163" s="55"/>
      <c r="V163" s="55" t="str">
        <f t="shared" si="38"/>
        <v/>
      </c>
      <c r="W163" s="55" t="str">
        <f t="shared" si="38"/>
        <v/>
      </c>
      <c r="X163" s="55" t="str">
        <f t="shared" si="39"/>
        <v/>
      </c>
      <c r="Y163" s="55" t="str">
        <f t="shared" si="39"/>
        <v/>
      </c>
    </row>
    <row r="164" spans="2:25" hidden="1" x14ac:dyDescent="0.25">
      <c r="B164">
        <v>67</v>
      </c>
      <c r="C164" t="str">
        <f t="shared" si="40"/>
        <v/>
      </c>
      <c r="D164" s="55" t="str">
        <f t="shared" si="32"/>
        <v/>
      </c>
      <c r="E164" s="55" t="str">
        <f t="shared" si="32"/>
        <v/>
      </c>
      <c r="F164" s="55" t="str">
        <f t="shared" si="33"/>
        <v/>
      </c>
      <c r="G164" s="55" t="str">
        <f t="shared" si="33"/>
        <v/>
      </c>
      <c r="H164" s="55" t="str">
        <f t="shared" si="34"/>
        <v/>
      </c>
      <c r="I164" s="55" t="str">
        <f t="shared" si="34"/>
        <v/>
      </c>
      <c r="J164" s="55" t="str">
        <f t="shared" si="35"/>
        <v/>
      </c>
      <c r="K164" s="55" t="str">
        <f t="shared" si="35"/>
        <v/>
      </c>
      <c r="M164">
        <v>67</v>
      </c>
      <c r="N164" t="str">
        <f t="shared" si="41"/>
        <v/>
      </c>
      <c r="O164" s="55" t="str">
        <f t="shared" si="36"/>
        <v/>
      </c>
      <c r="P164" s="55" t="str">
        <f t="shared" si="36"/>
        <v/>
      </c>
      <c r="Q164" s="55" t="str">
        <f t="shared" si="37"/>
        <v/>
      </c>
      <c r="R164" s="55" t="str">
        <f t="shared" si="37"/>
        <v/>
      </c>
      <c r="S164" s="55"/>
      <c r="T164" s="55"/>
      <c r="U164" s="55"/>
      <c r="V164" s="55" t="str">
        <f t="shared" si="38"/>
        <v/>
      </c>
      <c r="W164" s="55" t="str">
        <f t="shared" si="38"/>
        <v/>
      </c>
      <c r="X164" s="55" t="str">
        <f t="shared" si="39"/>
        <v/>
      </c>
      <c r="Y164" s="55" t="str">
        <f t="shared" si="39"/>
        <v/>
      </c>
    </row>
    <row r="165" spans="2:25" hidden="1" x14ac:dyDescent="0.25">
      <c r="B165">
        <v>68</v>
      </c>
      <c r="C165" t="str">
        <f t="shared" si="40"/>
        <v/>
      </c>
      <c r="D165" s="55" t="str">
        <f t="shared" si="32"/>
        <v/>
      </c>
      <c r="E165" s="55" t="str">
        <f t="shared" si="32"/>
        <v/>
      </c>
      <c r="F165" s="55" t="str">
        <f t="shared" si="33"/>
        <v/>
      </c>
      <c r="G165" s="55" t="str">
        <f t="shared" si="33"/>
        <v/>
      </c>
      <c r="H165" s="55" t="str">
        <f t="shared" si="34"/>
        <v/>
      </c>
      <c r="I165" s="55" t="str">
        <f t="shared" si="34"/>
        <v/>
      </c>
      <c r="J165" s="55" t="str">
        <f t="shared" si="35"/>
        <v/>
      </c>
      <c r="K165" s="55" t="str">
        <f t="shared" si="35"/>
        <v/>
      </c>
      <c r="M165">
        <v>68</v>
      </c>
      <c r="N165" t="str">
        <f t="shared" si="41"/>
        <v/>
      </c>
      <c r="O165" s="55" t="str">
        <f t="shared" si="36"/>
        <v/>
      </c>
      <c r="P165" s="55" t="str">
        <f t="shared" si="36"/>
        <v/>
      </c>
      <c r="Q165" s="55" t="str">
        <f t="shared" si="37"/>
        <v/>
      </c>
      <c r="R165" s="55" t="str">
        <f t="shared" si="37"/>
        <v/>
      </c>
      <c r="S165" s="55"/>
      <c r="T165" s="55"/>
      <c r="U165" s="55"/>
      <c r="V165" s="55" t="str">
        <f t="shared" si="38"/>
        <v/>
      </c>
      <c r="W165" s="55" t="str">
        <f t="shared" si="38"/>
        <v/>
      </c>
      <c r="X165" s="55" t="str">
        <f t="shared" si="39"/>
        <v/>
      </c>
      <c r="Y165" s="55" t="str">
        <f t="shared" si="39"/>
        <v/>
      </c>
    </row>
    <row r="166" spans="2:25" hidden="1" x14ac:dyDescent="0.25">
      <c r="B166">
        <v>69</v>
      </c>
      <c r="C166" t="str">
        <f t="shared" si="40"/>
        <v/>
      </c>
      <c r="D166" s="55" t="str">
        <f t="shared" si="32"/>
        <v/>
      </c>
      <c r="E166" s="55" t="str">
        <f t="shared" si="32"/>
        <v/>
      </c>
      <c r="F166" s="55" t="str">
        <f t="shared" si="33"/>
        <v/>
      </c>
      <c r="G166" s="55" t="str">
        <f t="shared" si="33"/>
        <v/>
      </c>
      <c r="H166" s="55" t="str">
        <f t="shared" si="34"/>
        <v/>
      </c>
      <c r="I166" s="55" t="str">
        <f t="shared" si="34"/>
        <v/>
      </c>
      <c r="J166" s="55" t="str">
        <f t="shared" si="35"/>
        <v/>
      </c>
      <c r="K166" s="55" t="str">
        <f t="shared" si="35"/>
        <v/>
      </c>
      <c r="M166">
        <v>69</v>
      </c>
      <c r="N166" t="str">
        <f t="shared" si="41"/>
        <v/>
      </c>
      <c r="O166" s="55" t="str">
        <f t="shared" si="36"/>
        <v/>
      </c>
      <c r="P166" s="55" t="str">
        <f t="shared" si="36"/>
        <v/>
      </c>
      <c r="Q166" s="55" t="str">
        <f t="shared" si="37"/>
        <v/>
      </c>
      <c r="R166" s="55" t="str">
        <f t="shared" si="37"/>
        <v/>
      </c>
      <c r="S166" s="55"/>
      <c r="T166" s="55"/>
      <c r="U166" s="55"/>
      <c r="V166" s="55" t="str">
        <f t="shared" si="38"/>
        <v/>
      </c>
      <c r="W166" s="55" t="str">
        <f t="shared" si="38"/>
        <v/>
      </c>
      <c r="X166" s="55" t="str">
        <f t="shared" si="39"/>
        <v/>
      </c>
      <c r="Y166" s="55" t="str">
        <f t="shared" si="39"/>
        <v/>
      </c>
    </row>
    <row r="167" spans="2:25" hidden="1" x14ac:dyDescent="0.25">
      <c r="B167">
        <v>70</v>
      </c>
      <c r="C167" t="str">
        <f t="shared" si="40"/>
        <v/>
      </c>
      <c r="D167" s="55" t="str">
        <f t="shared" si="32"/>
        <v/>
      </c>
      <c r="E167" s="55" t="str">
        <f t="shared" si="32"/>
        <v/>
      </c>
      <c r="F167" s="55" t="str">
        <f t="shared" si="33"/>
        <v/>
      </c>
      <c r="G167" s="55" t="str">
        <f t="shared" si="33"/>
        <v/>
      </c>
      <c r="H167" s="55" t="str">
        <f t="shared" si="34"/>
        <v/>
      </c>
      <c r="I167" s="55" t="str">
        <f t="shared" si="34"/>
        <v/>
      </c>
      <c r="J167" s="55" t="str">
        <f t="shared" si="35"/>
        <v/>
      </c>
      <c r="K167" s="55" t="str">
        <f t="shared" si="35"/>
        <v/>
      </c>
      <c r="M167">
        <v>70</v>
      </c>
      <c r="N167" t="str">
        <f t="shared" si="41"/>
        <v/>
      </c>
      <c r="O167" s="55" t="str">
        <f t="shared" si="36"/>
        <v/>
      </c>
      <c r="P167" s="55" t="str">
        <f t="shared" si="36"/>
        <v/>
      </c>
      <c r="Q167" s="55" t="str">
        <f t="shared" si="37"/>
        <v/>
      </c>
      <c r="R167" s="55" t="str">
        <f t="shared" si="37"/>
        <v/>
      </c>
      <c r="S167" s="55"/>
      <c r="T167" s="55"/>
      <c r="U167" s="55"/>
      <c r="V167" s="55" t="str">
        <f t="shared" si="38"/>
        <v/>
      </c>
      <c r="W167" s="55" t="str">
        <f t="shared" si="38"/>
        <v/>
      </c>
      <c r="X167" s="55" t="str">
        <f t="shared" si="39"/>
        <v/>
      </c>
      <c r="Y167" s="55" t="str">
        <f t="shared" si="39"/>
        <v/>
      </c>
    </row>
    <row r="168" spans="2:25" hidden="1" x14ac:dyDescent="0.25">
      <c r="B168">
        <v>71</v>
      </c>
      <c r="C168" t="str">
        <f t="shared" si="40"/>
        <v/>
      </c>
      <c r="D168" s="55" t="str">
        <f t="shared" si="32"/>
        <v/>
      </c>
      <c r="E168" s="55" t="str">
        <f t="shared" si="32"/>
        <v/>
      </c>
      <c r="F168" s="55" t="str">
        <f t="shared" si="33"/>
        <v/>
      </c>
      <c r="G168" s="55" t="str">
        <f t="shared" si="33"/>
        <v/>
      </c>
      <c r="H168" s="55" t="str">
        <f t="shared" si="34"/>
        <v/>
      </c>
      <c r="I168" s="55" t="str">
        <f t="shared" si="34"/>
        <v/>
      </c>
      <c r="J168" s="55" t="str">
        <f t="shared" si="35"/>
        <v/>
      </c>
      <c r="K168" s="55" t="str">
        <f t="shared" si="35"/>
        <v/>
      </c>
      <c r="M168">
        <v>71</v>
      </c>
      <c r="N168" t="str">
        <f t="shared" si="41"/>
        <v/>
      </c>
      <c r="O168" s="55" t="str">
        <f t="shared" si="36"/>
        <v/>
      </c>
      <c r="P168" s="55" t="str">
        <f t="shared" si="36"/>
        <v/>
      </c>
      <c r="Q168" s="55" t="str">
        <f t="shared" si="37"/>
        <v/>
      </c>
      <c r="R168" s="55" t="str">
        <f t="shared" si="37"/>
        <v/>
      </c>
      <c r="S168" s="55"/>
      <c r="T168" s="55"/>
      <c r="U168" s="55"/>
      <c r="V168" s="55" t="str">
        <f t="shared" si="38"/>
        <v/>
      </c>
      <c r="W168" s="55" t="str">
        <f t="shared" si="38"/>
        <v/>
      </c>
      <c r="X168" s="55" t="str">
        <f t="shared" si="39"/>
        <v/>
      </c>
      <c r="Y168" s="55" t="str">
        <f t="shared" si="39"/>
        <v/>
      </c>
    </row>
    <row r="169" spans="2:25" hidden="1" x14ac:dyDescent="0.25">
      <c r="B169">
        <v>72</v>
      </c>
      <c r="C169" t="str">
        <f t="shared" si="40"/>
        <v/>
      </c>
      <c r="D169" s="55" t="str">
        <f t="shared" si="32"/>
        <v/>
      </c>
      <c r="E169" s="55" t="str">
        <f t="shared" si="32"/>
        <v/>
      </c>
      <c r="F169" s="55" t="str">
        <f t="shared" si="33"/>
        <v/>
      </c>
      <c r="G169" s="55" t="str">
        <f t="shared" si="33"/>
        <v/>
      </c>
      <c r="H169" s="55" t="str">
        <f t="shared" si="34"/>
        <v/>
      </c>
      <c r="I169" s="55" t="str">
        <f t="shared" si="34"/>
        <v/>
      </c>
      <c r="J169" s="55" t="str">
        <f t="shared" si="35"/>
        <v/>
      </c>
      <c r="K169" s="55" t="str">
        <f t="shared" si="35"/>
        <v/>
      </c>
      <c r="M169">
        <v>72</v>
      </c>
      <c r="N169" t="str">
        <f t="shared" si="41"/>
        <v/>
      </c>
      <c r="O169" s="55" t="str">
        <f t="shared" si="36"/>
        <v/>
      </c>
      <c r="P169" s="55" t="str">
        <f t="shared" si="36"/>
        <v/>
      </c>
      <c r="Q169" s="55" t="str">
        <f t="shared" si="37"/>
        <v/>
      </c>
      <c r="R169" s="55" t="str">
        <f t="shared" si="37"/>
        <v/>
      </c>
      <c r="S169" s="55"/>
      <c r="T169" s="55"/>
      <c r="U169" s="55"/>
      <c r="V169" s="55" t="str">
        <f t="shared" si="38"/>
        <v/>
      </c>
      <c r="W169" s="55" t="str">
        <f t="shared" si="38"/>
        <v/>
      </c>
      <c r="X169" s="55" t="str">
        <f t="shared" si="39"/>
        <v/>
      </c>
      <c r="Y169" s="55" t="str">
        <f t="shared" si="39"/>
        <v/>
      </c>
    </row>
    <row r="170" spans="2:25" hidden="1" x14ac:dyDescent="0.25">
      <c r="B170">
        <v>73</v>
      </c>
      <c r="C170" t="str">
        <f t="shared" si="40"/>
        <v/>
      </c>
      <c r="D170" s="55" t="str">
        <f t="shared" ref="D170:E189" si="42">IF(ISNUMBER(D118),-ABS(D118),"")</f>
        <v/>
      </c>
      <c r="E170" s="55" t="str">
        <f t="shared" si="42"/>
        <v/>
      </c>
      <c r="F170" s="55" t="str">
        <f t="shared" ref="F170:G189" si="43">IF(ISNUMBER(F118),ABS(F118),"")</f>
        <v/>
      </c>
      <c r="G170" s="55" t="str">
        <f t="shared" si="43"/>
        <v/>
      </c>
      <c r="H170" s="55" t="str">
        <f t="shared" ref="H170:I189" si="44">IF(ISNUMBER(H118),-ABS(H118),"")</f>
        <v/>
      </c>
      <c r="I170" s="55" t="str">
        <f t="shared" si="44"/>
        <v/>
      </c>
      <c r="J170" s="55" t="str">
        <f t="shared" ref="J170:K189" si="45">IF(ISNUMBER(J118),ABS(J118),"")</f>
        <v/>
      </c>
      <c r="K170" s="55" t="str">
        <f t="shared" si="45"/>
        <v/>
      </c>
      <c r="M170">
        <v>73</v>
      </c>
      <c r="N170" t="str">
        <f t="shared" si="41"/>
        <v/>
      </c>
      <c r="O170" s="55" t="str">
        <f t="shared" si="36"/>
        <v/>
      </c>
      <c r="P170" s="55" t="str">
        <f t="shared" si="36"/>
        <v/>
      </c>
      <c r="Q170" s="55" t="str">
        <f t="shared" si="37"/>
        <v/>
      </c>
      <c r="R170" s="55" t="str">
        <f t="shared" si="37"/>
        <v/>
      </c>
      <c r="S170" s="55"/>
      <c r="T170" s="55"/>
      <c r="U170" s="55"/>
      <c r="V170" s="55" t="str">
        <f t="shared" si="38"/>
        <v/>
      </c>
      <c r="W170" s="55" t="str">
        <f t="shared" si="38"/>
        <v/>
      </c>
      <c r="X170" s="55" t="str">
        <f t="shared" si="39"/>
        <v/>
      </c>
      <c r="Y170" s="55" t="str">
        <f t="shared" si="39"/>
        <v/>
      </c>
    </row>
    <row r="171" spans="2:25" hidden="1" x14ac:dyDescent="0.25">
      <c r="B171">
        <v>74</v>
      </c>
      <c r="C171" t="str">
        <f t="shared" si="40"/>
        <v/>
      </c>
      <c r="D171" s="55" t="str">
        <f t="shared" si="42"/>
        <v/>
      </c>
      <c r="E171" s="55" t="str">
        <f t="shared" si="42"/>
        <v/>
      </c>
      <c r="F171" s="55" t="str">
        <f t="shared" si="43"/>
        <v/>
      </c>
      <c r="G171" s="55" t="str">
        <f t="shared" si="43"/>
        <v/>
      </c>
      <c r="H171" s="55" t="str">
        <f t="shared" si="44"/>
        <v/>
      </c>
      <c r="I171" s="55" t="str">
        <f t="shared" si="44"/>
        <v/>
      </c>
      <c r="J171" s="55" t="str">
        <f t="shared" si="45"/>
        <v/>
      </c>
      <c r="K171" s="55" t="str">
        <f t="shared" si="45"/>
        <v/>
      </c>
      <c r="M171">
        <v>74</v>
      </c>
      <c r="N171" t="str">
        <f t="shared" si="41"/>
        <v/>
      </c>
      <c r="O171" s="55" t="str">
        <f t="shared" si="36"/>
        <v/>
      </c>
      <c r="P171" s="55" t="str">
        <f t="shared" si="36"/>
        <v/>
      </c>
      <c r="Q171" s="55" t="str">
        <f t="shared" si="37"/>
        <v/>
      </c>
      <c r="R171" s="55" t="str">
        <f t="shared" si="37"/>
        <v/>
      </c>
      <c r="S171" s="55"/>
      <c r="T171" s="55"/>
      <c r="U171" s="55"/>
      <c r="V171" s="55" t="str">
        <f t="shared" si="38"/>
        <v/>
      </c>
      <c r="W171" s="55" t="str">
        <f t="shared" si="38"/>
        <v/>
      </c>
      <c r="X171" s="55" t="str">
        <f t="shared" si="39"/>
        <v/>
      </c>
      <c r="Y171" s="55" t="str">
        <f t="shared" si="39"/>
        <v/>
      </c>
    </row>
    <row r="172" spans="2:25" hidden="1" x14ac:dyDescent="0.25">
      <c r="B172">
        <v>75</v>
      </c>
      <c r="C172" t="str">
        <f t="shared" si="40"/>
        <v/>
      </c>
      <c r="D172" s="55" t="str">
        <f t="shared" si="42"/>
        <v/>
      </c>
      <c r="E172" s="55" t="str">
        <f t="shared" si="42"/>
        <v/>
      </c>
      <c r="F172" s="55" t="str">
        <f t="shared" si="43"/>
        <v/>
      </c>
      <c r="G172" s="55" t="str">
        <f t="shared" si="43"/>
        <v/>
      </c>
      <c r="H172" s="55" t="str">
        <f t="shared" si="44"/>
        <v/>
      </c>
      <c r="I172" s="55" t="str">
        <f t="shared" si="44"/>
        <v/>
      </c>
      <c r="J172" s="55" t="str">
        <f t="shared" si="45"/>
        <v/>
      </c>
      <c r="K172" s="55" t="str">
        <f t="shared" si="45"/>
        <v/>
      </c>
      <c r="M172">
        <v>75</v>
      </c>
      <c r="N172" t="str">
        <f t="shared" si="41"/>
        <v/>
      </c>
      <c r="O172" s="55" t="str">
        <f t="shared" si="36"/>
        <v/>
      </c>
      <c r="P172" s="55" t="str">
        <f t="shared" si="36"/>
        <v/>
      </c>
      <c r="Q172" s="55" t="str">
        <f t="shared" si="37"/>
        <v/>
      </c>
      <c r="R172" s="55" t="str">
        <f t="shared" si="37"/>
        <v/>
      </c>
      <c r="S172" s="55"/>
      <c r="T172" s="55"/>
      <c r="U172" s="55"/>
      <c r="V172" s="55" t="str">
        <f t="shared" si="38"/>
        <v/>
      </c>
      <c r="W172" s="55" t="str">
        <f t="shared" si="38"/>
        <v/>
      </c>
      <c r="X172" s="55" t="str">
        <f t="shared" si="39"/>
        <v/>
      </c>
      <c r="Y172" s="55" t="str">
        <f t="shared" si="39"/>
        <v/>
      </c>
    </row>
    <row r="173" spans="2:25" hidden="1" x14ac:dyDescent="0.25">
      <c r="B173">
        <v>76</v>
      </c>
      <c r="C173" t="str">
        <f t="shared" si="40"/>
        <v/>
      </c>
      <c r="D173" s="55" t="str">
        <f t="shared" si="42"/>
        <v/>
      </c>
      <c r="E173" s="55" t="str">
        <f t="shared" si="42"/>
        <v/>
      </c>
      <c r="F173" s="55" t="str">
        <f t="shared" si="43"/>
        <v/>
      </c>
      <c r="G173" s="55" t="str">
        <f t="shared" si="43"/>
        <v/>
      </c>
      <c r="H173" s="55" t="str">
        <f t="shared" si="44"/>
        <v/>
      </c>
      <c r="I173" s="55" t="str">
        <f t="shared" si="44"/>
        <v/>
      </c>
      <c r="J173" s="55" t="str">
        <f t="shared" si="45"/>
        <v/>
      </c>
      <c r="K173" s="55" t="str">
        <f t="shared" si="45"/>
        <v/>
      </c>
      <c r="M173">
        <v>76</v>
      </c>
      <c r="N173" t="str">
        <f t="shared" si="41"/>
        <v/>
      </c>
      <c r="O173" s="55" t="str">
        <f t="shared" si="36"/>
        <v/>
      </c>
      <c r="P173" s="55" t="str">
        <f t="shared" si="36"/>
        <v/>
      </c>
      <c r="Q173" s="55" t="str">
        <f t="shared" si="37"/>
        <v/>
      </c>
      <c r="R173" s="55" t="str">
        <f t="shared" si="37"/>
        <v/>
      </c>
      <c r="S173" s="55"/>
      <c r="T173" s="55"/>
      <c r="U173" s="55"/>
      <c r="V173" s="55" t="str">
        <f t="shared" si="38"/>
        <v/>
      </c>
      <c r="W173" s="55" t="str">
        <f t="shared" si="38"/>
        <v/>
      </c>
      <c r="X173" s="55" t="str">
        <f t="shared" si="39"/>
        <v/>
      </c>
      <c r="Y173" s="55" t="str">
        <f t="shared" si="39"/>
        <v/>
      </c>
    </row>
    <row r="174" spans="2:25" hidden="1" x14ac:dyDescent="0.25">
      <c r="B174">
        <v>77</v>
      </c>
      <c r="C174" t="str">
        <f t="shared" si="40"/>
        <v/>
      </c>
      <c r="D174" s="55" t="str">
        <f t="shared" si="42"/>
        <v/>
      </c>
      <c r="E174" s="55" t="str">
        <f t="shared" si="42"/>
        <v/>
      </c>
      <c r="F174" s="55" t="str">
        <f t="shared" si="43"/>
        <v/>
      </c>
      <c r="G174" s="55" t="str">
        <f t="shared" si="43"/>
        <v/>
      </c>
      <c r="H174" s="55" t="str">
        <f t="shared" si="44"/>
        <v/>
      </c>
      <c r="I174" s="55" t="str">
        <f t="shared" si="44"/>
        <v/>
      </c>
      <c r="J174" s="55" t="str">
        <f t="shared" si="45"/>
        <v/>
      </c>
      <c r="K174" s="55" t="str">
        <f t="shared" si="45"/>
        <v/>
      </c>
      <c r="M174">
        <v>77</v>
      </c>
      <c r="N174" t="str">
        <f t="shared" si="41"/>
        <v/>
      </c>
      <c r="O174" s="55" t="str">
        <f t="shared" si="36"/>
        <v/>
      </c>
      <c r="P174" s="55" t="str">
        <f t="shared" si="36"/>
        <v/>
      </c>
      <c r="Q174" s="55" t="str">
        <f t="shared" si="37"/>
        <v/>
      </c>
      <c r="R174" s="55" t="str">
        <f t="shared" si="37"/>
        <v/>
      </c>
      <c r="S174" s="55"/>
      <c r="T174" s="55"/>
      <c r="U174" s="55"/>
      <c r="V174" s="55" t="str">
        <f t="shared" si="38"/>
        <v/>
      </c>
      <c r="W174" s="55" t="str">
        <f t="shared" si="38"/>
        <v/>
      </c>
      <c r="X174" s="55" t="str">
        <f t="shared" si="39"/>
        <v/>
      </c>
      <c r="Y174" s="55" t="str">
        <f t="shared" si="39"/>
        <v/>
      </c>
    </row>
    <row r="175" spans="2:25" hidden="1" x14ac:dyDescent="0.25">
      <c r="B175">
        <v>78</v>
      </c>
      <c r="C175" t="str">
        <f t="shared" si="40"/>
        <v/>
      </c>
      <c r="D175" s="55" t="str">
        <f t="shared" si="42"/>
        <v/>
      </c>
      <c r="E175" s="55" t="str">
        <f t="shared" si="42"/>
        <v/>
      </c>
      <c r="F175" s="55" t="str">
        <f t="shared" si="43"/>
        <v/>
      </c>
      <c r="G175" s="55" t="str">
        <f t="shared" si="43"/>
        <v/>
      </c>
      <c r="H175" s="55" t="str">
        <f t="shared" si="44"/>
        <v/>
      </c>
      <c r="I175" s="55" t="str">
        <f t="shared" si="44"/>
        <v/>
      </c>
      <c r="J175" s="55" t="str">
        <f t="shared" si="45"/>
        <v/>
      </c>
      <c r="K175" s="55" t="str">
        <f t="shared" si="45"/>
        <v/>
      </c>
      <c r="M175">
        <v>78</v>
      </c>
      <c r="N175" t="str">
        <f t="shared" si="41"/>
        <v/>
      </c>
      <c r="O175" s="55" t="str">
        <f t="shared" si="36"/>
        <v/>
      </c>
      <c r="P175" s="55" t="str">
        <f t="shared" si="36"/>
        <v/>
      </c>
      <c r="Q175" s="55" t="str">
        <f t="shared" si="37"/>
        <v/>
      </c>
      <c r="R175" s="55" t="str">
        <f t="shared" si="37"/>
        <v/>
      </c>
      <c r="S175" s="55"/>
      <c r="T175" s="55"/>
      <c r="U175" s="55"/>
      <c r="V175" s="55" t="str">
        <f t="shared" si="38"/>
        <v/>
      </c>
      <c r="W175" s="55" t="str">
        <f t="shared" si="38"/>
        <v/>
      </c>
      <c r="X175" s="55" t="str">
        <f t="shared" si="39"/>
        <v/>
      </c>
      <c r="Y175" s="55" t="str">
        <f t="shared" si="39"/>
        <v/>
      </c>
    </row>
    <row r="176" spans="2:25" hidden="1" x14ac:dyDescent="0.25">
      <c r="B176">
        <v>79</v>
      </c>
      <c r="C176" t="str">
        <f t="shared" si="40"/>
        <v/>
      </c>
      <c r="D176" s="55" t="str">
        <f t="shared" si="42"/>
        <v/>
      </c>
      <c r="E176" s="55" t="str">
        <f t="shared" si="42"/>
        <v/>
      </c>
      <c r="F176" s="55" t="str">
        <f t="shared" si="43"/>
        <v/>
      </c>
      <c r="G176" s="55" t="str">
        <f t="shared" si="43"/>
        <v/>
      </c>
      <c r="H176" s="55" t="str">
        <f t="shared" si="44"/>
        <v/>
      </c>
      <c r="I176" s="55" t="str">
        <f t="shared" si="44"/>
        <v/>
      </c>
      <c r="J176" s="55" t="str">
        <f t="shared" si="45"/>
        <v/>
      </c>
      <c r="K176" s="55" t="str">
        <f t="shared" si="45"/>
        <v/>
      </c>
      <c r="M176">
        <v>79</v>
      </c>
      <c r="N176" t="str">
        <f t="shared" si="41"/>
        <v/>
      </c>
      <c r="O176" s="55" t="str">
        <f t="shared" si="36"/>
        <v/>
      </c>
      <c r="P176" s="55" t="str">
        <f t="shared" si="36"/>
        <v/>
      </c>
      <c r="Q176" s="55" t="str">
        <f t="shared" si="37"/>
        <v/>
      </c>
      <c r="R176" s="55" t="str">
        <f t="shared" si="37"/>
        <v/>
      </c>
      <c r="S176" s="55"/>
      <c r="T176" s="55"/>
      <c r="U176" s="55"/>
      <c r="V176" s="55" t="str">
        <f t="shared" si="38"/>
        <v/>
      </c>
      <c r="W176" s="55" t="str">
        <f t="shared" si="38"/>
        <v/>
      </c>
      <c r="X176" s="55" t="str">
        <f t="shared" si="39"/>
        <v/>
      </c>
      <c r="Y176" s="55" t="str">
        <f t="shared" si="39"/>
        <v/>
      </c>
    </row>
    <row r="177" spans="2:25" hidden="1" x14ac:dyDescent="0.25">
      <c r="B177">
        <v>80</v>
      </c>
      <c r="C177" t="str">
        <f t="shared" si="40"/>
        <v/>
      </c>
      <c r="D177" s="55" t="str">
        <f t="shared" si="42"/>
        <v/>
      </c>
      <c r="E177" s="55" t="str">
        <f t="shared" si="42"/>
        <v/>
      </c>
      <c r="F177" s="55" t="str">
        <f t="shared" si="43"/>
        <v/>
      </c>
      <c r="G177" s="55" t="str">
        <f t="shared" si="43"/>
        <v/>
      </c>
      <c r="H177" s="55" t="str">
        <f t="shared" si="44"/>
        <v/>
      </c>
      <c r="I177" s="55" t="str">
        <f t="shared" si="44"/>
        <v/>
      </c>
      <c r="J177" s="55" t="str">
        <f t="shared" si="45"/>
        <v/>
      </c>
      <c r="K177" s="55" t="str">
        <f t="shared" si="45"/>
        <v/>
      </c>
      <c r="M177">
        <v>80</v>
      </c>
      <c r="N177" t="str">
        <f t="shared" si="41"/>
        <v/>
      </c>
      <c r="O177" s="55" t="str">
        <f t="shared" si="36"/>
        <v/>
      </c>
      <c r="P177" s="55" t="str">
        <f t="shared" si="36"/>
        <v/>
      </c>
      <c r="Q177" s="55" t="str">
        <f t="shared" si="37"/>
        <v/>
      </c>
      <c r="R177" s="55" t="str">
        <f t="shared" si="37"/>
        <v/>
      </c>
      <c r="S177" s="55"/>
      <c r="T177" s="55"/>
      <c r="U177" s="55"/>
      <c r="V177" s="55" t="str">
        <f t="shared" si="38"/>
        <v/>
      </c>
      <c r="W177" s="55" t="str">
        <f t="shared" si="38"/>
        <v/>
      </c>
      <c r="X177" s="55" t="str">
        <f t="shared" si="39"/>
        <v/>
      </c>
      <c r="Y177" s="55" t="str">
        <f t="shared" si="39"/>
        <v/>
      </c>
    </row>
    <row r="178" spans="2:25" hidden="1" x14ac:dyDescent="0.25">
      <c r="B178">
        <v>81</v>
      </c>
      <c r="C178" t="str">
        <f t="shared" si="40"/>
        <v/>
      </c>
      <c r="D178" s="55" t="str">
        <f t="shared" si="42"/>
        <v/>
      </c>
      <c r="E178" s="55" t="str">
        <f t="shared" si="42"/>
        <v/>
      </c>
      <c r="F178" s="55" t="str">
        <f t="shared" si="43"/>
        <v/>
      </c>
      <c r="G178" s="55" t="str">
        <f t="shared" si="43"/>
        <v/>
      </c>
      <c r="H178" s="55" t="str">
        <f t="shared" si="44"/>
        <v/>
      </c>
      <c r="I178" s="55" t="str">
        <f t="shared" si="44"/>
        <v/>
      </c>
      <c r="J178" s="55" t="str">
        <f t="shared" si="45"/>
        <v/>
      </c>
      <c r="K178" s="55" t="str">
        <f t="shared" si="45"/>
        <v/>
      </c>
      <c r="M178">
        <v>81</v>
      </c>
      <c r="N178" t="str">
        <f t="shared" si="41"/>
        <v/>
      </c>
      <c r="O178" s="55" t="str">
        <f t="shared" ref="O178:P197" si="46">IF(ISNUMBER(O125),-ABS(O125),"")</f>
        <v/>
      </c>
      <c r="P178" s="55" t="str">
        <f t="shared" si="46"/>
        <v/>
      </c>
      <c r="Q178" s="55" t="str">
        <f t="shared" ref="Q178:R197" si="47">IF(ISNUMBER(Q125),ABS(Q125),"")</f>
        <v/>
      </c>
      <c r="R178" s="55" t="str">
        <f t="shared" si="47"/>
        <v/>
      </c>
      <c r="S178" s="55"/>
      <c r="T178" s="55"/>
      <c r="U178" s="55"/>
      <c r="V178" s="55" t="str">
        <f t="shared" ref="V178:W197" si="48">IF(ISNUMBER(V125),-ABS(V125),"")</f>
        <v/>
      </c>
      <c r="W178" s="55" t="str">
        <f t="shared" si="48"/>
        <v/>
      </c>
      <c r="X178" s="55" t="str">
        <f t="shared" ref="X178:Y197" si="49">IF(ISNUMBER(X125),ABS(X125),"")</f>
        <v/>
      </c>
      <c r="Y178" s="55" t="str">
        <f t="shared" si="49"/>
        <v/>
      </c>
    </row>
    <row r="179" spans="2:25" hidden="1" x14ac:dyDescent="0.25">
      <c r="B179">
        <v>82</v>
      </c>
      <c r="C179" t="str">
        <f t="shared" si="40"/>
        <v/>
      </c>
      <c r="D179" s="55" t="str">
        <f t="shared" si="42"/>
        <v/>
      </c>
      <c r="E179" s="55" t="str">
        <f t="shared" si="42"/>
        <v/>
      </c>
      <c r="F179" s="55" t="str">
        <f t="shared" si="43"/>
        <v/>
      </c>
      <c r="G179" s="55" t="str">
        <f t="shared" si="43"/>
        <v/>
      </c>
      <c r="H179" s="55" t="str">
        <f t="shared" si="44"/>
        <v/>
      </c>
      <c r="I179" s="55" t="str">
        <f t="shared" si="44"/>
        <v/>
      </c>
      <c r="J179" s="55" t="str">
        <f t="shared" si="45"/>
        <v/>
      </c>
      <c r="K179" s="55" t="str">
        <f t="shared" si="45"/>
        <v/>
      </c>
      <c r="M179">
        <v>82</v>
      </c>
      <c r="N179" t="str">
        <f t="shared" si="41"/>
        <v/>
      </c>
      <c r="O179" s="55" t="str">
        <f t="shared" si="46"/>
        <v/>
      </c>
      <c r="P179" s="55" t="str">
        <f t="shared" si="46"/>
        <v/>
      </c>
      <c r="Q179" s="55" t="str">
        <f t="shared" si="47"/>
        <v/>
      </c>
      <c r="R179" s="55" t="str">
        <f t="shared" si="47"/>
        <v/>
      </c>
      <c r="S179" s="55"/>
      <c r="T179" s="55"/>
      <c r="U179" s="55"/>
      <c r="V179" s="55" t="str">
        <f t="shared" si="48"/>
        <v/>
      </c>
      <c r="W179" s="55" t="str">
        <f t="shared" si="48"/>
        <v/>
      </c>
      <c r="X179" s="55" t="str">
        <f t="shared" si="49"/>
        <v/>
      </c>
      <c r="Y179" s="55" t="str">
        <f t="shared" si="49"/>
        <v/>
      </c>
    </row>
    <row r="180" spans="2:25" hidden="1" x14ac:dyDescent="0.25">
      <c r="B180">
        <v>83</v>
      </c>
      <c r="C180" t="str">
        <f t="shared" si="40"/>
        <v/>
      </c>
      <c r="D180" s="55" t="str">
        <f t="shared" si="42"/>
        <v/>
      </c>
      <c r="E180" s="55" t="str">
        <f t="shared" si="42"/>
        <v/>
      </c>
      <c r="F180" s="55" t="str">
        <f t="shared" si="43"/>
        <v/>
      </c>
      <c r="G180" s="55" t="str">
        <f t="shared" si="43"/>
        <v/>
      </c>
      <c r="H180" s="55" t="str">
        <f t="shared" si="44"/>
        <v/>
      </c>
      <c r="I180" s="55" t="str">
        <f t="shared" si="44"/>
        <v/>
      </c>
      <c r="J180" s="55" t="str">
        <f t="shared" si="45"/>
        <v/>
      </c>
      <c r="K180" s="55" t="str">
        <f t="shared" si="45"/>
        <v/>
      </c>
      <c r="M180">
        <v>83</v>
      </c>
      <c r="N180" t="str">
        <f t="shared" si="41"/>
        <v/>
      </c>
      <c r="O180" s="55" t="str">
        <f t="shared" si="46"/>
        <v/>
      </c>
      <c r="P180" s="55" t="str">
        <f t="shared" si="46"/>
        <v/>
      </c>
      <c r="Q180" s="55" t="str">
        <f t="shared" si="47"/>
        <v/>
      </c>
      <c r="R180" s="55" t="str">
        <f t="shared" si="47"/>
        <v/>
      </c>
      <c r="S180" s="55"/>
      <c r="T180" s="55"/>
      <c r="U180" s="55"/>
      <c r="V180" s="55" t="str">
        <f t="shared" si="48"/>
        <v/>
      </c>
      <c r="W180" s="55" t="str">
        <f t="shared" si="48"/>
        <v/>
      </c>
      <c r="X180" s="55" t="str">
        <f t="shared" si="49"/>
        <v/>
      </c>
      <c r="Y180" s="55" t="str">
        <f t="shared" si="49"/>
        <v/>
      </c>
    </row>
    <row r="181" spans="2:25" hidden="1" x14ac:dyDescent="0.25">
      <c r="B181">
        <v>84</v>
      </c>
      <c r="C181" t="str">
        <f t="shared" si="40"/>
        <v/>
      </c>
      <c r="D181" s="55" t="str">
        <f t="shared" si="42"/>
        <v/>
      </c>
      <c r="E181" s="55" t="str">
        <f t="shared" si="42"/>
        <v/>
      </c>
      <c r="F181" s="55" t="str">
        <f t="shared" si="43"/>
        <v/>
      </c>
      <c r="G181" s="55" t="str">
        <f t="shared" si="43"/>
        <v/>
      </c>
      <c r="H181" s="55" t="str">
        <f t="shared" si="44"/>
        <v/>
      </c>
      <c r="I181" s="55" t="str">
        <f t="shared" si="44"/>
        <v/>
      </c>
      <c r="J181" s="55" t="str">
        <f t="shared" si="45"/>
        <v/>
      </c>
      <c r="K181" s="55" t="str">
        <f t="shared" si="45"/>
        <v/>
      </c>
      <c r="M181">
        <v>84</v>
      </c>
      <c r="N181" t="str">
        <f t="shared" si="41"/>
        <v/>
      </c>
      <c r="O181" s="55" t="str">
        <f t="shared" si="46"/>
        <v/>
      </c>
      <c r="P181" s="55" t="str">
        <f t="shared" si="46"/>
        <v/>
      </c>
      <c r="Q181" s="55" t="str">
        <f t="shared" si="47"/>
        <v/>
      </c>
      <c r="R181" s="55" t="str">
        <f t="shared" si="47"/>
        <v/>
      </c>
      <c r="S181" s="55"/>
      <c r="T181" s="55"/>
      <c r="U181" s="55"/>
      <c r="V181" s="55" t="str">
        <f t="shared" si="48"/>
        <v/>
      </c>
      <c r="W181" s="55" t="str">
        <f t="shared" si="48"/>
        <v/>
      </c>
      <c r="X181" s="55" t="str">
        <f t="shared" si="49"/>
        <v/>
      </c>
      <c r="Y181" s="55" t="str">
        <f t="shared" si="49"/>
        <v/>
      </c>
    </row>
    <row r="182" spans="2:25" hidden="1" x14ac:dyDescent="0.25">
      <c r="B182">
        <v>85</v>
      </c>
      <c r="C182" t="str">
        <f t="shared" si="40"/>
        <v/>
      </c>
      <c r="D182" s="55" t="str">
        <f t="shared" si="42"/>
        <v/>
      </c>
      <c r="E182" s="55" t="str">
        <f t="shared" si="42"/>
        <v/>
      </c>
      <c r="F182" s="55" t="str">
        <f t="shared" si="43"/>
        <v/>
      </c>
      <c r="G182" s="55" t="str">
        <f t="shared" si="43"/>
        <v/>
      </c>
      <c r="H182" s="55" t="str">
        <f t="shared" si="44"/>
        <v/>
      </c>
      <c r="I182" s="55" t="str">
        <f t="shared" si="44"/>
        <v/>
      </c>
      <c r="J182" s="55" t="str">
        <f t="shared" si="45"/>
        <v/>
      </c>
      <c r="K182" s="55" t="str">
        <f t="shared" si="45"/>
        <v/>
      </c>
      <c r="M182">
        <v>85</v>
      </c>
      <c r="N182" t="str">
        <f t="shared" si="41"/>
        <v/>
      </c>
      <c r="O182" s="55" t="str">
        <f t="shared" si="46"/>
        <v/>
      </c>
      <c r="P182" s="55" t="str">
        <f t="shared" si="46"/>
        <v/>
      </c>
      <c r="Q182" s="55" t="str">
        <f t="shared" si="47"/>
        <v/>
      </c>
      <c r="R182" s="55" t="str">
        <f t="shared" si="47"/>
        <v/>
      </c>
      <c r="S182" s="55"/>
      <c r="T182" s="55"/>
      <c r="U182" s="55"/>
      <c r="V182" s="55" t="str">
        <f t="shared" si="48"/>
        <v/>
      </c>
      <c r="W182" s="55" t="str">
        <f t="shared" si="48"/>
        <v/>
      </c>
      <c r="X182" s="55" t="str">
        <f t="shared" si="49"/>
        <v/>
      </c>
      <c r="Y182" s="55" t="str">
        <f t="shared" si="49"/>
        <v/>
      </c>
    </row>
    <row r="183" spans="2:25" hidden="1" x14ac:dyDescent="0.25">
      <c r="B183">
        <v>86</v>
      </c>
      <c r="C183" t="str">
        <f t="shared" si="40"/>
        <v/>
      </c>
      <c r="D183" s="55" t="str">
        <f t="shared" si="42"/>
        <v/>
      </c>
      <c r="E183" s="55" t="str">
        <f t="shared" si="42"/>
        <v/>
      </c>
      <c r="F183" s="55" t="str">
        <f t="shared" si="43"/>
        <v/>
      </c>
      <c r="G183" s="55" t="str">
        <f t="shared" si="43"/>
        <v/>
      </c>
      <c r="H183" s="55" t="str">
        <f t="shared" si="44"/>
        <v/>
      </c>
      <c r="I183" s="55" t="str">
        <f t="shared" si="44"/>
        <v/>
      </c>
      <c r="J183" s="55" t="str">
        <f t="shared" si="45"/>
        <v/>
      </c>
      <c r="K183" s="55" t="str">
        <f t="shared" si="45"/>
        <v/>
      </c>
      <c r="M183">
        <v>86</v>
      </c>
      <c r="N183" t="str">
        <f t="shared" si="41"/>
        <v/>
      </c>
      <c r="O183" s="55" t="str">
        <f t="shared" si="46"/>
        <v/>
      </c>
      <c r="P183" s="55" t="str">
        <f t="shared" si="46"/>
        <v/>
      </c>
      <c r="Q183" s="55" t="str">
        <f t="shared" si="47"/>
        <v/>
      </c>
      <c r="R183" s="55" t="str">
        <f t="shared" si="47"/>
        <v/>
      </c>
      <c r="S183" s="55"/>
      <c r="T183" s="55"/>
      <c r="U183" s="55"/>
      <c r="V183" s="55" t="str">
        <f t="shared" si="48"/>
        <v/>
      </c>
      <c r="W183" s="55" t="str">
        <f t="shared" si="48"/>
        <v/>
      </c>
      <c r="X183" s="55" t="str">
        <f t="shared" si="49"/>
        <v/>
      </c>
      <c r="Y183" s="55" t="str">
        <f t="shared" si="49"/>
        <v/>
      </c>
    </row>
    <row r="184" spans="2:25" hidden="1" x14ac:dyDescent="0.25">
      <c r="B184">
        <v>87</v>
      </c>
      <c r="C184" t="str">
        <f t="shared" si="40"/>
        <v/>
      </c>
      <c r="D184" s="55" t="str">
        <f t="shared" si="42"/>
        <v/>
      </c>
      <c r="E184" s="55" t="str">
        <f t="shared" si="42"/>
        <v/>
      </c>
      <c r="F184" s="55" t="str">
        <f t="shared" si="43"/>
        <v/>
      </c>
      <c r="G184" s="55" t="str">
        <f t="shared" si="43"/>
        <v/>
      </c>
      <c r="H184" s="55" t="str">
        <f t="shared" si="44"/>
        <v/>
      </c>
      <c r="I184" s="55" t="str">
        <f t="shared" si="44"/>
        <v/>
      </c>
      <c r="J184" s="55" t="str">
        <f t="shared" si="45"/>
        <v/>
      </c>
      <c r="K184" s="55" t="str">
        <f t="shared" si="45"/>
        <v/>
      </c>
      <c r="M184">
        <v>87</v>
      </c>
      <c r="N184" t="str">
        <f t="shared" si="41"/>
        <v/>
      </c>
      <c r="O184" s="55" t="str">
        <f t="shared" si="46"/>
        <v/>
      </c>
      <c r="P184" s="55" t="str">
        <f t="shared" si="46"/>
        <v/>
      </c>
      <c r="Q184" s="55" t="str">
        <f t="shared" si="47"/>
        <v/>
      </c>
      <c r="R184" s="55" t="str">
        <f t="shared" si="47"/>
        <v/>
      </c>
      <c r="S184" s="55"/>
      <c r="T184" s="55"/>
      <c r="U184" s="55"/>
      <c r="V184" s="55" t="str">
        <f t="shared" si="48"/>
        <v/>
      </c>
      <c r="W184" s="55" t="str">
        <f t="shared" si="48"/>
        <v/>
      </c>
      <c r="X184" s="55" t="str">
        <f t="shared" si="49"/>
        <v/>
      </c>
      <c r="Y184" s="55" t="str">
        <f t="shared" si="49"/>
        <v/>
      </c>
    </row>
    <row r="185" spans="2:25" hidden="1" x14ac:dyDescent="0.25">
      <c r="B185">
        <v>88</v>
      </c>
      <c r="C185" t="str">
        <f t="shared" si="40"/>
        <v/>
      </c>
      <c r="D185" s="55" t="str">
        <f t="shared" si="42"/>
        <v/>
      </c>
      <c r="E185" s="55" t="str">
        <f t="shared" si="42"/>
        <v/>
      </c>
      <c r="F185" s="55" t="str">
        <f t="shared" si="43"/>
        <v/>
      </c>
      <c r="G185" s="55" t="str">
        <f t="shared" si="43"/>
        <v/>
      </c>
      <c r="H185" s="55" t="str">
        <f t="shared" si="44"/>
        <v/>
      </c>
      <c r="I185" s="55" t="str">
        <f t="shared" si="44"/>
        <v/>
      </c>
      <c r="J185" s="55" t="str">
        <f t="shared" si="45"/>
        <v/>
      </c>
      <c r="K185" s="55" t="str">
        <f t="shared" si="45"/>
        <v/>
      </c>
      <c r="M185">
        <v>88</v>
      </c>
      <c r="N185" t="str">
        <f t="shared" si="41"/>
        <v/>
      </c>
      <c r="O185" s="55" t="str">
        <f t="shared" si="46"/>
        <v/>
      </c>
      <c r="P185" s="55" t="str">
        <f t="shared" si="46"/>
        <v/>
      </c>
      <c r="Q185" s="55" t="str">
        <f t="shared" si="47"/>
        <v/>
      </c>
      <c r="R185" s="55" t="str">
        <f t="shared" si="47"/>
        <v/>
      </c>
      <c r="S185" s="55"/>
      <c r="T185" s="55"/>
      <c r="U185" s="55"/>
      <c r="V185" s="55" t="str">
        <f t="shared" si="48"/>
        <v/>
      </c>
      <c r="W185" s="55" t="str">
        <f t="shared" si="48"/>
        <v/>
      </c>
      <c r="X185" s="55" t="str">
        <f t="shared" si="49"/>
        <v/>
      </c>
      <c r="Y185" s="55" t="str">
        <f t="shared" si="49"/>
        <v/>
      </c>
    </row>
    <row r="186" spans="2:25" hidden="1" x14ac:dyDescent="0.25">
      <c r="B186">
        <v>89</v>
      </c>
      <c r="C186" t="str">
        <f t="shared" si="40"/>
        <v/>
      </c>
      <c r="D186" s="55" t="str">
        <f t="shared" si="42"/>
        <v/>
      </c>
      <c r="E186" s="55" t="str">
        <f t="shared" si="42"/>
        <v/>
      </c>
      <c r="F186" s="55" t="str">
        <f t="shared" si="43"/>
        <v/>
      </c>
      <c r="G186" s="55" t="str">
        <f t="shared" si="43"/>
        <v/>
      </c>
      <c r="H186" s="55" t="str">
        <f t="shared" si="44"/>
        <v/>
      </c>
      <c r="I186" s="55" t="str">
        <f t="shared" si="44"/>
        <v/>
      </c>
      <c r="J186" s="55" t="str">
        <f t="shared" si="45"/>
        <v/>
      </c>
      <c r="K186" s="55" t="str">
        <f t="shared" si="45"/>
        <v/>
      </c>
      <c r="M186">
        <v>89</v>
      </c>
      <c r="N186" t="str">
        <f t="shared" si="41"/>
        <v/>
      </c>
      <c r="O186" s="55" t="str">
        <f t="shared" si="46"/>
        <v/>
      </c>
      <c r="P186" s="55" t="str">
        <f t="shared" si="46"/>
        <v/>
      </c>
      <c r="Q186" s="55" t="str">
        <f t="shared" si="47"/>
        <v/>
      </c>
      <c r="R186" s="55" t="str">
        <f t="shared" si="47"/>
        <v/>
      </c>
      <c r="S186" s="55"/>
      <c r="T186" s="55"/>
      <c r="U186" s="55"/>
      <c r="V186" s="55" t="str">
        <f t="shared" si="48"/>
        <v/>
      </c>
      <c r="W186" s="55" t="str">
        <f t="shared" si="48"/>
        <v/>
      </c>
      <c r="X186" s="55" t="str">
        <f t="shared" si="49"/>
        <v/>
      </c>
      <c r="Y186" s="55" t="str">
        <f t="shared" si="49"/>
        <v/>
      </c>
    </row>
    <row r="187" spans="2:25" hidden="1" x14ac:dyDescent="0.25">
      <c r="B187">
        <v>90</v>
      </c>
      <c r="C187" t="str">
        <f t="shared" si="40"/>
        <v/>
      </c>
      <c r="D187" s="55" t="str">
        <f t="shared" si="42"/>
        <v/>
      </c>
      <c r="E187" s="55" t="str">
        <f t="shared" si="42"/>
        <v/>
      </c>
      <c r="F187" s="55" t="str">
        <f t="shared" si="43"/>
        <v/>
      </c>
      <c r="G187" s="55" t="str">
        <f t="shared" si="43"/>
        <v/>
      </c>
      <c r="H187" s="55" t="str">
        <f t="shared" si="44"/>
        <v/>
      </c>
      <c r="I187" s="55" t="str">
        <f t="shared" si="44"/>
        <v/>
      </c>
      <c r="J187" s="55" t="str">
        <f t="shared" si="45"/>
        <v/>
      </c>
      <c r="K187" s="55" t="str">
        <f t="shared" si="45"/>
        <v/>
      </c>
      <c r="M187">
        <v>90</v>
      </c>
      <c r="N187" t="str">
        <f t="shared" si="41"/>
        <v/>
      </c>
      <c r="O187" s="55" t="str">
        <f t="shared" si="46"/>
        <v/>
      </c>
      <c r="P187" s="55" t="str">
        <f t="shared" si="46"/>
        <v/>
      </c>
      <c r="Q187" s="55" t="str">
        <f t="shared" si="47"/>
        <v/>
      </c>
      <c r="R187" s="55" t="str">
        <f t="shared" si="47"/>
        <v/>
      </c>
      <c r="S187" s="55"/>
      <c r="T187" s="55"/>
      <c r="U187" s="55"/>
      <c r="V187" s="55" t="str">
        <f t="shared" si="48"/>
        <v/>
      </c>
      <c r="W187" s="55" t="str">
        <f t="shared" si="48"/>
        <v/>
      </c>
      <c r="X187" s="55" t="str">
        <f t="shared" si="49"/>
        <v/>
      </c>
      <c r="Y187" s="55" t="str">
        <f t="shared" si="49"/>
        <v/>
      </c>
    </row>
    <row r="188" spans="2:25" hidden="1" x14ac:dyDescent="0.25">
      <c r="B188">
        <v>91</v>
      </c>
      <c r="C188" t="str">
        <f t="shared" si="40"/>
        <v/>
      </c>
      <c r="D188" s="55" t="str">
        <f t="shared" si="42"/>
        <v/>
      </c>
      <c r="E188" s="55" t="str">
        <f t="shared" si="42"/>
        <v/>
      </c>
      <c r="F188" s="55" t="str">
        <f t="shared" si="43"/>
        <v/>
      </c>
      <c r="G188" s="55" t="str">
        <f t="shared" si="43"/>
        <v/>
      </c>
      <c r="H188" s="55" t="str">
        <f t="shared" si="44"/>
        <v/>
      </c>
      <c r="I188" s="55" t="str">
        <f t="shared" si="44"/>
        <v/>
      </c>
      <c r="J188" s="55" t="str">
        <f t="shared" si="45"/>
        <v/>
      </c>
      <c r="K188" s="55" t="str">
        <f t="shared" si="45"/>
        <v/>
      </c>
      <c r="M188">
        <v>91</v>
      </c>
      <c r="N188" t="str">
        <f t="shared" si="41"/>
        <v/>
      </c>
      <c r="O188" s="55" t="str">
        <f t="shared" si="46"/>
        <v/>
      </c>
      <c r="P188" s="55" t="str">
        <f t="shared" si="46"/>
        <v/>
      </c>
      <c r="Q188" s="55" t="str">
        <f t="shared" si="47"/>
        <v/>
      </c>
      <c r="R188" s="55" t="str">
        <f t="shared" si="47"/>
        <v/>
      </c>
      <c r="S188" s="55"/>
      <c r="T188" s="55"/>
      <c r="U188" s="55"/>
      <c r="V188" s="55" t="str">
        <f t="shared" si="48"/>
        <v/>
      </c>
      <c r="W188" s="55" t="str">
        <f t="shared" si="48"/>
        <v/>
      </c>
      <c r="X188" s="55" t="str">
        <f t="shared" si="49"/>
        <v/>
      </c>
      <c r="Y188" s="55" t="str">
        <f t="shared" si="49"/>
        <v/>
      </c>
    </row>
    <row r="189" spans="2:25" hidden="1" x14ac:dyDescent="0.25">
      <c r="B189">
        <v>92</v>
      </c>
      <c r="C189" t="str">
        <f t="shared" si="40"/>
        <v/>
      </c>
      <c r="D189" s="55" t="str">
        <f t="shared" si="42"/>
        <v/>
      </c>
      <c r="E189" s="55" t="str">
        <f t="shared" si="42"/>
        <v/>
      </c>
      <c r="F189" s="55" t="str">
        <f t="shared" si="43"/>
        <v/>
      </c>
      <c r="G189" s="55" t="str">
        <f t="shared" si="43"/>
        <v/>
      </c>
      <c r="H189" s="55" t="str">
        <f t="shared" si="44"/>
        <v/>
      </c>
      <c r="I189" s="55" t="str">
        <f t="shared" si="44"/>
        <v/>
      </c>
      <c r="J189" s="55" t="str">
        <f t="shared" si="45"/>
        <v/>
      </c>
      <c r="K189" s="55" t="str">
        <f t="shared" si="45"/>
        <v/>
      </c>
      <c r="M189">
        <v>92</v>
      </c>
      <c r="N189" t="str">
        <f t="shared" si="41"/>
        <v/>
      </c>
      <c r="O189" s="55" t="str">
        <f t="shared" si="46"/>
        <v/>
      </c>
      <c r="P189" s="55" t="str">
        <f t="shared" si="46"/>
        <v/>
      </c>
      <c r="Q189" s="55" t="str">
        <f t="shared" si="47"/>
        <v/>
      </c>
      <c r="R189" s="55" t="str">
        <f t="shared" si="47"/>
        <v/>
      </c>
      <c r="S189" s="55"/>
      <c r="T189" s="55"/>
      <c r="U189" s="55"/>
      <c r="V189" s="55" t="str">
        <f t="shared" si="48"/>
        <v/>
      </c>
      <c r="W189" s="55" t="str">
        <f t="shared" si="48"/>
        <v/>
      </c>
      <c r="X189" s="55" t="str">
        <f t="shared" si="49"/>
        <v/>
      </c>
      <c r="Y189" s="55" t="str">
        <f t="shared" si="49"/>
        <v/>
      </c>
    </row>
    <row r="190" spans="2:25" hidden="1" x14ac:dyDescent="0.25">
      <c r="B190">
        <v>93</v>
      </c>
      <c r="C190" t="str">
        <f t="shared" si="40"/>
        <v/>
      </c>
      <c r="D190" s="55" t="str">
        <f t="shared" ref="D190:E209" si="50">IF(ISNUMBER(D138),-ABS(D138),"")</f>
        <v/>
      </c>
      <c r="E190" s="55" t="str">
        <f t="shared" si="50"/>
        <v/>
      </c>
      <c r="F190" s="55" t="str">
        <f t="shared" ref="F190:G209" si="51">IF(ISNUMBER(F138),ABS(F138),"")</f>
        <v/>
      </c>
      <c r="G190" s="55" t="str">
        <f t="shared" si="51"/>
        <v/>
      </c>
      <c r="H190" s="55" t="str">
        <f t="shared" ref="H190:I209" si="52">IF(ISNUMBER(H138),-ABS(H138),"")</f>
        <v/>
      </c>
      <c r="I190" s="55" t="str">
        <f t="shared" si="52"/>
        <v/>
      </c>
      <c r="J190" s="55" t="str">
        <f t="shared" ref="J190:K209" si="53">IF(ISNUMBER(J138),ABS(J138),"")</f>
        <v/>
      </c>
      <c r="K190" s="55" t="str">
        <f t="shared" si="53"/>
        <v/>
      </c>
      <c r="M190">
        <v>93</v>
      </c>
      <c r="N190" t="str">
        <f t="shared" si="41"/>
        <v/>
      </c>
      <c r="O190" s="55" t="str">
        <f t="shared" si="46"/>
        <v/>
      </c>
      <c r="P190" s="55" t="str">
        <f t="shared" si="46"/>
        <v/>
      </c>
      <c r="Q190" s="55" t="str">
        <f t="shared" si="47"/>
        <v/>
      </c>
      <c r="R190" s="55" t="str">
        <f t="shared" si="47"/>
        <v/>
      </c>
      <c r="S190" s="55"/>
      <c r="T190" s="55"/>
      <c r="U190" s="55"/>
      <c r="V190" s="55" t="str">
        <f t="shared" si="48"/>
        <v/>
      </c>
      <c r="W190" s="55" t="str">
        <f t="shared" si="48"/>
        <v/>
      </c>
      <c r="X190" s="55" t="str">
        <f t="shared" si="49"/>
        <v/>
      </c>
      <c r="Y190" s="55" t="str">
        <f t="shared" si="49"/>
        <v/>
      </c>
    </row>
    <row r="191" spans="2:25" hidden="1" x14ac:dyDescent="0.25">
      <c r="B191">
        <v>94</v>
      </c>
      <c r="C191" t="str">
        <f t="shared" si="40"/>
        <v/>
      </c>
      <c r="D191" s="55" t="str">
        <f t="shared" si="50"/>
        <v/>
      </c>
      <c r="E191" s="55" t="str">
        <f t="shared" si="50"/>
        <v/>
      </c>
      <c r="F191" s="55" t="str">
        <f t="shared" si="51"/>
        <v/>
      </c>
      <c r="G191" s="55" t="str">
        <f t="shared" si="51"/>
        <v/>
      </c>
      <c r="H191" s="55" t="str">
        <f t="shared" si="52"/>
        <v/>
      </c>
      <c r="I191" s="55" t="str">
        <f t="shared" si="52"/>
        <v/>
      </c>
      <c r="J191" s="55" t="str">
        <f t="shared" si="53"/>
        <v/>
      </c>
      <c r="K191" s="55" t="str">
        <f t="shared" si="53"/>
        <v/>
      </c>
      <c r="M191">
        <v>94</v>
      </c>
      <c r="N191" t="str">
        <f t="shared" si="41"/>
        <v/>
      </c>
      <c r="O191" s="55" t="str">
        <f t="shared" si="46"/>
        <v/>
      </c>
      <c r="P191" s="55" t="str">
        <f t="shared" si="46"/>
        <v/>
      </c>
      <c r="Q191" s="55" t="str">
        <f t="shared" si="47"/>
        <v/>
      </c>
      <c r="R191" s="55" t="str">
        <f t="shared" si="47"/>
        <v/>
      </c>
      <c r="S191" s="55"/>
      <c r="T191" s="55"/>
      <c r="U191" s="55"/>
      <c r="V191" s="55" t="str">
        <f t="shared" si="48"/>
        <v/>
      </c>
      <c r="W191" s="55" t="str">
        <f t="shared" si="48"/>
        <v/>
      </c>
      <c r="X191" s="55" t="str">
        <f t="shared" si="49"/>
        <v/>
      </c>
      <c r="Y191" s="55" t="str">
        <f t="shared" si="49"/>
        <v/>
      </c>
    </row>
    <row r="192" spans="2:25" hidden="1" x14ac:dyDescent="0.25">
      <c r="B192">
        <v>95</v>
      </c>
      <c r="C192" t="str">
        <f t="shared" si="40"/>
        <v/>
      </c>
      <c r="D192" s="55" t="str">
        <f t="shared" si="50"/>
        <v/>
      </c>
      <c r="E192" s="55" t="str">
        <f t="shared" si="50"/>
        <v/>
      </c>
      <c r="F192" s="55" t="str">
        <f t="shared" si="51"/>
        <v/>
      </c>
      <c r="G192" s="55" t="str">
        <f t="shared" si="51"/>
        <v/>
      </c>
      <c r="H192" s="55" t="str">
        <f t="shared" si="52"/>
        <v/>
      </c>
      <c r="I192" s="55" t="str">
        <f t="shared" si="52"/>
        <v/>
      </c>
      <c r="J192" s="55" t="str">
        <f t="shared" si="53"/>
        <v/>
      </c>
      <c r="K192" s="55" t="str">
        <f t="shared" si="53"/>
        <v/>
      </c>
      <c r="M192">
        <v>95</v>
      </c>
      <c r="N192" t="str">
        <f t="shared" si="41"/>
        <v/>
      </c>
      <c r="O192" s="55" t="str">
        <f t="shared" si="46"/>
        <v/>
      </c>
      <c r="P192" s="55" t="str">
        <f t="shared" si="46"/>
        <v/>
      </c>
      <c r="Q192" s="55" t="str">
        <f t="shared" si="47"/>
        <v/>
      </c>
      <c r="R192" s="55" t="str">
        <f t="shared" si="47"/>
        <v/>
      </c>
      <c r="S192" s="55"/>
      <c r="T192" s="55"/>
      <c r="U192" s="55"/>
      <c r="V192" s="55" t="str">
        <f t="shared" si="48"/>
        <v/>
      </c>
      <c r="W192" s="55" t="str">
        <f t="shared" si="48"/>
        <v/>
      </c>
      <c r="X192" s="55" t="str">
        <f t="shared" si="49"/>
        <v/>
      </c>
      <c r="Y192" s="55" t="str">
        <f t="shared" si="49"/>
        <v/>
      </c>
    </row>
    <row r="193" spans="2:25" hidden="1" x14ac:dyDescent="0.25">
      <c r="B193">
        <v>96</v>
      </c>
      <c r="C193" t="str">
        <f t="shared" si="40"/>
        <v/>
      </c>
      <c r="D193" s="55" t="str">
        <f t="shared" si="50"/>
        <v/>
      </c>
      <c r="E193" s="55" t="str">
        <f t="shared" si="50"/>
        <v/>
      </c>
      <c r="F193" s="55" t="str">
        <f t="shared" si="51"/>
        <v/>
      </c>
      <c r="G193" s="55" t="str">
        <f t="shared" si="51"/>
        <v/>
      </c>
      <c r="H193" s="55" t="str">
        <f t="shared" si="52"/>
        <v/>
      </c>
      <c r="I193" s="55" t="str">
        <f t="shared" si="52"/>
        <v/>
      </c>
      <c r="J193" s="55" t="str">
        <f t="shared" si="53"/>
        <v/>
      </c>
      <c r="K193" s="55" t="str">
        <f t="shared" si="53"/>
        <v/>
      </c>
      <c r="M193">
        <v>96</v>
      </c>
      <c r="N193" t="str">
        <f t="shared" si="41"/>
        <v/>
      </c>
      <c r="O193" s="55" t="str">
        <f t="shared" si="46"/>
        <v/>
      </c>
      <c r="P193" s="55" t="str">
        <f t="shared" si="46"/>
        <v/>
      </c>
      <c r="Q193" s="55" t="str">
        <f t="shared" si="47"/>
        <v/>
      </c>
      <c r="R193" s="55" t="str">
        <f t="shared" si="47"/>
        <v/>
      </c>
      <c r="S193" s="55"/>
      <c r="T193" s="55"/>
      <c r="U193" s="55"/>
      <c r="V193" s="55" t="str">
        <f t="shared" si="48"/>
        <v/>
      </c>
      <c r="W193" s="55" t="str">
        <f t="shared" si="48"/>
        <v/>
      </c>
      <c r="X193" s="55" t="str">
        <f t="shared" si="49"/>
        <v/>
      </c>
      <c r="Y193" s="55" t="str">
        <f t="shared" si="49"/>
        <v/>
      </c>
    </row>
    <row r="194" spans="2:25" hidden="1" x14ac:dyDescent="0.25">
      <c r="B194">
        <v>97</v>
      </c>
      <c r="C194" t="str">
        <f t="shared" ref="C194:C225" si="54">IF(ISNUMBER(D194),B194,"")</f>
        <v/>
      </c>
      <c r="D194" s="55" t="str">
        <f t="shared" si="50"/>
        <v/>
      </c>
      <c r="E194" s="55" t="str">
        <f t="shared" si="50"/>
        <v/>
      </c>
      <c r="F194" s="55" t="str">
        <f t="shared" si="51"/>
        <v/>
      </c>
      <c r="G194" s="55" t="str">
        <f t="shared" si="51"/>
        <v/>
      </c>
      <c r="H194" s="55" t="str">
        <f t="shared" si="52"/>
        <v/>
      </c>
      <c r="I194" s="55" t="str">
        <f t="shared" si="52"/>
        <v/>
      </c>
      <c r="J194" s="55" t="str">
        <f t="shared" si="53"/>
        <v/>
      </c>
      <c r="K194" s="55" t="str">
        <f t="shared" si="53"/>
        <v/>
      </c>
      <c r="M194">
        <v>97</v>
      </c>
      <c r="N194" t="str">
        <f t="shared" ref="N194:N225" si="55">IF(ISNUMBER(O194),M194,"")</f>
        <v/>
      </c>
      <c r="O194" s="55" t="str">
        <f t="shared" si="46"/>
        <v/>
      </c>
      <c r="P194" s="55" t="str">
        <f t="shared" si="46"/>
        <v/>
      </c>
      <c r="Q194" s="55" t="str">
        <f t="shared" si="47"/>
        <v/>
      </c>
      <c r="R194" s="55" t="str">
        <f t="shared" si="47"/>
        <v/>
      </c>
      <c r="S194" s="55"/>
      <c r="T194" s="55"/>
      <c r="U194" s="55"/>
      <c r="V194" s="55" t="str">
        <f t="shared" si="48"/>
        <v/>
      </c>
      <c r="W194" s="55" t="str">
        <f t="shared" si="48"/>
        <v/>
      </c>
      <c r="X194" s="55" t="str">
        <f t="shared" si="49"/>
        <v/>
      </c>
      <c r="Y194" s="55" t="str">
        <f t="shared" si="49"/>
        <v/>
      </c>
    </row>
    <row r="195" spans="2:25" hidden="1" x14ac:dyDescent="0.25">
      <c r="B195">
        <v>98</v>
      </c>
      <c r="C195" t="str">
        <f t="shared" si="54"/>
        <v/>
      </c>
      <c r="D195" s="55" t="str">
        <f t="shared" si="50"/>
        <v/>
      </c>
      <c r="E195" s="55" t="str">
        <f t="shared" si="50"/>
        <v/>
      </c>
      <c r="F195" s="55" t="str">
        <f t="shared" si="51"/>
        <v/>
      </c>
      <c r="G195" s="55" t="str">
        <f t="shared" si="51"/>
        <v/>
      </c>
      <c r="H195" s="55" t="str">
        <f t="shared" si="52"/>
        <v/>
      </c>
      <c r="I195" s="55" t="str">
        <f t="shared" si="52"/>
        <v/>
      </c>
      <c r="J195" s="55" t="str">
        <f t="shared" si="53"/>
        <v/>
      </c>
      <c r="K195" s="55" t="str">
        <f t="shared" si="53"/>
        <v/>
      </c>
      <c r="M195">
        <v>98</v>
      </c>
      <c r="N195" t="str">
        <f t="shared" si="55"/>
        <v/>
      </c>
      <c r="O195" s="55" t="str">
        <f t="shared" si="46"/>
        <v/>
      </c>
      <c r="P195" s="55" t="str">
        <f t="shared" si="46"/>
        <v/>
      </c>
      <c r="Q195" s="55" t="str">
        <f t="shared" si="47"/>
        <v/>
      </c>
      <c r="R195" s="55" t="str">
        <f t="shared" si="47"/>
        <v/>
      </c>
      <c r="S195" s="55"/>
      <c r="T195" s="55"/>
      <c r="U195" s="55"/>
      <c r="V195" s="55" t="str">
        <f t="shared" si="48"/>
        <v/>
      </c>
      <c r="W195" s="55" t="str">
        <f t="shared" si="48"/>
        <v/>
      </c>
      <c r="X195" s="55" t="str">
        <f t="shared" si="49"/>
        <v/>
      </c>
      <c r="Y195" s="55" t="str">
        <f t="shared" si="49"/>
        <v/>
      </c>
    </row>
    <row r="196" spans="2:25" hidden="1" x14ac:dyDescent="0.25">
      <c r="B196">
        <v>99</v>
      </c>
      <c r="C196" t="str">
        <f t="shared" si="54"/>
        <v/>
      </c>
      <c r="D196" s="55" t="str">
        <f t="shared" si="50"/>
        <v/>
      </c>
      <c r="E196" s="55" t="str">
        <f t="shared" si="50"/>
        <v/>
      </c>
      <c r="F196" s="55" t="str">
        <f t="shared" si="51"/>
        <v/>
      </c>
      <c r="G196" s="55" t="str">
        <f t="shared" si="51"/>
        <v/>
      </c>
      <c r="H196" s="55" t="str">
        <f t="shared" si="52"/>
        <v/>
      </c>
      <c r="I196" s="55" t="str">
        <f t="shared" si="52"/>
        <v/>
      </c>
      <c r="J196" s="55" t="str">
        <f t="shared" si="53"/>
        <v/>
      </c>
      <c r="K196" s="55" t="str">
        <f t="shared" si="53"/>
        <v/>
      </c>
      <c r="M196">
        <v>99</v>
      </c>
      <c r="N196" t="str">
        <f t="shared" si="55"/>
        <v/>
      </c>
      <c r="O196" s="55" t="str">
        <f t="shared" si="46"/>
        <v/>
      </c>
      <c r="P196" s="55" t="str">
        <f t="shared" si="46"/>
        <v/>
      </c>
      <c r="Q196" s="55" t="str">
        <f t="shared" si="47"/>
        <v/>
      </c>
      <c r="R196" s="55" t="str">
        <f t="shared" si="47"/>
        <v/>
      </c>
      <c r="S196" s="55"/>
      <c r="T196" s="55"/>
      <c r="U196" s="55"/>
      <c r="V196" s="55" t="str">
        <f t="shared" si="48"/>
        <v/>
      </c>
      <c r="W196" s="55" t="str">
        <f t="shared" si="48"/>
        <v/>
      </c>
      <c r="X196" s="55" t="str">
        <f t="shared" si="49"/>
        <v/>
      </c>
      <c r="Y196" s="55" t="str">
        <f t="shared" si="49"/>
        <v/>
      </c>
    </row>
    <row r="197" spans="2:25" hidden="1" x14ac:dyDescent="0.25">
      <c r="B197">
        <v>100</v>
      </c>
      <c r="C197" t="str">
        <f t="shared" si="54"/>
        <v/>
      </c>
      <c r="D197" s="55" t="str">
        <f t="shared" si="50"/>
        <v/>
      </c>
      <c r="E197" s="55" t="str">
        <f t="shared" si="50"/>
        <v/>
      </c>
      <c r="F197" s="55" t="str">
        <f t="shared" si="51"/>
        <v/>
      </c>
      <c r="G197" s="55" t="str">
        <f t="shared" si="51"/>
        <v/>
      </c>
      <c r="H197" s="55" t="str">
        <f t="shared" si="52"/>
        <v/>
      </c>
      <c r="I197" s="55" t="str">
        <f t="shared" si="52"/>
        <v/>
      </c>
      <c r="J197" s="55" t="str">
        <f t="shared" si="53"/>
        <v/>
      </c>
      <c r="K197" s="55" t="str">
        <f t="shared" si="53"/>
        <v/>
      </c>
      <c r="M197">
        <v>100</v>
      </c>
      <c r="N197" t="str">
        <f t="shared" si="55"/>
        <v/>
      </c>
      <c r="O197" s="55" t="str">
        <f t="shared" si="46"/>
        <v/>
      </c>
      <c r="P197" s="55" t="str">
        <f t="shared" si="46"/>
        <v/>
      </c>
      <c r="Q197" s="55" t="str">
        <f t="shared" si="47"/>
        <v/>
      </c>
      <c r="R197" s="55" t="str">
        <f t="shared" si="47"/>
        <v/>
      </c>
      <c r="S197" s="55"/>
      <c r="T197" s="55"/>
      <c r="U197" s="55"/>
      <c r="V197" s="55" t="str">
        <f t="shared" si="48"/>
        <v/>
      </c>
      <c r="W197" s="55" t="str">
        <f t="shared" si="48"/>
        <v/>
      </c>
      <c r="X197" s="55" t="str">
        <f t="shared" si="49"/>
        <v/>
      </c>
      <c r="Y197" s="55" t="str">
        <f t="shared" si="49"/>
        <v/>
      </c>
    </row>
    <row r="198" spans="2:25" hidden="1" x14ac:dyDescent="0.25">
      <c r="B198">
        <v>101</v>
      </c>
      <c r="C198" t="str">
        <f t="shared" si="54"/>
        <v/>
      </c>
      <c r="D198" s="55" t="str">
        <f t="shared" si="50"/>
        <v/>
      </c>
      <c r="E198" s="55" t="str">
        <f t="shared" si="50"/>
        <v/>
      </c>
      <c r="F198" s="55" t="str">
        <f t="shared" si="51"/>
        <v/>
      </c>
      <c r="G198" s="55" t="str">
        <f t="shared" si="51"/>
        <v/>
      </c>
      <c r="H198" s="55" t="str">
        <f t="shared" si="52"/>
        <v/>
      </c>
      <c r="I198" s="55" t="str">
        <f t="shared" si="52"/>
        <v/>
      </c>
      <c r="J198" s="55" t="str">
        <f t="shared" si="53"/>
        <v/>
      </c>
      <c r="K198" s="55" t="str">
        <f t="shared" si="53"/>
        <v/>
      </c>
      <c r="M198">
        <v>101</v>
      </c>
      <c r="N198" t="str">
        <f t="shared" si="55"/>
        <v/>
      </c>
      <c r="O198" s="55" t="str">
        <f t="shared" ref="O198:P217" si="56">IF(ISNUMBER(O145),-ABS(O145),"")</f>
        <v/>
      </c>
      <c r="P198" s="55" t="str">
        <f t="shared" si="56"/>
        <v/>
      </c>
      <c r="Q198" s="55" t="str">
        <f t="shared" ref="Q198:R217" si="57">IF(ISNUMBER(Q145),ABS(Q145),"")</f>
        <v/>
      </c>
      <c r="R198" s="55" t="str">
        <f t="shared" si="57"/>
        <v/>
      </c>
      <c r="S198" s="55"/>
      <c r="T198" s="55"/>
      <c r="U198" s="55"/>
      <c r="V198" s="55" t="str">
        <f t="shared" ref="V198:W217" si="58">IF(ISNUMBER(V145),-ABS(V145),"")</f>
        <v/>
      </c>
      <c r="W198" s="55" t="str">
        <f t="shared" si="58"/>
        <v/>
      </c>
      <c r="X198" s="55" t="str">
        <f t="shared" ref="X198:Y217" si="59">IF(ISNUMBER(X145),ABS(X145),"")</f>
        <v/>
      </c>
      <c r="Y198" s="55" t="str">
        <f t="shared" si="59"/>
        <v/>
      </c>
    </row>
    <row r="199" spans="2:25" hidden="1" x14ac:dyDescent="0.25">
      <c r="B199">
        <v>102</v>
      </c>
      <c r="C199" t="str">
        <f t="shared" si="54"/>
        <v/>
      </c>
      <c r="D199" s="55" t="str">
        <f t="shared" si="50"/>
        <v/>
      </c>
      <c r="E199" s="55" t="str">
        <f t="shared" si="50"/>
        <v/>
      </c>
      <c r="F199" s="55" t="str">
        <f t="shared" si="51"/>
        <v/>
      </c>
      <c r="G199" s="55" t="str">
        <f t="shared" si="51"/>
        <v/>
      </c>
      <c r="H199" s="55" t="str">
        <f t="shared" si="52"/>
        <v/>
      </c>
      <c r="I199" s="55" t="str">
        <f t="shared" si="52"/>
        <v/>
      </c>
      <c r="J199" s="55" t="str">
        <f t="shared" si="53"/>
        <v/>
      </c>
      <c r="K199" s="55" t="str">
        <f t="shared" si="53"/>
        <v/>
      </c>
      <c r="M199">
        <v>102</v>
      </c>
      <c r="N199" t="str">
        <f t="shared" si="55"/>
        <v/>
      </c>
      <c r="O199" s="55" t="str">
        <f t="shared" si="56"/>
        <v/>
      </c>
      <c r="P199" s="55" t="str">
        <f t="shared" si="56"/>
        <v/>
      </c>
      <c r="Q199" s="55" t="str">
        <f t="shared" si="57"/>
        <v/>
      </c>
      <c r="R199" s="55" t="str">
        <f t="shared" si="57"/>
        <v/>
      </c>
      <c r="S199" s="55"/>
      <c r="T199" s="55"/>
      <c r="U199" s="55"/>
      <c r="V199" s="55" t="str">
        <f t="shared" si="58"/>
        <v/>
      </c>
      <c r="W199" s="55" t="str">
        <f t="shared" si="58"/>
        <v/>
      </c>
      <c r="X199" s="55" t="str">
        <f t="shared" si="59"/>
        <v/>
      </c>
      <c r="Y199" s="55" t="str">
        <f t="shared" si="59"/>
        <v/>
      </c>
    </row>
    <row r="200" spans="2:25" hidden="1" x14ac:dyDescent="0.25">
      <c r="B200">
        <v>103</v>
      </c>
      <c r="C200" t="str">
        <f t="shared" si="54"/>
        <v/>
      </c>
      <c r="D200" s="55" t="str">
        <f t="shared" si="50"/>
        <v/>
      </c>
      <c r="E200" s="55" t="str">
        <f t="shared" si="50"/>
        <v/>
      </c>
      <c r="F200" s="55" t="str">
        <f t="shared" si="51"/>
        <v/>
      </c>
      <c r="G200" s="55" t="str">
        <f t="shared" si="51"/>
        <v/>
      </c>
      <c r="H200" s="55" t="str">
        <f t="shared" si="52"/>
        <v/>
      </c>
      <c r="I200" s="55" t="str">
        <f t="shared" si="52"/>
        <v/>
      </c>
      <c r="J200" s="55" t="str">
        <f t="shared" si="53"/>
        <v/>
      </c>
      <c r="K200" s="55" t="str">
        <f t="shared" si="53"/>
        <v/>
      </c>
      <c r="M200">
        <v>103</v>
      </c>
      <c r="N200" t="str">
        <f t="shared" si="55"/>
        <v/>
      </c>
      <c r="O200" s="55" t="str">
        <f t="shared" si="56"/>
        <v/>
      </c>
      <c r="P200" s="55" t="str">
        <f t="shared" si="56"/>
        <v/>
      </c>
      <c r="Q200" s="55" t="str">
        <f t="shared" si="57"/>
        <v/>
      </c>
      <c r="R200" s="55" t="str">
        <f t="shared" si="57"/>
        <v/>
      </c>
      <c r="S200" s="55"/>
      <c r="T200" s="55"/>
      <c r="U200" s="55"/>
      <c r="V200" s="55" t="str">
        <f t="shared" si="58"/>
        <v/>
      </c>
      <c r="W200" s="55" t="str">
        <f t="shared" si="58"/>
        <v/>
      </c>
      <c r="X200" s="55" t="str">
        <f t="shared" si="59"/>
        <v/>
      </c>
      <c r="Y200" s="55" t="str">
        <f t="shared" si="59"/>
        <v/>
      </c>
    </row>
    <row r="201" spans="2:25" hidden="1" x14ac:dyDescent="0.25">
      <c r="B201">
        <v>104</v>
      </c>
      <c r="C201" t="str">
        <f t="shared" si="54"/>
        <v/>
      </c>
      <c r="D201" s="55" t="str">
        <f t="shared" si="50"/>
        <v/>
      </c>
      <c r="E201" s="55" t="str">
        <f t="shared" si="50"/>
        <v/>
      </c>
      <c r="F201" s="55" t="str">
        <f t="shared" si="51"/>
        <v/>
      </c>
      <c r="G201" s="55" t="str">
        <f t="shared" si="51"/>
        <v/>
      </c>
      <c r="H201" s="55" t="str">
        <f t="shared" si="52"/>
        <v/>
      </c>
      <c r="I201" s="55" t="str">
        <f t="shared" si="52"/>
        <v/>
      </c>
      <c r="J201" s="55" t="str">
        <f t="shared" si="53"/>
        <v/>
      </c>
      <c r="K201" s="55" t="str">
        <f t="shared" si="53"/>
        <v/>
      </c>
      <c r="M201">
        <v>104</v>
      </c>
      <c r="N201" t="str">
        <f t="shared" si="55"/>
        <v/>
      </c>
      <c r="O201" s="55" t="str">
        <f t="shared" si="56"/>
        <v/>
      </c>
      <c r="P201" s="55" t="str">
        <f t="shared" si="56"/>
        <v/>
      </c>
      <c r="Q201" s="55" t="str">
        <f t="shared" si="57"/>
        <v/>
      </c>
      <c r="R201" s="55" t="str">
        <f t="shared" si="57"/>
        <v/>
      </c>
      <c r="S201" s="55"/>
      <c r="T201" s="55"/>
      <c r="U201" s="55"/>
      <c r="V201" s="55" t="str">
        <f t="shared" si="58"/>
        <v/>
      </c>
      <c r="W201" s="55" t="str">
        <f t="shared" si="58"/>
        <v/>
      </c>
      <c r="X201" s="55" t="str">
        <f t="shared" si="59"/>
        <v/>
      </c>
      <c r="Y201" s="55" t="str">
        <f t="shared" si="59"/>
        <v/>
      </c>
    </row>
    <row r="202" spans="2:25" hidden="1" x14ac:dyDescent="0.25">
      <c r="B202">
        <v>105</v>
      </c>
      <c r="C202" t="str">
        <f t="shared" si="54"/>
        <v/>
      </c>
      <c r="D202" s="55" t="str">
        <f t="shared" si="50"/>
        <v/>
      </c>
      <c r="E202" s="55" t="str">
        <f t="shared" si="50"/>
        <v/>
      </c>
      <c r="F202" s="55" t="str">
        <f t="shared" si="51"/>
        <v/>
      </c>
      <c r="G202" s="55" t="str">
        <f t="shared" si="51"/>
        <v/>
      </c>
      <c r="H202" s="55" t="str">
        <f t="shared" si="52"/>
        <v/>
      </c>
      <c r="I202" s="55" t="str">
        <f t="shared" si="52"/>
        <v/>
      </c>
      <c r="J202" s="55" t="str">
        <f t="shared" si="53"/>
        <v/>
      </c>
      <c r="K202" s="55" t="str">
        <f t="shared" si="53"/>
        <v/>
      </c>
      <c r="M202">
        <v>105</v>
      </c>
      <c r="N202" t="str">
        <f t="shared" si="55"/>
        <v/>
      </c>
      <c r="O202" s="55" t="str">
        <f t="shared" si="56"/>
        <v/>
      </c>
      <c r="P202" s="55" t="str">
        <f t="shared" si="56"/>
        <v/>
      </c>
      <c r="Q202" s="55" t="str">
        <f t="shared" si="57"/>
        <v/>
      </c>
      <c r="R202" s="55" t="str">
        <f t="shared" si="57"/>
        <v/>
      </c>
      <c r="S202" s="55"/>
      <c r="T202" s="55"/>
      <c r="U202" s="55"/>
      <c r="V202" s="55" t="str">
        <f t="shared" si="58"/>
        <v/>
      </c>
      <c r="W202" s="55" t="str">
        <f t="shared" si="58"/>
        <v/>
      </c>
      <c r="X202" s="55" t="str">
        <f t="shared" si="59"/>
        <v/>
      </c>
      <c r="Y202" s="55" t="str">
        <f t="shared" si="59"/>
        <v/>
      </c>
    </row>
    <row r="203" spans="2:25" hidden="1" x14ac:dyDescent="0.25">
      <c r="B203">
        <v>106</v>
      </c>
      <c r="C203" t="str">
        <f t="shared" si="54"/>
        <v/>
      </c>
      <c r="D203" s="55" t="str">
        <f t="shared" si="50"/>
        <v/>
      </c>
      <c r="E203" s="55" t="str">
        <f t="shared" si="50"/>
        <v/>
      </c>
      <c r="F203" s="55" t="str">
        <f t="shared" si="51"/>
        <v/>
      </c>
      <c r="G203" s="55" t="str">
        <f t="shared" si="51"/>
        <v/>
      </c>
      <c r="H203" s="55" t="str">
        <f t="shared" si="52"/>
        <v/>
      </c>
      <c r="I203" s="55" t="str">
        <f t="shared" si="52"/>
        <v/>
      </c>
      <c r="J203" s="55" t="str">
        <f t="shared" si="53"/>
        <v/>
      </c>
      <c r="K203" s="55" t="str">
        <f t="shared" si="53"/>
        <v/>
      </c>
      <c r="M203">
        <v>106</v>
      </c>
      <c r="N203" t="str">
        <f t="shared" si="55"/>
        <v/>
      </c>
      <c r="O203" s="55" t="str">
        <f t="shared" si="56"/>
        <v/>
      </c>
      <c r="P203" s="55" t="str">
        <f t="shared" si="56"/>
        <v/>
      </c>
      <c r="Q203" s="55" t="str">
        <f t="shared" si="57"/>
        <v/>
      </c>
      <c r="R203" s="55" t="str">
        <f t="shared" si="57"/>
        <v/>
      </c>
      <c r="S203" s="55"/>
      <c r="T203" s="55"/>
      <c r="U203" s="55"/>
      <c r="V203" s="55" t="str">
        <f t="shared" si="58"/>
        <v/>
      </c>
      <c r="W203" s="55" t="str">
        <f t="shared" si="58"/>
        <v/>
      </c>
      <c r="X203" s="55" t="str">
        <f t="shared" si="59"/>
        <v/>
      </c>
      <c r="Y203" s="55" t="str">
        <f t="shared" si="59"/>
        <v/>
      </c>
    </row>
    <row r="204" spans="2:25" hidden="1" x14ac:dyDescent="0.25">
      <c r="B204">
        <v>107</v>
      </c>
      <c r="C204" t="str">
        <f t="shared" si="54"/>
        <v/>
      </c>
      <c r="D204" s="55" t="str">
        <f t="shared" si="50"/>
        <v/>
      </c>
      <c r="E204" s="55" t="str">
        <f t="shared" si="50"/>
        <v/>
      </c>
      <c r="F204" s="55" t="str">
        <f t="shared" si="51"/>
        <v/>
      </c>
      <c r="G204" s="55" t="str">
        <f t="shared" si="51"/>
        <v/>
      </c>
      <c r="H204" s="55" t="str">
        <f t="shared" si="52"/>
        <v/>
      </c>
      <c r="I204" s="55" t="str">
        <f t="shared" si="52"/>
        <v/>
      </c>
      <c r="J204" s="55" t="str">
        <f t="shared" si="53"/>
        <v/>
      </c>
      <c r="K204" s="55" t="str">
        <f t="shared" si="53"/>
        <v/>
      </c>
      <c r="M204">
        <v>107</v>
      </c>
      <c r="N204" t="str">
        <f t="shared" si="55"/>
        <v/>
      </c>
      <c r="O204" s="55" t="str">
        <f t="shared" si="56"/>
        <v/>
      </c>
      <c r="P204" s="55" t="str">
        <f t="shared" si="56"/>
        <v/>
      </c>
      <c r="Q204" s="55" t="str">
        <f t="shared" si="57"/>
        <v/>
      </c>
      <c r="R204" s="55" t="str">
        <f t="shared" si="57"/>
        <v/>
      </c>
      <c r="S204" s="55"/>
      <c r="T204" s="55"/>
      <c r="U204" s="55"/>
      <c r="V204" s="55" t="str">
        <f t="shared" si="58"/>
        <v/>
      </c>
      <c r="W204" s="55" t="str">
        <f t="shared" si="58"/>
        <v/>
      </c>
      <c r="X204" s="55" t="str">
        <f t="shared" si="59"/>
        <v/>
      </c>
      <c r="Y204" s="55" t="str">
        <f t="shared" si="59"/>
        <v/>
      </c>
    </row>
    <row r="205" spans="2:25" hidden="1" x14ac:dyDescent="0.25">
      <c r="B205">
        <v>108</v>
      </c>
      <c r="C205" t="str">
        <f t="shared" si="54"/>
        <v/>
      </c>
      <c r="D205" s="55" t="str">
        <f t="shared" si="50"/>
        <v/>
      </c>
      <c r="E205" s="55" t="str">
        <f t="shared" si="50"/>
        <v/>
      </c>
      <c r="F205" s="55" t="str">
        <f t="shared" si="51"/>
        <v/>
      </c>
      <c r="G205" s="55" t="str">
        <f t="shared" si="51"/>
        <v/>
      </c>
      <c r="H205" s="55" t="str">
        <f t="shared" si="52"/>
        <v/>
      </c>
      <c r="I205" s="55" t="str">
        <f t="shared" si="52"/>
        <v/>
      </c>
      <c r="J205" s="55" t="str">
        <f t="shared" si="53"/>
        <v/>
      </c>
      <c r="K205" s="55" t="str">
        <f t="shared" si="53"/>
        <v/>
      </c>
      <c r="M205">
        <v>108</v>
      </c>
      <c r="N205" t="str">
        <f t="shared" si="55"/>
        <v/>
      </c>
      <c r="O205" s="55" t="str">
        <f t="shared" si="56"/>
        <v/>
      </c>
      <c r="P205" s="55" t="str">
        <f t="shared" si="56"/>
        <v/>
      </c>
      <c r="Q205" s="55" t="str">
        <f t="shared" si="57"/>
        <v/>
      </c>
      <c r="R205" s="55" t="str">
        <f t="shared" si="57"/>
        <v/>
      </c>
      <c r="S205" s="55"/>
      <c r="T205" s="55"/>
      <c r="U205" s="55"/>
      <c r="V205" s="55" t="str">
        <f t="shared" si="58"/>
        <v/>
      </c>
      <c r="W205" s="55" t="str">
        <f t="shared" si="58"/>
        <v/>
      </c>
      <c r="X205" s="55" t="str">
        <f t="shared" si="59"/>
        <v/>
      </c>
      <c r="Y205" s="55" t="str">
        <f t="shared" si="59"/>
        <v/>
      </c>
    </row>
    <row r="206" spans="2:25" hidden="1" x14ac:dyDescent="0.25">
      <c r="B206">
        <v>109</v>
      </c>
      <c r="C206" t="str">
        <f t="shared" si="54"/>
        <v/>
      </c>
      <c r="D206" s="55" t="str">
        <f t="shared" si="50"/>
        <v/>
      </c>
      <c r="E206" s="55" t="str">
        <f t="shared" si="50"/>
        <v/>
      </c>
      <c r="F206" s="55" t="str">
        <f t="shared" si="51"/>
        <v/>
      </c>
      <c r="G206" s="55" t="str">
        <f t="shared" si="51"/>
        <v/>
      </c>
      <c r="H206" s="55" t="str">
        <f t="shared" si="52"/>
        <v/>
      </c>
      <c r="I206" s="55" t="str">
        <f t="shared" si="52"/>
        <v/>
      </c>
      <c r="J206" s="55" t="str">
        <f t="shared" si="53"/>
        <v/>
      </c>
      <c r="K206" s="55" t="str">
        <f t="shared" si="53"/>
        <v/>
      </c>
      <c r="M206">
        <v>109</v>
      </c>
      <c r="N206" t="str">
        <f t="shared" si="55"/>
        <v/>
      </c>
      <c r="O206" s="55" t="str">
        <f t="shared" si="56"/>
        <v/>
      </c>
      <c r="P206" s="55" t="str">
        <f t="shared" si="56"/>
        <v/>
      </c>
      <c r="Q206" s="55" t="str">
        <f t="shared" si="57"/>
        <v/>
      </c>
      <c r="R206" s="55" t="str">
        <f t="shared" si="57"/>
        <v/>
      </c>
      <c r="S206" s="55"/>
      <c r="T206" s="55"/>
      <c r="U206" s="55"/>
      <c r="V206" s="55" t="str">
        <f t="shared" si="58"/>
        <v/>
      </c>
      <c r="W206" s="55" t="str">
        <f t="shared" si="58"/>
        <v/>
      </c>
      <c r="X206" s="55" t="str">
        <f t="shared" si="59"/>
        <v/>
      </c>
      <c r="Y206" s="55" t="str">
        <f t="shared" si="59"/>
        <v/>
      </c>
    </row>
    <row r="207" spans="2:25" hidden="1" x14ac:dyDescent="0.25">
      <c r="B207">
        <v>110</v>
      </c>
      <c r="C207" t="str">
        <f t="shared" si="54"/>
        <v/>
      </c>
      <c r="D207" s="55" t="str">
        <f t="shared" si="50"/>
        <v/>
      </c>
      <c r="E207" s="55" t="str">
        <f t="shared" si="50"/>
        <v/>
      </c>
      <c r="F207" s="55" t="str">
        <f t="shared" si="51"/>
        <v/>
      </c>
      <c r="G207" s="55" t="str">
        <f t="shared" si="51"/>
        <v/>
      </c>
      <c r="H207" s="55" t="str">
        <f t="shared" si="52"/>
        <v/>
      </c>
      <c r="I207" s="55" t="str">
        <f t="shared" si="52"/>
        <v/>
      </c>
      <c r="J207" s="55" t="str">
        <f t="shared" si="53"/>
        <v/>
      </c>
      <c r="K207" s="55" t="str">
        <f t="shared" si="53"/>
        <v/>
      </c>
      <c r="M207">
        <v>110</v>
      </c>
      <c r="N207" t="str">
        <f t="shared" si="55"/>
        <v/>
      </c>
      <c r="O207" s="55" t="str">
        <f t="shared" si="56"/>
        <v/>
      </c>
      <c r="P207" s="55" t="str">
        <f t="shared" si="56"/>
        <v/>
      </c>
      <c r="Q207" s="55" t="str">
        <f t="shared" si="57"/>
        <v/>
      </c>
      <c r="R207" s="55" t="str">
        <f t="shared" si="57"/>
        <v/>
      </c>
      <c r="S207" s="55"/>
      <c r="T207" s="55"/>
      <c r="U207" s="55"/>
      <c r="V207" s="55" t="str">
        <f t="shared" si="58"/>
        <v/>
      </c>
      <c r="W207" s="55" t="str">
        <f t="shared" si="58"/>
        <v/>
      </c>
      <c r="X207" s="55" t="str">
        <f t="shared" si="59"/>
        <v/>
      </c>
      <c r="Y207" s="55" t="str">
        <f t="shared" si="59"/>
        <v/>
      </c>
    </row>
    <row r="208" spans="2:25" hidden="1" x14ac:dyDescent="0.25">
      <c r="B208">
        <v>111</v>
      </c>
      <c r="C208" t="str">
        <f t="shared" si="54"/>
        <v/>
      </c>
      <c r="D208" s="55" t="str">
        <f t="shared" si="50"/>
        <v/>
      </c>
      <c r="E208" s="55" t="str">
        <f t="shared" si="50"/>
        <v/>
      </c>
      <c r="F208" s="55" t="str">
        <f t="shared" si="51"/>
        <v/>
      </c>
      <c r="G208" s="55" t="str">
        <f t="shared" si="51"/>
        <v/>
      </c>
      <c r="H208" s="55" t="str">
        <f t="shared" si="52"/>
        <v/>
      </c>
      <c r="I208" s="55" t="str">
        <f t="shared" si="52"/>
        <v/>
      </c>
      <c r="J208" s="55" t="str">
        <f t="shared" si="53"/>
        <v/>
      </c>
      <c r="K208" s="55" t="str">
        <f t="shared" si="53"/>
        <v/>
      </c>
      <c r="M208">
        <v>111</v>
      </c>
      <c r="N208" t="str">
        <f t="shared" si="55"/>
        <v/>
      </c>
      <c r="O208" s="55" t="str">
        <f t="shared" si="56"/>
        <v/>
      </c>
      <c r="P208" s="55" t="str">
        <f t="shared" si="56"/>
        <v/>
      </c>
      <c r="Q208" s="55" t="str">
        <f t="shared" si="57"/>
        <v/>
      </c>
      <c r="R208" s="55" t="str">
        <f t="shared" si="57"/>
        <v/>
      </c>
      <c r="S208" s="55"/>
      <c r="T208" s="55"/>
      <c r="U208" s="55"/>
      <c r="V208" s="55" t="str">
        <f t="shared" si="58"/>
        <v/>
      </c>
      <c r="W208" s="55" t="str">
        <f t="shared" si="58"/>
        <v/>
      </c>
      <c r="X208" s="55" t="str">
        <f t="shared" si="59"/>
        <v/>
      </c>
      <c r="Y208" s="55" t="str">
        <f t="shared" si="59"/>
        <v/>
      </c>
    </row>
    <row r="209" spans="2:25" hidden="1" x14ac:dyDescent="0.25">
      <c r="B209">
        <v>112</v>
      </c>
      <c r="C209" t="str">
        <f t="shared" si="54"/>
        <v/>
      </c>
      <c r="D209" s="55" t="str">
        <f t="shared" si="50"/>
        <v/>
      </c>
      <c r="E209" s="55" t="str">
        <f t="shared" si="50"/>
        <v/>
      </c>
      <c r="F209" s="55" t="str">
        <f t="shared" si="51"/>
        <v/>
      </c>
      <c r="G209" s="55" t="str">
        <f t="shared" si="51"/>
        <v/>
      </c>
      <c r="H209" s="55" t="str">
        <f t="shared" si="52"/>
        <v/>
      </c>
      <c r="I209" s="55" t="str">
        <f t="shared" si="52"/>
        <v/>
      </c>
      <c r="J209" s="55" t="str">
        <f t="shared" si="53"/>
        <v/>
      </c>
      <c r="K209" s="55" t="str">
        <f t="shared" si="53"/>
        <v/>
      </c>
      <c r="M209">
        <v>112</v>
      </c>
      <c r="N209" t="str">
        <f t="shared" si="55"/>
        <v/>
      </c>
      <c r="O209" s="55" t="str">
        <f t="shared" si="56"/>
        <v/>
      </c>
      <c r="P209" s="55" t="str">
        <f t="shared" si="56"/>
        <v/>
      </c>
      <c r="Q209" s="55" t="str">
        <f t="shared" si="57"/>
        <v/>
      </c>
      <c r="R209" s="55" t="str">
        <f t="shared" si="57"/>
        <v/>
      </c>
      <c r="S209" s="55"/>
      <c r="T209" s="55"/>
      <c r="U209" s="55"/>
      <c r="V209" s="55" t="str">
        <f t="shared" si="58"/>
        <v/>
      </c>
      <c r="W209" s="55" t="str">
        <f t="shared" si="58"/>
        <v/>
      </c>
      <c r="X209" s="55" t="str">
        <f t="shared" si="59"/>
        <v/>
      </c>
      <c r="Y209" s="55" t="str">
        <f t="shared" si="59"/>
        <v/>
      </c>
    </row>
    <row r="210" spans="2:25" hidden="1" x14ac:dyDescent="0.25">
      <c r="B210">
        <v>113</v>
      </c>
      <c r="C210" t="str">
        <f t="shared" si="54"/>
        <v/>
      </c>
      <c r="D210" s="55" t="str">
        <f t="shared" ref="D210:E229" si="60">IF(ISNUMBER(D158),-ABS(D158),"")</f>
        <v/>
      </c>
      <c r="E210" s="55" t="str">
        <f t="shared" si="60"/>
        <v/>
      </c>
      <c r="F210" s="55" t="str">
        <f t="shared" ref="F210:G229" si="61">IF(ISNUMBER(F158),ABS(F158),"")</f>
        <v/>
      </c>
      <c r="G210" s="55" t="str">
        <f t="shared" si="61"/>
        <v/>
      </c>
      <c r="H210" s="55" t="str">
        <f t="shared" ref="H210:I229" si="62">IF(ISNUMBER(H158),-ABS(H158),"")</f>
        <v/>
      </c>
      <c r="I210" s="55" t="str">
        <f t="shared" si="62"/>
        <v/>
      </c>
      <c r="J210" s="55" t="str">
        <f t="shared" ref="J210:K229" si="63">IF(ISNUMBER(J158),ABS(J158),"")</f>
        <v/>
      </c>
      <c r="K210" s="55" t="str">
        <f t="shared" si="63"/>
        <v/>
      </c>
      <c r="M210">
        <v>113</v>
      </c>
      <c r="N210" t="str">
        <f t="shared" si="55"/>
        <v/>
      </c>
      <c r="O210" s="55" t="str">
        <f t="shared" si="56"/>
        <v/>
      </c>
      <c r="P210" s="55" t="str">
        <f t="shared" si="56"/>
        <v/>
      </c>
      <c r="Q210" s="55" t="str">
        <f t="shared" si="57"/>
        <v/>
      </c>
      <c r="R210" s="55" t="str">
        <f t="shared" si="57"/>
        <v/>
      </c>
      <c r="S210" s="55"/>
      <c r="T210" s="55"/>
      <c r="U210" s="55"/>
      <c r="V210" s="55" t="str">
        <f t="shared" si="58"/>
        <v/>
      </c>
      <c r="W210" s="55" t="str">
        <f t="shared" si="58"/>
        <v/>
      </c>
      <c r="X210" s="55" t="str">
        <f t="shared" si="59"/>
        <v/>
      </c>
      <c r="Y210" s="55" t="str">
        <f t="shared" si="59"/>
        <v/>
      </c>
    </row>
    <row r="211" spans="2:25" hidden="1" x14ac:dyDescent="0.25">
      <c r="B211">
        <v>114</v>
      </c>
      <c r="C211" t="str">
        <f t="shared" si="54"/>
        <v/>
      </c>
      <c r="D211" s="55" t="str">
        <f t="shared" si="60"/>
        <v/>
      </c>
      <c r="E211" s="55" t="str">
        <f t="shared" si="60"/>
        <v/>
      </c>
      <c r="F211" s="55" t="str">
        <f t="shared" si="61"/>
        <v/>
      </c>
      <c r="G211" s="55" t="str">
        <f t="shared" si="61"/>
        <v/>
      </c>
      <c r="H211" s="55" t="str">
        <f t="shared" si="62"/>
        <v/>
      </c>
      <c r="I211" s="55" t="str">
        <f t="shared" si="62"/>
        <v/>
      </c>
      <c r="J211" s="55" t="str">
        <f t="shared" si="63"/>
        <v/>
      </c>
      <c r="K211" s="55" t="str">
        <f t="shared" si="63"/>
        <v/>
      </c>
      <c r="M211">
        <v>114</v>
      </c>
      <c r="N211" t="str">
        <f t="shared" si="55"/>
        <v/>
      </c>
      <c r="O211" s="55" t="str">
        <f t="shared" si="56"/>
        <v/>
      </c>
      <c r="P211" s="55" t="str">
        <f t="shared" si="56"/>
        <v/>
      </c>
      <c r="Q211" s="55" t="str">
        <f t="shared" si="57"/>
        <v/>
      </c>
      <c r="R211" s="55" t="str">
        <f t="shared" si="57"/>
        <v/>
      </c>
      <c r="S211" s="55"/>
      <c r="T211" s="55"/>
      <c r="U211" s="55"/>
      <c r="V211" s="55" t="str">
        <f t="shared" si="58"/>
        <v/>
      </c>
      <c r="W211" s="55" t="str">
        <f t="shared" si="58"/>
        <v/>
      </c>
      <c r="X211" s="55" t="str">
        <f t="shared" si="59"/>
        <v/>
      </c>
      <c r="Y211" s="55" t="str">
        <f t="shared" si="59"/>
        <v/>
      </c>
    </row>
    <row r="212" spans="2:25" hidden="1" x14ac:dyDescent="0.25">
      <c r="B212">
        <v>115</v>
      </c>
      <c r="C212" t="str">
        <f t="shared" si="54"/>
        <v/>
      </c>
      <c r="D212" s="55" t="str">
        <f t="shared" si="60"/>
        <v/>
      </c>
      <c r="E212" s="55" t="str">
        <f t="shared" si="60"/>
        <v/>
      </c>
      <c r="F212" s="55" t="str">
        <f t="shared" si="61"/>
        <v/>
      </c>
      <c r="G212" s="55" t="str">
        <f t="shared" si="61"/>
        <v/>
      </c>
      <c r="H212" s="55" t="str">
        <f t="shared" si="62"/>
        <v/>
      </c>
      <c r="I212" s="55" t="str">
        <f t="shared" si="62"/>
        <v/>
      </c>
      <c r="J212" s="55" t="str">
        <f t="shared" si="63"/>
        <v/>
      </c>
      <c r="K212" s="55" t="str">
        <f t="shared" si="63"/>
        <v/>
      </c>
      <c r="M212">
        <v>115</v>
      </c>
      <c r="N212" t="str">
        <f t="shared" si="55"/>
        <v/>
      </c>
      <c r="O212" s="55" t="str">
        <f t="shared" si="56"/>
        <v/>
      </c>
      <c r="P212" s="55" t="str">
        <f t="shared" si="56"/>
        <v/>
      </c>
      <c r="Q212" s="55" t="str">
        <f t="shared" si="57"/>
        <v/>
      </c>
      <c r="R212" s="55" t="str">
        <f t="shared" si="57"/>
        <v/>
      </c>
      <c r="S212" s="55"/>
      <c r="T212" s="55"/>
      <c r="U212" s="55"/>
      <c r="V212" s="55" t="str">
        <f t="shared" si="58"/>
        <v/>
      </c>
      <c r="W212" s="55" t="str">
        <f t="shared" si="58"/>
        <v/>
      </c>
      <c r="X212" s="55" t="str">
        <f t="shared" si="59"/>
        <v/>
      </c>
      <c r="Y212" s="55" t="str">
        <f t="shared" si="59"/>
        <v/>
      </c>
    </row>
    <row r="213" spans="2:25" hidden="1" x14ac:dyDescent="0.25">
      <c r="B213">
        <v>116</v>
      </c>
      <c r="C213" t="str">
        <f t="shared" si="54"/>
        <v/>
      </c>
      <c r="D213" s="55" t="str">
        <f t="shared" si="60"/>
        <v/>
      </c>
      <c r="E213" s="55" t="str">
        <f t="shared" si="60"/>
        <v/>
      </c>
      <c r="F213" s="55" t="str">
        <f t="shared" si="61"/>
        <v/>
      </c>
      <c r="G213" s="55" t="str">
        <f t="shared" si="61"/>
        <v/>
      </c>
      <c r="H213" s="55" t="str">
        <f t="shared" si="62"/>
        <v/>
      </c>
      <c r="I213" s="55" t="str">
        <f t="shared" si="62"/>
        <v/>
      </c>
      <c r="J213" s="55" t="str">
        <f t="shared" si="63"/>
        <v/>
      </c>
      <c r="K213" s="55" t="str">
        <f t="shared" si="63"/>
        <v/>
      </c>
      <c r="M213">
        <v>116</v>
      </c>
      <c r="N213" t="str">
        <f t="shared" si="55"/>
        <v/>
      </c>
      <c r="O213" s="55" t="str">
        <f t="shared" si="56"/>
        <v/>
      </c>
      <c r="P213" s="55" t="str">
        <f t="shared" si="56"/>
        <v/>
      </c>
      <c r="Q213" s="55" t="str">
        <f t="shared" si="57"/>
        <v/>
      </c>
      <c r="R213" s="55" t="str">
        <f t="shared" si="57"/>
        <v/>
      </c>
      <c r="S213" s="55"/>
      <c r="T213" s="55"/>
      <c r="U213" s="55"/>
      <c r="V213" s="55" t="str">
        <f t="shared" si="58"/>
        <v/>
      </c>
      <c r="W213" s="55" t="str">
        <f t="shared" si="58"/>
        <v/>
      </c>
      <c r="X213" s="55" t="str">
        <f t="shared" si="59"/>
        <v/>
      </c>
      <c r="Y213" s="55" t="str">
        <f t="shared" si="59"/>
        <v/>
      </c>
    </row>
    <row r="214" spans="2:25" hidden="1" x14ac:dyDescent="0.25">
      <c r="B214">
        <v>117</v>
      </c>
      <c r="C214" t="str">
        <f t="shared" si="54"/>
        <v/>
      </c>
      <c r="D214" s="55" t="str">
        <f t="shared" si="60"/>
        <v/>
      </c>
      <c r="E214" s="55" t="str">
        <f t="shared" si="60"/>
        <v/>
      </c>
      <c r="F214" s="55" t="str">
        <f t="shared" si="61"/>
        <v/>
      </c>
      <c r="G214" s="55" t="str">
        <f t="shared" si="61"/>
        <v/>
      </c>
      <c r="H214" s="55" t="str">
        <f t="shared" si="62"/>
        <v/>
      </c>
      <c r="I214" s="55" t="str">
        <f t="shared" si="62"/>
        <v/>
      </c>
      <c r="J214" s="55" t="str">
        <f t="shared" si="63"/>
        <v/>
      </c>
      <c r="K214" s="55" t="str">
        <f t="shared" si="63"/>
        <v/>
      </c>
      <c r="M214">
        <v>117</v>
      </c>
      <c r="N214" t="str">
        <f t="shared" si="55"/>
        <v/>
      </c>
      <c r="O214" s="55" t="str">
        <f t="shared" si="56"/>
        <v/>
      </c>
      <c r="P214" s="55" t="str">
        <f t="shared" si="56"/>
        <v/>
      </c>
      <c r="Q214" s="55" t="str">
        <f t="shared" si="57"/>
        <v/>
      </c>
      <c r="R214" s="55" t="str">
        <f t="shared" si="57"/>
        <v/>
      </c>
      <c r="S214" s="55"/>
      <c r="T214" s="55"/>
      <c r="U214" s="55"/>
      <c r="V214" s="55" t="str">
        <f t="shared" si="58"/>
        <v/>
      </c>
      <c r="W214" s="55" t="str">
        <f t="shared" si="58"/>
        <v/>
      </c>
      <c r="X214" s="55" t="str">
        <f t="shared" si="59"/>
        <v/>
      </c>
      <c r="Y214" s="55" t="str">
        <f t="shared" si="59"/>
        <v/>
      </c>
    </row>
    <row r="215" spans="2:25" hidden="1" x14ac:dyDescent="0.25">
      <c r="B215">
        <v>118</v>
      </c>
      <c r="C215" t="str">
        <f t="shared" si="54"/>
        <v/>
      </c>
      <c r="D215" s="55" t="str">
        <f t="shared" si="60"/>
        <v/>
      </c>
      <c r="E215" s="55" t="str">
        <f t="shared" si="60"/>
        <v/>
      </c>
      <c r="F215" s="55" t="str">
        <f t="shared" si="61"/>
        <v/>
      </c>
      <c r="G215" s="55" t="str">
        <f t="shared" si="61"/>
        <v/>
      </c>
      <c r="H215" s="55" t="str">
        <f t="shared" si="62"/>
        <v/>
      </c>
      <c r="I215" s="55" t="str">
        <f t="shared" si="62"/>
        <v/>
      </c>
      <c r="J215" s="55" t="str">
        <f t="shared" si="63"/>
        <v/>
      </c>
      <c r="K215" s="55" t="str">
        <f t="shared" si="63"/>
        <v/>
      </c>
      <c r="M215">
        <v>118</v>
      </c>
      <c r="N215" t="str">
        <f t="shared" si="55"/>
        <v/>
      </c>
      <c r="O215" s="55" t="str">
        <f t="shared" si="56"/>
        <v/>
      </c>
      <c r="P215" s="55" t="str">
        <f t="shared" si="56"/>
        <v/>
      </c>
      <c r="Q215" s="55" t="str">
        <f t="shared" si="57"/>
        <v/>
      </c>
      <c r="R215" s="55" t="str">
        <f t="shared" si="57"/>
        <v/>
      </c>
      <c r="S215" s="55"/>
      <c r="T215" s="55"/>
      <c r="U215" s="55"/>
      <c r="V215" s="55" t="str">
        <f t="shared" si="58"/>
        <v/>
      </c>
      <c r="W215" s="55" t="str">
        <f t="shared" si="58"/>
        <v/>
      </c>
      <c r="X215" s="55" t="str">
        <f t="shared" si="59"/>
        <v/>
      </c>
      <c r="Y215" s="55" t="str">
        <f t="shared" si="59"/>
        <v/>
      </c>
    </row>
    <row r="216" spans="2:25" hidden="1" x14ac:dyDescent="0.25">
      <c r="B216">
        <v>119</v>
      </c>
      <c r="C216" t="str">
        <f t="shared" si="54"/>
        <v/>
      </c>
      <c r="D216" s="55" t="str">
        <f t="shared" si="60"/>
        <v/>
      </c>
      <c r="E216" s="55" t="str">
        <f t="shared" si="60"/>
        <v/>
      </c>
      <c r="F216" s="55" t="str">
        <f t="shared" si="61"/>
        <v/>
      </c>
      <c r="G216" s="55" t="str">
        <f t="shared" si="61"/>
        <v/>
      </c>
      <c r="H216" s="55" t="str">
        <f t="shared" si="62"/>
        <v/>
      </c>
      <c r="I216" s="55" t="str">
        <f t="shared" si="62"/>
        <v/>
      </c>
      <c r="J216" s="55" t="str">
        <f t="shared" si="63"/>
        <v/>
      </c>
      <c r="K216" s="55" t="str">
        <f t="shared" si="63"/>
        <v/>
      </c>
      <c r="M216">
        <v>119</v>
      </c>
      <c r="N216" t="str">
        <f t="shared" si="55"/>
        <v/>
      </c>
      <c r="O216" s="55" t="str">
        <f t="shared" si="56"/>
        <v/>
      </c>
      <c r="P216" s="55" t="str">
        <f t="shared" si="56"/>
        <v/>
      </c>
      <c r="Q216" s="55" t="str">
        <f t="shared" si="57"/>
        <v/>
      </c>
      <c r="R216" s="55" t="str">
        <f t="shared" si="57"/>
        <v/>
      </c>
      <c r="S216" s="55"/>
      <c r="T216" s="55"/>
      <c r="U216" s="55"/>
      <c r="V216" s="55" t="str">
        <f t="shared" si="58"/>
        <v/>
      </c>
      <c r="W216" s="55" t="str">
        <f t="shared" si="58"/>
        <v/>
      </c>
      <c r="X216" s="55" t="str">
        <f t="shared" si="59"/>
        <v/>
      </c>
      <c r="Y216" s="55" t="str">
        <f t="shared" si="59"/>
        <v/>
      </c>
    </row>
    <row r="217" spans="2:25" hidden="1" x14ac:dyDescent="0.25">
      <c r="B217">
        <v>120</v>
      </c>
      <c r="C217" t="str">
        <f t="shared" si="54"/>
        <v/>
      </c>
      <c r="D217" s="55" t="str">
        <f t="shared" si="60"/>
        <v/>
      </c>
      <c r="E217" s="55" t="str">
        <f t="shared" si="60"/>
        <v/>
      </c>
      <c r="F217" s="55" t="str">
        <f t="shared" si="61"/>
        <v/>
      </c>
      <c r="G217" s="55" t="str">
        <f t="shared" si="61"/>
        <v/>
      </c>
      <c r="H217" s="55" t="str">
        <f t="shared" si="62"/>
        <v/>
      </c>
      <c r="I217" s="55" t="str">
        <f t="shared" si="62"/>
        <v/>
      </c>
      <c r="J217" s="55" t="str">
        <f t="shared" si="63"/>
        <v/>
      </c>
      <c r="K217" s="55" t="str">
        <f t="shared" si="63"/>
        <v/>
      </c>
      <c r="M217">
        <v>120</v>
      </c>
      <c r="N217" t="str">
        <f t="shared" si="55"/>
        <v/>
      </c>
      <c r="O217" s="55" t="str">
        <f t="shared" si="56"/>
        <v/>
      </c>
      <c r="P217" s="55" t="str">
        <f t="shared" si="56"/>
        <v/>
      </c>
      <c r="Q217" s="55" t="str">
        <f t="shared" si="57"/>
        <v/>
      </c>
      <c r="R217" s="55" t="str">
        <f t="shared" si="57"/>
        <v/>
      </c>
      <c r="S217" s="55"/>
      <c r="T217" s="55"/>
      <c r="U217" s="55"/>
      <c r="V217" s="55" t="str">
        <f t="shared" si="58"/>
        <v/>
      </c>
      <c r="W217" s="55" t="str">
        <f t="shared" si="58"/>
        <v/>
      </c>
      <c r="X217" s="55" t="str">
        <f t="shared" si="59"/>
        <v/>
      </c>
      <c r="Y217" s="55" t="str">
        <f t="shared" si="59"/>
        <v/>
      </c>
    </row>
    <row r="218" spans="2:25" hidden="1" x14ac:dyDescent="0.25">
      <c r="B218">
        <v>121</v>
      </c>
      <c r="C218" t="str">
        <f t="shared" si="54"/>
        <v/>
      </c>
      <c r="D218" s="55" t="str">
        <f t="shared" si="60"/>
        <v/>
      </c>
      <c r="E218" s="55" t="str">
        <f t="shared" si="60"/>
        <v/>
      </c>
      <c r="F218" s="55" t="str">
        <f t="shared" si="61"/>
        <v/>
      </c>
      <c r="G218" s="55" t="str">
        <f t="shared" si="61"/>
        <v/>
      </c>
      <c r="H218" s="55" t="str">
        <f t="shared" si="62"/>
        <v/>
      </c>
      <c r="I218" s="55" t="str">
        <f t="shared" si="62"/>
        <v/>
      </c>
      <c r="J218" s="55" t="str">
        <f t="shared" si="63"/>
        <v/>
      </c>
      <c r="K218" s="55" t="str">
        <f t="shared" si="63"/>
        <v/>
      </c>
      <c r="M218">
        <v>121</v>
      </c>
      <c r="N218" t="str">
        <f t="shared" si="55"/>
        <v/>
      </c>
      <c r="O218" s="55" t="str">
        <f t="shared" ref="O218:P237" si="64">IF(ISNUMBER(O165),-ABS(O165),"")</f>
        <v/>
      </c>
      <c r="P218" s="55" t="str">
        <f t="shared" si="64"/>
        <v/>
      </c>
      <c r="Q218" s="55" t="str">
        <f t="shared" ref="Q218:R237" si="65">IF(ISNUMBER(Q165),ABS(Q165),"")</f>
        <v/>
      </c>
      <c r="R218" s="55" t="str">
        <f t="shared" si="65"/>
        <v/>
      </c>
      <c r="S218" s="55"/>
      <c r="T218" s="55"/>
      <c r="U218" s="55"/>
      <c r="V218" s="55" t="str">
        <f t="shared" ref="V218:W237" si="66">IF(ISNUMBER(V165),-ABS(V165),"")</f>
        <v/>
      </c>
      <c r="W218" s="55" t="str">
        <f t="shared" si="66"/>
        <v/>
      </c>
      <c r="X218" s="55" t="str">
        <f t="shared" ref="X218:Y237" si="67">IF(ISNUMBER(X165),ABS(X165),"")</f>
        <v/>
      </c>
      <c r="Y218" s="55" t="str">
        <f t="shared" si="67"/>
        <v/>
      </c>
    </row>
    <row r="219" spans="2:25" hidden="1" x14ac:dyDescent="0.25">
      <c r="B219">
        <v>122</v>
      </c>
      <c r="C219" t="str">
        <f t="shared" si="54"/>
        <v/>
      </c>
      <c r="D219" s="55" t="str">
        <f t="shared" si="60"/>
        <v/>
      </c>
      <c r="E219" s="55" t="str">
        <f t="shared" si="60"/>
        <v/>
      </c>
      <c r="F219" s="55" t="str">
        <f t="shared" si="61"/>
        <v/>
      </c>
      <c r="G219" s="55" t="str">
        <f t="shared" si="61"/>
        <v/>
      </c>
      <c r="H219" s="55" t="str">
        <f t="shared" si="62"/>
        <v/>
      </c>
      <c r="I219" s="55" t="str">
        <f t="shared" si="62"/>
        <v/>
      </c>
      <c r="J219" s="55" t="str">
        <f t="shared" si="63"/>
        <v/>
      </c>
      <c r="K219" s="55" t="str">
        <f t="shared" si="63"/>
        <v/>
      </c>
      <c r="M219">
        <v>122</v>
      </c>
      <c r="N219" t="str">
        <f t="shared" si="55"/>
        <v/>
      </c>
      <c r="O219" s="55" t="str">
        <f t="shared" si="64"/>
        <v/>
      </c>
      <c r="P219" s="55" t="str">
        <f t="shared" si="64"/>
        <v/>
      </c>
      <c r="Q219" s="55" t="str">
        <f t="shared" si="65"/>
        <v/>
      </c>
      <c r="R219" s="55" t="str">
        <f t="shared" si="65"/>
        <v/>
      </c>
      <c r="S219" s="55"/>
      <c r="T219" s="55"/>
      <c r="U219" s="55"/>
      <c r="V219" s="55" t="str">
        <f t="shared" si="66"/>
        <v/>
      </c>
      <c r="W219" s="55" t="str">
        <f t="shared" si="66"/>
        <v/>
      </c>
      <c r="X219" s="55" t="str">
        <f t="shared" si="67"/>
        <v/>
      </c>
      <c r="Y219" s="55" t="str">
        <f t="shared" si="67"/>
        <v/>
      </c>
    </row>
    <row r="220" spans="2:25" hidden="1" x14ac:dyDescent="0.25">
      <c r="B220">
        <v>123</v>
      </c>
      <c r="C220" t="str">
        <f t="shared" si="54"/>
        <v/>
      </c>
      <c r="D220" s="55" t="str">
        <f t="shared" si="60"/>
        <v/>
      </c>
      <c r="E220" s="55" t="str">
        <f t="shared" si="60"/>
        <v/>
      </c>
      <c r="F220" s="55" t="str">
        <f t="shared" si="61"/>
        <v/>
      </c>
      <c r="G220" s="55" t="str">
        <f t="shared" si="61"/>
        <v/>
      </c>
      <c r="H220" s="55" t="str">
        <f t="shared" si="62"/>
        <v/>
      </c>
      <c r="I220" s="55" t="str">
        <f t="shared" si="62"/>
        <v/>
      </c>
      <c r="J220" s="55" t="str">
        <f t="shared" si="63"/>
        <v/>
      </c>
      <c r="K220" s="55" t="str">
        <f t="shared" si="63"/>
        <v/>
      </c>
      <c r="M220">
        <v>123</v>
      </c>
      <c r="N220" t="str">
        <f t="shared" si="55"/>
        <v/>
      </c>
      <c r="O220" s="55" t="str">
        <f t="shared" si="64"/>
        <v/>
      </c>
      <c r="P220" s="55" t="str">
        <f t="shared" si="64"/>
        <v/>
      </c>
      <c r="Q220" s="55" t="str">
        <f t="shared" si="65"/>
        <v/>
      </c>
      <c r="R220" s="55" t="str">
        <f t="shared" si="65"/>
        <v/>
      </c>
      <c r="S220" s="55"/>
      <c r="T220" s="55"/>
      <c r="U220" s="55"/>
      <c r="V220" s="55" t="str">
        <f t="shared" si="66"/>
        <v/>
      </c>
      <c r="W220" s="55" t="str">
        <f t="shared" si="66"/>
        <v/>
      </c>
      <c r="X220" s="55" t="str">
        <f t="shared" si="67"/>
        <v/>
      </c>
      <c r="Y220" s="55" t="str">
        <f t="shared" si="67"/>
        <v/>
      </c>
    </row>
    <row r="221" spans="2:25" hidden="1" x14ac:dyDescent="0.25">
      <c r="B221">
        <v>124</v>
      </c>
      <c r="C221" t="str">
        <f t="shared" si="54"/>
        <v/>
      </c>
      <c r="D221" s="55" t="str">
        <f t="shared" si="60"/>
        <v/>
      </c>
      <c r="E221" s="55" t="str">
        <f t="shared" si="60"/>
        <v/>
      </c>
      <c r="F221" s="55" t="str">
        <f t="shared" si="61"/>
        <v/>
      </c>
      <c r="G221" s="55" t="str">
        <f t="shared" si="61"/>
        <v/>
      </c>
      <c r="H221" s="55" t="str">
        <f t="shared" si="62"/>
        <v/>
      </c>
      <c r="I221" s="55" t="str">
        <f t="shared" si="62"/>
        <v/>
      </c>
      <c r="J221" s="55" t="str">
        <f t="shared" si="63"/>
        <v/>
      </c>
      <c r="K221" s="55" t="str">
        <f t="shared" si="63"/>
        <v/>
      </c>
      <c r="M221">
        <v>124</v>
      </c>
      <c r="N221" t="str">
        <f t="shared" si="55"/>
        <v/>
      </c>
      <c r="O221" s="55" t="str">
        <f t="shared" si="64"/>
        <v/>
      </c>
      <c r="P221" s="55" t="str">
        <f t="shared" si="64"/>
        <v/>
      </c>
      <c r="Q221" s="55" t="str">
        <f t="shared" si="65"/>
        <v/>
      </c>
      <c r="R221" s="55" t="str">
        <f t="shared" si="65"/>
        <v/>
      </c>
      <c r="S221" s="55"/>
      <c r="T221" s="55"/>
      <c r="U221" s="55"/>
      <c r="V221" s="55" t="str">
        <f t="shared" si="66"/>
        <v/>
      </c>
      <c r="W221" s="55" t="str">
        <f t="shared" si="66"/>
        <v/>
      </c>
      <c r="X221" s="55" t="str">
        <f t="shared" si="67"/>
        <v/>
      </c>
      <c r="Y221" s="55" t="str">
        <f t="shared" si="67"/>
        <v/>
      </c>
    </row>
    <row r="222" spans="2:25" hidden="1" x14ac:dyDescent="0.25">
      <c r="B222">
        <v>125</v>
      </c>
      <c r="C222" t="str">
        <f t="shared" si="54"/>
        <v/>
      </c>
      <c r="D222" s="55" t="str">
        <f t="shared" si="60"/>
        <v/>
      </c>
      <c r="E222" s="55" t="str">
        <f t="shared" si="60"/>
        <v/>
      </c>
      <c r="F222" s="55" t="str">
        <f t="shared" si="61"/>
        <v/>
      </c>
      <c r="G222" s="55" t="str">
        <f t="shared" si="61"/>
        <v/>
      </c>
      <c r="H222" s="55" t="str">
        <f t="shared" si="62"/>
        <v/>
      </c>
      <c r="I222" s="55" t="str">
        <f t="shared" si="62"/>
        <v/>
      </c>
      <c r="J222" s="55" t="str">
        <f t="shared" si="63"/>
        <v/>
      </c>
      <c r="K222" s="55" t="str">
        <f t="shared" si="63"/>
        <v/>
      </c>
      <c r="M222">
        <v>125</v>
      </c>
      <c r="N222" t="str">
        <f t="shared" si="55"/>
        <v/>
      </c>
      <c r="O222" s="55" t="str">
        <f t="shared" si="64"/>
        <v/>
      </c>
      <c r="P222" s="55" t="str">
        <f t="shared" si="64"/>
        <v/>
      </c>
      <c r="Q222" s="55" t="str">
        <f t="shared" si="65"/>
        <v/>
      </c>
      <c r="R222" s="55" t="str">
        <f t="shared" si="65"/>
        <v/>
      </c>
      <c r="S222" s="55"/>
      <c r="T222" s="55"/>
      <c r="U222" s="55"/>
      <c r="V222" s="55" t="str">
        <f t="shared" si="66"/>
        <v/>
      </c>
      <c r="W222" s="55" t="str">
        <f t="shared" si="66"/>
        <v/>
      </c>
      <c r="X222" s="55" t="str">
        <f t="shared" si="67"/>
        <v/>
      </c>
      <c r="Y222" s="55" t="str">
        <f t="shared" si="67"/>
        <v/>
      </c>
    </row>
    <row r="223" spans="2:25" hidden="1" x14ac:dyDescent="0.25">
      <c r="B223">
        <v>126</v>
      </c>
      <c r="C223" t="str">
        <f t="shared" si="54"/>
        <v/>
      </c>
      <c r="D223" s="55" t="str">
        <f t="shared" si="60"/>
        <v/>
      </c>
      <c r="E223" s="55" t="str">
        <f t="shared" si="60"/>
        <v/>
      </c>
      <c r="F223" s="55" t="str">
        <f t="shared" si="61"/>
        <v/>
      </c>
      <c r="G223" s="55" t="str">
        <f t="shared" si="61"/>
        <v/>
      </c>
      <c r="H223" s="55" t="str">
        <f t="shared" si="62"/>
        <v/>
      </c>
      <c r="I223" s="55" t="str">
        <f t="shared" si="62"/>
        <v/>
      </c>
      <c r="J223" s="55" t="str">
        <f t="shared" si="63"/>
        <v/>
      </c>
      <c r="K223" s="55" t="str">
        <f t="shared" si="63"/>
        <v/>
      </c>
      <c r="M223">
        <v>126</v>
      </c>
      <c r="N223" t="str">
        <f t="shared" si="55"/>
        <v/>
      </c>
      <c r="O223" s="55" t="str">
        <f t="shared" si="64"/>
        <v/>
      </c>
      <c r="P223" s="55" t="str">
        <f t="shared" si="64"/>
        <v/>
      </c>
      <c r="Q223" s="55" t="str">
        <f t="shared" si="65"/>
        <v/>
      </c>
      <c r="R223" s="55" t="str">
        <f t="shared" si="65"/>
        <v/>
      </c>
      <c r="S223" s="55"/>
      <c r="T223" s="55"/>
      <c r="U223" s="55"/>
      <c r="V223" s="55" t="str">
        <f t="shared" si="66"/>
        <v/>
      </c>
      <c r="W223" s="55" t="str">
        <f t="shared" si="66"/>
        <v/>
      </c>
      <c r="X223" s="55" t="str">
        <f t="shared" si="67"/>
        <v/>
      </c>
      <c r="Y223" s="55" t="str">
        <f t="shared" si="67"/>
        <v/>
      </c>
    </row>
    <row r="224" spans="2:25" hidden="1" x14ac:dyDescent="0.25">
      <c r="B224">
        <v>127</v>
      </c>
      <c r="C224" t="str">
        <f t="shared" si="54"/>
        <v/>
      </c>
      <c r="D224" s="55" t="str">
        <f t="shared" si="60"/>
        <v/>
      </c>
      <c r="E224" s="55" t="str">
        <f t="shared" si="60"/>
        <v/>
      </c>
      <c r="F224" s="55" t="str">
        <f t="shared" si="61"/>
        <v/>
      </c>
      <c r="G224" s="55" t="str">
        <f t="shared" si="61"/>
        <v/>
      </c>
      <c r="H224" s="55" t="str">
        <f t="shared" si="62"/>
        <v/>
      </c>
      <c r="I224" s="55" t="str">
        <f t="shared" si="62"/>
        <v/>
      </c>
      <c r="J224" s="55" t="str">
        <f t="shared" si="63"/>
        <v/>
      </c>
      <c r="K224" s="55" t="str">
        <f t="shared" si="63"/>
        <v/>
      </c>
      <c r="M224">
        <v>127</v>
      </c>
      <c r="N224" t="str">
        <f t="shared" si="55"/>
        <v/>
      </c>
      <c r="O224" s="55" t="str">
        <f t="shared" si="64"/>
        <v/>
      </c>
      <c r="P224" s="55" t="str">
        <f t="shared" si="64"/>
        <v/>
      </c>
      <c r="Q224" s="55" t="str">
        <f t="shared" si="65"/>
        <v/>
      </c>
      <c r="R224" s="55" t="str">
        <f t="shared" si="65"/>
        <v/>
      </c>
      <c r="S224" s="55"/>
      <c r="T224" s="55"/>
      <c r="U224" s="55"/>
      <c r="V224" s="55" t="str">
        <f t="shared" si="66"/>
        <v/>
      </c>
      <c r="W224" s="55" t="str">
        <f t="shared" si="66"/>
        <v/>
      </c>
      <c r="X224" s="55" t="str">
        <f t="shared" si="67"/>
        <v/>
      </c>
      <c r="Y224" s="55" t="str">
        <f t="shared" si="67"/>
        <v/>
      </c>
    </row>
    <row r="225" spans="2:25" hidden="1" x14ac:dyDescent="0.25">
      <c r="B225">
        <v>128</v>
      </c>
      <c r="C225" t="str">
        <f t="shared" si="54"/>
        <v/>
      </c>
      <c r="D225" s="55" t="str">
        <f t="shared" si="60"/>
        <v/>
      </c>
      <c r="E225" s="55" t="str">
        <f t="shared" si="60"/>
        <v/>
      </c>
      <c r="F225" s="55" t="str">
        <f t="shared" si="61"/>
        <v/>
      </c>
      <c r="G225" s="55" t="str">
        <f t="shared" si="61"/>
        <v/>
      </c>
      <c r="H225" s="55" t="str">
        <f t="shared" si="62"/>
        <v/>
      </c>
      <c r="I225" s="55" t="str">
        <f t="shared" si="62"/>
        <v/>
      </c>
      <c r="J225" s="55" t="str">
        <f t="shared" si="63"/>
        <v/>
      </c>
      <c r="K225" s="55" t="str">
        <f t="shared" si="63"/>
        <v/>
      </c>
      <c r="M225">
        <v>128</v>
      </c>
      <c r="N225" t="str">
        <f t="shared" si="55"/>
        <v/>
      </c>
      <c r="O225" s="55" t="str">
        <f t="shared" si="64"/>
        <v/>
      </c>
      <c r="P225" s="55" t="str">
        <f t="shared" si="64"/>
        <v/>
      </c>
      <c r="Q225" s="55" t="str">
        <f t="shared" si="65"/>
        <v/>
      </c>
      <c r="R225" s="55" t="str">
        <f t="shared" si="65"/>
        <v/>
      </c>
      <c r="S225" s="55"/>
      <c r="T225" s="55"/>
      <c r="U225" s="55"/>
      <c r="V225" s="55" t="str">
        <f t="shared" si="66"/>
        <v/>
      </c>
      <c r="W225" s="55" t="str">
        <f t="shared" si="66"/>
        <v/>
      </c>
      <c r="X225" s="55" t="str">
        <f t="shared" si="67"/>
        <v/>
      </c>
      <c r="Y225" s="55" t="str">
        <f t="shared" si="67"/>
        <v/>
      </c>
    </row>
    <row r="226" spans="2:25" hidden="1" x14ac:dyDescent="0.25">
      <c r="D226" s="55"/>
      <c r="E226" s="55"/>
      <c r="F226" s="55"/>
      <c r="G226" s="55"/>
      <c r="H226" s="55"/>
      <c r="I226" s="55"/>
      <c r="J226" s="55"/>
      <c r="K226" s="55"/>
      <c r="O226" s="55"/>
      <c r="P226" s="55"/>
      <c r="Q226" s="55"/>
      <c r="R226" s="55"/>
      <c r="S226" s="55"/>
      <c r="T226" s="55"/>
      <c r="U226" s="55"/>
      <c r="V226" s="55"/>
      <c r="W226" s="55"/>
      <c r="X226" s="55"/>
      <c r="Y226" s="55"/>
    </row>
    <row r="227" spans="2:25" ht="15" hidden="1" customHeight="1" x14ac:dyDescent="0.25">
      <c r="D227" s="55"/>
      <c r="E227" s="55"/>
      <c r="F227" s="55"/>
      <c r="G227" s="55"/>
      <c r="H227" s="55"/>
      <c r="I227" s="55"/>
      <c r="J227" s="55"/>
      <c r="K227" s="55"/>
    </row>
    <row r="228" spans="2:25" ht="36.75" hidden="1" customHeight="1" x14ac:dyDescent="0.25">
      <c r="D228" s="586" t="s">
        <v>505</v>
      </c>
      <c r="E228" s="554"/>
      <c r="F228" s="586" t="s">
        <v>506</v>
      </c>
      <c r="G228" s="554"/>
      <c r="H228" s="586" t="s">
        <v>507</v>
      </c>
      <c r="I228" s="554"/>
      <c r="J228" s="586" t="s">
        <v>508</v>
      </c>
      <c r="K228" s="554"/>
      <c r="O228" s="587" t="s">
        <v>505</v>
      </c>
      <c r="P228" s="554"/>
      <c r="Q228" s="587" t="s">
        <v>506</v>
      </c>
      <c r="R228" s="554"/>
      <c r="S228" s="216"/>
      <c r="T228" s="216"/>
      <c r="U228" s="216"/>
      <c r="V228" s="587" t="s">
        <v>507</v>
      </c>
      <c r="W228" s="554"/>
      <c r="X228" s="587" t="s">
        <v>508</v>
      </c>
      <c r="Y228" s="554"/>
    </row>
    <row r="229" spans="2:25" ht="28.5" hidden="1" customHeight="1" x14ac:dyDescent="0.25">
      <c r="D229" s="53" t="s">
        <v>509</v>
      </c>
      <c r="E229" s="53" t="s">
        <v>510</v>
      </c>
      <c r="F229" s="53" t="s">
        <v>509</v>
      </c>
      <c r="G229" s="53" t="s">
        <v>510</v>
      </c>
      <c r="H229" s="53" t="s">
        <v>509</v>
      </c>
      <c r="I229" s="53" t="s">
        <v>510</v>
      </c>
      <c r="J229" s="53" t="s">
        <v>509</v>
      </c>
      <c r="K229" s="53" t="s">
        <v>510</v>
      </c>
      <c r="O229" s="54" t="s">
        <v>509</v>
      </c>
      <c r="P229" s="54" t="s">
        <v>510</v>
      </c>
      <c r="Q229" s="54" t="s">
        <v>509</v>
      </c>
      <c r="R229" s="54" t="s">
        <v>510</v>
      </c>
      <c r="S229" s="54"/>
      <c r="T229" s="54"/>
      <c r="U229" s="54"/>
      <c r="V229" s="54" t="s">
        <v>509</v>
      </c>
      <c r="W229" s="54" t="s">
        <v>510</v>
      </c>
      <c r="X229" s="54" t="s">
        <v>509</v>
      </c>
      <c r="Y229" s="54" t="s">
        <v>510</v>
      </c>
    </row>
    <row r="230" spans="2:25" hidden="1" x14ac:dyDescent="0.25">
      <c r="C230">
        <v>1</v>
      </c>
      <c r="D230" s="59" t="str">
        <f t="shared" ref="D230:D261" si="68">IFERROR(VLOOKUP(SMALL($C$98:$C$225,C230),$C$98:$K$225,2,FALSE),"")</f>
        <v/>
      </c>
      <c r="E230" s="55" t="str">
        <f t="shared" ref="E230:E261" si="69">IFERROR(VLOOKUP(SMALL($C$98:$C$225,C230),$C$98:$K$225,3,FALSE),"")</f>
        <v/>
      </c>
      <c r="F230" s="55" t="str">
        <f t="shared" ref="F230:F261" si="70">IFERROR(VLOOKUP(SMALL($C$98:$C$225,C230),$C$98:$K$225,4,FALSE),"")</f>
        <v/>
      </c>
      <c r="G230" s="55" t="str">
        <f t="shared" ref="G230:G261" si="71">IFERROR(VLOOKUP(SMALL($C$98:$C$225,C230),$C$98:$K$225,5,FALSE),"")</f>
        <v/>
      </c>
      <c r="H230" s="55" t="str">
        <f t="shared" ref="H230:H261" si="72">IFERROR(VLOOKUP(SMALL($C$98:$C$225,C230),$C$98:$K$225,6,FALSE),"")</f>
        <v/>
      </c>
      <c r="I230" s="55" t="str">
        <f t="shared" ref="I230:I261" si="73">IFERROR(VLOOKUP(SMALL($C$98:$C$225,C230),$C$98:$K$225,7,FALSE),"")</f>
        <v/>
      </c>
      <c r="J230" s="55" t="str">
        <f t="shared" ref="J230:J261" si="74">IFERROR(VLOOKUP(SMALL($C$98:$C$225,C230),$C$98:$K$225,8,FALSE),"")</f>
        <v/>
      </c>
      <c r="K230" s="60" t="str">
        <f t="shared" ref="K230:K261" si="75">IFERROR(VLOOKUP(SMALL($C$98:$C$225,C230),$C$98:$K$225,9,FALSE),"")</f>
        <v/>
      </c>
      <c r="N230" s="58">
        <v>1</v>
      </c>
      <c r="O230" s="59" t="str">
        <f t="shared" ref="O230:O261" si="76">IFERROR(VLOOKUP(SMALL($N$98:$N$225,N230),$N$98:$Y$225,2,FALSE),"")</f>
        <v/>
      </c>
      <c r="P230" s="55" t="str">
        <f t="shared" ref="P230:P261" si="77">IFERROR(VLOOKUP(SMALL($N$98:$N$225,N230),$N$98:$Y$225,3,FALSE),"")</f>
        <v/>
      </c>
      <c r="Q230" s="55" t="str">
        <f t="shared" ref="Q230:Q261" si="78">IFERROR(VLOOKUP(SMALL($N$98:$N$225,N230),$N$98:$Y$225,4,FALSE),"")</f>
        <v/>
      </c>
      <c r="R230" s="55" t="str">
        <f t="shared" ref="R230:R261" si="79">IFERROR(VLOOKUP(SMALL($N$98:$N$225,N230),$N$98:$Y$225,5,FALSE),"")</f>
        <v/>
      </c>
      <c r="S230" s="55"/>
      <c r="T230" s="55"/>
      <c r="U230" s="55"/>
      <c r="V230" s="55" t="str">
        <f t="shared" ref="V230:V261" si="80">IFERROR(VLOOKUP(SMALL($N$98:$N$225,N230),$N$98:$Y$225,6,FALSE),"")</f>
        <v/>
      </c>
      <c r="W230" s="55" t="str">
        <f t="shared" ref="W230:W261" si="81">IFERROR(VLOOKUP(SMALL($N$98:$N$225,N230),$N$98:$Y$225,7,FALSE),"")</f>
        <v/>
      </c>
      <c r="X230" s="55" t="str">
        <f t="shared" ref="X230:X261" si="82">IFERROR(VLOOKUP(SMALL($N$98:$N$225,N230),$N$98:$Y$225,8,FALSE),"")</f>
        <v/>
      </c>
      <c r="Y230" s="60" t="str">
        <f t="shared" ref="Y230:Y261" si="83">IFERROR(VLOOKUP(SMALL($N$98:$N$225,N230),$N$98:$Y$225,9,FALSE),"")</f>
        <v/>
      </c>
    </row>
    <row r="231" spans="2:25" hidden="1" x14ac:dyDescent="0.25">
      <c r="C231">
        <v>2</v>
      </c>
      <c r="D231" s="59" t="str">
        <f t="shared" si="68"/>
        <v/>
      </c>
      <c r="E231" s="55" t="str">
        <f t="shared" si="69"/>
        <v/>
      </c>
      <c r="F231" s="55" t="str">
        <f t="shared" si="70"/>
        <v/>
      </c>
      <c r="G231" s="55" t="str">
        <f t="shared" si="71"/>
        <v/>
      </c>
      <c r="H231" s="55" t="str">
        <f t="shared" si="72"/>
        <v/>
      </c>
      <c r="I231" s="55" t="str">
        <f t="shared" si="73"/>
        <v/>
      </c>
      <c r="J231" s="55" t="str">
        <f t="shared" si="74"/>
        <v/>
      </c>
      <c r="K231" s="60" t="str">
        <f t="shared" si="75"/>
        <v/>
      </c>
      <c r="N231" s="58">
        <v>2</v>
      </c>
      <c r="O231" s="59" t="str">
        <f t="shared" si="76"/>
        <v/>
      </c>
      <c r="P231" s="55" t="str">
        <f t="shared" si="77"/>
        <v/>
      </c>
      <c r="Q231" s="55" t="str">
        <f t="shared" si="78"/>
        <v/>
      </c>
      <c r="R231" s="55" t="str">
        <f t="shared" si="79"/>
        <v/>
      </c>
      <c r="S231" s="55"/>
      <c r="T231" s="55"/>
      <c r="U231" s="55"/>
      <c r="V231" s="55" t="str">
        <f t="shared" si="80"/>
        <v/>
      </c>
      <c r="W231" s="55" t="str">
        <f t="shared" si="81"/>
        <v/>
      </c>
      <c r="X231" s="55" t="str">
        <f t="shared" si="82"/>
        <v/>
      </c>
      <c r="Y231" s="60" t="str">
        <f t="shared" si="83"/>
        <v/>
      </c>
    </row>
    <row r="232" spans="2:25" hidden="1" x14ac:dyDescent="0.25">
      <c r="C232">
        <v>3</v>
      </c>
      <c r="D232" s="59" t="str">
        <f t="shared" si="68"/>
        <v/>
      </c>
      <c r="E232" s="55" t="str">
        <f t="shared" si="69"/>
        <v/>
      </c>
      <c r="F232" s="55" t="str">
        <f t="shared" si="70"/>
        <v/>
      </c>
      <c r="G232" s="55" t="str">
        <f t="shared" si="71"/>
        <v/>
      </c>
      <c r="H232" s="55" t="str">
        <f t="shared" si="72"/>
        <v/>
      </c>
      <c r="I232" s="55" t="str">
        <f t="shared" si="73"/>
        <v/>
      </c>
      <c r="J232" s="55" t="str">
        <f t="shared" si="74"/>
        <v/>
      </c>
      <c r="K232" s="60" t="str">
        <f t="shared" si="75"/>
        <v/>
      </c>
      <c r="N232" s="58">
        <v>3</v>
      </c>
      <c r="O232" s="59" t="str">
        <f t="shared" si="76"/>
        <v/>
      </c>
      <c r="P232" s="55" t="str">
        <f t="shared" si="77"/>
        <v/>
      </c>
      <c r="Q232" s="55" t="str">
        <f t="shared" si="78"/>
        <v/>
      </c>
      <c r="R232" s="55" t="str">
        <f t="shared" si="79"/>
        <v/>
      </c>
      <c r="S232" s="55"/>
      <c r="T232" s="55"/>
      <c r="U232" s="55"/>
      <c r="V232" s="55" t="str">
        <f t="shared" si="80"/>
        <v/>
      </c>
      <c r="W232" s="55" t="str">
        <f t="shared" si="81"/>
        <v/>
      </c>
      <c r="X232" s="55" t="str">
        <f t="shared" si="82"/>
        <v/>
      </c>
      <c r="Y232" s="60" t="str">
        <f t="shared" si="83"/>
        <v/>
      </c>
    </row>
    <row r="233" spans="2:25" hidden="1" x14ac:dyDescent="0.25">
      <c r="C233">
        <v>4</v>
      </c>
      <c r="D233" s="59" t="str">
        <f t="shared" si="68"/>
        <v/>
      </c>
      <c r="E233" s="55" t="str">
        <f t="shared" si="69"/>
        <v/>
      </c>
      <c r="F233" s="55" t="str">
        <f t="shared" si="70"/>
        <v/>
      </c>
      <c r="G233" s="55" t="str">
        <f t="shared" si="71"/>
        <v/>
      </c>
      <c r="H233" s="55" t="str">
        <f t="shared" si="72"/>
        <v/>
      </c>
      <c r="I233" s="55" t="str">
        <f t="shared" si="73"/>
        <v/>
      </c>
      <c r="J233" s="55" t="str">
        <f t="shared" si="74"/>
        <v/>
      </c>
      <c r="K233" s="60" t="str">
        <f t="shared" si="75"/>
        <v/>
      </c>
      <c r="N233" s="58">
        <v>4</v>
      </c>
      <c r="O233" s="59" t="str">
        <f t="shared" si="76"/>
        <v/>
      </c>
      <c r="P233" s="55" t="str">
        <f t="shared" si="77"/>
        <v/>
      </c>
      <c r="Q233" s="55" t="str">
        <f t="shared" si="78"/>
        <v/>
      </c>
      <c r="R233" s="55" t="str">
        <f t="shared" si="79"/>
        <v/>
      </c>
      <c r="S233" s="55"/>
      <c r="T233" s="55"/>
      <c r="U233" s="55"/>
      <c r="V233" s="55" t="str">
        <f t="shared" si="80"/>
        <v/>
      </c>
      <c r="W233" s="55" t="str">
        <f t="shared" si="81"/>
        <v/>
      </c>
      <c r="X233" s="55" t="str">
        <f t="shared" si="82"/>
        <v/>
      </c>
      <c r="Y233" s="60" t="str">
        <f t="shared" si="83"/>
        <v/>
      </c>
    </row>
    <row r="234" spans="2:25" hidden="1" x14ac:dyDescent="0.25">
      <c r="C234" s="58">
        <v>5</v>
      </c>
      <c r="D234" s="59" t="str">
        <f t="shared" si="68"/>
        <v/>
      </c>
      <c r="E234" s="55" t="str">
        <f t="shared" si="69"/>
        <v/>
      </c>
      <c r="F234" s="55" t="str">
        <f t="shared" si="70"/>
        <v/>
      </c>
      <c r="G234" s="55" t="str">
        <f t="shared" si="71"/>
        <v/>
      </c>
      <c r="H234" s="55" t="str">
        <f t="shared" si="72"/>
        <v/>
      </c>
      <c r="I234" s="55" t="str">
        <f t="shared" si="73"/>
        <v/>
      </c>
      <c r="J234" s="55" t="str">
        <f t="shared" si="74"/>
        <v/>
      </c>
      <c r="K234" s="60" t="str">
        <f t="shared" si="75"/>
        <v/>
      </c>
      <c r="N234" s="58">
        <v>5</v>
      </c>
      <c r="O234" s="59" t="str">
        <f t="shared" si="76"/>
        <v/>
      </c>
      <c r="P234" s="55" t="str">
        <f t="shared" si="77"/>
        <v/>
      </c>
      <c r="Q234" s="55" t="str">
        <f t="shared" si="78"/>
        <v/>
      </c>
      <c r="R234" s="55" t="str">
        <f t="shared" si="79"/>
        <v/>
      </c>
      <c r="S234" s="55"/>
      <c r="T234" s="55"/>
      <c r="U234" s="55"/>
      <c r="V234" s="55" t="str">
        <f t="shared" si="80"/>
        <v/>
      </c>
      <c r="W234" s="55" t="str">
        <f t="shared" si="81"/>
        <v/>
      </c>
      <c r="X234" s="55" t="str">
        <f t="shared" si="82"/>
        <v/>
      </c>
      <c r="Y234" s="60" t="str">
        <f t="shared" si="83"/>
        <v/>
      </c>
    </row>
    <row r="235" spans="2:25" hidden="1" x14ac:dyDescent="0.25">
      <c r="C235" s="58">
        <v>6</v>
      </c>
      <c r="D235" s="59" t="str">
        <f t="shared" si="68"/>
        <v/>
      </c>
      <c r="E235" s="55" t="str">
        <f t="shared" si="69"/>
        <v/>
      </c>
      <c r="F235" s="55" t="str">
        <f t="shared" si="70"/>
        <v/>
      </c>
      <c r="G235" s="55" t="str">
        <f t="shared" si="71"/>
        <v/>
      </c>
      <c r="H235" s="55" t="str">
        <f t="shared" si="72"/>
        <v/>
      </c>
      <c r="I235" s="55" t="str">
        <f t="shared" si="73"/>
        <v/>
      </c>
      <c r="J235" s="55" t="str">
        <f t="shared" si="74"/>
        <v/>
      </c>
      <c r="K235" s="60" t="str">
        <f t="shared" si="75"/>
        <v/>
      </c>
      <c r="N235" s="58">
        <v>6</v>
      </c>
      <c r="O235" s="59" t="str">
        <f t="shared" si="76"/>
        <v/>
      </c>
      <c r="P235" s="55" t="str">
        <f t="shared" si="77"/>
        <v/>
      </c>
      <c r="Q235" s="55" t="str">
        <f t="shared" si="78"/>
        <v/>
      </c>
      <c r="R235" s="55" t="str">
        <f t="shared" si="79"/>
        <v/>
      </c>
      <c r="S235" s="55"/>
      <c r="T235" s="55"/>
      <c r="U235" s="55"/>
      <c r="V235" s="55" t="str">
        <f t="shared" si="80"/>
        <v/>
      </c>
      <c r="W235" s="55" t="str">
        <f t="shared" si="81"/>
        <v/>
      </c>
      <c r="X235" s="55" t="str">
        <f t="shared" si="82"/>
        <v/>
      </c>
      <c r="Y235" s="60" t="str">
        <f t="shared" si="83"/>
        <v/>
      </c>
    </row>
    <row r="236" spans="2:25" hidden="1" x14ac:dyDescent="0.25">
      <c r="C236" s="58">
        <v>7</v>
      </c>
      <c r="D236" s="59" t="str">
        <f t="shared" si="68"/>
        <v/>
      </c>
      <c r="E236" s="55" t="str">
        <f t="shared" si="69"/>
        <v/>
      </c>
      <c r="F236" s="55" t="str">
        <f t="shared" si="70"/>
        <v/>
      </c>
      <c r="G236" s="55" t="str">
        <f t="shared" si="71"/>
        <v/>
      </c>
      <c r="H236" s="55" t="str">
        <f t="shared" si="72"/>
        <v/>
      </c>
      <c r="I236" s="55" t="str">
        <f t="shared" si="73"/>
        <v/>
      </c>
      <c r="J236" s="55" t="str">
        <f t="shared" si="74"/>
        <v/>
      </c>
      <c r="K236" s="60" t="str">
        <f t="shared" si="75"/>
        <v/>
      </c>
      <c r="N236" s="58">
        <v>7</v>
      </c>
      <c r="O236" s="59" t="str">
        <f t="shared" si="76"/>
        <v/>
      </c>
      <c r="P236" s="55" t="str">
        <f t="shared" si="77"/>
        <v/>
      </c>
      <c r="Q236" s="55" t="str">
        <f t="shared" si="78"/>
        <v/>
      </c>
      <c r="R236" s="55" t="str">
        <f t="shared" si="79"/>
        <v/>
      </c>
      <c r="S236" s="55"/>
      <c r="T236" s="55"/>
      <c r="U236" s="55"/>
      <c r="V236" s="55" t="str">
        <f t="shared" si="80"/>
        <v/>
      </c>
      <c r="W236" s="55" t="str">
        <f t="shared" si="81"/>
        <v/>
      </c>
      <c r="X236" s="55" t="str">
        <f t="shared" si="82"/>
        <v/>
      </c>
      <c r="Y236" s="60" t="str">
        <f t="shared" si="83"/>
        <v/>
      </c>
    </row>
    <row r="237" spans="2:25" hidden="1" x14ac:dyDescent="0.25">
      <c r="C237" s="58">
        <v>8</v>
      </c>
      <c r="D237" s="59" t="str">
        <f t="shared" si="68"/>
        <v/>
      </c>
      <c r="E237" s="55" t="str">
        <f t="shared" si="69"/>
        <v/>
      </c>
      <c r="F237" s="55" t="str">
        <f t="shared" si="70"/>
        <v/>
      </c>
      <c r="G237" s="55" t="str">
        <f t="shared" si="71"/>
        <v/>
      </c>
      <c r="H237" s="55" t="str">
        <f t="shared" si="72"/>
        <v/>
      </c>
      <c r="I237" s="55" t="str">
        <f t="shared" si="73"/>
        <v/>
      </c>
      <c r="J237" s="55" t="str">
        <f t="shared" si="74"/>
        <v/>
      </c>
      <c r="K237" s="60" t="str">
        <f t="shared" si="75"/>
        <v/>
      </c>
      <c r="N237" s="58">
        <v>8</v>
      </c>
      <c r="O237" s="59" t="str">
        <f t="shared" si="76"/>
        <v/>
      </c>
      <c r="P237" s="55" t="str">
        <f t="shared" si="77"/>
        <v/>
      </c>
      <c r="Q237" s="55" t="str">
        <f t="shared" si="78"/>
        <v/>
      </c>
      <c r="R237" s="55" t="str">
        <f t="shared" si="79"/>
        <v/>
      </c>
      <c r="S237" s="55"/>
      <c r="T237" s="55"/>
      <c r="U237" s="55"/>
      <c r="V237" s="55" t="str">
        <f t="shared" si="80"/>
        <v/>
      </c>
      <c r="W237" s="55" t="str">
        <f t="shared" si="81"/>
        <v/>
      </c>
      <c r="X237" s="55" t="str">
        <f t="shared" si="82"/>
        <v/>
      </c>
      <c r="Y237" s="60" t="str">
        <f t="shared" si="83"/>
        <v/>
      </c>
    </row>
    <row r="238" spans="2:25" hidden="1" x14ac:dyDescent="0.25">
      <c r="C238" s="58">
        <v>9</v>
      </c>
      <c r="D238" s="59" t="str">
        <f t="shared" si="68"/>
        <v/>
      </c>
      <c r="E238" s="55" t="str">
        <f t="shared" si="69"/>
        <v/>
      </c>
      <c r="F238" s="55" t="str">
        <f t="shared" si="70"/>
        <v/>
      </c>
      <c r="G238" s="55" t="str">
        <f t="shared" si="71"/>
        <v/>
      </c>
      <c r="H238" s="55" t="str">
        <f t="shared" si="72"/>
        <v/>
      </c>
      <c r="I238" s="55" t="str">
        <f t="shared" si="73"/>
        <v/>
      </c>
      <c r="J238" s="55" t="str">
        <f t="shared" si="74"/>
        <v/>
      </c>
      <c r="K238" s="60" t="str">
        <f t="shared" si="75"/>
        <v/>
      </c>
      <c r="N238" s="58">
        <v>9</v>
      </c>
      <c r="O238" s="59" t="str">
        <f t="shared" si="76"/>
        <v/>
      </c>
      <c r="P238" s="55" t="str">
        <f t="shared" si="77"/>
        <v/>
      </c>
      <c r="Q238" s="55" t="str">
        <f t="shared" si="78"/>
        <v/>
      </c>
      <c r="R238" s="55" t="str">
        <f t="shared" si="79"/>
        <v/>
      </c>
      <c r="S238" s="55"/>
      <c r="T238" s="55"/>
      <c r="U238" s="55"/>
      <c r="V238" s="55" t="str">
        <f t="shared" si="80"/>
        <v/>
      </c>
      <c r="W238" s="55" t="str">
        <f t="shared" si="81"/>
        <v/>
      </c>
      <c r="X238" s="55" t="str">
        <f t="shared" si="82"/>
        <v/>
      </c>
      <c r="Y238" s="60" t="str">
        <f t="shared" si="83"/>
        <v/>
      </c>
    </row>
    <row r="239" spans="2:25" hidden="1" x14ac:dyDescent="0.25">
      <c r="C239" s="58">
        <v>10</v>
      </c>
      <c r="D239" s="59" t="str">
        <f t="shared" si="68"/>
        <v/>
      </c>
      <c r="E239" s="55" t="str">
        <f t="shared" si="69"/>
        <v/>
      </c>
      <c r="F239" s="55" t="str">
        <f t="shared" si="70"/>
        <v/>
      </c>
      <c r="G239" s="55" t="str">
        <f t="shared" si="71"/>
        <v/>
      </c>
      <c r="H239" s="55" t="str">
        <f t="shared" si="72"/>
        <v/>
      </c>
      <c r="I239" s="55" t="str">
        <f t="shared" si="73"/>
        <v/>
      </c>
      <c r="J239" s="55" t="str">
        <f t="shared" si="74"/>
        <v/>
      </c>
      <c r="K239" s="60" t="str">
        <f t="shared" si="75"/>
        <v/>
      </c>
      <c r="N239" s="58">
        <v>10</v>
      </c>
      <c r="O239" s="59" t="str">
        <f t="shared" si="76"/>
        <v/>
      </c>
      <c r="P239" s="55" t="str">
        <f t="shared" si="77"/>
        <v/>
      </c>
      <c r="Q239" s="55" t="str">
        <f t="shared" si="78"/>
        <v/>
      </c>
      <c r="R239" s="55" t="str">
        <f t="shared" si="79"/>
        <v/>
      </c>
      <c r="S239" s="55"/>
      <c r="T239" s="55"/>
      <c r="U239" s="55"/>
      <c r="V239" s="55" t="str">
        <f t="shared" si="80"/>
        <v/>
      </c>
      <c r="W239" s="55" t="str">
        <f t="shared" si="81"/>
        <v/>
      </c>
      <c r="X239" s="55" t="str">
        <f t="shared" si="82"/>
        <v/>
      </c>
      <c r="Y239" s="60" t="str">
        <f t="shared" si="83"/>
        <v/>
      </c>
    </row>
    <row r="240" spans="2:25" hidden="1" x14ac:dyDescent="0.25">
      <c r="C240" s="58">
        <v>11</v>
      </c>
      <c r="D240" s="59" t="str">
        <f t="shared" si="68"/>
        <v/>
      </c>
      <c r="E240" s="55" t="str">
        <f t="shared" si="69"/>
        <v/>
      </c>
      <c r="F240" s="55" t="str">
        <f t="shared" si="70"/>
        <v/>
      </c>
      <c r="G240" s="55" t="str">
        <f t="shared" si="71"/>
        <v/>
      </c>
      <c r="H240" s="55" t="str">
        <f t="shared" si="72"/>
        <v/>
      </c>
      <c r="I240" s="55" t="str">
        <f t="shared" si="73"/>
        <v/>
      </c>
      <c r="J240" s="55" t="str">
        <f t="shared" si="74"/>
        <v/>
      </c>
      <c r="K240" s="60" t="str">
        <f t="shared" si="75"/>
        <v/>
      </c>
      <c r="N240" s="58">
        <v>11</v>
      </c>
      <c r="O240" s="59" t="str">
        <f t="shared" si="76"/>
        <v/>
      </c>
      <c r="P240" s="55" t="str">
        <f t="shared" si="77"/>
        <v/>
      </c>
      <c r="Q240" s="55" t="str">
        <f t="shared" si="78"/>
        <v/>
      </c>
      <c r="R240" s="55" t="str">
        <f t="shared" si="79"/>
        <v/>
      </c>
      <c r="S240" s="55"/>
      <c r="T240" s="55"/>
      <c r="U240" s="55"/>
      <c r="V240" s="55" t="str">
        <f t="shared" si="80"/>
        <v/>
      </c>
      <c r="W240" s="55" t="str">
        <f t="shared" si="81"/>
        <v/>
      </c>
      <c r="X240" s="55" t="str">
        <f t="shared" si="82"/>
        <v/>
      </c>
      <c r="Y240" s="60" t="str">
        <f t="shared" si="83"/>
        <v/>
      </c>
    </row>
    <row r="241" spans="3:25" hidden="1" x14ac:dyDescent="0.25">
      <c r="C241" s="58">
        <v>12</v>
      </c>
      <c r="D241" s="59" t="str">
        <f t="shared" si="68"/>
        <v/>
      </c>
      <c r="E241" s="55" t="str">
        <f t="shared" si="69"/>
        <v/>
      </c>
      <c r="F241" s="55" t="str">
        <f t="shared" si="70"/>
        <v/>
      </c>
      <c r="G241" s="55" t="str">
        <f t="shared" si="71"/>
        <v/>
      </c>
      <c r="H241" s="55" t="str">
        <f t="shared" si="72"/>
        <v/>
      </c>
      <c r="I241" s="55" t="str">
        <f t="shared" si="73"/>
        <v/>
      </c>
      <c r="J241" s="55" t="str">
        <f t="shared" si="74"/>
        <v/>
      </c>
      <c r="K241" s="60" t="str">
        <f t="shared" si="75"/>
        <v/>
      </c>
      <c r="N241" s="58">
        <v>12</v>
      </c>
      <c r="O241" s="59" t="str">
        <f t="shared" si="76"/>
        <v/>
      </c>
      <c r="P241" s="55" t="str">
        <f t="shared" si="77"/>
        <v/>
      </c>
      <c r="Q241" s="55" t="str">
        <f t="shared" si="78"/>
        <v/>
      </c>
      <c r="R241" s="55" t="str">
        <f t="shared" si="79"/>
        <v/>
      </c>
      <c r="S241" s="55"/>
      <c r="T241" s="55"/>
      <c r="U241" s="55"/>
      <c r="V241" s="55" t="str">
        <f t="shared" si="80"/>
        <v/>
      </c>
      <c r="W241" s="55" t="str">
        <f t="shared" si="81"/>
        <v/>
      </c>
      <c r="X241" s="55" t="str">
        <f t="shared" si="82"/>
        <v/>
      </c>
      <c r="Y241" s="60" t="str">
        <f t="shared" si="83"/>
        <v/>
      </c>
    </row>
    <row r="242" spans="3:25" hidden="1" x14ac:dyDescent="0.25">
      <c r="C242" s="58">
        <v>13</v>
      </c>
      <c r="D242" s="59" t="str">
        <f t="shared" si="68"/>
        <v/>
      </c>
      <c r="E242" s="55" t="str">
        <f t="shared" si="69"/>
        <v/>
      </c>
      <c r="F242" s="55" t="str">
        <f t="shared" si="70"/>
        <v/>
      </c>
      <c r="G242" s="55" t="str">
        <f t="shared" si="71"/>
        <v/>
      </c>
      <c r="H242" s="55" t="str">
        <f t="shared" si="72"/>
        <v/>
      </c>
      <c r="I242" s="55" t="str">
        <f t="shared" si="73"/>
        <v/>
      </c>
      <c r="J242" s="55" t="str">
        <f t="shared" si="74"/>
        <v/>
      </c>
      <c r="K242" s="60" t="str">
        <f t="shared" si="75"/>
        <v/>
      </c>
      <c r="N242" s="58">
        <v>13</v>
      </c>
      <c r="O242" s="59" t="str">
        <f t="shared" si="76"/>
        <v/>
      </c>
      <c r="P242" s="55" t="str">
        <f t="shared" si="77"/>
        <v/>
      </c>
      <c r="Q242" s="55" t="str">
        <f t="shared" si="78"/>
        <v/>
      </c>
      <c r="R242" s="55" t="str">
        <f t="shared" si="79"/>
        <v/>
      </c>
      <c r="S242" s="55"/>
      <c r="T242" s="55"/>
      <c r="U242" s="55"/>
      <c r="V242" s="55" t="str">
        <f t="shared" si="80"/>
        <v/>
      </c>
      <c r="W242" s="55" t="str">
        <f t="shared" si="81"/>
        <v/>
      </c>
      <c r="X242" s="55" t="str">
        <f t="shared" si="82"/>
        <v/>
      </c>
      <c r="Y242" s="60" t="str">
        <f t="shared" si="83"/>
        <v/>
      </c>
    </row>
    <row r="243" spans="3:25" hidden="1" x14ac:dyDescent="0.25">
      <c r="C243" s="58">
        <v>14</v>
      </c>
      <c r="D243" s="59" t="str">
        <f t="shared" si="68"/>
        <v/>
      </c>
      <c r="E243" s="55" t="str">
        <f t="shared" si="69"/>
        <v/>
      </c>
      <c r="F243" s="55" t="str">
        <f t="shared" si="70"/>
        <v/>
      </c>
      <c r="G243" s="55" t="str">
        <f t="shared" si="71"/>
        <v/>
      </c>
      <c r="H243" s="55" t="str">
        <f t="shared" si="72"/>
        <v/>
      </c>
      <c r="I243" s="55" t="str">
        <f t="shared" si="73"/>
        <v/>
      </c>
      <c r="J243" s="55" t="str">
        <f t="shared" si="74"/>
        <v/>
      </c>
      <c r="K243" s="60" t="str">
        <f t="shared" si="75"/>
        <v/>
      </c>
      <c r="N243" s="58">
        <v>14</v>
      </c>
      <c r="O243" s="59" t="str">
        <f t="shared" si="76"/>
        <v/>
      </c>
      <c r="P243" s="55" t="str">
        <f t="shared" si="77"/>
        <v/>
      </c>
      <c r="Q243" s="55" t="str">
        <f t="shared" si="78"/>
        <v/>
      </c>
      <c r="R243" s="55" t="str">
        <f t="shared" si="79"/>
        <v/>
      </c>
      <c r="S243" s="55"/>
      <c r="T243" s="55"/>
      <c r="U243" s="55"/>
      <c r="V243" s="55" t="str">
        <f t="shared" si="80"/>
        <v/>
      </c>
      <c r="W243" s="55" t="str">
        <f t="shared" si="81"/>
        <v/>
      </c>
      <c r="X243" s="55" t="str">
        <f t="shared" si="82"/>
        <v/>
      </c>
      <c r="Y243" s="60" t="str">
        <f t="shared" si="83"/>
        <v/>
      </c>
    </row>
    <row r="244" spans="3:25" hidden="1" x14ac:dyDescent="0.25">
      <c r="C244" s="58">
        <v>15</v>
      </c>
      <c r="D244" s="59" t="str">
        <f t="shared" si="68"/>
        <v/>
      </c>
      <c r="E244" s="55" t="str">
        <f t="shared" si="69"/>
        <v/>
      </c>
      <c r="F244" s="55" t="str">
        <f t="shared" si="70"/>
        <v/>
      </c>
      <c r="G244" s="55" t="str">
        <f t="shared" si="71"/>
        <v/>
      </c>
      <c r="H244" s="55" t="str">
        <f t="shared" si="72"/>
        <v/>
      </c>
      <c r="I244" s="55" t="str">
        <f t="shared" si="73"/>
        <v/>
      </c>
      <c r="J244" s="55" t="str">
        <f t="shared" si="74"/>
        <v/>
      </c>
      <c r="K244" s="60" t="str">
        <f t="shared" si="75"/>
        <v/>
      </c>
      <c r="N244" s="58">
        <v>15</v>
      </c>
      <c r="O244" s="59" t="str">
        <f t="shared" si="76"/>
        <v/>
      </c>
      <c r="P244" s="55" t="str">
        <f t="shared" si="77"/>
        <v/>
      </c>
      <c r="Q244" s="55" t="str">
        <f t="shared" si="78"/>
        <v/>
      </c>
      <c r="R244" s="55" t="str">
        <f t="shared" si="79"/>
        <v/>
      </c>
      <c r="S244" s="55"/>
      <c r="T244" s="55"/>
      <c r="U244" s="55"/>
      <c r="V244" s="55" t="str">
        <f t="shared" si="80"/>
        <v/>
      </c>
      <c r="W244" s="55" t="str">
        <f t="shared" si="81"/>
        <v/>
      </c>
      <c r="X244" s="55" t="str">
        <f t="shared" si="82"/>
        <v/>
      </c>
      <c r="Y244" s="60" t="str">
        <f t="shared" si="83"/>
        <v/>
      </c>
    </row>
    <row r="245" spans="3:25" hidden="1" x14ac:dyDescent="0.25">
      <c r="C245" s="58">
        <v>16</v>
      </c>
      <c r="D245" s="59" t="str">
        <f t="shared" si="68"/>
        <v/>
      </c>
      <c r="E245" s="55" t="str">
        <f t="shared" si="69"/>
        <v/>
      </c>
      <c r="F245" s="55" t="str">
        <f t="shared" si="70"/>
        <v/>
      </c>
      <c r="G245" s="55" t="str">
        <f t="shared" si="71"/>
        <v/>
      </c>
      <c r="H245" s="55" t="str">
        <f t="shared" si="72"/>
        <v/>
      </c>
      <c r="I245" s="55" t="str">
        <f t="shared" si="73"/>
        <v/>
      </c>
      <c r="J245" s="55" t="str">
        <f t="shared" si="74"/>
        <v/>
      </c>
      <c r="K245" s="60" t="str">
        <f t="shared" si="75"/>
        <v/>
      </c>
      <c r="N245" s="58">
        <v>16</v>
      </c>
      <c r="O245" s="59" t="str">
        <f t="shared" si="76"/>
        <v/>
      </c>
      <c r="P245" s="55" t="str">
        <f t="shared" si="77"/>
        <v/>
      </c>
      <c r="Q245" s="55" t="str">
        <f t="shared" si="78"/>
        <v/>
      </c>
      <c r="R245" s="55" t="str">
        <f t="shared" si="79"/>
        <v/>
      </c>
      <c r="S245" s="55"/>
      <c r="T245" s="55"/>
      <c r="U245" s="55"/>
      <c r="V245" s="55" t="str">
        <f t="shared" si="80"/>
        <v/>
      </c>
      <c r="W245" s="55" t="str">
        <f t="shared" si="81"/>
        <v/>
      </c>
      <c r="X245" s="55" t="str">
        <f t="shared" si="82"/>
        <v/>
      </c>
      <c r="Y245" s="60" t="str">
        <f t="shared" si="83"/>
        <v/>
      </c>
    </row>
    <row r="246" spans="3:25" hidden="1" x14ac:dyDescent="0.25">
      <c r="C246" s="58">
        <v>17</v>
      </c>
      <c r="D246" s="59" t="str">
        <f t="shared" si="68"/>
        <v/>
      </c>
      <c r="E246" s="55" t="str">
        <f t="shared" si="69"/>
        <v/>
      </c>
      <c r="F246" s="55" t="str">
        <f t="shared" si="70"/>
        <v/>
      </c>
      <c r="G246" s="55" t="str">
        <f t="shared" si="71"/>
        <v/>
      </c>
      <c r="H246" s="55" t="str">
        <f t="shared" si="72"/>
        <v/>
      </c>
      <c r="I246" s="55" t="str">
        <f t="shared" si="73"/>
        <v/>
      </c>
      <c r="J246" s="55" t="str">
        <f t="shared" si="74"/>
        <v/>
      </c>
      <c r="K246" s="60" t="str">
        <f t="shared" si="75"/>
        <v/>
      </c>
      <c r="N246" s="58">
        <v>17</v>
      </c>
      <c r="O246" s="59" t="str">
        <f t="shared" si="76"/>
        <v/>
      </c>
      <c r="P246" s="55" t="str">
        <f t="shared" si="77"/>
        <v/>
      </c>
      <c r="Q246" s="55" t="str">
        <f t="shared" si="78"/>
        <v/>
      </c>
      <c r="R246" s="55" t="str">
        <f t="shared" si="79"/>
        <v/>
      </c>
      <c r="S246" s="55"/>
      <c r="T246" s="55"/>
      <c r="U246" s="55"/>
      <c r="V246" s="55" t="str">
        <f t="shared" si="80"/>
        <v/>
      </c>
      <c r="W246" s="55" t="str">
        <f t="shared" si="81"/>
        <v/>
      </c>
      <c r="X246" s="55" t="str">
        <f t="shared" si="82"/>
        <v/>
      </c>
      <c r="Y246" s="60" t="str">
        <f t="shared" si="83"/>
        <v/>
      </c>
    </row>
    <row r="247" spans="3:25" hidden="1" x14ac:dyDescent="0.25">
      <c r="C247" s="58">
        <v>18</v>
      </c>
      <c r="D247" s="59" t="str">
        <f t="shared" si="68"/>
        <v/>
      </c>
      <c r="E247" s="55" t="str">
        <f t="shared" si="69"/>
        <v/>
      </c>
      <c r="F247" s="55" t="str">
        <f t="shared" si="70"/>
        <v/>
      </c>
      <c r="G247" s="55" t="str">
        <f t="shared" si="71"/>
        <v/>
      </c>
      <c r="H247" s="55" t="str">
        <f t="shared" si="72"/>
        <v/>
      </c>
      <c r="I247" s="55" t="str">
        <f t="shared" si="73"/>
        <v/>
      </c>
      <c r="J247" s="55" t="str">
        <f t="shared" si="74"/>
        <v/>
      </c>
      <c r="K247" s="60" t="str">
        <f t="shared" si="75"/>
        <v/>
      </c>
      <c r="N247" s="58">
        <v>18</v>
      </c>
      <c r="O247" s="59" t="str">
        <f t="shared" si="76"/>
        <v/>
      </c>
      <c r="P247" s="55" t="str">
        <f t="shared" si="77"/>
        <v/>
      </c>
      <c r="Q247" s="55" t="str">
        <f t="shared" si="78"/>
        <v/>
      </c>
      <c r="R247" s="55" t="str">
        <f t="shared" si="79"/>
        <v/>
      </c>
      <c r="S247" s="55"/>
      <c r="T247" s="55"/>
      <c r="U247" s="55"/>
      <c r="V247" s="55" t="str">
        <f t="shared" si="80"/>
        <v/>
      </c>
      <c r="W247" s="55" t="str">
        <f t="shared" si="81"/>
        <v/>
      </c>
      <c r="X247" s="55" t="str">
        <f t="shared" si="82"/>
        <v/>
      </c>
      <c r="Y247" s="60" t="str">
        <f t="shared" si="83"/>
        <v/>
      </c>
    </row>
    <row r="248" spans="3:25" hidden="1" x14ac:dyDescent="0.25">
      <c r="C248" s="58">
        <v>19</v>
      </c>
      <c r="D248" s="59" t="str">
        <f t="shared" si="68"/>
        <v/>
      </c>
      <c r="E248" s="55" t="str">
        <f t="shared" si="69"/>
        <v/>
      </c>
      <c r="F248" s="55" t="str">
        <f t="shared" si="70"/>
        <v/>
      </c>
      <c r="G248" s="55" t="str">
        <f t="shared" si="71"/>
        <v/>
      </c>
      <c r="H248" s="55" t="str">
        <f t="shared" si="72"/>
        <v/>
      </c>
      <c r="I248" s="55" t="str">
        <f t="shared" si="73"/>
        <v/>
      </c>
      <c r="J248" s="55" t="str">
        <f t="shared" si="74"/>
        <v/>
      </c>
      <c r="K248" s="60" t="str">
        <f t="shared" si="75"/>
        <v/>
      </c>
      <c r="N248" s="58">
        <v>19</v>
      </c>
      <c r="O248" s="59" t="str">
        <f t="shared" si="76"/>
        <v/>
      </c>
      <c r="P248" s="55" t="str">
        <f t="shared" si="77"/>
        <v/>
      </c>
      <c r="Q248" s="55" t="str">
        <f t="shared" si="78"/>
        <v/>
      </c>
      <c r="R248" s="55" t="str">
        <f t="shared" si="79"/>
        <v/>
      </c>
      <c r="S248" s="55"/>
      <c r="T248" s="55"/>
      <c r="U248" s="55"/>
      <c r="V248" s="55" t="str">
        <f t="shared" si="80"/>
        <v/>
      </c>
      <c r="W248" s="55" t="str">
        <f t="shared" si="81"/>
        <v/>
      </c>
      <c r="X248" s="55" t="str">
        <f t="shared" si="82"/>
        <v/>
      </c>
      <c r="Y248" s="60" t="str">
        <f t="shared" si="83"/>
        <v/>
      </c>
    </row>
    <row r="249" spans="3:25" hidden="1" x14ac:dyDescent="0.25">
      <c r="C249" s="58">
        <v>20</v>
      </c>
      <c r="D249" s="59" t="str">
        <f t="shared" si="68"/>
        <v/>
      </c>
      <c r="E249" s="55" t="str">
        <f t="shared" si="69"/>
        <v/>
      </c>
      <c r="F249" s="55" t="str">
        <f t="shared" si="70"/>
        <v/>
      </c>
      <c r="G249" s="55" t="str">
        <f t="shared" si="71"/>
        <v/>
      </c>
      <c r="H249" s="55" t="str">
        <f t="shared" si="72"/>
        <v/>
      </c>
      <c r="I249" s="55" t="str">
        <f t="shared" si="73"/>
        <v/>
      </c>
      <c r="J249" s="55" t="str">
        <f t="shared" si="74"/>
        <v/>
      </c>
      <c r="K249" s="60" t="str">
        <f t="shared" si="75"/>
        <v/>
      </c>
      <c r="N249" s="58">
        <v>20</v>
      </c>
      <c r="O249" s="59" t="str">
        <f t="shared" si="76"/>
        <v/>
      </c>
      <c r="P249" s="55" t="str">
        <f t="shared" si="77"/>
        <v/>
      </c>
      <c r="Q249" s="55" t="str">
        <f t="shared" si="78"/>
        <v/>
      </c>
      <c r="R249" s="55" t="str">
        <f t="shared" si="79"/>
        <v/>
      </c>
      <c r="S249" s="55"/>
      <c r="T249" s="55"/>
      <c r="U249" s="55"/>
      <c r="V249" s="55" t="str">
        <f t="shared" si="80"/>
        <v/>
      </c>
      <c r="W249" s="55" t="str">
        <f t="shared" si="81"/>
        <v/>
      </c>
      <c r="X249" s="55" t="str">
        <f t="shared" si="82"/>
        <v/>
      </c>
      <c r="Y249" s="60" t="str">
        <f t="shared" si="83"/>
        <v/>
      </c>
    </row>
    <row r="250" spans="3:25" hidden="1" x14ac:dyDescent="0.25">
      <c r="C250" s="58">
        <v>21</v>
      </c>
      <c r="D250" s="59" t="str">
        <f t="shared" si="68"/>
        <v/>
      </c>
      <c r="E250" s="55" t="str">
        <f t="shared" si="69"/>
        <v/>
      </c>
      <c r="F250" s="55" t="str">
        <f t="shared" si="70"/>
        <v/>
      </c>
      <c r="G250" s="55" t="str">
        <f t="shared" si="71"/>
        <v/>
      </c>
      <c r="H250" s="55" t="str">
        <f t="shared" si="72"/>
        <v/>
      </c>
      <c r="I250" s="55" t="str">
        <f t="shared" si="73"/>
        <v/>
      </c>
      <c r="J250" s="55" t="str">
        <f t="shared" si="74"/>
        <v/>
      </c>
      <c r="K250" s="60" t="str">
        <f t="shared" si="75"/>
        <v/>
      </c>
      <c r="N250" s="58">
        <v>21</v>
      </c>
      <c r="O250" s="59" t="str">
        <f t="shared" si="76"/>
        <v/>
      </c>
      <c r="P250" s="55" t="str">
        <f t="shared" si="77"/>
        <v/>
      </c>
      <c r="Q250" s="55" t="str">
        <f t="shared" si="78"/>
        <v/>
      </c>
      <c r="R250" s="55" t="str">
        <f t="shared" si="79"/>
        <v/>
      </c>
      <c r="S250" s="55"/>
      <c r="T250" s="55"/>
      <c r="U250" s="55"/>
      <c r="V250" s="55" t="str">
        <f t="shared" si="80"/>
        <v/>
      </c>
      <c r="W250" s="55" t="str">
        <f t="shared" si="81"/>
        <v/>
      </c>
      <c r="X250" s="55" t="str">
        <f t="shared" si="82"/>
        <v/>
      </c>
      <c r="Y250" s="60" t="str">
        <f t="shared" si="83"/>
        <v/>
      </c>
    </row>
    <row r="251" spans="3:25" hidden="1" x14ac:dyDescent="0.25">
      <c r="C251" s="58">
        <v>22</v>
      </c>
      <c r="D251" s="59" t="str">
        <f t="shared" si="68"/>
        <v/>
      </c>
      <c r="E251" s="55" t="str">
        <f t="shared" si="69"/>
        <v/>
      </c>
      <c r="F251" s="55" t="str">
        <f t="shared" si="70"/>
        <v/>
      </c>
      <c r="G251" s="55" t="str">
        <f t="shared" si="71"/>
        <v/>
      </c>
      <c r="H251" s="55" t="str">
        <f t="shared" si="72"/>
        <v/>
      </c>
      <c r="I251" s="55" t="str">
        <f t="shared" si="73"/>
        <v/>
      </c>
      <c r="J251" s="55" t="str">
        <f t="shared" si="74"/>
        <v/>
      </c>
      <c r="K251" s="60" t="str">
        <f t="shared" si="75"/>
        <v/>
      </c>
      <c r="N251" s="58">
        <v>22</v>
      </c>
      <c r="O251" s="59" t="str">
        <f t="shared" si="76"/>
        <v/>
      </c>
      <c r="P251" s="55" t="str">
        <f t="shared" si="77"/>
        <v/>
      </c>
      <c r="Q251" s="55" t="str">
        <f t="shared" si="78"/>
        <v/>
      </c>
      <c r="R251" s="55" t="str">
        <f t="shared" si="79"/>
        <v/>
      </c>
      <c r="S251" s="55"/>
      <c r="T251" s="55"/>
      <c r="U251" s="55"/>
      <c r="V251" s="55" t="str">
        <f t="shared" si="80"/>
        <v/>
      </c>
      <c r="W251" s="55" t="str">
        <f t="shared" si="81"/>
        <v/>
      </c>
      <c r="X251" s="55" t="str">
        <f t="shared" si="82"/>
        <v/>
      </c>
      <c r="Y251" s="60" t="str">
        <f t="shared" si="83"/>
        <v/>
      </c>
    </row>
    <row r="252" spans="3:25" hidden="1" x14ac:dyDescent="0.25">
      <c r="C252" s="58">
        <v>23</v>
      </c>
      <c r="D252" s="59" t="str">
        <f t="shared" si="68"/>
        <v/>
      </c>
      <c r="E252" s="55" t="str">
        <f t="shared" si="69"/>
        <v/>
      </c>
      <c r="F252" s="55" t="str">
        <f t="shared" si="70"/>
        <v/>
      </c>
      <c r="G252" s="55" t="str">
        <f t="shared" si="71"/>
        <v/>
      </c>
      <c r="H252" s="55" t="str">
        <f t="shared" si="72"/>
        <v/>
      </c>
      <c r="I252" s="55" t="str">
        <f t="shared" si="73"/>
        <v/>
      </c>
      <c r="J252" s="55" t="str">
        <f t="shared" si="74"/>
        <v/>
      </c>
      <c r="K252" s="60" t="str">
        <f t="shared" si="75"/>
        <v/>
      </c>
      <c r="N252" s="58">
        <v>23</v>
      </c>
      <c r="O252" s="59" t="str">
        <f t="shared" si="76"/>
        <v/>
      </c>
      <c r="P252" s="55" t="str">
        <f t="shared" si="77"/>
        <v/>
      </c>
      <c r="Q252" s="55" t="str">
        <f t="shared" si="78"/>
        <v/>
      </c>
      <c r="R252" s="55" t="str">
        <f t="shared" si="79"/>
        <v/>
      </c>
      <c r="S252" s="55"/>
      <c r="T252" s="55"/>
      <c r="U252" s="55"/>
      <c r="V252" s="55" t="str">
        <f t="shared" si="80"/>
        <v/>
      </c>
      <c r="W252" s="55" t="str">
        <f t="shared" si="81"/>
        <v/>
      </c>
      <c r="X252" s="55" t="str">
        <f t="shared" si="82"/>
        <v/>
      </c>
      <c r="Y252" s="60" t="str">
        <f t="shared" si="83"/>
        <v/>
      </c>
    </row>
    <row r="253" spans="3:25" hidden="1" x14ac:dyDescent="0.25">
      <c r="C253" s="58">
        <v>24</v>
      </c>
      <c r="D253" s="59" t="str">
        <f t="shared" si="68"/>
        <v/>
      </c>
      <c r="E253" s="55" t="str">
        <f t="shared" si="69"/>
        <v/>
      </c>
      <c r="F253" s="55" t="str">
        <f t="shared" si="70"/>
        <v/>
      </c>
      <c r="G253" s="55" t="str">
        <f t="shared" si="71"/>
        <v/>
      </c>
      <c r="H253" s="55" t="str">
        <f t="shared" si="72"/>
        <v/>
      </c>
      <c r="I253" s="55" t="str">
        <f t="shared" si="73"/>
        <v/>
      </c>
      <c r="J253" s="55" t="str">
        <f t="shared" si="74"/>
        <v/>
      </c>
      <c r="K253" s="60" t="str">
        <f t="shared" si="75"/>
        <v/>
      </c>
      <c r="N253" s="58">
        <v>24</v>
      </c>
      <c r="O253" s="59" t="str">
        <f t="shared" si="76"/>
        <v/>
      </c>
      <c r="P253" s="55" t="str">
        <f t="shared" si="77"/>
        <v/>
      </c>
      <c r="Q253" s="55" t="str">
        <f t="shared" si="78"/>
        <v/>
      </c>
      <c r="R253" s="55" t="str">
        <f t="shared" si="79"/>
        <v/>
      </c>
      <c r="S253" s="55"/>
      <c r="T253" s="55"/>
      <c r="U253" s="55"/>
      <c r="V253" s="55" t="str">
        <f t="shared" si="80"/>
        <v/>
      </c>
      <c r="W253" s="55" t="str">
        <f t="shared" si="81"/>
        <v/>
      </c>
      <c r="X253" s="55" t="str">
        <f t="shared" si="82"/>
        <v/>
      </c>
      <c r="Y253" s="60" t="str">
        <f t="shared" si="83"/>
        <v/>
      </c>
    </row>
    <row r="254" spans="3:25" hidden="1" x14ac:dyDescent="0.25">
      <c r="C254" s="58">
        <v>25</v>
      </c>
      <c r="D254" s="59" t="str">
        <f t="shared" si="68"/>
        <v/>
      </c>
      <c r="E254" s="55" t="str">
        <f t="shared" si="69"/>
        <v/>
      </c>
      <c r="F254" s="55" t="str">
        <f t="shared" si="70"/>
        <v/>
      </c>
      <c r="G254" s="55" t="str">
        <f t="shared" si="71"/>
        <v/>
      </c>
      <c r="H254" s="55" t="str">
        <f t="shared" si="72"/>
        <v/>
      </c>
      <c r="I254" s="55" t="str">
        <f t="shared" si="73"/>
        <v/>
      </c>
      <c r="J254" s="55" t="str">
        <f t="shared" si="74"/>
        <v/>
      </c>
      <c r="K254" s="60" t="str">
        <f t="shared" si="75"/>
        <v/>
      </c>
      <c r="N254" s="58">
        <v>25</v>
      </c>
      <c r="O254" s="59" t="str">
        <f t="shared" si="76"/>
        <v/>
      </c>
      <c r="P254" s="55" t="str">
        <f t="shared" si="77"/>
        <v/>
      </c>
      <c r="Q254" s="55" t="str">
        <f t="shared" si="78"/>
        <v/>
      </c>
      <c r="R254" s="55" t="str">
        <f t="shared" si="79"/>
        <v/>
      </c>
      <c r="S254" s="55"/>
      <c r="T254" s="55"/>
      <c r="U254" s="55"/>
      <c r="V254" s="55" t="str">
        <f t="shared" si="80"/>
        <v/>
      </c>
      <c r="W254" s="55" t="str">
        <f t="shared" si="81"/>
        <v/>
      </c>
      <c r="X254" s="55" t="str">
        <f t="shared" si="82"/>
        <v/>
      </c>
      <c r="Y254" s="60" t="str">
        <f t="shared" si="83"/>
        <v/>
      </c>
    </row>
    <row r="255" spans="3:25" hidden="1" x14ac:dyDescent="0.25">
      <c r="C255" s="58">
        <v>26</v>
      </c>
      <c r="D255" s="59" t="str">
        <f t="shared" si="68"/>
        <v/>
      </c>
      <c r="E255" s="55" t="str">
        <f t="shared" si="69"/>
        <v/>
      </c>
      <c r="F255" s="55" t="str">
        <f t="shared" si="70"/>
        <v/>
      </c>
      <c r="G255" s="55" t="str">
        <f t="shared" si="71"/>
        <v/>
      </c>
      <c r="H255" s="55" t="str">
        <f t="shared" si="72"/>
        <v/>
      </c>
      <c r="I255" s="55" t="str">
        <f t="shared" si="73"/>
        <v/>
      </c>
      <c r="J255" s="55" t="str">
        <f t="shared" si="74"/>
        <v/>
      </c>
      <c r="K255" s="60" t="str">
        <f t="shared" si="75"/>
        <v/>
      </c>
      <c r="N255" s="58">
        <v>26</v>
      </c>
      <c r="O255" s="59" t="str">
        <f t="shared" si="76"/>
        <v/>
      </c>
      <c r="P255" s="55" t="str">
        <f t="shared" si="77"/>
        <v/>
      </c>
      <c r="Q255" s="55" t="str">
        <f t="shared" si="78"/>
        <v/>
      </c>
      <c r="R255" s="55" t="str">
        <f t="shared" si="79"/>
        <v/>
      </c>
      <c r="S255" s="55"/>
      <c r="T255" s="55"/>
      <c r="U255" s="55"/>
      <c r="V255" s="55" t="str">
        <f t="shared" si="80"/>
        <v/>
      </c>
      <c r="W255" s="55" t="str">
        <f t="shared" si="81"/>
        <v/>
      </c>
      <c r="X255" s="55" t="str">
        <f t="shared" si="82"/>
        <v/>
      </c>
      <c r="Y255" s="60" t="str">
        <f t="shared" si="83"/>
        <v/>
      </c>
    </row>
    <row r="256" spans="3:25" hidden="1" x14ac:dyDescent="0.25">
      <c r="C256" s="58">
        <v>27</v>
      </c>
      <c r="D256" s="59" t="str">
        <f t="shared" si="68"/>
        <v/>
      </c>
      <c r="E256" s="55" t="str">
        <f t="shared" si="69"/>
        <v/>
      </c>
      <c r="F256" s="55" t="str">
        <f t="shared" si="70"/>
        <v/>
      </c>
      <c r="G256" s="55" t="str">
        <f t="shared" si="71"/>
        <v/>
      </c>
      <c r="H256" s="55" t="str">
        <f t="shared" si="72"/>
        <v/>
      </c>
      <c r="I256" s="55" t="str">
        <f t="shared" si="73"/>
        <v/>
      </c>
      <c r="J256" s="55" t="str">
        <f t="shared" si="74"/>
        <v/>
      </c>
      <c r="K256" s="60" t="str">
        <f t="shared" si="75"/>
        <v/>
      </c>
      <c r="N256" s="58">
        <v>27</v>
      </c>
      <c r="O256" s="59" t="str">
        <f t="shared" si="76"/>
        <v/>
      </c>
      <c r="P256" s="55" t="str">
        <f t="shared" si="77"/>
        <v/>
      </c>
      <c r="Q256" s="55" t="str">
        <f t="shared" si="78"/>
        <v/>
      </c>
      <c r="R256" s="55" t="str">
        <f t="shared" si="79"/>
        <v/>
      </c>
      <c r="S256" s="55"/>
      <c r="T256" s="55"/>
      <c r="U256" s="55"/>
      <c r="V256" s="55" t="str">
        <f t="shared" si="80"/>
        <v/>
      </c>
      <c r="W256" s="55" t="str">
        <f t="shared" si="81"/>
        <v/>
      </c>
      <c r="X256" s="55" t="str">
        <f t="shared" si="82"/>
        <v/>
      </c>
      <c r="Y256" s="60" t="str">
        <f t="shared" si="83"/>
        <v/>
      </c>
    </row>
    <row r="257" spans="3:25" hidden="1" x14ac:dyDescent="0.25">
      <c r="C257" s="58">
        <v>28</v>
      </c>
      <c r="D257" s="59" t="str">
        <f t="shared" si="68"/>
        <v/>
      </c>
      <c r="E257" s="55" t="str">
        <f t="shared" si="69"/>
        <v/>
      </c>
      <c r="F257" s="55" t="str">
        <f t="shared" si="70"/>
        <v/>
      </c>
      <c r="G257" s="55" t="str">
        <f t="shared" si="71"/>
        <v/>
      </c>
      <c r="H257" s="55" t="str">
        <f t="shared" si="72"/>
        <v/>
      </c>
      <c r="I257" s="55" t="str">
        <f t="shared" si="73"/>
        <v/>
      </c>
      <c r="J257" s="55" t="str">
        <f t="shared" si="74"/>
        <v/>
      </c>
      <c r="K257" s="60" t="str">
        <f t="shared" si="75"/>
        <v/>
      </c>
      <c r="N257" s="58">
        <v>28</v>
      </c>
      <c r="O257" s="59" t="str">
        <f t="shared" si="76"/>
        <v/>
      </c>
      <c r="P257" s="55" t="str">
        <f t="shared" si="77"/>
        <v/>
      </c>
      <c r="Q257" s="55" t="str">
        <f t="shared" si="78"/>
        <v/>
      </c>
      <c r="R257" s="55" t="str">
        <f t="shared" si="79"/>
        <v/>
      </c>
      <c r="S257" s="55"/>
      <c r="T257" s="55"/>
      <c r="U257" s="55"/>
      <c r="V257" s="55" t="str">
        <f t="shared" si="80"/>
        <v/>
      </c>
      <c r="W257" s="55" t="str">
        <f t="shared" si="81"/>
        <v/>
      </c>
      <c r="X257" s="55" t="str">
        <f t="shared" si="82"/>
        <v/>
      </c>
      <c r="Y257" s="60" t="str">
        <f t="shared" si="83"/>
        <v/>
      </c>
    </row>
    <row r="258" spans="3:25" hidden="1" x14ac:dyDescent="0.25">
      <c r="C258" s="58">
        <v>29</v>
      </c>
      <c r="D258" s="59" t="str">
        <f t="shared" si="68"/>
        <v/>
      </c>
      <c r="E258" s="55" t="str">
        <f t="shared" si="69"/>
        <v/>
      </c>
      <c r="F258" s="55" t="str">
        <f t="shared" si="70"/>
        <v/>
      </c>
      <c r="G258" s="55" t="str">
        <f t="shared" si="71"/>
        <v/>
      </c>
      <c r="H258" s="55" t="str">
        <f t="shared" si="72"/>
        <v/>
      </c>
      <c r="I258" s="55" t="str">
        <f t="shared" si="73"/>
        <v/>
      </c>
      <c r="J258" s="55" t="str">
        <f t="shared" si="74"/>
        <v/>
      </c>
      <c r="K258" s="60" t="str">
        <f t="shared" si="75"/>
        <v/>
      </c>
      <c r="N258" s="58">
        <v>29</v>
      </c>
      <c r="O258" s="59" t="str">
        <f t="shared" si="76"/>
        <v/>
      </c>
      <c r="P258" s="55" t="str">
        <f t="shared" si="77"/>
        <v/>
      </c>
      <c r="Q258" s="55" t="str">
        <f t="shared" si="78"/>
        <v/>
      </c>
      <c r="R258" s="55" t="str">
        <f t="shared" si="79"/>
        <v/>
      </c>
      <c r="S258" s="55"/>
      <c r="T258" s="55"/>
      <c r="U258" s="55"/>
      <c r="V258" s="55" t="str">
        <f t="shared" si="80"/>
        <v/>
      </c>
      <c r="W258" s="55" t="str">
        <f t="shared" si="81"/>
        <v/>
      </c>
      <c r="X258" s="55" t="str">
        <f t="shared" si="82"/>
        <v/>
      </c>
      <c r="Y258" s="60" t="str">
        <f t="shared" si="83"/>
        <v/>
      </c>
    </row>
    <row r="259" spans="3:25" hidden="1" x14ac:dyDescent="0.25">
      <c r="C259" s="58">
        <v>30</v>
      </c>
      <c r="D259" s="59" t="str">
        <f t="shared" si="68"/>
        <v/>
      </c>
      <c r="E259" s="55" t="str">
        <f t="shared" si="69"/>
        <v/>
      </c>
      <c r="F259" s="55" t="str">
        <f t="shared" si="70"/>
        <v/>
      </c>
      <c r="G259" s="55" t="str">
        <f t="shared" si="71"/>
        <v/>
      </c>
      <c r="H259" s="55" t="str">
        <f t="shared" si="72"/>
        <v/>
      </c>
      <c r="I259" s="55" t="str">
        <f t="shared" si="73"/>
        <v/>
      </c>
      <c r="J259" s="55" t="str">
        <f t="shared" si="74"/>
        <v/>
      </c>
      <c r="K259" s="60" t="str">
        <f t="shared" si="75"/>
        <v/>
      </c>
      <c r="N259" s="58">
        <v>30</v>
      </c>
      <c r="O259" s="59" t="str">
        <f t="shared" si="76"/>
        <v/>
      </c>
      <c r="P259" s="55" t="str">
        <f t="shared" si="77"/>
        <v/>
      </c>
      <c r="Q259" s="55" t="str">
        <f t="shared" si="78"/>
        <v/>
      </c>
      <c r="R259" s="55" t="str">
        <f t="shared" si="79"/>
        <v/>
      </c>
      <c r="S259" s="55"/>
      <c r="T259" s="55"/>
      <c r="U259" s="55"/>
      <c r="V259" s="55" t="str">
        <f t="shared" si="80"/>
        <v/>
      </c>
      <c r="W259" s="55" t="str">
        <f t="shared" si="81"/>
        <v/>
      </c>
      <c r="X259" s="55" t="str">
        <f t="shared" si="82"/>
        <v/>
      </c>
      <c r="Y259" s="60" t="str">
        <f t="shared" si="83"/>
        <v/>
      </c>
    </row>
    <row r="260" spans="3:25" hidden="1" x14ac:dyDescent="0.25">
      <c r="C260" s="58">
        <v>31</v>
      </c>
      <c r="D260" s="59" t="str">
        <f t="shared" si="68"/>
        <v/>
      </c>
      <c r="E260" s="55" t="str">
        <f t="shared" si="69"/>
        <v/>
      </c>
      <c r="F260" s="55" t="str">
        <f t="shared" si="70"/>
        <v/>
      </c>
      <c r="G260" s="55" t="str">
        <f t="shared" si="71"/>
        <v/>
      </c>
      <c r="H260" s="55" t="str">
        <f t="shared" si="72"/>
        <v/>
      </c>
      <c r="I260" s="55" t="str">
        <f t="shared" si="73"/>
        <v/>
      </c>
      <c r="J260" s="55" t="str">
        <f t="shared" si="74"/>
        <v/>
      </c>
      <c r="K260" s="60" t="str">
        <f t="shared" si="75"/>
        <v/>
      </c>
      <c r="N260" s="58">
        <v>31</v>
      </c>
      <c r="O260" s="59" t="str">
        <f t="shared" si="76"/>
        <v/>
      </c>
      <c r="P260" s="55" t="str">
        <f t="shared" si="77"/>
        <v/>
      </c>
      <c r="Q260" s="55" t="str">
        <f t="shared" si="78"/>
        <v/>
      </c>
      <c r="R260" s="55" t="str">
        <f t="shared" si="79"/>
        <v/>
      </c>
      <c r="S260" s="55"/>
      <c r="T260" s="55"/>
      <c r="U260" s="55"/>
      <c r="V260" s="55" t="str">
        <f t="shared" si="80"/>
        <v/>
      </c>
      <c r="W260" s="55" t="str">
        <f t="shared" si="81"/>
        <v/>
      </c>
      <c r="X260" s="55" t="str">
        <f t="shared" si="82"/>
        <v/>
      </c>
      <c r="Y260" s="60" t="str">
        <f t="shared" si="83"/>
        <v/>
      </c>
    </row>
    <row r="261" spans="3:25" hidden="1" x14ac:dyDescent="0.25">
      <c r="C261" s="58">
        <v>32</v>
      </c>
      <c r="D261" s="59" t="str">
        <f t="shared" si="68"/>
        <v/>
      </c>
      <c r="E261" s="55" t="str">
        <f t="shared" si="69"/>
        <v/>
      </c>
      <c r="F261" s="55" t="str">
        <f t="shared" si="70"/>
        <v/>
      </c>
      <c r="G261" s="55" t="str">
        <f t="shared" si="71"/>
        <v/>
      </c>
      <c r="H261" s="55" t="str">
        <f t="shared" si="72"/>
        <v/>
      </c>
      <c r="I261" s="55" t="str">
        <f t="shared" si="73"/>
        <v/>
      </c>
      <c r="J261" s="55" t="str">
        <f t="shared" si="74"/>
        <v/>
      </c>
      <c r="K261" s="60" t="str">
        <f t="shared" si="75"/>
        <v/>
      </c>
      <c r="N261" s="58">
        <v>32</v>
      </c>
      <c r="O261" s="59" t="str">
        <f t="shared" si="76"/>
        <v/>
      </c>
      <c r="P261" s="55" t="str">
        <f t="shared" si="77"/>
        <v/>
      </c>
      <c r="Q261" s="55" t="str">
        <f t="shared" si="78"/>
        <v/>
      </c>
      <c r="R261" s="55" t="str">
        <f t="shared" si="79"/>
        <v/>
      </c>
      <c r="S261" s="55"/>
      <c r="T261" s="55"/>
      <c r="U261" s="55"/>
      <c r="V261" s="55" t="str">
        <f t="shared" si="80"/>
        <v/>
      </c>
      <c r="W261" s="55" t="str">
        <f t="shared" si="81"/>
        <v/>
      </c>
      <c r="X261" s="55" t="str">
        <f t="shared" si="82"/>
        <v/>
      </c>
      <c r="Y261" s="60" t="str">
        <f t="shared" si="83"/>
        <v/>
      </c>
    </row>
    <row r="262" spans="3:25" hidden="1" x14ac:dyDescent="0.25">
      <c r="C262" s="58">
        <v>33</v>
      </c>
      <c r="D262" s="59" t="str">
        <f t="shared" ref="D262:D293" si="84">IFERROR(VLOOKUP(SMALL($C$98:$C$225,C262),$C$98:$K$225,2,FALSE),"")</f>
        <v/>
      </c>
      <c r="E262" s="55" t="str">
        <f t="shared" ref="E262:E293" si="85">IFERROR(VLOOKUP(SMALL($C$98:$C$225,C262),$C$98:$K$225,3,FALSE),"")</f>
        <v/>
      </c>
      <c r="F262" s="55" t="str">
        <f t="shared" ref="F262:F293" si="86">IFERROR(VLOOKUP(SMALL($C$98:$C$225,C262),$C$98:$K$225,4,FALSE),"")</f>
        <v/>
      </c>
      <c r="G262" s="55" t="str">
        <f t="shared" ref="G262:G293" si="87">IFERROR(VLOOKUP(SMALL($C$98:$C$225,C262),$C$98:$K$225,5,FALSE),"")</f>
        <v/>
      </c>
      <c r="H262" s="55" t="str">
        <f t="shared" ref="H262:H293" si="88">IFERROR(VLOOKUP(SMALL($C$98:$C$225,C262),$C$98:$K$225,6,FALSE),"")</f>
        <v/>
      </c>
      <c r="I262" s="55" t="str">
        <f t="shared" ref="I262:I293" si="89">IFERROR(VLOOKUP(SMALL($C$98:$C$225,C262),$C$98:$K$225,7,FALSE),"")</f>
        <v/>
      </c>
      <c r="J262" s="55" t="str">
        <f t="shared" ref="J262:J293" si="90">IFERROR(VLOOKUP(SMALL($C$98:$C$225,C262),$C$98:$K$225,8,FALSE),"")</f>
        <v/>
      </c>
      <c r="K262" s="60" t="str">
        <f t="shared" ref="K262:K293" si="91">IFERROR(VLOOKUP(SMALL($C$98:$C$225,C262),$C$98:$K$225,9,FALSE),"")</f>
        <v/>
      </c>
      <c r="N262" s="58">
        <v>33</v>
      </c>
      <c r="O262" s="59" t="str">
        <f t="shared" ref="O262:O293" si="92">IFERROR(VLOOKUP(SMALL($N$98:$N$225,N262),$N$98:$Y$225,2,FALSE),"")</f>
        <v/>
      </c>
      <c r="P262" s="55" t="str">
        <f t="shared" ref="P262:P293" si="93">IFERROR(VLOOKUP(SMALL($N$98:$N$225,N262),$N$98:$Y$225,3,FALSE),"")</f>
        <v/>
      </c>
      <c r="Q262" s="55" t="str">
        <f t="shared" ref="Q262:Q293" si="94">IFERROR(VLOOKUP(SMALL($N$98:$N$225,N262),$N$98:$Y$225,4,FALSE),"")</f>
        <v/>
      </c>
      <c r="R262" s="55" t="str">
        <f t="shared" ref="R262:R293" si="95">IFERROR(VLOOKUP(SMALL($N$98:$N$225,N262),$N$98:$Y$225,5,FALSE),"")</f>
        <v/>
      </c>
      <c r="S262" s="55"/>
      <c r="T262" s="55"/>
      <c r="U262" s="55"/>
      <c r="V262" s="55" t="str">
        <f t="shared" ref="V262:V293" si="96">IFERROR(VLOOKUP(SMALL($N$98:$N$225,N262),$N$98:$Y$225,6,FALSE),"")</f>
        <v/>
      </c>
      <c r="W262" s="55" t="str">
        <f t="shared" ref="W262:W293" si="97">IFERROR(VLOOKUP(SMALL($N$98:$N$225,N262),$N$98:$Y$225,7,FALSE),"")</f>
        <v/>
      </c>
      <c r="X262" s="55" t="str">
        <f t="shared" ref="X262:X293" si="98">IFERROR(VLOOKUP(SMALL($N$98:$N$225,N262),$N$98:$Y$225,8,FALSE),"")</f>
        <v/>
      </c>
      <c r="Y262" s="60" t="str">
        <f t="shared" ref="Y262:Y293" si="99">IFERROR(VLOOKUP(SMALL($N$98:$N$225,N262),$N$98:$Y$225,9,FALSE),"")</f>
        <v/>
      </c>
    </row>
    <row r="263" spans="3:25" hidden="1" x14ac:dyDescent="0.25">
      <c r="C263" s="58">
        <v>34</v>
      </c>
      <c r="D263" s="59" t="str">
        <f t="shared" si="84"/>
        <v/>
      </c>
      <c r="E263" s="55" t="str">
        <f t="shared" si="85"/>
        <v/>
      </c>
      <c r="F263" s="55" t="str">
        <f t="shared" si="86"/>
        <v/>
      </c>
      <c r="G263" s="55" t="str">
        <f t="shared" si="87"/>
        <v/>
      </c>
      <c r="H263" s="55" t="str">
        <f t="shared" si="88"/>
        <v/>
      </c>
      <c r="I263" s="55" t="str">
        <f t="shared" si="89"/>
        <v/>
      </c>
      <c r="J263" s="55" t="str">
        <f t="shared" si="90"/>
        <v/>
      </c>
      <c r="K263" s="60" t="str">
        <f t="shared" si="91"/>
        <v/>
      </c>
      <c r="N263" s="58">
        <v>34</v>
      </c>
      <c r="O263" s="59" t="str">
        <f t="shared" si="92"/>
        <v/>
      </c>
      <c r="P263" s="55" t="str">
        <f t="shared" si="93"/>
        <v/>
      </c>
      <c r="Q263" s="55" t="str">
        <f t="shared" si="94"/>
        <v/>
      </c>
      <c r="R263" s="55" t="str">
        <f t="shared" si="95"/>
        <v/>
      </c>
      <c r="S263" s="55"/>
      <c r="T263" s="55"/>
      <c r="U263" s="55"/>
      <c r="V263" s="55" t="str">
        <f t="shared" si="96"/>
        <v/>
      </c>
      <c r="W263" s="55" t="str">
        <f t="shared" si="97"/>
        <v/>
      </c>
      <c r="X263" s="55" t="str">
        <f t="shared" si="98"/>
        <v/>
      </c>
      <c r="Y263" s="60" t="str">
        <f t="shared" si="99"/>
        <v/>
      </c>
    </row>
    <row r="264" spans="3:25" hidden="1" x14ac:dyDescent="0.25">
      <c r="C264" s="58">
        <v>35</v>
      </c>
      <c r="D264" s="59" t="str">
        <f t="shared" si="84"/>
        <v/>
      </c>
      <c r="E264" s="55" t="str">
        <f t="shared" si="85"/>
        <v/>
      </c>
      <c r="F264" s="55" t="str">
        <f t="shared" si="86"/>
        <v/>
      </c>
      <c r="G264" s="55" t="str">
        <f t="shared" si="87"/>
        <v/>
      </c>
      <c r="H264" s="55" t="str">
        <f t="shared" si="88"/>
        <v/>
      </c>
      <c r="I264" s="55" t="str">
        <f t="shared" si="89"/>
        <v/>
      </c>
      <c r="J264" s="55" t="str">
        <f t="shared" si="90"/>
        <v/>
      </c>
      <c r="K264" s="60" t="str">
        <f t="shared" si="91"/>
        <v/>
      </c>
      <c r="N264" s="58">
        <v>35</v>
      </c>
      <c r="O264" s="59" t="str">
        <f t="shared" si="92"/>
        <v/>
      </c>
      <c r="P264" s="55" t="str">
        <f t="shared" si="93"/>
        <v/>
      </c>
      <c r="Q264" s="55" t="str">
        <f t="shared" si="94"/>
        <v/>
      </c>
      <c r="R264" s="55" t="str">
        <f t="shared" si="95"/>
        <v/>
      </c>
      <c r="S264" s="55"/>
      <c r="T264" s="55"/>
      <c r="U264" s="55"/>
      <c r="V264" s="55" t="str">
        <f t="shared" si="96"/>
        <v/>
      </c>
      <c r="W264" s="55" t="str">
        <f t="shared" si="97"/>
        <v/>
      </c>
      <c r="X264" s="55" t="str">
        <f t="shared" si="98"/>
        <v/>
      </c>
      <c r="Y264" s="60" t="str">
        <f t="shared" si="99"/>
        <v/>
      </c>
    </row>
    <row r="265" spans="3:25" hidden="1" x14ac:dyDescent="0.25">
      <c r="C265" s="58">
        <v>36</v>
      </c>
      <c r="D265" s="59" t="str">
        <f t="shared" si="84"/>
        <v/>
      </c>
      <c r="E265" s="55" t="str">
        <f t="shared" si="85"/>
        <v/>
      </c>
      <c r="F265" s="55" t="str">
        <f t="shared" si="86"/>
        <v/>
      </c>
      <c r="G265" s="55" t="str">
        <f t="shared" si="87"/>
        <v/>
      </c>
      <c r="H265" s="55" t="str">
        <f t="shared" si="88"/>
        <v/>
      </c>
      <c r="I265" s="55" t="str">
        <f t="shared" si="89"/>
        <v/>
      </c>
      <c r="J265" s="55" t="str">
        <f t="shared" si="90"/>
        <v/>
      </c>
      <c r="K265" s="60" t="str">
        <f t="shared" si="91"/>
        <v/>
      </c>
      <c r="N265" s="58">
        <v>36</v>
      </c>
      <c r="O265" s="59" t="str">
        <f t="shared" si="92"/>
        <v/>
      </c>
      <c r="P265" s="55" t="str">
        <f t="shared" si="93"/>
        <v/>
      </c>
      <c r="Q265" s="55" t="str">
        <f t="shared" si="94"/>
        <v/>
      </c>
      <c r="R265" s="55" t="str">
        <f t="shared" si="95"/>
        <v/>
      </c>
      <c r="S265" s="55"/>
      <c r="T265" s="55"/>
      <c r="U265" s="55"/>
      <c r="V265" s="55" t="str">
        <f t="shared" si="96"/>
        <v/>
      </c>
      <c r="W265" s="55" t="str">
        <f t="shared" si="97"/>
        <v/>
      </c>
      <c r="X265" s="55" t="str">
        <f t="shared" si="98"/>
        <v/>
      </c>
      <c r="Y265" s="60" t="str">
        <f t="shared" si="99"/>
        <v/>
      </c>
    </row>
    <row r="266" spans="3:25" hidden="1" x14ac:dyDescent="0.25">
      <c r="C266" s="58">
        <v>37</v>
      </c>
      <c r="D266" s="59" t="str">
        <f t="shared" si="84"/>
        <v/>
      </c>
      <c r="E266" s="55" t="str">
        <f t="shared" si="85"/>
        <v/>
      </c>
      <c r="F266" s="55" t="str">
        <f t="shared" si="86"/>
        <v/>
      </c>
      <c r="G266" s="55" t="str">
        <f t="shared" si="87"/>
        <v/>
      </c>
      <c r="H266" s="55" t="str">
        <f t="shared" si="88"/>
        <v/>
      </c>
      <c r="I266" s="55" t="str">
        <f t="shared" si="89"/>
        <v/>
      </c>
      <c r="J266" s="55" t="str">
        <f t="shared" si="90"/>
        <v/>
      </c>
      <c r="K266" s="60" t="str">
        <f t="shared" si="91"/>
        <v/>
      </c>
      <c r="N266" s="58">
        <v>37</v>
      </c>
      <c r="O266" s="59" t="str">
        <f t="shared" si="92"/>
        <v/>
      </c>
      <c r="P266" s="55" t="str">
        <f t="shared" si="93"/>
        <v/>
      </c>
      <c r="Q266" s="55" t="str">
        <f t="shared" si="94"/>
        <v/>
      </c>
      <c r="R266" s="55" t="str">
        <f t="shared" si="95"/>
        <v/>
      </c>
      <c r="S266" s="55"/>
      <c r="T266" s="55"/>
      <c r="U266" s="55"/>
      <c r="V266" s="55" t="str">
        <f t="shared" si="96"/>
        <v/>
      </c>
      <c r="W266" s="55" t="str">
        <f t="shared" si="97"/>
        <v/>
      </c>
      <c r="X266" s="55" t="str">
        <f t="shared" si="98"/>
        <v/>
      </c>
      <c r="Y266" s="60" t="str">
        <f t="shared" si="99"/>
        <v/>
      </c>
    </row>
    <row r="267" spans="3:25" hidden="1" x14ac:dyDescent="0.25">
      <c r="C267" s="58">
        <v>38</v>
      </c>
      <c r="D267" s="59" t="str">
        <f t="shared" si="84"/>
        <v/>
      </c>
      <c r="E267" s="55" t="str">
        <f t="shared" si="85"/>
        <v/>
      </c>
      <c r="F267" s="55" t="str">
        <f t="shared" si="86"/>
        <v/>
      </c>
      <c r="G267" s="55" t="str">
        <f t="shared" si="87"/>
        <v/>
      </c>
      <c r="H267" s="55" t="str">
        <f t="shared" si="88"/>
        <v/>
      </c>
      <c r="I267" s="55" t="str">
        <f t="shared" si="89"/>
        <v/>
      </c>
      <c r="J267" s="55" t="str">
        <f t="shared" si="90"/>
        <v/>
      </c>
      <c r="K267" s="60" t="str">
        <f t="shared" si="91"/>
        <v/>
      </c>
      <c r="N267" s="58">
        <v>38</v>
      </c>
      <c r="O267" s="59" t="str">
        <f t="shared" si="92"/>
        <v/>
      </c>
      <c r="P267" s="55" t="str">
        <f t="shared" si="93"/>
        <v/>
      </c>
      <c r="Q267" s="55" t="str">
        <f t="shared" si="94"/>
        <v/>
      </c>
      <c r="R267" s="55" t="str">
        <f t="shared" si="95"/>
        <v/>
      </c>
      <c r="S267" s="55"/>
      <c r="T267" s="55"/>
      <c r="U267" s="55"/>
      <c r="V267" s="55" t="str">
        <f t="shared" si="96"/>
        <v/>
      </c>
      <c r="W267" s="55" t="str">
        <f t="shared" si="97"/>
        <v/>
      </c>
      <c r="X267" s="55" t="str">
        <f t="shared" si="98"/>
        <v/>
      </c>
      <c r="Y267" s="60" t="str">
        <f t="shared" si="99"/>
        <v/>
      </c>
    </row>
    <row r="268" spans="3:25" hidden="1" x14ac:dyDescent="0.25">
      <c r="C268" s="58">
        <v>39</v>
      </c>
      <c r="D268" s="59" t="str">
        <f t="shared" si="84"/>
        <v/>
      </c>
      <c r="E268" s="55" t="str">
        <f t="shared" si="85"/>
        <v/>
      </c>
      <c r="F268" s="55" t="str">
        <f t="shared" si="86"/>
        <v/>
      </c>
      <c r="G268" s="55" t="str">
        <f t="shared" si="87"/>
        <v/>
      </c>
      <c r="H268" s="55" t="str">
        <f t="shared" si="88"/>
        <v/>
      </c>
      <c r="I268" s="55" t="str">
        <f t="shared" si="89"/>
        <v/>
      </c>
      <c r="J268" s="55" t="str">
        <f t="shared" si="90"/>
        <v/>
      </c>
      <c r="K268" s="60" t="str">
        <f t="shared" si="91"/>
        <v/>
      </c>
      <c r="N268" s="58">
        <v>39</v>
      </c>
      <c r="O268" s="59" t="str">
        <f t="shared" si="92"/>
        <v/>
      </c>
      <c r="P268" s="55" t="str">
        <f t="shared" si="93"/>
        <v/>
      </c>
      <c r="Q268" s="55" t="str">
        <f t="shared" si="94"/>
        <v/>
      </c>
      <c r="R268" s="55" t="str">
        <f t="shared" si="95"/>
        <v/>
      </c>
      <c r="S268" s="55"/>
      <c r="T268" s="55"/>
      <c r="U268" s="55"/>
      <c r="V268" s="55" t="str">
        <f t="shared" si="96"/>
        <v/>
      </c>
      <c r="W268" s="55" t="str">
        <f t="shared" si="97"/>
        <v/>
      </c>
      <c r="X268" s="55" t="str">
        <f t="shared" si="98"/>
        <v/>
      </c>
      <c r="Y268" s="60" t="str">
        <f t="shared" si="99"/>
        <v/>
      </c>
    </row>
    <row r="269" spans="3:25" hidden="1" x14ac:dyDescent="0.25">
      <c r="C269" s="58">
        <v>40</v>
      </c>
      <c r="D269" s="59" t="str">
        <f t="shared" si="84"/>
        <v/>
      </c>
      <c r="E269" s="55" t="str">
        <f t="shared" si="85"/>
        <v/>
      </c>
      <c r="F269" s="55" t="str">
        <f t="shared" si="86"/>
        <v/>
      </c>
      <c r="G269" s="55" t="str">
        <f t="shared" si="87"/>
        <v/>
      </c>
      <c r="H269" s="55" t="str">
        <f t="shared" si="88"/>
        <v/>
      </c>
      <c r="I269" s="55" t="str">
        <f t="shared" si="89"/>
        <v/>
      </c>
      <c r="J269" s="55" t="str">
        <f t="shared" si="90"/>
        <v/>
      </c>
      <c r="K269" s="60" t="str">
        <f t="shared" si="91"/>
        <v/>
      </c>
      <c r="N269" s="58">
        <v>40</v>
      </c>
      <c r="O269" s="59" t="str">
        <f t="shared" si="92"/>
        <v/>
      </c>
      <c r="P269" s="55" t="str">
        <f t="shared" si="93"/>
        <v/>
      </c>
      <c r="Q269" s="55" t="str">
        <f t="shared" si="94"/>
        <v/>
      </c>
      <c r="R269" s="55" t="str">
        <f t="shared" si="95"/>
        <v/>
      </c>
      <c r="S269" s="55"/>
      <c r="T269" s="55"/>
      <c r="U269" s="55"/>
      <c r="V269" s="55" t="str">
        <f t="shared" si="96"/>
        <v/>
      </c>
      <c r="W269" s="55" t="str">
        <f t="shared" si="97"/>
        <v/>
      </c>
      <c r="X269" s="55" t="str">
        <f t="shared" si="98"/>
        <v/>
      </c>
      <c r="Y269" s="60" t="str">
        <f t="shared" si="99"/>
        <v/>
      </c>
    </row>
    <row r="270" spans="3:25" hidden="1" x14ac:dyDescent="0.25">
      <c r="C270" s="58">
        <v>41</v>
      </c>
      <c r="D270" s="59" t="str">
        <f t="shared" si="84"/>
        <v/>
      </c>
      <c r="E270" s="55" t="str">
        <f t="shared" si="85"/>
        <v/>
      </c>
      <c r="F270" s="55" t="str">
        <f t="shared" si="86"/>
        <v/>
      </c>
      <c r="G270" s="55" t="str">
        <f t="shared" si="87"/>
        <v/>
      </c>
      <c r="H270" s="55" t="str">
        <f t="shared" si="88"/>
        <v/>
      </c>
      <c r="I270" s="55" t="str">
        <f t="shared" si="89"/>
        <v/>
      </c>
      <c r="J270" s="55" t="str">
        <f t="shared" si="90"/>
        <v/>
      </c>
      <c r="K270" s="60" t="str">
        <f t="shared" si="91"/>
        <v/>
      </c>
      <c r="N270" s="58">
        <v>41</v>
      </c>
      <c r="O270" s="59" t="str">
        <f t="shared" si="92"/>
        <v/>
      </c>
      <c r="P270" s="55" t="str">
        <f t="shared" si="93"/>
        <v/>
      </c>
      <c r="Q270" s="55" t="str">
        <f t="shared" si="94"/>
        <v/>
      </c>
      <c r="R270" s="55" t="str">
        <f t="shared" si="95"/>
        <v/>
      </c>
      <c r="S270" s="55"/>
      <c r="T270" s="55"/>
      <c r="U270" s="55"/>
      <c r="V270" s="55" t="str">
        <f t="shared" si="96"/>
        <v/>
      </c>
      <c r="W270" s="55" t="str">
        <f t="shared" si="97"/>
        <v/>
      </c>
      <c r="X270" s="55" t="str">
        <f t="shared" si="98"/>
        <v/>
      </c>
      <c r="Y270" s="60" t="str">
        <f t="shared" si="99"/>
        <v/>
      </c>
    </row>
    <row r="271" spans="3:25" hidden="1" x14ac:dyDescent="0.25">
      <c r="C271" s="58">
        <v>42</v>
      </c>
      <c r="D271" s="59" t="str">
        <f t="shared" si="84"/>
        <v/>
      </c>
      <c r="E271" s="55" t="str">
        <f t="shared" si="85"/>
        <v/>
      </c>
      <c r="F271" s="55" t="str">
        <f t="shared" si="86"/>
        <v/>
      </c>
      <c r="G271" s="55" t="str">
        <f t="shared" si="87"/>
        <v/>
      </c>
      <c r="H271" s="55" t="str">
        <f t="shared" si="88"/>
        <v/>
      </c>
      <c r="I271" s="55" t="str">
        <f t="shared" si="89"/>
        <v/>
      </c>
      <c r="J271" s="55" t="str">
        <f t="shared" si="90"/>
        <v/>
      </c>
      <c r="K271" s="60" t="str">
        <f t="shared" si="91"/>
        <v/>
      </c>
      <c r="N271" s="58">
        <v>42</v>
      </c>
      <c r="O271" s="59" t="str">
        <f t="shared" si="92"/>
        <v/>
      </c>
      <c r="P271" s="55" t="str">
        <f t="shared" si="93"/>
        <v/>
      </c>
      <c r="Q271" s="55" t="str">
        <f t="shared" si="94"/>
        <v/>
      </c>
      <c r="R271" s="55" t="str">
        <f t="shared" si="95"/>
        <v/>
      </c>
      <c r="S271" s="55"/>
      <c r="T271" s="55"/>
      <c r="U271" s="55"/>
      <c r="V271" s="55" t="str">
        <f t="shared" si="96"/>
        <v/>
      </c>
      <c r="W271" s="55" t="str">
        <f t="shared" si="97"/>
        <v/>
      </c>
      <c r="X271" s="55" t="str">
        <f t="shared" si="98"/>
        <v/>
      </c>
      <c r="Y271" s="60" t="str">
        <f t="shared" si="99"/>
        <v/>
      </c>
    </row>
    <row r="272" spans="3:25" hidden="1" x14ac:dyDescent="0.25">
      <c r="C272" s="58">
        <v>43</v>
      </c>
      <c r="D272" s="59" t="str">
        <f t="shared" si="84"/>
        <v/>
      </c>
      <c r="E272" s="55" t="str">
        <f t="shared" si="85"/>
        <v/>
      </c>
      <c r="F272" s="55" t="str">
        <f t="shared" si="86"/>
        <v/>
      </c>
      <c r="G272" s="55" t="str">
        <f t="shared" si="87"/>
        <v/>
      </c>
      <c r="H272" s="55" t="str">
        <f t="shared" si="88"/>
        <v/>
      </c>
      <c r="I272" s="55" t="str">
        <f t="shared" si="89"/>
        <v/>
      </c>
      <c r="J272" s="55" t="str">
        <f t="shared" si="90"/>
        <v/>
      </c>
      <c r="K272" s="60" t="str">
        <f t="shared" si="91"/>
        <v/>
      </c>
      <c r="N272" s="58">
        <v>43</v>
      </c>
      <c r="O272" s="59" t="str">
        <f t="shared" si="92"/>
        <v/>
      </c>
      <c r="P272" s="55" t="str">
        <f t="shared" si="93"/>
        <v/>
      </c>
      <c r="Q272" s="55" t="str">
        <f t="shared" si="94"/>
        <v/>
      </c>
      <c r="R272" s="55" t="str">
        <f t="shared" si="95"/>
        <v/>
      </c>
      <c r="S272" s="55"/>
      <c r="T272" s="55"/>
      <c r="U272" s="55"/>
      <c r="V272" s="55" t="str">
        <f t="shared" si="96"/>
        <v/>
      </c>
      <c r="W272" s="55" t="str">
        <f t="shared" si="97"/>
        <v/>
      </c>
      <c r="X272" s="55" t="str">
        <f t="shared" si="98"/>
        <v/>
      </c>
      <c r="Y272" s="60" t="str">
        <f t="shared" si="99"/>
        <v/>
      </c>
    </row>
    <row r="273" spans="3:25" hidden="1" x14ac:dyDescent="0.25">
      <c r="C273" s="58">
        <v>44</v>
      </c>
      <c r="D273" s="59" t="str">
        <f t="shared" si="84"/>
        <v/>
      </c>
      <c r="E273" s="55" t="str">
        <f t="shared" si="85"/>
        <v/>
      </c>
      <c r="F273" s="55" t="str">
        <f t="shared" si="86"/>
        <v/>
      </c>
      <c r="G273" s="55" t="str">
        <f t="shared" si="87"/>
        <v/>
      </c>
      <c r="H273" s="55" t="str">
        <f t="shared" si="88"/>
        <v/>
      </c>
      <c r="I273" s="55" t="str">
        <f t="shared" si="89"/>
        <v/>
      </c>
      <c r="J273" s="55" t="str">
        <f t="shared" si="90"/>
        <v/>
      </c>
      <c r="K273" s="60" t="str">
        <f t="shared" si="91"/>
        <v/>
      </c>
      <c r="N273" s="58">
        <v>44</v>
      </c>
      <c r="O273" s="59" t="str">
        <f t="shared" si="92"/>
        <v/>
      </c>
      <c r="P273" s="55" t="str">
        <f t="shared" si="93"/>
        <v/>
      </c>
      <c r="Q273" s="55" t="str">
        <f t="shared" si="94"/>
        <v/>
      </c>
      <c r="R273" s="55" t="str">
        <f t="shared" si="95"/>
        <v/>
      </c>
      <c r="S273" s="55"/>
      <c r="T273" s="55"/>
      <c r="U273" s="55"/>
      <c r="V273" s="55" t="str">
        <f t="shared" si="96"/>
        <v/>
      </c>
      <c r="W273" s="55" t="str">
        <f t="shared" si="97"/>
        <v/>
      </c>
      <c r="X273" s="55" t="str">
        <f t="shared" si="98"/>
        <v/>
      </c>
      <c r="Y273" s="60" t="str">
        <f t="shared" si="99"/>
        <v/>
      </c>
    </row>
    <row r="274" spans="3:25" hidden="1" x14ac:dyDescent="0.25">
      <c r="C274" s="58">
        <v>45</v>
      </c>
      <c r="D274" s="59" t="str">
        <f t="shared" si="84"/>
        <v/>
      </c>
      <c r="E274" s="55" t="str">
        <f t="shared" si="85"/>
        <v/>
      </c>
      <c r="F274" s="55" t="str">
        <f t="shared" si="86"/>
        <v/>
      </c>
      <c r="G274" s="55" t="str">
        <f t="shared" si="87"/>
        <v/>
      </c>
      <c r="H274" s="55" t="str">
        <f t="shared" si="88"/>
        <v/>
      </c>
      <c r="I274" s="55" t="str">
        <f t="shared" si="89"/>
        <v/>
      </c>
      <c r="J274" s="55" t="str">
        <f t="shared" si="90"/>
        <v/>
      </c>
      <c r="K274" s="60" t="str">
        <f t="shared" si="91"/>
        <v/>
      </c>
      <c r="N274" s="58">
        <v>45</v>
      </c>
      <c r="O274" s="59" t="str">
        <f t="shared" si="92"/>
        <v/>
      </c>
      <c r="P274" s="55" t="str">
        <f t="shared" si="93"/>
        <v/>
      </c>
      <c r="Q274" s="55" t="str">
        <f t="shared" si="94"/>
        <v/>
      </c>
      <c r="R274" s="55" t="str">
        <f t="shared" si="95"/>
        <v/>
      </c>
      <c r="S274" s="55"/>
      <c r="T274" s="55"/>
      <c r="U274" s="55"/>
      <c r="V274" s="55" t="str">
        <f t="shared" si="96"/>
        <v/>
      </c>
      <c r="W274" s="55" t="str">
        <f t="shared" si="97"/>
        <v/>
      </c>
      <c r="X274" s="55" t="str">
        <f t="shared" si="98"/>
        <v/>
      </c>
      <c r="Y274" s="60" t="str">
        <f t="shared" si="99"/>
        <v/>
      </c>
    </row>
    <row r="275" spans="3:25" hidden="1" x14ac:dyDescent="0.25">
      <c r="C275" s="58">
        <v>46</v>
      </c>
      <c r="D275" s="59" t="str">
        <f t="shared" si="84"/>
        <v/>
      </c>
      <c r="E275" s="55" t="str">
        <f t="shared" si="85"/>
        <v/>
      </c>
      <c r="F275" s="55" t="str">
        <f t="shared" si="86"/>
        <v/>
      </c>
      <c r="G275" s="55" t="str">
        <f t="shared" si="87"/>
        <v/>
      </c>
      <c r="H275" s="55" t="str">
        <f t="shared" si="88"/>
        <v/>
      </c>
      <c r="I275" s="55" t="str">
        <f t="shared" si="89"/>
        <v/>
      </c>
      <c r="J275" s="55" t="str">
        <f t="shared" si="90"/>
        <v/>
      </c>
      <c r="K275" s="60" t="str">
        <f t="shared" si="91"/>
        <v/>
      </c>
      <c r="N275" s="58">
        <v>46</v>
      </c>
      <c r="O275" s="59" t="str">
        <f t="shared" si="92"/>
        <v/>
      </c>
      <c r="P275" s="55" t="str">
        <f t="shared" si="93"/>
        <v/>
      </c>
      <c r="Q275" s="55" t="str">
        <f t="shared" si="94"/>
        <v/>
      </c>
      <c r="R275" s="55" t="str">
        <f t="shared" si="95"/>
        <v/>
      </c>
      <c r="S275" s="55"/>
      <c r="T275" s="55"/>
      <c r="U275" s="55"/>
      <c r="V275" s="55" t="str">
        <f t="shared" si="96"/>
        <v/>
      </c>
      <c r="W275" s="55" t="str">
        <f t="shared" si="97"/>
        <v/>
      </c>
      <c r="X275" s="55" t="str">
        <f t="shared" si="98"/>
        <v/>
      </c>
      <c r="Y275" s="60" t="str">
        <f t="shared" si="99"/>
        <v/>
      </c>
    </row>
    <row r="276" spans="3:25" hidden="1" x14ac:dyDescent="0.25">
      <c r="C276" s="58">
        <v>47</v>
      </c>
      <c r="D276" s="59" t="str">
        <f t="shared" si="84"/>
        <v/>
      </c>
      <c r="E276" s="55" t="str">
        <f t="shared" si="85"/>
        <v/>
      </c>
      <c r="F276" s="55" t="str">
        <f t="shared" si="86"/>
        <v/>
      </c>
      <c r="G276" s="55" t="str">
        <f t="shared" si="87"/>
        <v/>
      </c>
      <c r="H276" s="55" t="str">
        <f t="shared" si="88"/>
        <v/>
      </c>
      <c r="I276" s="55" t="str">
        <f t="shared" si="89"/>
        <v/>
      </c>
      <c r="J276" s="55" t="str">
        <f t="shared" si="90"/>
        <v/>
      </c>
      <c r="K276" s="60" t="str">
        <f t="shared" si="91"/>
        <v/>
      </c>
      <c r="N276" s="58">
        <v>47</v>
      </c>
      <c r="O276" s="59" t="str">
        <f t="shared" si="92"/>
        <v/>
      </c>
      <c r="P276" s="55" t="str">
        <f t="shared" si="93"/>
        <v/>
      </c>
      <c r="Q276" s="55" t="str">
        <f t="shared" si="94"/>
        <v/>
      </c>
      <c r="R276" s="55" t="str">
        <f t="shared" si="95"/>
        <v/>
      </c>
      <c r="S276" s="55"/>
      <c r="T276" s="55"/>
      <c r="U276" s="55"/>
      <c r="V276" s="55" t="str">
        <f t="shared" si="96"/>
        <v/>
      </c>
      <c r="W276" s="55" t="str">
        <f t="shared" si="97"/>
        <v/>
      </c>
      <c r="X276" s="55" t="str">
        <f t="shared" si="98"/>
        <v/>
      </c>
      <c r="Y276" s="60" t="str">
        <f t="shared" si="99"/>
        <v/>
      </c>
    </row>
    <row r="277" spans="3:25" hidden="1" x14ac:dyDescent="0.25">
      <c r="C277" s="58">
        <v>48</v>
      </c>
      <c r="D277" s="59" t="str">
        <f t="shared" si="84"/>
        <v/>
      </c>
      <c r="E277" s="55" t="str">
        <f t="shared" si="85"/>
        <v/>
      </c>
      <c r="F277" s="55" t="str">
        <f t="shared" si="86"/>
        <v/>
      </c>
      <c r="G277" s="55" t="str">
        <f t="shared" si="87"/>
        <v/>
      </c>
      <c r="H277" s="55" t="str">
        <f t="shared" si="88"/>
        <v/>
      </c>
      <c r="I277" s="55" t="str">
        <f t="shared" si="89"/>
        <v/>
      </c>
      <c r="J277" s="55" t="str">
        <f t="shared" si="90"/>
        <v/>
      </c>
      <c r="K277" s="60" t="str">
        <f t="shared" si="91"/>
        <v/>
      </c>
      <c r="N277" s="58">
        <v>48</v>
      </c>
      <c r="O277" s="59" t="str">
        <f t="shared" si="92"/>
        <v/>
      </c>
      <c r="P277" s="55" t="str">
        <f t="shared" si="93"/>
        <v/>
      </c>
      <c r="Q277" s="55" t="str">
        <f t="shared" si="94"/>
        <v/>
      </c>
      <c r="R277" s="55" t="str">
        <f t="shared" si="95"/>
        <v/>
      </c>
      <c r="S277" s="55"/>
      <c r="T277" s="55"/>
      <c r="U277" s="55"/>
      <c r="V277" s="55" t="str">
        <f t="shared" si="96"/>
        <v/>
      </c>
      <c r="W277" s="55" t="str">
        <f t="shared" si="97"/>
        <v/>
      </c>
      <c r="X277" s="55" t="str">
        <f t="shared" si="98"/>
        <v/>
      </c>
      <c r="Y277" s="60" t="str">
        <f t="shared" si="99"/>
        <v/>
      </c>
    </row>
    <row r="278" spans="3:25" hidden="1" x14ac:dyDescent="0.25">
      <c r="C278" s="58">
        <v>49</v>
      </c>
      <c r="D278" s="59" t="str">
        <f t="shared" si="84"/>
        <v/>
      </c>
      <c r="E278" s="55" t="str">
        <f t="shared" si="85"/>
        <v/>
      </c>
      <c r="F278" s="55" t="str">
        <f t="shared" si="86"/>
        <v/>
      </c>
      <c r="G278" s="55" t="str">
        <f t="shared" si="87"/>
        <v/>
      </c>
      <c r="H278" s="55" t="str">
        <f t="shared" si="88"/>
        <v/>
      </c>
      <c r="I278" s="55" t="str">
        <f t="shared" si="89"/>
        <v/>
      </c>
      <c r="J278" s="55" t="str">
        <f t="shared" si="90"/>
        <v/>
      </c>
      <c r="K278" s="60" t="str">
        <f t="shared" si="91"/>
        <v/>
      </c>
      <c r="N278" s="58">
        <v>49</v>
      </c>
      <c r="O278" s="59" t="str">
        <f t="shared" si="92"/>
        <v/>
      </c>
      <c r="P278" s="55" t="str">
        <f t="shared" si="93"/>
        <v/>
      </c>
      <c r="Q278" s="55" t="str">
        <f t="shared" si="94"/>
        <v/>
      </c>
      <c r="R278" s="55" t="str">
        <f t="shared" si="95"/>
        <v/>
      </c>
      <c r="S278" s="55"/>
      <c r="T278" s="55"/>
      <c r="U278" s="55"/>
      <c r="V278" s="55" t="str">
        <f t="shared" si="96"/>
        <v/>
      </c>
      <c r="W278" s="55" t="str">
        <f t="shared" si="97"/>
        <v/>
      </c>
      <c r="X278" s="55" t="str">
        <f t="shared" si="98"/>
        <v/>
      </c>
      <c r="Y278" s="60" t="str">
        <f t="shared" si="99"/>
        <v/>
      </c>
    </row>
    <row r="279" spans="3:25" hidden="1" x14ac:dyDescent="0.25">
      <c r="C279" s="58">
        <v>50</v>
      </c>
      <c r="D279" s="59" t="str">
        <f t="shared" si="84"/>
        <v/>
      </c>
      <c r="E279" s="55" t="str">
        <f t="shared" si="85"/>
        <v/>
      </c>
      <c r="F279" s="55" t="str">
        <f t="shared" si="86"/>
        <v/>
      </c>
      <c r="G279" s="55" t="str">
        <f t="shared" si="87"/>
        <v/>
      </c>
      <c r="H279" s="55" t="str">
        <f t="shared" si="88"/>
        <v/>
      </c>
      <c r="I279" s="55" t="str">
        <f t="shared" si="89"/>
        <v/>
      </c>
      <c r="J279" s="55" t="str">
        <f t="shared" si="90"/>
        <v/>
      </c>
      <c r="K279" s="60" t="str">
        <f t="shared" si="91"/>
        <v/>
      </c>
      <c r="N279" s="58">
        <v>50</v>
      </c>
      <c r="O279" s="59" t="str">
        <f t="shared" si="92"/>
        <v/>
      </c>
      <c r="P279" s="55" t="str">
        <f t="shared" si="93"/>
        <v/>
      </c>
      <c r="Q279" s="55" t="str">
        <f t="shared" si="94"/>
        <v/>
      </c>
      <c r="R279" s="55" t="str">
        <f t="shared" si="95"/>
        <v/>
      </c>
      <c r="S279" s="55"/>
      <c r="T279" s="55"/>
      <c r="U279" s="55"/>
      <c r="V279" s="55" t="str">
        <f t="shared" si="96"/>
        <v/>
      </c>
      <c r="W279" s="55" t="str">
        <f t="shared" si="97"/>
        <v/>
      </c>
      <c r="X279" s="55" t="str">
        <f t="shared" si="98"/>
        <v/>
      </c>
      <c r="Y279" s="60" t="str">
        <f t="shared" si="99"/>
        <v/>
      </c>
    </row>
    <row r="280" spans="3:25" hidden="1" x14ac:dyDescent="0.25">
      <c r="C280" s="58">
        <v>51</v>
      </c>
      <c r="D280" s="59" t="str">
        <f t="shared" si="84"/>
        <v/>
      </c>
      <c r="E280" s="55" t="str">
        <f t="shared" si="85"/>
        <v/>
      </c>
      <c r="F280" s="55" t="str">
        <f t="shared" si="86"/>
        <v/>
      </c>
      <c r="G280" s="55" t="str">
        <f t="shared" si="87"/>
        <v/>
      </c>
      <c r="H280" s="55" t="str">
        <f t="shared" si="88"/>
        <v/>
      </c>
      <c r="I280" s="55" t="str">
        <f t="shared" si="89"/>
        <v/>
      </c>
      <c r="J280" s="55" t="str">
        <f t="shared" si="90"/>
        <v/>
      </c>
      <c r="K280" s="60" t="str">
        <f t="shared" si="91"/>
        <v/>
      </c>
      <c r="N280" s="58">
        <v>51</v>
      </c>
      <c r="O280" s="59" t="str">
        <f t="shared" si="92"/>
        <v/>
      </c>
      <c r="P280" s="55" t="str">
        <f t="shared" si="93"/>
        <v/>
      </c>
      <c r="Q280" s="55" t="str">
        <f t="shared" si="94"/>
        <v/>
      </c>
      <c r="R280" s="55" t="str">
        <f t="shared" si="95"/>
        <v/>
      </c>
      <c r="S280" s="55"/>
      <c r="T280" s="55"/>
      <c r="U280" s="55"/>
      <c r="V280" s="55" t="str">
        <f t="shared" si="96"/>
        <v/>
      </c>
      <c r="W280" s="55" t="str">
        <f t="shared" si="97"/>
        <v/>
      </c>
      <c r="X280" s="55" t="str">
        <f t="shared" si="98"/>
        <v/>
      </c>
      <c r="Y280" s="60" t="str">
        <f t="shared" si="99"/>
        <v/>
      </c>
    </row>
    <row r="281" spans="3:25" hidden="1" x14ac:dyDescent="0.25">
      <c r="C281" s="58">
        <v>52</v>
      </c>
      <c r="D281" s="59" t="str">
        <f t="shared" si="84"/>
        <v/>
      </c>
      <c r="E281" s="55" t="str">
        <f t="shared" si="85"/>
        <v/>
      </c>
      <c r="F281" s="55" t="str">
        <f t="shared" si="86"/>
        <v/>
      </c>
      <c r="G281" s="55" t="str">
        <f t="shared" si="87"/>
        <v/>
      </c>
      <c r="H281" s="55" t="str">
        <f t="shared" si="88"/>
        <v/>
      </c>
      <c r="I281" s="55" t="str">
        <f t="shared" si="89"/>
        <v/>
      </c>
      <c r="J281" s="55" t="str">
        <f t="shared" si="90"/>
        <v/>
      </c>
      <c r="K281" s="60" t="str">
        <f t="shared" si="91"/>
        <v/>
      </c>
      <c r="N281" s="58">
        <v>52</v>
      </c>
      <c r="O281" s="59" t="str">
        <f t="shared" si="92"/>
        <v/>
      </c>
      <c r="P281" s="55" t="str">
        <f t="shared" si="93"/>
        <v/>
      </c>
      <c r="Q281" s="55" t="str">
        <f t="shared" si="94"/>
        <v/>
      </c>
      <c r="R281" s="55" t="str">
        <f t="shared" si="95"/>
        <v/>
      </c>
      <c r="S281" s="55"/>
      <c r="T281" s="55"/>
      <c r="U281" s="55"/>
      <c r="V281" s="55" t="str">
        <f t="shared" si="96"/>
        <v/>
      </c>
      <c r="W281" s="55" t="str">
        <f t="shared" si="97"/>
        <v/>
      </c>
      <c r="X281" s="55" t="str">
        <f t="shared" si="98"/>
        <v/>
      </c>
      <c r="Y281" s="60" t="str">
        <f t="shared" si="99"/>
        <v/>
      </c>
    </row>
    <row r="282" spans="3:25" hidden="1" x14ac:dyDescent="0.25">
      <c r="C282" s="58">
        <v>53</v>
      </c>
      <c r="D282" s="59" t="str">
        <f t="shared" si="84"/>
        <v/>
      </c>
      <c r="E282" s="55" t="str">
        <f t="shared" si="85"/>
        <v/>
      </c>
      <c r="F282" s="55" t="str">
        <f t="shared" si="86"/>
        <v/>
      </c>
      <c r="G282" s="55" t="str">
        <f t="shared" si="87"/>
        <v/>
      </c>
      <c r="H282" s="55" t="str">
        <f t="shared" si="88"/>
        <v/>
      </c>
      <c r="I282" s="55" t="str">
        <f t="shared" si="89"/>
        <v/>
      </c>
      <c r="J282" s="55" t="str">
        <f t="shared" si="90"/>
        <v/>
      </c>
      <c r="K282" s="60" t="str">
        <f t="shared" si="91"/>
        <v/>
      </c>
      <c r="N282" s="58">
        <v>53</v>
      </c>
      <c r="O282" s="59" t="str">
        <f t="shared" si="92"/>
        <v/>
      </c>
      <c r="P282" s="55" t="str">
        <f t="shared" si="93"/>
        <v/>
      </c>
      <c r="Q282" s="55" t="str">
        <f t="shared" si="94"/>
        <v/>
      </c>
      <c r="R282" s="55" t="str">
        <f t="shared" si="95"/>
        <v/>
      </c>
      <c r="S282" s="55"/>
      <c r="T282" s="55"/>
      <c r="U282" s="55"/>
      <c r="V282" s="55" t="str">
        <f t="shared" si="96"/>
        <v/>
      </c>
      <c r="W282" s="55" t="str">
        <f t="shared" si="97"/>
        <v/>
      </c>
      <c r="X282" s="55" t="str">
        <f t="shared" si="98"/>
        <v/>
      </c>
      <c r="Y282" s="60" t="str">
        <f t="shared" si="99"/>
        <v/>
      </c>
    </row>
    <row r="283" spans="3:25" hidden="1" x14ac:dyDescent="0.25">
      <c r="C283" s="58">
        <v>54</v>
      </c>
      <c r="D283" s="59" t="str">
        <f t="shared" si="84"/>
        <v/>
      </c>
      <c r="E283" s="55" t="str">
        <f t="shared" si="85"/>
        <v/>
      </c>
      <c r="F283" s="55" t="str">
        <f t="shared" si="86"/>
        <v/>
      </c>
      <c r="G283" s="55" t="str">
        <f t="shared" si="87"/>
        <v/>
      </c>
      <c r="H283" s="55" t="str">
        <f t="shared" si="88"/>
        <v/>
      </c>
      <c r="I283" s="55" t="str">
        <f t="shared" si="89"/>
        <v/>
      </c>
      <c r="J283" s="55" t="str">
        <f t="shared" si="90"/>
        <v/>
      </c>
      <c r="K283" s="60" t="str">
        <f t="shared" si="91"/>
        <v/>
      </c>
      <c r="N283" s="58">
        <v>54</v>
      </c>
      <c r="O283" s="59" t="str">
        <f t="shared" si="92"/>
        <v/>
      </c>
      <c r="P283" s="55" t="str">
        <f t="shared" si="93"/>
        <v/>
      </c>
      <c r="Q283" s="55" t="str">
        <f t="shared" si="94"/>
        <v/>
      </c>
      <c r="R283" s="55" t="str">
        <f t="shared" si="95"/>
        <v/>
      </c>
      <c r="S283" s="55"/>
      <c r="T283" s="55"/>
      <c r="U283" s="55"/>
      <c r="V283" s="55" t="str">
        <f t="shared" si="96"/>
        <v/>
      </c>
      <c r="W283" s="55" t="str">
        <f t="shared" si="97"/>
        <v/>
      </c>
      <c r="X283" s="55" t="str">
        <f t="shared" si="98"/>
        <v/>
      </c>
      <c r="Y283" s="60" t="str">
        <f t="shared" si="99"/>
        <v/>
      </c>
    </row>
    <row r="284" spans="3:25" hidden="1" x14ac:dyDescent="0.25">
      <c r="C284" s="58">
        <v>55</v>
      </c>
      <c r="D284" s="59" t="str">
        <f t="shared" si="84"/>
        <v/>
      </c>
      <c r="E284" s="55" t="str">
        <f t="shared" si="85"/>
        <v/>
      </c>
      <c r="F284" s="55" t="str">
        <f t="shared" si="86"/>
        <v/>
      </c>
      <c r="G284" s="55" t="str">
        <f t="shared" si="87"/>
        <v/>
      </c>
      <c r="H284" s="55" t="str">
        <f t="shared" si="88"/>
        <v/>
      </c>
      <c r="I284" s="55" t="str">
        <f t="shared" si="89"/>
        <v/>
      </c>
      <c r="J284" s="55" t="str">
        <f t="shared" si="90"/>
        <v/>
      </c>
      <c r="K284" s="60" t="str">
        <f t="shared" si="91"/>
        <v/>
      </c>
      <c r="N284" s="58">
        <v>55</v>
      </c>
      <c r="O284" s="59" t="str">
        <f t="shared" si="92"/>
        <v/>
      </c>
      <c r="P284" s="55" t="str">
        <f t="shared" si="93"/>
        <v/>
      </c>
      <c r="Q284" s="55" t="str">
        <f t="shared" si="94"/>
        <v/>
      </c>
      <c r="R284" s="55" t="str">
        <f t="shared" si="95"/>
        <v/>
      </c>
      <c r="S284" s="55"/>
      <c r="T284" s="55"/>
      <c r="U284" s="55"/>
      <c r="V284" s="55" t="str">
        <f t="shared" si="96"/>
        <v/>
      </c>
      <c r="W284" s="55" t="str">
        <f t="shared" si="97"/>
        <v/>
      </c>
      <c r="X284" s="55" t="str">
        <f t="shared" si="98"/>
        <v/>
      </c>
      <c r="Y284" s="60" t="str">
        <f t="shared" si="99"/>
        <v/>
      </c>
    </row>
    <row r="285" spans="3:25" hidden="1" x14ac:dyDescent="0.25">
      <c r="C285" s="58">
        <v>56</v>
      </c>
      <c r="D285" s="59" t="str">
        <f t="shared" si="84"/>
        <v/>
      </c>
      <c r="E285" s="55" t="str">
        <f t="shared" si="85"/>
        <v/>
      </c>
      <c r="F285" s="55" t="str">
        <f t="shared" si="86"/>
        <v/>
      </c>
      <c r="G285" s="55" t="str">
        <f t="shared" si="87"/>
        <v/>
      </c>
      <c r="H285" s="55" t="str">
        <f t="shared" si="88"/>
        <v/>
      </c>
      <c r="I285" s="55" t="str">
        <f t="shared" si="89"/>
        <v/>
      </c>
      <c r="J285" s="55" t="str">
        <f t="shared" si="90"/>
        <v/>
      </c>
      <c r="K285" s="60" t="str">
        <f t="shared" si="91"/>
        <v/>
      </c>
      <c r="N285" s="58">
        <v>56</v>
      </c>
      <c r="O285" s="59" t="str">
        <f t="shared" si="92"/>
        <v/>
      </c>
      <c r="P285" s="55" t="str">
        <f t="shared" si="93"/>
        <v/>
      </c>
      <c r="Q285" s="55" t="str">
        <f t="shared" si="94"/>
        <v/>
      </c>
      <c r="R285" s="55" t="str">
        <f t="shared" si="95"/>
        <v/>
      </c>
      <c r="S285" s="55"/>
      <c r="T285" s="55"/>
      <c r="U285" s="55"/>
      <c r="V285" s="55" t="str">
        <f t="shared" si="96"/>
        <v/>
      </c>
      <c r="W285" s="55" t="str">
        <f t="shared" si="97"/>
        <v/>
      </c>
      <c r="X285" s="55" t="str">
        <f t="shared" si="98"/>
        <v/>
      </c>
      <c r="Y285" s="60" t="str">
        <f t="shared" si="99"/>
        <v/>
      </c>
    </row>
    <row r="286" spans="3:25" hidden="1" x14ac:dyDescent="0.25">
      <c r="C286" s="58">
        <v>57</v>
      </c>
      <c r="D286" s="59" t="str">
        <f t="shared" si="84"/>
        <v/>
      </c>
      <c r="E286" s="55" t="str">
        <f t="shared" si="85"/>
        <v/>
      </c>
      <c r="F286" s="55" t="str">
        <f t="shared" si="86"/>
        <v/>
      </c>
      <c r="G286" s="55" t="str">
        <f t="shared" si="87"/>
        <v/>
      </c>
      <c r="H286" s="55" t="str">
        <f t="shared" si="88"/>
        <v/>
      </c>
      <c r="I286" s="55" t="str">
        <f t="shared" si="89"/>
        <v/>
      </c>
      <c r="J286" s="55" t="str">
        <f t="shared" si="90"/>
        <v/>
      </c>
      <c r="K286" s="60" t="str">
        <f t="shared" si="91"/>
        <v/>
      </c>
      <c r="N286" s="58">
        <v>57</v>
      </c>
      <c r="O286" s="59" t="str">
        <f t="shared" si="92"/>
        <v/>
      </c>
      <c r="P286" s="55" t="str">
        <f t="shared" si="93"/>
        <v/>
      </c>
      <c r="Q286" s="55" t="str">
        <f t="shared" si="94"/>
        <v/>
      </c>
      <c r="R286" s="55" t="str">
        <f t="shared" si="95"/>
        <v/>
      </c>
      <c r="S286" s="55"/>
      <c r="T286" s="55"/>
      <c r="U286" s="55"/>
      <c r="V286" s="55" t="str">
        <f t="shared" si="96"/>
        <v/>
      </c>
      <c r="W286" s="55" t="str">
        <f t="shared" si="97"/>
        <v/>
      </c>
      <c r="X286" s="55" t="str">
        <f t="shared" si="98"/>
        <v/>
      </c>
      <c r="Y286" s="60" t="str">
        <f t="shared" si="99"/>
        <v/>
      </c>
    </row>
    <row r="287" spans="3:25" hidden="1" x14ac:dyDescent="0.25">
      <c r="C287" s="58">
        <v>58</v>
      </c>
      <c r="D287" s="59" t="str">
        <f t="shared" si="84"/>
        <v/>
      </c>
      <c r="E287" s="55" t="str">
        <f t="shared" si="85"/>
        <v/>
      </c>
      <c r="F287" s="55" t="str">
        <f t="shared" si="86"/>
        <v/>
      </c>
      <c r="G287" s="55" t="str">
        <f t="shared" si="87"/>
        <v/>
      </c>
      <c r="H287" s="55" t="str">
        <f t="shared" si="88"/>
        <v/>
      </c>
      <c r="I287" s="55" t="str">
        <f t="shared" si="89"/>
        <v/>
      </c>
      <c r="J287" s="55" t="str">
        <f t="shared" si="90"/>
        <v/>
      </c>
      <c r="K287" s="60" t="str">
        <f t="shared" si="91"/>
        <v/>
      </c>
      <c r="N287" s="58">
        <v>58</v>
      </c>
      <c r="O287" s="59" t="str">
        <f t="shared" si="92"/>
        <v/>
      </c>
      <c r="P287" s="55" t="str">
        <f t="shared" si="93"/>
        <v/>
      </c>
      <c r="Q287" s="55" t="str">
        <f t="shared" si="94"/>
        <v/>
      </c>
      <c r="R287" s="55" t="str">
        <f t="shared" si="95"/>
        <v/>
      </c>
      <c r="S287" s="55"/>
      <c r="T287" s="55"/>
      <c r="U287" s="55"/>
      <c r="V287" s="55" t="str">
        <f t="shared" si="96"/>
        <v/>
      </c>
      <c r="W287" s="55" t="str">
        <f t="shared" si="97"/>
        <v/>
      </c>
      <c r="X287" s="55" t="str">
        <f t="shared" si="98"/>
        <v/>
      </c>
      <c r="Y287" s="60" t="str">
        <f t="shared" si="99"/>
        <v/>
      </c>
    </row>
    <row r="288" spans="3:25" hidden="1" x14ac:dyDescent="0.25">
      <c r="C288" s="58">
        <v>59</v>
      </c>
      <c r="D288" s="59" t="str">
        <f t="shared" si="84"/>
        <v/>
      </c>
      <c r="E288" s="55" t="str">
        <f t="shared" si="85"/>
        <v/>
      </c>
      <c r="F288" s="55" t="str">
        <f t="shared" si="86"/>
        <v/>
      </c>
      <c r="G288" s="55" t="str">
        <f t="shared" si="87"/>
        <v/>
      </c>
      <c r="H288" s="55" t="str">
        <f t="shared" si="88"/>
        <v/>
      </c>
      <c r="I288" s="55" t="str">
        <f t="shared" si="89"/>
        <v/>
      </c>
      <c r="J288" s="55" t="str">
        <f t="shared" si="90"/>
        <v/>
      </c>
      <c r="K288" s="60" t="str">
        <f t="shared" si="91"/>
        <v/>
      </c>
      <c r="N288" s="58">
        <v>59</v>
      </c>
      <c r="O288" s="59" t="str">
        <f t="shared" si="92"/>
        <v/>
      </c>
      <c r="P288" s="55" t="str">
        <f t="shared" si="93"/>
        <v/>
      </c>
      <c r="Q288" s="55" t="str">
        <f t="shared" si="94"/>
        <v/>
      </c>
      <c r="R288" s="55" t="str">
        <f t="shared" si="95"/>
        <v/>
      </c>
      <c r="S288" s="55"/>
      <c r="T288" s="55"/>
      <c r="U288" s="55"/>
      <c r="V288" s="55" t="str">
        <f t="shared" si="96"/>
        <v/>
      </c>
      <c r="W288" s="55" t="str">
        <f t="shared" si="97"/>
        <v/>
      </c>
      <c r="X288" s="55" t="str">
        <f t="shared" si="98"/>
        <v/>
      </c>
      <c r="Y288" s="60" t="str">
        <f t="shared" si="99"/>
        <v/>
      </c>
    </row>
    <row r="289" spans="3:25" hidden="1" x14ac:dyDescent="0.25">
      <c r="C289" s="58">
        <v>60</v>
      </c>
      <c r="D289" s="59" t="str">
        <f t="shared" si="84"/>
        <v/>
      </c>
      <c r="E289" s="55" t="str">
        <f t="shared" si="85"/>
        <v/>
      </c>
      <c r="F289" s="55" t="str">
        <f t="shared" si="86"/>
        <v/>
      </c>
      <c r="G289" s="55" t="str">
        <f t="shared" si="87"/>
        <v/>
      </c>
      <c r="H289" s="55" t="str">
        <f t="shared" si="88"/>
        <v/>
      </c>
      <c r="I289" s="55" t="str">
        <f t="shared" si="89"/>
        <v/>
      </c>
      <c r="J289" s="55" t="str">
        <f t="shared" si="90"/>
        <v/>
      </c>
      <c r="K289" s="60" t="str">
        <f t="shared" si="91"/>
        <v/>
      </c>
      <c r="N289" s="58">
        <v>60</v>
      </c>
      <c r="O289" s="59" t="str">
        <f t="shared" si="92"/>
        <v/>
      </c>
      <c r="P289" s="55" t="str">
        <f t="shared" si="93"/>
        <v/>
      </c>
      <c r="Q289" s="55" t="str">
        <f t="shared" si="94"/>
        <v/>
      </c>
      <c r="R289" s="55" t="str">
        <f t="shared" si="95"/>
        <v/>
      </c>
      <c r="S289" s="55"/>
      <c r="T289" s="55"/>
      <c r="U289" s="55"/>
      <c r="V289" s="55" t="str">
        <f t="shared" si="96"/>
        <v/>
      </c>
      <c r="W289" s="55" t="str">
        <f t="shared" si="97"/>
        <v/>
      </c>
      <c r="X289" s="55" t="str">
        <f t="shared" si="98"/>
        <v/>
      </c>
      <c r="Y289" s="60" t="str">
        <f t="shared" si="99"/>
        <v/>
      </c>
    </row>
    <row r="290" spans="3:25" hidden="1" x14ac:dyDescent="0.25">
      <c r="C290" s="58">
        <v>61</v>
      </c>
      <c r="D290" s="59" t="str">
        <f t="shared" si="84"/>
        <v/>
      </c>
      <c r="E290" s="55" t="str">
        <f t="shared" si="85"/>
        <v/>
      </c>
      <c r="F290" s="55" t="str">
        <f t="shared" si="86"/>
        <v/>
      </c>
      <c r="G290" s="55" t="str">
        <f t="shared" si="87"/>
        <v/>
      </c>
      <c r="H290" s="55" t="str">
        <f t="shared" si="88"/>
        <v/>
      </c>
      <c r="I290" s="55" t="str">
        <f t="shared" si="89"/>
        <v/>
      </c>
      <c r="J290" s="55" t="str">
        <f t="shared" si="90"/>
        <v/>
      </c>
      <c r="K290" s="60" t="str">
        <f t="shared" si="91"/>
        <v/>
      </c>
      <c r="N290" s="58">
        <v>61</v>
      </c>
      <c r="O290" s="59" t="str">
        <f t="shared" si="92"/>
        <v/>
      </c>
      <c r="P290" s="55" t="str">
        <f t="shared" si="93"/>
        <v/>
      </c>
      <c r="Q290" s="55" t="str">
        <f t="shared" si="94"/>
        <v/>
      </c>
      <c r="R290" s="55" t="str">
        <f t="shared" si="95"/>
        <v/>
      </c>
      <c r="S290" s="55"/>
      <c r="T290" s="55"/>
      <c r="U290" s="55"/>
      <c r="V290" s="55" t="str">
        <f t="shared" si="96"/>
        <v/>
      </c>
      <c r="W290" s="55" t="str">
        <f t="shared" si="97"/>
        <v/>
      </c>
      <c r="X290" s="55" t="str">
        <f t="shared" si="98"/>
        <v/>
      </c>
      <c r="Y290" s="60" t="str">
        <f t="shared" si="99"/>
        <v/>
      </c>
    </row>
    <row r="291" spans="3:25" hidden="1" x14ac:dyDescent="0.25">
      <c r="C291" s="58">
        <v>62</v>
      </c>
      <c r="D291" s="59" t="str">
        <f t="shared" si="84"/>
        <v/>
      </c>
      <c r="E291" s="55" t="str">
        <f t="shared" si="85"/>
        <v/>
      </c>
      <c r="F291" s="55" t="str">
        <f t="shared" si="86"/>
        <v/>
      </c>
      <c r="G291" s="55" t="str">
        <f t="shared" si="87"/>
        <v/>
      </c>
      <c r="H291" s="55" t="str">
        <f t="shared" si="88"/>
        <v/>
      </c>
      <c r="I291" s="55" t="str">
        <f t="shared" si="89"/>
        <v/>
      </c>
      <c r="J291" s="55" t="str">
        <f t="shared" si="90"/>
        <v/>
      </c>
      <c r="K291" s="60" t="str">
        <f t="shared" si="91"/>
        <v/>
      </c>
      <c r="N291" s="58">
        <v>62</v>
      </c>
      <c r="O291" s="59" t="str">
        <f t="shared" si="92"/>
        <v/>
      </c>
      <c r="P291" s="55" t="str">
        <f t="shared" si="93"/>
        <v/>
      </c>
      <c r="Q291" s="55" t="str">
        <f t="shared" si="94"/>
        <v/>
      </c>
      <c r="R291" s="55" t="str">
        <f t="shared" si="95"/>
        <v/>
      </c>
      <c r="S291" s="55"/>
      <c r="T291" s="55"/>
      <c r="U291" s="55"/>
      <c r="V291" s="55" t="str">
        <f t="shared" si="96"/>
        <v/>
      </c>
      <c r="W291" s="55" t="str">
        <f t="shared" si="97"/>
        <v/>
      </c>
      <c r="X291" s="55" t="str">
        <f t="shared" si="98"/>
        <v/>
      </c>
      <c r="Y291" s="60" t="str">
        <f t="shared" si="99"/>
        <v/>
      </c>
    </row>
    <row r="292" spans="3:25" hidden="1" x14ac:dyDescent="0.25">
      <c r="C292" s="58">
        <v>63</v>
      </c>
      <c r="D292" s="59" t="str">
        <f t="shared" si="84"/>
        <v/>
      </c>
      <c r="E292" s="55" t="str">
        <f t="shared" si="85"/>
        <v/>
      </c>
      <c r="F292" s="55" t="str">
        <f t="shared" si="86"/>
        <v/>
      </c>
      <c r="G292" s="55" t="str">
        <f t="shared" si="87"/>
        <v/>
      </c>
      <c r="H292" s="55" t="str">
        <f t="shared" si="88"/>
        <v/>
      </c>
      <c r="I292" s="55" t="str">
        <f t="shared" si="89"/>
        <v/>
      </c>
      <c r="J292" s="55" t="str">
        <f t="shared" si="90"/>
        <v/>
      </c>
      <c r="K292" s="60" t="str">
        <f t="shared" si="91"/>
        <v/>
      </c>
      <c r="N292" s="58">
        <v>63</v>
      </c>
      <c r="O292" s="59" t="str">
        <f t="shared" si="92"/>
        <v/>
      </c>
      <c r="P292" s="55" t="str">
        <f t="shared" si="93"/>
        <v/>
      </c>
      <c r="Q292" s="55" t="str">
        <f t="shared" si="94"/>
        <v/>
      </c>
      <c r="R292" s="55" t="str">
        <f t="shared" si="95"/>
        <v/>
      </c>
      <c r="S292" s="55"/>
      <c r="T292" s="55"/>
      <c r="U292" s="55"/>
      <c r="V292" s="55" t="str">
        <f t="shared" si="96"/>
        <v/>
      </c>
      <c r="W292" s="55" t="str">
        <f t="shared" si="97"/>
        <v/>
      </c>
      <c r="X292" s="55" t="str">
        <f t="shared" si="98"/>
        <v/>
      </c>
      <c r="Y292" s="60" t="str">
        <f t="shared" si="99"/>
        <v/>
      </c>
    </row>
    <row r="293" spans="3:25" hidden="1" x14ac:dyDescent="0.25">
      <c r="C293" s="58">
        <v>64</v>
      </c>
      <c r="D293" s="59" t="str">
        <f t="shared" si="84"/>
        <v/>
      </c>
      <c r="E293" s="55" t="str">
        <f t="shared" si="85"/>
        <v/>
      </c>
      <c r="F293" s="55" t="str">
        <f t="shared" si="86"/>
        <v/>
      </c>
      <c r="G293" s="55" t="str">
        <f t="shared" si="87"/>
        <v/>
      </c>
      <c r="H293" s="55" t="str">
        <f t="shared" si="88"/>
        <v/>
      </c>
      <c r="I293" s="55" t="str">
        <f t="shared" si="89"/>
        <v/>
      </c>
      <c r="J293" s="55" t="str">
        <f t="shared" si="90"/>
        <v/>
      </c>
      <c r="K293" s="60" t="str">
        <f t="shared" si="91"/>
        <v/>
      </c>
      <c r="N293" s="58">
        <v>64</v>
      </c>
      <c r="O293" s="59" t="str">
        <f t="shared" si="92"/>
        <v/>
      </c>
      <c r="P293" s="55" t="str">
        <f t="shared" si="93"/>
        <v/>
      </c>
      <c r="Q293" s="55" t="str">
        <f t="shared" si="94"/>
        <v/>
      </c>
      <c r="R293" s="55" t="str">
        <f t="shared" si="95"/>
        <v/>
      </c>
      <c r="S293" s="55"/>
      <c r="T293" s="55"/>
      <c r="U293" s="55"/>
      <c r="V293" s="55" t="str">
        <f t="shared" si="96"/>
        <v/>
      </c>
      <c r="W293" s="55" t="str">
        <f t="shared" si="97"/>
        <v/>
      </c>
      <c r="X293" s="55" t="str">
        <f t="shared" si="98"/>
        <v/>
      </c>
      <c r="Y293" s="60" t="str">
        <f t="shared" si="99"/>
        <v/>
      </c>
    </row>
    <row r="294" spans="3:25" hidden="1" x14ac:dyDescent="0.25">
      <c r="C294" s="58">
        <v>65</v>
      </c>
      <c r="D294" s="59" t="str">
        <f t="shared" ref="D294:D325" si="100">IFERROR(VLOOKUP(SMALL($C$98:$C$225,C294),$C$98:$K$225,2,FALSE),"")</f>
        <v/>
      </c>
      <c r="E294" s="55" t="str">
        <f t="shared" ref="E294:E325" si="101">IFERROR(VLOOKUP(SMALL($C$98:$C$225,C294),$C$98:$K$225,3,FALSE),"")</f>
        <v/>
      </c>
      <c r="F294" s="55" t="str">
        <f t="shared" ref="F294:F325" si="102">IFERROR(VLOOKUP(SMALL($C$98:$C$225,C294),$C$98:$K$225,4,FALSE),"")</f>
        <v/>
      </c>
      <c r="G294" s="55" t="str">
        <f t="shared" ref="G294:G325" si="103">IFERROR(VLOOKUP(SMALL($C$98:$C$225,C294),$C$98:$K$225,5,FALSE),"")</f>
        <v/>
      </c>
      <c r="H294" s="55" t="str">
        <f t="shared" ref="H294:H325" si="104">IFERROR(VLOOKUP(SMALL($C$98:$C$225,C294),$C$98:$K$225,6,FALSE),"")</f>
        <v/>
      </c>
      <c r="I294" s="55" t="str">
        <f t="shared" ref="I294:I325" si="105">IFERROR(VLOOKUP(SMALL($C$98:$C$225,C294),$C$98:$K$225,7,FALSE),"")</f>
        <v/>
      </c>
      <c r="J294" s="55" t="str">
        <f t="shared" ref="J294:J325" si="106">IFERROR(VLOOKUP(SMALL($C$98:$C$225,C294),$C$98:$K$225,8,FALSE),"")</f>
        <v/>
      </c>
      <c r="K294" s="60" t="str">
        <f t="shared" ref="K294:K325" si="107">IFERROR(VLOOKUP(SMALL($C$98:$C$225,C294),$C$98:$K$225,9,FALSE),"")</f>
        <v/>
      </c>
      <c r="N294" s="58">
        <v>65</v>
      </c>
      <c r="O294" s="59" t="str">
        <f t="shared" ref="O294:O325" si="108">IFERROR(VLOOKUP(SMALL($N$98:$N$225,N294),$N$98:$Y$225,2,FALSE),"")</f>
        <v/>
      </c>
      <c r="P294" s="55" t="str">
        <f t="shared" ref="P294:P325" si="109">IFERROR(VLOOKUP(SMALL($N$98:$N$225,N294),$N$98:$Y$225,3,FALSE),"")</f>
        <v/>
      </c>
      <c r="Q294" s="55" t="str">
        <f t="shared" ref="Q294:Q325" si="110">IFERROR(VLOOKUP(SMALL($N$98:$N$225,N294),$N$98:$Y$225,4,FALSE),"")</f>
        <v/>
      </c>
      <c r="R294" s="55" t="str">
        <f t="shared" ref="R294:R325" si="111">IFERROR(VLOOKUP(SMALL($N$98:$N$225,N294),$N$98:$Y$225,5,FALSE),"")</f>
        <v/>
      </c>
      <c r="S294" s="55"/>
      <c r="T294" s="55"/>
      <c r="U294" s="55"/>
      <c r="V294" s="55" t="str">
        <f t="shared" ref="V294:V325" si="112">IFERROR(VLOOKUP(SMALL($N$98:$N$225,N294),$N$98:$Y$225,6,FALSE),"")</f>
        <v/>
      </c>
      <c r="W294" s="55" t="str">
        <f t="shared" ref="W294:W325" si="113">IFERROR(VLOOKUP(SMALL($N$98:$N$225,N294),$N$98:$Y$225,7,FALSE),"")</f>
        <v/>
      </c>
      <c r="X294" s="55" t="str">
        <f t="shared" ref="X294:X325" si="114">IFERROR(VLOOKUP(SMALL($N$98:$N$225,N294),$N$98:$Y$225,8,FALSE),"")</f>
        <v/>
      </c>
      <c r="Y294" s="60" t="str">
        <f t="shared" ref="Y294:Y325" si="115">IFERROR(VLOOKUP(SMALL($N$98:$N$225,N294),$N$98:$Y$225,9,FALSE),"")</f>
        <v/>
      </c>
    </row>
    <row r="295" spans="3:25" hidden="1" x14ac:dyDescent="0.25">
      <c r="C295" s="58">
        <v>66</v>
      </c>
      <c r="D295" s="59" t="str">
        <f t="shared" si="100"/>
        <v/>
      </c>
      <c r="E295" s="55" t="str">
        <f t="shared" si="101"/>
        <v/>
      </c>
      <c r="F295" s="55" t="str">
        <f t="shared" si="102"/>
        <v/>
      </c>
      <c r="G295" s="55" t="str">
        <f t="shared" si="103"/>
        <v/>
      </c>
      <c r="H295" s="55" t="str">
        <f t="shared" si="104"/>
        <v/>
      </c>
      <c r="I295" s="55" t="str">
        <f t="shared" si="105"/>
        <v/>
      </c>
      <c r="J295" s="55" t="str">
        <f t="shared" si="106"/>
        <v/>
      </c>
      <c r="K295" s="60" t="str">
        <f t="shared" si="107"/>
        <v/>
      </c>
      <c r="N295" s="58">
        <v>66</v>
      </c>
      <c r="O295" s="59" t="str">
        <f t="shared" si="108"/>
        <v/>
      </c>
      <c r="P295" s="55" t="str">
        <f t="shared" si="109"/>
        <v/>
      </c>
      <c r="Q295" s="55" t="str">
        <f t="shared" si="110"/>
        <v/>
      </c>
      <c r="R295" s="55" t="str">
        <f t="shared" si="111"/>
        <v/>
      </c>
      <c r="S295" s="55"/>
      <c r="T295" s="55"/>
      <c r="U295" s="55"/>
      <c r="V295" s="55" t="str">
        <f t="shared" si="112"/>
        <v/>
      </c>
      <c r="W295" s="55" t="str">
        <f t="shared" si="113"/>
        <v/>
      </c>
      <c r="X295" s="55" t="str">
        <f t="shared" si="114"/>
        <v/>
      </c>
      <c r="Y295" s="60" t="str">
        <f t="shared" si="115"/>
        <v/>
      </c>
    </row>
    <row r="296" spans="3:25" hidden="1" x14ac:dyDescent="0.25">
      <c r="C296" s="58">
        <v>67</v>
      </c>
      <c r="D296" s="59" t="str">
        <f t="shared" si="100"/>
        <v/>
      </c>
      <c r="E296" s="55" t="str">
        <f t="shared" si="101"/>
        <v/>
      </c>
      <c r="F296" s="55" t="str">
        <f t="shared" si="102"/>
        <v/>
      </c>
      <c r="G296" s="55" t="str">
        <f t="shared" si="103"/>
        <v/>
      </c>
      <c r="H296" s="55" t="str">
        <f t="shared" si="104"/>
        <v/>
      </c>
      <c r="I296" s="55" t="str">
        <f t="shared" si="105"/>
        <v/>
      </c>
      <c r="J296" s="55" t="str">
        <f t="shared" si="106"/>
        <v/>
      </c>
      <c r="K296" s="60" t="str">
        <f t="shared" si="107"/>
        <v/>
      </c>
      <c r="N296" s="58">
        <v>67</v>
      </c>
      <c r="O296" s="59" t="str">
        <f t="shared" si="108"/>
        <v/>
      </c>
      <c r="P296" s="55" t="str">
        <f t="shared" si="109"/>
        <v/>
      </c>
      <c r="Q296" s="55" t="str">
        <f t="shared" si="110"/>
        <v/>
      </c>
      <c r="R296" s="55" t="str">
        <f t="shared" si="111"/>
        <v/>
      </c>
      <c r="S296" s="55"/>
      <c r="T296" s="55"/>
      <c r="U296" s="55"/>
      <c r="V296" s="55" t="str">
        <f t="shared" si="112"/>
        <v/>
      </c>
      <c r="W296" s="55" t="str">
        <f t="shared" si="113"/>
        <v/>
      </c>
      <c r="X296" s="55" t="str">
        <f t="shared" si="114"/>
        <v/>
      </c>
      <c r="Y296" s="60" t="str">
        <f t="shared" si="115"/>
        <v/>
      </c>
    </row>
    <row r="297" spans="3:25" hidden="1" x14ac:dyDescent="0.25">
      <c r="C297" s="58">
        <v>68</v>
      </c>
      <c r="D297" s="59" t="str">
        <f t="shared" si="100"/>
        <v/>
      </c>
      <c r="E297" s="55" t="str">
        <f t="shared" si="101"/>
        <v/>
      </c>
      <c r="F297" s="55" t="str">
        <f t="shared" si="102"/>
        <v/>
      </c>
      <c r="G297" s="55" t="str">
        <f t="shared" si="103"/>
        <v/>
      </c>
      <c r="H297" s="55" t="str">
        <f t="shared" si="104"/>
        <v/>
      </c>
      <c r="I297" s="55" t="str">
        <f t="shared" si="105"/>
        <v/>
      </c>
      <c r="J297" s="55" t="str">
        <f t="shared" si="106"/>
        <v/>
      </c>
      <c r="K297" s="60" t="str">
        <f t="shared" si="107"/>
        <v/>
      </c>
      <c r="N297" s="58">
        <v>68</v>
      </c>
      <c r="O297" s="59" t="str">
        <f t="shared" si="108"/>
        <v/>
      </c>
      <c r="P297" s="55" t="str">
        <f t="shared" si="109"/>
        <v/>
      </c>
      <c r="Q297" s="55" t="str">
        <f t="shared" si="110"/>
        <v/>
      </c>
      <c r="R297" s="55" t="str">
        <f t="shared" si="111"/>
        <v/>
      </c>
      <c r="S297" s="55"/>
      <c r="T297" s="55"/>
      <c r="U297" s="55"/>
      <c r="V297" s="55" t="str">
        <f t="shared" si="112"/>
        <v/>
      </c>
      <c r="W297" s="55" t="str">
        <f t="shared" si="113"/>
        <v/>
      </c>
      <c r="X297" s="55" t="str">
        <f t="shared" si="114"/>
        <v/>
      </c>
      <c r="Y297" s="60" t="str">
        <f t="shared" si="115"/>
        <v/>
      </c>
    </row>
    <row r="298" spans="3:25" hidden="1" x14ac:dyDescent="0.25">
      <c r="C298" s="58">
        <v>69</v>
      </c>
      <c r="D298" s="59" t="str">
        <f t="shared" si="100"/>
        <v/>
      </c>
      <c r="E298" s="55" t="str">
        <f t="shared" si="101"/>
        <v/>
      </c>
      <c r="F298" s="55" t="str">
        <f t="shared" si="102"/>
        <v/>
      </c>
      <c r="G298" s="55" t="str">
        <f t="shared" si="103"/>
        <v/>
      </c>
      <c r="H298" s="55" t="str">
        <f t="shared" si="104"/>
        <v/>
      </c>
      <c r="I298" s="55" t="str">
        <f t="shared" si="105"/>
        <v/>
      </c>
      <c r="J298" s="55" t="str">
        <f t="shared" si="106"/>
        <v/>
      </c>
      <c r="K298" s="60" t="str">
        <f t="shared" si="107"/>
        <v/>
      </c>
      <c r="N298" s="58">
        <v>69</v>
      </c>
      <c r="O298" s="59" t="str">
        <f t="shared" si="108"/>
        <v/>
      </c>
      <c r="P298" s="55" t="str">
        <f t="shared" si="109"/>
        <v/>
      </c>
      <c r="Q298" s="55" t="str">
        <f t="shared" si="110"/>
        <v/>
      </c>
      <c r="R298" s="55" t="str">
        <f t="shared" si="111"/>
        <v/>
      </c>
      <c r="S298" s="55"/>
      <c r="T298" s="55"/>
      <c r="U298" s="55"/>
      <c r="V298" s="55" t="str">
        <f t="shared" si="112"/>
        <v/>
      </c>
      <c r="W298" s="55" t="str">
        <f t="shared" si="113"/>
        <v/>
      </c>
      <c r="X298" s="55" t="str">
        <f t="shared" si="114"/>
        <v/>
      </c>
      <c r="Y298" s="60" t="str">
        <f t="shared" si="115"/>
        <v/>
      </c>
    </row>
    <row r="299" spans="3:25" hidden="1" x14ac:dyDescent="0.25">
      <c r="C299" s="58">
        <v>70</v>
      </c>
      <c r="D299" s="59" t="str">
        <f t="shared" si="100"/>
        <v/>
      </c>
      <c r="E299" s="55" t="str">
        <f t="shared" si="101"/>
        <v/>
      </c>
      <c r="F299" s="55" t="str">
        <f t="shared" si="102"/>
        <v/>
      </c>
      <c r="G299" s="55" t="str">
        <f t="shared" si="103"/>
        <v/>
      </c>
      <c r="H299" s="55" t="str">
        <f t="shared" si="104"/>
        <v/>
      </c>
      <c r="I299" s="55" t="str">
        <f t="shared" si="105"/>
        <v/>
      </c>
      <c r="J299" s="55" t="str">
        <f t="shared" si="106"/>
        <v/>
      </c>
      <c r="K299" s="60" t="str">
        <f t="shared" si="107"/>
        <v/>
      </c>
      <c r="N299" s="58">
        <v>70</v>
      </c>
      <c r="O299" s="59" t="str">
        <f t="shared" si="108"/>
        <v/>
      </c>
      <c r="P299" s="55" t="str">
        <f t="shared" si="109"/>
        <v/>
      </c>
      <c r="Q299" s="55" t="str">
        <f t="shared" si="110"/>
        <v/>
      </c>
      <c r="R299" s="55" t="str">
        <f t="shared" si="111"/>
        <v/>
      </c>
      <c r="S299" s="55"/>
      <c r="T299" s="55"/>
      <c r="U299" s="55"/>
      <c r="V299" s="55" t="str">
        <f t="shared" si="112"/>
        <v/>
      </c>
      <c r="W299" s="55" t="str">
        <f t="shared" si="113"/>
        <v/>
      </c>
      <c r="X299" s="55" t="str">
        <f t="shared" si="114"/>
        <v/>
      </c>
      <c r="Y299" s="60" t="str">
        <f t="shared" si="115"/>
        <v/>
      </c>
    </row>
    <row r="300" spans="3:25" hidden="1" x14ac:dyDescent="0.25">
      <c r="C300" s="58">
        <v>71</v>
      </c>
      <c r="D300" s="59" t="str">
        <f t="shared" si="100"/>
        <v/>
      </c>
      <c r="E300" s="55" t="str">
        <f t="shared" si="101"/>
        <v/>
      </c>
      <c r="F300" s="55" t="str">
        <f t="shared" si="102"/>
        <v/>
      </c>
      <c r="G300" s="55" t="str">
        <f t="shared" si="103"/>
        <v/>
      </c>
      <c r="H300" s="55" t="str">
        <f t="shared" si="104"/>
        <v/>
      </c>
      <c r="I300" s="55" t="str">
        <f t="shared" si="105"/>
        <v/>
      </c>
      <c r="J300" s="55" t="str">
        <f t="shared" si="106"/>
        <v/>
      </c>
      <c r="K300" s="60" t="str">
        <f t="shared" si="107"/>
        <v/>
      </c>
      <c r="N300" s="58">
        <v>71</v>
      </c>
      <c r="O300" s="59" t="str">
        <f t="shared" si="108"/>
        <v/>
      </c>
      <c r="P300" s="55" t="str">
        <f t="shared" si="109"/>
        <v/>
      </c>
      <c r="Q300" s="55" t="str">
        <f t="shared" si="110"/>
        <v/>
      </c>
      <c r="R300" s="55" t="str">
        <f t="shared" si="111"/>
        <v/>
      </c>
      <c r="S300" s="55"/>
      <c r="T300" s="55"/>
      <c r="U300" s="55"/>
      <c r="V300" s="55" t="str">
        <f t="shared" si="112"/>
        <v/>
      </c>
      <c r="W300" s="55" t="str">
        <f t="shared" si="113"/>
        <v/>
      </c>
      <c r="X300" s="55" t="str">
        <f t="shared" si="114"/>
        <v/>
      </c>
      <c r="Y300" s="60" t="str">
        <f t="shared" si="115"/>
        <v/>
      </c>
    </row>
    <row r="301" spans="3:25" hidden="1" x14ac:dyDescent="0.25">
      <c r="C301" s="58">
        <v>72</v>
      </c>
      <c r="D301" s="59" t="str">
        <f t="shared" si="100"/>
        <v/>
      </c>
      <c r="E301" s="55" t="str">
        <f t="shared" si="101"/>
        <v/>
      </c>
      <c r="F301" s="55" t="str">
        <f t="shared" si="102"/>
        <v/>
      </c>
      <c r="G301" s="55" t="str">
        <f t="shared" si="103"/>
        <v/>
      </c>
      <c r="H301" s="55" t="str">
        <f t="shared" si="104"/>
        <v/>
      </c>
      <c r="I301" s="55" t="str">
        <f t="shared" si="105"/>
        <v/>
      </c>
      <c r="J301" s="55" t="str">
        <f t="shared" si="106"/>
        <v/>
      </c>
      <c r="K301" s="60" t="str">
        <f t="shared" si="107"/>
        <v/>
      </c>
      <c r="N301" s="58">
        <v>72</v>
      </c>
      <c r="O301" s="59" t="str">
        <f t="shared" si="108"/>
        <v/>
      </c>
      <c r="P301" s="55" t="str">
        <f t="shared" si="109"/>
        <v/>
      </c>
      <c r="Q301" s="55" t="str">
        <f t="shared" si="110"/>
        <v/>
      </c>
      <c r="R301" s="55" t="str">
        <f t="shared" si="111"/>
        <v/>
      </c>
      <c r="S301" s="55"/>
      <c r="T301" s="55"/>
      <c r="U301" s="55"/>
      <c r="V301" s="55" t="str">
        <f t="shared" si="112"/>
        <v/>
      </c>
      <c r="W301" s="55" t="str">
        <f t="shared" si="113"/>
        <v/>
      </c>
      <c r="X301" s="55" t="str">
        <f t="shared" si="114"/>
        <v/>
      </c>
      <c r="Y301" s="60" t="str">
        <f t="shared" si="115"/>
        <v/>
      </c>
    </row>
    <row r="302" spans="3:25" hidden="1" x14ac:dyDescent="0.25">
      <c r="C302" s="58">
        <v>73</v>
      </c>
      <c r="D302" s="59" t="str">
        <f t="shared" si="100"/>
        <v/>
      </c>
      <c r="E302" s="55" t="str">
        <f t="shared" si="101"/>
        <v/>
      </c>
      <c r="F302" s="55" t="str">
        <f t="shared" si="102"/>
        <v/>
      </c>
      <c r="G302" s="55" t="str">
        <f t="shared" si="103"/>
        <v/>
      </c>
      <c r="H302" s="55" t="str">
        <f t="shared" si="104"/>
        <v/>
      </c>
      <c r="I302" s="55" t="str">
        <f t="shared" si="105"/>
        <v/>
      </c>
      <c r="J302" s="55" t="str">
        <f t="shared" si="106"/>
        <v/>
      </c>
      <c r="K302" s="60" t="str">
        <f t="shared" si="107"/>
        <v/>
      </c>
      <c r="N302" s="58">
        <v>73</v>
      </c>
      <c r="O302" s="59" t="str">
        <f t="shared" si="108"/>
        <v/>
      </c>
      <c r="P302" s="55" t="str">
        <f t="shared" si="109"/>
        <v/>
      </c>
      <c r="Q302" s="55" t="str">
        <f t="shared" si="110"/>
        <v/>
      </c>
      <c r="R302" s="55" t="str">
        <f t="shared" si="111"/>
        <v/>
      </c>
      <c r="S302" s="55"/>
      <c r="T302" s="55"/>
      <c r="U302" s="55"/>
      <c r="V302" s="55" t="str">
        <f t="shared" si="112"/>
        <v/>
      </c>
      <c r="W302" s="55" t="str">
        <f t="shared" si="113"/>
        <v/>
      </c>
      <c r="X302" s="55" t="str">
        <f t="shared" si="114"/>
        <v/>
      </c>
      <c r="Y302" s="60" t="str">
        <f t="shared" si="115"/>
        <v/>
      </c>
    </row>
    <row r="303" spans="3:25" hidden="1" x14ac:dyDescent="0.25">
      <c r="C303" s="58">
        <v>74</v>
      </c>
      <c r="D303" s="59" t="str">
        <f t="shared" si="100"/>
        <v/>
      </c>
      <c r="E303" s="55" t="str">
        <f t="shared" si="101"/>
        <v/>
      </c>
      <c r="F303" s="55" t="str">
        <f t="shared" si="102"/>
        <v/>
      </c>
      <c r="G303" s="55" t="str">
        <f t="shared" si="103"/>
        <v/>
      </c>
      <c r="H303" s="55" t="str">
        <f t="shared" si="104"/>
        <v/>
      </c>
      <c r="I303" s="55" t="str">
        <f t="shared" si="105"/>
        <v/>
      </c>
      <c r="J303" s="55" t="str">
        <f t="shared" si="106"/>
        <v/>
      </c>
      <c r="K303" s="60" t="str">
        <f t="shared" si="107"/>
        <v/>
      </c>
      <c r="N303" s="58">
        <v>74</v>
      </c>
      <c r="O303" s="59" t="str">
        <f t="shared" si="108"/>
        <v/>
      </c>
      <c r="P303" s="55" t="str">
        <f t="shared" si="109"/>
        <v/>
      </c>
      <c r="Q303" s="55" t="str">
        <f t="shared" si="110"/>
        <v/>
      </c>
      <c r="R303" s="55" t="str">
        <f t="shared" si="111"/>
        <v/>
      </c>
      <c r="S303" s="55"/>
      <c r="T303" s="55"/>
      <c r="U303" s="55"/>
      <c r="V303" s="55" t="str">
        <f t="shared" si="112"/>
        <v/>
      </c>
      <c r="W303" s="55" t="str">
        <f t="shared" si="113"/>
        <v/>
      </c>
      <c r="X303" s="55" t="str">
        <f t="shared" si="114"/>
        <v/>
      </c>
      <c r="Y303" s="60" t="str">
        <f t="shared" si="115"/>
        <v/>
      </c>
    </row>
    <row r="304" spans="3:25" hidden="1" x14ac:dyDescent="0.25">
      <c r="C304" s="58">
        <v>75</v>
      </c>
      <c r="D304" s="59" t="str">
        <f t="shared" si="100"/>
        <v/>
      </c>
      <c r="E304" s="55" t="str">
        <f t="shared" si="101"/>
        <v/>
      </c>
      <c r="F304" s="55" t="str">
        <f t="shared" si="102"/>
        <v/>
      </c>
      <c r="G304" s="55" t="str">
        <f t="shared" si="103"/>
        <v/>
      </c>
      <c r="H304" s="55" t="str">
        <f t="shared" si="104"/>
        <v/>
      </c>
      <c r="I304" s="55" t="str">
        <f t="shared" si="105"/>
        <v/>
      </c>
      <c r="J304" s="55" t="str">
        <f t="shared" si="106"/>
        <v/>
      </c>
      <c r="K304" s="60" t="str">
        <f t="shared" si="107"/>
        <v/>
      </c>
      <c r="N304" s="58">
        <v>75</v>
      </c>
      <c r="O304" s="59" t="str">
        <f t="shared" si="108"/>
        <v/>
      </c>
      <c r="P304" s="55" t="str">
        <f t="shared" si="109"/>
        <v/>
      </c>
      <c r="Q304" s="55" t="str">
        <f t="shared" si="110"/>
        <v/>
      </c>
      <c r="R304" s="55" t="str">
        <f t="shared" si="111"/>
        <v/>
      </c>
      <c r="S304" s="55"/>
      <c r="T304" s="55"/>
      <c r="U304" s="55"/>
      <c r="V304" s="55" t="str">
        <f t="shared" si="112"/>
        <v/>
      </c>
      <c r="W304" s="55" t="str">
        <f t="shared" si="113"/>
        <v/>
      </c>
      <c r="X304" s="55" t="str">
        <f t="shared" si="114"/>
        <v/>
      </c>
      <c r="Y304" s="60" t="str">
        <f t="shared" si="115"/>
        <v/>
      </c>
    </row>
    <row r="305" spans="3:25" hidden="1" x14ac:dyDescent="0.25">
      <c r="C305" s="58">
        <v>76</v>
      </c>
      <c r="D305" s="59" t="str">
        <f t="shared" si="100"/>
        <v/>
      </c>
      <c r="E305" s="55" t="str">
        <f t="shared" si="101"/>
        <v/>
      </c>
      <c r="F305" s="55" t="str">
        <f t="shared" si="102"/>
        <v/>
      </c>
      <c r="G305" s="55" t="str">
        <f t="shared" si="103"/>
        <v/>
      </c>
      <c r="H305" s="55" t="str">
        <f t="shared" si="104"/>
        <v/>
      </c>
      <c r="I305" s="55" t="str">
        <f t="shared" si="105"/>
        <v/>
      </c>
      <c r="J305" s="55" t="str">
        <f t="shared" si="106"/>
        <v/>
      </c>
      <c r="K305" s="60" t="str">
        <f t="shared" si="107"/>
        <v/>
      </c>
      <c r="N305" s="58">
        <v>76</v>
      </c>
      <c r="O305" s="59" t="str">
        <f t="shared" si="108"/>
        <v/>
      </c>
      <c r="P305" s="55" t="str">
        <f t="shared" si="109"/>
        <v/>
      </c>
      <c r="Q305" s="55" t="str">
        <f t="shared" si="110"/>
        <v/>
      </c>
      <c r="R305" s="55" t="str">
        <f t="shared" si="111"/>
        <v/>
      </c>
      <c r="S305" s="55"/>
      <c r="T305" s="55"/>
      <c r="U305" s="55"/>
      <c r="V305" s="55" t="str">
        <f t="shared" si="112"/>
        <v/>
      </c>
      <c r="W305" s="55" t="str">
        <f t="shared" si="113"/>
        <v/>
      </c>
      <c r="X305" s="55" t="str">
        <f t="shared" si="114"/>
        <v/>
      </c>
      <c r="Y305" s="60" t="str">
        <f t="shared" si="115"/>
        <v/>
      </c>
    </row>
    <row r="306" spans="3:25" hidden="1" x14ac:dyDescent="0.25">
      <c r="C306" s="58">
        <v>77</v>
      </c>
      <c r="D306" s="59" t="str">
        <f t="shared" si="100"/>
        <v/>
      </c>
      <c r="E306" s="55" t="str">
        <f t="shared" si="101"/>
        <v/>
      </c>
      <c r="F306" s="55" t="str">
        <f t="shared" si="102"/>
        <v/>
      </c>
      <c r="G306" s="55" t="str">
        <f t="shared" si="103"/>
        <v/>
      </c>
      <c r="H306" s="55" t="str">
        <f t="shared" si="104"/>
        <v/>
      </c>
      <c r="I306" s="55" t="str">
        <f t="shared" si="105"/>
        <v/>
      </c>
      <c r="J306" s="55" t="str">
        <f t="shared" si="106"/>
        <v/>
      </c>
      <c r="K306" s="60" t="str">
        <f t="shared" si="107"/>
        <v/>
      </c>
      <c r="N306" s="58">
        <v>77</v>
      </c>
      <c r="O306" s="59" t="str">
        <f t="shared" si="108"/>
        <v/>
      </c>
      <c r="P306" s="55" t="str">
        <f t="shared" si="109"/>
        <v/>
      </c>
      <c r="Q306" s="55" t="str">
        <f t="shared" si="110"/>
        <v/>
      </c>
      <c r="R306" s="55" t="str">
        <f t="shared" si="111"/>
        <v/>
      </c>
      <c r="S306" s="55"/>
      <c r="T306" s="55"/>
      <c r="U306" s="55"/>
      <c r="V306" s="55" t="str">
        <f t="shared" si="112"/>
        <v/>
      </c>
      <c r="W306" s="55" t="str">
        <f t="shared" si="113"/>
        <v/>
      </c>
      <c r="X306" s="55" t="str">
        <f t="shared" si="114"/>
        <v/>
      </c>
      <c r="Y306" s="60" t="str">
        <f t="shared" si="115"/>
        <v/>
      </c>
    </row>
    <row r="307" spans="3:25" hidden="1" x14ac:dyDescent="0.25">
      <c r="C307" s="58">
        <v>78</v>
      </c>
      <c r="D307" s="59" t="str">
        <f t="shared" si="100"/>
        <v/>
      </c>
      <c r="E307" s="55" t="str">
        <f t="shared" si="101"/>
        <v/>
      </c>
      <c r="F307" s="55" t="str">
        <f t="shared" si="102"/>
        <v/>
      </c>
      <c r="G307" s="55" t="str">
        <f t="shared" si="103"/>
        <v/>
      </c>
      <c r="H307" s="55" t="str">
        <f t="shared" si="104"/>
        <v/>
      </c>
      <c r="I307" s="55" t="str">
        <f t="shared" si="105"/>
        <v/>
      </c>
      <c r="J307" s="55" t="str">
        <f t="shared" si="106"/>
        <v/>
      </c>
      <c r="K307" s="60" t="str">
        <f t="shared" si="107"/>
        <v/>
      </c>
      <c r="N307" s="58">
        <v>78</v>
      </c>
      <c r="O307" s="59" t="str">
        <f t="shared" si="108"/>
        <v/>
      </c>
      <c r="P307" s="55" t="str">
        <f t="shared" si="109"/>
        <v/>
      </c>
      <c r="Q307" s="55" t="str">
        <f t="shared" si="110"/>
        <v/>
      </c>
      <c r="R307" s="55" t="str">
        <f t="shared" si="111"/>
        <v/>
      </c>
      <c r="S307" s="55"/>
      <c r="T307" s="55"/>
      <c r="U307" s="55"/>
      <c r="V307" s="55" t="str">
        <f t="shared" si="112"/>
        <v/>
      </c>
      <c r="W307" s="55" t="str">
        <f t="shared" si="113"/>
        <v/>
      </c>
      <c r="X307" s="55" t="str">
        <f t="shared" si="114"/>
        <v/>
      </c>
      <c r="Y307" s="60" t="str">
        <f t="shared" si="115"/>
        <v/>
      </c>
    </row>
    <row r="308" spans="3:25" hidden="1" x14ac:dyDescent="0.25">
      <c r="C308" s="58">
        <v>79</v>
      </c>
      <c r="D308" s="59" t="str">
        <f t="shared" si="100"/>
        <v/>
      </c>
      <c r="E308" s="55" t="str">
        <f t="shared" si="101"/>
        <v/>
      </c>
      <c r="F308" s="55" t="str">
        <f t="shared" si="102"/>
        <v/>
      </c>
      <c r="G308" s="55" t="str">
        <f t="shared" si="103"/>
        <v/>
      </c>
      <c r="H308" s="55" t="str">
        <f t="shared" si="104"/>
        <v/>
      </c>
      <c r="I308" s="55" t="str">
        <f t="shared" si="105"/>
        <v/>
      </c>
      <c r="J308" s="55" t="str">
        <f t="shared" si="106"/>
        <v/>
      </c>
      <c r="K308" s="60" t="str">
        <f t="shared" si="107"/>
        <v/>
      </c>
      <c r="N308" s="58">
        <v>79</v>
      </c>
      <c r="O308" s="59" t="str">
        <f t="shared" si="108"/>
        <v/>
      </c>
      <c r="P308" s="55" t="str">
        <f t="shared" si="109"/>
        <v/>
      </c>
      <c r="Q308" s="55" t="str">
        <f t="shared" si="110"/>
        <v/>
      </c>
      <c r="R308" s="55" t="str">
        <f t="shared" si="111"/>
        <v/>
      </c>
      <c r="S308" s="55"/>
      <c r="T308" s="55"/>
      <c r="U308" s="55"/>
      <c r="V308" s="55" t="str">
        <f t="shared" si="112"/>
        <v/>
      </c>
      <c r="W308" s="55" t="str">
        <f t="shared" si="113"/>
        <v/>
      </c>
      <c r="X308" s="55" t="str">
        <f t="shared" si="114"/>
        <v/>
      </c>
      <c r="Y308" s="60" t="str">
        <f t="shared" si="115"/>
        <v/>
      </c>
    </row>
    <row r="309" spans="3:25" hidden="1" x14ac:dyDescent="0.25">
      <c r="C309" s="58"/>
      <c r="D309" s="59" t="str">
        <f t="shared" si="100"/>
        <v/>
      </c>
      <c r="E309" s="55" t="str">
        <f t="shared" si="101"/>
        <v/>
      </c>
      <c r="F309" s="55" t="str">
        <f t="shared" si="102"/>
        <v/>
      </c>
      <c r="G309" s="55" t="str">
        <f t="shared" si="103"/>
        <v/>
      </c>
      <c r="H309" s="55" t="str">
        <f t="shared" si="104"/>
        <v/>
      </c>
      <c r="I309" s="55" t="str">
        <f t="shared" si="105"/>
        <v/>
      </c>
      <c r="J309" s="55" t="str">
        <f t="shared" si="106"/>
        <v/>
      </c>
      <c r="K309" s="60" t="str">
        <f t="shared" si="107"/>
        <v/>
      </c>
      <c r="N309" s="58"/>
      <c r="O309" s="59" t="str">
        <f t="shared" si="108"/>
        <v/>
      </c>
      <c r="P309" s="55" t="str">
        <f t="shared" si="109"/>
        <v/>
      </c>
      <c r="Q309" s="55" t="str">
        <f t="shared" si="110"/>
        <v/>
      </c>
      <c r="R309" s="55" t="str">
        <f t="shared" si="111"/>
        <v/>
      </c>
      <c r="S309" s="55"/>
      <c r="T309" s="55"/>
      <c r="U309" s="55"/>
      <c r="V309" s="55" t="str">
        <f t="shared" si="112"/>
        <v/>
      </c>
      <c r="W309" s="55" t="str">
        <f t="shared" si="113"/>
        <v/>
      </c>
      <c r="X309" s="55" t="str">
        <f t="shared" si="114"/>
        <v/>
      </c>
      <c r="Y309" s="60" t="str">
        <f t="shared" si="115"/>
        <v/>
      </c>
    </row>
    <row r="310" spans="3:25" hidden="1" x14ac:dyDescent="0.25">
      <c r="C310" s="58"/>
      <c r="D310" s="59" t="str">
        <f t="shared" si="100"/>
        <v/>
      </c>
      <c r="E310" s="55" t="str">
        <f t="shared" si="101"/>
        <v/>
      </c>
      <c r="F310" s="55" t="str">
        <f t="shared" si="102"/>
        <v/>
      </c>
      <c r="G310" s="55" t="str">
        <f t="shared" si="103"/>
        <v/>
      </c>
      <c r="H310" s="55" t="str">
        <f t="shared" si="104"/>
        <v/>
      </c>
      <c r="I310" s="55" t="str">
        <f t="shared" si="105"/>
        <v/>
      </c>
      <c r="J310" s="55" t="str">
        <f t="shared" si="106"/>
        <v/>
      </c>
      <c r="K310" s="60" t="str">
        <f t="shared" si="107"/>
        <v/>
      </c>
      <c r="N310" s="58"/>
      <c r="O310" s="59" t="str">
        <f t="shared" si="108"/>
        <v/>
      </c>
      <c r="P310" s="55" t="str">
        <f t="shared" si="109"/>
        <v/>
      </c>
      <c r="Q310" s="55" t="str">
        <f t="shared" si="110"/>
        <v/>
      </c>
      <c r="R310" s="55" t="str">
        <f t="shared" si="111"/>
        <v/>
      </c>
      <c r="S310" s="55"/>
      <c r="T310" s="55"/>
      <c r="U310" s="55"/>
      <c r="V310" s="55" t="str">
        <f t="shared" si="112"/>
        <v/>
      </c>
      <c r="W310" s="55" t="str">
        <f t="shared" si="113"/>
        <v/>
      </c>
      <c r="X310" s="55" t="str">
        <f t="shared" si="114"/>
        <v/>
      </c>
      <c r="Y310" s="60" t="str">
        <f t="shared" si="115"/>
        <v/>
      </c>
    </row>
    <row r="311" spans="3:25" hidden="1" x14ac:dyDescent="0.25">
      <c r="C311" s="58"/>
      <c r="D311" s="59" t="str">
        <f t="shared" si="100"/>
        <v/>
      </c>
      <c r="E311" s="55" t="str">
        <f t="shared" si="101"/>
        <v/>
      </c>
      <c r="F311" s="55" t="str">
        <f t="shared" si="102"/>
        <v/>
      </c>
      <c r="G311" s="55" t="str">
        <f t="shared" si="103"/>
        <v/>
      </c>
      <c r="H311" s="55" t="str">
        <f t="shared" si="104"/>
        <v/>
      </c>
      <c r="I311" s="55" t="str">
        <f t="shared" si="105"/>
        <v/>
      </c>
      <c r="J311" s="55" t="str">
        <f t="shared" si="106"/>
        <v/>
      </c>
      <c r="K311" s="60" t="str">
        <f t="shared" si="107"/>
        <v/>
      </c>
      <c r="N311" s="58"/>
      <c r="O311" s="59" t="str">
        <f t="shared" si="108"/>
        <v/>
      </c>
      <c r="P311" s="55" t="str">
        <f t="shared" si="109"/>
        <v/>
      </c>
      <c r="Q311" s="55" t="str">
        <f t="shared" si="110"/>
        <v/>
      </c>
      <c r="R311" s="55" t="str">
        <f t="shared" si="111"/>
        <v/>
      </c>
      <c r="S311" s="55"/>
      <c r="T311" s="55"/>
      <c r="U311" s="55"/>
      <c r="V311" s="55" t="str">
        <f t="shared" si="112"/>
        <v/>
      </c>
      <c r="W311" s="55" t="str">
        <f t="shared" si="113"/>
        <v/>
      </c>
      <c r="X311" s="55" t="str">
        <f t="shared" si="114"/>
        <v/>
      </c>
      <c r="Y311" s="60" t="str">
        <f t="shared" si="115"/>
        <v/>
      </c>
    </row>
    <row r="312" spans="3:25" hidden="1" x14ac:dyDescent="0.25">
      <c r="C312" s="58"/>
      <c r="D312" s="59" t="str">
        <f t="shared" si="100"/>
        <v/>
      </c>
      <c r="E312" s="55" t="str">
        <f t="shared" si="101"/>
        <v/>
      </c>
      <c r="F312" s="55" t="str">
        <f t="shared" si="102"/>
        <v/>
      </c>
      <c r="G312" s="55" t="str">
        <f t="shared" si="103"/>
        <v/>
      </c>
      <c r="H312" s="55" t="str">
        <f t="shared" si="104"/>
        <v/>
      </c>
      <c r="I312" s="55" t="str">
        <f t="shared" si="105"/>
        <v/>
      </c>
      <c r="J312" s="55" t="str">
        <f t="shared" si="106"/>
        <v/>
      </c>
      <c r="K312" s="60" t="str">
        <f t="shared" si="107"/>
        <v/>
      </c>
      <c r="N312" s="58"/>
      <c r="O312" s="59" t="str">
        <f t="shared" si="108"/>
        <v/>
      </c>
      <c r="P312" s="55" t="str">
        <f t="shared" si="109"/>
        <v/>
      </c>
      <c r="Q312" s="55" t="str">
        <f t="shared" si="110"/>
        <v/>
      </c>
      <c r="R312" s="55" t="str">
        <f t="shared" si="111"/>
        <v/>
      </c>
      <c r="S312" s="55"/>
      <c r="T312" s="55"/>
      <c r="U312" s="55"/>
      <c r="V312" s="55" t="str">
        <f t="shared" si="112"/>
        <v/>
      </c>
      <c r="W312" s="55" t="str">
        <f t="shared" si="113"/>
        <v/>
      </c>
      <c r="X312" s="55" t="str">
        <f t="shared" si="114"/>
        <v/>
      </c>
      <c r="Y312" s="60" t="str">
        <f t="shared" si="115"/>
        <v/>
      </c>
    </row>
    <row r="313" spans="3:25" hidden="1" x14ac:dyDescent="0.25">
      <c r="C313" s="58"/>
      <c r="D313" s="59" t="str">
        <f t="shared" si="100"/>
        <v/>
      </c>
      <c r="E313" s="55" t="str">
        <f t="shared" si="101"/>
        <v/>
      </c>
      <c r="F313" s="55" t="str">
        <f t="shared" si="102"/>
        <v/>
      </c>
      <c r="G313" s="55" t="str">
        <f t="shared" si="103"/>
        <v/>
      </c>
      <c r="H313" s="55" t="str">
        <f t="shared" si="104"/>
        <v/>
      </c>
      <c r="I313" s="55" t="str">
        <f t="shared" si="105"/>
        <v/>
      </c>
      <c r="J313" s="55" t="str">
        <f t="shared" si="106"/>
        <v/>
      </c>
      <c r="K313" s="60" t="str">
        <f t="shared" si="107"/>
        <v/>
      </c>
      <c r="N313" s="58"/>
      <c r="O313" s="59" t="str">
        <f t="shared" si="108"/>
        <v/>
      </c>
      <c r="P313" s="55" t="str">
        <f t="shared" si="109"/>
        <v/>
      </c>
      <c r="Q313" s="55" t="str">
        <f t="shared" si="110"/>
        <v/>
      </c>
      <c r="R313" s="55" t="str">
        <f t="shared" si="111"/>
        <v/>
      </c>
      <c r="S313" s="55"/>
      <c r="T313" s="55"/>
      <c r="U313" s="55"/>
      <c r="V313" s="55" t="str">
        <f t="shared" si="112"/>
        <v/>
      </c>
      <c r="W313" s="55" t="str">
        <f t="shared" si="113"/>
        <v/>
      </c>
      <c r="X313" s="55" t="str">
        <f t="shared" si="114"/>
        <v/>
      </c>
      <c r="Y313" s="60" t="str">
        <f t="shared" si="115"/>
        <v/>
      </c>
    </row>
    <row r="314" spans="3:25" hidden="1" x14ac:dyDescent="0.25">
      <c r="C314" s="58"/>
      <c r="D314" s="59" t="str">
        <f t="shared" si="100"/>
        <v/>
      </c>
      <c r="E314" s="55" t="str">
        <f t="shared" si="101"/>
        <v/>
      </c>
      <c r="F314" s="55" t="str">
        <f t="shared" si="102"/>
        <v/>
      </c>
      <c r="G314" s="55" t="str">
        <f t="shared" si="103"/>
        <v/>
      </c>
      <c r="H314" s="55" t="str">
        <f t="shared" si="104"/>
        <v/>
      </c>
      <c r="I314" s="55" t="str">
        <f t="shared" si="105"/>
        <v/>
      </c>
      <c r="J314" s="55" t="str">
        <f t="shared" si="106"/>
        <v/>
      </c>
      <c r="K314" s="60" t="str">
        <f t="shared" si="107"/>
        <v/>
      </c>
      <c r="N314" s="58"/>
      <c r="O314" s="59" t="str">
        <f t="shared" si="108"/>
        <v/>
      </c>
      <c r="P314" s="55" t="str">
        <f t="shared" si="109"/>
        <v/>
      </c>
      <c r="Q314" s="55" t="str">
        <f t="shared" si="110"/>
        <v/>
      </c>
      <c r="R314" s="55" t="str">
        <f t="shared" si="111"/>
        <v/>
      </c>
      <c r="S314" s="55"/>
      <c r="T314" s="55"/>
      <c r="U314" s="55"/>
      <c r="V314" s="55" t="str">
        <f t="shared" si="112"/>
        <v/>
      </c>
      <c r="W314" s="55" t="str">
        <f t="shared" si="113"/>
        <v/>
      </c>
      <c r="X314" s="55" t="str">
        <f t="shared" si="114"/>
        <v/>
      </c>
      <c r="Y314" s="60" t="str">
        <f t="shared" si="115"/>
        <v/>
      </c>
    </row>
    <row r="315" spans="3:25" hidden="1" x14ac:dyDescent="0.25">
      <c r="C315" s="58"/>
      <c r="D315" s="59" t="str">
        <f t="shared" si="100"/>
        <v/>
      </c>
      <c r="E315" s="55" t="str">
        <f t="shared" si="101"/>
        <v/>
      </c>
      <c r="F315" s="55" t="str">
        <f t="shared" si="102"/>
        <v/>
      </c>
      <c r="G315" s="55" t="str">
        <f t="shared" si="103"/>
        <v/>
      </c>
      <c r="H315" s="55" t="str">
        <f t="shared" si="104"/>
        <v/>
      </c>
      <c r="I315" s="55" t="str">
        <f t="shared" si="105"/>
        <v/>
      </c>
      <c r="J315" s="55" t="str">
        <f t="shared" si="106"/>
        <v/>
      </c>
      <c r="K315" s="60" t="str">
        <f t="shared" si="107"/>
        <v/>
      </c>
      <c r="N315" s="58"/>
      <c r="O315" s="59" t="str">
        <f t="shared" si="108"/>
        <v/>
      </c>
      <c r="P315" s="55" t="str">
        <f t="shared" si="109"/>
        <v/>
      </c>
      <c r="Q315" s="55" t="str">
        <f t="shared" si="110"/>
        <v/>
      </c>
      <c r="R315" s="55" t="str">
        <f t="shared" si="111"/>
        <v/>
      </c>
      <c r="S315" s="55"/>
      <c r="T315" s="55"/>
      <c r="U315" s="55"/>
      <c r="V315" s="55" t="str">
        <f t="shared" si="112"/>
        <v/>
      </c>
      <c r="W315" s="55" t="str">
        <f t="shared" si="113"/>
        <v/>
      </c>
      <c r="X315" s="55" t="str">
        <f t="shared" si="114"/>
        <v/>
      </c>
      <c r="Y315" s="60" t="str">
        <f t="shared" si="115"/>
        <v/>
      </c>
    </row>
    <row r="316" spans="3:25" hidden="1" x14ac:dyDescent="0.25">
      <c r="C316" s="58"/>
      <c r="D316" s="59" t="str">
        <f t="shared" si="100"/>
        <v/>
      </c>
      <c r="E316" s="55" t="str">
        <f t="shared" si="101"/>
        <v/>
      </c>
      <c r="F316" s="55" t="str">
        <f t="shared" si="102"/>
        <v/>
      </c>
      <c r="G316" s="55" t="str">
        <f t="shared" si="103"/>
        <v/>
      </c>
      <c r="H316" s="55" t="str">
        <f t="shared" si="104"/>
        <v/>
      </c>
      <c r="I316" s="55" t="str">
        <f t="shared" si="105"/>
        <v/>
      </c>
      <c r="J316" s="55" t="str">
        <f t="shared" si="106"/>
        <v/>
      </c>
      <c r="K316" s="60" t="str">
        <f t="shared" si="107"/>
        <v/>
      </c>
      <c r="N316" s="58"/>
      <c r="O316" s="59" t="str">
        <f t="shared" si="108"/>
        <v/>
      </c>
      <c r="P316" s="55" t="str">
        <f t="shared" si="109"/>
        <v/>
      </c>
      <c r="Q316" s="55" t="str">
        <f t="shared" si="110"/>
        <v/>
      </c>
      <c r="R316" s="55" t="str">
        <f t="shared" si="111"/>
        <v/>
      </c>
      <c r="S316" s="55"/>
      <c r="T316" s="55"/>
      <c r="U316" s="55"/>
      <c r="V316" s="55" t="str">
        <f t="shared" si="112"/>
        <v/>
      </c>
      <c r="W316" s="55" t="str">
        <f t="shared" si="113"/>
        <v/>
      </c>
      <c r="X316" s="55" t="str">
        <f t="shared" si="114"/>
        <v/>
      </c>
      <c r="Y316" s="60" t="str">
        <f t="shared" si="115"/>
        <v/>
      </c>
    </row>
    <row r="317" spans="3:25" hidden="1" x14ac:dyDescent="0.25">
      <c r="C317" s="58"/>
      <c r="D317" s="59" t="str">
        <f t="shared" si="100"/>
        <v/>
      </c>
      <c r="E317" s="55" t="str">
        <f t="shared" si="101"/>
        <v/>
      </c>
      <c r="F317" s="55" t="str">
        <f t="shared" si="102"/>
        <v/>
      </c>
      <c r="G317" s="55" t="str">
        <f t="shared" si="103"/>
        <v/>
      </c>
      <c r="H317" s="55" t="str">
        <f t="shared" si="104"/>
        <v/>
      </c>
      <c r="I317" s="55" t="str">
        <f t="shared" si="105"/>
        <v/>
      </c>
      <c r="J317" s="55" t="str">
        <f t="shared" si="106"/>
        <v/>
      </c>
      <c r="K317" s="60" t="str">
        <f t="shared" si="107"/>
        <v/>
      </c>
      <c r="N317" s="58"/>
      <c r="O317" s="59" t="str">
        <f t="shared" si="108"/>
        <v/>
      </c>
      <c r="P317" s="55" t="str">
        <f t="shared" si="109"/>
        <v/>
      </c>
      <c r="Q317" s="55" t="str">
        <f t="shared" si="110"/>
        <v/>
      </c>
      <c r="R317" s="55" t="str">
        <f t="shared" si="111"/>
        <v/>
      </c>
      <c r="S317" s="55"/>
      <c r="T317" s="55"/>
      <c r="U317" s="55"/>
      <c r="V317" s="55" t="str">
        <f t="shared" si="112"/>
        <v/>
      </c>
      <c r="W317" s="55" t="str">
        <f t="shared" si="113"/>
        <v/>
      </c>
      <c r="X317" s="55" t="str">
        <f t="shared" si="114"/>
        <v/>
      </c>
      <c r="Y317" s="60" t="str">
        <f t="shared" si="115"/>
        <v/>
      </c>
    </row>
    <row r="318" spans="3:25" hidden="1" x14ac:dyDescent="0.25">
      <c r="C318" s="58"/>
      <c r="D318" s="59" t="str">
        <f t="shared" si="100"/>
        <v/>
      </c>
      <c r="E318" s="55" t="str">
        <f t="shared" si="101"/>
        <v/>
      </c>
      <c r="F318" s="55" t="str">
        <f t="shared" si="102"/>
        <v/>
      </c>
      <c r="G318" s="55" t="str">
        <f t="shared" si="103"/>
        <v/>
      </c>
      <c r="H318" s="55" t="str">
        <f t="shared" si="104"/>
        <v/>
      </c>
      <c r="I318" s="55" t="str">
        <f t="shared" si="105"/>
        <v/>
      </c>
      <c r="J318" s="55" t="str">
        <f t="shared" si="106"/>
        <v/>
      </c>
      <c r="K318" s="60" t="str">
        <f t="shared" si="107"/>
        <v/>
      </c>
      <c r="N318" s="58"/>
      <c r="O318" s="59" t="str">
        <f t="shared" si="108"/>
        <v/>
      </c>
      <c r="P318" s="55" t="str">
        <f t="shared" si="109"/>
        <v/>
      </c>
      <c r="Q318" s="55" t="str">
        <f t="shared" si="110"/>
        <v/>
      </c>
      <c r="R318" s="55" t="str">
        <f t="shared" si="111"/>
        <v/>
      </c>
      <c r="S318" s="55"/>
      <c r="T318" s="55"/>
      <c r="U318" s="55"/>
      <c r="V318" s="55" t="str">
        <f t="shared" si="112"/>
        <v/>
      </c>
      <c r="W318" s="55" t="str">
        <f t="shared" si="113"/>
        <v/>
      </c>
      <c r="X318" s="55" t="str">
        <f t="shared" si="114"/>
        <v/>
      </c>
      <c r="Y318" s="60" t="str">
        <f t="shared" si="115"/>
        <v/>
      </c>
    </row>
    <row r="319" spans="3:25" hidden="1" x14ac:dyDescent="0.25">
      <c r="C319" s="58"/>
      <c r="D319" s="59" t="str">
        <f t="shared" si="100"/>
        <v/>
      </c>
      <c r="E319" s="55" t="str">
        <f t="shared" si="101"/>
        <v/>
      </c>
      <c r="F319" s="55" t="str">
        <f t="shared" si="102"/>
        <v/>
      </c>
      <c r="G319" s="55" t="str">
        <f t="shared" si="103"/>
        <v/>
      </c>
      <c r="H319" s="55" t="str">
        <f t="shared" si="104"/>
        <v/>
      </c>
      <c r="I319" s="55" t="str">
        <f t="shared" si="105"/>
        <v/>
      </c>
      <c r="J319" s="55" t="str">
        <f t="shared" si="106"/>
        <v/>
      </c>
      <c r="K319" s="60" t="str">
        <f t="shared" si="107"/>
        <v/>
      </c>
      <c r="N319" s="58"/>
      <c r="O319" s="59" t="str">
        <f t="shared" si="108"/>
        <v/>
      </c>
      <c r="P319" s="55" t="str">
        <f t="shared" si="109"/>
        <v/>
      </c>
      <c r="Q319" s="55" t="str">
        <f t="shared" si="110"/>
        <v/>
      </c>
      <c r="R319" s="55" t="str">
        <f t="shared" si="111"/>
        <v/>
      </c>
      <c r="S319" s="55"/>
      <c r="T319" s="55"/>
      <c r="U319" s="55"/>
      <c r="V319" s="55" t="str">
        <f t="shared" si="112"/>
        <v/>
      </c>
      <c r="W319" s="55" t="str">
        <f t="shared" si="113"/>
        <v/>
      </c>
      <c r="X319" s="55" t="str">
        <f t="shared" si="114"/>
        <v/>
      </c>
      <c r="Y319" s="60" t="str">
        <f t="shared" si="115"/>
        <v/>
      </c>
    </row>
    <row r="320" spans="3:25" hidden="1" x14ac:dyDescent="0.25">
      <c r="C320" s="58"/>
      <c r="D320" s="59" t="str">
        <f t="shared" si="100"/>
        <v/>
      </c>
      <c r="E320" s="55" t="str">
        <f t="shared" si="101"/>
        <v/>
      </c>
      <c r="F320" s="55" t="str">
        <f t="shared" si="102"/>
        <v/>
      </c>
      <c r="G320" s="55" t="str">
        <f t="shared" si="103"/>
        <v/>
      </c>
      <c r="H320" s="55" t="str">
        <f t="shared" si="104"/>
        <v/>
      </c>
      <c r="I320" s="55" t="str">
        <f t="shared" si="105"/>
        <v/>
      </c>
      <c r="J320" s="55" t="str">
        <f t="shared" si="106"/>
        <v/>
      </c>
      <c r="K320" s="60" t="str">
        <f t="shared" si="107"/>
        <v/>
      </c>
      <c r="N320" s="58"/>
      <c r="O320" s="59" t="str">
        <f t="shared" si="108"/>
        <v/>
      </c>
      <c r="P320" s="55" t="str">
        <f t="shared" si="109"/>
        <v/>
      </c>
      <c r="Q320" s="55" t="str">
        <f t="shared" si="110"/>
        <v/>
      </c>
      <c r="R320" s="55" t="str">
        <f t="shared" si="111"/>
        <v/>
      </c>
      <c r="S320" s="55"/>
      <c r="T320" s="55"/>
      <c r="U320" s="55"/>
      <c r="V320" s="55" t="str">
        <f t="shared" si="112"/>
        <v/>
      </c>
      <c r="W320" s="55" t="str">
        <f t="shared" si="113"/>
        <v/>
      </c>
      <c r="X320" s="55" t="str">
        <f t="shared" si="114"/>
        <v/>
      </c>
      <c r="Y320" s="60" t="str">
        <f t="shared" si="115"/>
        <v/>
      </c>
    </row>
    <row r="321" spans="3:25" hidden="1" x14ac:dyDescent="0.25">
      <c r="C321" s="58"/>
      <c r="D321" s="59" t="str">
        <f t="shared" si="100"/>
        <v/>
      </c>
      <c r="E321" s="55" t="str">
        <f t="shared" si="101"/>
        <v/>
      </c>
      <c r="F321" s="55" t="str">
        <f t="shared" si="102"/>
        <v/>
      </c>
      <c r="G321" s="55" t="str">
        <f t="shared" si="103"/>
        <v/>
      </c>
      <c r="H321" s="55" t="str">
        <f t="shared" si="104"/>
        <v/>
      </c>
      <c r="I321" s="55" t="str">
        <f t="shared" si="105"/>
        <v/>
      </c>
      <c r="J321" s="55" t="str">
        <f t="shared" si="106"/>
        <v/>
      </c>
      <c r="K321" s="60" t="str">
        <f t="shared" si="107"/>
        <v/>
      </c>
      <c r="N321" s="58"/>
      <c r="O321" s="59" t="str">
        <f t="shared" si="108"/>
        <v/>
      </c>
      <c r="P321" s="55" t="str">
        <f t="shared" si="109"/>
        <v/>
      </c>
      <c r="Q321" s="55" t="str">
        <f t="shared" si="110"/>
        <v/>
      </c>
      <c r="R321" s="55" t="str">
        <f t="shared" si="111"/>
        <v/>
      </c>
      <c r="S321" s="55"/>
      <c r="T321" s="55"/>
      <c r="U321" s="55"/>
      <c r="V321" s="55" t="str">
        <f t="shared" si="112"/>
        <v/>
      </c>
      <c r="W321" s="55" t="str">
        <f t="shared" si="113"/>
        <v/>
      </c>
      <c r="X321" s="55" t="str">
        <f t="shared" si="114"/>
        <v/>
      </c>
      <c r="Y321" s="60" t="str">
        <f t="shared" si="115"/>
        <v/>
      </c>
    </row>
    <row r="322" spans="3:25" hidden="1" x14ac:dyDescent="0.25">
      <c r="C322" s="58"/>
      <c r="D322" s="59" t="str">
        <f t="shared" si="100"/>
        <v/>
      </c>
      <c r="E322" s="55" t="str">
        <f t="shared" si="101"/>
        <v/>
      </c>
      <c r="F322" s="55" t="str">
        <f t="shared" si="102"/>
        <v/>
      </c>
      <c r="G322" s="55" t="str">
        <f t="shared" si="103"/>
        <v/>
      </c>
      <c r="H322" s="55" t="str">
        <f t="shared" si="104"/>
        <v/>
      </c>
      <c r="I322" s="55" t="str">
        <f t="shared" si="105"/>
        <v/>
      </c>
      <c r="J322" s="55" t="str">
        <f t="shared" si="106"/>
        <v/>
      </c>
      <c r="K322" s="60" t="str">
        <f t="shared" si="107"/>
        <v/>
      </c>
      <c r="N322" s="58"/>
      <c r="O322" s="59" t="str">
        <f t="shared" si="108"/>
        <v/>
      </c>
      <c r="P322" s="55" t="str">
        <f t="shared" si="109"/>
        <v/>
      </c>
      <c r="Q322" s="55" t="str">
        <f t="shared" si="110"/>
        <v/>
      </c>
      <c r="R322" s="55" t="str">
        <f t="shared" si="111"/>
        <v/>
      </c>
      <c r="S322" s="55"/>
      <c r="T322" s="55"/>
      <c r="U322" s="55"/>
      <c r="V322" s="55" t="str">
        <f t="shared" si="112"/>
        <v/>
      </c>
      <c r="W322" s="55" t="str">
        <f t="shared" si="113"/>
        <v/>
      </c>
      <c r="X322" s="55" t="str">
        <f t="shared" si="114"/>
        <v/>
      </c>
      <c r="Y322" s="60" t="str">
        <f t="shared" si="115"/>
        <v/>
      </c>
    </row>
    <row r="323" spans="3:25" hidden="1" x14ac:dyDescent="0.25">
      <c r="C323" s="58"/>
      <c r="D323" s="59" t="str">
        <f t="shared" si="100"/>
        <v/>
      </c>
      <c r="E323" s="55" t="str">
        <f t="shared" si="101"/>
        <v/>
      </c>
      <c r="F323" s="55" t="str">
        <f t="shared" si="102"/>
        <v/>
      </c>
      <c r="G323" s="55" t="str">
        <f t="shared" si="103"/>
        <v/>
      </c>
      <c r="H323" s="55" t="str">
        <f t="shared" si="104"/>
        <v/>
      </c>
      <c r="I323" s="55" t="str">
        <f t="shared" si="105"/>
        <v/>
      </c>
      <c r="J323" s="55" t="str">
        <f t="shared" si="106"/>
        <v/>
      </c>
      <c r="K323" s="60" t="str">
        <f t="shared" si="107"/>
        <v/>
      </c>
      <c r="N323" s="58"/>
      <c r="O323" s="59" t="str">
        <f t="shared" si="108"/>
        <v/>
      </c>
      <c r="P323" s="55" t="str">
        <f t="shared" si="109"/>
        <v/>
      </c>
      <c r="Q323" s="55" t="str">
        <f t="shared" si="110"/>
        <v/>
      </c>
      <c r="R323" s="55" t="str">
        <f t="shared" si="111"/>
        <v/>
      </c>
      <c r="S323" s="55"/>
      <c r="T323" s="55"/>
      <c r="U323" s="55"/>
      <c r="V323" s="55" t="str">
        <f t="shared" si="112"/>
        <v/>
      </c>
      <c r="W323" s="55" t="str">
        <f t="shared" si="113"/>
        <v/>
      </c>
      <c r="X323" s="55" t="str">
        <f t="shared" si="114"/>
        <v/>
      </c>
      <c r="Y323" s="60" t="str">
        <f t="shared" si="115"/>
        <v/>
      </c>
    </row>
    <row r="324" spans="3:25" hidden="1" x14ac:dyDescent="0.25">
      <c r="C324" s="58"/>
      <c r="D324" s="59" t="str">
        <f t="shared" si="100"/>
        <v/>
      </c>
      <c r="E324" s="55" t="str">
        <f t="shared" si="101"/>
        <v/>
      </c>
      <c r="F324" s="55" t="str">
        <f t="shared" si="102"/>
        <v/>
      </c>
      <c r="G324" s="55" t="str">
        <f t="shared" si="103"/>
        <v/>
      </c>
      <c r="H324" s="55" t="str">
        <f t="shared" si="104"/>
        <v/>
      </c>
      <c r="I324" s="55" t="str">
        <f t="shared" si="105"/>
        <v/>
      </c>
      <c r="J324" s="55" t="str">
        <f t="shared" si="106"/>
        <v/>
      </c>
      <c r="K324" s="60" t="str">
        <f t="shared" si="107"/>
        <v/>
      </c>
      <c r="N324" s="58"/>
      <c r="O324" s="59" t="str">
        <f t="shared" si="108"/>
        <v/>
      </c>
      <c r="P324" s="55" t="str">
        <f t="shared" si="109"/>
        <v/>
      </c>
      <c r="Q324" s="55" t="str">
        <f t="shared" si="110"/>
        <v/>
      </c>
      <c r="R324" s="55" t="str">
        <f t="shared" si="111"/>
        <v/>
      </c>
      <c r="S324" s="55"/>
      <c r="T324" s="55"/>
      <c r="U324" s="55"/>
      <c r="V324" s="55" t="str">
        <f t="shared" si="112"/>
        <v/>
      </c>
      <c r="W324" s="55" t="str">
        <f t="shared" si="113"/>
        <v/>
      </c>
      <c r="X324" s="55" t="str">
        <f t="shared" si="114"/>
        <v/>
      </c>
      <c r="Y324" s="60" t="str">
        <f t="shared" si="115"/>
        <v/>
      </c>
    </row>
    <row r="325" spans="3:25" hidden="1" x14ac:dyDescent="0.25">
      <c r="C325" s="58"/>
      <c r="D325" s="59" t="str">
        <f t="shared" si="100"/>
        <v/>
      </c>
      <c r="E325" s="55" t="str">
        <f t="shared" si="101"/>
        <v/>
      </c>
      <c r="F325" s="55" t="str">
        <f t="shared" si="102"/>
        <v/>
      </c>
      <c r="G325" s="55" t="str">
        <f t="shared" si="103"/>
        <v/>
      </c>
      <c r="H325" s="55" t="str">
        <f t="shared" si="104"/>
        <v/>
      </c>
      <c r="I325" s="55" t="str">
        <f t="shared" si="105"/>
        <v/>
      </c>
      <c r="J325" s="55" t="str">
        <f t="shared" si="106"/>
        <v/>
      </c>
      <c r="K325" s="60" t="str">
        <f t="shared" si="107"/>
        <v/>
      </c>
      <c r="N325" s="58"/>
      <c r="O325" s="59" t="str">
        <f t="shared" si="108"/>
        <v/>
      </c>
      <c r="P325" s="55" t="str">
        <f t="shared" si="109"/>
        <v/>
      </c>
      <c r="Q325" s="55" t="str">
        <f t="shared" si="110"/>
        <v/>
      </c>
      <c r="R325" s="55" t="str">
        <f t="shared" si="111"/>
        <v/>
      </c>
      <c r="S325" s="55"/>
      <c r="T325" s="55"/>
      <c r="U325" s="55"/>
      <c r="V325" s="55" t="str">
        <f t="shared" si="112"/>
        <v/>
      </c>
      <c r="W325" s="55" t="str">
        <f t="shared" si="113"/>
        <v/>
      </c>
      <c r="X325" s="55" t="str">
        <f t="shared" si="114"/>
        <v/>
      </c>
      <c r="Y325" s="60" t="str">
        <f t="shared" si="115"/>
        <v/>
      </c>
    </row>
    <row r="326" spans="3:25" hidden="1" x14ac:dyDescent="0.25">
      <c r="C326" s="58"/>
      <c r="D326" s="59" t="str">
        <f t="shared" ref="D326:D357" si="116">IFERROR(VLOOKUP(SMALL($C$98:$C$225,C326),$C$98:$K$225,2,FALSE),"")</f>
        <v/>
      </c>
      <c r="E326" s="55" t="str">
        <f t="shared" ref="E326:E358" si="117">IFERROR(VLOOKUP(SMALL($C$98:$C$225,C326),$C$98:$K$225,3,FALSE),"")</f>
        <v/>
      </c>
      <c r="F326" s="55" t="str">
        <f t="shared" ref="F326:F358" si="118">IFERROR(VLOOKUP(SMALL($C$98:$C$225,C326),$C$98:$K$225,4,FALSE),"")</f>
        <v/>
      </c>
      <c r="G326" s="55" t="str">
        <f t="shared" ref="G326:G358" si="119">IFERROR(VLOOKUP(SMALL($C$98:$C$225,C326),$C$98:$K$225,5,FALSE),"")</f>
        <v/>
      </c>
      <c r="H326" s="55" t="str">
        <f t="shared" ref="H326:H358" si="120">IFERROR(VLOOKUP(SMALL($C$98:$C$225,C326),$C$98:$K$225,6,FALSE),"")</f>
        <v/>
      </c>
      <c r="I326" s="55" t="str">
        <f t="shared" ref="I326:I358" si="121">IFERROR(VLOOKUP(SMALL($C$98:$C$225,C326),$C$98:$K$225,7,FALSE),"")</f>
        <v/>
      </c>
      <c r="J326" s="55" t="str">
        <f t="shared" ref="J326:J358" si="122">IFERROR(VLOOKUP(SMALL($C$98:$C$225,C326),$C$98:$K$225,8,FALSE),"")</f>
        <v/>
      </c>
      <c r="K326" s="60" t="str">
        <f t="shared" ref="K326:K358" si="123">IFERROR(VLOOKUP(SMALL($C$98:$C$225,C326),$C$98:$K$225,9,FALSE),"")</f>
        <v/>
      </c>
      <c r="N326" s="58"/>
      <c r="O326" s="59" t="str">
        <f t="shared" ref="O326:O357" si="124">IFERROR(VLOOKUP(SMALL($N$98:$N$225,N326),$N$98:$Y$225,2,FALSE),"")</f>
        <v/>
      </c>
      <c r="P326" s="55" t="str">
        <f t="shared" ref="P326:P358" si="125">IFERROR(VLOOKUP(SMALL($N$98:$N$225,N326),$N$98:$Y$225,3,FALSE),"")</f>
        <v/>
      </c>
      <c r="Q326" s="55" t="str">
        <f t="shared" ref="Q326:Q358" si="126">IFERROR(VLOOKUP(SMALL($N$98:$N$225,N326),$N$98:$Y$225,4,FALSE),"")</f>
        <v/>
      </c>
      <c r="R326" s="55" t="str">
        <f t="shared" ref="R326:R358" si="127">IFERROR(VLOOKUP(SMALL($N$98:$N$225,N326),$N$98:$Y$225,5,FALSE),"")</f>
        <v/>
      </c>
      <c r="S326" s="55"/>
      <c r="T326" s="55"/>
      <c r="U326" s="55"/>
      <c r="V326" s="55" t="str">
        <f t="shared" ref="V326:V358" si="128">IFERROR(VLOOKUP(SMALL($N$98:$N$225,N326),$N$98:$Y$225,6,FALSE),"")</f>
        <v/>
      </c>
      <c r="W326" s="55" t="str">
        <f t="shared" ref="W326:W358" si="129">IFERROR(VLOOKUP(SMALL($N$98:$N$225,N326),$N$98:$Y$225,7,FALSE),"")</f>
        <v/>
      </c>
      <c r="X326" s="55" t="str">
        <f t="shared" ref="X326:X358" si="130">IFERROR(VLOOKUP(SMALL($N$98:$N$225,N326),$N$98:$Y$225,8,FALSE),"")</f>
        <v/>
      </c>
      <c r="Y326" s="60" t="str">
        <f t="shared" ref="Y326:Y358" si="131">IFERROR(VLOOKUP(SMALL($N$98:$N$225,N326),$N$98:$Y$225,9,FALSE),"")</f>
        <v/>
      </c>
    </row>
    <row r="327" spans="3:25" hidden="1" x14ac:dyDescent="0.25">
      <c r="C327" s="58"/>
      <c r="D327" s="59" t="str">
        <f t="shared" si="116"/>
        <v/>
      </c>
      <c r="E327" s="55" t="str">
        <f t="shared" si="117"/>
        <v/>
      </c>
      <c r="F327" s="55" t="str">
        <f t="shared" si="118"/>
        <v/>
      </c>
      <c r="G327" s="55" t="str">
        <f t="shared" si="119"/>
        <v/>
      </c>
      <c r="H327" s="55" t="str">
        <f t="shared" si="120"/>
        <v/>
      </c>
      <c r="I327" s="55" t="str">
        <f t="shared" si="121"/>
        <v/>
      </c>
      <c r="J327" s="55" t="str">
        <f t="shared" si="122"/>
        <v/>
      </c>
      <c r="K327" s="60" t="str">
        <f t="shared" si="123"/>
        <v/>
      </c>
      <c r="N327" s="58"/>
      <c r="O327" s="59" t="str">
        <f t="shared" si="124"/>
        <v/>
      </c>
      <c r="P327" s="55" t="str">
        <f t="shared" si="125"/>
        <v/>
      </c>
      <c r="Q327" s="55" t="str">
        <f t="shared" si="126"/>
        <v/>
      </c>
      <c r="R327" s="55" t="str">
        <f t="shared" si="127"/>
        <v/>
      </c>
      <c r="S327" s="55"/>
      <c r="T327" s="55"/>
      <c r="U327" s="55"/>
      <c r="V327" s="55" t="str">
        <f t="shared" si="128"/>
        <v/>
      </c>
      <c r="W327" s="55" t="str">
        <f t="shared" si="129"/>
        <v/>
      </c>
      <c r="X327" s="55" t="str">
        <f t="shared" si="130"/>
        <v/>
      </c>
      <c r="Y327" s="60" t="str">
        <f t="shared" si="131"/>
        <v/>
      </c>
    </row>
    <row r="328" spans="3:25" hidden="1" x14ac:dyDescent="0.25">
      <c r="C328" s="58"/>
      <c r="D328" s="59" t="str">
        <f t="shared" si="116"/>
        <v/>
      </c>
      <c r="E328" s="55" t="str">
        <f t="shared" si="117"/>
        <v/>
      </c>
      <c r="F328" s="55" t="str">
        <f t="shared" si="118"/>
        <v/>
      </c>
      <c r="G328" s="55" t="str">
        <f t="shared" si="119"/>
        <v/>
      </c>
      <c r="H328" s="55" t="str">
        <f t="shared" si="120"/>
        <v/>
      </c>
      <c r="I328" s="55" t="str">
        <f t="shared" si="121"/>
        <v/>
      </c>
      <c r="J328" s="55" t="str">
        <f t="shared" si="122"/>
        <v/>
      </c>
      <c r="K328" s="60" t="str">
        <f t="shared" si="123"/>
        <v/>
      </c>
      <c r="N328" s="58"/>
      <c r="O328" s="59" t="str">
        <f t="shared" si="124"/>
        <v/>
      </c>
      <c r="P328" s="55" t="str">
        <f t="shared" si="125"/>
        <v/>
      </c>
      <c r="Q328" s="55" t="str">
        <f t="shared" si="126"/>
        <v/>
      </c>
      <c r="R328" s="55" t="str">
        <f t="shared" si="127"/>
        <v/>
      </c>
      <c r="S328" s="55"/>
      <c r="T328" s="55"/>
      <c r="U328" s="55"/>
      <c r="V328" s="55" t="str">
        <f t="shared" si="128"/>
        <v/>
      </c>
      <c r="W328" s="55" t="str">
        <f t="shared" si="129"/>
        <v/>
      </c>
      <c r="X328" s="55" t="str">
        <f t="shared" si="130"/>
        <v/>
      </c>
      <c r="Y328" s="60" t="str">
        <f t="shared" si="131"/>
        <v/>
      </c>
    </row>
    <row r="329" spans="3:25" hidden="1" x14ac:dyDescent="0.25">
      <c r="C329" s="58"/>
      <c r="D329" s="59" t="str">
        <f t="shared" si="116"/>
        <v/>
      </c>
      <c r="E329" s="55" t="str">
        <f t="shared" si="117"/>
        <v/>
      </c>
      <c r="F329" s="55" t="str">
        <f t="shared" si="118"/>
        <v/>
      </c>
      <c r="G329" s="55" t="str">
        <f t="shared" si="119"/>
        <v/>
      </c>
      <c r="H329" s="55" t="str">
        <f t="shared" si="120"/>
        <v/>
      </c>
      <c r="I329" s="55" t="str">
        <f t="shared" si="121"/>
        <v/>
      </c>
      <c r="J329" s="55" t="str">
        <f t="shared" si="122"/>
        <v/>
      </c>
      <c r="K329" s="60" t="str">
        <f t="shared" si="123"/>
        <v/>
      </c>
      <c r="N329" s="58"/>
      <c r="O329" s="59" t="str">
        <f t="shared" si="124"/>
        <v/>
      </c>
      <c r="P329" s="55" t="str">
        <f t="shared" si="125"/>
        <v/>
      </c>
      <c r="Q329" s="55" t="str">
        <f t="shared" si="126"/>
        <v/>
      </c>
      <c r="R329" s="55" t="str">
        <f t="shared" si="127"/>
        <v/>
      </c>
      <c r="S329" s="55"/>
      <c r="T329" s="55"/>
      <c r="U329" s="55"/>
      <c r="V329" s="55" t="str">
        <f t="shared" si="128"/>
        <v/>
      </c>
      <c r="W329" s="55" t="str">
        <f t="shared" si="129"/>
        <v/>
      </c>
      <c r="X329" s="55" t="str">
        <f t="shared" si="130"/>
        <v/>
      </c>
      <c r="Y329" s="60" t="str">
        <f t="shared" si="131"/>
        <v/>
      </c>
    </row>
    <row r="330" spans="3:25" hidden="1" x14ac:dyDescent="0.25">
      <c r="C330" s="58"/>
      <c r="D330" s="59" t="str">
        <f t="shared" si="116"/>
        <v/>
      </c>
      <c r="E330" s="55" t="str">
        <f t="shared" si="117"/>
        <v/>
      </c>
      <c r="F330" s="55" t="str">
        <f t="shared" si="118"/>
        <v/>
      </c>
      <c r="G330" s="55" t="str">
        <f t="shared" si="119"/>
        <v/>
      </c>
      <c r="H330" s="55" t="str">
        <f t="shared" si="120"/>
        <v/>
      </c>
      <c r="I330" s="55" t="str">
        <f t="shared" si="121"/>
        <v/>
      </c>
      <c r="J330" s="55" t="str">
        <f t="shared" si="122"/>
        <v/>
      </c>
      <c r="K330" s="60" t="str">
        <f t="shared" si="123"/>
        <v/>
      </c>
      <c r="N330" s="58"/>
      <c r="O330" s="59" t="str">
        <f t="shared" si="124"/>
        <v/>
      </c>
      <c r="P330" s="55" t="str">
        <f t="shared" si="125"/>
        <v/>
      </c>
      <c r="Q330" s="55" t="str">
        <f t="shared" si="126"/>
        <v/>
      </c>
      <c r="R330" s="55" t="str">
        <f t="shared" si="127"/>
        <v/>
      </c>
      <c r="S330" s="55"/>
      <c r="T330" s="55"/>
      <c r="U330" s="55"/>
      <c r="V330" s="55" t="str">
        <f t="shared" si="128"/>
        <v/>
      </c>
      <c r="W330" s="55" t="str">
        <f t="shared" si="129"/>
        <v/>
      </c>
      <c r="X330" s="55" t="str">
        <f t="shared" si="130"/>
        <v/>
      </c>
      <c r="Y330" s="60" t="str">
        <f t="shared" si="131"/>
        <v/>
      </c>
    </row>
    <row r="331" spans="3:25" hidden="1" x14ac:dyDescent="0.25">
      <c r="C331" s="58"/>
      <c r="D331" s="59" t="str">
        <f t="shared" si="116"/>
        <v/>
      </c>
      <c r="E331" s="55" t="str">
        <f t="shared" si="117"/>
        <v/>
      </c>
      <c r="F331" s="55" t="str">
        <f t="shared" si="118"/>
        <v/>
      </c>
      <c r="G331" s="55" t="str">
        <f t="shared" si="119"/>
        <v/>
      </c>
      <c r="H331" s="55" t="str">
        <f t="shared" si="120"/>
        <v/>
      </c>
      <c r="I331" s="55" t="str">
        <f t="shared" si="121"/>
        <v/>
      </c>
      <c r="J331" s="55" t="str">
        <f t="shared" si="122"/>
        <v/>
      </c>
      <c r="K331" s="60" t="str">
        <f t="shared" si="123"/>
        <v/>
      </c>
      <c r="N331" s="58"/>
      <c r="O331" s="59" t="str">
        <f t="shared" si="124"/>
        <v/>
      </c>
      <c r="P331" s="55" t="str">
        <f t="shared" si="125"/>
        <v/>
      </c>
      <c r="Q331" s="55" t="str">
        <f t="shared" si="126"/>
        <v/>
      </c>
      <c r="R331" s="55" t="str">
        <f t="shared" si="127"/>
        <v/>
      </c>
      <c r="S331" s="55"/>
      <c r="T331" s="55"/>
      <c r="U331" s="55"/>
      <c r="V331" s="55" t="str">
        <f t="shared" si="128"/>
        <v/>
      </c>
      <c r="W331" s="55" t="str">
        <f t="shared" si="129"/>
        <v/>
      </c>
      <c r="X331" s="55" t="str">
        <f t="shared" si="130"/>
        <v/>
      </c>
      <c r="Y331" s="60" t="str">
        <f t="shared" si="131"/>
        <v/>
      </c>
    </row>
    <row r="332" spans="3:25" hidden="1" x14ac:dyDescent="0.25">
      <c r="C332" s="58"/>
      <c r="D332" s="59" t="str">
        <f t="shared" si="116"/>
        <v/>
      </c>
      <c r="E332" s="55" t="str">
        <f t="shared" si="117"/>
        <v/>
      </c>
      <c r="F332" s="55" t="str">
        <f t="shared" si="118"/>
        <v/>
      </c>
      <c r="G332" s="55" t="str">
        <f t="shared" si="119"/>
        <v/>
      </c>
      <c r="H332" s="55" t="str">
        <f t="shared" si="120"/>
        <v/>
      </c>
      <c r="I332" s="55" t="str">
        <f t="shared" si="121"/>
        <v/>
      </c>
      <c r="J332" s="55" t="str">
        <f t="shared" si="122"/>
        <v/>
      </c>
      <c r="K332" s="60" t="str">
        <f t="shared" si="123"/>
        <v/>
      </c>
      <c r="N332" s="58"/>
      <c r="O332" s="59" t="str">
        <f t="shared" si="124"/>
        <v/>
      </c>
      <c r="P332" s="55" t="str">
        <f t="shared" si="125"/>
        <v/>
      </c>
      <c r="Q332" s="55" t="str">
        <f t="shared" si="126"/>
        <v/>
      </c>
      <c r="R332" s="55" t="str">
        <f t="shared" si="127"/>
        <v/>
      </c>
      <c r="S332" s="55"/>
      <c r="T332" s="55"/>
      <c r="U332" s="55"/>
      <c r="V332" s="55" t="str">
        <f t="shared" si="128"/>
        <v/>
      </c>
      <c r="W332" s="55" t="str">
        <f t="shared" si="129"/>
        <v/>
      </c>
      <c r="X332" s="55" t="str">
        <f t="shared" si="130"/>
        <v/>
      </c>
      <c r="Y332" s="60" t="str">
        <f t="shared" si="131"/>
        <v/>
      </c>
    </row>
    <row r="333" spans="3:25" hidden="1" x14ac:dyDescent="0.25">
      <c r="C333" s="58"/>
      <c r="D333" s="59" t="str">
        <f t="shared" si="116"/>
        <v/>
      </c>
      <c r="E333" s="55" t="str">
        <f t="shared" si="117"/>
        <v/>
      </c>
      <c r="F333" s="55" t="str">
        <f t="shared" si="118"/>
        <v/>
      </c>
      <c r="G333" s="55" t="str">
        <f t="shared" si="119"/>
        <v/>
      </c>
      <c r="H333" s="55" t="str">
        <f t="shared" si="120"/>
        <v/>
      </c>
      <c r="I333" s="55" t="str">
        <f t="shared" si="121"/>
        <v/>
      </c>
      <c r="J333" s="55" t="str">
        <f t="shared" si="122"/>
        <v/>
      </c>
      <c r="K333" s="60" t="str">
        <f t="shared" si="123"/>
        <v/>
      </c>
      <c r="N333" s="58"/>
      <c r="O333" s="59" t="str">
        <f t="shared" si="124"/>
        <v/>
      </c>
      <c r="P333" s="55" t="str">
        <f t="shared" si="125"/>
        <v/>
      </c>
      <c r="Q333" s="55" t="str">
        <f t="shared" si="126"/>
        <v/>
      </c>
      <c r="R333" s="55" t="str">
        <f t="shared" si="127"/>
        <v/>
      </c>
      <c r="S333" s="55"/>
      <c r="T333" s="55"/>
      <c r="U333" s="55"/>
      <c r="V333" s="55" t="str">
        <f t="shared" si="128"/>
        <v/>
      </c>
      <c r="W333" s="55" t="str">
        <f t="shared" si="129"/>
        <v/>
      </c>
      <c r="X333" s="55" t="str">
        <f t="shared" si="130"/>
        <v/>
      </c>
      <c r="Y333" s="60" t="str">
        <f t="shared" si="131"/>
        <v/>
      </c>
    </row>
    <row r="334" spans="3:25" hidden="1" x14ac:dyDescent="0.25">
      <c r="C334" s="58">
        <v>80</v>
      </c>
      <c r="D334" s="59" t="str">
        <f t="shared" si="116"/>
        <v/>
      </c>
      <c r="E334" s="55" t="str">
        <f t="shared" si="117"/>
        <v/>
      </c>
      <c r="F334" s="55" t="str">
        <f t="shared" si="118"/>
        <v/>
      </c>
      <c r="G334" s="55" t="str">
        <f t="shared" si="119"/>
        <v/>
      </c>
      <c r="H334" s="55" t="str">
        <f t="shared" si="120"/>
        <v/>
      </c>
      <c r="I334" s="55" t="str">
        <f t="shared" si="121"/>
        <v/>
      </c>
      <c r="J334" s="55" t="str">
        <f t="shared" si="122"/>
        <v/>
      </c>
      <c r="K334" s="60" t="str">
        <f t="shared" si="123"/>
        <v/>
      </c>
      <c r="N334" s="58">
        <v>80</v>
      </c>
      <c r="O334" s="59" t="str">
        <f t="shared" si="124"/>
        <v/>
      </c>
      <c r="P334" s="55" t="str">
        <f t="shared" si="125"/>
        <v/>
      </c>
      <c r="Q334" s="55" t="str">
        <f t="shared" si="126"/>
        <v/>
      </c>
      <c r="R334" s="55" t="str">
        <f t="shared" si="127"/>
        <v/>
      </c>
      <c r="S334" s="55"/>
      <c r="T334" s="55"/>
      <c r="U334" s="55"/>
      <c r="V334" s="55" t="str">
        <f t="shared" si="128"/>
        <v/>
      </c>
      <c r="W334" s="55" t="str">
        <f t="shared" si="129"/>
        <v/>
      </c>
      <c r="X334" s="55" t="str">
        <f t="shared" si="130"/>
        <v/>
      </c>
      <c r="Y334" s="60" t="str">
        <f t="shared" si="131"/>
        <v/>
      </c>
    </row>
    <row r="335" spans="3:25" hidden="1" x14ac:dyDescent="0.25">
      <c r="C335" s="58">
        <v>81</v>
      </c>
      <c r="D335" s="59" t="str">
        <f t="shared" si="116"/>
        <v/>
      </c>
      <c r="E335" s="55" t="str">
        <f t="shared" si="117"/>
        <v/>
      </c>
      <c r="F335" s="55" t="str">
        <f t="shared" si="118"/>
        <v/>
      </c>
      <c r="G335" s="55" t="str">
        <f t="shared" si="119"/>
        <v/>
      </c>
      <c r="H335" s="55" t="str">
        <f t="shared" si="120"/>
        <v/>
      </c>
      <c r="I335" s="55" t="str">
        <f t="shared" si="121"/>
        <v/>
      </c>
      <c r="J335" s="55" t="str">
        <f t="shared" si="122"/>
        <v/>
      </c>
      <c r="K335" s="60" t="str">
        <f t="shared" si="123"/>
        <v/>
      </c>
      <c r="N335" s="58">
        <v>81</v>
      </c>
      <c r="O335" s="59" t="str">
        <f t="shared" si="124"/>
        <v/>
      </c>
      <c r="P335" s="55" t="str">
        <f t="shared" si="125"/>
        <v/>
      </c>
      <c r="Q335" s="55" t="str">
        <f t="shared" si="126"/>
        <v/>
      </c>
      <c r="R335" s="55" t="str">
        <f t="shared" si="127"/>
        <v/>
      </c>
      <c r="S335" s="55"/>
      <c r="T335" s="55"/>
      <c r="U335" s="55"/>
      <c r="V335" s="55" t="str">
        <f t="shared" si="128"/>
        <v/>
      </c>
      <c r="W335" s="55" t="str">
        <f t="shared" si="129"/>
        <v/>
      </c>
      <c r="X335" s="55" t="str">
        <f t="shared" si="130"/>
        <v/>
      </c>
      <c r="Y335" s="60" t="str">
        <f t="shared" si="131"/>
        <v/>
      </c>
    </row>
    <row r="336" spans="3:25" hidden="1" x14ac:dyDescent="0.25">
      <c r="C336" s="58">
        <v>82</v>
      </c>
      <c r="D336" s="59" t="str">
        <f t="shared" si="116"/>
        <v/>
      </c>
      <c r="E336" s="55" t="str">
        <f t="shared" si="117"/>
        <v/>
      </c>
      <c r="F336" s="55" t="str">
        <f t="shared" si="118"/>
        <v/>
      </c>
      <c r="G336" s="55" t="str">
        <f t="shared" si="119"/>
        <v/>
      </c>
      <c r="H336" s="55" t="str">
        <f t="shared" si="120"/>
        <v/>
      </c>
      <c r="I336" s="55" t="str">
        <f t="shared" si="121"/>
        <v/>
      </c>
      <c r="J336" s="55" t="str">
        <f t="shared" si="122"/>
        <v/>
      </c>
      <c r="K336" s="60" t="str">
        <f t="shared" si="123"/>
        <v/>
      </c>
      <c r="N336" s="58">
        <v>82</v>
      </c>
      <c r="O336" s="59" t="str">
        <f t="shared" si="124"/>
        <v/>
      </c>
      <c r="P336" s="55" t="str">
        <f t="shared" si="125"/>
        <v/>
      </c>
      <c r="Q336" s="55" t="str">
        <f t="shared" si="126"/>
        <v/>
      </c>
      <c r="R336" s="55" t="str">
        <f t="shared" si="127"/>
        <v/>
      </c>
      <c r="S336" s="55"/>
      <c r="T336" s="55"/>
      <c r="U336" s="55"/>
      <c r="V336" s="55" t="str">
        <f t="shared" si="128"/>
        <v/>
      </c>
      <c r="W336" s="55" t="str">
        <f t="shared" si="129"/>
        <v/>
      </c>
      <c r="X336" s="55" t="str">
        <f t="shared" si="130"/>
        <v/>
      </c>
      <c r="Y336" s="60" t="str">
        <f t="shared" si="131"/>
        <v/>
      </c>
    </row>
    <row r="337" spans="3:25" hidden="1" x14ac:dyDescent="0.25">
      <c r="C337" s="58">
        <v>83</v>
      </c>
      <c r="D337" s="59" t="str">
        <f t="shared" si="116"/>
        <v/>
      </c>
      <c r="E337" s="55" t="str">
        <f t="shared" si="117"/>
        <v/>
      </c>
      <c r="F337" s="55" t="str">
        <f t="shared" si="118"/>
        <v/>
      </c>
      <c r="G337" s="55" t="str">
        <f t="shared" si="119"/>
        <v/>
      </c>
      <c r="H337" s="55" t="str">
        <f t="shared" si="120"/>
        <v/>
      </c>
      <c r="I337" s="55" t="str">
        <f t="shared" si="121"/>
        <v/>
      </c>
      <c r="J337" s="55" t="str">
        <f t="shared" si="122"/>
        <v/>
      </c>
      <c r="K337" s="60" t="str">
        <f t="shared" si="123"/>
        <v/>
      </c>
      <c r="N337" s="58">
        <v>83</v>
      </c>
      <c r="O337" s="59" t="str">
        <f t="shared" si="124"/>
        <v/>
      </c>
      <c r="P337" s="55" t="str">
        <f t="shared" si="125"/>
        <v/>
      </c>
      <c r="Q337" s="55" t="str">
        <f t="shared" si="126"/>
        <v/>
      </c>
      <c r="R337" s="55" t="str">
        <f t="shared" si="127"/>
        <v/>
      </c>
      <c r="S337" s="55"/>
      <c r="T337" s="55"/>
      <c r="U337" s="55"/>
      <c r="V337" s="55" t="str">
        <f t="shared" si="128"/>
        <v/>
      </c>
      <c r="W337" s="55" t="str">
        <f t="shared" si="129"/>
        <v/>
      </c>
      <c r="X337" s="55" t="str">
        <f t="shared" si="130"/>
        <v/>
      </c>
      <c r="Y337" s="60" t="str">
        <f t="shared" si="131"/>
        <v/>
      </c>
    </row>
    <row r="338" spans="3:25" hidden="1" x14ac:dyDescent="0.25">
      <c r="C338" s="58">
        <v>84</v>
      </c>
      <c r="D338" s="59" t="str">
        <f t="shared" si="116"/>
        <v/>
      </c>
      <c r="E338" s="55" t="str">
        <f t="shared" si="117"/>
        <v/>
      </c>
      <c r="F338" s="55" t="str">
        <f t="shared" si="118"/>
        <v/>
      </c>
      <c r="G338" s="55" t="str">
        <f t="shared" si="119"/>
        <v/>
      </c>
      <c r="H338" s="55" t="str">
        <f t="shared" si="120"/>
        <v/>
      </c>
      <c r="I338" s="55" t="str">
        <f t="shared" si="121"/>
        <v/>
      </c>
      <c r="J338" s="55" t="str">
        <f t="shared" si="122"/>
        <v/>
      </c>
      <c r="K338" s="60" t="str">
        <f t="shared" si="123"/>
        <v/>
      </c>
      <c r="N338" s="58">
        <v>84</v>
      </c>
      <c r="O338" s="59" t="str">
        <f t="shared" si="124"/>
        <v/>
      </c>
      <c r="P338" s="55" t="str">
        <f t="shared" si="125"/>
        <v/>
      </c>
      <c r="Q338" s="55" t="str">
        <f t="shared" si="126"/>
        <v/>
      </c>
      <c r="R338" s="55" t="str">
        <f t="shared" si="127"/>
        <v/>
      </c>
      <c r="S338" s="55"/>
      <c r="T338" s="55"/>
      <c r="U338" s="55"/>
      <c r="V338" s="55" t="str">
        <f t="shared" si="128"/>
        <v/>
      </c>
      <c r="W338" s="55" t="str">
        <f t="shared" si="129"/>
        <v/>
      </c>
      <c r="X338" s="55" t="str">
        <f t="shared" si="130"/>
        <v/>
      </c>
      <c r="Y338" s="60" t="str">
        <f t="shared" si="131"/>
        <v/>
      </c>
    </row>
    <row r="339" spans="3:25" hidden="1" x14ac:dyDescent="0.25">
      <c r="C339" s="58">
        <v>85</v>
      </c>
      <c r="D339" s="59" t="str">
        <f t="shared" si="116"/>
        <v/>
      </c>
      <c r="E339" s="55" t="str">
        <f t="shared" si="117"/>
        <v/>
      </c>
      <c r="F339" s="55" t="str">
        <f t="shared" si="118"/>
        <v/>
      </c>
      <c r="G339" s="55" t="str">
        <f t="shared" si="119"/>
        <v/>
      </c>
      <c r="H339" s="55" t="str">
        <f t="shared" si="120"/>
        <v/>
      </c>
      <c r="I339" s="55" t="str">
        <f t="shared" si="121"/>
        <v/>
      </c>
      <c r="J339" s="55" t="str">
        <f t="shared" si="122"/>
        <v/>
      </c>
      <c r="K339" s="60" t="str">
        <f t="shared" si="123"/>
        <v/>
      </c>
      <c r="N339" s="58">
        <v>85</v>
      </c>
      <c r="O339" s="59" t="str">
        <f t="shared" si="124"/>
        <v/>
      </c>
      <c r="P339" s="55" t="str">
        <f t="shared" si="125"/>
        <v/>
      </c>
      <c r="Q339" s="55" t="str">
        <f t="shared" si="126"/>
        <v/>
      </c>
      <c r="R339" s="55" t="str">
        <f t="shared" si="127"/>
        <v/>
      </c>
      <c r="S339" s="55"/>
      <c r="T339" s="55"/>
      <c r="U339" s="55"/>
      <c r="V339" s="55" t="str">
        <f t="shared" si="128"/>
        <v/>
      </c>
      <c r="W339" s="55" t="str">
        <f t="shared" si="129"/>
        <v/>
      </c>
      <c r="X339" s="55" t="str">
        <f t="shared" si="130"/>
        <v/>
      </c>
      <c r="Y339" s="60" t="str">
        <f t="shared" si="131"/>
        <v/>
      </c>
    </row>
    <row r="340" spans="3:25" hidden="1" x14ac:dyDescent="0.25">
      <c r="C340" s="58">
        <v>86</v>
      </c>
      <c r="D340" s="59" t="str">
        <f t="shared" si="116"/>
        <v/>
      </c>
      <c r="E340" s="55" t="str">
        <f t="shared" si="117"/>
        <v/>
      </c>
      <c r="F340" s="55" t="str">
        <f t="shared" si="118"/>
        <v/>
      </c>
      <c r="G340" s="55" t="str">
        <f t="shared" si="119"/>
        <v/>
      </c>
      <c r="H340" s="55" t="str">
        <f t="shared" si="120"/>
        <v/>
      </c>
      <c r="I340" s="55" t="str">
        <f t="shared" si="121"/>
        <v/>
      </c>
      <c r="J340" s="55" t="str">
        <f t="shared" si="122"/>
        <v/>
      </c>
      <c r="K340" s="60" t="str">
        <f t="shared" si="123"/>
        <v/>
      </c>
      <c r="N340" s="58">
        <v>86</v>
      </c>
      <c r="O340" s="59" t="str">
        <f t="shared" si="124"/>
        <v/>
      </c>
      <c r="P340" s="55" t="str">
        <f t="shared" si="125"/>
        <v/>
      </c>
      <c r="Q340" s="55" t="str">
        <f t="shared" si="126"/>
        <v/>
      </c>
      <c r="R340" s="55" t="str">
        <f t="shared" si="127"/>
        <v/>
      </c>
      <c r="S340" s="55"/>
      <c r="T340" s="55"/>
      <c r="U340" s="55"/>
      <c r="V340" s="55" t="str">
        <f t="shared" si="128"/>
        <v/>
      </c>
      <c r="W340" s="55" t="str">
        <f t="shared" si="129"/>
        <v/>
      </c>
      <c r="X340" s="55" t="str">
        <f t="shared" si="130"/>
        <v/>
      </c>
      <c r="Y340" s="60" t="str">
        <f t="shared" si="131"/>
        <v/>
      </c>
    </row>
    <row r="341" spans="3:25" hidden="1" x14ac:dyDescent="0.25">
      <c r="C341" s="58">
        <v>87</v>
      </c>
      <c r="D341" s="59" t="str">
        <f t="shared" si="116"/>
        <v/>
      </c>
      <c r="E341" s="55" t="str">
        <f t="shared" si="117"/>
        <v/>
      </c>
      <c r="F341" s="55" t="str">
        <f t="shared" si="118"/>
        <v/>
      </c>
      <c r="G341" s="55" t="str">
        <f t="shared" si="119"/>
        <v/>
      </c>
      <c r="H341" s="55" t="str">
        <f t="shared" si="120"/>
        <v/>
      </c>
      <c r="I341" s="55" t="str">
        <f t="shared" si="121"/>
        <v/>
      </c>
      <c r="J341" s="55" t="str">
        <f t="shared" si="122"/>
        <v/>
      </c>
      <c r="K341" s="60" t="str">
        <f t="shared" si="123"/>
        <v/>
      </c>
      <c r="N341" s="58">
        <v>87</v>
      </c>
      <c r="O341" s="59" t="str">
        <f t="shared" si="124"/>
        <v/>
      </c>
      <c r="P341" s="55" t="str">
        <f t="shared" si="125"/>
        <v/>
      </c>
      <c r="Q341" s="55" t="str">
        <f t="shared" si="126"/>
        <v/>
      </c>
      <c r="R341" s="55" t="str">
        <f t="shared" si="127"/>
        <v/>
      </c>
      <c r="S341" s="55"/>
      <c r="T341" s="55"/>
      <c r="U341" s="55"/>
      <c r="V341" s="55" t="str">
        <f t="shared" si="128"/>
        <v/>
      </c>
      <c r="W341" s="55" t="str">
        <f t="shared" si="129"/>
        <v/>
      </c>
      <c r="X341" s="55" t="str">
        <f t="shared" si="130"/>
        <v/>
      </c>
      <c r="Y341" s="60" t="str">
        <f t="shared" si="131"/>
        <v/>
      </c>
    </row>
    <row r="342" spans="3:25" hidden="1" x14ac:dyDescent="0.25">
      <c r="C342" s="58">
        <v>88</v>
      </c>
      <c r="D342" s="59" t="str">
        <f t="shared" si="116"/>
        <v/>
      </c>
      <c r="E342" s="55" t="str">
        <f t="shared" si="117"/>
        <v/>
      </c>
      <c r="F342" s="55" t="str">
        <f t="shared" si="118"/>
        <v/>
      </c>
      <c r="G342" s="55" t="str">
        <f t="shared" si="119"/>
        <v/>
      </c>
      <c r="H342" s="55" t="str">
        <f t="shared" si="120"/>
        <v/>
      </c>
      <c r="I342" s="55" t="str">
        <f t="shared" si="121"/>
        <v/>
      </c>
      <c r="J342" s="55" t="str">
        <f t="shared" si="122"/>
        <v/>
      </c>
      <c r="K342" s="60" t="str">
        <f t="shared" si="123"/>
        <v/>
      </c>
      <c r="N342" s="58">
        <v>88</v>
      </c>
      <c r="O342" s="59" t="str">
        <f t="shared" si="124"/>
        <v/>
      </c>
      <c r="P342" s="55" t="str">
        <f t="shared" si="125"/>
        <v/>
      </c>
      <c r="Q342" s="55" t="str">
        <f t="shared" si="126"/>
        <v/>
      </c>
      <c r="R342" s="55" t="str">
        <f t="shared" si="127"/>
        <v/>
      </c>
      <c r="S342" s="55"/>
      <c r="T342" s="55"/>
      <c r="U342" s="55"/>
      <c r="V342" s="55" t="str">
        <f t="shared" si="128"/>
        <v/>
      </c>
      <c r="W342" s="55" t="str">
        <f t="shared" si="129"/>
        <v/>
      </c>
      <c r="X342" s="55" t="str">
        <f t="shared" si="130"/>
        <v/>
      </c>
      <c r="Y342" s="60" t="str">
        <f t="shared" si="131"/>
        <v/>
      </c>
    </row>
    <row r="343" spans="3:25" hidden="1" x14ac:dyDescent="0.25">
      <c r="C343" s="58">
        <v>89</v>
      </c>
      <c r="D343" s="59" t="str">
        <f t="shared" si="116"/>
        <v/>
      </c>
      <c r="E343" s="55" t="str">
        <f t="shared" si="117"/>
        <v/>
      </c>
      <c r="F343" s="55" t="str">
        <f t="shared" si="118"/>
        <v/>
      </c>
      <c r="G343" s="55" t="str">
        <f t="shared" si="119"/>
        <v/>
      </c>
      <c r="H343" s="55" t="str">
        <f t="shared" si="120"/>
        <v/>
      </c>
      <c r="I343" s="55" t="str">
        <f t="shared" si="121"/>
        <v/>
      </c>
      <c r="J343" s="55" t="str">
        <f t="shared" si="122"/>
        <v/>
      </c>
      <c r="K343" s="60" t="str">
        <f t="shared" si="123"/>
        <v/>
      </c>
      <c r="N343" s="58">
        <v>89</v>
      </c>
      <c r="O343" s="59" t="str">
        <f t="shared" si="124"/>
        <v/>
      </c>
      <c r="P343" s="55" t="str">
        <f t="shared" si="125"/>
        <v/>
      </c>
      <c r="Q343" s="55" t="str">
        <f t="shared" si="126"/>
        <v/>
      </c>
      <c r="R343" s="55" t="str">
        <f t="shared" si="127"/>
        <v/>
      </c>
      <c r="S343" s="55"/>
      <c r="T343" s="55"/>
      <c r="U343" s="55"/>
      <c r="V343" s="55" t="str">
        <f t="shared" si="128"/>
        <v/>
      </c>
      <c r="W343" s="55" t="str">
        <f t="shared" si="129"/>
        <v/>
      </c>
      <c r="X343" s="55" t="str">
        <f t="shared" si="130"/>
        <v/>
      </c>
      <c r="Y343" s="60" t="str">
        <f t="shared" si="131"/>
        <v/>
      </c>
    </row>
    <row r="344" spans="3:25" hidden="1" x14ac:dyDescent="0.25">
      <c r="C344" s="58">
        <v>90</v>
      </c>
      <c r="D344" s="59" t="str">
        <f t="shared" si="116"/>
        <v/>
      </c>
      <c r="E344" s="55" t="str">
        <f t="shared" si="117"/>
        <v/>
      </c>
      <c r="F344" s="55" t="str">
        <f t="shared" si="118"/>
        <v/>
      </c>
      <c r="G344" s="55" t="str">
        <f t="shared" si="119"/>
        <v/>
      </c>
      <c r="H344" s="55" t="str">
        <f t="shared" si="120"/>
        <v/>
      </c>
      <c r="I344" s="55" t="str">
        <f t="shared" si="121"/>
        <v/>
      </c>
      <c r="J344" s="55" t="str">
        <f t="shared" si="122"/>
        <v/>
      </c>
      <c r="K344" s="60" t="str">
        <f t="shared" si="123"/>
        <v/>
      </c>
      <c r="N344" s="58">
        <v>90</v>
      </c>
      <c r="O344" s="59" t="str">
        <f t="shared" si="124"/>
        <v/>
      </c>
      <c r="P344" s="55" t="str">
        <f t="shared" si="125"/>
        <v/>
      </c>
      <c r="Q344" s="55" t="str">
        <f t="shared" si="126"/>
        <v/>
      </c>
      <c r="R344" s="55" t="str">
        <f t="shared" si="127"/>
        <v/>
      </c>
      <c r="S344" s="55"/>
      <c r="T344" s="55"/>
      <c r="U344" s="55"/>
      <c r="V344" s="55" t="str">
        <f t="shared" si="128"/>
        <v/>
      </c>
      <c r="W344" s="55" t="str">
        <f t="shared" si="129"/>
        <v/>
      </c>
      <c r="X344" s="55" t="str">
        <f t="shared" si="130"/>
        <v/>
      </c>
      <c r="Y344" s="60" t="str">
        <f t="shared" si="131"/>
        <v/>
      </c>
    </row>
    <row r="345" spans="3:25" hidden="1" x14ac:dyDescent="0.25">
      <c r="C345" s="58">
        <v>91</v>
      </c>
      <c r="D345" s="59" t="str">
        <f t="shared" si="116"/>
        <v/>
      </c>
      <c r="E345" s="55" t="str">
        <f t="shared" si="117"/>
        <v/>
      </c>
      <c r="F345" s="55" t="str">
        <f t="shared" si="118"/>
        <v/>
      </c>
      <c r="G345" s="55" t="str">
        <f t="shared" si="119"/>
        <v/>
      </c>
      <c r="H345" s="55" t="str">
        <f t="shared" si="120"/>
        <v/>
      </c>
      <c r="I345" s="55" t="str">
        <f t="shared" si="121"/>
        <v/>
      </c>
      <c r="J345" s="55" t="str">
        <f t="shared" si="122"/>
        <v/>
      </c>
      <c r="K345" s="60" t="str">
        <f t="shared" si="123"/>
        <v/>
      </c>
      <c r="N345" s="58">
        <v>91</v>
      </c>
      <c r="O345" s="59" t="str">
        <f t="shared" si="124"/>
        <v/>
      </c>
      <c r="P345" s="55" t="str">
        <f t="shared" si="125"/>
        <v/>
      </c>
      <c r="Q345" s="55" t="str">
        <f t="shared" si="126"/>
        <v/>
      </c>
      <c r="R345" s="55" t="str">
        <f t="shared" si="127"/>
        <v/>
      </c>
      <c r="S345" s="55"/>
      <c r="T345" s="55"/>
      <c r="U345" s="55"/>
      <c r="V345" s="55" t="str">
        <f t="shared" si="128"/>
        <v/>
      </c>
      <c r="W345" s="55" t="str">
        <f t="shared" si="129"/>
        <v/>
      </c>
      <c r="X345" s="55" t="str">
        <f t="shared" si="130"/>
        <v/>
      </c>
      <c r="Y345" s="60" t="str">
        <f t="shared" si="131"/>
        <v/>
      </c>
    </row>
    <row r="346" spans="3:25" hidden="1" x14ac:dyDescent="0.25">
      <c r="C346" s="58">
        <v>92</v>
      </c>
      <c r="D346" s="59" t="str">
        <f t="shared" si="116"/>
        <v/>
      </c>
      <c r="E346" s="55" t="str">
        <f t="shared" si="117"/>
        <v/>
      </c>
      <c r="F346" s="55" t="str">
        <f t="shared" si="118"/>
        <v/>
      </c>
      <c r="G346" s="55" t="str">
        <f t="shared" si="119"/>
        <v/>
      </c>
      <c r="H346" s="55" t="str">
        <f t="shared" si="120"/>
        <v/>
      </c>
      <c r="I346" s="55" t="str">
        <f t="shared" si="121"/>
        <v/>
      </c>
      <c r="J346" s="55" t="str">
        <f t="shared" si="122"/>
        <v/>
      </c>
      <c r="K346" s="60" t="str">
        <f t="shared" si="123"/>
        <v/>
      </c>
      <c r="N346" s="58">
        <v>92</v>
      </c>
      <c r="O346" s="59" t="str">
        <f t="shared" si="124"/>
        <v/>
      </c>
      <c r="P346" s="55" t="str">
        <f t="shared" si="125"/>
        <v/>
      </c>
      <c r="Q346" s="55" t="str">
        <f t="shared" si="126"/>
        <v/>
      </c>
      <c r="R346" s="55" t="str">
        <f t="shared" si="127"/>
        <v/>
      </c>
      <c r="S346" s="55"/>
      <c r="T346" s="55"/>
      <c r="U346" s="55"/>
      <c r="V346" s="55" t="str">
        <f t="shared" si="128"/>
        <v/>
      </c>
      <c r="W346" s="55" t="str">
        <f t="shared" si="129"/>
        <v/>
      </c>
      <c r="X346" s="55" t="str">
        <f t="shared" si="130"/>
        <v/>
      </c>
      <c r="Y346" s="60" t="str">
        <f t="shared" si="131"/>
        <v/>
      </c>
    </row>
    <row r="347" spans="3:25" hidden="1" x14ac:dyDescent="0.25">
      <c r="C347" s="58">
        <v>93</v>
      </c>
      <c r="D347" s="59" t="str">
        <f t="shared" si="116"/>
        <v/>
      </c>
      <c r="E347" s="55" t="str">
        <f t="shared" si="117"/>
        <v/>
      </c>
      <c r="F347" s="55" t="str">
        <f t="shared" si="118"/>
        <v/>
      </c>
      <c r="G347" s="55" t="str">
        <f t="shared" si="119"/>
        <v/>
      </c>
      <c r="H347" s="55" t="str">
        <f t="shared" si="120"/>
        <v/>
      </c>
      <c r="I347" s="55" t="str">
        <f t="shared" si="121"/>
        <v/>
      </c>
      <c r="J347" s="55" t="str">
        <f t="shared" si="122"/>
        <v/>
      </c>
      <c r="K347" s="60" t="str">
        <f t="shared" si="123"/>
        <v/>
      </c>
      <c r="N347" s="58">
        <v>93</v>
      </c>
      <c r="O347" s="59" t="str">
        <f t="shared" si="124"/>
        <v/>
      </c>
      <c r="P347" s="55" t="str">
        <f t="shared" si="125"/>
        <v/>
      </c>
      <c r="Q347" s="55" t="str">
        <f t="shared" si="126"/>
        <v/>
      </c>
      <c r="R347" s="55" t="str">
        <f t="shared" si="127"/>
        <v/>
      </c>
      <c r="S347" s="55"/>
      <c r="T347" s="55"/>
      <c r="U347" s="55"/>
      <c r="V347" s="55" t="str">
        <f t="shared" si="128"/>
        <v/>
      </c>
      <c r="W347" s="55" t="str">
        <f t="shared" si="129"/>
        <v/>
      </c>
      <c r="X347" s="55" t="str">
        <f t="shared" si="130"/>
        <v/>
      </c>
      <c r="Y347" s="60" t="str">
        <f t="shared" si="131"/>
        <v/>
      </c>
    </row>
    <row r="348" spans="3:25" hidden="1" x14ac:dyDescent="0.25">
      <c r="C348" s="58">
        <v>94</v>
      </c>
      <c r="D348" s="59" t="str">
        <f t="shared" si="116"/>
        <v/>
      </c>
      <c r="E348" s="55" t="str">
        <f t="shared" si="117"/>
        <v/>
      </c>
      <c r="F348" s="55" t="str">
        <f t="shared" si="118"/>
        <v/>
      </c>
      <c r="G348" s="55" t="str">
        <f t="shared" si="119"/>
        <v/>
      </c>
      <c r="H348" s="55" t="str">
        <f t="shared" si="120"/>
        <v/>
      </c>
      <c r="I348" s="55" t="str">
        <f t="shared" si="121"/>
        <v/>
      </c>
      <c r="J348" s="55" t="str">
        <f t="shared" si="122"/>
        <v/>
      </c>
      <c r="K348" s="60" t="str">
        <f t="shared" si="123"/>
        <v/>
      </c>
      <c r="N348" s="58">
        <v>94</v>
      </c>
      <c r="O348" s="59" t="str">
        <f t="shared" si="124"/>
        <v/>
      </c>
      <c r="P348" s="55" t="str">
        <f t="shared" si="125"/>
        <v/>
      </c>
      <c r="Q348" s="55" t="str">
        <f t="shared" si="126"/>
        <v/>
      </c>
      <c r="R348" s="55" t="str">
        <f t="shared" si="127"/>
        <v/>
      </c>
      <c r="S348" s="55"/>
      <c r="T348" s="55"/>
      <c r="U348" s="55"/>
      <c r="V348" s="55" t="str">
        <f t="shared" si="128"/>
        <v/>
      </c>
      <c r="W348" s="55" t="str">
        <f t="shared" si="129"/>
        <v/>
      </c>
      <c r="X348" s="55" t="str">
        <f t="shared" si="130"/>
        <v/>
      </c>
      <c r="Y348" s="60" t="str">
        <f t="shared" si="131"/>
        <v/>
      </c>
    </row>
    <row r="349" spans="3:25" hidden="1" x14ac:dyDescent="0.25">
      <c r="C349" s="58">
        <v>95</v>
      </c>
      <c r="D349" s="59" t="str">
        <f t="shared" si="116"/>
        <v/>
      </c>
      <c r="E349" s="55" t="str">
        <f t="shared" si="117"/>
        <v/>
      </c>
      <c r="F349" s="55" t="str">
        <f t="shared" si="118"/>
        <v/>
      </c>
      <c r="G349" s="55" t="str">
        <f t="shared" si="119"/>
        <v/>
      </c>
      <c r="H349" s="55" t="str">
        <f t="shared" si="120"/>
        <v/>
      </c>
      <c r="I349" s="55" t="str">
        <f t="shared" si="121"/>
        <v/>
      </c>
      <c r="J349" s="55" t="str">
        <f t="shared" si="122"/>
        <v/>
      </c>
      <c r="K349" s="60" t="str">
        <f t="shared" si="123"/>
        <v/>
      </c>
      <c r="N349" s="58">
        <v>95</v>
      </c>
      <c r="O349" s="59" t="str">
        <f t="shared" si="124"/>
        <v/>
      </c>
      <c r="P349" s="55" t="str">
        <f t="shared" si="125"/>
        <v/>
      </c>
      <c r="Q349" s="55" t="str">
        <f t="shared" si="126"/>
        <v/>
      </c>
      <c r="R349" s="55" t="str">
        <f t="shared" si="127"/>
        <v/>
      </c>
      <c r="S349" s="55"/>
      <c r="T349" s="55"/>
      <c r="U349" s="55"/>
      <c r="V349" s="55" t="str">
        <f t="shared" si="128"/>
        <v/>
      </c>
      <c r="W349" s="55" t="str">
        <f t="shared" si="129"/>
        <v/>
      </c>
      <c r="X349" s="55" t="str">
        <f t="shared" si="130"/>
        <v/>
      </c>
      <c r="Y349" s="60" t="str">
        <f t="shared" si="131"/>
        <v/>
      </c>
    </row>
    <row r="350" spans="3:25" hidden="1" x14ac:dyDescent="0.25">
      <c r="C350" s="58">
        <v>96</v>
      </c>
      <c r="D350" s="59" t="str">
        <f t="shared" si="116"/>
        <v/>
      </c>
      <c r="E350" s="55" t="str">
        <f t="shared" si="117"/>
        <v/>
      </c>
      <c r="F350" s="55" t="str">
        <f t="shared" si="118"/>
        <v/>
      </c>
      <c r="G350" s="55" t="str">
        <f t="shared" si="119"/>
        <v/>
      </c>
      <c r="H350" s="55" t="str">
        <f t="shared" si="120"/>
        <v/>
      </c>
      <c r="I350" s="55" t="str">
        <f t="shared" si="121"/>
        <v/>
      </c>
      <c r="J350" s="55" t="str">
        <f t="shared" si="122"/>
        <v/>
      </c>
      <c r="K350" s="60" t="str">
        <f t="shared" si="123"/>
        <v/>
      </c>
      <c r="N350" s="58">
        <v>96</v>
      </c>
      <c r="O350" s="59" t="str">
        <f t="shared" si="124"/>
        <v/>
      </c>
      <c r="P350" s="55" t="str">
        <f t="shared" si="125"/>
        <v/>
      </c>
      <c r="Q350" s="55" t="str">
        <f t="shared" si="126"/>
        <v/>
      </c>
      <c r="R350" s="55" t="str">
        <f t="shared" si="127"/>
        <v/>
      </c>
      <c r="S350" s="55"/>
      <c r="T350" s="55"/>
      <c r="U350" s="55"/>
      <c r="V350" s="55" t="str">
        <f t="shared" si="128"/>
        <v/>
      </c>
      <c r="W350" s="55" t="str">
        <f t="shared" si="129"/>
        <v/>
      </c>
      <c r="X350" s="55" t="str">
        <f t="shared" si="130"/>
        <v/>
      </c>
      <c r="Y350" s="60" t="str">
        <f t="shared" si="131"/>
        <v/>
      </c>
    </row>
    <row r="351" spans="3:25" hidden="1" x14ac:dyDescent="0.25">
      <c r="C351" s="58">
        <v>97</v>
      </c>
      <c r="D351" s="59" t="str">
        <f t="shared" si="116"/>
        <v/>
      </c>
      <c r="E351" s="55" t="str">
        <f t="shared" si="117"/>
        <v/>
      </c>
      <c r="F351" s="55" t="str">
        <f t="shared" si="118"/>
        <v/>
      </c>
      <c r="G351" s="55" t="str">
        <f t="shared" si="119"/>
        <v/>
      </c>
      <c r="H351" s="55" t="str">
        <f t="shared" si="120"/>
        <v/>
      </c>
      <c r="I351" s="55" t="str">
        <f t="shared" si="121"/>
        <v/>
      </c>
      <c r="J351" s="55" t="str">
        <f t="shared" si="122"/>
        <v/>
      </c>
      <c r="K351" s="60" t="str">
        <f t="shared" si="123"/>
        <v/>
      </c>
      <c r="N351" s="58">
        <v>97</v>
      </c>
      <c r="O351" s="59" t="str">
        <f t="shared" si="124"/>
        <v/>
      </c>
      <c r="P351" s="55" t="str">
        <f t="shared" si="125"/>
        <v/>
      </c>
      <c r="Q351" s="55" t="str">
        <f t="shared" si="126"/>
        <v/>
      </c>
      <c r="R351" s="55" t="str">
        <f t="shared" si="127"/>
        <v/>
      </c>
      <c r="S351" s="55"/>
      <c r="T351" s="55"/>
      <c r="U351" s="55"/>
      <c r="V351" s="55" t="str">
        <f t="shared" si="128"/>
        <v/>
      </c>
      <c r="W351" s="55" t="str">
        <f t="shared" si="129"/>
        <v/>
      </c>
      <c r="X351" s="55" t="str">
        <f t="shared" si="130"/>
        <v/>
      </c>
      <c r="Y351" s="60" t="str">
        <f t="shared" si="131"/>
        <v/>
      </c>
    </row>
    <row r="352" spans="3:25" hidden="1" x14ac:dyDescent="0.25">
      <c r="C352" s="58">
        <v>98</v>
      </c>
      <c r="D352" s="59" t="str">
        <f t="shared" si="116"/>
        <v/>
      </c>
      <c r="E352" s="55" t="str">
        <f t="shared" si="117"/>
        <v/>
      </c>
      <c r="F352" s="55" t="str">
        <f t="shared" si="118"/>
        <v/>
      </c>
      <c r="G352" s="55" t="str">
        <f t="shared" si="119"/>
        <v/>
      </c>
      <c r="H352" s="55" t="str">
        <f t="shared" si="120"/>
        <v/>
      </c>
      <c r="I352" s="55" t="str">
        <f t="shared" si="121"/>
        <v/>
      </c>
      <c r="J352" s="55" t="str">
        <f t="shared" si="122"/>
        <v/>
      </c>
      <c r="K352" s="60" t="str">
        <f t="shared" si="123"/>
        <v/>
      </c>
      <c r="N352" s="58">
        <v>98</v>
      </c>
      <c r="O352" s="59" t="str">
        <f t="shared" si="124"/>
        <v/>
      </c>
      <c r="P352" s="55" t="str">
        <f t="shared" si="125"/>
        <v/>
      </c>
      <c r="Q352" s="55" t="str">
        <f t="shared" si="126"/>
        <v/>
      </c>
      <c r="R352" s="55" t="str">
        <f t="shared" si="127"/>
        <v/>
      </c>
      <c r="S352" s="55"/>
      <c r="T352" s="55"/>
      <c r="U352" s="55"/>
      <c r="V352" s="55" t="str">
        <f t="shared" si="128"/>
        <v/>
      </c>
      <c r="W352" s="55" t="str">
        <f t="shared" si="129"/>
        <v/>
      </c>
      <c r="X352" s="55" t="str">
        <f t="shared" si="130"/>
        <v/>
      </c>
      <c r="Y352" s="60" t="str">
        <f t="shared" si="131"/>
        <v/>
      </c>
    </row>
    <row r="353" spans="3:25" hidden="1" x14ac:dyDescent="0.25">
      <c r="C353" s="58">
        <v>99</v>
      </c>
      <c r="D353" s="59" t="str">
        <f t="shared" si="116"/>
        <v/>
      </c>
      <c r="E353" s="55" t="str">
        <f t="shared" si="117"/>
        <v/>
      </c>
      <c r="F353" s="55" t="str">
        <f t="shared" si="118"/>
        <v/>
      </c>
      <c r="G353" s="55" t="str">
        <f t="shared" si="119"/>
        <v/>
      </c>
      <c r="H353" s="55" t="str">
        <f t="shared" si="120"/>
        <v/>
      </c>
      <c r="I353" s="55" t="str">
        <f t="shared" si="121"/>
        <v/>
      </c>
      <c r="J353" s="55" t="str">
        <f t="shared" si="122"/>
        <v/>
      </c>
      <c r="K353" s="60" t="str">
        <f t="shared" si="123"/>
        <v/>
      </c>
      <c r="N353" s="58">
        <v>99</v>
      </c>
      <c r="O353" s="59" t="str">
        <f t="shared" si="124"/>
        <v/>
      </c>
      <c r="P353" s="55" t="str">
        <f t="shared" si="125"/>
        <v/>
      </c>
      <c r="Q353" s="55" t="str">
        <f t="shared" si="126"/>
        <v/>
      </c>
      <c r="R353" s="55" t="str">
        <f t="shared" si="127"/>
        <v/>
      </c>
      <c r="S353" s="55"/>
      <c r="T353" s="55"/>
      <c r="U353" s="55"/>
      <c r="V353" s="55" t="str">
        <f t="shared" si="128"/>
        <v/>
      </c>
      <c r="W353" s="55" t="str">
        <f t="shared" si="129"/>
        <v/>
      </c>
      <c r="X353" s="55" t="str">
        <f t="shared" si="130"/>
        <v/>
      </c>
      <c r="Y353" s="60" t="str">
        <f t="shared" si="131"/>
        <v/>
      </c>
    </row>
    <row r="354" spans="3:25" hidden="1" x14ac:dyDescent="0.25">
      <c r="C354" s="58">
        <v>100</v>
      </c>
      <c r="D354" s="59" t="str">
        <f t="shared" si="116"/>
        <v/>
      </c>
      <c r="E354" s="55" t="str">
        <f t="shared" si="117"/>
        <v/>
      </c>
      <c r="F354" s="55" t="str">
        <f t="shared" si="118"/>
        <v/>
      </c>
      <c r="G354" s="55" t="str">
        <f t="shared" si="119"/>
        <v/>
      </c>
      <c r="H354" s="55" t="str">
        <f t="shared" si="120"/>
        <v/>
      </c>
      <c r="I354" s="55" t="str">
        <f t="shared" si="121"/>
        <v/>
      </c>
      <c r="J354" s="55" t="str">
        <f t="shared" si="122"/>
        <v/>
      </c>
      <c r="K354" s="60" t="str">
        <f t="shared" si="123"/>
        <v/>
      </c>
      <c r="N354" s="58">
        <v>100</v>
      </c>
      <c r="O354" s="59" t="str">
        <f t="shared" si="124"/>
        <v/>
      </c>
      <c r="P354" s="55" t="str">
        <f t="shared" si="125"/>
        <v/>
      </c>
      <c r="Q354" s="55" t="str">
        <f t="shared" si="126"/>
        <v/>
      </c>
      <c r="R354" s="55" t="str">
        <f t="shared" si="127"/>
        <v/>
      </c>
      <c r="S354" s="55"/>
      <c r="T354" s="55"/>
      <c r="U354" s="55"/>
      <c r="V354" s="55" t="str">
        <f t="shared" si="128"/>
        <v/>
      </c>
      <c r="W354" s="55" t="str">
        <f t="shared" si="129"/>
        <v/>
      </c>
      <c r="X354" s="55" t="str">
        <f t="shared" si="130"/>
        <v/>
      </c>
      <c r="Y354" s="60" t="str">
        <f t="shared" si="131"/>
        <v/>
      </c>
    </row>
    <row r="355" spans="3:25" hidden="1" x14ac:dyDescent="0.25">
      <c r="C355" s="58">
        <v>101</v>
      </c>
      <c r="D355" s="59" t="str">
        <f t="shared" si="116"/>
        <v/>
      </c>
      <c r="E355" s="55" t="str">
        <f t="shared" si="117"/>
        <v/>
      </c>
      <c r="F355" s="55" t="str">
        <f t="shared" si="118"/>
        <v/>
      </c>
      <c r="G355" s="55" t="str">
        <f t="shared" si="119"/>
        <v/>
      </c>
      <c r="H355" s="55" t="str">
        <f t="shared" si="120"/>
        <v/>
      </c>
      <c r="I355" s="55" t="str">
        <f t="shared" si="121"/>
        <v/>
      </c>
      <c r="J355" s="55" t="str">
        <f t="shared" si="122"/>
        <v/>
      </c>
      <c r="K355" s="60" t="str">
        <f t="shared" si="123"/>
        <v/>
      </c>
      <c r="N355" s="58">
        <v>101</v>
      </c>
      <c r="O355" s="59" t="str">
        <f t="shared" si="124"/>
        <v/>
      </c>
      <c r="P355" s="55" t="str">
        <f t="shared" si="125"/>
        <v/>
      </c>
      <c r="Q355" s="55" t="str">
        <f t="shared" si="126"/>
        <v/>
      </c>
      <c r="R355" s="55" t="str">
        <f t="shared" si="127"/>
        <v/>
      </c>
      <c r="S355" s="55"/>
      <c r="T355" s="55"/>
      <c r="U355" s="55"/>
      <c r="V355" s="55" t="str">
        <f t="shared" si="128"/>
        <v/>
      </c>
      <c r="W355" s="55" t="str">
        <f t="shared" si="129"/>
        <v/>
      </c>
      <c r="X355" s="55" t="str">
        <f t="shared" si="130"/>
        <v/>
      </c>
      <c r="Y355" s="60" t="str">
        <f t="shared" si="131"/>
        <v/>
      </c>
    </row>
    <row r="356" spans="3:25" hidden="1" x14ac:dyDescent="0.25">
      <c r="C356" s="58">
        <v>102</v>
      </c>
      <c r="D356" s="59" t="str">
        <f t="shared" si="116"/>
        <v/>
      </c>
      <c r="E356" s="55" t="str">
        <f t="shared" si="117"/>
        <v/>
      </c>
      <c r="F356" s="55" t="str">
        <f t="shared" si="118"/>
        <v/>
      </c>
      <c r="G356" s="55" t="str">
        <f t="shared" si="119"/>
        <v/>
      </c>
      <c r="H356" s="55" t="str">
        <f t="shared" si="120"/>
        <v/>
      </c>
      <c r="I356" s="55" t="str">
        <f t="shared" si="121"/>
        <v/>
      </c>
      <c r="J356" s="55" t="str">
        <f t="shared" si="122"/>
        <v/>
      </c>
      <c r="K356" s="60" t="str">
        <f t="shared" si="123"/>
        <v/>
      </c>
      <c r="N356" s="58">
        <v>102</v>
      </c>
      <c r="O356" s="59" t="str">
        <f t="shared" si="124"/>
        <v/>
      </c>
      <c r="P356" s="55" t="str">
        <f t="shared" si="125"/>
        <v/>
      </c>
      <c r="Q356" s="55" t="str">
        <f t="shared" si="126"/>
        <v/>
      </c>
      <c r="R356" s="55" t="str">
        <f t="shared" si="127"/>
        <v/>
      </c>
      <c r="S356" s="55"/>
      <c r="T356" s="55"/>
      <c r="U356" s="55"/>
      <c r="V356" s="55" t="str">
        <f t="shared" si="128"/>
        <v/>
      </c>
      <c r="W356" s="55" t="str">
        <f t="shared" si="129"/>
        <v/>
      </c>
      <c r="X356" s="55" t="str">
        <f t="shared" si="130"/>
        <v/>
      </c>
      <c r="Y356" s="60" t="str">
        <f t="shared" si="131"/>
        <v/>
      </c>
    </row>
    <row r="357" spans="3:25" hidden="1" x14ac:dyDescent="0.25">
      <c r="C357" s="58">
        <v>103</v>
      </c>
      <c r="D357" s="59" t="str">
        <f t="shared" si="116"/>
        <v/>
      </c>
      <c r="E357" s="55" t="str">
        <f t="shared" si="117"/>
        <v/>
      </c>
      <c r="F357" s="55" t="str">
        <f t="shared" si="118"/>
        <v/>
      </c>
      <c r="G357" s="55" t="str">
        <f t="shared" si="119"/>
        <v/>
      </c>
      <c r="H357" s="55" t="str">
        <f t="shared" si="120"/>
        <v/>
      </c>
      <c r="I357" s="55" t="str">
        <f t="shared" si="121"/>
        <v/>
      </c>
      <c r="J357" s="55" t="str">
        <f t="shared" si="122"/>
        <v/>
      </c>
      <c r="K357" s="60" t="str">
        <f t="shared" si="123"/>
        <v/>
      </c>
      <c r="N357" s="58">
        <v>103</v>
      </c>
      <c r="O357" s="59" t="str">
        <f t="shared" si="124"/>
        <v/>
      </c>
      <c r="P357" s="55" t="str">
        <f t="shared" si="125"/>
        <v/>
      </c>
      <c r="Q357" s="55" t="str">
        <f t="shared" si="126"/>
        <v/>
      </c>
      <c r="R357" s="55" t="str">
        <f t="shared" si="127"/>
        <v/>
      </c>
      <c r="S357" s="55"/>
      <c r="T357" s="55"/>
      <c r="U357" s="55"/>
      <c r="V357" s="55" t="str">
        <f t="shared" si="128"/>
        <v/>
      </c>
      <c r="W357" s="55" t="str">
        <f t="shared" si="129"/>
        <v/>
      </c>
      <c r="X357" s="55" t="str">
        <f t="shared" si="130"/>
        <v/>
      </c>
      <c r="Y357" s="60" t="str">
        <f t="shared" si="131"/>
        <v/>
      </c>
    </row>
    <row r="358" spans="3:25" hidden="1" x14ac:dyDescent="0.25">
      <c r="C358" s="58">
        <v>104</v>
      </c>
      <c r="D358" s="59" t="str">
        <f t="shared" ref="D358:D389" si="132">IFERROR(VLOOKUP(SMALL($C$98:$C$225,C358),$C$98:$K$225,2,FALSE),"")</f>
        <v/>
      </c>
      <c r="E358" s="55" t="str">
        <f t="shared" si="117"/>
        <v/>
      </c>
      <c r="F358" s="55" t="str">
        <f t="shared" si="118"/>
        <v/>
      </c>
      <c r="G358" s="55" t="str">
        <f t="shared" si="119"/>
        <v/>
      </c>
      <c r="H358" s="55" t="str">
        <f t="shared" si="120"/>
        <v/>
      </c>
      <c r="I358" s="55" t="str">
        <f t="shared" si="121"/>
        <v/>
      </c>
      <c r="J358" s="55" t="str">
        <f t="shared" si="122"/>
        <v/>
      </c>
      <c r="K358" s="60" t="str">
        <f t="shared" si="123"/>
        <v/>
      </c>
      <c r="N358" s="58">
        <v>104</v>
      </c>
      <c r="O358" s="59" t="str">
        <f t="shared" ref="O358:O389" si="133">IFERROR(VLOOKUP(SMALL($N$98:$N$225,N358),$N$98:$Y$225,2,FALSE),"")</f>
        <v/>
      </c>
      <c r="P358" s="55" t="str">
        <f t="shared" si="125"/>
        <v/>
      </c>
      <c r="Q358" s="55" t="str">
        <f t="shared" si="126"/>
        <v/>
      </c>
      <c r="R358" s="55" t="str">
        <f t="shared" si="127"/>
        <v/>
      </c>
      <c r="S358" s="55"/>
      <c r="T358" s="55"/>
      <c r="U358" s="55"/>
      <c r="V358" s="55" t="str">
        <f t="shared" si="128"/>
        <v/>
      </c>
      <c r="W358" s="55" t="str">
        <f t="shared" si="129"/>
        <v/>
      </c>
      <c r="X358" s="55" t="str">
        <f t="shared" si="130"/>
        <v/>
      </c>
      <c r="Y358" s="60" t="str">
        <f t="shared" si="131"/>
        <v/>
      </c>
    </row>
    <row r="359" spans="3:25" hidden="1" x14ac:dyDescent="0.25">
      <c r="C359" s="20" t="s">
        <v>511</v>
      </c>
      <c r="D359" s="20">
        <f t="shared" ref="D359:K359" si="134">ABS(SUM(D230:D233))</f>
        <v>0</v>
      </c>
      <c r="E359" s="20">
        <f t="shared" si="134"/>
        <v>0</v>
      </c>
      <c r="F359" s="20">
        <f t="shared" si="134"/>
        <v>0</v>
      </c>
      <c r="G359" s="20">
        <f t="shared" si="134"/>
        <v>0</v>
      </c>
      <c r="H359" s="20">
        <f t="shared" si="134"/>
        <v>0</v>
      </c>
      <c r="I359" s="20">
        <f t="shared" si="134"/>
        <v>0</v>
      </c>
      <c r="J359" s="20">
        <f t="shared" si="134"/>
        <v>0</v>
      </c>
      <c r="K359" s="20">
        <f t="shared" si="134"/>
        <v>0</v>
      </c>
      <c r="L359" s="55"/>
      <c r="M359" s="55"/>
      <c r="N359" s="20" t="s">
        <v>511</v>
      </c>
      <c r="O359" s="20">
        <f>ABS(SUM(O230:O233))</f>
        <v>0</v>
      </c>
      <c r="P359" s="20">
        <f>ABS(SUM(P230:P233))</f>
        <v>0</v>
      </c>
      <c r="Q359" s="20">
        <f>ABS(SUM(Q230:Q233))</f>
        <v>0</v>
      </c>
      <c r="R359" s="20">
        <f>ABS(SUM(R230:R233))</f>
        <v>0</v>
      </c>
      <c r="S359" s="20"/>
      <c r="T359" s="20"/>
      <c r="U359" s="20"/>
      <c r="V359" s="20">
        <f>ABS(SUM(V230:V233))</f>
        <v>0</v>
      </c>
      <c r="W359" s="20">
        <f>ABS(SUM(W230:W233))</f>
        <v>0</v>
      </c>
      <c r="X359" s="20">
        <f>ABS(SUM(X230:X233))</f>
        <v>0</v>
      </c>
      <c r="Y359" s="20">
        <f>ABS(SUM(Y230:Y233))</f>
        <v>0</v>
      </c>
    </row>
    <row r="360" spans="3:25" hidden="1" x14ac:dyDescent="0.25">
      <c r="F360" s="55"/>
      <c r="G360" s="55"/>
      <c r="H360" s="55"/>
      <c r="I360" s="55"/>
      <c r="J360" s="55"/>
      <c r="K360" s="55"/>
      <c r="L360" s="55"/>
      <c r="M360" s="55"/>
    </row>
    <row r="361" spans="3:25" hidden="1" x14ac:dyDescent="0.25">
      <c r="F361" s="55"/>
      <c r="G361" s="55"/>
      <c r="H361" s="55"/>
      <c r="I361" s="55"/>
      <c r="J361" s="55"/>
      <c r="K361" s="55"/>
      <c r="L361" s="55"/>
      <c r="M361" s="55"/>
    </row>
    <row r="362" spans="3:25" hidden="1" x14ac:dyDescent="0.25">
      <c r="F362" s="55"/>
      <c r="G362" s="55"/>
      <c r="H362" s="55"/>
      <c r="I362" s="55"/>
      <c r="J362" s="55"/>
      <c r="K362" s="55"/>
      <c r="L362" s="55"/>
      <c r="M362" s="55"/>
    </row>
    <row r="363" spans="3:25" hidden="1" x14ac:dyDescent="0.25">
      <c r="F363" s="55"/>
      <c r="G363" s="55"/>
      <c r="H363" s="55"/>
      <c r="I363" s="55"/>
      <c r="J363" s="55"/>
      <c r="K363" s="55"/>
      <c r="L363" s="55"/>
      <c r="M363" s="55"/>
    </row>
    <row r="364" spans="3:25" ht="48.75" hidden="1" customHeight="1" x14ac:dyDescent="0.25">
      <c r="F364" s="64" t="s">
        <v>505</v>
      </c>
      <c r="G364" s="64" t="s">
        <v>506</v>
      </c>
      <c r="H364" s="64" t="s">
        <v>507</v>
      </c>
      <c r="I364" s="64" t="s">
        <v>508</v>
      </c>
      <c r="J364" s="54" t="s">
        <v>505</v>
      </c>
      <c r="K364" s="54" t="s">
        <v>506</v>
      </c>
      <c r="L364" s="54" t="s">
        <v>507</v>
      </c>
      <c r="M364" s="54" t="s">
        <v>508</v>
      </c>
    </row>
    <row r="365" spans="3:25" hidden="1" x14ac:dyDescent="0.25">
      <c r="F365" s="59" t="str">
        <f t="shared" ref="F365:F396" si="135">IF($D$359&gt;$E$359,$D230,$E230)</f>
        <v/>
      </c>
      <c r="G365" s="55" t="str">
        <f t="shared" ref="G365:G396" si="136">IF($F$359&gt;$G$359,$F230,$G230)</f>
        <v/>
      </c>
      <c r="H365" s="55" t="str">
        <f t="shared" ref="H365:H396" si="137">IF($H$359&gt;$I$359,$H230,$I230)</f>
        <v/>
      </c>
      <c r="I365" s="55" t="str">
        <f t="shared" ref="I365:I396" si="138">IF($J$359&gt;$K$359,$J230,$K230)</f>
        <v/>
      </c>
      <c r="J365" s="55" t="str">
        <f t="shared" ref="J365:J396" si="139">IF($O$359&gt;$P$359,$O230,$P230)</f>
        <v/>
      </c>
      <c r="K365" s="55" t="str">
        <f t="shared" ref="K365:K396" si="140">IF($Q$359&gt;$R$359,$Q230,$R230)</f>
        <v/>
      </c>
      <c r="L365" s="55" t="str">
        <f t="shared" ref="L365:L396" si="141">IF($V$359&gt;$W$359,$V230,$W230)</f>
        <v/>
      </c>
      <c r="M365" s="60" t="str">
        <f t="shared" ref="M365:M396" si="142">IF($X$359&gt;$Y$359,$X230,$Y230)</f>
        <v/>
      </c>
    </row>
    <row r="366" spans="3:25" hidden="1" x14ac:dyDescent="0.25">
      <c r="F366" s="59" t="str">
        <f t="shared" si="135"/>
        <v/>
      </c>
      <c r="G366" s="55" t="str">
        <f t="shared" si="136"/>
        <v/>
      </c>
      <c r="H366" s="55" t="str">
        <f t="shared" si="137"/>
        <v/>
      </c>
      <c r="I366" s="55" t="str">
        <f t="shared" si="138"/>
        <v/>
      </c>
      <c r="J366" s="55" t="str">
        <f t="shared" si="139"/>
        <v/>
      </c>
      <c r="K366" s="55" t="str">
        <f t="shared" si="140"/>
        <v/>
      </c>
      <c r="L366" s="55" t="str">
        <f t="shared" si="141"/>
        <v/>
      </c>
      <c r="M366" s="60" t="str">
        <f t="shared" si="142"/>
        <v/>
      </c>
    </row>
    <row r="367" spans="3:25" hidden="1" x14ac:dyDescent="0.25">
      <c r="F367" s="59" t="str">
        <f t="shared" si="135"/>
        <v/>
      </c>
      <c r="G367" s="55" t="str">
        <f t="shared" si="136"/>
        <v/>
      </c>
      <c r="H367" s="55" t="str">
        <f t="shared" si="137"/>
        <v/>
      </c>
      <c r="I367" s="55" t="str">
        <f t="shared" si="138"/>
        <v/>
      </c>
      <c r="J367" s="55" t="str">
        <f t="shared" si="139"/>
        <v/>
      </c>
      <c r="K367" s="55" t="str">
        <f t="shared" si="140"/>
        <v/>
      </c>
      <c r="L367" s="55" t="str">
        <f t="shared" si="141"/>
        <v/>
      </c>
      <c r="M367" s="60" t="str">
        <f t="shared" si="142"/>
        <v/>
      </c>
    </row>
    <row r="368" spans="3:25" hidden="1" x14ac:dyDescent="0.25">
      <c r="F368" s="59" t="str">
        <f t="shared" si="135"/>
        <v/>
      </c>
      <c r="G368" s="55" t="str">
        <f t="shared" si="136"/>
        <v/>
      </c>
      <c r="H368" s="55" t="str">
        <f t="shared" si="137"/>
        <v/>
      </c>
      <c r="I368" s="55" t="str">
        <f t="shared" si="138"/>
        <v/>
      </c>
      <c r="J368" s="55" t="str">
        <f t="shared" si="139"/>
        <v/>
      </c>
      <c r="K368" s="55" t="str">
        <f t="shared" si="140"/>
        <v/>
      </c>
      <c r="L368" s="55" t="str">
        <f t="shared" si="141"/>
        <v/>
      </c>
      <c r="M368" s="60" t="str">
        <f t="shared" si="142"/>
        <v/>
      </c>
    </row>
    <row r="369" spans="6:13" hidden="1" x14ac:dyDescent="0.25">
      <c r="F369" s="59" t="str">
        <f t="shared" si="135"/>
        <v/>
      </c>
      <c r="G369" s="55" t="str">
        <f t="shared" si="136"/>
        <v/>
      </c>
      <c r="H369" s="55" t="str">
        <f t="shared" si="137"/>
        <v/>
      </c>
      <c r="I369" s="55" t="str">
        <f t="shared" si="138"/>
        <v/>
      </c>
      <c r="J369" s="55" t="str">
        <f t="shared" si="139"/>
        <v/>
      </c>
      <c r="K369" s="55" t="str">
        <f t="shared" si="140"/>
        <v/>
      </c>
      <c r="L369" s="55" t="str">
        <f t="shared" si="141"/>
        <v/>
      </c>
      <c r="M369" s="60" t="str">
        <f t="shared" si="142"/>
        <v/>
      </c>
    </row>
    <row r="370" spans="6:13" hidden="1" x14ac:dyDescent="0.25">
      <c r="F370" s="59" t="str">
        <f t="shared" si="135"/>
        <v/>
      </c>
      <c r="G370" s="55" t="str">
        <f t="shared" si="136"/>
        <v/>
      </c>
      <c r="H370" s="55" t="str">
        <f t="shared" si="137"/>
        <v/>
      </c>
      <c r="I370" s="55" t="str">
        <f t="shared" si="138"/>
        <v/>
      </c>
      <c r="J370" s="55" t="str">
        <f t="shared" si="139"/>
        <v/>
      </c>
      <c r="K370" s="55" t="str">
        <f t="shared" si="140"/>
        <v/>
      </c>
      <c r="L370" s="55" t="str">
        <f t="shared" si="141"/>
        <v/>
      </c>
      <c r="M370" s="60" t="str">
        <f t="shared" si="142"/>
        <v/>
      </c>
    </row>
    <row r="371" spans="6:13" hidden="1" x14ac:dyDescent="0.25">
      <c r="F371" s="59" t="str">
        <f t="shared" si="135"/>
        <v/>
      </c>
      <c r="G371" s="55" t="str">
        <f t="shared" si="136"/>
        <v/>
      </c>
      <c r="H371" s="55" t="str">
        <f t="shared" si="137"/>
        <v/>
      </c>
      <c r="I371" s="55" t="str">
        <f t="shared" si="138"/>
        <v/>
      </c>
      <c r="J371" s="55" t="str">
        <f t="shared" si="139"/>
        <v/>
      </c>
      <c r="K371" s="55" t="str">
        <f t="shared" si="140"/>
        <v/>
      </c>
      <c r="L371" s="55" t="str">
        <f t="shared" si="141"/>
        <v/>
      </c>
      <c r="M371" s="60" t="str">
        <f t="shared" si="142"/>
        <v/>
      </c>
    </row>
    <row r="372" spans="6:13" hidden="1" x14ac:dyDescent="0.25">
      <c r="F372" s="59" t="str">
        <f t="shared" si="135"/>
        <v/>
      </c>
      <c r="G372" s="55" t="str">
        <f t="shared" si="136"/>
        <v/>
      </c>
      <c r="H372" s="55" t="str">
        <f t="shared" si="137"/>
        <v/>
      </c>
      <c r="I372" s="55" t="str">
        <f t="shared" si="138"/>
        <v/>
      </c>
      <c r="J372" s="55" t="str">
        <f t="shared" si="139"/>
        <v/>
      </c>
      <c r="K372" s="55" t="str">
        <f t="shared" si="140"/>
        <v/>
      </c>
      <c r="L372" s="55" t="str">
        <f t="shared" si="141"/>
        <v/>
      </c>
      <c r="M372" s="60" t="str">
        <f t="shared" si="142"/>
        <v/>
      </c>
    </row>
    <row r="373" spans="6:13" hidden="1" x14ac:dyDescent="0.25">
      <c r="F373" s="59" t="str">
        <f t="shared" si="135"/>
        <v/>
      </c>
      <c r="G373" s="55" t="str">
        <f t="shared" si="136"/>
        <v/>
      </c>
      <c r="H373" s="55" t="str">
        <f t="shared" si="137"/>
        <v/>
      </c>
      <c r="I373" s="55" t="str">
        <f t="shared" si="138"/>
        <v/>
      </c>
      <c r="J373" s="55" t="str">
        <f t="shared" si="139"/>
        <v/>
      </c>
      <c r="K373" s="55" t="str">
        <f t="shared" si="140"/>
        <v/>
      </c>
      <c r="L373" s="55" t="str">
        <f t="shared" si="141"/>
        <v/>
      </c>
      <c r="M373" s="60" t="str">
        <f t="shared" si="142"/>
        <v/>
      </c>
    </row>
    <row r="374" spans="6:13" hidden="1" x14ac:dyDescent="0.25">
      <c r="F374" s="59" t="str">
        <f t="shared" si="135"/>
        <v/>
      </c>
      <c r="G374" s="55" t="str">
        <f t="shared" si="136"/>
        <v/>
      </c>
      <c r="H374" s="55" t="str">
        <f t="shared" si="137"/>
        <v/>
      </c>
      <c r="I374" s="55" t="str">
        <f t="shared" si="138"/>
        <v/>
      </c>
      <c r="J374" s="55" t="str">
        <f t="shared" si="139"/>
        <v/>
      </c>
      <c r="K374" s="55" t="str">
        <f t="shared" si="140"/>
        <v/>
      </c>
      <c r="L374" s="55" t="str">
        <f t="shared" si="141"/>
        <v/>
      </c>
      <c r="M374" s="60" t="str">
        <f t="shared" si="142"/>
        <v/>
      </c>
    </row>
    <row r="375" spans="6:13" hidden="1" x14ac:dyDescent="0.25">
      <c r="F375" s="59" t="str">
        <f t="shared" si="135"/>
        <v/>
      </c>
      <c r="G375" s="55" t="str">
        <f t="shared" si="136"/>
        <v/>
      </c>
      <c r="H375" s="55" t="str">
        <f t="shared" si="137"/>
        <v/>
      </c>
      <c r="I375" s="55" t="str">
        <f t="shared" si="138"/>
        <v/>
      </c>
      <c r="J375" s="55" t="str">
        <f t="shared" si="139"/>
        <v/>
      </c>
      <c r="K375" s="55" t="str">
        <f t="shared" si="140"/>
        <v/>
      </c>
      <c r="L375" s="55" t="str">
        <f t="shared" si="141"/>
        <v/>
      </c>
      <c r="M375" s="60" t="str">
        <f t="shared" si="142"/>
        <v/>
      </c>
    </row>
    <row r="376" spans="6:13" hidden="1" x14ac:dyDescent="0.25">
      <c r="F376" s="59" t="str">
        <f t="shared" si="135"/>
        <v/>
      </c>
      <c r="G376" s="55" t="str">
        <f t="shared" si="136"/>
        <v/>
      </c>
      <c r="H376" s="55" t="str">
        <f t="shared" si="137"/>
        <v/>
      </c>
      <c r="I376" s="55" t="str">
        <f t="shared" si="138"/>
        <v/>
      </c>
      <c r="J376" s="55" t="str">
        <f t="shared" si="139"/>
        <v/>
      </c>
      <c r="K376" s="55" t="str">
        <f t="shared" si="140"/>
        <v/>
      </c>
      <c r="L376" s="55" t="str">
        <f t="shared" si="141"/>
        <v/>
      </c>
      <c r="M376" s="60" t="str">
        <f t="shared" si="142"/>
        <v/>
      </c>
    </row>
    <row r="377" spans="6:13" hidden="1" x14ac:dyDescent="0.25">
      <c r="F377" s="59" t="str">
        <f t="shared" si="135"/>
        <v/>
      </c>
      <c r="G377" s="55" t="str">
        <f t="shared" si="136"/>
        <v/>
      </c>
      <c r="H377" s="55" t="str">
        <f t="shared" si="137"/>
        <v/>
      </c>
      <c r="I377" s="55" t="str">
        <f t="shared" si="138"/>
        <v/>
      </c>
      <c r="J377" s="55" t="str">
        <f t="shared" si="139"/>
        <v/>
      </c>
      <c r="K377" s="55" t="str">
        <f t="shared" si="140"/>
        <v/>
      </c>
      <c r="L377" s="55" t="str">
        <f t="shared" si="141"/>
        <v/>
      </c>
      <c r="M377" s="60" t="str">
        <f t="shared" si="142"/>
        <v/>
      </c>
    </row>
    <row r="378" spans="6:13" hidden="1" x14ac:dyDescent="0.25">
      <c r="F378" s="59" t="str">
        <f t="shared" si="135"/>
        <v/>
      </c>
      <c r="G378" s="55" t="str">
        <f t="shared" si="136"/>
        <v/>
      </c>
      <c r="H378" s="55" t="str">
        <f t="shared" si="137"/>
        <v/>
      </c>
      <c r="I378" s="55" t="str">
        <f t="shared" si="138"/>
        <v/>
      </c>
      <c r="J378" s="55" t="str">
        <f t="shared" si="139"/>
        <v/>
      </c>
      <c r="K378" s="55" t="str">
        <f t="shared" si="140"/>
        <v/>
      </c>
      <c r="L378" s="55" t="str">
        <f t="shared" si="141"/>
        <v/>
      </c>
      <c r="M378" s="60" t="str">
        <f t="shared" si="142"/>
        <v/>
      </c>
    </row>
    <row r="379" spans="6:13" hidden="1" x14ac:dyDescent="0.25">
      <c r="F379" s="59" t="str">
        <f t="shared" si="135"/>
        <v/>
      </c>
      <c r="G379" s="55" t="str">
        <f t="shared" si="136"/>
        <v/>
      </c>
      <c r="H379" s="55" t="str">
        <f t="shared" si="137"/>
        <v/>
      </c>
      <c r="I379" s="55" t="str">
        <f t="shared" si="138"/>
        <v/>
      </c>
      <c r="J379" s="55" t="str">
        <f t="shared" si="139"/>
        <v/>
      </c>
      <c r="K379" s="55" t="str">
        <f t="shared" si="140"/>
        <v/>
      </c>
      <c r="L379" s="55" t="str">
        <f t="shared" si="141"/>
        <v/>
      </c>
      <c r="M379" s="60" t="str">
        <f t="shared" si="142"/>
        <v/>
      </c>
    </row>
    <row r="380" spans="6:13" hidden="1" x14ac:dyDescent="0.25">
      <c r="F380" s="59" t="str">
        <f t="shared" si="135"/>
        <v/>
      </c>
      <c r="G380" s="55" t="str">
        <f t="shared" si="136"/>
        <v/>
      </c>
      <c r="H380" s="55" t="str">
        <f t="shared" si="137"/>
        <v/>
      </c>
      <c r="I380" s="55" t="str">
        <f t="shared" si="138"/>
        <v/>
      </c>
      <c r="J380" s="55" t="str">
        <f t="shared" si="139"/>
        <v/>
      </c>
      <c r="K380" s="55" t="str">
        <f t="shared" si="140"/>
        <v/>
      </c>
      <c r="L380" s="55" t="str">
        <f t="shared" si="141"/>
        <v/>
      </c>
      <c r="M380" s="60" t="str">
        <f t="shared" si="142"/>
        <v/>
      </c>
    </row>
    <row r="381" spans="6:13" hidden="1" x14ac:dyDescent="0.25">
      <c r="F381" s="59" t="str">
        <f t="shared" si="135"/>
        <v/>
      </c>
      <c r="G381" s="55" t="str">
        <f t="shared" si="136"/>
        <v/>
      </c>
      <c r="H381" s="55" t="str">
        <f t="shared" si="137"/>
        <v/>
      </c>
      <c r="I381" s="55" t="str">
        <f t="shared" si="138"/>
        <v/>
      </c>
      <c r="J381" s="55" t="str">
        <f t="shared" si="139"/>
        <v/>
      </c>
      <c r="K381" s="55" t="str">
        <f t="shared" si="140"/>
        <v/>
      </c>
      <c r="L381" s="55" t="str">
        <f t="shared" si="141"/>
        <v/>
      </c>
      <c r="M381" s="60" t="str">
        <f t="shared" si="142"/>
        <v/>
      </c>
    </row>
    <row r="382" spans="6:13" hidden="1" x14ac:dyDescent="0.25">
      <c r="F382" s="59" t="str">
        <f t="shared" si="135"/>
        <v/>
      </c>
      <c r="G382" s="55" t="str">
        <f t="shared" si="136"/>
        <v/>
      </c>
      <c r="H382" s="55" t="str">
        <f t="shared" si="137"/>
        <v/>
      </c>
      <c r="I382" s="55" t="str">
        <f t="shared" si="138"/>
        <v/>
      </c>
      <c r="J382" s="55" t="str">
        <f t="shared" si="139"/>
        <v/>
      </c>
      <c r="K382" s="55" t="str">
        <f t="shared" si="140"/>
        <v/>
      </c>
      <c r="L382" s="55" t="str">
        <f t="shared" si="141"/>
        <v/>
      </c>
      <c r="M382" s="60" t="str">
        <f t="shared" si="142"/>
        <v/>
      </c>
    </row>
    <row r="383" spans="6:13" hidden="1" x14ac:dyDescent="0.25">
      <c r="F383" s="59" t="str">
        <f t="shared" si="135"/>
        <v/>
      </c>
      <c r="G383" s="55" t="str">
        <f t="shared" si="136"/>
        <v/>
      </c>
      <c r="H383" s="55" t="str">
        <f t="shared" si="137"/>
        <v/>
      </c>
      <c r="I383" s="55" t="str">
        <f t="shared" si="138"/>
        <v/>
      </c>
      <c r="J383" s="55" t="str">
        <f t="shared" si="139"/>
        <v/>
      </c>
      <c r="K383" s="55" t="str">
        <f t="shared" si="140"/>
        <v/>
      </c>
      <c r="L383" s="55" t="str">
        <f t="shared" si="141"/>
        <v/>
      </c>
      <c r="M383" s="60" t="str">
        <f t="shared" si="142"/>
        <v/>
      </c>
    </row>
    <row r="384" spans="6:13" hidden="1" x14ac:dyDescent="0.25">
      <c r="F384" s="59" t="str">
        <f t="shared" si="135"/>
        <v/>
      </c>
      <c r="G384" s="55" t="str">
        <f t="shared" si="136"/>
        <v/>
      </c>
      <c r="H384" s="55" t="str">
        <f t="shared" si="137"/>
        <v/>
      </c>
      <c r="I384" s="55" t="str">
        <f t="shared" si="138"/>
        <v/>
      </c>
      <c r="J384" s="55" t="str">
        <f t="shared" si="139"/>
        <v/>
      </c>
      <c r="K384" s="55" t="str">
        <f t="shared" si="140"/>
        <v/>
      </c>
      <c r="L384" s="55" t="str">
        <f t="shared" si="141"/>
        <v/>
      </c>
      <c r="M384" s="60" t="str">
        <f t="shared" si="142"/>
        <v/>
      </c>
    </row>
    <row r="385" spans="6:13" hidden="1" x14ac:dyDescent="0.25">
      <c r="F385" s="59" t="str">
        <f t="shared" si="135"/>
        <v/>
      </c>
      <c r="G385" s="55" t="str">
        <f t="shared" si="136"/>
        <v/>
      </c>
      <c r="H385" s="55" t="str">
        <f t="shared" si="137"/>
        <v/>
      </c>
      <c r="I385" s="55" t="str">
        <f t="shared" si="138"/>
        <v/>
      </c>
      <c r="J385" s="55" t="str">
        <f t="shared" si="139"/>
        <v/>
      </c>
      <c r="K385" s="55" t="str">
        <f t="shared" si="140"/>
        <v/>
      </c>
      <c r="L385" s="55" t="str">
        <f t="shared" si="141"/>
        <v/>
      </c>
      <c r="M385" s="60" t="str">
        <f t="shared" si="142"/>
        <v/>
      </c>
    </row>
    <row r="386" spans="6:13" hidden="1" x14ac:dyDescent="0.25">
      <c r="F386" s="59" t="str">
        <f t="shared" si="135"/>
        <v/>
      </c>
      <c r="G386" s="55" t="str">
        <f t="shared" si="136"/>
        <v/>
      </c>
      <c r="H386" s="55" t="str">
        <f t="shared" si="137"/>
        <v/>
      </c>
      <c r="I386" s="55" t="str">
        <f t="shared" si="138"/>
        <v/>
      </c>
      <c r="J386" s="55" t="str">
        <f t="shared" si="139"/>
        <v/>
      </c>
      <c r="K386" s="55" t="str">
        <f t="shared" si="140"/>
        <v/>
      </c>
      <c r="L386" s="55" t="str">
        <f t="shared" si="141"/>
        <v/>
      </c>
      <c r="M386" s="60" t="str">
        <f t="shared" si="142"/>
        <v/>
      </c>
    </row>
    <row r="387" spans="6:13" hidden="1" x14ac:dyDescent="0.25">
      <c r="F387" s="59" t="str">
        <f t="shared" si="135"/>
        <v/>
      </c>
      <c r="G387" s="55" t="str">
        <f t="shared" si="136"/>
        <v/>
      </c>
      <c r="H387" s="55" t="str">
        <f t="shared" si="137"/>
        <v/>
      </c>
      <c r="I387" s="55" t="str">
        <f t="shared" si="138"/>
        <v/>
      </c>
      <c r="J387" s="55" t="str">
        <f t="shared" si="139"/>
        <v/>
      </c>
      <c r="K387" s="55" t="str">
        <f t="shared" si="140"/>
        <v/>
      </c>
      <c r="L387" s="55" t="str">
        <f t="shared" si="141"/>
        <v/>
      </c>
      <c r="M387" s="60" t="str">
        <f t="shared" si="142"/>
        <v/>
      </c>
    </row>
    <row r="388" spans="6:13" hidden="1" x14ac:dyDescent="0.25">
      <c r="F388" s="59" t="str">
        <f t="shared" si="135"/>
        <v/>
      </c>
      <c r="G388" s="55" t="str">
        <f t="shared" si="136"/>
        <v/>
      </c>
      <c r="H388" s="55" t="str">
        <f t="shared" si="137"/>
        <v/>
      </c>
      <c r="I388" s="55" t="str">
        <f t="shared" si="138"/>
        <v/>
      </c>
      <c r="J388" s="55" t="str">
        <f t="shared" si="139"/>
        <v/>
      </c>
      <c r="K388" s="55" t="str">
        <f t="shared" si="140"/>
        <v/>
      </c>
      <c r="L388" s="55" t="str">
        <f t="shared" si="141"/>
        <v/>
      </c>
      <c r="M388" s="60" t="str">
        <f t="shared" si="142"/>
        <v/>
      </c>
    </row>
    <row r="389" spans="6:13" hidden="1" x14ac:dyDescent="0.25">
      <c r="F389" s="59" t="str">
        <f t="shared" si="135"/>
        <v/>
      </c>
      <c r="G389" s="55" t="str">
        <f t="shared" si="136"/>
        <v/>
      </c>
      <c r="H389" s="55" t="str">
        <f t="shared" si="137"/>
        <v/>
      </c>
      <c r="I389" s="55" t="str">
        <f t="shared" si="138"/>
        <v/>
      </c>
      <c r="J389" s="55" t="str">
        <f t="shared" si="139"/>
        <v/>
      </c>
      <c r="K389" s="55" t="str">
        <f t="shared" si="140"/>
        <v/>
      </c>
      <c r="L389" s="55" t="str">
        <f t="shared" si="141"/>
        <v/>
      </c>
      <c r="M389" s="60" t="str">
        <f t="shared" si="142"/>
        <v/>
      </c>
    </row>
    <row r="390" spans="6:13" hidden="1" x14ac:dyDescent="0.25">
      <c r="F390" s="59" t="str">
        <f t="shared" si="135"/>
        <v/>
      </c>
      <c r="G390" s="55" t="str">
        <f t="shared" si="136"/>
        <v/>
      </c>
      <c r="H390" s="55" t="str">
        <f t="shared" si="137"/>
        <v/>
      </c>
      <c r="I390" s="55" t="str">
        <f t="shared" si="138"/>
        <v/>
      </c>
      <c r="J390" s="55" t="str">
        <f t="shared" si="139"/>
        <v/>
      </c>
      <c r="K390" s="55" t="str">
        <f t="shared" si="140"/>
        <v/>
      </c>
      <c r="L390" s="55" t="str">
        <f t="shared" si="141"/>
        <v/>
      </c>
      <c r="M390" s="60" t="str">
        <f t="shared" si="142"/>
        <v/>
      </c>
    </row>
    <row r="391" spans="6:13" hidden="1" x14ac:dyDescent="0.25">
      <c r="F391" s="59" t="str">
        <f t="shared" si="135"/>
        <v/>
      </c>
      <c r="G391" s="55" t="str">
        <f t="shared" si="136"/>
        <v/>
      </c>
      <c r="H391" s="55" t="str">
        <f t="shared" si="137"/>
        <v/>
      </c>
      <c r="I391" s="55" t="str">
        <f t="shared" si="138"/>
        <v/>
      </c>
      <c r="J391" s="55" t="str">
        <f t="shared" si="139"/>
        <v/>
      </c>
      <c r="K391" s="55" t="str">
        <f t="shared" si="140"/>
        <v/>
      </c>
      <c r="L391" s="55" t="str">
        <f t="shared" si="141"/>
        <v/>
      </c>
      <c r="M391" s="60" t="str">
        <f t="shared" si="142"/>
        <v/>
      </c>
    </row>
    <row r="392" spans="6:13" hidden="1" x14ac:dyDescent="0.25">
      <c r="F392" s="59" t="str">
        <f t="shared" si="135"/>
        <v/>
      </c>
      <c r="G392" s="55" t="str">
        <f t="shared" si="136"/>
        <v/>
      </c>
      <c r="H392" s="55" t="str">
        <f t="shared" si="137"/>
        <v/>
      </c>
      <c r="I392" s="55" t="str">
        <f t="shared" si="138"/>
        <v/>
      </c>
      <c r="J392" s="55" t="str">
        <f t="shared" si="139"/>
        <v/>
      </c>
      <c r="K392" s="55" t="str">
        <f t="shared" si="140"/>
        <v/>
      </c>
      <c r="L392" s="55" t="str">
        <f t="shared" si="141"/>
        <v/>
      </c>
      <c r="M392" s="60" t="str">
        <f t="shared" si="142"/>
        <v/>
      </c>
    </row>
    <row r="393" spans="6:13" hidden="1" x14ac:dyDescent="0.25">
      <c r="F393" s="59" t="str">
        <f t="shared" si="135"/>
        <v/>
      </c>
      <c r="G393" s="55" t="str">
        <f t="shared" si="136"/>
        <v/>
      </c>
      <c r="H393" s="55" t="str">
        <f t="shared" si="137"/>
        <v/>
      </c>
      <c r="I393" s="55" t="str">
        <f t="shared" si="138"/>
        <v/>
      </c>
      <c r="J393" s="55" t="str">
        <f t="shared" si="139"/>
        <v/>
      </c>
      <c r="K393" s="55" t="str">
        <f t="shared" si="140"/>
        <v/>
      </c>
      <c r="L393" s="55" t="str">
        <f t="shared" si="141"/>
        <v/>
      </c>
      <c r="M393" s="60" t="str">
        <f t="shared" si="142"/>
        <v/>
      </c>
    </row>
    <row r="394" spans="6:13" hidden="1" x14ac:dyDescent="0.25">
      <c r="F394" s="59" t="str">
        <f t="shared" si="135"/>
        <v/>
      </c>
      <c r="G394" s="55" t="str">
        <f t="shared" si="136"/>
        <v/>
      </c>
      <c r="H394" s="55" t="str">
        <f t="shared" si="137"/>
        <v/>
      </c>
      <c r="I394" s="55" t="str">
        <f t="shared" si="138"/>
        <v/>
      </c>
      <c r="J394" s="55" t="str">
        <f t="shared" si="139"/>
        <v/>
      </c>
      <c r="K394" s="55" t="str">
        <f t="shared" si="140"/>
        <v/>
      </c>
      <c r="L394" s="55" t="str">
        <f t="shared" si="141"/>
        <v/>
      </c>
      <c r="M394" s="60" t="str">
        <f t="shared" si="142"/>
        <v/>
      </c>
    </row>
    <row r="395" spans="6:13" hidden="1" x14ac:dyDescent="0.25">
      <c r="F395" s="59" t="str">
        <f t="shared" si="135"/>
        <v/>
      </c>
      <c r="G395" s="55" t="str">
        <f t="shared" si="136"/>
        <v/>
      </c>
      <c r="H395" s="55" t="str">
        <f t="shared" si="137"/>
        <v/>
      </c>
      <c r="I395" s="55" t="str">
        <f t="shared" si="138"/>
        <v/>
      </c>
      <c r="J395" s="55" t="str">
        <f t="shared" si="139"/>
        <v/>
      </c>
      <c r="K395" s="55" t="str">
        <f t="shared" si="140"/>
        <v/>
      </c>
      <c r="L395" s="55" t="str">
        <f t="shared" si="141"/>
        <v/>
      </c>
      <c r="M395" s="60" t="str">
        <f t="shared" si="142"/>
        <v/>
      </c>
    </row>
    <row r="396" spans="6:13" hidden="1" x14ac:dyDescent="0.25">
      <c r="F396" s="59" t="str">
        <f t="shared" si="135"/>
        <v/>
      </c>
      <c r="G396" s="55" t="str">
        <f t="shared" si="136"/>
        <v/>
      </c>
      <c r="H396" s="55" t="str">
        <f t="shared" si="137"/>
        <v/>
      </c>
      <c r="I396" s="55" t="str">
        <f t="shared" si="138"/>
        <v/>
      </c>
      <c r="J396" s="55" t="str">
        <f t="shared" si="139"/>
        <v/>
      </c>
      <c r="K396" s="55" t="str">
        <f t="shared" si="140"/>
        <v/>
      </c>
      <c r="L396" s="55" t="str">
        <f t="shared" si="141"/>
        <v/>
      </c>
      <c r="M396" s="60" t="str">
        <f t="shared" si="142"/>
        <v/>
      </c>
    </row>
    <row r="397" spans="6:13" hidden="1" x14ac:dyDescent="0.25">
      <c r="F397" s="59" t="str">
        <f t="shared" ref="F397:F428" si="143">IF($D$359&gt;$E$359,$D262,$E262)</f>
        <v/>
      </c>
      <c r="G397" s="55" t="str">
        <f t="shared" ref="G397:G428" si="144">IF($F$359&gt;$G$359,$F262,$G262)</f>
        <v/>
      </c>
      <c r="H397" s="55" t="str">
        <f t="shared" ref="H397:H428" si="145">IF($H$359&gt;$I$359,$H262,$I262)</f>
        <v/>
      </c>
      <c r="I397" s="55" t="str">
        <f t="shared" ref="I397:I428" si="146">IF($J$359&gt;$K$359,$J262,$K262)</f>
        <v/>
      </c>
      <c r="J397" s="55" t="str">
        <f t="shared" ref="J397:J428" si="147">IF($O$359&gt;$P$359,$O262,$P262)</f>
        <v/>
      </c>
      <c r="K397" s="55" t="str">
        <f t="shared" ref="K397:K428" si="148">IF($Q$359&gt;$R$359,$Q262,$R262)</f>
        <v/>
      </c>
      <c r="L397" s="55" t="str">
        <f t="shared" ref="L397:L428" si="149">IF($V$359&gt;$W$359,$V262,$W262)</f>
        <v/>
      </c>
      <c r="M397" s="60" t="str">
        <f t="shared" ref="M397:M428" si="150">IF($X$359&gt;$Y$359,$X262,$Y262)</f>
        <v/>
      </c>
    </row>
    <row r="398" spans="6:13" hidden="1" x14ac:dyDescent="0.25">
      <c r="F398" s="59" t="str">
        <f t="shared" si="143"/>
        <v/>
      </c>
      <c r="G398" s="55" t="str">
        <f t="shared" si="144"/>
        <v/>
      </c>
      <c r="H398" s="55" t="str">
        <f t="shared" si="145"/>
        <v/>
      </c>
      <c r="I398" s="55" t="str">
        <f t="shared" si="146"/>
        <v/>
      </c>
      <c r="J398" s="55" t="str">
        <f t="shared" si="147"/>
        <v/>
      </c>
      <c r="K398" s="55" t="str">
        <f t="shared" si="148"/>
        <v/>
      </c>
      <c r="L398" s="55" t="str">
        <f t="shared" si="149"/>
        <v/>
      </c>
      <c r="M398" s="60" t="str">
        <f t="shared" si="150"/>
        <v/>
      </c>
    </row>
    <row r="399" spans="6:13" hidden="1" x14ac:dyDescent="0.25">
      <c r="F399" s="59" t="str">
        <f t="shared" si="143"/>
        <v/>
      </c>
      <c r="G399" s="55" t="str">
        <f t="shared" si="144"/>
        <v/>
      </c>
      <c r="H399" s="55" t="str">
        <f t="shared" si="145"/>
        <v/>
      </c>
      <c r="I399" s="55" t="str">
        <f t="shared" si="146"/>
        <v/>
      </c>
      <c r="J399" s="55" t="str">
        <f t="shared" si="147"/>
        <v/>
      </c>
      <c r="K399" s="55" t="str">
        <f t="shared" si="148"/>
        <v/>
      </c>
      <c r="L399" s="55" t="str">
        <f t="shared" si="149"/>
        <v/>
      </c>
      <c r="M399" s="60" t="str">
        <f t="shared" si="150"/>
        <v/>
      </c>
    </row>
    <row r="400" spans="6:13" hidden="1" x14ac:dyDescent="0.25">
      <c r="F400" s="59" t="str">
        <f t="shared" si="143"/>
        <v/>
      </c>
      <c r="G400" s="55" t="str">
        <f t="shared" si="144"/>
        <v/>
      </c>
      <c r="H400" s="55" t="str">
        <f t="shared" si="145"/>
        <v/>
      </c>
      <c r="I400" s="55" t="str">
        <f t="shared" si="146"/>
        <v/>
      </c>
      <c r="J400" s="55" t="str">
        <f t="shared" si="147"/>
        <v/>
      </c>
      <c r="K400" s="55" t="str">
        <f t="shared" si="148"/>
        <v/>
      </c>
      <c r="L400" s="55" t="str">
        <f t="shared" si="149"/>
        <v/>
      </c>
      <c r="M400" s="60" t="str">
        <f t="shared" si="150"/>
        <v/>
      </c>
    </row>
    <row r="401" spans="6:13" hidden="1" x14ac:dyDescent="0.25">
      <c r="F401" s="59" t="str">
        <f t="shared" si="143"/>
        <v/>
      </c>
      <c r="G401" s="55" t="str">
        <f t="shared" si="144"/>
        <v/>
      </c>
      <c r="H401" s="55" t="str">
        <f t="shared" si="145"/>
        <v/>
      </c>
      <c r="I401" s="55" t="str">
        <f t="shared" si="146"/>
        <v/>
      </c>
      <c r="J401" s="55" t="str">
        <f t="shared" si="147"/>
        <v/>
      </c>
      <c r="K401" s="55" t="str">
        <f t="shared" si="148"/>
        <v/>
      </c>
      <c r="L401" s="55" t="str">
        <f t="shared" si="149"/>
        <v/>
      </c>
      <c r="M401" s="60" t="str">
        <f t="shared" si="150"/>
        <v/>
      </c>
    </row>
    <row r="402" spans="6:13" hidden="1" x14ac:dyDescent="0.25">
      <c r="F402" s="59" t="str">
        <f t="shared" si="143"/>
        <v/>
      </c>
      <c r="G402" s="55" t="str">
        <f t="shared" si="144"/>
        <v/>
      </c>
      <c r="H402" s="55" t="str">
        <f t="shared" si="145"/>
        <v/>
      </c>
      <c r="I402" s="55" t="str">
        <f t="shared" si="146"/>
        <v/>
      </c>
      <c r="J402" s="55" t="str">
        <f t="shared" si="147"/>
        <v/>
      </c>
      <c r="K402" s="55" t="str">
        <f t="shared" si="148"/>
        <v/>
      </c>
      <c r="L402" s="55" t="str">
        <f t="shared" si="149"/>
        <v/>
      </c>
      <c r="M402" s="60" t="str">
        <f t="shared" si="150"/>
        <v/>
      </c>
    </row>
    <row r="403" spans="6:13" hidden="1" x14ac:dyDescent="0.25">
      <c r="F403" s="59" t="str">
        <f t="shared" si="143"/>
        <v/>
      </c>
      <c r="G403" s="55" t="str">
        <f t="shared" si="144"/>
        <v/>
      </c>
      <c r="H403" s="55" t="str">
        <f t="shared" si="145"/>
        <v/>
      </c>
      <c r="I403" s="55" t="str">
        <f t="shared" si="146"/>
        <v/>
      </c>
      <c r="J403" s="55" t="str">
        <f t="shared" si="147"/>
        <v/>
      </c>
      <c r="K403" s="55" t="str">
        <f t="shared" si="148"/>
        <v/>
      </c>
      <c r="L403" s="55" t="str">
        <f t="shared" si="149"/>
        <v/>
      </c>
      <c r="M403" s="60" t="str">
        <f t="shared" si="150"/>
        <v/>
      </c>
    </row>
    <row r="404" spans="6:13" hidden="1" x14ac:dyDescent="0.25">
      <c r="F404" s="59" t="str">
        <f t="shared" si="143"/>
        <v/>
      </c>
      <c r="G404" s="55" t="str">
        <f t="shared" si="144"/>
        <v/>
      </c>
      <c r="H404" s="55" t="str">
        <f t="shared" si="145"/>
        <v/>
      </c>
      <c r="I404" s="55" t="str">
        <f t="shared" si="146"/>
        <v/>
      </c>
      <c r="J404" s="55" t="str">
        <f t="shared" si="147"/>
        <v/>
      </c>
      <c r="K404" s="55" t="str">
        <f t="shared" si="148"/>
        <v/>
      </c>
      <c r="L404" s="55" t="str">
        <f t="shared" si="149"/>
        <v/>
      </c>
      <c r="M404" s="60" t="str">
        <f t="shared" si="150"/>
        <v/>
      </c>
    </row>
    <row r="405" spans="6:13" hidden="1" x14ac:dyDescent="0.25">
      <c r="F405" s="59" t="str">
        <f t="shared" si="143"/>
        <v/>
      </c>
      <c r="G405" s="55" t="str">
        <f t="shared" si="144"/>
        <v/>
      </c>
      <c r="H405" s="55" t="str">
        <f t="shared" si="145"/>
        <v/>
      </c>
      <c r="I405" s="55" t="str">
        <f t="shared" si="146"/>
        <v/>
      </c>
      <c r="J405" s="55" t="str">
        <f t="shared" si="147"/>
        <v/>
      </c>
      <c r="K405" s="55" t="str">
        <f t="shared" si="148"/>
        <v/>
      </c>
      <c r="L405" s="55" t="str">
        <f t="shared" si="149"/>
        <v/>
      </c>
      <c r="M405" s="60" t="str">
        <f t="shared" si="150"/>
        <v/>
      </c>
    </row>
    <row r="406" spans="6:13" hidden="1" x14ac:dyDescent="0.25">
      <c r="F406" s="59" t="str">
        <f t="shared" si="143"/>
        <v/>
      </c>
      <c r="G406" s="55" t="str">
        <f t="shared" si="144"/>
        <v/>
      </c>
      <c r="H406" s="55" t="str">
        <f t="shared" si="145"/>
        <v/>
      </c>
      <c r="I406" s="55" t="str">
        <f t="shared" si="146"/>
        <v/>
      </c>
      <c r="J406" s="55" t="str">
        <f t="shared" si="147"/>
        <v/>
      </c>
      <c r="K406" s="55" t="str">
        <f t="shared" si="148"/>
        <v/>
      </c>
      <c r="L406" s="55" t="str">
        <f t="shared" si="149"/>
        <v/>
      </c>
      <c r="M406" s="60" t="str">
        <f t="shared" si="150"/>
        <v/>
      </c>
    </row>
    <row r="407" spans="6:13" hidden="1" x14ac:dyDescent="0.25">
      <c r="F407" s="59" t="str">
        <f t="shared" si="143"/>
        <v/>
      </c>
      <c r="G407" s="55" t="str">
        <f t="shared" si="144"/>
        <v/>
      </c>
      <c r="H407" s="55" t="str">
        <f t="shared" si="145"/>
        <v/>
      </c>
      <c r="I407" s="55" t="str">
        <f t="shared" si="146"/>
        <v/>
      </c>
      <c r="J407" s="55" t="str">
        <f t="shared" si="147"/>
        <v/>
      </c>
      <c r="K407" s="55" t="str">
        <f t="shared" si="148"/>
        <v/>
      </c>
      <c r="L407" s="55" t="str">
        <f t="shared" si="149"/>
        <v/>
      </c>
      <c r="M407" s="60" t="str">
        <f t="shared" si="150"/>
        <v/>
      </c>
    </row>
    <row r="408" spans="6:13" hidden="1" x14ac:dyDescent="0.25">
      <c r="F408" s="59" t="str">
        <f t="shared" si="143"/>
        <v/>
      </c>
      <c r="G408" s="55" t="str">
        <f t="shared" si="144"/>
        <v/>
      </c>
      <c r="H408" s="55" t="str">
        <f t="shared" si="145"/>
        <v/>
      </c>
      <c r="I408" s="55" t="str">
        <f t="shared" si="146"/>
        <v/>
      </c>
      <c r="J408" s="55" t="str">
        <f t="shared" si="147"/>
        <v/>
      </c>
      <c r="K408" s="55" t="str">
        <f t="shared" si="148"/>
        <v/>
      </c>
      <c r="L408" s="55" t="str">
        <f t="shared" si="149"/>
        <v/>
      </c>
      <c r="M408" s="60" t="str">
        <f t="shared" si="150"/>
        <v/>
      </c>
    </row>
    <row r="409" spans="6:13" hidden="1" x14ac:dyDescent="0.25">
      <c r="F409" s="59" t="str">
        <f t="shared" si="143"/>
        <v/>
      </c>
      <c r="G409" s="55" t="str">
        <f t="shared" si="144"/>
        <v/>
      </c>
      <c r="H409" s="55" t="str">
        <f t="shared" si="145"/>
        <v/>
      </c>
      <c r="I409" s="55" t="str">
        <f t="shared" si="146"/>
        <v/>
      </c>
      <c r="J409" s="55" t="str">
        <f t="shared" si="147"/>
        <v/>
      </c>
      <c r="K409" s="55" t="str">
        <f t="shared" si="148"/>
        <v/>
      </c>
      <c r="L409" s="55" t="str">
        <f t="shared" si="149"/>
        <v/>
      </c>
      <c r="M409" s="60" t="str">
        <f t="shared" si="150"/>
        <v/>
      </c>
    </row>
    <row r="410" spans="6:13" hidden="1" x14ac:dyDescent="0.25">
      <c r="F410" s="59" t="str">
        <f t="shared" si="143"/>
        <v/>
      </c>
      <c r="G410" s="55" t="str">
        <f t="shared" si="144"/>
        <v/>
      </c>
      <c r="H410" s="55" t="str">
        <f t="shared" si="145"/>
        <v/>
      </c>
      <c r="I410" s="55" t="str">
        <f t="shared" si="146"/>
        <v/>
      </c>
      <c r="J410" s="55" t="str">
        <f t="shared" si="147"/>
        <v/>
      </c>
      <c r="K410" s="55" t="str">
        <f t="shared" si="148"/>
        <v/>
      </c>
      <c r="L410" s="55" t="str">
        <f t="shared" si="149"/>
        <v/>
      </c>
      <c r="M410" s="60" t="str">
        <f t="shared" si="150"/>
        <v/>
      </c>
    </row>
    <row r="411" spans="6:13" hidden="1" x14ac:dyDescent="0.25">
      <c r="F411" s="59" t="str">
        <f t="shared" si="143"/>
        <v/>
      </c>
      <c r="G411" s="55" t="str">
        <f t="shared" si="144"/>
        <v/>
      </c>
      <c r="H411" s="55" t="str">
        <f t="shared" si="145"/>
        <v/>
      </c>
      <c r="I411" s="55" t="str">
        <f t="shared" si="146"/>
        <v/>
      </c>
      <c r="J411" s="55" t="str">
        <f t="shared" si="147"/>
        <v/>
      </c>
      <c r="K411" s="55" t="str">
        <f t="shared" si="148"/>
        <v/>
      </c>
      <c r="L411" s="55" t="str">
        <f t="shared" si="149"/>
        <v/>
      </c>
      <c r="M411" s="60" t="str">
        <f t="shared" si="150"/>
        <v/>
      </c>
    </row>
    <row r="412" spans="6:13" hidden="1" x14ac:dyDescent="0.25">
      <c r="F412" s="59" t="str">
        <f t="shared" si="143"/>
        <v/>
      </c>
      <c r="G412" s="55" t="str">
        <f t="shared" si="144"/>
        <v/>
      </c>
      <c r="H412" s="55" t="str">
        <f t="shared" si="145"/>
        <v/>
      </c>
      <c r="I412" s="55" t="str">
        <f t="shared" si="146"/>
        <v/>
      </c>
      <c r="J412" s="55" t="str">
        <f t="shared" si="147"/>
        <v/>
      </c>
      <c r="K412" s="55" t="str">
        <f t="shared" si="148"/>
        <v/>
      </c>
      <c r="L412" s="55" t="str">
        <f t="shared" si="149"/>
        <v/>
      </c>
      <c r="M412" s="60" t="str">
        <f t="shared" si="150"/>
        <v/>
      </c>
    </row>
    <row r="413" spans="6:13" hidden="1" x14ac:dyDescent="0.25">
      <c r="F413" s="59" t="str">
        <f t="shared" si="143"/>
        <v/>
      </c>
      <c r="G413" s="55" t="str">
        <f t="shared" si="144"/>
        <v/>
      </c>
      <c r="H413" s="55" t="str">
        <f t="shared" si="145"/>
        <v/>
      </c>
      <c r="I413" s="55" t="str">
        <f t="shared" si="146"/>
        <v/>
      </c>
      <c r="J413" s="55" t="str">
        <f t="shared" si="147"/>
        <v/>
      </c>
      <c r="K413" s="55" t="str">
        <f t="shared" si="148"/>
        <v/>
      </c>
      <c r="L413" s="55" t="str">
        <f t="shared" si="149"/>
        <v/>
      </c>
      <c r="M413" s="60" t="str">
        <f t="shared" si="150"/>
        <v/>
      </c>
    </row>
    <row r="414" spans="6:13" hidden="1" x14ac:dyDescent="0.25">
      <c r="F414" s="59" t="str">
        <f t="shared" si="143"/>
        <v/>
      </c>
      <c r="G414" s="55" t="str">
        <f t="shared" si="144"/>
        <v/>
      </c>
      <c r="H414" s="55" t="str">
        <f t="shared" si="145"/>
        <v/>
      </c>
      <c r="I414" s="55" t="str">
        <f t="shared" si="146"/>
        <v/>
      </c>
      <c r="J414" s="55" t="str">
        <f t="shared" si="147"/>
        <v/>
      </c>
      <c r="K414" s="55" t="str">
        <f t="shared" si="148"/>
        <v/>
      </c>
      <c r="L414" s="55" t="str">
        <f t="shared" si="149"/>
        <v/>
      </c>
      <c r="M414" s="60" t="str">
        <f t="shared" si="150"/>
        <v/>
      </c>
    </row>
    <row r="415" spans="6:13" hidden="1" x14ac:dyDescent="0.25">
      <c r="F415" s="59" t="str">
        <f t="shared" si="143"/>
        <v/>
      </c>
      <c r="G415" s="55" t="str">
        <f t="shared" si="144"/>
        <v/>
      </c>
      <c r="H415" s="55" t="str">
        <f t="shared" si="145"/>
        <v/>
      </c>
      <c r="I415" s="55" t="str">
        <f t="shared" si="146"/>
        <v/>
      </c>
      <c r="J415" s="55" t="str">
        <f t="shared" si="147"/>
        <v/>
      </c>
      <c r="K415" s="55" t="str">
        <f t="shared" si="148"/>
        <v/>
      </c>
      <c r="L415" s="55" t="str">
        <f t="shared" si="149"/>
        <v/>
      </c>
      <c r="M415" s="60" t="str">
        <f t="shared" si="150"/>
        <v/>
      </c>
    </row>
    <row r="416" spans="6:13" hidden="1" x14ac:dyDescent="0.25">
      <c r="F416" s="59" t="str">
        <f t="shared" si="143"/>
        <v/>
      </c>
      <c r="G416" s="55" t="str">
        <f t="shared" si="144"/>
        <v/>
      </c>
      <c r="H416" s="55" t="str">
        <f t="shared" si="145"/>
        <v/>
      </c>
      <c r="I416" s="55" t="str">
        <f t="shared" si="146"/>
        <v/>
      </c>
      <c r="J416" s="55" t="str">
        <f t="shared" si="147"/>
        <v/>
      </c>
      <c r="K416" s="55" t="str">
        <f t="shared" si="148"/>
        <v/>
      </c>
      <c r="L416" s="55" t="str">
        <f t="shared" si="149"/>
        <v/>
      </c>
      <c r="M416" s="60" t="str">
        <f t="shared" si="150"/>
        <v/>
      </c>
    </row>
    <row r="417" spans="6:13" hidden="1" x14ac:dyDescent="0.25">
      <c r="F417" s="59" t="str">
        <f t="shared" si="143"/>
        <v/>
      </c>
      <c r="G417" s="55" t="str">
        <f t="shared" si="144"/>
        <v/>
      </c>
      <c r="H417" s="55" t="str">
        <f t="shared" si="145"/>
        <v/>
      </c>
      <c r="I417" s="55" t="str">
        <f t="shared" si="146"/>
        <v/>
      </c>
      <c r="J417" s="55" t="str">
        <f t="shared" si="147"/>
        <v/>
      </c>
      <c r="K417" s="55" t="str">
        <f t="shared" si="148"/>
        <v/>
      </c>
      <c r="L417" s="55" t="str">
        <f t="shared" si="149"/>
        <v/>
      </c>
      <c r="M417" s="60" t="str">
        <f t="shared" si="150"/>
        <v/>
      </c>
    </row>
    <row r="418" spans="6:13" hidden="1" x14ac:dyDescent="0.25">
      <c r="F418" s="59" t="str">
        <f t="shared" si="143"/>
        <v/>
      </c>
      <c r="G418" s="55" t="str">
        <f t="shared" si="144"/>
        <v/>
      </c>
      <c r="H418" s="55" t="str">
        <f t="shared" si="145"/>
        <v/>
      </c>
      <c r="I418" s="55" t="str">
        <f t="shared" si="146"/>
        <v/>
      </c>
      <c r="J418" s="55" t="str">
        <f t="shared" si="147"/>
        <v/>
      </c>
      <c r="K418" s="55" t="str">
        <f t="shared" si="148"/>
        <v/>
      </c>
      <c r="L418" s="55" t="str">
        <f t="shared" si="149"/>
        <v/>
      </c>
      <c r="M418" s="60" t="str">
        <f t="shared" si="150"/>
        <v/>
      </c>
    </row>
    <row r="419" spans="6:13" hidden="1" x14ac:dyDescent="0.25">
      <c r="F419" s="59" t="str">
        <f t="shared" si="143"/>
        <v/>
      </c>
      <c r="G419" s="55" t="str">
        <f t="shared" si="144"/>
        <v/>
      </c>
      <c r="H419" s="55" t="str">
        <f t="shared" si="145"/>
        <v/>
      </c>
      <c r="I419" s="55" t="str">
        <f t="shared" si="146"/>
        <v/>
      </c>
      <c r="J419" s="55" t="str">
        <f t="shared" si="147"/>
        <v/>
      </c>
      <c r="K419" s="55" t="str">
        <f t="shared" si="148"/>
        <v/>
      </c>
      <c r="L419" s="55" t="str">
        <f t="shared" si="149"/>
        <v/>
      </c>
      <c r="M419" s="60" t="str">
        <f t="shared" si="150"/>
        <v/>
      </c>
    </row>
    <row r="420" spans="6:13" hidden="1" x14ac:dyDescent="0.25">
      <c r="F420" s="59" t="str">
        <f t="shared" si="143"/>
        <v/>
      </c>
      <c r="G420" s="55" t="str">
        <f t="shared" si="144"/>
        <v/>
      </c>
      <c r="H420" s="55" t="str">
        <f t="shared" si="145"/>
        <v/>
      </c>
      <c r="I420" s="55" t="str">
        <f t="shared" si="146"/>
        <v/>
      </c>
      <c r="J420" s="55" t="str">
        <f t="shared" si="147"/>
        <v/>
      </c>
      <c r="K420" s="55" t="str">
        <f t="shared" si="148"/>
        <v/>
      </c>
      <c r="L420" s="55" t="str">
        <f t="shared" si="149"/>
        <v/>
      </c>
      <c r="M420" s="60" t="str">
        <f t="shared" si="150"/>
        <v/>
      </c>
    </row>
    <row r="421" spans="6:13" hidden="1" x14ac:dyDescent="0.25">
      <c r="F421" s="59" t="str">
        <f t="shared" si="143"/>
        <v/>
      </c>
      <c r="G421" s="55" t="str">
        <f t="shared" si="144"/>
        <v/>
      </c>
      <c r="H421" s="55" t="str">
        <f t="shared" si="145"/>
        <v/>
      </c>
      <c r="I421" s="55" t="str">
        <f t="shared" si="146"/>
        <v/>
      </c>
      <c r="J421" s="55" t="str">
        <f t="shared" si="147"/>
        <v/>
      </c>
      <c r="K421" s="55" t="str">
        <f t="shared" si="148"/>
        <v/>
      </c>
      <c r="L421" s="55" t="str">
        <f t="shared" si="149"/>
        <v/>
      </c>
      <c r="M421" s="60" t="str">
        <f t="shared" si="150"/>
        <v/>
      </c>
    </row>
    <row r="422" spans="6:13" hidden="1" x14ac:dyDescent="0.25">
      <c r="F422" s="59" t="str">
        <f t="shared" si="143"/>
        <v/>
      </c>
      <c r="G422" s="55" t="str">
        <f t="shared" si="144"/>
        <v/>
      </c>
      <c r="H422" s="55" t="str">
        <f t="shared" si="145"/>
        <v/>
      </c>
      <c r="I422" s="55" t="str">
        <f t="shared" si="146"/>
        <v/>
      </c>
      <c r="J422" s="55" t="str">
        <f t="shared" si="147"/>
        <v/>
      </c>
      <c r="K422" s="55" t="str">
        <f t="shared" si="148"/>
        <v/>
      </c>
      <c r="L422" s="55" t="str">
        <f t="shared" si="149"/>
        <v/>
      </c>
      <c r="M422" s="60" t="str">
        <f t="shared" si="150"/>
        <v/>
      </c>
    </row>
    <row r="423" spans="6:13" hidden="1" x14ac:dyDescent="0.25">
      <c r="F423" s="59" t="str">
        <f t="shared" si="143"/>
        <v/>
      </c>
      <c r="G423" s="55" t="str">
        <f t="shared" si="144"/>
        <v/>
      </c>
      <c r="H423" s="55" t="str">
        <f t="shared" si="145"/>
        <v/>
      </c>
      <c r="I423" s="55" t="str">
        <f t="shared" si="146"/>
        <v/>
      </c>
      <c r="J423" s="55" t="str">
        <f t="shared" si="147"/>
        <v/>
      </c>
      <c r="K423" s="55" t="str">
        <f t="shared" si="148"/>
        <v/>
      </c>
      <c r="L423" s="55" t="str">
        <f t="shared" si="149"/>
        <v/>
      </c>
      <c r="M423" s="60" t="str">
        <f t="shared" si="150"/>
        <v/>
      </c>
    </row>
    <row r="424" spans="6:13" hidden="1" x14ac:dyDescent="0.25">
      <c r="F424" s="59" t="str">
        <f t="shared" si="143"/>
        <v/>
      </c>
      <c r="G424" s="55" t="str">
        <f t="shared" si="144"/>
        <v/>
      </c>
      <c r="H424" s="55" t="str">
        <f t="shared" si="145"/>
        <v/>
      </c>
      <c r="I424" s="55" t="str">
        <f t="shared" si="146"/>
        <v/>
      </c>
      <c r="J424" s="55" t="str">
        <f t="shared" si="147"/>
        <v/>
      </c>
      <c r="K424" s="55" t="str">
        <f t="shared" si="148"/>
        <v/>
      </c>
      <c r="L424" s="55" t="str">
        <f t="shared" si="149"/>
        <v/>
      </c>
      <c r="M424" s="60" t="str">
        <f t="shared" si="150"/>
        <v/>
      </c>
    </row>
    <row r="425" spans="6:13" hidden="1" x14ac:dyDescent="0.25">
      <c r="F425" s="59" t="str">
        <f t="shared" si="143"/>
        <v/>
      </c>
      <c r="G425" s="55" t="str">
        <f t="shared" si="144"/>
        <v/>
      </c>
      <c r="H425" s="55" t="str">
        <f t="shared" si="145"/>
        <v/>
      </c>
      <c r="I425" s="55" t="str">
        <f t="shared" si="146"/>
        <v/>
      </c>
      <c r="J425" s="55" t="str">
        <f t="shared" si="147"/>
        <v/>
      </c>
      <c r="K425" s="55" t="str">
        <f t="shared" si="148"/>
        <v/>
      </c>
      <c r="L425" s="55" t="str">
        <f t="shared" si="149"/>
        <v/>
      </c>
      <c r="M425" s="60" t="str">
        <f t="shared" si="150"/>
        <v/>
      </c>
    </row>
    <row r="426" spans="6:13" hidden="1" x14ac:dyDescent="0.25">
      <c r="F426" s="59" t="str">
        <f t="shared" si="143"/>
        <v/>
      </c>
      <c r="G426" s="55" t="str">
        <f t="shared" si="144"/>
        <v/>
      </c>
      <c r="H426" s="55" t="str">
        <f t="shared" si="145"/>
        <v/>
      </c>
      <c r="I426" s="55" t="str">
        <f t="shared" si="146"/>
        <v/>
      </c>
      <c r="J426" s="55" t="str">
        <f t="shared" si="147"/>
        <v/>
      </c>
      <c r="K426" s="55" t="str">
        <f t="shared" si="148"/>
        <v/>
      </c>
      <c r="L426" s="55" t="str">
        <f t="shared" si="149"/>
        <v/>
      </c>
      <c r="M426" s="60" t="str">
        <f t="shared" si="150"/>
        <v/>
      </c>
    </row>
    <row r="427" spans="6:13" hidden="1" x14ac:dyDescent="0.25">
      <c r="F427" s="59" t="str">
        <f t="shared" si="143"/>
        <v/>
      </c>
      <c r="G427" s="55" t="str">
        <f t="shared" si="144"/>
        <v/>
      </c>
      <c r="H427" s="55" t="str">
        <f t="shared" si="145"/>
        <v/>
      </c>
      <c r="I427" s="55" t="str">
        <f t="shared" si="146"/>
        <v/>
      </c>
      <c r="J427" s="55" t="str">
        <f t="shared" si="147"/>
        <v/>
      </c>
      <c r="K427" s="55" t="str">
        <f t="shared" si="148"/>
        <v/>
      </c>
      <c r="L427" s="55" t="str">
        <f t="shared" si="149"/>
        <v/>
      </c>
      <c r="M427" s="60" t="str">
        <f t="shared" si="150"/>
        <v/>
      </c>
    </row>
    <row r="428" spans="6:13" hidden="1" x14ac:dyDescent="0.25">
      <c r="F428" s="59" t="str">
        <f t="shared" si="143"/>
        <v/>
      </c>
      <c r="G428" s="55" t="str">
        <f t="shared" si="144"/>
        <v/>
      </c>
      <c r="H428" s="55" t="str">
        <f t="shared" si="145"/>
        <v/>
      </c>
      <c r="I428" s="55" t="str">
        <f t="shared" si="146"/>
        <v/>
      </c>
      <c r="J428" s="55" t="str">
        <f t="shared" si="147"/>
        <v/>
      </c>
      <c r="K428" s="55" t="str">
        <f t="shared" si="148"/>
        <v/>
      </c>
      <c r="L428" s="55" t="str">
        <f t="shared" si="149"/>
        <v/>
      </c>
      <c r="M428" s="60" t="str">
        <f t="shared" si="150"/>
        <v/>
      </c>
    </row>
    <row r="429" spans="6:13" hidden="1" x14ac:dyDescent="0.25">
      <c r="F429" s="59" t="str">
        <f t="shared" ref="F429:F460" si="151">IF($D$359&gt;$E$359,$D294,$E294)</f>
        <v/>
      </c>
      <c r="G429" s="55" t="str">
        <f t="shared" ref="G429:G460" si="152">IF($F$359&gt;$G$359,$F294,$G294)</f>
        <v/>
      </c>
      <c r="H429" s="55" t="str">
        <f t="shared" ref="H429:H460" si="153">IF($H$359&gt;$I$359,$H294,$I294)</f>
        <v/>
      </c>
      <c r="I429" s="55" t="str">
        <f t="shared" ref="I429:I460" si="154">IF($J$359&gt;$K$359,$J294,$K294)</f>
        <v/>
      </c>
      <c r="J429" s="55" t="str">
        <f t="shared" ref="J429:J460" si="155">IF($O$359&gt;$P$359,$O294,$P294)</f>
        <v/>
      </c>
      <c r="K429" s="55" t="str">
        <f t="shared" ref="K429:K460" si="156">IF($Q$359&gt;$R$359,$Q294,$R294)</f>
        <v/>
      </c>
      <c r="L429" s="55" t="str">
        <f t="shared" ref="L429:L460" si="157">IF($V$359&gt;$W$359,$V294,$W294)</f>
        <v/>
      </c>
      <c r="M429" s="60" t="str">
        <f t="shared" ref="M429:M460" si="158">IF($X$359&gt;$Y$359,$X294,$Y294)</f>
        <v/>
      </c>
    </row>
    <row r="430" spans="6:13" hidden="1" x14ac:dyDescent="0.25">
      <c r="F430" s="59" t="str">
        <f t="shared" si="151"/>
        <v/>
      </c>
      <c r="G430" s="55" t="str">
        <f t="shared" si="152"/>
        <v/>
      </c>
      <c r="H430" s="55" t="str">
        <f t="shared" si="153"/>
        <v/>
      </c>
      <c r="I430" s="55" t="str">
        <f t="shared" si="154"/>
        <v/>
      </c>
      <c r="J430" s="55" t="str">
        <f t="shared" si="155"/>
        <v/>
      </c>
      <c r="K430" s="55" t="str">
        <f t="shared" si="156"/>
        <v/>
      </c>
      <c r="L430" s="55" t="str">
        <f t="shared" si="157"/>
        <v/>
      </c>
      <c r="M430" s="60" t="str">
        <f t="shared" si="158"/>
        <v/>
      </c>
    </row>
    <row r="431" spans="6:13" hidden="1" x14ac:dyDescent="0.25">
      <c r="F431" s="59" t="str">
        <f t="shared" si="151"/>
        <v/>
      </c>
      <c r="G431" s="55" t="str">
        <f t="shared" si="152"/>
        <v/>
      </c>
      <c r="H431" s="55" t="str">
        <f t="shared" si="153"/>
        <v/>
      </c>
      <c r="I431" s="55" t="str">
        <f t="shared" si="154"/>
        <v/>
      </c>
      <c r="J431" s="55" t="str">
        <f t="shared" si="155"/>
        <v/>
      </c>
      <c r="K431" s="55" t="str">
        <f t="shared" si="156"/>
        <v/>
      </c>
      <c r="L431" s="55" t="str">
        <f t="shared" si="157"/>
        <v/>
      </c>
      <c r="M431" s="60" t="str">
        <f t="shared" si="158"/>
        <v/>
      </c>
    </row>
    <row r="432" spans="6:13" hidden="1" x14ac:dyDescent="0.25">
      <c r="F432" s="59" t="str">
        <f t="shared" si="151"/>
        <v/>
      </c>
      <c r="G432" s="55" t="str">
        <f t="shared" si="152"/>
        <v/>
      </c>
      <c r="H432" s="55" t="str">
        <f t="shared" si="153"/>
        <v/>
      </c>
      <c r="I432" s="55" t="str">
        <f t="shared" si="154"/>
        <v/>
      </c>
      <c r="J432" s="55" t="str">
        <f t="shared" si="155"/>
        <v/>
      </c>
      <c r="K432" s="55" t="str">
        <f t="shared" si="156"/>
        <v/>
      </c>
      <c r="L432" s="55" t="str">
        <f t="shared" si="157"/>
        <v/>
      </c>
      <c r="M432" s="60" t="str">
        <f t="shared" si="158"/>
        <v/>
      </c>
    </row>
    <row r="433" spans="6:13" hidden="1" x14ac:dyDescent="0.25">
      <c r="F433" s="59" t="str">
        <f t="shared" si="151"/>
        <v/>
      </c>
      <c r="G433" s="55" t="str">
        <f t="shared" si="152"/>
        <v/>
      </c>
      <c r="H433" s="55" t="str">
        <f t="shared" si="153"/>
        <v/>
      </c>
      <c r="I433" s="55" t="str">
        <f t="shared" si="154"/>
        <v/>
      </c>
      <c r="J433" s="55" t="str">
        <f t="shared" si="155"/>
        <v/>
      </c>
      <c r="K433" s="55" t="str">
        <f t="shared" si="156"/>
        <v/>
      </c>
      <c r="L433" s="55" t="str">
        <f t="shared" si="157"/>
        <v/>
      </c>
      <c r="M433" s="60" t="str">
        <f t="shared" si="158"/>
        <v/>
      </c>
    </row>
    <row r="434" spans="6:13" hidden="1" x14ac:dyDescent="0.25">
      <c r="F434" s="59" t="str">
        <f t="shared" si="151"/>
        <v/>
      </c>
      <c r="G434" s="55" t="str">
        <f t="shared" si="152"/>
        <v/>
      </c>
      <c r="H434" s="55" t="str">
        <f t="shared" si="153"/>
        <v/>
      </c>
      <c r="I434" s="55" t="str">
        <f t="shared" si="154"/>
        <v/>
      </c>
      <c r="J434" s="55" t="str">
        <f t="shared" si="155"/>
        <v/>
      </c>
      <c r="K434" s="55" t="str">
        <f t="shared" si="156"/>
        <v/>
      </c>
      <c r="L434" s="55" t="str">
        <f t="shared" si="157"/>
        <v/>
      </c>
      <c r="M434" s="60" t="str">
        <f t="shared" si="158"/>
        <v/>
      </c>
    </row>
    <row r="435" spans="6:13" hidden="1" x14ac:dyDescent="0.25">
      <c r="F435" s="59" t="str">
        <f t="shared" si="151"/>
        <v/>
      </c>
      <c r="G435" s="55" t="str">
        <f t="shared" si="152"/>
        <v/>
      </c>
      <c r="H435" s="55" t="str">
        <f t="shared" si="153"/>
        <v/>
      </c>
      <c r="I435" s="55" t="str">
        <f t="shared" si="154"/>
        <v/>
      </c>
      <c r="J435" s="55" t="str">
        <f t="shared" si="155"/>
        <v/>
      </c>
      <c r="K435" s="55" t="str">
        <f t="shared" si="156"/>
        <v/>
      </c>
      <c r="L435" s="55" t="str">
        <f t="shared" si="157"/>
        <v/>
      </c>
      <c r="M435" s="60" t="str">
        <f t="shared" si="158"/>
        <v/>
      </c>
    </row>
    <row r="436" spans="6:13" hidden="1" x14ac:dyDescent="0.25">
      <c r="F436" s="59" t="str">
        <f t="shared" si="151"/>
        <v/>
      </c>
      <c r="G436" s="55" t="str">
        <f t="shared" si="152"/>
        <v/>
      </c>
      <c r="H436" s="55" t="str">
        <f t="shared" si="153"/>
        <v/>
      </c>
      <c r="I436" s="55" t="str">
        <f t="shared" si="154"/>
        <v/>
      </c>
      <c r="J436" s="55" t="str">
        <f t="shared" si="155"/>
        <v/>
      </c>
      <c r="K436" s="55" t="str">
        <f t="shared" si="156"/>
        <v/>
      </c>
      <c r="L436" s="55" t="str">
        <f t="shared" si="157"/>
        <v/>
      </c>
      <c r="M436" s="60" t="str">
        <f t="shared" si="158"/>
        <v/>
      </c>
    </row>
    <row r="437" spans="6:13" hidden="1" x14ac:dyDescent="0.25">
      <c r="F437" s="59" t="str">
        <f t="shared" si="151"/>
        <v/>
      </c>
      <c r="G437" s="55" t="str">
        <f t="shared" si="152"/>
        <v/>
      </c>
      <c r="H437" s="55" t="str">
        <f t="shared" si="153"/>
        <v/>
      </c>
      <c r="I437" s="55" t="str">
        <f t="shared" si="154"/>
        <v/>
      </c>
      <c r="J437" s="55" t="str">
        <f t="shared" si="155"/>
        <v/>
      </c>
      <c r="K437" s="55" t="str">
        <f t="shared" si="156"/>
        <v/>
      </c>
      <c r="L437" s="55" t="str">
        <f t="shared" si="157"/>
        <v/>
      </c>
      <c r="M437" s="60" t="str">
        <f t="shared" si="158"/>
        <v/>
      </c>
    </row>
    <row r="438" spans="6:13" hidden="1" x14ac:dyDescent="0.25">
      <c r="F438" s="59" t="str">
        <f t="shared" si="151"/>
        <v/>
      </c>
      <c r="G438" s="55" t="str">
        <f t="shared" si="152"/>
        <v/>
      </c>
      <c r="H438" s="55" t="str">
        <f t="shared" si="153"/>
        <v/>
      </c>
      <c r="I438" s="55" t="str">
        <f t="shared" si="154"/>
        <v/>
      </c>
      <c r="J438" s="55" t="str">
        <f t="shared" si="155"/>
        <v/>
      </c>
      <c r="K438" s="55" t="str">
        <f t="shared" si="156"/>
        <v/>
      </c>
      <c r="L438" s="55" t="str">
        <f t="shared" si="157"/>
        <v/>
      </c>
      <c r="M438" s="60" t="str">
        <f t="shared" si="158"/>
        <v/>
      </c>
    </row>
    <row r="439" spans="6:13" hidden="1" x14ac:dyDescent="0.25">
      <c r="F439" s="59" t="str">
        <f t="shared" si="151"/>
        <v/>
      </c>
      <c r="G439" s="55" t="str">
        <f t="shared" si="152"/>
        <v/>
      </c>
      <c r="H439" s="55" t="str">
        <f t="shared" si="153"/>
        <v/>
      </c>
      <c r="I439" s="55" t="str">
        <f t="shared" si="154"/>
        <v/>
      </c>
      <c r="J439" s="55" t="str">
        <f t="shared" si="155"/>
        <v/>
      </c>
      <c r="K439" s="55" t="str">
        <f t="shared" si="156"/>
        <v/>
      </c>
      <c r="L439" s="55" t="str">
        <f t="shared" si="157"/>
        <v/>
      </c>
      <c r="M439" s="60" t="str">
        <f t="shared" si="158"/>
        <v/>
      </c>
    </row>
    <row r="440" spans="6:13" hidden="1" x14ac:dyDescent="0.25">
      <c r="F440" s="59" t="str">
        <f t="shared" si="151"/>
        <v/>
      </c>
      <c r="G440" s="55" t="str">
        <f t="shared" si="152"/>
        <v/>
      </c>
      <c r="H440" s="55" t="str">
        <f t="shared" si="153"/>
        <v/>
      </c>
      <c r="I440" s="55" t="str">
        <f t="shared" si="154"/>
        <v/>
      </c>
      <c r="J440" s="55" t="str">
        <f t="shared" si="155"/>
        <v/>
      </c>
      <c r="K440" s="55" t="str">
        <f t="shared" si="156"/>
        <v/>
      </c>
      <c r="L440" s="55" t="str">
        <f t="shared" si="157"/>
        <v/>
      </c>
      <c r="M440" s="60" t="str">
        <f t="shared" si="158"/>
        <v/>
      </c>
    </row>
    <row r="441" spans="6:13" hidden="1" x14ac:dyDescent="0.25">
      <c r="F441" s="59" t="str">
        <f t="shared" si="151"/>
        <v/>
      </c>
      <c r="G441" s="55" t="str">
        <f t="shared" si="152"/>
        <v/>
      </c>
      <c r="H441" s="55" t="str">
        <f t="shared" si="153"/>
        <v/>
      </c>
      <c r="I441" s="55" t="str">
        <f t="shared" si="154"/>
        <v/>
      </c>
      <c r="J441" s="55" t="str">
        <f t="shared" si="155"/>
        <v/>
      </c>
      <c r="K441" s="55" t="str">
        <f t="shared" si="156"/>
        <v/>
      </c>
      <c r="L441" s="55" t="str">
        <f t="shared" si="157"/>
        <v/>
      </c>
      <c r="M441" s="60" t="str">
        <f t="shared" si="158"/>
        <v/>
      </c>
    </row>
    <row r="442" spans="6:13" hidden="1" x14ac:dyDescent="0.25">
      <c r="F442" s="59" t="str">
        <f t="shared" si="151"/>
        <v/>
      </c>
      <c r="G442" s="55" t="str">
        <f t="shared" si="152"/>
        <v/>
      </c>
      <c r="H442" s="55" t="str">
        <f t="shared" si="153"/>
        <v/>
      </c>
      <c r="I442" s="55" t="str">
        <f t="shared" si="154"/>
        <v/>
      </c>
      <c r="J442" s="55" t="str">
        <f t="shared" si="155"/>
        <v/>
      </c>
      <c r="K442" s="55" t="str">
        <f t="shared" si="156"/>
        <v/>
      </c>
      <c r="L442" s="55" t="str">
        <f t="shared" si="157"/>
        <v/>
      </c>
      <c r="M442" s="60" t="str">
        <f t="shared" si="158"/>
        <v/>
      </c>
    </row>
    <row r="443" spans="6:13" hidden="1" x14ac:dyDescent="0.25">
      <c r="F443" s="59" t="str">
        <f t="shared" si="151"/>
        <v/>
      </c>
      <c r="G443" s="55" t="str">
        <f t="shared" si="152"/>
        <v/>
      </c>
      <c r="H443" s="55" t="str">
        <f t="shared" si="153"/>
        <v/>
      </c>
      <c r="I443" s="55" t="str">
        <f t="shared" si="154"/>
        <v/>
      </c>
      <c r="J443" s="55" t="str">
        <f t="shared" si="155"/>
        <v/>
      </c>
      <c r="K443" s="55" t="str">
        <f t="shared" si="156"/>
        <v/>
      </c>
      <c r="L443" s="55" t="str">
        <f t="shared" si="157"/>
        <v/>
      </c>
      <c r="M443" s="60" t="str">
        <f t="shared" si="158"/>
        <v/>
      </c>
    </row>
    <row r="444" spans="6:13" hidden="1" x14ac:dyDescent="0.25">
      <c r="F444" s="59" t="str">
        <f t="shared" ref="F444:F468" si="159">IF($D$359&gt;$E$359,$D334,$E334)</f>
        <v/>
      </c>
      <c r="G444" s="55" t="str">
        <f t="shared" ref="G444:G468" si="160">IF($F$359&gt;$G$359,$F334,$G334)</f>
        <v/>
      </c>
      <c r="H444" s="55" t="str">
        <f t="shared" ref="H444:H468" si="161">IF($H$359&gt;$I$359,$H334,$I334)</f>
        <v/>
      </c>
      <c r="I444" s="55" t="str">
        <f t="shared" ref="I444:I468" si="162">IF($J$359&gt;$K$359,$J334,$K334)</f>
        <v/>
      </c>
      <c r="J444" s="55" t="str">
        <f t="shared" ref="J444:J468" si="163">IF($O$359&gt;$P$359,$O334,$P334)</f>
        <v/>
      </c>
      <c r="K444" s="55" t="str">
        <f t="shared" ref="K444:K468" si="164">IF($Q$359&gt;$R$359,$Q334,$R334)</f>
        <v/>
      </c>
      <c r="L444" s="55" t="str">
        <f t="shared" ref="L444:L468" si="165">IF($V$359&gt;$W$359,$V334,$W334)</f>
        <v/>
      </c>
      <c r="M444" s="60" t="str">
        <f t="shared" ref="M444:M468" si="166">IF($X$359&gt;$Y$359,$X334,$Y334)</f>
        <v/>
      </c>
    </row>
    <row r="445" spans="6:13" hidden="1" x14ac:dyDescent="0.25">
      <c r="F445" s="59" t="str">
        <f t="shared" si="159"/>
        <v/>
      </c>
      <c r="G445" s="55" t="str">
        <f t="shared" si="160"/>
        <v/>
      </c>
      <c r="H445" s="55" t="str">
        <f t="shared" si="161"/>
        <v/>
      </c>
      <c r="I445" s="55" t="str">
        <f t="shared" si="162"/>
        <v/>
      </c>
      <c r="J445" s="55" t="str">
        <f t="shared" si="163"/>
        <v/>
      </c>
      <c r="K445" s="55" t="str">
        <f t="shared" si="164"/>
        <v/>
      </c>
      <c r="L445" s="55" t="str">
        <f t="shared" si="165"/>
        <v/>
      </c>
      <c r="M445" s="60" t="str">
        <f t="shared" si="166"/>
        <v/>
      </c>
    </row>
    <row r="446" spans="6:13" hidden="1" x14ac:dyDescent="0.25">
      <c r="F446" s="59" t="str">
        <f t="shared" si="159"/>
        <v/>
      </c>
      <c r="G446" s="55" t="str">
        <f t="shared" si="160"/>
        <v/>
      </c>
      <c r="H446" s="55" t="str">
        <f t="shared" si="161"/>
        <v/>
      </c>
      <c r="I446" s="55" t="str">
        <f t="shared" si="162"/>
        <v/>
      </c>
      <c r="J446" s="55" t="str">
        <f t="shared" si="163"/>
        <v/>
      </c>
      <c r="K446" s="55" t="str">
        <f t="shared" si="164"/>
        <v/>
      </c>
      <c r="L446" s="55" t="str">
        <f t="shared" si="165"/>
        <v/>
      </c>
      <c r="M446" s="60" t="str">
        <f t="shared" si="166"/>
        <v/>
      </c>
    </row>
    <row r="447" spans="6:13" hidden="1" x14ac:dyDescent="0.25">
      <c r="F447" s="59" t="str">
        <f t="shared" si="159"/>
        <v/>
      </c>
      <c r="G447" s="55" t="str">
        <f t="shared" si="160"/>
        <v/>
      </c>
      <c r="H447" s="55" t="str">
        <f t="shared" si="161"/>
        <v/>
      </c>
      <c r="I447" s="55" t="str">
        <f t="shared" si="162"/>
        <v/>
      </c>
      <c r="J447" s="55" t="str">
        <f t="shared" si="163"/>
        <v/>
      </c>
      <c r="K447" s="55" t="str">
        <f t="shared" si="164"/>
        <v/>
      </c>
      <c r="L447" s="55" t="str">
        <f t="shared" si="165"/>
        <v/>
      </c>
      <c r="M447" s="60" t="str">
        <f t="shared" si="166"/>
        <v/>
      </c>
    </row>
    <row r="448" spans="6:13" hidden="1" x14ac:dyDescent="0.25">
      <c r="F448" s="59" t="str">
        <f t="shared" si="159"/>
        <v/>
      </c>
      <c r="G448" s="55" t="str">
        <f t="shared" si="160"/>
        <v/>
      </c>
      <c r="H448" s="55" t="str">
        <f t="shared" si="161"/>
        <v/>
      </c>
      <c r="I448" s="55" t="str">
        <f t="shared" si="162"/>
        <v/>
      </c>
      <c r="J448" s="55" t="str">
        <f t="shared" si="163"/>
        <v/>
      </c>
      <c r="K448" s="55" t="str">
        <f t="shared" si="164"/>
        <v/>
      </c>
      <c r="L448" s="55" t="str">
        <f t="shared" si="165"/>
        <v/>
      </c>
      <c r="M448" s="60" t="str">
        <f t="shared" si="166"/>
        <v/>
      </c>
    </row>
    <row r="449" spans="6:13" hidden="1" x14ac:dyDescent="0.25">
      <c r="F449" s="59" t="str">
        <f t="shared" si="159"/>
        <v/>
      </c>
      <c r="G449" s="55" t="str">
        <f t="shared" si="160"/>
        <v/>
      </c>
      <c r="H449" s="55" t="str">
        <f t="shared" si="161"/>
        <v/>
      </c>
      <c r="I449" s="55" t="str">
        <f t="shared" si="162"/>
        <v/>
      </c>
      <c r="J449" s="55" t="str">
        <f t="shared" si="163"/>
        <v/>
      </c>
      <c r="K449" s="55" t="str">
        <f t="shared" si="164"/>
        <v/>
      </c>
      <c r="L449" s="55" t="str">
        <f t="shared" si="165"/>
        <v/>
      </c>
      <c r="M449" s="60" t="str">
        <f t="shared" si="166"/>
        <v/>
      </c>
    </row>
    <row r="450" spans="6:13" hidden="1" x14ac:dyDescent="0.25">
      <c r="F450" s="59" t="str">
        <f t="shared" si="159"/>
        <v/>
      </c>
      <c r="G450" s="55" t="str">
        <f t="shared" si="160"/>
        <v/>
      </c>
      <c r="H450" s="55" t="str">
        <f t="shared" si="161"/>
        <v/>
      </c>
      <c r="I450" s="55" t="str">
        <f t="shared" si="162"/>
        <v/>
      </c>
      <c r="J450" s="55" t="str">
        <f t="shared" si="163"/>
        <v/>
      </c>
      <c r="K450" s="55" t="str">
        <f t="shared" si="164"/>
        <v/>
      </c>
      <c r="L450" s="55" t="str">
        <f t="shared" si="165"/>
        <v/>
      </c>
      <c r="M450" s="60" t="str">
        <f t="shared" si="166"/>
        <v/>
      </c>
    </row>
    <row r="451" spans="6:13" hidden="1" x14ac:dyDescent="0.25">
      <c r="F451" s="59" t="str">
        <f t="shared" si="159"/>
        <v/>
      </c>
      <c r="G451" s="55" t="str">
        <f t="shared" si="160"/>
        <v/>
      </c>
      <c r="H451" s="55" t="str">
        <f t="shared" si="161"/>
        <v/>
      </c>
      <c r="I451" s="55" t="str">
        <f t="shared" si="162"/>
        <v/>
      </c>
      <c r="J451" s="55" t="str">
        <f t="shared" si="163"/>
        <v/>
      </c>
      <c r="K451" s="55" t="str">
        <f t="shared" si="164"/>
        <v/>
      </c>
      <c r="L451" s="55" t="str">
        <f t="shared" si="165"/>
        <v/>
      </c>
      <c r="M451" s="60" t="str">
        <f t="shared" si="166"/>
        <v/>
      </c>
    </row>
    <row r="452" spans="6:13" hidden="1" x14ac:dyDescent="0.25">
      <c r="F452" s="59" t="str">
        <f t="shared" si="159"/>
        <v/>
      </c>
      <c r="G452" s="55" t="str">
        <f t="shared" si="160"/>
        <v/>
      </c>
      <c r="H452" s="55" t="str">
        <f t="shared" si="161"/>
        <v/>
      </c>
      <c r="I452" s="55" t="str">
        <f t="shared" si="162"/>
        <v/>
      </c>
      <c r="J452" s="55" t="str">
        <f t="shared" si="163"/>
        <v/>
      </c>
      <c r="K452" s="55" t="str">
        <f t="shared" si="164"/>
        <v/>
      </c>
      <c r="L452" s="55" t="str">
        <f t="shared" si="165"/>
        <v/>
      </c>
      <c r="M452" s="60" t="str">
        <f t="shared" si="166"/>
        <v/>
      </c>
    </row>
    <row r="453" spans="6:13" hidden="1" x14ac:dyDescent="0.25">
      <c r="F453" s="59" t="str">
        <f t="shared" si="159"/>
        <v/>
      </c>
      <c r="G453" s="55" t="str">
        <f t="shared" si="160"/>
        <v/>
      </c>
      <c r="H453" s="55" t="str">
        <f t="shared" si="161"/>
        <v/>
      </c>
      <c r="I453" s="55" t="str">
        <f t="shared" si="162"/>
        <v/>
      </c>
      <c r="J453" s="55" t="str">
        <f t="shared" si="163"/>
        <v/>
      </c>
      <c r="K453" s="55" t="str">
        <f t="shared" si="164"/>
        <v/>
      </c>
      <c r="L453" s="55" t="str">
        <f t="shared" si="165"/>
        <v/>
      </c>
      <c r="M453" s="60" t="str">
        <f t="shared" si="166"/>
        <v/>
      </c>
    </row>
    <row r="454" spans="6:13" hidden="1" x14ac:dyDescent="0.25">
      <c r="F454" s="59" t="str">
        <f t="shared" si="159"/>
        <v/>
      </c>
      <c r="G454" s="55" t="str">
        <f t="shared" si="160"/>
        <v/>
      </c>
      <c r="H454" s="55" t="str">
        <f t="shared" si="161"/>
        <v/>
      </c>
      <c r="I454" s="55" t="str">
        <f t="shared" si="162"/>
        <v/>
      </c>
      <c r="J454" s="55" t="str">
        <f t="shared" si="163"/>
        <v/>
      </c>
      <c r="K454" s="55" t="str">
        <f t="shared" si="164"/>
        <v/>
      </c>
      <c r="L454" s="55" t="str">
        <f t="shared" si="165"/>
        <v/>
      </c>
      <c r="M454" s="60" t="str">
        <f t="shared" si="166"/>
        <v/>
      </c>
    </row>
    <row r="455" spans="6:13" hidden="1" x14ac:dyDescent="0.25">
      <c r="F455" s="59" t="str">
        <f t="shared" si="159"/>
        <v/>
      </c>
      <c r="G455" s="55" t="str">
        <f t="shared" si="160"/>
        <v/>
      </c>
      <c r="H455" s="55" t="str">
        <f t="shared" si="161"/>
        <v/>
      </c>
      <c r="I455" s="55" t="str">
        <f t="shared" si="162"/>
        <v/>
      </c>
      <c r="J455" s="55" t="str">
        <f t="shared" si="163"/>
        <v/>
      </c>
      <c r="K455" s="55" t="str">
        <f t="shared" si="164"/>
        <v/>
      </c>
      <c r="L455" s="55" t="str">
        <f t="shared" si="165"/>
        <v/>
      </c>
      <c r="M455" s="60" t="str">
        <f t="shared" si="166"/>
        <v/>
      </c>
    </row>
    <row r="456" spans="6:13" hidden="1" x14ac:dyDescent="0.25">
      <c r="F456" s="59" t="str">
        <f t="shared" si="159"/>
        <v/>
      </c>
      <c r="G456" s="55" t="str">
        <f t="shared" si="160"/>
        <v/>
      </c>
      <c r="H456" s="55" t="str">
        <f t="shared" si="161"/>
        <v/>
      </c>
      <c r="I456" s="55" t="str">
        <f t="shared" si="162"/>
        <v/>
      </c>
      <c r="J456" s="55" t="str">
        <f t="shared" si="163"/>
        <v/>
      </c>
      <c r="K456" s="55" t="str">
        <f t="shared" si="164"/>
        <v/>
      </c>
      <c r="L456" s="55" t="str">
        <f t="shared" si="165"/>
        <v/>
      </c>
      <c r="M456" s="60" t="str">
        <f t="shared" si="166"/>
        <v/>
      </c>
    </row>
    <row r="457" spans="6:13" hidden="1" x14ac:dyDescent="0.25">
      <c r="F457" s="59" t="str">
        <f t="shared" si="159"/>
        <v/>
      </c>
      <c r="G457" s="55" t="str">
        <f t="shared" si="160"/>
        <v/>
      </c>
      <c r="H457" s="55" t="str">
        <f t="shared" si="161"/>
        <v/>
      </c>
      <c r="I457" s="55" t="str">
        <f t="shared" si="162"/>
        <v/>
      </c>
      <c r="J457" s="55" t="str">
        <f t="shared" si="163"/>
        <v/>
      </c>
      <c r="K457" s="55" t="str">
        <f t="shared" si="164"/>
        <v/>
      </c>
      <c r="L457" s="55" t="str">
        <f t="shared" si="165"/>
        <v/>
      </c>
      <c r="M457" s="60" t="str">
        <f t="shared" si="166"/>
        <v/>
      </c>
    </row>
    <row r="458" spans="6:13" hidden="1" x14ac:dyDescent="0.25">
      <c r="F458" s="59" t="str">
        <f t="shared" si="159"/>
        <v/>
      </c>
      <c r="G458" s="55" t="str">
        <f t="shared" si="160"/>
        <v/>
      </c>
      <c r="H458" s="55" t="str">
        <f t="shared" si="161"/>
        <v/>
      </c>
      <c r="I458" s="55" t="str">
        <f t="shared" si="162"/>
        <v/>
      </c>
      <c r="J458" s="55" t="str">
        <f t="shared" si="163"/>
        <v/>
      </c>
      <c r="K458" s="55" t="str">
        <f t="shared" si="164"/>
        <v/>
      </c>
      <c r="L458" s="55" t="str">
        <f t="shared" si="165"/>
        <v/>
      </c>
      <c r="M458" s="60" t="str">
        <f t="shared" si="166"/>
        <v/>
      </c>
    </row>
    <row r="459" spans="6:13" hidden="1" x14ac:dyDescent="0.25">
      <c r="F459" s="59" t="str">
        <f t="shared" si="159"/>
        <v/>
      </c>
      <c r="G459" s="55" t="str">
        <f t="shared" si="160"/>
        <v/>
      </c>
      <c r="H459" s="55" t="str">
        <f t="shared" si="161"/>
        <v/>
      </c>
      <c r="I459" s="55" t="str">
        <f t="shared" si="162"/>
        <v/>
      </c>
      <c r="J459" s="55" t="str">
        <f t="shared" si="163"/>
        <v/>
      </c>
      <c r="K459" s="55" t="str">
        <f t="shared" si="164"/>
        <v/>
      </c>
      <c r="L459" s="55" t="str">
        <f t="shared" si="165"/>
        <v/>
      </c>
      <c r="M459" s="60" t="str">
        <f t="shared" si="166"/>
        <v/>
      </c>
    </row>
    <row r="460" spans="6:13" hidden="1" x14ac:dyDescent="0.25">
      <c r="F460" s="59" t="str">
        <f t="shared" si="159"/>
        <v/>
      </c>
      <c r="G460" s="55" t="str">
        <f t="shared" si="160"/>
        <v/>
      </c>
      <c r="H460" s="55" t="str">
        <f t="shared" si="161"/>
        <v/>
      </c>
      <c r="I460" s="55" t="str">
        <f t="shared" si="162"/>
        <v/>
      </c>
      <c r="J460" s="55" t="str">
        <f t="shared" si="163"/>
        <v/>
      </c>
      <c r="K460" s="55" t="str">
        <f t="shared" si="164"/>
        <v/>
      </c>
      <c r="L460" s="55" t="str">
        <f t="shared" si="165"/>
        <v/>
      </c>
      <c r="M460" s="60" t="str">
        <f t="shared" si="166"/>
        <v/>
      </c>
    </row>
    <row r="461" spans="6:13" hidden="1" x14ac:dyDescent="0.25">
      <c r="F461" s="59" t="str">
        <f t="shared" si="159"/>
        <v/>
      </c>
      <c r="G461" s="55" t="str">
        <f t="shared" si="160"/>
        <v/>
      </c>
      <c r="H461" s="55" t="str">
        <f t="shared" si="161"/>
        <v/>
      </c>
      <c r="I461" s="55" t="str">
        <f t="shared" si="162"/>
        <v/>
      </c>
      <c r="J461" s="55" t="str">
        <f t="shared" si="163"/>
        <v/>
      </c>
      <c r="K461" s="55" t="str">
        <f t="shared" si="164"/>
        <v/>
      </c>
      <c r="L461" s="55" t="str">
        <f t="shared" si="165"/>
        <v/>
      </c>
      <c r="M461" s="60" t="str">
        <f t="shared" si="166"/>
        <v/>
      </c>
    </row>
    <row r="462" spans="6:13" hidden="1" x14ac:dyDescent="0.25">
      <c r="F462" s="59" t="str">
        <f t="shared" si="159"/>
        <v/>
      </c>
      <c r="G462" s="55" t="str">
        <f t="shared" si="160"/>
        <v/>
      </c>
      <c r="H462" s="55" t="str">
        <f t="shared" si="161"/>
        <v/>
      </c>
      <c r="I462" s="55" t="str">
        <f t="shared" si="162"/>
        <v/>
      </c>
      <c r="J462" s="55" t="str">
        <f t="shared" si="163"/>
        <v/>
      </c>
      <c r="K462" s="55" t="str">
        <f t="shared" si="164"/>
        <v/>
      </c>
      <c r="L462" s="55" t="str">
        <f t="shared" si="165"/>
        <v/>
      </c>
      <c r="M462" s="60" t="str">
        <f t="shared" si="166"/>
        <v/>
      </c>
    </row>
    <row r="463" spans="6:13" hidden="1" x14ac:dyDescent="0.25">
      <c r="F463" s="59" t="str">
        <f t="shared" si="159"/>
        <v/>
      </c>
      <c r="G463" s="55" t="str">
        <f t="shared" si="160"/>
        <v/>
      </c>
      <c r="H463" s="55" t="str">
        <f t="shared" si="161"/>
        <v/>
      </c>
      <c r="I463" s="55" t="str">
        <f t="shared" si="162"/>
        <v/>
      </c>
      <c r="J463" s="55" t="str">
        <f t="shared" si="163"/>
        <v/>
      </c>
      <c r="K463" s="55" t="str">
        <f t="shared" si="164"/>
        <v/>
      </c>
      <c r="L463" s="55" t="str">
        <f t="shared" si="165"/>
        <v/>
      </c>
      <c r="M463" s="60" t="str">
        <f t="shared" si="166"/>
        <v/>
      </c>
    </row>
    <row r="464" spans="6:13" hidden="1" x14ac:dyDescent="0.25">
      <c r="F464" s="59" t="str">
        <f t="shared" si="159"/>
        <v/>
      </c>
      <c r="G464" s="55" t="str">
        <f t="shared" si="160"/>
        <v/>
      </c>
      <c r="H464" s="55" t="str">
        <f t="shared" si="161"/>
        <v/>
      </c>
      <c r="I464" s="55" t="str">
        <f t="shared" si="162"/>
        <v/>
      </c>
      <c r="J464" s="55" t="str">
        <f t="shared" si="163"/>
        <v/>
      </c>
      <c r="K464" s="55" t="str">
        <f t="shared" si="164"/>
        <v/>
      </c>
      <c r="L464" s="55" t="str">
        <f t="shared" si="165"/>
        <v/>
      </c>
      <c r="M464" s="60" t="str">
        <f t="shared" si="166"/>
        <v/>
      </c>
    </row>
    <row r="465" spans="6:13" hidden="1" x14ac:dyDescent="0.25">
      <c r="F465" s="59" t="str">
        <f t="shared" si="159"/>
        <v/>
      </c>
      <c r="G465" s="55" t="str">
        <f t="shared" si="160"/>
        <v/>
      </c>
      <c r="H465" s="55" t="str">
        <f t="shared" si="161"/>
        <v/>
      </c>
      <c r="I465" s="55" t="str">
        <f t="shared" si="162"/>
        <v/>
      </c>
      <c r="J465" s="55" t="str">
        <f t="shared" si="163"/>
        <v/>
      </c>
      <c r="K465" s="55" t="str">
        <f t="shared" si="164"/>
        <v/>
      </c>
      <c r="L465" s="55" t="str">
        <f t="shared" si="165"/>
        <v/>
      </c>
      <c r="M465" s="60" t="str">
        <f t="shared" si="166"/>
        <v/>
      </c>
    </row>
    <row r="466" spans="6:13" hidden="1" x14ac:dyDescent="0.25">
      <c r="F466" s="59" t="str">
        <f t="shared" si="159"/>
        <v/>
      </c>
      <c r="G466" s="55" t="str">
        <f t="shared" si="160"/>
        <v/>
      </c>
      <c r="H466" s="55" t="str">
        <f t="shared" si="161"/>
        <v/>
      </c>
      <c r="I466" s="55" t="str">
        <f t="shared" si="162"/>
        <v/>
      </c>
      <c r="J466" s="55" t="str">
        <f t="shared" si="163"/>
        <v/>
      </c>
      <c r="K466" s="55" t="str">
        <f t="shared" si="164"/>
        <v/>
      </c>
      <c r="L466" s="55" t="str">
        <f t="shared" si="165"/>
        <v/>
      </c>
      <c r="M466" s="60" t="str">
        <f t="shared" si="166"/>
        <v/>
      </c>
    </row>
    <row r="467" spans="6:13" hidden="1" x14ac:dyDescent="0.25">
      <c r="F467" s="59" t="str">
        <f t="shared" si="159"/>
        <v/>
      </c>
      <c r="G467" s="55" t="str">
        <f t="shared" si="160"/>
        <v/>
      </c>
      <c r="H467" s="55" t="str">
        <f t="shared" si="161"/>
        <v/>
      </c>
      <c r="I467" s="55" t="str">
        <f t="shared" si="162"/>
        <v/>
      </c>
      <c r="J467" s="55" t="str">
        <f t="shared" si="163"/>
        <v/>
      </c>
      <c r="K467" s="55" t="str">
        <f t="shared" si="164"/>
        <v/>
      </c>
      <c r="L467" s="55" t="str">
        <f t="shared" si="165"/>
        <v/>
      </c>
      <c r="M467" s="60" t="str">
        <f t="shared" si="166"/>
        <v/>
      </c>
    </row>
    <row r="468" spans="6:13" hidden="1" x14ac:dyDescent="0.25">
      <c r="F468" s="61" t="str">
        <f t="shared" si="159"/>
        <v/>
      </c>
      <c r="G468" s="56" t="str">
        <f t="shared" si="160"/>
        <v/>
      </c>
      <c r="H468" s="56" t="str">
        <f t="shared" si="161"/>
        <v/>
      </c>
      <c r="I468" s="56" t="str">
        <f t="shared" si="162"/>
        <v/>
      </c>
      <c r="J468" s="56" t="str">
        <f t="shared" si="163"/>
        <v/>
      </c>
      <c r="K468" s="56" t="str">
        <f t="shared" si="164"/>
        <v/>
      </c>
      <c r="L468" s="56" t="str">
        <f t="shared" si="165"/>
        <v/>
      </c>
      <c r="M468" s="62" t="str">
        <f t="shared" si="166"/>
        <v/>
      </c>
    </row>
    <row r="469" spans="6:13" hidden="1" x14ac:dyDescent="0.25">
      <c r="F469" s="55"/>
    </row>
    <row r="470" spans="6:13" x14ac:dyDescent="0.25">
      <c r="F470" s="55"/>
    </row>
    <row r="471" spans="6:13" x14ac:dyDescent="0.25">
      <c r="F471" s="55"/>
    </row>
    <row r="472" spans="6:13" x14ac:dyDescent="0.25">
      <c r="F472" s="55"/>
    </row>
    <row r="473" spans="6:13" x14ac:dyDescent="0.25">
      <c r="F473" s="55"/>
    </row>
    <row r="474" spans="6:13" x14ac:dyDescent="0.25">
      <c r="F474" s="55"/>
    </row>
    <row r="475" spans="6:13" x14ac:dyDescent="0.25">
      <c r="F475" s="55"/>
    </row>
    <row r="476" spans="6:13" x14ac:dyDescent="0.25">
      <c r="F476" s="55"/>
    </row>
    <row r="477" spans="6:13" x14ac:dyDescent="0.25">
      <c r="F477" s="55"/>
    </row>
    <row r="478" spans="6:13" x14ac:dyDescent="0.25">
      <c r="F478" s="55"/>
    </row>
    <row r="479" spans="6:13" x14ac:dyDescent="0.25">
      <c r="F479" s="55"/>
    </row>
    <row r="480" spans="6:13" x14ac:dyDescent="0.25">
      <c r="F480" s="55"/>
    </row>
    <row r="481" spans="6:6" x14ac:dyDescent="0.25">
      <c r="F481" s="55"/>
    </row>
    <row r="482" spans="6:6" x14ac:dyDescent="0.25">
      <c r="F482" s="55"/>
    </row>
    <row r="483" spans="6:6" x14ac:dyDescent="0.25">
      <c r="F483" s="55"/>
    </row>
    <row r="484" spans="6:6" x14ac:dyDescent="0.25">
      <c r="F484" s="55"/>
    </row>
    <row r="485" spans="6:6" x14ac:dyDescent="0.25">
      <c r="F485" s="55"/>
    </row>
    <row r="486" spans="6:6" x14ac:dyDescent="0.25">
      <c r="F486" s="55"/>
    </row>
    <row r="487" spans="6:6" x14ac:dyDescent="0.25">
      <c r="F487" s="55"/>
    </row>
    <row r="488" spans="6:6" x14ac:dyDescent="0.25">
      <c r="F488" s="55"/>
    </row>
    <row r="489" spans="6:6" x14ac:dyDescent="0.25">
      <c r="F489" s="55"/>
    </row>
    <row r="490" spans="6:6" x14ac:dyDescent="0.25">
      <c r="F490" s="55"/>
    </row>
    <row r="491" spans="6:6" x14ac:dyDescent="0.25">
      <c r="F491" s="55"/>
    </row>
    <row r="492" spans="6:6" x14ac:dyDescent="0.25">
      <c r="F492" s="55"/>
    </row>
    <row r="493" spans="6:6" x14ac:dyDescent="0.25">
      <c r="F493" s="55"/>
    </row>
    <row r="494" spans="6:6" x14ac:dyDescent="0.25">
      <c r="F494" s="55"/>
    </row>
    <row r="495" spans="6:6" x14ac:dyDescent="0.25">
      <c r="F495" s="55"/>
    </row>
    <row r="496" spans="6:6" x14ac:dyDescent="0.25">
      <c r="F496" s="55"/>
    </row>
    <row r="497" spans="6:6" x14ac:dyDescent="0.25">
      <c r="F497" s="55"/>
    </row>
    <row r="498" spans="6:6" x14ac:dyDescent="0.25">
      <c r="F498" s="55"/>
    </row>
    <row r="499" spans="6:6" x14ac:dyDescent="0.25">
      <c r="F499" s="55"/>
    </row>
    <row r="500" spans="6:6" x14ac:dyDescent="0.25">
      <c r="F500" s="55"/>
    </row>
    <row r="501" spans="6:6" x14ac:dyDescent="0.25">
      <c r="F501" s="55"/>
    </row>
    <row r="502" spans="6:6" x14ac:dyDescent="0.25">
      <c r="F502" s="55"/>
    </row>
    <row r="503" spans="6:6" x14ac:dyDescent="0.25">
      <c r="F503" s="55"/>
    </row>
    <row r="504" spans="6:6" x14ac:dyDescent="0.25">
      <c r="F504" s="55"/>
    </row>
    <row r="505" spans="6:6" x14ac:dyDescent="0.25">
      <c r="F505" s="55"/>
    </row>
    <row r="506" spans="6:6" x14ac:dyDescent="0.25">
      <c r="F506" s="55"/>
    </row>
    <row r="507" spans="6:6" x14ac:dyDescent="0.25">
      <c r="F507" s="55"/>
    </row>
    <row r="508" spans="6:6" x14ac:dyDescent="0.25">
      <c r="F508" s="55"/>
    </row>
    <row r="509" spans="6:6" x14ac:dyDescent="0.25">
      <c r="F509" s="55"/>
    </row>
    <row r="510" spans="6:6" x14ac:dyDescent="0.25">
      <c r="F510" s="55"/>
    </row>
    <row r="511" spans="6:6" x14ac:dyDescent="0.25">
      <c r="F511" s="55"/>
    </row>
    <row r="512" spans="6:6" x14ac:dyDescent="0.25">
      <c r="F512" s="55"/>
    </row>
    <row r="513" spans="6:6" x14ac:dyDescent="0.25">
      <c r="F513" s="55"/>
    </row>
    <row r="514" spans="6:6" x14ac:dyDescent="0.25">
      <c r="F514" s="55"/>
    </row>
    <row r="515" spans="6:6" x14ac:dyDescent="0.25">
      <c r="F515" s="55"/>
    </row>
    <row r="516" spans="6:6" x14ac:dyDescent="0.25">
      <c r="F516" s="55"/>
    </row>
    <row r="517" spans="6:6" x14ac:dyDescent="0.25">
      <c r="F517" s="55"/>
    </row>
    <row r="518" spans="6:6" x14ac:dyDescent="0.25">
      <c r="F518" s="55"/>
    </row>
    <row r="519" spans="6:6" x14ac:dyDescent="0.25">
      <c r="F519" s="55"/>
    </row>
    <row r="520" spans="6:6" x14ac:dyDescent="0.25">
      <c r="F520" s="55"/>
    </row>
    <row r="521" spans="6:6" x14ac:dyDescent="0.25">
      <c r="F521" s="55"/>
    </row>
    <row r="522" spans="6:6" x14ac:dyDescent="0.25">
      <c r="F522" s="55"/>
    </row>
    <row r="523" spans="6:6" x14ac:dyDescent="0.25">
      <c r="F523" s="55"/>
    </row>
    <row r="524" spans="6:6" x14ac:dyDescent="0.25">
      <c r="F524" s="55"/>
    </row>
    <row r="525" spans="6:6" x14ac:dyDescent="0.25">
      <c r="F525" s="55"/>
    </row>
    <row r="526" spans="6:6" x14ac:dyDescent="0.25">
      <c r="F526" s="55"/>
    </row>
  </sheetData>
  <mergeCells count="68">
    <mergeCell ref="AT2:BJ2"/>
    <mergeCell ref="AX22:BJ22"/>
    <mergeCell ref="Z12:Z19"/>
    <mergeCell ref="Y12:Y15"/>
    <mergeCell ref="AC3:AR3"/>
    <mergeCell ref="F27:F30"/>
    <mergeCell ref="Z23:Z30"/>
    <mergeCell ref="Y8:Y11"/>
    <mergeCell ref="Z4:Z11"/>
    <mergeCell ref="AT21:BJ21"/>
    <mergeCell ref="AT16:AT19"/>
    <mergeCell ref="AT4:AT7"/>
    <mergeCell ref="H228:I228"/>
    <mergeCell ref="Y2:AR2"/>
    <mergeCell ref="F23:F26"/>
    <mergeCell ref="E4:E11"/>
    <mergeCell ref="F35:F38"/>
    <mergeCell ref="Y31:Y34"/>
    <mergeCell ref="AT35:AT38"/>
    <mergeCell ref="V228:W228"/>
    <mergeCell ref="E31:E38"/>
    <mergeCell ref="F31:F34"/>
    <mergeCell ref="O43:P43"/>
    <mergeCell ref="Y27:Y30"/>
    <mergeCell ref="O228:P228"/>
    <mergeCell ref="F43:G43"/>
    <mergeCell ref="AT31:AT34"/>
    <mergeCell ref="AX3:BJ3"/>
    <mergeCell ref="AT12:AT15"/>
    <mergeCell ref="D27:D30"/>
    <mergeCell ref="AU23:AU30"/>
    <mergeCell ref="L43:M43"/>
    <mergeCell ref="F12:F15"/>
    <mergeCell ref="E23:E30"/>
    <mergeCell ref="AT8:AT11"/>
    <mergeCell ref="F8:F11"/>
    <mergeCell ref="Y35:Y38"/>
    <mergeCell ref="Y23:Y26"/>
    <mergeCell ref="AU4:AU11"/>
    <mergeCell ref="D16:D19"/>
    <mergeCell ref="Y21:AR21"/>
    <mergeCell ref="AT23:AT26"/>
    <mergeCell ref="Y16:Y19"/>
    <mergeCell ref="Z31:Z38"/>
    <mergeCell ref="E12:E19"/>
    <mergeCell ref="H43:I43"/>
    <mergeCell ref="AT27:AT30"/>
    <mergeCell ref="AU12:AU19"/>
    <mergeCell ref="AC22:AR22"/>
    <mergeCell ref="F16:F19"/>
    <mergeCell ref="AU31:AU38"/>
    <mergeCell ref="J43:K43"/>
    <mergeCell ref="D228:E228"/>
    <mergeCell ref="V43:W43"/>
    <mergeCell ref="F4:F7"/>
    <mergeCell ref="X43:Y43"/>
    <mergeCell ref="Y4:Y7"/>
    <mergeCell ref="X228:Y228"/>
    <mergeCell ref="D31:D34"/>
    <mergeCell ref="Q43:R43"/>
    <mergeCell ref="F228:G228"/>
    <mergeCell ref="D4:D7"/>
    <mergeCell ref="D12:D15"/>
    <mergeCell ref="Q228:R228"/>
    <mergeCell ref="D23:D26"/>
    <mergeCell ref="D8:D11"/>
    <mergeCell ref="D35:D38"/>
    <mergeCell ref="J228:K228"/>
  </mergeCells>
  <conditionalFormatting sqref="V4:V19">
    <cfRule type="colorScale" priority="19">
      <colorScale>
        <cfvo type="num" val="-4"/>
        <cfvo type="num" val="0"/>
        <cfvo type="num" val="4"/>
        <color indexed="10"/>
        <color indexed="9"/>
        <color indexed="40"/>
      </colorScale>
    </cfRule>
    <cfRule type="colorScale" priority="20">
      <colorScale>
        <cfvo type="num" val="-4"/>
        <cfvo type="num" val="0"/>
        <cfvo type="num" val="4"/>
        <color indexed="10"/>
        <color indexed="9"/>
        <color indexed="40"/>
      </colorScale>
    </cfRule>
  </conditionalFormatting>
  <conditionalFormatting sqref="V23:V38">
    <cfRule type="colorScale" priority="17">
      <colorScale>
        <cfvo type="num" val="-4"/>
        <cfvo type="num" val="0"/>
        <cfvo type="num" val="4"/>
        <color indexed="10"/>
        <color indexed="9"/>
        <color indexed="40"/>
      </colorScale>
    </cfRule>
    <cfRule type="colorScale" priority="18">
      <colorScale>
        <cfvo type="num" val="-4"/>
        <cfvo type="num" val="0"/>
        <cfvo type="num" val="4"/>
        <color indexed="10"/>
        <color indexed="9"/>
        <color indexed="40"/>
      </colorScale>
    </cfRule>
  </conditionalFormatting>
  <conditionalFormatting sqref="W4:W19">
    <cfRule type="colorScale" priority="11">
      <colorScale>
        <cfvo type="num" val="-4"/>
        <cfvo type="num" val="0"/>
        <cfvo type="num" val="4"/>
        <color indexed="10"/>
        <color indexed="9"/>
        <color indexed="40"/>
      </colorScale>
    </cfRule>
    <cfRule type="colorScale" priority="12">
      <colorScale>
        <cfvo type="num" val="-4"/>
        <cfvo type="num" val="0"/>
        <cfvo type="num" val="4"/>
        <color indexed="10"/>
        <color indexed="9"/>
        <color indexed="40"/>
      </colorScale>
    </cfRule>
  </conditionalFormatting>
  <conditionalFormatting sqref="W23:W38">
    <cfRule type="colorScale" priority="9">
      <colorScale>
        <cfvo type="num" val="-4"/>
        <cfvo type="num" val="0"/>
        <cfvo type="num" val="4"/>
        <color indexed="10"/>
        <color indexed="9"/>
        <color indexed="40"/>
      </colorScale>
    </cfRule>
    <cfRule type="colorScale" priority="10">
      <colorScale>
        <cfvo type="num" val="-4"/>
        <cfvo type="num" val="0"/>
        <cfvo type="num" val="4"/>
        <color indexed="10"/>
        <color indexed="9"/>
        <color indexed="40"/>
      </colorScale>
    </cfRule>
  </conditionalFormatting>
  <conditionalFormatting sqref="S23:U38">
    <cfRule type="colorScale" priority="7">
      <colorScale>
        <cfvo type="num" val="-4"/>
        <cfvo type="num" val="0"/>
        <cfvo type="num" val="4"/>
        <color indexed="10"/>
        <color indexed="9"/>
        <color indexed="40"/>
      </colorScale>
    </cfRule>
    <cfRule type="colorScale" priority="8">
      <colorScale>
        <cfvo type="num" val="-4"/>
        <cfvo type="num" val="0"/>
        <cfvo type="num" val="4"/>
        <color indexed="10"/>
        <color indexed="9"/>
        <color indexed="40"/>
      </colorScale>
    </cfRule>
  </conditionalFormatting>
  <conditionalFormatting sqref="S4:U19">
    <cfRule type="colorScale" priority="5">
      <colorScale>
        <cfvo type="num" val="-4"/>
        <cfvo type="num" val="0"/>
        <cfvo type="num" val="4"/>
        <color indexed="10"/>
        <color indexed="9"/>
        <color indexed="40"/>
      </colorScale>
    </cfRule>
    <cfRule type="colorScale" priority="6">
      <colorScale>
        <cfvo type="num" val="-4"/>
        <cfvo type="num" val="0"/>
        <cfvo type="num" val="4"/>
        <color indexed="10"/>
        <color indexed="9"/>
        <color indexed="40"/>
      </colorScale>
    </cfRule>
  </conditionalFormatting>
  <conditionalFormatting sqref="H4:R19">
    <cfRule type="colorScale" priority="3">
      <colorScale>
        <cfvo type="num" val="-4"/>
        <cfvo type="num" val="0"/>
        <cfvo type="num" val="4"/>
        <color indexed="10"/>
        <color indexed="9"/>
        <color indexed="40"/>
      </colorScale>
    </cfRule>
    <cfRule type="colorScale" priority="4">
      <colorScale>
        <cfvo type="num" val="-4"/>
        <cfvo type="num" val="0"/>
        <cfvo type="num" val="4"/>
        <color indexed="10"/>
        <color indexed="9"/>
        <color indexed="40"/>
      </colorScale>
    </cfRule>
  </conditionalFormatting>
  <conditionalFormatting sqref="H23:R38">
    <cfRule type="colorScale" priority="1">
      <colorScale>
        <cfvo type="num" val="-4"/>
        <cfvo type="num" val="0"/>
        <cfvo type="num" val="4"/>
        <color indexed="10"/>
        <color indexed="9"/>
        <color indexed="40"/>
      </colorScale>
    </cfRule>
    <cfRule type="colorScale" priority="2">
      <colorScale>
        <cfvo type="num" val="-4"/>
        <cfvo type="num" val="0"/>
        <cfvo type="num" val="4"/>
        <color indexed="10"/>
        <color indexed="9"/>
        <color indexed="40"/>
      </colorScale>
    </cfRule>
  </conditionalFormatting>
  <pageMargins left="0.7" right="0.7" top="0.75" bottom="0.75" header="0.3" footer="0.3"/>
  <pageSetup scale="37" orientation="landscape"/>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2:BL536"/>
  <sheetViews>
    <sheetView tabSelected="1" zoomScale="70" zoomScaleNormal="70" workbookViewId="0">
      <selection activeCell="M12" sqref="M12"/>
    </sheetView>
  </sheetViews>
  <sheetFormatPr defaultRowHeight="15" x14ac:dyDescent="0.25"/>
  <cols>
    <col min="3" max="22" width="15.7109375" customWidth="1"/>
    <col min="23" max="23" width="14.140625" customWidth="1"/>
    <col min="24" max="24" width="12.85546875" customWidth="1"/>
    <col min="25" max="25" width="10.7109375" bestFit="1" customWidth="1"/>
    <col min="26" max="26" width="12.7109375" bestFit="1" customWidth="1"/>
    <col min="27" max="27" width="14.85546875" bestFit="1" customWidth="1"/>
    <col min="28" max="28" width="11.5703125" bestFit="1" customWidth="1"/>
    <col min="46" max="46" width="10.7109375" bestFit="1" customWidth="1"/>
    <col min="47" max="47" width="12.7109375" bestFit="1" customWidth="1"/>
    <col min="48" max="48" width="14.85546875" bestFit="1" customWidth="1"/>
  </cols>
  <sheetData>
    <row r="2" spans="2:64" ht="15" customHeight="1" x14ac:dyDescent="0.25">
      <c r="B2" t="str">
        <f>"Tilt ="&amp;Inputs!B33</f>
        <v>Tilt =XX</v>
      </c>
      <c r="C2" s="537"/>
      <c r="D2" s="538"/>
      <c r="E2" s="538"/>
      <c r="F2" s="538"/>
      <c r="G2" s="538"/>
      <c r="H2" s="538"/>
      <c r="I2" s="538"/>
      <c r="J2" s="538"/>
      <c r="K2" s="540" t="s">
        <v>512</v>
      </c>
      <c r="L2" s="538"/>
      <c r="M2" s="538"/>
      <c r="N2" s="538"/>
      <c r="O2" s="538"/>
      <c r="P2" s="538"/>
      <c r="Q2" s="538"/>
      <c r="R2" s="538"/>
      <c r="S2" s="539"/>
      <c r="T2" s="215"/>
      <c r="U2" s="215"/>
      <c r="V2" s="215"/>
      <c r="X2" s="606" t="s">
        <v>513</v>
      </c>
      <c r="Y2" s="574"/>
      <c r="Z2" s="574"/>
      <c r="AA2" s="574"/>
      <c r="AB2" s="574"/>
      <c r="AC2" s="574"/>
      <c r="AD2" s="574"/>
      <c r="AE2" s="574"/>
      <c r="AF2" s="574"/>
      <c r="AG2" s="574"/>
      <c r="AH2" s="574"/>
      <c r="AI2" s="574"/>
      <c r="AJ2" s="574"/>
      <c r="AK2" s="574"/>
      <c r="AL2" s="574"/>
      <c r="AM2" s="574"/>
      <c r="AN2" s="563"/>
      <c r="AO2" s="215"/>
      <c r="AP2" s="215"/>
      <c r="AQ2" s="215"/>
      <c r="AS2" s="606" t="s">
        <v>514</v>
      </c>
      <c r="AT2" s="574"/>
      <c r="AU2" s="574"/>
      <c r="AV2" s="574"/>
      <c r="AW2" s="574"/>
      <c r="AX2" s="574"/>
      <c r="AY2" s="574"/>
      <c r="AZ2" s="574"/>
      <c r="BA2" s="574"/>
      <c r="BB2" s="574"/>
      <c r="BC2" s="574"/>
      <c r="BD2" s="574"/>
      <c r="BE2" s="574"/>
      <c r="BF2" s="574"/>
      <c r="BG2" s="574"/>
      <c r="BH2" s="574"/>
      <c r="BI2" s="563"/>
    </row>
    <row r="3" spans="2:64" ht="18" customHeight="1" x14ac:dyDescent="0.25">
      <c r="C3" s="23" t="s">
        <v>9</v>
      </c>
      <c r="D3" s="35" t="s">
        <v>495</v>
      </c>
      <c r="E3" s="35" t="s">
        <v>515</v>
      </c>
      <c r="F3" s="218" t="s">
        <v>496</v>
      </c>
      <c r="G3" s="529"/>
      <c r="H3" s="530"/>
      <c r="I3" s="530"/>
      <c r="J3" s="530"/>
      <c r="K3" s="541" t="s">
        <v>497</v>
      </c>
      <c r="L3" s="530"/>
      <c r="M3" s="530"/>
      <c r="N3" s="530"/>
      <c r="O3" s="530"/>
      <c r="P3" s="530"/>
      <c r="Q3" s="530"/>
      <c r="R3" s="530"/>
      <c r="S3" s="530"/>
      <c r="T3" s="530"/>
      <c r="U3" s="530"/>
      <c r="V3" s="532"/>
      <c r="X3" s="23" t="s">
        <v>9</v>
      </c>
      <c r="Y3" s="35" t="s">
        <v>495</v>
      </c>
      <c r="Z3" s="35" t="s">
        <v>515</v>
      </c>
      <c r="AA3" s="35" t="s">
        <v>496</v>
      </c>
      <c r="AB3" s="600" t="s">
        <v>497</v>
      </c>
      <c r="AC3" s="601"/>
      <c r="AD3" s="601"/>
      <c r="AE3" s="601"/>
      <c r="AF3" s="601"/>
      <c r="AG3" s="601"/>
      <c r="AH3" s="601"/>
      <c r="AI3" s="601"/>
      <c r="AJ3" s="601"/>
      <c r="AK3" s="601"/>
      <c r="AL3" s="601"/>
      <c r="AM3" s="601"/>
      <c r="AN3" s="601"/>
      <c r="AO3" s="601"/>
      <c r="AP3" s="601"/>
      <c r="AQ3" s="1"/>
      <c r="AS3" s="23" t="s">
        <v>9</v>
      </c>
      <c r="AT3" s="35" t="s">
        <v>495</v>
      </c>
      <c r="AU3" s="35" t="s">
        <v>515</v>
      </c>
      <c r="AV3" s="35" t="s">
        <v>496</v>
      </c>
      <c r="AW3" s="600" t="s">
        <v>497</v>
      </c>
      <c r="AX3" s="601"/>
      <c r="AY3" s="601"/>
      <c r="AZ3" s="601"/>
      <c r="BA3" s="601"/>
      <c r="BB3" s="601"/>
      <c r="BC3" s="601"/>
      <c r="BD3" s="601"/>
      <c r="BE3" s="601"/>
      <c r="BF3" s="601"/>
      <c r="BG3" s="601"/>
      <c r="BH3" s="601"/>
      <c r="BI3" s="601"/>
      <c r="BJ3" s="601"/>
      <c r="BK3" s="601"/>
    </row>
    <row r="4" spans="2:64" x14ac:dyDescent="0.25">
      <c r="C4" s="615"/>
      <c r="D4" s="613" t="s">
        <v>6</v>
      </c>
      <c r="E4" s="588"/>
      <c r="F4" s="150"/>
      <c r="G4" s="152"/>
      <c r="H4" s="152"/>
      <c r="I4" s="152"/>
      <c r="J4" s="152"/>
      <c r="K4" s="152"/>
      <c r="L4" s="152"/>
      <c r="M4" s="152"/>
      <c r="N4" s="152"/>
      <c r="O4" s="152"/>
      <c r="P4" s="152"/>
      <c r="Q4" s="152"/>
      <c r="R4" s="152"/>
      <c r="S4" s="152"/>
      <c r="T4" s="152"/>
      <c r="U4" s="152"/>
      <c r="V4" s="152"/>
      <c r="X4" s="590"/>
      <c r="Y4" s="612" t="s">
        <v>6</v>
      </c>
      <c r="Z4" s="32">
        <v>-0.1053803288982854</v>
      </c>
      <c r="AA4" s="24" t="s">
        <v>498</v>
      </c>
      <c r="AB4" s="32" t="str">
        <f>IF(G4=""," ",G4*Inputs!$B$39)</f>
        <v xml:space="preserve"> </v>
      </c>
      <c r="AC4" s="32" t="str">
        <f>IF(H4=""," ",H4*Inputs!$B$39)</f>
        <v xml:space="preserve"> </v>
      </c>
      <c r="AD4" s="32" t="str">
        <f>IF(I4=""," ",I4*Inputs!$B$39)</f>
        <v xml:space="preserve"> </v>
      </c>
      <c r="AE4" s="32" t="str">
        <f>IF(J4=""," ",J4*Inputs!$B$39)</f>
        <v xml:space="preserve"> </v>
      </c>
      <c r="AF4" s="32" t="str">
        <f>IF(K4=""," ",K4*Inputs!$B$39)</f>
        <v xml:space="preserve"> </v>
      </c>
      <c r="AG4" s="32" t="str">
        <f>IF(L4=""," ",L4*Inputs!$B$39)</f>
        <v xml:space="preserve"> </v>
      </c>
      <c r="AH4" s="32" t="str">
        <f>IF(M4=""," ",M4*Inputs!$B$39)</f>
        <v xml:space="preserve"> </v>
      </c>
      <c r="AI4" s="32" t="str">
        <f>IF(N4=""," ",N4*Inputs!$B$39)</f>
        <v xml:space="preserve"> </v>
      </c>
      <c r="AJ4" s="32" t="str">
        <f>IF(O4=""," ",O4*Inputs!$B$39)</f>
        <v xml:space="preserve"> </v>
      </c>
      <c r="AK4" s="32" t="str">
        <f>IF(P4=""," ",P4*Inputs!$B$39)</f>
        <v xml:space="preserve"> </v>
      </c>
      <c r="AL4" s="32" t="str">
        <f>IF(Q4=""," ",Q4*Inputs!$B$39)</f>
        <v xml:space="preserve"> </v>
      </c>
      <c r="AM4" s="32" t="str">
        <f>IF(R4=""," ",R4*Inputs!$B$39)</f>
        <v xml:space="preserve"> </v>
      </c>
      <c r="AN4" s="32" t="str">
        <f>IF(S4=""," ",S4*Inputs!$B$39)</f>
        <v xml:space="preserve"> </v>
      </c>
      <c r="AO4" s="32" t="str">
        <f>IF(T4=""," ",T4*Inputs!$B$39)</f>
        <v xml:space="preserve"> </v>
      </c>
      <c r="AP4" s="32" t="str">
        <f>IF(U4=""," ",U4*Inputs!$B$39)</f>
        <v xml:space="preserve"> </v>
      </c>
      <c r="AQ4" s="32" t="str">
        <f>IF(V4=""," ",V4*Inputs!$B$39)</f>
        <v xml:space="preserve"> </v>
      </c>
      <c r="AS4" s="590"/>
      <c r="AT4" s="612" t="s">
        <v>6</v>
      </c>
      <c r="AU4" s="32">
        <v>-0.1053803288982854</v>
      </c>
      <c r="AV4" s="24" t="s">
        <v>498</v>
      </c>
      <c r="AW4" s="32" t="str">
        <f>IF(AB4=" "," ",AB4*Inputs!$B$53)</f>
        <v xml:space="preserve"> </v>
      </c>
      <c r="AX4" s="32" t="str">
        <f>IF(AC4=" "," ",AC4*Inputs!$B$53)</f>
        <v xml:space="preserve"> </v>
      </c>
      <c r="AY4" s="32" t="str">
        <f>IF(AD4=" "," ",AD4*Inputs!$B$53)</f>
        <v xml:space="preserve"> </v>
      </c>
      <c r="AZ4" s="32" t="str">
        <f>IF(AE4=" "," ",AE4*Inputs!$B$53)</f>
        <v xml:space="preserve"> </v>
      </c>
      <c r="BA4" s="32" t="str">
        <f>IF(AF4=" "," ",AF4*Inputs!$B$53)</f>
        <v xml:space="preserve"> </v>
      </c>
      <c r="BB4" s="32" t="str">
        <f>IF(AG4=" "," ",AG4*Inputs!$B$53)</f>
        <v xml:space="preserve"> </v>
      </c>
      <c r="BC4" s="32" t="str">
        <f>IF(AH4=" "," ",AH4*Inputs!$B$53)</f>
        <v xml:space="preserve"> </v>
      </c>
      <c r="BD4" s="32" t="str">
        <f>IF(AI4=" "," ",AI4*Inputs!$B$53)</f>
        <v xml:space="preserve"> </v>
      </c>
      <c r="BE4" s="32" t="str">
        <f>IF(AJ4=" "," ",AJ4*Inputs!$B$53)</f>
        <v xml:space="preserve"> </v>
      </c>
      <c r="BF4" s="32" t="str">
        <f>IF(AK4=" "," ",AK4*Inputs!$B$53)</f>
        <v xml:space="preserve"> </v>
      </c>
      <c r="BG4" s="32" t="str">
        <f>IF(AL4=" "," ",AL4*Inputs!$B$53)</f>
        <v xml:space="preserve"> </v>
      </c>
      <c r="BH4" s="32" t="str">
        <f>IF(AM4=" "," ",AM4*Inputs!$B$53)</f>
        <v xml:space="preserve"> </v>
      </c>
      <c r="BI4" s="32" t="str">
        <f>IF(AN4=" "," ",AN4*Inputs!$B$53)</f>
        <v xml:space="preserve"> </v>
      </c>
      <c r="BJ4" s="32" t="str">
        <f>IF(AO4=" "," ",AO4*Inputs!$B$53)</f>
        <v xml:space="preserve"> </v>
      </c>
      <c r="BK4" s="32" t="str">
        <f>IF(AP4=" "," ",AP4*Inputs!$B$53)</f>
        <v xml:space="preserve"> </v>
      </c>
      <c r="BL4" s="32" t="str">
        <f>IF(AQ4=" "," ",AQ4*Inputs!$B$53)</f>
        <v xml:space="preserve"> </v>
      </c>
    </row>
    <row r="5" spans="2:64" x14ac:dyDescent="0.25">
      <c r="C5" s="589"/>
      <c r="D5" s="589"/>
      <c r="E5" s="589"/>
      <c r="F5" s="21"/>
      <c r="G5" s="152"/>
      <c r="H5" s="152"/>
      <c r="I5" s="152"/>
      <c r="J5" s="152"/>
      <c r="K5" s="152"/>
      <c r="L5" s="152"/>
      <c r="M5" s="152"/>
      <c r="N5" s="152"/>
      <c r="O5" s="152"/>
      <c r="P5" s="152"/>
      <c r="Q5" s="152"/>
      <c r="R5" s="152"/>
      <c r="S5" s="152"/>
      <c r="T5" s="152"/>
      <c r="U5" s="152"/>
      <c r="V5" s="152"/>
      <c r="X5" s="589"/>
      <c r="Y5" s="589"/>
      <c r="Z5" s="33"/>
      <c r="AA5" s="27" t="s">
        <v>499</v>
      </c>
      <c r="AB5" s="32" t="str">
        <f>IF(G5=""," ",G5*Inputs!$B$39)</f>
        <v xml:space="preserve"> </v>
      </c>
      <c r="AC5" s="32" t="str">
        <f>IF(H5=""," ",H5*Inputs!$B$39)</f>
        <v xml:space="preserve"> </v>
      </c>
      <c r="AD5" s="32" t="str">
        <f>IF(I5=""," ",I5*Inputs!$B$39)</f>
        <v xml:space="preserve"> </v>
      </c>
      <c r="AE5" s="32" t="str">
        <f>IF(J5=""," ",J5*Inputs!$B$39)</f>
        <v xml:space="preserve"> </v>
      </c>
      <c r="AF5" s="32" t="str">
        <f>IF(K5=""," ",K5*Inputs!$B$39)</f>
        <v xml:space="preserve"> </v>
      </c>
      <c r="AG5" s="32" t="str">
        <f>IF(L5=""," ",L5*Inputs!$B$39)</f>
        <v xml:space="preserve"> </v>
      </c>
      <c r="AH5" s="32" t="str">
        <f>IF(M5=""," ",M5*Inputs!$B$39)</f>
        <v xml:space="preserve"> </v>
      </c>
      <c r="AI5" s="32" t="str">
        <f>IF(N5=""," ",N5*Inputs!$B$39)</f>
        <v xml:space="preserve"> </v>
      </c>
      <c r="AJ5" s="32" t="str">
        <f>IF(O5=""," ",O5*Inputs!$B$39)</f>
        <v xml:space="preserve"> </v>
      </c>
      <c r="AK5" s="32" t="str">
        <f>IF(P5=""," ",P5*Inputs!$B$39)</f>
        <v xml:space="preserve"> </v>
      </c>
      <c r="AL5" s="32" t="str">
        <f>IF(Q5=""," ",Q5*Inputs!$B$39)</f>
        <v xml:space="preserve"> </v>
      </c>
      <c r="AM5" s="32" t="str">
        <f>IF(R5=""," ",R5*Inputs!$B$39)</f>
        <v xml:space="preserve"> </v>
      </c>
      <c r="AN5" s="32" t="str">
        <f>IF(S5=""," ",S5*Inputs!$B$39)</f>
        <v xml:space="preserve"> </v>
      </c>
      <c r="AO5" s="32" t="str">
        <f>IF(T5=""," ",T5*Inputs!$B$39)</f>
        <v xml:space="preserve"> </v>
      </c>
      <c r="AP5" s="32" t="str">
        <f>IF(U5=""," ",U5*Inputs!$B$39)</f>
        <v xml:space="preserve"> </v>
      </c>
      <c r="AQ5" s="32" t="str">
        <f>IF(V5=""," ",V5*Inputs!$B$39)</f>
        <v xml:space="preserve"> </v>
      </c>
      <c r="AS5" s="589"/>
      <c r="AT5" s="589"/>
      <c r="AU5" s="33"/>
      <c r="AV5" s="27" t="s">
        <v>499</v>
      </c>
      <c r="AW5" s="32" t="str">
        <f>IF(AB5=" "," ",AB5*Inputs!$B$53)</f>
        <v xml:space="preserve"> </v>
      </c>
      <c r="AX5" s="32" t="str">
        <f>IF(AC5=" "," ",AC5*Inputs!$B$53)</f>
        <v xml:space="preserve"> </v>
      </c>
      <c r="AY5" s="32" t="str">
        <f>IF(AD5=" "," ",AD5*Inputs!$B$53)</f>
        <v xml:space="preserve"> </v>
      </c>
      <c r="AZ5" s="32" t="str">
        <f>IF(AE5=" "," ",AE5*Inputs!$B$53)</f>
        <v xml:space="preserve"> </v>
      </c>
      <c r="BA5" s="32" t="str">
        <f>IF(AF5=" "," ",AF5*Inputs!$B$53)</f>
        <v xml:space="preserve"> </v>
      </c>
      <c r="BB5" s="32" t="str">
        <f>IF(AG5=" "," ",AG5*Inputs!$B$53)</f>
        <v xml:space="preserve"> </v>
      </c>
      <c r="BC5" s="32" t="str">
        <f>IF(AH5=" "," ",AH5*Inputs!$B$53)</f>
        <v xml:space="preserve"> </v>
      </c>
      <c r="BD5" s="32" t="str">
        <f>IF(AI5=" "," ",AI5*Inputs!$B$53)</f>
        <v xml:space="preserve"> </v>
      </c>
      <c r="BE5" s="32" t="str">
        <f>IF(AJ5=" "," ",AJ5*Inputs!$B$53)</f>
        <v xml:space="preserve"> </v>
      </c>
      <c r="BF5" s="32" t="str">
        <f>IF(AK5=" "," ",AK5*Inputs!$B$53)</f>
        <v xml:space="preserve"> </v>
      </c>
      <c r="BG5" s="32" t="str">
        <f>IF(AL5=" "," ",AL5*Inputs!$B$53)</f>
        <v xml:space="preserve"> </v>
      </c>
      <c r="BH5" s="32" t="str">
        <f>IF(AM5=" "," ",AM5*Inputs!$B$53)</f>
        <v xml:space="preserve"> </v>
      </c>
      <c r="BI5" s="32" t="str">
        <f>IF(AN5=" "," ",AN5*Inputs!$B$53)</f>
        <v xml:space="preserve"> </v>
      </c>
      <c r="BJ5" s="32" t="str">
        <f>IF(AO5=" "," ",AO5*Inputs!$B$53)</f>
        <v xml:space="preserve"> </v>
      </c>
      <c r="BK5" s="32" t="str">
        <f>IF(AP5=" "," ",AP5*Inputs!$B$53)</f>
        <v xml:space="preserve"> </v>
      </c>
      <c r="BL5" s="32" t="str">
        <f>IF(AQ5=" "," ",AQ5*Inputs!$B$53)</f>
        <v xml:space="preserve"> </v>
      </c>
    </row>
    <row r="6" spans="2:64" x14ac:dyDescent="0.25">
      <c r="C6" s="589"/>
      <c r="D6" s="589"/>
      <c r="E6" s="589"/>
      <c r="F6" s="21"/>
      <c r="G6" s="152"/>
      <c r="H6" s="152"/>
      <c r="I6" s="152"/>
      <c r="J6" s="152"/>
      <c r="K6" s="152"/>
      <c r="L6" s="152"/>
      <c r="M6" s="152"/>
      <c r="N6" s="152"/>
      <c r="O6" s="152"/>
      <c r="P6" s="152"/>
      <c r="Q6" s="152"/>
      <c r="R6" s="152"/>
      <c r="S6" s="152"/>
      <c r="T6" s="152"/>
      <c r="U6" s="152"/>
      <c r="V6" s="152"/>
      <c r="X6" s="589"/>
      <c r="Y6" s="589"/>
      <c r="Z6" s="33"/>
      <c r="AA6" s="27" t="s">
        <v>500</v>
      </c>
      <c r="AB6" s="32" t="str">
        <f>IF(G6=""," ",G6*Inputs!$B$39)</f>
        <v xml:space="preserve"> </v>
      </c>
      <c r="AC6" s="32" t="str">
        <f>IF(H6=""," ",H6*Inputs!$B$39)</f>
        <v xml:space="preserve"> </v>
      </c>
      <c r="AD6" s="32" t="str">
        <f>IF(I6=""," ",I6*Inputs!$B$39)</f>
        <v xml:space="preserve"> </v>
      </c>
      <c r="AE6" s="32" t="str">
        <f>IF(J6=""," ",J6*Inputs!$B$39)</f>
        <v xml:space="preserve"> </v>
      </c>
      <c r="AF6" s="32" t="str">
        <f>IF(K6=""," ",K6*Inputs!$B$39)</f>
        <v xml:space="preserve"> </v>
      </c>
      <c r="AG6" s="32" t="str">
        <f>IF(L6=""," ",L6*Inputs!$B$39)</f>
        <v xml:space="preserve"> </v>
      </c>
      <c r="AH6" s="32" t="str">
        <f>IF(M6=""," ",M6*Inputs!$B$39)</f>
        <v xml:space="preserve"> </v>
      </c>
      <c r="AI6" s="32" t="str">
        <f>IF(N6=""," ",N6*Inputs!$B$39)</f>
        <v xml:space="preserve"> </v>
      </c>
      <c r="AJ6" s="32" t="str">
        <f>IF(O6=""," ",O6*Inputs!$B$39)</f>
        <v xml:space="preserve"> </v>
      </c>
      <c r="AK6" s="32" t="str">
        <f>IF(P6=""," ",P6*Inputs!$B$39)</f>
        <v xml:space="preserve"> </v>
      </c>
      <c r="AL6" s="32" t="str">
        <f>IF(Q6=""," ",Q6*Inputs!$B$39)</f>
        <v xml:space="preserve"> </v>
      </c>
      <c r="AM6" s="32" t="str">
        <f>IF(R6=""," ",R6*Inputs!$B$39)</f>
        <v xml:space="preserve"> </v>
      </c>
      <c r="AN6" s="32" t="str">
        <f>IF(S6=""," ",S6*Inputs!$B$39)</f>
        <v xml:space="preserve"> </v>
      </c>
      <c r="AO6" s="32" t="str">
        <f>IF(T6=""," ",T6*Inputs!$B$39)</f>
        <v xml:space="preserve"> </v>
      </c>
      <c r="AP6" s="32" t="str">
        <f>IF(U6=""," ",U6*Inputs!$B$39)</f>
        <v xml:space="preserve"> </v>
      </c>
      <c r="AQ6" s="32" t="str">
        <f>IF(V6=""," ",V6*Inputs!$B$39)</f>
        <v xml:space="preserve"> </v>
      </c>
      <c r="AS6" s="589"/>
      <c r="AT6" s="589"/>
      <c r="AU6" s="33"/>
      <c r="AV6" s="27" t="s">
        <v>500</v>
      </c>
      <c r="AW6" s="32" t="str">
        <f>IF(AB6=" "," ",AB6*Inputs!$B$53)</f>
        <v xml:space="preserve"> </v>
      </c>
      <c r="AX6" s="32" t="str">
        <f>IF(AC6=" "," ",AC6*Inputs!$B$53)</f>
        <v xml:space="preserve"> </v>
      </c>
      <c r="AY6" s="32" t="str">
        <f>IF(AD6=" "," ",AD6*Inputs!$B$53)</f>
        <v xml:space="preserve"> </v>
      </c>
      <c r="AZ6" s="32" t="str">
        <f>IF(AE6=" "," ",AE6*Inputs!$B$53)</f>
        <v xml:space="preserve"> </v>
      </c>
      <c r="BA6" s="32" t="str">
        <f>IF(AF6=" "," ",AF6*Inputs!$B$53)</f>
        <v xml:space="preserve"> </v>
      </c>
      <c r="BB6" s="32" t="str">
        <f>IF(AG6=" "," ",AG6*Inputs!$B$53)</f>
        <v xml:space="preserve"> </v>
      </c>
      <c r="BC6" s="32" t="str">
        <f>IF(AH6=" "," ",AH6*Inputs!$B$53)</f>
        <v xml:space="preserve"> </v>
      </c>
      <c r="BD6" s="32" t="str">
        <f>IF(AI6=" "," ",AI6*Inputs!$B$53)</f>
        <v xml:space="preserve"> </v>
      </c>
      <c r="BE6" s="32" t="str">
        <f>IF(AJ6=" "," ",AJ6*Inputs!$B$53)</f>
        <v xml:space="preserve"> </v>
      </c>
      <c r="BF6" s="32" t="str">
        <f>IF(AK6=" "," ",AK6*Inputs!$B$53)</f>
        <v xml:space="preserve"> </v>
      </c>
      <c r="BG6" s="32" t="str">
        <f>IF(AL6=" "," ",AL6*Inputs!$B$53)</f>
        <v xml:space="preserve"> </v>
      </c>
      <c r="BH6" s="32" t="str">
        <f>IF(AM6=" "," ",AM6*Inputs!$B$53)</f>
        <v xml:space="preserve"> </v>
      </c>
      <c r="BI6" s="32" t="str">
        <f>IF(AN6=" "," ",AN6*Inputs!$B$53)</f>
        <v xml:space="preserve"> </v>
      </c>
      <c r="BJ6" s="32" t="str">
        <f>IF(AO6=" "," ",AO6*Inputs!$B$53)</f>
        <v xml:space="preserve"> </v>
      </c>
      <c r="BK6" s="32" t="str">
        <f>IF(AP6=" "," ",AP6*Inputs!$B$53)</f>
        <v xml:space="preserve"> </v>
      </c>
      <c r="BL6" s="32" t="str">
        <f>IF(AQ6=" "," ",AQ6*Inputs!$B$53)</f>
        <v xml:space="preserve"> </v>
      </c>
    </row>
    <row r="7" spans="2:64" x14ac:dyDescent="0.25">
      <c r="C7" s="589"/>
      <c r="D7" s="589"/>
      <c r="E7" s="589"/>
      <c r="F7" s="21"/>
      <c r="G7" s="152"/>
      <c r="H7" s="152"/>
      <c r="I7" s="152"/>
      <c r="J7" s="152"/>
      <c r="K7" s="152"/>
      <c r="L7" s="152"/>
      <c r="M7" s="152"/>
      <c r="N7" s="152"/>
      <c r="O7" s="152"/>
      <c r="P7" s="152"/>
      <c r="Q7" s="152"/>
      <c r="R7" s="152"/>
      <c r="S7" s="152"/>
      <c r="T7" s="152"/>
      <c r="U7" s="152"/>
      <c r="V7" s="152"/>
      <c r="X7" s="591"/>
      <c r="Y7" s="589"/>
      <c r="Z7" s="6"/>
      <c r="AA7" s="29" t="s">
        <v>501</v>
      </c>
      <c r="AB7" s="32" t="str">
        <f>IF(G7=""," ",G7*Inputs!$B$39)</f>
        <v xml:space="preserve"> </v>
      </c>
      <c r="AC7" s="32" t="str">
        <f>IF(H7=""," ",H7*Inputs!$B$39)</f>
        <v xml:space="preserve"> </v>
      </c>
      <c r="AD7" s="32" t="str">
        <f>IF(I7=""," ",I7*Inputs!$B$39)</f>
        <v xml:space="preserve"> </v>
      </c>
      <c r="AE7" s="32" t="str">
        <f>IF(J7=""," ",J7*Inputs!$B$39)</f>
        <v xml:space="preserve"> </v>
      </c>
      <c r="AF7" s="32" t="str">
        <f>IF(K7=""," ",K7*Inputs!$B$39)</f>
        <v xml:space="preserve"> </v>
      </c>
      <c r="AG7" s="32" t="str">
        <f>IF(L7=""," ",L7*Inputs!$B$39)</f>
        <v xml:space="preserve"> </v>
      </c>
      <c r="AH7" s="32" t="str">
        <f>IF(M7=""," ",M7*Inputs!$B$39)</f>
        <v xml:space="preserve"> </v>
      </c>
      <c r="AI7" s="32" t="str">
        <f>IF(N7=""," ",N7*Inputs!$B$39)</f>
        <v xml:space="preserve"> </v>
      </c>
      <c r="AJ7" s="32" t="str">
        <f>IF(O7=""," ",O7*Inputs!$B$39)</f>
        <v xml:space="preserve"> </v>
      </c>
      <c r="AK7" s="32" t="str">
        <f>IF(P7=""," ",P7*Inputs!$B$39)</f>
        <v xml:space="preserve"> </v>
      </c>
      <c r="AL7" s="32" t="str">
        <f>IF(Q7=""," ",Q7*Inputs!$B$39)</f>
        <v xml:space="preserve"> </v>
      </c>
      <c r="AM7" s="32" t="str">
        <f>IF(R7=""," ",R7*Inputs!$B$39)</f>
        <v xml:space="preserve"> </v>
      </c>
      <c r="AN7" s="32" t="str">
        <f>IF(S7=""," ",S7*Inputs!$B$39)</f>
        <v xml:space="preserve"> </v>
      </c>
      <c r="AO7" s="32" t="str">
        <f>IF(T7=""," ",T7*Inputs!$B$39)</f>
        <v xml:space="preserve"> </v>
      </c>
      <c r="AP7" s="32" t="str">
        <f>IF(U7=""," ",U7*Inputs!$B$39)</f>
        <v xml:space="preserve"> </v>
      </c>
      <c r="AQ7" s="32" t="str">
        <f>IF(V7=""," ",V7*Inputs!$B$39)</f>
        <v xml:space="preserve"> </v>
      </c>
      <c r="AS7" s="591"/>
      <c r="AT7" s="589"/>
      <c r="AU7" s="6"/>
      <c r="AV7" s="29" t="s">
        <v>501</v>
      </c>
      <c r="AW7" s="32" t="str">
        <f>IF(AB7=" "," ",AB7*Inputs!$B$53)</f>
        <v xml:space="preserve"> </v>
      </c>
      <c r="AX7" s="32" t="str">
        <f>IF(AC7=" "," ",AC7*Inputs!$B$53)</f>
        <v xml:space="preserve"> </v>
      </c>
      <c r="AY7" s="32" t="str">
        <f>IF(AD7=" "," ",AD7*Inputs!$B$53)</f>
        <v xml:space="preserve"> </v>
      </c>
      <c r="AZ7" s="32" t="str">
        <f>IF(AE7=" "," ",AE7*Inputs!$B$53)</f>
        <v xml:space="preserve"> </v>
      </c>
      <c r="BA7" s="32" t="str">
        <f>IF(AF7=" "," ",AF7*Inputs!$B$53)</f>
        <v xml:space="preserve"> </v>
      </c>
      <c r="BB7" s="32" t="str">
        <f>IF(AG7=" "," ",AG7*Inputs!$B$53)</f>
        <v xml:space="preserve"> </v>
      </c>
      <c r="BC7" s="32" t="str">
        <f>IF(AH7=" "," ",AH7*Inputs!$B$53)</f>
        <v xml:space="preserve"> </v>
      </c>
      <c r="BD7" s="32" t="str">
        <f>IF(AI7=" "," ",AI7*Inputs!$B$53)</f>
        <v xml:space="preserve"> </v>
      </c>
      <c r="BE7" s="32" t="str">
        <f>IF(AJ7=" "," ",AJ7*Inputs!$B$53)</f>
        <v xml:space="preserve"> </v>
      </c>
      <c r="BF7" s="32" t="str">
        <f>IF(AK7=" "," ",AK7*Inputs!$B$53)</f>
        <v xml:space="preserve"> </v>
      </c>
      <c r="BG7" s="32" t="str">
        <f>IF(AL7=" "," ",AL7*Inputs!$B$53)</f>
        <v xml:space="preserve"> </v>
      </c>
      <c r="BH7" s="32" t="str">
        <f>IF(AM7=" "," ",AM7*Inputs!$B$53)</f>
        <v xml:space="preserve"> </v>
      </c>
      <c r="BI7" s="32" t="str">
        <f>IF(AN7=" "," ",AN7*Inputs!$B$53)</f>
        <v xml:space="preserve"> </v>
      </c>
      <c r="BJ7" s="32" t="str">
        <f>IF(AO7=" "," ",AO7*Inputs!$B$53)</f>
        <v xml:space="preserve"> </v>
      </c>
      <c r="BK7" s="32" t="str">
        <f>IF(AP7=" "," ",AP7*Inputs!$B$53)</f>
        <v xml:space="preserve"> </v>
      </c>
      <c r="BL7" s="32" t="str">
        <f>IF(AQ7=" "," ",AQ7*Inputs!$B$53)</f>
        <v xml:space="preserve"> </v>
      </c>
    </row>
    <row r="8" spans="2:64" x14ac:dyDescent="0.25">
      <c r="C8" s="593"/>
      <c r="D8" s="589"/>
      <c r="E8" s="595"/>
      <c r="F8" s="150"/>
      <c r="G8" s="151"/>
      <c r="H8" s="151"/>
      <c r="I8" s="151"/>
      <c r="J8" s="151"/>
      <c r="K8" s="151"/>
      <c r="L8" s="151"/>
      <c r="M8" s="151"/>
      <c r="N8" s="151"/>
      <c r="O8" s="151"/>
      <c r="P8" s="151"/>
      <c r="Q8" s="151"/>
      <c r="R8" s="151"/>
      <c r="S8" s="151"/>
      <c r="T8" s="151"/>
      <c r="U8" s="151"/>
      <c r="V8" s="151"/>
      <c r="X8" s="593"/>
      <c r="Y8" s="589"/>
      <c r="Z8" s="32">
        <v>-3.8032081255830033E-2</v>
      </c>
      <c r="AA8" s="24" t="s">
        <v>498</v>
      </c>
      <c r="AB8" s="32" t="str">
        <f>IF(G8=""," ",G8*Inputs!$B$39)</f>
        <v xml:space="preserve"> </v>
      </c>
      <c r="AC8" s="32" t="str">
        <f>IF(H8=""," ",H8*Inputs!$B$39)</f>
        <v xml:space="preserve"> </v>
      </c>
      <c r="AD8" s="32" t="str">
        <f>IF(I8=""," ",I8*Inputs!$B$39)</f>
        <v xml:space="preserve"> </v>
      </c>
      <c r="AE8" s="32" t="str">
        <f>IF(J8=""," ",J8*Inputs!$B$39)</f>
        <v xml:space="preserve"> </v>
      </c>
      <c r="AF8" s="32" t="str">
        <f>IF(K8=""," ",K8*Inputs!$B$39)</f>
        <v xml:space="preserve"> </v>
      </c>
      <c r="AG8" s="32" t="str">
        <f>IF(L8=""," ",L8*Inputs!$B$39)</f>
        <v xml:space="preserve"> </v>
      </c>
      <c r="AH8" s="32" t="str">
        <f>IF(M8=""," ",M8*Inputs!$B$39)</f>
        <v xml:space="preserve"> </v>
      </c>
      <c r="AI8" s="32" t="str">
        <f>IF(N8=""," ",N8*Inputs!$B$39)</f>
        <v xml:space="preserve"> </v>
      </c>
      <c r="AJ8" s="32" t="str">
        <f>IF(O8=""," ",O8*Inputs!$B$39)</f>
        <v xml:space="preserve"> </v>
      </c>
      <c r="AK8" s="32" t="str">
        <f>IF(P8=""," ",P8*Inputs!$B$39)</f>
        <v xml:space="preserve"> </v>
      </c>
      <c r="AL8" s="32" t="str">
        <f>IF(Q8=""," ",Q8*Inputs!$B$39)</f>
        <v xml:space="preserve"> </v>
      </c>
      <c r="AM8" s="32" t="str">
        <f>IF(R8=""," ",R8*Inputs!$B$39)</f>
        <v xml:space="preserve"> </v>
      </c>
      <c r="AN8" s="32" t="str">
        <f>IF(S8=""," ",S8*Inputs!$B$39)</f>
        <v xml:space="preserve"> </v>
      </c>
      <c r="AO8" s="32" t="str">
        <f>IF(T8=""," ",T8*Inputs!$B$39)</f>
        <v xml:space="preserve"> </v>
      </c>
      <c r="AP8" s="32" t="str">
        <f>IF(U8=""," ",U8*Inputs!$B$39)</f>
        <v xml:space="preserve"> </v>
      </c>
      <c r="AQ8" s="32" t="str">
        <f>IF(V8=""," ",V8*Inputs!$B$39)</f>
        <v xml:space="preserve"> </v>
      </c>
      <c r="AS8" s="593"/>
      <c r="AT8" s="589"/>
      <c r="AU8" s="32">
        <v>-3.8032081255830033E-2</v>
      </c>
      <c r="AV8" s="24" t="s">
        <v>498</v>
      </c>
      <c r="AW8" s="32" t="str">
        <f>IF(AB8=" "," ",AB8*Inputs!$B$53)</f>
        <v xml:space="preserve"> </v>
      </c>
      <c r="AX8" s="32" t="str">
        <f>IF(AC8=" "," ",AC8*Inputs!$B$53)</f>
        <v xml:space="preserve"> </v>
      </c>
      <c r="AY8" s="32" t="str">
        <f>IF(AD8=" "," ",AD8*Inputs!$B$53)</f>
        <v xml:space="preserve"> </v>
      </c>
      <c r="AZ8" s="32" t="str">
        <f>IF(AE8=" "," ",AE8*Inputs!$B$53)</f>
        <v xml:space="preserve"> </v>
      </c>
      <c r="BA8" s="32" t="str">
        <f>IF(AF8=" "," ",AF8*Inputs!$B$53)</f>
        <v xml:space="preserve"> </v>
      </c>
      <c r="BB8" s="32" t="str">
        <f>IF(AG8=" "," ",AG8*Inputs!$B$53)</f>
        <v xml:space="preserve"> </v>
      </c>
      <c r="BC8" s="32" t="str">
        <f>IF(AH8=" "," ",AH8*Inputs!$B$53)</f>
        <v xml:space="preserve"> </v>
      </c>
      <c r="BD8" s="32" t="str">
        <f>IF(AI8=" "," ",AI8*Inputs!$B$53)</f>
        <v xml:space="preserve"> </v>
      </c>
      <c r="BE8" s="32" t="str">
        <f>IF(AJ8=" "," ",AJ8*Inputs!$B$53)</f>
        <v xml:space="preserve"> </v>
      </c>
      <c r="BF8" s="32" t="str">
        <f>IF(AK8=" "," ",AK8*Inputs!$B$53)</f>
        <v xml:space="preserve"> </v>
      </c>
      <c r="BG8" s="32" t="str">
        <f>IF(AL8=" "," ",AL8*Inputs!$B$53)</f>
        <v xml:space="preserve"> </v>
      </c>
      <c r="BH8" s="32" t="str">
        <f>IF(AM8=" "," ",AM8*Inputs!$B$53)</f>
        <v xml:space="preserve"> </v>
      </c>
      <c r="BI8" s="32" t="str">
        <f>IF(AN8=" "," ",AN8*Inputs!$B$53)</f>
        <v xml:space="preserve"> </v>
      </c>
      <c r="BJ8" s="32" t="str">
        <f>IF(AO8=" "," ",AO8*Inputs!$B$53)</f>
        <v xml:space="preserve"> </v>
      </c>
      <c r="BK8" s="32" t="str">
        <f>IF(AP8=" "," ",AP8*Inputs!$B$53)</f>
        <v xml:space="preserve"> </v>
      </c>
      <c r="BL8" s="32" t="str">
        <f>IF(AQ8=" "," ",AQ8*Inputs!$B$53)</f>
        <v xml:space="preserve"> </v>
      </c>
    </row>
    <row r="9" spans="2:64" x14ac:dyDescent="0.25">
      <c r="C9" s="589"/>
      <c r="D9" s="589"/>
      <c r="E9" s="589"/>
      <c r="F9" s="21"/>
      <c r="G9" s="152"/>
      <c r="H9" s="152"/>
      <c r="I9" s="152"/>
      <c r="J9" s="152"/>
      <c r="K9" s="152"/>
      <c r="L9" s="152"/>
      <c r="M9" s="152"/>
      <c r="N9" s="152"/>
      <c r="O9" s="152"/>
      <c r="P9" s="152"/>
      <c r="Q9" s="152"/>
      <c r="R9" s="152"/>
      <c r="S9" s="152"/>
      <c r="T9" s="152"/>
      <c r="U9" s="152"/>
      <c r="V9" s="152"/>
      <c r="X9" s="589"/>
      <c r="Y9" s="589"/>
      <c r="Z9" s="33"/>
      <c r="AA9" s="27" t="s">
        <v>499</v>
      </c>
      <c r="AB9" s="32" t="str">
        <f>IF(G9=""," ",G9*Inputs!$B$39)</f>
        <v xml:space="preserve"> </v>
      </c>
      <c r="AC9" s="32" t="str">
        <f>IF(H9=""," ",H9*Inputs!$B$39)</f>
        <v xml:space="preserve"> </v>
      </c>
      <c r="AD9" s="32" t="str">
        <f>IF(I9=""," ",I9*Inputs!$B$39)</f>
        <v xml:space="preserve"> </v>
      </c>
      <c r="AE9" s="32" t="str">
        <f>IF(J9=""," ",J9*Inputs!$B$39)</f>
        <v xml:space="preserve"> </v>
      </c>
      <c r="AF9" s="32" t="str">
        <f>IF(K9=""," ",K9*Inputs!$B$39)</f>
        <v xml:space="preserve"> </v>
      </c>
      <c r="AG9" s="32" t="str">
        <f>IF(L9=""," ",L9*Inputs!$B$39)</f>
        <v xml:space="preserve"> </v>
      </c>
      <c r="AH9" s="32" t="str">
        <f>IF(M9=""," ",M9*Inputs!$B$39)</f>
        <v xml:space="preserve"> </v>
      </c>
      <c r="AI9" s="32" t="str">
        <f>IF(N9=""," ",N9*Inputs!$B$39)</f>
        <v xml:space="preserve"> </v>
      </c>
      <c r="AJ9" s="32" t="str">
        <f>IF(O9=""," ",O9*Inputs!$B$39)</f>
        <v xml:space="preserve"> </v>
      </c>
      <c r="AK9" s="32" t="str">
        <f>IF(P9=""," ",P9*Inputs!$B$39)</f>
        <v xml:space="preserve"> </v>
      </c>
      <c r="AL9" s="32" t="str">
        <f>IF(Q9=""," ",Q9*Inputs!$B$39)</f>
        <v xml:space="preserve"> </v>
      </c>
      <c r="AM9" s="32" t="str">
        <f>IF(R9=""," ",R9*Inputs!$B$39)</f>
        <v xml:space="preserve"> </v>
      </c>
      <c r="AN9" s="32" t="str">
        <f>IF(S9=""," ",S9*Inputs!$B$39)</f>
        <v xml:space="preserve"> </v>
      </c>
      <c r="AO9" s="32" t="str">
        <f>IF(T9=""," ",T9*Inputs!$B$39)</f>
        <v xml:space="preserve"> </v>
      </c>
      <c r="AP9" s="32" t="str">
        <f>IF(U9=""," ",U9*Inputs!$B$39)</f>
        <v xml:space="preserve"> </v>
      </c>
      <c r="AQ9" s="32" t="str">
        <f>IF(V9=""," ",V9*Inputs!$B$39)</f>
        <v xml:space="preserve"> </v>
      </c>
      <c r="AS9" s="589"/>
      <c r="AT9" s="589"/>
      <c r="AU9" s="33"/>
      <c r="AV9" s="27" t="s">
        <v>499</v>
      </c>
      <c r="AW9" s="32" t="str">
        <f>IF(AB9=" "," ",AB9*Inputs!$B$53)</f>
        <v xml:space="preserve"> </v>
      </c>
      <c r="AX9" s="32" t="str">
        <f>IF(AC9=" "," ",AC9*Inputs!$B$53)</f>
        <v xml:space="preserve"> </v>
      </c>
      <c r="AY9" s="32" t="str">
        <f>IF(AD9=" "," ",AD9*Inputs!$B$53)</f>
        <v xml:space="preserve"> </v>
      </c>
      <c r="AZ9" s="32" t="str">
        <f>IF(AE9=" "," ",AE9*Inputs!$B$53)</f>
        <v xml:space="preserve"> </v>
      </c>
      <c r="BA9" s="32" t="str">
        <f>IF(AF9=" "," ",AF9*Inputs!$B$53)</f>
        <v xml:space="preserve"> </v>
      </c>
      <c r="BB9" s="32" t="str">
        <f>IF(AG9=" "," ",AG9*Inputs!$B$53)</f>
        <v xml:space="preserve"> </v>
      </c>
      <c r="BC9" s="32" t="str">
        <f>IF(AH9=" "," ",AH9*Inputs!$B$53)</f>
        <v xml:space="preserve"> </v>
      </c>
      <c r="BD9" s="32" t="str">
        <f>IF(AI9=" "," ",AI9*Inputs!$B$53)</f>
        <v xml:space="preserve"> </v>
      </c>
      <c r="BE9" s="32" t="str">
        <f>IF(AJ9=" "," ",AJ9*Inputs!$B$53)</f>
        <v xml:space="preserve"> </v>
      </c>
      <c r="BF9" s="32" t="str">
        <f>IF(AK9=" "," ",AK9*Inputs!$B$53)</f>
        <v xml:space="preserve"> </v>
      </c>
      <c r="BG9" s="32" t="str">
        <f>IF(AL9=" "," ",AL9*Inputs!$B$53)</f>
        <v xml:space="preserve"> </v>
      </c>
      <c r="BH9" s="32" t="str">
        <f>IF(AM9=" "," ",AM9*Inputs!$B$53)</f>
        <v xml:space="preserve"> </v>
      </c>
      <c r="BI9" s="32" t="str">
        <f>IF(AN9=" "," ",AN9*Inputs!$B$53)</f>
        <v xml:space="preserve"> </v>
      </c>
      <c r="BJ9" s="32" t="str">
        <f>IF(AO9=" "," ",AO9*Inputs!$B$53)</f>
        <v xml:space="preserve"> </v>
      </c>
      <c r="BK9" s="32" t="str">
        <f>IF(AP9=" "," ",AP9*Inputs!$B$53)</f>
        <v xml:space="preserve"> </v>
      </c>
      <c r="BL9" s="32" t="str">
        <f>IF(AQ9=" "," ",AQ9*Inputs!$B$53)</f>
        <v xml:space="preserve"> </v>
      </c>
    </row>
    <row r="10" spans="2:64" x14ac:dyDescent="0.25">
      <c r="C10" s="589"/>
      <c r="D10" s="589"/>
      <c r="E10" s="589"/>
      <c r="F10" s="21"/>
      <c r="G10" s="152"/>
      <c r="H10" s="152"/>
      <c r="I10" s="152"/>
      <c r="J10" s="152"/>
      <c r="K10" s="152"/>
      <c r="L10" s="152"/>
      <c r="M10" s="152"/>
      <c r="N10" s="152"/>
      <c r="O10" s="152"/>
      <c r="P10" s="152"/>
      <c r="Q10" s="152"/>
      <c r="R10" s="152"/>
      <c r="S10" s="152"/>
      <c r="T10" s="152"/>
      <c r="U10" s="152"/>
      <c r="V10" s="152"/>
      <c r="X10" s="589"/>
      <c r="Y10" s="589"/>
      <c r="Z10" s="33"/>
      <c r="AA10" s="27" t="s">
        <v>500</v>
      </c>
      <c r="AB10" s="32" t="str">
        <f>IF(G10=""," ",G10*Inputs!$B$39)</f>
        <v xml:space="preserve"> </v>
      </c>
      <c r="AC10" s="32" t="str">
        <f>IF(H10=""," ",H10*Inputs!$B$39)</f>
        <v xml:space="preserve"> </v>
      </c>
      <c r="AD10" s="32" t="str">
        <f>IF(I10=""," ",I10*Inputs!$B$39)</f>
        <v xml:space="preserve"> </v>
      </c>
      <c r="AE10" s="32" t="str">
        <f>IF(J10=""," ",J10*Inputs!$B$39)</f>
        <v xml:space="preserve"> </v>
      </c>
      <c r="AF10" s="32" t="str">
        <f>IF(K10=""," ",K10*Inputs!$B$39)</f>
        <v xml:space="preserve"> </v>
      </c>
      <c r="AG10" s="32" t="str">
        <f>IF(L10=""," ",L10*Inputs!$B$39)</f>
        <v xml:space="preserve"> </v>
      </c>
      <c r="AH10" s="32" t="str">
        <f>IF(M10=""," ",M10*Inputs!$B$39)</f>
        <v xml:space="preserve"> </v>
      </c>
      <c r="AI10" s="32" t="str">
        <f>IF(N10=""," ",N10*Inputs!$B$39)</f>
        <v xml:space="preserve"> </v>
      </c>
      <c r="AJ10" s="32" t="str">
        <f>IF(O10=""," ",O10*Inputs!$B$39)</f>
        <v xml:space="preserve"> </v>
      </c>
      <c r="AK10" s="32" t="str">
        <f>IF(P10=""," ",P10*Inputs!$B$39)</f>
        <v xml:space="preserve"> </v>
      </c>
      <c r="AL10" s="32" t="str">
        <f>IF(Q10=""," ",Q10*Inputs!$B$39)</f>
        <v xml:space="preserve"> </v>
      </c>
      <c r="AM10" s="32" t="str">
        <f>IF(R10=""," ",R10*Inputs!$B$39)</f>
        <v xml:space="preserve"> </v>
      </c>
      <c r="AN10" s="32" t="str">
        <f>IF(S10=""," ",S10*Inputs!$B$39)</f>
        <v xml:space="preserve"> </v>
      </c>
      <c r="AO10" s="32" t="str">
        <f>IF(T10=""," ",T10*Inputs!$B$39)</f>
        <v xml:space="preserve"> </v>
      </c>
      <c r="AP10" s="32" t="str">
        <f>IF(U10=""," ",U10*Inputs!$B$39)</f>
        <v xml:space="preserve"> </v>
      </c>
      <c r="AQ10" s="32" t="str">
        <f>IF(V10=""," ",V10*Inputs!$B$39)</f>
        <v xml:space="preserve"> </v>
      </c>
      <c r="AS10" s="589"/>
      <c r="AT10" s="589"/>
      <c r="AU10" s="33"/>
      <c r="AV10" s="27" t="s">
        <v>500</v>
      </c>
      <c r="AW10" s="32" t="str">
        <f>IF(AB10=" "," ",AB10*Inputs!$B$53)</f>
        <v xml:space="preserve"> </v>
      </c>
      <c r="AX10" s="32" t="str">
        <f>IF(AC10=" "," ",AC10*Inputs!$B$53)</f>
        <v xml:space="preserve"> </v>
      </c>
      <c r="AY10" s="32" t="str">
        <f>IF(AD10=" "," ",AD10*Inputs!$B$53)</f>
        <v xml:space="preserve"> </v>
      </c>
      <c r="AZ10" s="32" t="str">
        <f>IF(AE10=" "," ",AE10*Inputs!$B$53)</f>
        <v xml:space="preserve"> </v>
      </c>
      <c r="BA10" s="32" t="str">
        <f>IF(AF10=" "," ",AF10*Inputs!$B$53)</f>
        <v xml:space="preserve"> </v>
      </c>
      <c r="BB10" s="32" t="str">
        <f>IF(AG10=" "," ",AG10*Inputs!$B$53)</f>
        <v xml:space="preserve"> </v>
      </c>
      <c r="BC10" s="32" t="str">
        <f>IF(AH10=" "," ",AH10*Inputs!$B$53)</f>
        <v xml:space="preserve"> </v>
      </c>
      <c r="BD10" s="32" t="str">
        <f>IF(AI10=" "," ",AI10*Inputs!$B$53)</f>
        <v xml:space="preserve"> </v>
      </c>
      <c r="BE10" s="32" t="str">
        <f>IF(AJ10=" "," ",AJ10*Inputs!$B$53)</f>
        <v xml:space="preserve"> </v>
      </c>
      <c r="BF10" s="32" t="str">
        <f>IF(AK10=" "," ",AK10*Inputs!$B$53)</f>
        <v xml:space="preserve"> </v>
      </c>
      <c r="BG10" s="32" t="str">
        <f>IF(AL10=" "," ",AL10*Inputs!$B$53)</f>
        <v xml:space="preserve"> </v>
      </c>
      <c r="BH10" s="32" t="str">
        <f>IF(AM10=" "," ",AM10*Inputs!$B$53)</f>
        <v xml:space="preserve"> </v>
      </c>
      <c r="BI10" s="32" t="str">
        <f>IF(AN10=" "," ",AN10*Inputs!$B$53)</f>
        <v xml:space="preserve"> </v>
      </c>
      <c r="BJ10" s="32" t="str">
        <f>IF(AO10=" "," ",AO10*Inputs!$B$53)</f>
        <v xml:space="preserve"> </v>
      </c>
      <c r="BK10" s="32" t="str">
        <f>IF(AP10=" "," ",AP10*Inputs!$B$53)</f>
        <v xml:space="preserve"> </v>
      </c>
      <c r="BL10" s="32" t="str">
        <f>IF(AQ10=" "," ",AQ10*Inputs!$B$53)</f>
        <v xml:space="preserve"> </v>
      </c>
    </row>
    <row r="11" spans="2:64" x14ac:dyDescent="0.25">
      <c r="C11" s="591"/>
      <c r="D11" s="589"/>
      <c r="E11" s="591"/>
      <c r="F11" s="21"/>
      <c r="G11" s="152"/>
      <c r="H11" s="152"/>
      <c r="I11" s="152"/>
      <c r="J11" s="152"/>
      <c r="K11" s="152"/>
      <c r="L11" s="152"/>
      <c r="M11" s="152"/>
      <c r="N11" s="152"/>
      <c r="O11" s="152"/>
      <c r="P11" s="152"/>
      <c r="Q11" s="152"/>
      <c r="R11" s="152"/>
      <c r="S11" s="152"/>
      <c r="T11" s="152"/>
      <c r="U11" s="152"/>
      <c r="V11" s="152"/>
      <c r="X11" s="591"/>
      <c r="Y11" s="591"/>
      <c r="Z11" s="6"/>
      <c r="AA11" s="29" t="s">
        <v>501</v>
      </c>
      <c r="AB11" s="32" t="str">
        <f>IF(G11=""," ",G11*Inputs!$B$39)</f>
        <v xml:space="preserve"> </v>
      </c>
      <c r="AC11" s="32" t="str">
        <f>IF(H11=""," ",H11*Inputs!$B$39)</f>
        <v xml:space="preserve"> </v>
      </c>
      <c r="AD11" s="32" t="str">
        <f>IF(I11=""," ",I11*Inputs!$B$39)</f>
        <v xml:space="preserve"> </v>
      </c>
      <c r="AE11" s="32" t="str">
        <f>IF(J11=""," ",J11*Inputs!$B$39)</f>
        <v xml:space="preserve"> </v>
      </c>
      <c r="AF11" s="32" t="str">
        <f>IF(K11=""," ",K11*Inputs!$B$39)</f>
        <v xml:space="preserve"> </v>
      </c>
      <c r="AG11" s="32" t="str">
        <f>IF(L11=""," ",L11*Inputs!$B$39)</f>
        <v xml:space="preserve"> </v>
      </c>
      <c r="AH11" s="32" t="str">
        <f>IF(M11=""," ",M11*Inputs!$B$39)</f>
        <v xml:space="preserve"> </v>
      </c>
      <c r="AI11" s="32" t="str">
        <f>IF(N11=""," ",N11*Inputs!$B$39)</f>
        <v xml:space="preserve"> </v>
      </c>
      <c r="AJ11" s="32" t="str">
        <f>IF(O11=""," ",O11*Inputs!$B$39)</f>
        <v xml:space="preserve"> </v>
      </c>
      <c r="AK11" s="32" t="str">
        <f>IF(P11=""," ",P11*Inputs!$B$39)</f>
        <v xml:space="preserve"> </v>
      </c>
      <c r="AL11" s="32" t="str">
        <f>IF(Q11=""," ",Q11*Inputs!$B$39)</f>
        <v xml:space="preserve"> </v>
      </c>
      <c r="AM11" s="32" t="str">
        <f>IF(R11=""," ",R11*Inputs!$B$39)</f>
        <v xml:space="preserve"> </v>
      </c>
      <c r="AN11" s="32" t="str">
        <f>IF(S11=""," ",S11*Inputs!$B$39)</f>
        <v xml:space="preserve"> </v>
      </c>
      <c r="AO11" s="32" t="str">
        <f>IF(T11=""," ",T11*Inputs!$B$39)</f>
        <v xml:space="preserve"> </v>
      </c>
      <c r="AP11" s="32" t="str">
        <f>IF(U11=""," ",U11*Inputs!$B$39)</f>
        <v xml:space="preserve"> </v>
      </c>
      <c r="AQ11" s="32" t="str">
        <f>IF(V11=""," ",V11*Inputs!$B$39)</f>
        <v xml:space="preserve"> </v>
      </c>
      <c r="AS11" s="591"/>
      <c r="AT11" s="591"/>
      <c r="AU11" s="6"/>
      <c r="AV11" s="29" t="s">
        <v>501</v>
      </c>
      <c r="AW11" s="32" t="str">
        <f>IF(AB11=" "," ",AB11*Inputs!$B$53)</f>
        <v xml:space="preserve"> </v>
      </c>
      <c r="AX11" s="32" t="str">
        <f>IF(AC11=" "," ",AC11*Inputs!$B$53)</f>
        <v xml:space="preserve"> </v>
      </c>
      <c r="AY11" s="32" t="str">
        <f>IF(AD11=" "," ",AD11*Inputs!$B$53)</f>
        <v xml:space="preserve"> </v>
      </c>
      <c r="AZ11" s="32" t="str">
        <f>IF(AE11=" "," ",AE11*Inputs!$B$53)</f>
        <v xml:space="preserve"> </v>
      </c>
      <c r="BA11" s="32" t="str">
        <f>IF(AF11=" "," ",AF11*Inputs!$B$53)</f>
        <v xml:space="preserve"> </v>
      </c>
      <c r="BB11" s="32" t="str">
        <f>IF(AG11=" "," ",AG11*Inputs!$B$53)</f>
        <v xml:space="preserve"> </v>
      </c>
      <c r="BC11" s="32" t="str">
        <f>IF(AH11=" "," ",AH11*Inputs!$B$53)</f>
        <v xml:space="preserve"> </v>
      </c>
      <c r="BD11" s="32" t="str">
        <f>IF(AI11=" "," ",AI11*Inputs!$B$53)</f>
        <v xml:space="preserve"> </v>
      </c>
      <c r="BE11" s="32" t="str">
        <f>IF(AJ11=" "," ",AJ11*Inputs!$B$53)</f>
        <v xml:space="preserve"> </v>
      </c>
      <c r="BF11" s="32" t="str">
        <f>IF(AK11=" "," ",AK11*Inputs!$B$53)</f>
        <v xml:space="preserve"> </v>
      </c>
      <c r="BG11" s="32" t="str">
        <f>IF(AL11=" "," ",AL11*Inputs!$B$53)</f>
        <v xml:space="preserve"> </v>
      </c>
      <c r="BH11" s="32" t="str">
        <f>IF(AM11=" "," ",AM11*Inputs!$B$53)</f>
        <v xml:space="preserve"> </v>
      </c>
      <c r="BI11" s="32" t="str">
        <f>IF(AN11=" "," ",AN11*Inputs!$B$53)</f>
        <v xml:space="preserve"> </v>
      </c>
      <c r="BJ11" s="32" t="str">
        <f>IF(AO11=" "," ",AO11*Inputs!$B$53)</f>
        <v xml:space="preserve"> </v>
      </c>
      <c r="BK11" s="32" t="str">
        <f>IF(AP11=" "," ",AP11*Inputs!$B$53)</f>
        <v xml:space="preserve"> </v>
      </c>
      <c r="BL11" s="32" t="str">
        <f>IF(AQ11=" "," ",AQ11*Inputs!$B$53)</f>
        <v xml:space="preserve"> </v>
      </c>
    </row>
    <row r="12" spans="2:64" ht="15" customHeight="1" x14ac:dyDescent="0.25">
      <c r="C12" s="590"/>
      <c r="D12" s="612" t="s">
        <v>7</v>
      </c>
      <c r="E12" s="595"/>
      <c r="F12" s="150"/>
      <c r="G12" s="151"/>
      <c r="H12" s="151"/>
      <c r="I12" s="151"/>
      <c r="J12" s="151"/>
      <c r="K12" s="151"/>
      <c r="L12" s="151"/>
      <c r="M12" s="151"/>
      <c r="N12" s="151"/>
      <c r="O12" s="151"/>
      <c r="P12" s="151"/>
      <c r="Q12" s="151"/>
      <c r="R12" s="151"/>
      <c r="S12" s="151"/>
      <c r="T12" s="151"/>
      <c r="U12" s="151"/>
      <c r="V12" s="151"/>
      <c r="X12" s="590"/>
      <c r="Y12" s="612" t="s">
        <v>7</v>
      </c>
      <c r="Z12" s="32">
        <v>-7.3694253024627473E-3</v>
      </c>
      <c r="AA12" s="24" t="s">
        <v>498</v>
      </c>
      <c r="AB12" s="32" t="str">
        <f>IF(G12=""," ",G12*Inputs!$B$39)</f>
        <v xml:space="preserve"> </v>
      </c>
      <c r="AC12" s="32" t="str">
        <f>IF(H12=""," ",H12*Inputs!$B$39)</f>
        <v xml:space="preserve"> </v>
      </c>
      <c r="AD12" s="32" t="str">
        <f>IF(I12=""," ",I12*Inputs!$B$39)</f>
        <v xml:space="preserve"> </v>
      </c>
      <c r="AE12" s="32" t="str">
        <f>IF(J12=""," ",J12*Inputs!$B$39)</f>
        <v xml:space="preserve"> </v>
      </c>
      <c r="AF12" s="32" t="str">
        <f>IF(K12=""," ",K12*Inputs!$B$39)</f>
        <v xml:space="preserve"> </v>
      </c>
      <c r="AG12" s="32" t="str">
        <f>IF(L12=""," ",L12*Inputs!$B$39)</f>
        <v xml:space="preserve"> </v>
      </c>
      <c r="AH12" s="32" t="str">
        <f>IF(M12=""," ",M12*Inputs!$B$39)</f>
        <v xml:space="preserve"> </v>
      </c>
      <c r="AI12" s="32" t="str">
        <f>IF(N12=""," ",N12*Inputs!$B$39)</f>
        <v xml:space="preserve"> </v>
      </c>
      <c r="AJ12" s="32" t="str">
        <f>IF(O12=""," ",O12*Inputs!$B$39)</f>
        <v xml:space="preserve"> </v>
      </c>
      <c r="AK12" s="32" t="str">
        <f>IF(P12=""," ",P12*Inputs!$B$39)</f>
        <v xml:space="preserve"> </v>
      </c>
      <c r="AL12" s="32" t="str">
        <f>IF(Q12=""," ",Q12*Inputs!$B$39)</f>
        <v xml:space="preserve"> </v>
      </c>
      <c r="AM12" s="32" t="str">
        <f>IF(R12=""," ",R12*Inputs!$B$39)</f>
        <v xml:space="preserve"> </v>
      </c>
      <c r="AN12" s="32" t="str">
        <f>IF(S12=""," ",S12*Inputs!$B$39)</f>
        <v xml:space="preserve"> </v>
      </c>
      <c r="AO12" s="32" t="str">
        <f>IF(T12=""," ",T12*Inputs!$B$39)</f>
        <v xml:space="preserve"> </v>
      </c>
      <c r="AP12" s="32" t="str">
        <f>IF(U12=""," ",U12*Inputs!$B$39)</f>
        <v xml:space="preserve"> </v>
      </c>
      <c r="AQ12" s="32" t="str">
        <f>IF(V12=""," ",V12*Inputs!$B$39)</f>
        <v xml:space="preserve"> </v>
      </c>
      <c r="AS12" s="590"/>
      <c r="AT12" s="612" t="s">
        <v>7</v>
      </c>
      <c r="AU12" s="32">
        <v>-7.3694253024627473E-3</v>
      </c>
      <c r="AV12" s="24" t="s">
        <v>498</v>
      </c>
      <c r="AW12" s="32" t="str">
        <f>IF(AB12=" "," ",AB12*Inputs!$B$53)</f>
        <v xml:space="preserve"> </v>
      </c>
      <c r="AX12" s="32" t="str">
        <f>IF(AC12=" "," ",AC12*Inputs!$B$53)</f>
        <v xml:space="preserve"> </v>
      </c>
      <c r="AY12" s="32" t="str">
        <f>IF(AD12=" "," ",AD12*Inputs!$B$53)</f>
        <v xml:space="preserve"> </v>
      </c>
      <c r="AZ12" s="32" t="str">
        <f>IF(AE12=" "," ",AE12*Inputs!$B$53)</f>
        <v xml:space="preserve"> </v>
      </c>
      <c r="BA12" s="32" t="str">
        <f>IF(AF12=" "," ",AF12*Inputs!$B$53)</f>
        <v xml:space="preserve"> </v>
      </c>
      <c r="BB12" s="32" t="str">
        <f>IF(AG12=" "," ",AG12*Inputs!$B$53)</f>
        <v xml:space="preserve"> </v>
      </c>
      <c r="BC12" s="32" t="str">
        <f>IF(AH12=" "," ",AH12*Inputs!$B$53)</f>
        <v xml:space="preserve"> </v>
      </c>
      <c r="BD12" s="32" t="str">
        <f>IF(AI12=" "," ",AI12*Inputs!$B$53)</f>
        <v xml:space="preserve"> </v>
      </c>
      <c r="BE12" s="32" t="str">
        <f>IF(AJ12=" "," ",AJ12*Inputs!$B$53)</f>
        <v xml:space="preserve"> </v>
      </c>
      <c r="BF12" s="32" t="str">
        <f>IF(AK12=" "," ",AK12*Inputs!$B$53)</f>
        <v xml:space="preserve"> </v>
      </c>
      <c r="BG12" s="32" t="str">
        <f>IF(AL12=" "," ",AL12*Inputs!$B$53)</f>
        <v xml:space="preserve"> </v>
      </c>
      <c r="BH12" s="32" t="str">
        <f>IF(AM12=" "," ",AM12*Inputs!$B$53)</f>
        <v xml:space="preserve"> </v>
      </c>
      <c r="BI12" s="32" t="str">
        <f>IF(AN12=" "," ",AN12*Inputs!$B$53)</f>
        <v xml:space="preserve"> </v>
      </c>
      <c r="BJ12" s="32" t="str">
        <f>IF(AO12=" "," ",AO12*Inputs!$B$53)</f>
        <v xml:space="preserve"> </v>
      </c>
      <c r="BK12" s="32" t="str">
        <f>IF(AP12=" "," ",AP12*Inputs!$B$53)</f>
        <v xml:space="preserve"> </v>
      </c>
      <c r="BL12" s="32" t="str">
        <f>IF(AQ12=" "," ",AQ12*Inputs!$B$53)</f>
        <v xml:space="preserve"> </v>
      </c>
    </row>
    <row r="13" spans="2:64" x14ac:dyDescent="0.25">
      <c r="C13" s="589"/>
      <c r="D13" s="589"/>
      <c r="E13" s="589"/>
      <c r="F13" s="21"/>
      <c r="G13" s="152"/>
      <c r="H13" s="152"/>
      <c r="I13" s="152"/>
      <c r="J13" s="152"/>
      <c r="K13" s="152"/>
      <c r="L13" s="152"/>
      <c r="M13" s="152"/>
      <c r="N13" s="152"/>
      <c r="O13" s="152"/>
      <c r="P13" s="152"/>
      <c r="Q13" s="152"/>
      <c r="R13" s="152"/>
      <c r="S13" s="152"/>
      <c r="T13" s="152"/>
      <c r="U13" s="152"/>
      <c r="V13" s="152"/>
      <c r="X13" s="589"/>
      <c r="Y13" s="589"/>
      <c r="Z13" s="33"/>
      <c r="AA13" s="27" t="s">
        <v>499</v>
      </c>
      <c r="AB13" s="32" t="str">
        <f>IF(G13=""," ",G13*Inputs!$B$39)</f>
        <v xml:space="preserve"> </v>
      </c>
      <c r="AC13" s="32" t="str">
        <f>IF(H13=""," ",H13*Inputs!$B$39)</f>
        <v xml:space="preserve"> </v>
      </c>
      <c r="AD13" s="32" t="str">
        <f>IF(I13=""," ",I13*Inputs!$B$39)</f>
        <v xml:space="preserve"> </v>
      </c>
      <c r="AE13" s="32" t="str">
        <f>IF(J13=""," ",J13*Inputs!$B$39)</f>
        <v xml:space="preserve"> </v>
      </c>
      <c r="AF13" s="32" t="str">
        <f>IF(K13=""," ",K13*Inputs!$B$39)</f>
        <v xml:space="preserve"> </v>
      </c>
      <c r="AG13" s="32" t="str">
        <f>IF(L13=""," ",L13*Inputs!$B$39)</f>
        <v xml:space="preserve"> </v>
      </c>
      <c r="AH13" s="32" t="str">
        <f>IF(M13=""," ",M13*Inputs!$B$39)</f>
        <v xml:space="preserve"> </v>
      </c>
      <c r="AI13" s="32" t="str">
        <f>IF(N13=""," ",N13*Inputs!$B$39)</f>
        <v xml:space="preserve"> </v>
      </c>
      <c r="AJ13" s="32" t="str">
        <f>IF(O13=""," ",O13*Inputs!$B$39)</f>
        <v xml:space="preserve"> </v>
      </c>
      <c r="AK13" s="32" t="str">
        <f>IF(P13=""," ",P13*Inputs!$B$39)</f>
        <v xml:space="preserve"> </v>
      </c>
      <c r="AL13" s="32" t="str">
        <f>IF(Q13=""," ",Q13*Inputs!$B$39)</f>
        <v xml:space="preserve"> </v>
      </c>
      <c r="AM13" s="32" t="str">
        <f>IF(R13=""," ",R13*Inputs!$B$39)</f>
        <v xml:space="preserve"> </v>
      </c>
      <c r="AN13" s="32" t="str">
        <f>IF(S13=""," ",S13*Inputs!$B$39)</f>
        <v xml:space="preserve"> </v>
      </c>
      <c r="AO13" s="32" t="str">
        <f>IF(T13=""," ",T13*Inputs!$B$39)</f>
        <v xml:space="preserve"> </v>
      </c>
      <c r="AP13" s="32" t="str">
        <f>IF(U13=""," ",U13*Inputs!$B$39)</f>
        <v xml:space="preserve"> </v>
      </c>
      <c r="AQ13" s="32" t="str">
        <f>IF(V13=""," ",V13*Inputs!$B$39)</f>
        <v xml:space="preserve"> </v>
      </c>
      <c r="AS13" s="589"/>
      <c r="AT13" s="589"/>
      <c r="AU13" s="33"/>
      <c r="AV13" s="27" t="s">
        <v>499</v>
      </c>
      <c r="AW13" s="32" t="str">
        <f>IF(AB13=" "," ",AB13*Inputs!$B$53)</f>
        <v xml:space="preserve"> </v>
      </c>
      <c r="AX13" s="32" t="str">
        <f>IF(AC13=" "," ",AC13*Inputs!$B$53)</f>
        <v xml:space="preserve"> </v>
      </c>
      <c r="AY13" s="32" t="str">
        <f>IF(AD13=" "," ",AD13*Inputs!$B$53)</f>
        <v xml:space="preserve"> </v>
      </c>
      <c r="AZ13" s="32" t="str">
        <f>IF(AE13=" "," ",AE13*Inputs!$B$53)</f>
        <v xml:space="preserve"> </v>
      </c>
      <c r="BA13" s="32" t="str">
        <f>IF(AF13=" "," ",AF13*Inputs!$B$53)</f>
        <v xml:space="preserve"> </v>
      </c>
      <c r="BB13" s="32" t="str">
        <f>IF(AG13=" "," ",AG13*Inputs!$B$53)</f>
        <v xml:space="preserve"> </v>
      </c>
      <c r="BC13" s="32" t="str">
        <f>IF(AH13=" "," ",AH13*Inputs!$B$53)</f>
        <v xml:space="preserve"> </v>
      </c>
      <c r="BD13" s="32" t="str">
        <f>IF(AI13=" "," ",AI13*Inputs!$B$53)</f>
        <v xml:space="preserve"> </v>
      </c>
      <c r="BE13" s="32" t="str">
        <f>IF(AJ13=" "," ",AJ13*Inputs!$B$53)</f>
        <v xml:space="preserve"> </v>
      </c>
      <c r="BF13" s="32" t="str">
        <f>IF(AK13=" "," ",AK13*Inputs!$B$53)</f>
        <v xml:space="preserve"> </v>
      </c>
      <c r="BG13" s="32" t="str">
        <f>IF(AL13=" "," ",AL13*Inputs!$B$53)</f>
        <v xml:space="preserve"> </v>
      </c>
      <c r="BH13" s="32" t="str">
        <f>IF(AM13=" "," ",AM13*Inputs!$B$53)</f>
        <v xml:space="preserve"> </v>
      </c>
      <c r="BI13" s="32" t="str">
        <f>IF(AN13=" "," ",AN13*Inputs!$B$53)</f>
        <v xml:space="preserve"> </v>
      </c>
      <c r="BJ13" s="32" t="str">
        <f>IF(AO13=" "," ",AO13*Inputs!$B$53)</f>
        <v xml:space="preserve"> </v>
      </c>
      <c r="BK13" s="32" t="str">
        <f>IF(AP13=" "," ",AP13*Inputs!$B$53)</f>
        <v xml:space="preserve"> </v>
      </c>
      <c r="BL13" s="32" t="str">
        <f>IF(AQ13=" "," ",AQ13*Inputs!$B$53)</f>
        <v xml:space="preserve"> </v>
      </c>
    </row>
    <row r="14" spans="2:64" x14ac:dyDescent="0.25">
      <c r="C14" s="589"/>
      <c r="D14" s="589"/>
      <c r="E14" s="589"/>
      <c r="F14" s="21"/>
      <c r="G14" s="152"/>
      <c r="H14" s="152"/>
      <c r="I14" s="152"/>
      <c r="J14" s="152"/>
      <c r="K14" s="152"/>
      <c r="L14" s="152"/>
      <c r="M14" s="152"/>
      <c r="N14" s="152"/>
      <c r="O14" s="152"/>
      <c r="P14" s="152"/>
      <c r="Q14" s="152"/>
      <c r="R14" s="152"/>
      <c r="S14" s="152"/>
      <c r="T14" s="152"/>
      <c r="U14" s="152"/>
      <c r="V14" s="152"/>
      <c r="X14" s="589"/>
      <c r="Y14" s="589"/>
      <c r="Z14" s="33"/>
      <c r="AA14" s="27" t="s">
        <v>500</v>
      </c>
      <c r="AB14" s="32" t="str">
        <f>IF(G14=""," ",G14*Inputs!$B$39)</f>
        <v xml:space="preserve"> </v>
      </c>
      <c r="AC14" s="32" t="str">
        <f>IF(H14=""," ",H14*Inputs!$B$39)</f>
        <v xml:space="preserve"> </v>
      </c>
      <c r="AD14" s="32" t="str">
        <f>IF(I14=""," ",I14*Inputs!$B$39)</f>
        <v xml:space="preserve"> </v>
      </c>
      <c r="AE14" s="32" t="str">
        <f>IF(J14=""," ",J14*Inputs!$B$39)</f>
        <v xml:space="preserve"> </v>
      </c>
      <c r="AF14" s="32" t="str">
        <f>IF(K14=""," ",K14*Inputs!$B$39)</f>
        <v xml:space="preserve"> </v>
      </c>
      <c r="AG14" s="32" t="str">
        <f>IF(L14=""," ",L14*Inputs!$B$39)</f>
        <v xml:space="preserve"> </v>
      </c>
      <c r="AH14" s="32" t="str">
        <f>IF(M14=""," ",M14*Inputs!$B$39)</f>
        <v xml:space="preserve"> </v>
      </c>
      <c r="AI14" s="32" t="str">
        <f>IF(N14=""," ",N14*Inputs!$B$39)</f>
        <v xml:space="preserve"> </v>
      </c>
      <c r="AJ14" s="32" t="str">
        <f>IF(O14=""," ",O14*Inputs!$B$39)</f>
        <v xml:space="preserve"> </v>
      </c>
      <c r="AK14" s="32" t="str">
        <f>IF(P14=""," ",P14*Inputs!$B$39)</f>
        <v xml:space="preserve"> </v>
      </c>
      <c r="AL14" s="32" t="str">
        <f>IF(Q14=""," ",Q14*Inputs!$B$39)</f>
        <v xml:space="preserve"> </v>
      </c>
      <c r="AM14" s="32" t="str">
        <f>IF(R14=""," ",R14*Inputs!$B$39)</f>
        <v xml:space="preserve"> </v>
      </c>
      <c r="AN14" s="32" t="str">
        <f>IF(S14=""," ",S14*Inputs!$B$39)</f>
        <v xml:space="preserve"> </v>
      </c>
      <c r="AO14" s="32" t="str">
        <f>IF(T14=""," ",T14*Inputs!$B$39)</f>
        <v xml:space="preserve"> </v>
      </c>
      <c r="AP14" s="32" t="str">
        <f>IF(U14=""," ",U14*Inputs!$B$39)</f>
        <v xml:space="preserve"> </v>
      </c>
      <c r="AQ14" s="32" t="str">
        <f>IF(V14=""," ",V14*Inputs!$B$39)</f>
        <v xml:space="preserve"> </v>
      </c>
      <c r="AS14" s="589"/>
      <c r="AT14" s="589"/>
      <c r="AU14" s="33"/>
      <c r="AV14" s="27" t="s">
        <v>500</v>
      </c>
      <c r="AW14" s="32" t="str">
        <f>IF(AB14=" "," ",AB14*Inputs!$B$53)</f>
        <v xml:space="preserve"> </v>
      </c>
      <c r="AX14" s="32" t="str">
        <f>IF(AC14=" "," ",AC14*Inputs!$B$53)</f>
        <v xml:space="preserve"> </v>
      </c>
      <c r="AY14" s="32" t="str">
        <f>IF(AD14=" "," ",AD14*Inputs!$B$53)</f>
        <v xml:space="preserve"> </v>
      </c>
      <c r="AZ14" s="32" t="str">
        <f>IF(AE14=" "," ",AE14*Inputs!$B$53)</f>
        <v xml:space="preserve"> </v>
      </c>
      <c r="BA14" s="32" t="str">
        <f>IF(AF14=" "," ",AF14*Inputs!$B$53)</f>
        <v xml:space="preserve"> </v>
      </c>
      <c r="BB14" s="32" t="str">
        <f>IF(AG14=" "," ",AG14*Inputs!$B$53)</f>
        <v xml:space="preserve"> </v>
      </c>
      <c r="BC14" s="32" t="str">
        <f>IF(AH14=" "," ",AH14*Inputs!$B$53)</f>
        <v xml:space="preserve"> </v>
      </c>
      <c r="BD14" s="32" t="str">
        <f>IF(AI14=" "," ",AI14*Inputs!$B$53)</f>
        <v xml:space="preserve"> </v>
      </c>
      <c r="BE14" s="32" t="str">
        <f>IF(AJ14=" "," ",AJ14*Inputs!$B$53)</f>
        <v xml:space="preserve"> </v>
      </c>
      <c r="BF14" s="32" t="str">
        <f>IF(AK14=" "," ",AK14*Inputs!$B$53)</f>
        <v xml:space="preserve"> </v>
      </c>
      <c r="BG14" s="32" t="str">
        <f>IF(AL14=" "," ",AL14*Inputs!$B$53)</f>
        <v xml:space="preserve"> </v>
      </c>
      <c r="BH14" s="32" t="str">
        <f>IF(AM14=" "," ",AM14*Inputs!$B$53)</f>
        <v xml:space="preserve"> </v>
      </c>
      <c r="BI14" s="32" t="str">
        <f>IF(AN14=" "," ",AN14*Inputs!$B$53)</f>
        <v xml:space="preserve"> </v>
      </c>
      <c r="BJ14" s="32" t="str">
        <f>IF(AO14=" "," ",AO14*Inputs!$B$53)</f>
        <v xml:space="preserve"> </v>
      </c>
      <c r="BK14" s="32" t="str">
        <f>IF(AP14=" "," ",AP14*Inputs!$B$53)</f>
        <v xml:space="preserve"> </v>
      </c>
      <c r="BL14" s="32" t="str">
        <f>IF(AQ14=" "," ",AQ14*Inputs!$B$53)</f>
        <v xml:space="preserve"> </v>
      </c>
    </row>
    <row r="15" spans="2:64" x14ac:dyDescent="0.25">
      <c r="C15" s="591"/>
      <c r="D15" s="589"/>
      <c r="E15" s="591"/>
      <c r="F15" s="149"/>
      <c r="G15" s="153"/>
      <c r="H15" s="153"/>
      <c r="I15" s="153"/>
      <c r="J15" s="153"/>
      <c r="K15" s="153"/>
      <c r="L15" s="153"/>
      <c r="M15" s="153"/>
      <c r="N15" s="153"/>
      <c r="O15" s="153"/>
      <c r="P15" s="153"/>
      <c r="Q15" s="153"/>
      <c r="R15" s="153"/>
      <c r="S15" s="153"/>
      <c r="T15" s="153"/>
      <c r="U15" s="153"/>
      <c r="V15" s="153"/>
      <c r="X15" s="591"/>
      <c r="Y15" s="589"/>
      <c r="Z15" s="6"/>
      <c r="AA15" s="29" t="s">
        <v>501</v>
      </c>
      <c r="AB15" s="32" t="str">
        <f>IF(G15=""," ",G15*Inputs!$B$39)</f>
        <v xml:space="preserve"> </v>
      </c>
      <c r="AC15" s="32" t="str">
        <f>IF(H15=""," ",H15*Inputs!$B$39)</f>
        <v xml:space="preserve"> </v>
      </c>
      <c r="AD15" s="32" t="str">
        <f>IF(I15=""," ",I15*Inputs!$B$39)</f>
        <v xml:space="preserve"> </v>
      </c>
      <c r="AE15" s="32" t="str">
        <f>IF(J15=""," ",J15*Inputs!$B$39)</f>
        <v xml:space="preserve"> </v>
      </c>
      <c r="AF15" s="32" t="str">
        <f>IF(K15=""," ",K15*Inputs!$B$39)</f>
        <v xml:space="preserve"> </v>
      </c>
      <c r="AG15" s="32" t="str">
        <f>IF(L15=""," ",L15*Inputs!$B$39)</f>
        <v xml:space="preserve"> </v>
      </c>
      <c r="AH15" s="32" t="str">
        <f>IF(M15=""," ",M15*Inputs!$B$39)</f>
        <v xml:space="preserve"> </v>
      </c>
      <c r="AI15" s="32" t="str">
        <f>IF(N15=""," ",N15*Inputs!$B$39)</f>
        <v xml:space="preserve"> </v>
      </c>
      <c r="AJ15" s="32" t="str">
        <f>IF(O15=""," ",O15*Inputs!$B$39)</f>
        <v xml:space="preserve"> </v>
      </c>
      <c r="AK15" s="32" t="str">
        <f>IF(P15=""," ",P15*Inputs!$B$39)</f>
        <v xml:space="preserve"> </v>
      </c>
      <c r="AL15" s="32" t="str">
        <f>IF(Q15=""," ",Q15*Inputs!$B$39)</f>
        <v xml:space="preserve"> </v>
      </c>
      <c r="AM15" s="32" t="str">
        <f>IF(R15=""," ",R15*Inputs!$B$39)</f>
        <v xml:space="preserve"> </v>
      </c>
      <c r="AN15" s="32" t="str">
        <f>IF(S15=""," ",S15*Inputs!$B$39)</f>
        <v xml:space="preserve"> </v>
      </c>
      <c r="AO15" s="32" t="str">
        <f>IF(T15=""," ",T15*Inputs!$B$39)</f>
        <v xml:space="preserve"> </v>
      </c>
      <c r="AP15" s="32" t="str">
        <f>IF(U15=""," ",U15*Inputs!$B$39)</f>
        <v xml:space="preserve"> </v>
      </c>
      <c r="AQ15" s="32" t="str">
        <f>IF(V15=""," ",V15*Inputs!$B$39)</f>
        <v xml:space="preserve"> </v>
      </c>
      <c r="AS15" s="591"/>
      <c r="AT15" s="589"/>
      <c r="AU15" s="6"/>
      <c r="AV15" s="29" t="s">
        <v>501</v>
      </c>
      <c r="AW15" s="32" t="str">
        <f>IF(AB15=" "," ",AB15*Inputs!$B$53)</f>
        <v xml:space="preserve"> </v>
      </c>
      <c r="AX15" s="32" t="str">
        <f>IF(AC15=" "," ",AC15*Inputs!$B$53)</f>
        <v xml:space="preserve"> </v>
      </c>
      <c r="AY15" s="32" t="str">
        <f>IF(AD15=" "," ",AD15*Inputs!$B$53)</f>
        <v xml:space="preserve"> </v>
      </c>
      <c r="AZ15" s="32" t="str">
        <f>IF(AE15=" "," ",AE15*Inputs!$B$53)</f>
        <v xml:space="preserve"> </v>
      </c>
      <c r="BA15" s="32" t="str">
        <f>IF(AF15=" "," ",AF15*Inputs!$B$53)</f>
        <v xml:space="preserve"> </v>
      </c>
      <c r="BB15" s="32" t="str">
        <f>IF(AG15=" "," ",AG15*Inputs!$B$53)</f>
        <v xml:space="preserve"> </v>
      </c>
      <c r="BC15" s="32" t="str">
        <f>IF(AH15=" "," ",AH15*Inputs!$B$53)</f>
        <v xml:space="preserve"> </v>
      </c>
      <c r="BD15" s="32" t="str">
        <f>IF(AI15=" "," ",AI15*Inputs!$B$53)</f>
        <v xml:space="preserve"> </v>
      </c>
      <c r="BE15" s="32" t="str">
        <f>IF(AJ15=" "," ",AJ15*Inputs!$B$53)</f>
        <v xml:space="preserve"> </v>
      </c>
      <c r="BF15" s="32" t="str">
        <f>IF(AK15=" "," ",AK15*Inputs!$B$53)</f>
        <v xml:space="preserve"> </v>
      </c>
      <c r="BG15" s="32" t="str">
        <f>IF(AL15=" "," ",AL15*Inputs!$B$53)</f>
        <v xml:space="preserve"> </v>
      </c>
      <c r="BH15" s="32" t="str">
        <f>IF(AM15=" "," ",AM15*Inputs!$B$53)</f>
        <v xml:space="preserve"> </v>
      </c>
      <c r="BI15" s="32" t="str">
        <f>IF(AN15=" "," ",AN15*Inputs!$B$53)</f>
        <v xml:space="preserve"> </v>
      </c>
      <c r="BJ15" s="32" t="str">
        <f>IF(AO15=" "," ",AO15*Inputs!$B$53)</f>
        <v xml:space="preserve"> </v>
      </c>
      <c r="BK15" s="32" t="str">
        <f>IF(AP15=" "," ",AP15*Inputs!$B$53)</f>
        <v xml:space="preserve"> </v>
      </c>
      <c r="BL15" s="32" t="str">
        <f>IF(AQ15=" "," ",AQ15*Inputs!$B$53)</f>
        <v xml:space="preserve"> </v>
      </c>
    </row>
    <row r="16" spans="2:64" x14ac:dyDescent="0.25">
      <c r="C16" s="593"/>
      <c r="D16" s="589"/>
      <c r="E16" s="595"/>
      <c r="F16" s="21"/>
      <c r="G16" s="152"/>
      <c r="H16" s="152"/>
      <c r="I16" s="152"/>
      <c r="J16" s="152"/>
      <c r="K16" s="152"/>
      <c r="L16" s="152"/>
      <c r="M16" s="152"/>
      <c r="N16" s="152"/>
      <c r="O16" s="152"/>
      <c r="P16" s="152"/>
      <c r="Q16" s="152"/>
      <c r="R16" s="152"/>
      <c r="S16" s="152"/>
      <c r="T16" s="152"/>
      <c r="U16" s="152"/>
      <c r="V16" s="152"/>
      <c r="X16" s="593"/>
      <c r="Y16" s="589"/>
      <c r="Z16" s="33">
        <v>-8.0128536913865629E-3</v>
      </c>
      <c r="AA16" s="27" t="s">
        <v>498</v>
      </c>
      <c r="AB16" s="32" t="str">
        <f>IF(G16=""," ",G16*Inputs!$B$39)</f>
        <v xml:space="preserve"> </v>
      </c>
      <c r="AC16" s="32" t="str">
        <f>IF(H16=""," ",H16*Inputs!$B$39)</f>
        <v xml:space="preserve"> </v>
      </c>
      <c r="AD16" s="32" t="str">
        <f>IF(I16=""," ",I16*Inputs!$B$39)</f>
        <v xml:space="preserve"> </v>
      </c>
      <c r="AE16" s="32" t="str">
        <f>IF(J16=""," ",J16*Inputs!$B$39)</f>
        <v xml:space="preserve"> </v>
      </c>
      <c r="AF16" s="32" t="str">
        <f>IF(K16=""," ",K16*Inputs!$B$39)</f>
        <v xml:space="preserve"> </v>
      </c>
      <c r="AG16" s="32" t="str">
        <f>IF(L16=""," ",L16*Inputs!$B$39)</f>
        <v xml:space="preserve"> </v>
      </c>
      <c r="AH16" s="32" t="str">
        <f>IF(M16=""," ",M16*Inputs!$B$39)</f>
        <v xml:space="preserve"> </v>
      </c>
      <c r="AI16" s="32" t="str">
        <f>IF(N16=""," ",N16*Inputs!$B$39)</f>
        <v xml:space="preserve"> </v>
      </c>
      <c r="AJ16" s="32" t="str">
        <f>IF(O16=""," ",O16*Inputs!$B$39)</f>
        <v xml:space="preserve"> </v>
      </c>
      <c r="AK16" s="32" t="str">
        <f>IF(P16=""," ",P16*Inputs!$B$39)</f>
        <v xml:space="preserve"> </v>
      </c>
      <c r="AL16" s="32" t="str">
        <f>IF(Q16=""," ",Q16*Inputs!$B$39)</f>
        <v xml:space="preserve"> </v>
      </c>
      <c r="AM16" s="32" t="str">
        <f>IF(R16=""," ",R16*Inputs!$B$39)</f>
        <v xml:space="preserve"> </v>
      </c>
      <c r="AN16" s="32" t="str">
        <f>IF(S16=""," ",S16*Inputs!$B$39)</f>
        <v xml:space="preserve"> </v>
      </c>
      <c r="AO16" s="32" t="str">
        <f>IF(T16=""," ",T16*Inputs!$B$39)</f>
        <v xml:space="preserve"> </v>
      </c>
      <c r="AP16" s="32" t="str">
        <f>IF(U16=""," ",U16*Inputs!$B$39)</f>
        <v xml:space="preserve"> </v>
      </c>
      <c r="AQ16" s="32" t="str">
        <f>IF(V16=""," ",V16*Inputs!$B$39)</f>
        <v xml:space="preserve"> </v>
      </c>
      <c r="AS16" s="593"/>
      <c r="AT16" s="589"/>
      <c r="AU16" s="33">
        <v>-8.0128536913865629E-3</v>
      </c>
      <c r="AV16" s="27" t="s">
        <v>498</v>
      </c>
      <c r="AW16" s="32" t="str">
        <f>IF(AB16=" "," ",AB16*Inputs!$B$53)</f>
        <v xml:space="preserve"> </v>
      </c>
      <c r="AX16" s="32" t="str">
        <f>IF(AC16=" "," ",AC16*Inputs!$B$53)</f>
        <v xml:space="preserve"> </v>
      </c>
      <c r="AY16" s="32" t="str">
        <f>IF(AD16=" "," ",AD16*Inputs!$B$53)</f>
        <v xml:space="preserve"> </v>
      </c>
      <c r="AZ16" s="32" t="str">
        <f>IF(AE16=" "," ",AE16*Inputs!$B$53)</f>
        <v xml:space="preserve"> </v>
      </c>
      <c r="BA16" s="32" t="str">
        <f>IF(AF16=" "," ",AF16*Inputs!$B$53)</f>
        <v xml:space="preserve"> </v>
      </c>
      <c r="BB16" s="32" t="str">
        <f>IF(AG16=" "," ",AG16*Inputs!$B$53)</f>
        <v xml:space="preserve"> </v>
      </c>
      <c r="BC16" s="32" t="str">
        <f>IF(AH16=" "," ",AH16*Inputs!$B$53)</f>
        <v xml:space="preserve"> </v>
      </c>
      <c r="BD16" s="32" t="str">
        <f>IF(AI16=" "," ",AI16*Inputs!$B$53)</f>
        <v xml:space="preserve"> </v>
      </c>
      <c r="BE16" s="32" t="str">
        <f>IF(AJ16=" "," ",AJ16*Inputs!$B$53)</f>
        <v xml:space="preserve"> </v>
      </c>
      <c r="BF16" s="32" t="str">
        <f>IF(AK16=" "," ",AK16*Inputs!$B$53)</f>
        <v xml:space="preserve"> </v>
      </c>
      <c r="BG16" s="32" t="str">
        <f>IF(AL16=" "," ",AL16*Inputs!$B$53)</f>
        <v xml:space="preserve"> </v>
      </c>
      <c r="BH16" s="32" t="str">
        <f>IF(AM16=" "," ",AM16*Inputs!$B$53)</f>
        <v xml:space="preserve"> </v>
      </c>
      <c r="BI16" s="32" t="str">
        <f>IF(AN16=" "," ",AN16*Inputs!$B$53)</f>
        <v xml:space="preserve"> </v>
      </c>
      <c r="BJ16" s="32" t="str">
        <f>IF(AO16=" "," ",AO16*Inputs!$B$53)</f>
        <v xml:space="preserve"> </v>
      </c>
      <c r="BK16" s="32" t="str">
        <f>IF(AP16=" "," ",AP16*Inputs!$B$53)</f>
        <v xml:space="preserve"> </v>
      </c>
      <c r="BL16" s="32" t="str">
        <f>IF(AQ16=" "," ",AQ16*Inputs!$B$53)</f>
        <v xml:space="preserve"> </v>
      </c>
    </row>
    <row r="17" spans="3:64" x14ac:dyDescent="0.25">
      <c r="C17" s="589"/>
      <c r="D17" s="589"/>
      <c r="E17" s="589"/>
      <c r="F17" s="21"/>
      <c r="G17" s="152"/>
      <c r="H17" s="152"/>
      <c r="I17" s="152"/>
      <c r="J17" s="152"/>
      <c r="K17" s="152"/>
      <c r="L17" s="152"/>
      <c r="M17" s="152"/>
      <c r="N17" s="152"/>
      <c r="O17" s="152"/>
      <c r="P17" s="152"/>
      <c r="Q17" s="152"/>
      <c r="R17" s="152"/>
      <c r="S17" s="152"/>
      <c r="T17" s="152"/>
      <c r="U17" s="152"/>
      <c r="V17" s="152"/>
      <c r="X17" s="589"/>
      <c r="Y17" s="589"/>
      <c r="Z17" s="33"/>
      <c r="AA17" s="27" t="s">
        <v>499</v>
      </c>
      <c r="AB17" s="32" t="str">
        <f>IF(G17=""," ",G17*Inputs!$B$39)</f>
        <v xml:space="preserve"> </v>
      </c>
      <c r="AC17" s="32" t="str">
        <f>IF(H17=""," ",H17*Inputs!$B$39)</f>
        <v xml:space="preserve"> </v>
      </c>
      <c r="AD17" s="32" t="str">
        <f>IF(I17=""," ",I17*Inputs!$B$39)</f>
        <v xml:space="preserve"> </v>
      </c>
      <c r="AE17" s="32" t="str">
        <f>IF(J17=""," ",J17*Inputs!$B$39)</f>
        <v xml:space="preserve"> </v>
      </c>
      <c r="AF17" s="32" t="str">
        <f>IF(K17=""," ",K17*Inputs!$B$39)</f>
        <v xml:space="preserve"> </v>
      </c>
      <c r="AG17" s="32" t="str">
        <f>IF(L17=""," ",L17*Inputs!$B$39)</f>
        <v xml:space="preserve"> </v>
      </c>
      <c r="AH17" s="32" t="str">
        <f>IF(M17=""," ",M17*Inputs!$B$39)</f>
        <v xml:space="preserve"> </v>
      </c>
      <c r="AI17" s="32" t="str">
        <f>IF(N17=""," ",N17*Inputs!$B$39)</f>
        <v xml:space="preserve"> </v>
      </c>
      <c r="AJ17" s="32" t="str">
        <f>IF(O17=""," ",O17*Inputs!$B$39)</f>
        <v xml:space="preserve"> </v>
      </c>
      <c r="AK17" s="32" t="str">
        <f>IF(P17=""," ",P17*Inputs!$B$39)</f>
        <v xml:space="preserve"> </v>
      </c>
      <c r="AL17" s="32" t="str">
        <f>IF(Q17=""," ",Q17*Inputs!$B$39)</f>
        <v xml:space="preserve"> </v>
      </c>
      <c r="AM17" s="32" t="str">
        <f>IF(R17=""," ",R17*Inputs!$B$39)</f>
        <v xml:space="preserve"> </v>
      </c>
      <c r="AN17" s="32" t="str">
        <f>IF(S17=""," ",S17*Inputs!$B$39)</f>
        <v xml:space="preserve"> </v>
      </c>
      <c r="AO17" s="32" t="str">
        <f>IF(T17=""," ",T17*Inputs!$B$39)</f>
        <v xml:space="preserve"> </v>
      </c>
      <c r="AP17" s="32" t="str">
        <f>IF(U17=""," ",U17*Inputs!$B$39)</f>
        <v xml:space="preserve"> </v>
      </c>
      <c r="AQ17" s="32" t="str">
        <f>IF(V17=""," ",V17*Inputs!$B$39)</f>
        <v xml:space="preserve"> </v>
      </c>
      <c r="AS17" s="589"/>
      <c r="AT17" s="589"/>
      <c r="AU17" s="33"/>
      <c r="AV17" s="27" t="s">
        <v>499</v>
      </c>
      <c r="AW17" s="32" t="str">
        <f>IF(AB17=" "," ",AB17*Inputs!$B$53)</f>
        <v xml:space="preserve"> </v>
      </c>
      <c r="AX17" s="32" t="str">
        <f>IF(AC17=" "," ",AC17*Inputs!$B$53)</f>
        <v xml:space="preserve"> </v>
      </c>
      <c r="AY17" s="32" t="str">
        <f>IF(AD17=" "," ",AD17*Inputs!$B$53)</f>
        <v xml:space="preserve"> </v>
      </c>
      <c r="AZ17" s="32" t="str">
        <f>IF(AE17=" "," ",AE17*Inputs!$B$53)</f>
        <v xml:space="preserve"> </v>
      </c>
      <c r="BA17" s="32" t="str">
        <f>IF(AF17=" "," ",AF17*Inputs!$B$53)</f>
        <v xml:space="preserve"> </v>
      </c>
      <c r="BB17" s="32" t="str">
        <f>IF(AG17=" "," ",AG17*Inputs!$B$53)</f>
        <v xml:space="preserve"> </v>
      </c>
      <c r="BC17" s="32" t="str">
        <f>IF(AH17=" "," ",AH17*Inputs!$B$53)</f>
        <v xml:space="preserve"> </v>
      </c>
      <c r="BD17" s="32" t="str">
        <f>IF(AI17=" "," ",AI17*Inputs!$B$53)</f>
        <v xml:space="preserve"> </v>
      </c>
      <c r="BE17" s="32" t="str">
        <f>IF(AJ17=" "," ",AJ17*Inputs!$B$53)</f>
        <v xml:space="preserve"> </v>
      </c>
      <c r="BF17" s="32" t="str">
        <f>IF(AK17=" "," ",AK17*Inputs!$B$53)</f>
        <v xml:space="preserve"> </v>
      </c>
      <c r="BG17" s="32" t="str">
        <f>IF(AL17=" "," ",AL17*Inputs!$B$53)</f>
        <v xml:space="preserve"> </v>
      </c>
      <c r="BH17" s="32" t="str">
        <f>IF(AM17=" "," ",AM17*Inputs!$B$53)</f>
        <v xml:space="preserve"> </v>
      </c>
      <c r="BI17" s="32" t="str">
        <f>IF(AN17=" "," ",AN17*Inputs!$B$53)</f>
        <v xml:space="preserve"> </v>
      </c>
      <c r="BJ17" s="32" t="str">
        <f>IF(AO17=" "," ",AO17*Inputs!$B$53)</f>
        <v xml:space="preserve"> </v>
      </c>
      <c r="BK17" s="32" t="str">
        <f>IF(AP17=" "," ",AP17*Inputs!$B$53)</f>
        <v xml:space="preserve"> </v>
      </c>
      <c r="BL17" s="32" t="str">
        <f>IF(AQ17=" "," ",AQ17*Inputs!$B$53)</f>
        <v xml:space="preserve"> </v>
      </c>
    </row>
    <row r="18" spans="3:64" x14ac:dyDescent="0.25">
      <c r="C18" s="589"/>
      <c r="D18" s="589"/>
      <c r="E18" s="589"/>
      <c r="F18" s="21"/>
      <c r="G18" s="152"/>
      <c r="H18" s="152"/>
      <c r="I18" s="152"/>
      <c r="J18" s="152"/>
      <c r="K18" s="152"/>
      <c r="L18" s="152"/>
      <c r="M18" s="152"/>
      <c r="N18" s="152"/>
      <c r="O18" s="152"/>
      <c r="P18" s="152"/>
      <c r="Q18" s="152"/>
      <c r="R18" s="152"/>
      <c r="S18" s="152"/>
      <c r="T18" s="152"/>
      <c r="U18" s="152"/>
      <c r="V18" s="152"/>
      <c r="X18" s="589"/>
      <c r="Y18" s="589"/>
      <c r="Z18" s="33"/>
      <c r="AA18" s="27" t="s">
        <v>500</v>
      </c>
      <c r="AB18" s="32" t="str">
        <f>IF(G18=""," ",G18*Inputs!$B$39)</f>
        <v xml:space="preserve"> </v>
      </c>
      <c r="AC18" s="32" t="str">
        <f>IF(H18=""," ",H18*Inputs!$B$39)</f>
        <v xml:space="preserve"> </v>
      </c>
      <c r="AD18" s="32" t="str">
        <f>IF(I18=""," ",I18*Inputs!$B$39)</f>
        <v xml:space="preserve"> </v>
      </c>
      <c r="AE18" s="32" t="str">
        <f>IF(J18=""," ",J18*Inputs!$B$39)</f>
        <v xml:space="preserve"> </v>
      </c>
      <c r="AF18" s="32" t="str">
        <f>IF(K18=""," ",K18*Inputs!$B$39)</f>
        <v xml:space="preserve"> </v>
      </c>
      <c r="AG18" s="32" t="str">
        <f>IF(L18=""," ",L18*Inputs!$B$39)</f>
        <v xml:space="preserve"> </v>
      </c>
      <c r="AH18" s="32" t="str">
        <f>IF(M18=""," ",M18*Inputs!$B$39)</f>
        <v xml:space="preserve"> </v>
      </c>
      <c r="AI18" s="32" t="str">
        <f>IF(N18=""," ",N18*Inputs!$B$39)</f>
        <v xml:space="preserve"> </v>
      </c>
      <c r="AJ18" s="32" t="str">
        <f>IF(O18=""," ",O18*Inputs!$B$39)</f>
        <v xml:space="preserve"> </v>
      </c>
      <c r="AK18" s="32" t="str">
        <f>IF(P18=""," ",P18*Inputs!$B$39)</f>
        <v xml:space="preserve"> </v>
      </c>
      <c r="AL18" s="32" t="str">
        <f>IF(Q18=""," ",Q18*Inputs!$B$39)</f>
        <v xml:space="preserve"> </v>
      </c>
      <c r="AM18" s="32" t="str">
        <f>IF(R18=""," ",R18*Inputs!$B$39)</f>
        <v xml:space="preserve"> </v>
      </c>
      <c r="AN18" s="32" t="str">
        <f>IF(S18=""," ",S18*Inputs!$B$39)</f>
        <v xml:space="preserve"> </v>
      </c>
      <c r="AO18" s="32" t="str">
        <f>IF(T18=""," ",T18*Inputs!$B$39)</f>
        <v xml:space="preserve"> </v>
      </c>
      <c r="AP18" s="32" t="str">
        <f>IF(U18=""," ",U18*Inputs!$B$39)</f>
        <v xml:space="preserve"> </v>
      </c>
      <c r="AQ18" s="32" t="str">
        <f>IF(V18=""," ",V18*Inputs!$B$39)</f>
        <v xml:space="preserve"> </v>
      </c>
      <c r="AS18" s="589"/>
      <c r="AT18" s="589"/>
      <c r="AU18" s="33"/>
      <c r="AV18" s="27" t="s">
        <v>500</v>
      </c>
      <c r="AW18" s="32" t="str">
        <f>IF(AB18=" "," ",AB18*Inputs!$B$53)</f>
        <v xml:space="preserve"> </v>
      </c>
      <c r="AX18" s="32" t="str">
        <f>IF(AC18=" "," ",AC18*Inputs!$B$53)</f>
        <v xml:space="preserve"> </v>
      </c>
      <c r="AY18" s="32" t="str">
        <f>IF(AD18=" "," ",AD18*Inputs!$B$53)</f>
        <v xml:space="preserve"> </v>
      </c>
      <c r="AZ18" s="32" t="str">
        <f>IF(AE18=" "," ",AE18*Inputs!$B$53)</f>
        <v xml:space="preserve"> </v>
      </c>
      <c r="BA18" s="32" t="str">
        <f>IF(AF18=" "," ",AF18*Inputs!$B$53)</f>
        <v xml:space="preserve"> </v>
      </c>
      <c r="BB18" s="32" t="str">
        <f>IF(AG18=" "," ",AG18*Inputs!$B$53)</f>
        <v xml:space="preserve"> </v>
      </c>
      <c r="BC18" s="32" t="str">
        <f>IF(AH18=" "," ",AH18*Inputs!$B$53)</f>
        <v xml:space="preserve"> </v>
      </c>
      <c r="BD18" s="32" t="str">
        <f>IF(AI18=" "," ",AI18*Inputs!$B$53)</f>
        <v xml:space="preserve"> </v>
      </c>
      <c r="BE18" s="32" t="str">
        <f>IF(AJ18=" "," ",AJ18*Inputs!$B$53)</f>
        <v xml:space="preserve"> </v>
      </c>
      <c r="BF18" s="32" t="str">
        <f>IF(AK18=" "," ",AK18*Inputs!$B$53)</f>
        <v xml:space="preserve"> </v>
      </c>
      <c r="BG18" s="32" t="str">
        <f>IF(AL18=" "," ",AL18*Inputs!$B$53)</f>
        <v xml:space="preserve"> </v>
      </c>
      <c r="BH18" s="32" t="str">
        <f>IF(AM18=" "," ",AM18*Inputs!$B$53)</f>
        <v xml:space="preserve"> </v>
      </c>
      <c r="BI18" s="32" t="str">
        <f>IF(AN18=" "," ",AN18*Inputs!$B$53)</f>
        <v xml:space="preserve"> </v>
      </c>
      <c r="BJ18" s="32" t="str">
        <f>IF(AO18=" "," ",AO18*Inputs!$B$53)</f>
        <v xml:space="preserve"> </v>
      </c>
      <c r="BK18" s="32" t="str">
        <f>IF(AP18=" "," ",AP18*Inputs!$B$53)</f>
        <v xml:space="preserve"> </v>
      </c>
      <c r="BL18" s="32" t="str">
        <f>IF(AQ18=" "," ",AQ18*Inputs!$B$53)</f>
        <v xml:space="preserve"> </v>
      </c>
    </row>
    <row r="19" spans="3:64" x14ac:dyDescent="0.25">
      <c r="C19" s="591"/>
      <c r="D19" s="591"/>
      <c r="E19" s="591"/>
      <c r="F19" s="149"/>
      <c r="G19" s="153"/>
      <c r="H19" s="153"/>
      <c r="I19" s="153"/>
      <c r="J19" s="153"/>
      <c r="K19" s="153"/>
      <c r="L19" s="153"/>
      <c r="M19" s="153"/>
      <c r="N19" s="153"/>
      <c r="O19" s="153"/>
      <c r="P19" s="153"/>
      <c r="Q19" s="153"/>
      <c r="R19" s="153"/>
      <c r="S19" s="153"/>
      <c r="T19" s="153"/>
      <c r="U19" s="153"/>
      <c r="V19" s="153"/>
      <c r="X19" s="591"/>
      <c r="Y19" s="591"/>
      <c r="Z19" s="6"/>
      <c r="AA19" s="29" t="s">
        <v>501</v>
      </c>
      <c r="AB19" s="32" t="str">
        <f>IF(G19=""," ",G19*Inputs!$B$39)</f>
        <v xml:space="preserve"> </v>
      </c>
      <c r="AC19" s="32" t="str">
        <f>IF(H19=""," ",H19*Inputs!$B$39)</f>
        <v xml:space="preserve"> </v>
      </c>
      <c r="AD19" s="32" t="str">
        <f>IF(I19=""," ",I19*Inputs!$B$39)</f>
        <v xml:space="preserve"> </v>
      </c>
      <c r="AE19" s="32" t="str">
        <f>IF(J19=""," ",J19*Inputs!$B$39)</f>
        <v xml:space="preserve"> </v>
      </c>
      <c r="AF19" s="32" t="str">
        <f>IF(K19=""," ",K19*Inputs!$B$39)</f>
        <v xml:space="preserve"> </v>
      </c>
      <c r="AG19" s="32" t="str">
        <f>IF(L19=""," ",L19*Inputs!$B$39)</f>
        <v xml:space="preserve"> </v>
      </c>
      <c r="AH19" s="32" t="str">
        <f>IF(M19=""," ",M19*Inputs!$B$39)</f>
        <v xml:space="preserve"> </v>
      </c>
      <c r="AI19" s="32" t="str">
        <f>IF(N19=""," ",N19*Inputs!$B$39)</f>
        <v xml:space="preserve"> </v>
      </c>
      <c r="AJ19" s="32" t="str">
        <f>IF(O19=""," ",O19*Inputs!$B$39)</f>
        <v xml:space="preserve"> </v>
      </c>
      <c r="AK19" s="32" t="str">
        <f>IF(P19=""," ",P19*Inputs!$B$39)</f>
        <v xml:space="preserve"> </v>
      </c>
      <c r="AL19" s="32" t="str">
        <f>IF(Q19=""," ",Q19*Inputs!$B$39)</f>
        <v xml:space="preserve"> </v>
      </c>
      <c r="AM19" s="32" t="str">
        <f>IF(R19=""," ",R19*Inputs!$B$39)</f>
        <v xml:space="preserve"> </v>
      </c>
      <c r="AN19" s="32" t="str">
        <f>IF(S19=""," ",S19*Inputs!$B$39)</f>
        <v xml:space="preserve"> </v>
      </c>
      <c r="AO19" s="32" t="str">
        <f>IF(T19=""," ",T19*Inputs!$B$39)</f>
        <v xml:space="preserve"> </v>
      </c>
      <c r="AP19" s="32" t="str">
        <f>IF(U19=""," ",U19*Inputs!$B$39)</f>
        <v xml:space="preserve"> </v>
      </c>
      <c r="AQ19" s="32" t="str">
        <f>IF(V19=""," ",V19*Inputs!$B$39)</f>
        <v xml:space="preserve"> </v>
      </c>
      <c r="AS19" s="591"/>
      <c r="AT19" s="591"/>
      <c r="AU19" s="6"/>
      <c r="AV19" s="29" t="s">
        <v>501</v>
      </c>
      <c r="AW19" s="32" t="str">
        <f>IF(AB19=" "," ",AB19*Inputs!$B$53)</f>
        <v xml:space="preserve"> </v>
      </c>
      <c r="AX19" s="32" t="str">
        <f>IF(AC19=" "," ",AC19*Inputs!$B$53)</f>
        <v xml:space="preserve"> </v>
      </c>
      <c r="AY19" s="32" t="str">
        <f>IF(AD19=" "," ",AD19*Inputs!$B$53)</f>
        <v xml:space="preserve"> </v>
      </c>
      <c r="AZ19" s="32" t="str">
        <f>IF(AE19=" "," ",AE19*Inputs!$B$53)</f>
        <v xml:space="preserve"> </v>
      </c>
      <c r="BA19" s="32" t="str">
        <f>IF(AF19=" "," ",AF19*Inputs!$B$53)</f>
        <v xml:space="preserve"> </v>
      </c>
      <c r="BB19" s="32" t="str">
        <f>IF(AG19=" "," ",AG19*Inputs!$B$53)</f>
        <v xml:space="preserve"> </v>
      </c>
      <c r="BC19" s="32" t="str">
        <f>IF(AH19=" "," ",AH19*Inputs!$B$53)</f>
        <v xml:space="preserve"> </v>
      </c>
      <c r="BD19" s="32" t="str">
        <f>IF(AI19=" "," ",AI19*Inputs!$B$53)</f>
        <v xml:space="preserve"> </v>
      </c>
      <c r="BE19" s="32" t="str">
        <f>IF(AJ19=" "," ",AJ19*Inputs!$B$53)</f>
        <v xml:space="preserve"> </v>
      </c>
      <c r="BF19" s="32" t="str">
        <f>IF(AK19=" "," ",AK19*Inputs!$B$53)</f>
        <v xml:space="preserve"> </v>
      </c>
      <c r="BG19" s="32" t="str">
        <f>IF(AL19=" "," ",AL19*Inputs!$B$53)</f>
        <v xml:space="preserve"> </v>
      </c>
      <c r="BH19" s="32" t="str">
        <f>IF(AM19=" "," ",AM19*Inputs!$B$53)</f>
        <v xml:space="preserve"> </v>
      </c>
      <c r="BI19" s="32" t="str">
        <f>IF(AN19=" "," ",AN19*Inputs!$B$53)</f>
        <v xml:space="preserve"> </v>
      </c>
      <c r="BJ19" s="32" t="str">
        <f>IF(AO19=" "," ",AO19*Inputs!$B$53)</f>
        <v xml:space="preserve"> </v>
      </c>
      <c r="BK19" s="32" t="str">
        <f>IF(AP19=" "," ",AP19*Inputs!$B$53)</f>
        <v xml:space="preserve"> </v>
      </c>
      <c r="BL19" s="32" t="str">
        <f>IF(AQ19=" "," ",AQ19*Inputs!$B$53)</f>
        <v xml:space="preserve"> </v>
      </c>
    </row>
    <row r="21" spans="3:64" ht="15" customHeight="1" x14ac:dyDescent="0.25">
      <c r="C21" s="537"/>
      <c r="D21" s="538"/>
      <c r="E21" s="538"/>
      <c r="F21" s="538"/>
      <c r="G21" s="538"/>
      <c r="H21" s="538"/>
      <c r="I21" s="538"/>
      <c r="J21" s="538"/>
      <c r="K21" s="540" t="s">
        <v>516</v>
      </c>
      <c r="L21" s="538"/>
      <c r="M21" s="538"/>
      <c r="N21" s="538"/>
      <c r="O21" s="538"/>
      <c r="P21" s="538"/>
      <c r="Q21" s="538"/>
      <c r="R21" s="538"/>
      <c r="S21" s="539"/>
      <c r="T21" s="215"/>
      <c r="U21" s="215"/>
      <c r="V21" s="215"/>
      <c r="X21" s="606" t="s">
        <v>517</v>
      </c>
      <c r="Y21" s="574"/>
      <c r="Z21" s="574"/>
      <c r="AA21" s="574"/>
      <c r="AB21" s="574"/>
      <c r="AC21" s="574"/>
      <c r="AD21" s="574"/>
      <c r="AE21" s="574"/>
      <c r="AF21" s="574"/>
      <c r="AG21" s="574"/>
      <c r="AH21" s="574"/>
      <c r="AI21" s="574"/>
      <c r="AJ21" s="574"/>
      <c r="AK21" s="574"/>
      <c r="AL21" s="574"/>
      <c r="AM21" s="574"/>
      <c r="AN21" s="563"/>
      <c r="AO21" s="215"/>
      <c r="AP21" s="215"/>
      <c r="AQ21" s="215"/>
      <c r="AS21" s="606" t="s">
        <v>518</v>
      </c>
      <c r="AT21" s="574"/>
      <c r="AU21" s="574"/>
      <c r="AV21" s="574"/>
      <c r="AW21" s="574"/>
      <c r="AX21" s="574"/>
      <c r="AY21" s="574"/>
      <c r="AZ21" s="574"/>
      <c r="BA21" s="574"/>
      <c r="BB21" s="574"/>
      <c r="BC21" s="574"/>
      <c r="BD21" s="574"/>
      <c r="BE21" s="574"/>
      <c r="BF21" s="574"/>
      <c r="BG21" s="574"/>
      <c r="BH21" s="574"/>
      <c r="BI21" s="563"/>
    </row>
    <row r="22" spans="3:64" x14ac:dyDescent="0.25">
      <c r="C22" s="23" t="s">
        <v>9</v>
      </c>
      <c r="D22" s="35" t="s">
        <v>495</v>
      </c>
      <c r="E22" s="35" t="s">
        <v>515</v>
      </c>
      <c r="F22" s="218" t="s">
        <v>496</v>
      </c>
      <c r="G22" s="529"/>
      <c r="H22" s="530"/>
      <c r="I22" s="530"/>
      <c r="J22" s="530"/>
      <c r="K22" s="541" t="s">
        <v>497</v>
      </c>
      <c r="L22" s="530"/>
      <c r="M22" s="530"/>
      <c r="N22" s="530"/>
      <c r="O22" s="530"/>
      <c r="P22" s="530"/>
      <c r="Q22" s="530"/>
      <c r="R22" s="530"/>
      <c r="S22" s="530"/>
      <c r="T22" s="530"/>
      <c r="U22" s="530"/>
      <c r="V22" s="532"/>
      <c r="X22" s="23" t="s">
        <v>9</v>
      </c>
      <c r="Y22" s="35" t="s">
        <v>495</v>
      </c>
      <c r="Z22" s="35" t="s">
        <v>515</v>
      </c>
      <c r="AA22" s="35" t="s">
        <v>496</v>
      </c>
      <c r="AB22" s="600" t="s">
        <v>497</v>
      </c>
      <c r="AC22" s="601"/>
      <c r="AD22" s="601"/>
      <c r="AE22" s="601"/>
      <c r="AF22" s="601"/>
      <c r="AG22" s="601"/>
      <c r="AH22" s="601"/>
      <c r="AI22" s="601"/>
      <c r="AJ22" s="601"/>
      <c r="AK22" s="601"/>
      <c r="AL22" s="601"/>
      <c r="AM22" s="601"/>
      <c r="AN22" s="601"/>
      <c r="AO22" s="601"/>
      <c r="AP22" s="601"/>
      <c r="AQ22" s="1"/>
      <c r="AS22" s="23" t="s">
        <v>9</v>
      </c>
      <c r="AT22" s="35" t="s">
        <v>495</v>
      </c>
      <c r="AU22" s="35" t="s">
        <v>515</v>
      </c>
      <c r="AV22" s="35" t="s">
        <v>496</v>
      </c>
      <c r="AW22" s="600" t="s">
        <v>497</v>
      </c>
      <c r="AX22" s="601"/>
      <c r="AY22" s="601"/>
      <c r="AZ22" s="601"/>
      <c r="BA22" s="601"/>
      <c r="BB22" s="601"/>
      <c r="BC22" s="601"/>
      <c r="BD22" s="601"/>
      <c r="BE22" s="601"/>
      <c r="BF22" s="601"/>
      <c r="BG22" s="601"/>
      <c r="BH22" s="601"/>
      <c r="BI22" s="601"/>
      <c r="BJ22" s="601"/>
      <c r="BK22" s="601"/>
    </row>
    <row r="23" spans="3:64" x14ac:dyDescent="0.25">
      <c r="C23" s="615"/>
      <c r="D23" s="613" t="s">
        <v>6</v>
      </c>
      <c r="E23" s="588"/>
      <c r="F23" s="150"/>
      <c r="G23" s="152"/>
      <c r="H23" s="152"/>
      <c r="I23" s="152"/>
      <c r="J23" s="152"/>
      <c r="K23" s="152"/>
      <c r="L23" s="152"/>
      <c r="M23" s="152"/>
      <c r="N23" s="152"/>
      <c r="O23" s="152"/>
      <c r="P23" s="152"/>
      <c r="Q23" s="152"/>
      <c r="R23" s="152"/>
      <c r="S23" s="152"/>
      <c r="T23" s="152"/>
      <c r="U23" s="152"/>
      <c r="V23" s="152"/>
      <c r="X23" s="590"/>
      <c r="Y23" s="612" t="s">
        <v>6</v>
      </c>
      <c r="Z23" s="32">
        <v>6.9296988510282832E-3</v>
      </c>
      <c r="AA23" s="24" t="s">
        <v>498</v>
      </c>
      <c r="AB23" s="32" t="str">
        <f>IF(G23=""," ",G23*Inputs!$B$39)</f>
        <v xml:space="preserve"> </v>
      </c>
      <c r="AC23" s="32" t="str">
        <f>IF(H23=""," ",H23*Inputs!$B$39)</f>
        <v xml:space="preserve"> </v>
      </c>
      <c r="AD23" s="32" t="str">
        <f>IF(I23=""," ",I23*Inputs!$B$39)</f>
        <v xml:space="preserve"> </v>
      </c>
      <c r="AE23" s="32" t="str">
        <f>IF(J23=""," ",J23*Inputs!$B$39)</f>
        <v xml:space="preserve"> </v>
      </c>
      <c r="AF23" s="32" t="str">
        <f>IF(K23=""," ",K23*Inputs!$B$39)</f>
        <v xml:space="preserve"> </v>
      </c>
      <c r="AG23" s="32" t="str">
        <f>IF(L23=""," ",L23*Inputs!$B$39)</f>
        <v xml:space="preserve"> </v>
      </c>
      <c r="AH23" s="32" t="str">
        <f>IF(M23=""," ",M23*Inputs!$B$39)</f>
        <v xml:space="preserve"> </v>
      </c>
      <c r="AI23" s="32" t="str">
        <f>IF(N23=""," ",N23*Inputs!$B$39)</f>
        <v xml:space="preserve"> </v>
      </c>
      <c r="AJ23" s="32" t="str">
        <f>IF(O23=""," ",O23*Inputs!$B$39)</f>
        <v xml:space="preserve"> </v>
      </c>
      <c r="AK23" s="32" t="str">
        <f>IF(P23=""," ",P23*Inputs!$B$39)</f>
        <v xml:space="preserve"> </v>
      </c>
      <c r="AL23" s="32" t="str">
        <f>IF(Q23=""," ",Q23*Inputs!$B$39)</f>
        <v xml:space="preserve"> </v>
      </c>
      <c r="AM23" s="32" t="str">
        <f>IF(R23=""," ",R23*Inputs!$B$39)</f>
        <v xml:space="preserve"> </v>
      </c>
      <c r="AN23" s="32" t="str">
        <f>IF(S23=""," ",S23*Inputs!$B$39)</f>
        <v xml:space="preserve"> </v>
      </c>
      <c r="AO23" s="32" t="str">
        <f>IF(T23=""," ",T23*Inputs!$B$39)</f>
        <v xml:space="preserve"> </v>
      </c>
      <c r="AP23" s="32" t="str">
        <f>IF(U23=""," ",U23*Inputs!$B$39)</f>
        <v xml:space="preserve"> </v>
      </c>
      <c r="AQ23" s="32" t="str">
        <f>IF(V23=""," ",V23*Inputs!$B$39)</f>
        <v xml:space="preserve"> </v>
      </c>
      <c r="AS23" s="590"/>
      <c r="AT23" s="612" t="s">
        <v>6</v>
      </c>
      <c r="AU23" s="32">
        <v>6.9296988510282832E-3</v>
      </c>
      <c r="AV23" s="24" t="s">
        <v>498</v>
      </c>
      <c r="AW23" s="32" t="str">
        <f>IF(AB23=" "," ",AB23*Inputs!$B$53)</f>
        <v xml:space="preserve"> </v>
      </c>
      <c r="AX23" s="32" t="str">
        <f>IF(AC23=" "," ",AC23*Inputs!$B$53)</f>
        <v xml:space="preserve"> </v>
      </c>
      <c r="AY23" s="32" t="str">
        <f>IF(AD23=" "," ",AD23*Inputs!$B$53)</f>
        <v xml:space="preserve"> </v>
      </c>
      <c r="AZ23" s="32" t="str">
        <f>IF(AE23=" "," ",AE23*Inputs!$B$53)</f>
        <v xml:space="preserve"> </v>
      </c>
      <c r="BA23" s="32" t="str">
        <f>IF(AF23=" "," ",AF23*Inputs!$B$53)</f>
        <v xml:space="preserve"> </v>
      </c>
      <c r="BB23" s="32" t="str">
        <f>IF(AG23=" "," ",AG23*Inputs!$B$53)</f>
        <v xml:space="preserve"> </v>
      </c>
      <c r="BC23" s="32" t="str">
        <f>IF(AH23=" "," ",AH23*Inputs!$B$53)</f>
        <v xml:space="preserve"> </v>
      </c>
      <c r="BD23" s="32" t="str">
        <f>IF(AI23=" "," ",AI23*Inputs!$B$53)</f>
        <v xml:space="preserve"> </v>
      </c>
      <c r="BE23" s="32" t="str">
        <f>IF(AJ23=" "," ",AJ23*Inputs!$B$53)</f>
        <v xml:space="preserve"> </v>
      </c>
      <c r="BF23" s="32" t="str">
        <f>IF(AK23=" "," ",AK23*Inputs!$B$53)</f>
        <v xml:space="preserve"> </v>
      </c>
      <c r="BG23" s="32" t="str">
        <f>IF(AL23=" "," ",AL23*Inputs!$B$53)</f>
        <v xml:space="preserve"> </v>
      </c>
      <c r="BH23" s="32" t="str">
        <f>IF(AM23=" "," ",AM23*Inputs!$B$53)</f>
        <v xml:space="preserve"> </v>
      </c>
      <c r="BI23" s="32" t="str">
        <f>IF(AN23=" "," ",AN23*Inputs!$B$53)</f>
        <v xml:space="preserve"> </v>
      </c>
      <c r="BJ23" s="32" t="str">
        <f>IF(AO23=" "," ",AO23*Inputs!$B$53)</f>
        <v xml:space="preserve"> </v>
      </c>
      <c r="BK23" s="32" t="str">
        <f>IF(AP23=" "," ",AP23*Inputs!$B$53)</f>
        <v xml:space="preserve"> </v>
      </c>
      <c r="BL23" s="32" t="str">
        <f>IF(AQ23=" "," ",AQ23*Inputs!$B$53)</f>
        <v xml:space="preserve"> </v>
      </c>
    </row>
    <row r="24" spans="3:64" x14ac:dyDescent="0.25">
      <c r="C24" s="589"/>
      <c r="D24" s="589"/>
      <c r="E24" s="589"/>
      <c r="F24" s="21"/>
      <c r="G24" s="152"/>
      <c r="H24" s="152"/>
      <c r="I24" s="152"/>
      <c r="J24" s="152"/>
      <c r="K24" s="152"/>
      <c r="L24" s="152"/>
      <c r="M24" s="152"/>
      <c r="N24" s="152"/>
      <c r="O24" s="152"/>
      <c r="P24" s="152"/>
      <c r="Q24" s="152"/>
      <c r="R24" s="152"/>
      <c r="S24" s="152"/>
      <c r="T24" s="152"/>
      <c r="U24" s="152"/>
      <c r="V24" s="152"/>
      <c r="X24" s="589"/>
      <c r="Y24" s="589"/>
      <c r="Z24" s="33"/>
      <c r="AA24" s="27" t="s">
        <v>499</v>
      </c>
      <c r="AB24" s="32" t="str">
        <f>IF(G24=""," ",G24*Inputs!$B$39)</f>
        <v xml:space="preserve"> </v>
      </c>
      <c r="AC24" s="32" t="str">
        <f>IF(H24=""," ",H24*Inputs!$B$39)</f>
        <v xml:space="preserve"> </v>
      </c>
      <c r="AD24" s="32" t="str">
        <f>IF(I24=""," ",I24*Inputs!$B$39)</f>
        <v xml:space="preserve"> </v>
      </c>
      <c r="AE24" s="32" t="str">
        <f>IF(J24=""," ",J24*Inputs!$B$39)</f>
        <v xml:space="preserve"> </v>
      </c>
      <c r="AF24" s="32" t="str">
        <f>IF(K24=""," ",K24*Inputs!$B$39)</f>
        <v xml:space="preserve"> </v>
      </c>
      <c r="AG24" s="32" t="str">
        <f>IF(L24=""," ",L24*Inputs!$B$39)</f>
        <v xml:space="preserve"> </v>
      </c>
      <c r="AH24" s="32" t="str">
        <f>IF(M24=""," ",M24*Inputs!$B$39)</f>
        <v xml:space="preserve"> </v>
      </c>
      <c r="AI24" s="32" t="str">
        <f>IF(N24=""," ",N24*Inputs!$B$39)</f>
        <v xml:space="preserve"> </v>
      </c>
      <c r="AJ24" s="32" t="str">
        <f>IF(O24=""," ",O24*Inputs!$B$39)</f>
        <v xml:space="preserve"> </v>
      </c>
      <c r="AK24" s="32" t="str">
        <f>IF(P24=""," ",P24*Inputs!$B$39)</f>
        <v xml:space="preserve"> </v>
      </c>
      <c r="AL24" s="32" t="str">
        <f>IF(Q24=""," ",Q24*Inputs!$B$39)</f>
        <v xml:space="preserve"> </v>
      </c>
      <c r="AM24" s="32" t="str">
        <f>IF(R24=""," ",R24*Inputs!$B$39)</f>
        <v xml:space="preserve"> </v>
      </c>
      <c r="AN24" s="32" t="str">
        <f>IF(S24=""," ",S24*Inputs!$B$39)</f>
        <v xml:space="preserve"> </v>
      </c>
      <c r="AO24" s="32" t="str">
        <f>IF(T24=""," ",T24*Inputs!$B$39)</f>
        <v xml:space="preserve"> </v>
      </c>
      <c r="AP24" s="32" t="str">
        <f>IF(U24=""," ",U24*Inputs!$B$39)</f>
        <v xml:space="preserve"> </v>
      </c>
      <c r="AQ24" s="32" t="str">
        <f>IF(V24=""," ",V24*Inputs!$B$39)</f>
        <v xml:space="preserve"> </v>
      </c>
      <c r="AS24" s="589"/>
      <c r="AT24" s="589"/>
      <c r="AU24" s="33"/>
      <c r="AV24" s="27" t="s">
        <v>499</v>
      </c>
      <c r="AW24" s="32" t="str">
        <f>IF(AB24=" "," ",AB24*Inputs!$B$53)</f>
        <v xml:space="preserve"> </v>
      </c>
      <c r="AX24" s="32" t="str">
        <f>IF(AC24=" "," ",AC24*Inputs!$B$53)</f>
        <v xml:space="preserve"> </v>
      </c>
      <c r="AY24" s="32" t="str">
        <f>IF(AD24=" "," ",AD24*Inputs!$B$53)</f>
        <v xml:space="preserve"> </v>
      </c>
      <c r="AZ24" s="32" t="str">
        <f>IF(AE24=" "," ",AE24*Inputs!$B$53)</f>
        <v xml:space="preserve"> </v>
      </c>
      <c r="BA24" s="32" t="str">
        <f>IF(AF24=" "," ",AF24*Inputs!$B$53)</f>
        <v xml:space="preserve"> </v>
      </c>
      <c r="BB24" s="32" t="str">
        <f>IF(AG24=" "," ",AG24*Inputs!$B$53)</f>
        <v xml:space="preserve"> </v>
      </c>
      <c r="BC24" s="32" t="str">
        <f>IF(AH24=" "," ",AH24*Inputs!$B$53)</f>
        <v xml:space="preserve"> </v>
      </c>
      <c r="BD24" s="32" t="str">
        <f>IF(AI24=" "," ",AI24*Inputs!$B$53)</f>
        <v xml:space="preserve"> </v>
      </c>
      <c r="BE24" s="32" t="str">
        <f>IF(AJ24=" "," ",AJ24*Inputs!$B$53)</f>
        <v xml:space="preserve"> </v>
      </c>
      <c r="BF24" s="32" t="str">
        <f>IF(AK24=" "," ",AK24*Inputs!$B$53)</f>
        <v xml:space="preserve"> </v>
      </c>
      <c r="BG24" s="32" t="str">
        <f>IF(AL24=" "," ",AL24*Inputs!$B$53)</f>
        <v xml:space="preserve"> </v>
      </c>
      <c r="BH24" s="32" t="str">
        <f>IF(AM24=" "," ",AM24*Inputs!$B$53)</f>
        <v xml:space="preserve"> </v>
      </c>
      <c r="BI24" s="32" t="str">
        <f>IF(AN24=" "," ",AN24*Inputs!$B$53)</f>
        <v xml:space="preserve"> </v>
      </c>
      <c r="BJ24" s="32" t="str">
        <f>IF(AO24=" "," ",AO24*Inputs!$B$53)</f>
        <v xml:space="preserve"> </v>
      </c>
      <c r="BK24" s="32" t="str">
        <f>IF(AP24=" "," ",AP24*Inputs!$B$53)</f>
        <v xml:space="preserve"> </v>
      </c>
      <c r="BL24" s="32" t="str">
        <f>IF(AQ24=" "," ",AQ24*Inputs!$B$53)</f>
        <v xml:space="preserve"> </v>
      </c>
    </row>
    <row r="25" spans="3:64" x14ac:dyDescent="0.25">
      <c r="C25" s="589"/>
      <c r="D25" s="589"/>
      <c r="E25" s="589"/>
      <c r="F25" s="21"/>
      <c r="G25" s="152"/>
      <c r="H25" s="152"/>
      <c r="I25" s="152"/>
      <c r="J25" s="152"/>
      <c r="K25" s="152"/>
      <c r="L25" s="152"/>
      <c r="M25" s="152"/>
      <c r="N25" s="152"/>
      <c r="O25" s="152"/>
      <c r="P25" s="152"/>
      <c r="Q25" s="152"/>
      <c r="R25" s="152"/>
      <c r="S25" s="152"/>
      <c r="T25" s="152"/>
      <c r="U25" s="152"/>
      <c r="V25" s="152"/>
      <c r="X25" s="589"/>
      <c r="Y25" s="589"/>
      <c r="Z25" s="33"/>
      <c r="AA25" s="27" t="s">
        <v>500</v>
      </c>
      <c r="AB25" s="32" t="str">
        <f>IF(G25=""," ",G25*Inputs!$B$39)</f>
        <v xml:space="preserve"> </v>
      </c>
      <c r="AC25" s="32" t="str">
        <f>IF(H25=""," ",H25*Inputs!$B$39)</f>
        <v xml:space="preserve"> </v>
      </c>
      <c r="AD25" s="32" t="str">
        <f>IF(I25=""," ",I25*Inputs!$B$39)</f>
        <v xml:space="preserve"> </v>
      </c>
      <c r="AE25" s="32" t="str">
        <f>IF(J25=""," ",J25*Inputs!$B$39)</f>
        <v xml:space="preserve"> </v>
      </c>
      <c r="AF25" s="32" t="str">
        <f>IF(K25=""," ",K25*Inputs!$B$39)</f>
        <v xml:space="preserve"> </v>
      </c>
      <c r="AG25" s="32" t="str">
        <f>IF(L25=""," ",L25*Inputs!$B$39)</f>
        <v xml:space="preserve"> </v>
      </c>
      <c r="AH25" s="32" t="str">
        <f>IF(M25=""," ",M25*Inputs!$B$39)</f>
        <v xml:space="preserve"> </v>
      </c>
      <c r="AI25" s="32" t="str">
        <f>IF(N25=""," ",N25*Inputs!$B$39)</f>
        <v xml:space="preserve"> </v>
      </c>
      <c r="AJ25" s="32" t="str">
        <f>IF(O25=""," ",O25*Inputs!$B$39)</f>
        <v xml:space="preserve"> </v>
      </c>
      <c r="AK25" s="32" t="str">
        <f>IF(P25=""," ",P25*Inputs!$B$39)</f>
        <v xml:space="preserve"> </v>
      </c>
      <c r="AL25" s="32" t="str">
        <f>IF(Q25=""," ",Q25*Inputs!$B$39)</f>
        <v xml:space="preserve"> </v>
      </c>
      <c r="AM25" s="32" t="str">
        <f>IF(R25=""," ",R25*Inputs!$B$39)</f>
        <v xml:space="preserve"> </v>
      </c>
      <c r="AN25" s="32" t="str">
        <f>IF(S25=""," ",S25*Inputs!$B$39)</f>
        <v xml:space="preserve"> </v>
      </c>
      <c r="AO25" s="32" t="str">
        <f>IF(T25=""," ",T25*Inputs!$B$39)</f>
        <v xml:space="preserve"> </v>
      </c>
      <c r="AP25" s="32" t="str">
        <f>IF(U25=""," ",U25*Inputs!$B$39)</f>
        <v xml:space="preserve"> </v>
      </c>
      <c r="AQ25" s="32" t="str">
        <f>IF(V25=""," ",V25*Inputs!$B$39)</f>
        <v xml:space="preserve"> </v>
      </c>
      <c r="AS25" s="589"/>
      <c r="AT25" s="589"/>
      <c r="AU25" s="33"/>
      <c r="AV25" s="27" t="s">
        <v>500</v>
      </c>
      <c r="AW25" s="32" t="str">
        <f>IF(AB25=" "," ",AB25*Inputs!$B$53)</f>
        <v xml:space="preserve"> </v>
      </c>
      <c r="AX25" s="32" t="str">
        <f>IF(AC25=" "," ",AC25*Inputs!$B$53)</f>
        <v xml:space="preserve"> </v>
      </c>
      <c r="AY25" s="32" t="str">
        <f>IF(AD25=" "," ",AD25*Inputs!$B$53)</f>
        <v xml:space="preserve"> </v>
      </c>
      <c r="AZ25" s="32" t="str">
        <f>IF(AE25=" "," ",AE25*Inputs!$B$53)</f>
        <v xml:space="preserve"> </v>
      </c>
      <c r="BA25" s="32" t="str">
        <f>IF(AF25=" "," ",AF25*Inputs!$B$53)</f>
        <v xml:space="preserve"> </v>
      </c>
      <c r="BB25" s="32" t="str">
        <f>IF(AG25=" "," ",AG25*Inputs!$B$53)</f>
        <v xml:space="preserve"> </v>
      </c>
      <c r="BC25" s="32" t="str">
        <f>IF(AH25=" "," ",AH25*Inputs!$B$53)</f>
        <v xml:space="preserve"> </v>
      </c>
      <c r="BD25" s="32" t="str">
        <f>IF(AI25=" "," ",AI25*Inputs!$B$53)</f>
        <v xml:space="preserve"> </v>
      </c>
      <c r="BE25" s="32" t="str">
        <f>IF(AJ25=" "," ",AJ25*Inputs!$B$53)</f>
        <v xml:space="preserve"> </v>
      </c>
      <c r="BF25" s="32" t="str">
        <f>IF(AK25=" "," ",AK25*Inputs!$B$53)</f>
        <v xml:space="preserve"> </v>
      </c>
      <c r="BG25" s="32" t="str">
        <f>IF(AL25=" "," ",AL25*Inputs!$B$53)</f>
        <v xml:space="preserve"> </v>
      </c>
      <c r="BH25" s="32" t="str">
        <f>IF(AM25=" "," ",AM25*Inputs!$B$53)</f>
        <v xml:space="preserve"> </v>
      </c>
      <c r="BI25" s="32" t="str">
        <f>IF(AN25=" "," ",AN25*Inputs!$B$53)</f>
        <v xml:space="preserve"> </v>
      </c>
      <c r="BJ25" s="32" t="str">
        <f>IF(AO25=" "," ",AO25*Inputs!$B$53)</f>
        <v xml:space="preserve"> </v>
      </c>
      <c r="BK25" s="32" t="str">
        <f>IF(AP25=" "," ",AP25*Inputs!$B$53)</f>
        <v xml:space="preserve"> </v>
      </c>
      <c r="BL25" s="32" t="str">
        <f>IF(AQ25=" "," ",AQ25*Inputs!$B$53)</f>
        <v xml:space="preserve"> </v>
      </c>
    </row>
    <row r="26" spans="3:64" x14ac:dyDescent="0.25">
      <c r="C26" s="589"/>
      <c r="D26" s="589"/>
      <c r="E26" s="589"/>
      <c r="F26" s="21"/>
      <c r="G26" s="152"/>
      <c r="H26" s="152"/>
      <c r="I26" s="152"/>
      <c r="J26" s="152"/>
      <c r="K26" s="152"/>
      <c r="L26" s="152"/>
      <c r="M26" s="152"/>
      <c r="N26" s="152"/>
      <c r="O26" s="152"/>
      <c r="P26" s="152"/>
      <c r="Q26" s="152"/>
      <c r="R26" s="152"/>
      <c r="S26" s="152"/>
      <c r="T26" s="152"/>
      <c r="U26" s="152"/>
      <c r="V26" s="152"/>
      <c r="X26" s="591"/>
      <c r="Y26" s="589"/>
      <c r="Z26" s="6"/>
      <c r="AA26" s="29" t="s">
        <v>501</v>
      </c>
      <c r="AB26" s="32" t="str">
        <f>IF(G26=""," ",G26*Inputs!$B$39)</f>
        <v xml:space="preserve"> </v>
      </c>
      <c r="AC26" s="32" t="str">
        <f>IF(H26=""," ",H26*Inputs!$B$39)</f>
        <v xml:space="preserve"> </v>
      </c>
      <c r="AD26" s="32" t="str">
        <f>IF(I26=""," ",I26*Inputs!$B$39)</f>
        <v xml:space="preserve"> </v>
      </c>
      <c r="AE26" s="32" t="str">
        <f>IF(J26=""," ",J26*Inputs!$B$39)</f>
        <v xml:space="preserve"> </v>
      </c>
      <c r="AF26" s="32" t="str">
        <f>IF(K26=""," ",K26*Inputs!$B$39)</f>
        <v xml:space="preserve"> </v>
      </c>
      <c r="AG26" s="32" t="str">
        <f>IF(L26=""," ",L26*Inputs!$B$39)</f>
        <v xml:space="preserve"> </v>
      </c>
      <c r="AH26" s="32" t="str">
        <f>IF(M26=""," ",M26*Inputs!$B$39)</f>
        <v xml:space="preserve"> </v>
      </c>
      <c r="AI26" s="32" t="str">
        <f>IF(N26=""," ",N26*Inputs!$B$39)</f>
        <v xml:space="preserve"> </v>
      </c>
      <c r="AJ26" s="32" t="str">
        <f>IF(O26=""," ",O26*Inputs!$B$39)</f>
        <v xml:space="preserve"> </v>
      </c>
      <c r="AK26" s="32" t="str">
        <f>IF(P26=""," ",P26*Inputs!$B$39)</f>
        <v xml:space="preserve"> </v>
      </c>
      <c r="AL26" s="32" t="str">
        <f>IF(Q26=""," ",Q26*Inputs!$B$39)</f>
        <v xml:space="preserve"> </v>
      </c>
      <c r="AM26" s="32" t="str">
        <f>IF(R26=""," ",R26*Inputs!$B$39)</f>
        <v xml:space="preserve"> </v>
      </c>
      <c r="AN26" s="32" t="str">
        <f>IF(S26=""," ",S26*Inputs!$B$39)</f>
        <v xml:space="preserve"> </v>
      </c>
      <c r="AO26" s="32" t="str">
        <f>IF(T26=""," ",T26*Inputs!$B$39)</f>
        <v xml:space="preserve"> </v>
      </c>
      <c r="AP26" s="32" t="str">
        <f>IF(U26=""," ",U26*Inputs!$B$39)</f>
        <v xml:space="preserve"> </v>
      </c>
      <c r="AQ26" s="32" t="str">
        <f>IF(V26=""," ",V26*Inputs!$B$39)</f>
        <v xml:space="preserve"> </v>
      </c>
      <c r="AS26" s="591"/>
      <c r="AT26" s="589"/>
      <c r="AU26" s="6"/>
      <c r="AV26" s="29" t="s">
        <v>501</v>
      </c>
      <c r="AW26" s="32" t="str">
        <f>IF(AB26=" "," ",AB26*Inputs!$B$53)</f>
        <v xml:space="preserve"> </v>
      </c>
      <c r="AX26" s="32" t="str">
        <f>IF(AC26=" "," ",AC26*Inputs!$B$53)</f>
        <v xml:space="preserve"> </v>
      </c>
      <c r="AY26" s="32" t="str">
        <f>IF(AD26=" "," ",AD26*Inputs!$B$53)</f>
        <v xml:space="preserve"> </v>
      </c>
      <c r="AZ26" s="32" t="str">
        <f>IF(AE26=" "," ",AE26*Inputs!$B$53)</f>
        <v xml:space="preserve"> </v>
      </c>
      <c r="BA26" s="32" t="str">
        <f>IF(AF26=" "," ",AF26*Inputs!$B$53)</f>
        <v xml:space="preserve"> </v>
      </c>
      <c r="BB26" s="32" t="str">
        <f>IF(AG26=" "," ",AG26*Inputs!$B$53)</f>
        <v xml:space="preserve"> </v>
      </c>
      <c r="BC26" s="32" t="str">
        <f>IF(AH26=" "," ",AH26*Inputs!$B$53)</f>
        <v xml:space="preserve"> </v>
      </c>
      <c r="BD26" s="32" t="str">
        <f>IF(AI26=" "," ",AI26*Inputs!$B$53)</f>
        <v xml:space="preserve"> </v>
      </c>
      <c r="BE26" s="32" t="str">
        <f>IF(AJ26=" "," ",AJ26*Inputs!$B$53)</f>
        <v xml:space="preserve"> </v>
      </c>
      <c r="BF26" s="32" t="str">
        <f>IF(AK26=" "," ",AK26*Inputs!$B$53)</f>
        <v xml:space="preserve"> </v>
      </c>
      <c r="BG26" s="32" t="str">
        <f>IF(AL26=" "," ",AL26*Inputs!$B$53)</f>
        <v xml:space="preserve"> </v>
      </c>
      <c r="BH26" s="32" t="str">
        <f>IF(AM26=" "," ",AM26*Inputs!$B$53)</f>
        <v xml:space="preserve"> </v>
      </c>
      <c r="BI26" s="32" t="str">
        <f>IF(AN26=" "," ",AN26*Inputs!$B$53)</f>
        <v xml:space="preserve"> </v>
      </c>
      <c r="BJ26" s="32" t="str">
        <f>IF(AO26=" "," ",AO26*Inputs!$B$53)</f>
        <v xml:space="preserve"> </v>
      </c>
      <c r="BK26" s="32" t="str">
        <f>IF(AP26=" "," ",AP26*Inputs!$B$53)</f>
        <v xml:space="preserve"> </v>
      </c>
      <c r="BL26" s="32" t="str">
        <f>IF(AQ26=" "," ",AQ26*Inputs!$B$53)</f>
        <v xml:space="preserve"> </v>
      </c>
    </row>
    <row r="27" spans="3:64" x14ac:dyDescent="0.25">
      <c r="C27" s="593"/>
      <c r="D27" s="589"/>
      <c r="E27" s="595"/>
      <c r="F27" s="150"/>
      <c r="G27" s="151"/>
      <c r="H27" s="151"/>
      <c r="I27" s="151"/>
      <c r="J27" s="151"/>
      <c r="K27" s="151"/>
      <c r="L27" s="151"/>
      <c r="M27" s="151"/>
      <c r="N27" s="151"/>
      <c r="O27" s="151"/>
      <c r="P27" s="151"/>
      <c r="Q27" s="151"/>
      <c r="R27" s="151"/>
      <c r="S27" s="151"/>
      <c r="T27" s="151"/>
      <c r="U27" s="151"/>
      <c r="V27" s="151"/>
      <c r="X27" s="593"/>
      <c r="Y27" s="589"/>
      <c r="Z27" s="32">
        <v>5.3236816944942748E-3</v>
      </c>
      <c r="AA27" s="24" t="s">
        <v>498</v>
      </c>
      <c r="AB27" s="32" t="str">
        <f>IF(G27=""," ",G27*Inputs!$B$39)</f>
        <v xml:space="preserve"> </v>
      </c>
      <c r="AC27" s="32" t="str">
        <f>IF(H27=""," ",H27*Inputs!$B$39)</f>
        <v xml:space="preserve"> </v>
      </c>
      <c r="AD27" s="32" t="str">
        <f>IF(I27=""," ",I27*Inputs!$B$39)</f>
        <v xml:space="preserve"> </v>
      </c>
      <c r="AE27" s="32" t="str">
        <f>IF(J27=""," ",J27*Inputs!$B$39)</f>
        <v xml:space="preserve"> </v>
      </c>
      <c r="AF27" s="32" t="str">
        <f>IF(K27=""," ",K27*Inputs!$B$39)</f>
        <v xml:space="preserve"> </v>
      </c>
      <c r="AG27" s="32" t="str">
        <f>IF(L27=""," ",L27*Inputs!$B$39)</f>
        <v xml:space="preserve"> </v>
      </c>
      <c r="AH27" s="32" t="str">
        <f>IF(M27=""," ",M27*Inputs!$B$39)</f>
        <v xml:space="preserve"> </v>
      </c>
      <c r="AI27" s="32" t="str">
        <f>IF(N27=""," ",N27*Inputs!$B$39)</f>
        <v xml:space="preserve"> </v>
      </c>
      <c r="AJ27" s="32" t="str">
        <f>IF(O27=""," ",O27*Inputs!$B$39)</f>
        <v xml:space="preserve"> </v>
      </c>
      <c r="AK27" s="32" t="str">
        <f>IF(P27=""," ",P27*Inputs!$B$39)</f>
        <v xml:space="preserve"> </v>
      </c>
      <c r="AL27" s="32" t="str">
        <f>IF(Q27=""," ",Q27*Inputs!$B$39)</f>
        <v xml:space="preserve"> </v>
      </c>
      <c r="AM27" s="32" t="str">
        <f>IF(R27=""," ",R27*Inputs!$B$39)</f>
        <v xml:space="preserve"> </v>
      </c>
      <c r="AN27" s="32" t="str">
        <f>IF(S27=""," ",S27*Inputs!$B$39)</f>
        <v xml:space="preserve"> </v>
      </c>
      <c r="AO27" s="32" t="str">
        <f>IF(T27=""," ",T27*Inputs!$B$39)</f>
        <v xml:space="preserve"> </v>
      </c>
      <c r="AP27" s="32" t="str">
        <f>IF(U27=""," ",U27*Inputs!$B$39)</f>
        <v xml:space="preserve"> </v>
      </c>
      <c r="AQ27" s="32" t="str">
        <f>IF(V27=""," ",V27*Inputs!$B$39)</f>
        <v xml:space="preserve"> </v>
      </c>
      <c r="AS27" s="593"/>
      <c r="AT27" s="589"/>
      <c r="AU27" s="32">
        <v>5.3236816944942748E-3</v>
      </c>
      <c r="AV27" s="24" t="s">
        <v>498</v>
      </c>
      <c r="AW27" s="32" t="str">
        <f>IF(AB27=" "," ",AB27*Inputs!$B$53)</f>
        <v xml:space="preserve"> </v>
      </c>
      <c r="AX27" s="32" t="str">
        <f>IF(AC27=" "," ",AC27*Inputs!$B$53)</f>
        <v xml:space="preserve"> </v>
      </c>
      <c r="AY27" s="32" t="str">
        <f>IF(AD27=" "," ",AD27*Inputs!$B$53)</f>
        <v xml:space="preserve"> </v>
      </c>
      <c r="AZ27" s="32" t="str">
        <f>IF(AE27=" "," ",AE27*Inputs!$B$53)</f>
        <v xml:space="preserve"> </v>
      </c>
      <c r="BA27" s="32" t="str">
        <f>IF(AF27=" "," ",AF27*Inputs!$B$53)</f>
        <v xml:space="preserve"> </v>
      </c>
      <c r="BB27" s="32" t="str">
        <f>IF(AG27=" "," ",AG27*Inputs!$B$53)</f>
        <v xml:space="preserve"> </v>
      </c>
      <c r="BC27" s="32" t="str">
        <f>IF(AH27=" "," ",AH27*Inputs!$B$53)</f>
        <v xml:space="preserve"> </v>
      </c>
      <c r="BD27" s="32" t="str">
        <f>IF(AI27=" "," ",AI27*Inputs!$B$53)</f>
        <v xml:space="preserve"> </v>
      </c>
      <c r="BE27" s="32" t="str">
        <f>IF(AJ27=" "," ",AJ27*Inputs!$B$53)</f>
        <v xml:space="preserve"> </v>
      </c>
      <c r="BF27" s="32" t="str">
        <f>IF(AK27=" "," ",AK27*Inputs!$B$53)</f>
        <v xml:space="preserve"> </v>
      </c>
      <c r="BG27" s="32" t="str">
        <f>IF(AL27=" "," ",AL27*Inputs!$B$53)</f>
        <v xml:space="preserve"> </v>
      </c>
      <c r="BH27" s="32" t="str">
        <f>IF(AM27=" "," ",AM27*Inputs!$B$53)</f>
        <v xml:space="preserve"> </v>
      </c>
      <c r="BI27" s="32" t="str">
        <f>IF(AN27=" "," ",AN27*Inputs!$B$53)</f>
        <v xml:space="preserve"> </v>
      </c>
      <c r="BJ27" s="32" t="str">
        <f>IF(AO27=" "," ",AO27*Inputs!$B$53)</f>
        <v xml:space="preserve"> </v>
      </c>
      <c r="BK27" s="32" t="str">
        <f>IF(AP27=" "," ",AP27*Inputs!$B$53)</f>
        <v xml:space="preserve"> </v>
      </c>
      <c r="BL27" s="32" t="str">
        <f>IF(AQ27=" "," ",AQ27*Inputs!$B$53)</f>
        <v xml:space="preserve"> </v>
      </c>
    </row>
    <row r="28" spans="3:64" x14ac:dyDescent="0.25">
      <c r="C28" s="589"/>
      <c r="D28" s="589"/>
      <c r="E28" s="589"/>
      <c r="F28" s="21"/>
      <c r="G28" s="152"/>
      <c r="H28" s="152"/>
      <c r="I28" s="152"/>
      <c r="J28" s="152"/>
      <c r="K28" s="152"/>
      <c r="L28" s="152"/>
      <c r="M28" s="152"/>
      <c r="N28" s="152"/>
      <c r="O28" s="152"/>
      <c r="P28" s="152"/>
      <c r="Q28" s="152"/>
      <c r="R28" s="152"/>
      <c r="S28" s="152"/>
      <c r="T28" s="152"/>
      <c r="U28" s="152"/>
      <c r="V28" s="152"/>
      <c r="X28" s="589"/>
      <c r="Y28" s="589"/>
      <c r="Z28" s="33"/>
      <c r="AA28" s="27" t="s">
        <v>499</v>
      </c>
      <c r="AB28" s="32" t="str">
        <f>IF(G28=""," ",G28*Inputs!$B$39)</f>
        <v xml:space="preserve"> </v>
      </c>
      <c r="AC28" s="32" t="str">
        <f>IF(H28=""," ",H28*Inputs!$B$39)</f>
        <v xml:space="preserve"> </v>
      </c>
      <c r="AD28" s="32" t="str">
        <f>IF(I28=""," ",I28*Inputs!$B$39)</f>
        <v xml:space="preserve"> </v>
      </c>
      <c r="AE28" s="32" t="str">
        <f>IF(J28=""," ",J28*Inputs!$B$39)</f>
        <v xml:space="preserve"> </v>
      </c>
      <c r="AF28" s="32" t="str">
        <f>IF(K28=""," ",K28*Inputs!$B$39)</f>
        <v xml:space="preserve"> </v>
      </c>
      <c r="AG28" s="32" t="str">
        <f>IF(L28=""," ",L28*Inputs!$B$39)</f>
        <v xml:space="preserve"> </v>
      </c>
      <c r="AH28" s="32" t="str">
        <f>IF(M28=""," ",M28*Inputs!$B$39)</f>
        <v xml:space="preserve"> </v>
      </c>
      <c r="AI28" s="32" t="str">
        <f>IF(N28=""," ",N28*Inputs!$B$39)</f>
        <v xml:space="preserve"> </v>
      </c>
      <c r="AJ28" s="32" t="str">
        <f>IF(O28=""," ",O28*Inputs!$B$39)</f>
        <v xml:space="preserve"> </v>
      </c>
      <c r="AK28" s="32" t="str">
        <f>IF(P28=""," ",P28*Inputs!$B$39)</f>
        <v xml:space="preserve"> </v>
      </c>
      <c r="AL28" s="32" t="str">
        <f>IF(Q28=""," ",Q28*Inputs!$B$39)</f>
        <v xml:space="preserve"> </v>
      </c>
      <c r="AM28" s="32" t="str">
        <f>IF(R28=""," ",R28*Inputs!$B$39)</f>
        <v xml:space="preserve"> </v>
      </c>
      <c r="AN28" s="32" t="str">
        <f>IF(S28=""," ",S28*Inputs!$B$39)</f>
        <v xml:space="preserve"> </v>
      </c>
      <c r="AO28" s="32" t="str">
        <f>IF(T28=""," ",T28*Inputs!$B$39)</f>
        <v xml:space="preserve"> </v>
      </c>
      <c r="AP28" s="32" t="str">
        <f>IF(U28=""," ",U28*Inputs!$B$39)</f>
        <v xml:space="preserve"> </v>
      </c>
      <c r="AQ28" s="32" t="str">
        <f>IF(V28=""," ",V28*Inputs!$B$39)</f>
        <v xml:space="preserve"> </v>
      </c>
      <c r="AS28" s="589"/>
      <c r="AT28" s="589"/>
      <c r="AU28" s="33"/>
      <c r="AV28" s="27" t="s">
        <v>499</v>
      </c>
      <c r="AW28" s="32" t="str">
        <f>IF(AB28=" "," ",AB28*Inputs!$B$53)</f>
        <v xml:space="preserve"> </v>
      </c>
      <c r="AX28" s="32" t="str">
        <f>IF(AC28=" "," ",AC28*Inputs!$B$53)</f>
        <v xml:space="preserve"> </v>
      </c>
      <c r="AY28" s="32" t="str">
        <f>IF(AD28=" "," ",AD28*Inputs!$B$53)</f>
        <v xml:space="preserve"> </v>
      </c>
      <c r="AZ28" s="32" t="str">
        <f>IF(AE28=" "," ",AE28*Inputs!$B$53)</f>
        <v xml:space="preserve"> </v>
      </c>
      <c r="BA28" s="32" t="str">
        <f>IF(AF28=" "," ",AF28*Inputs!$B$53)</f>
        <v xml:space="preserve"> </v>
      </c>
      <c r="BB28" s="32" t="str">
        <f>IF(AG28=" "," ",AG28*Inputs!$B$53)</f>
        <v xml:space="preserve"> </v>
      </c>
      <c r="BC28" s="32" t="str">
        <f>IF(AH28=" "," ",AH28*Inputs!$B$53)</f>
        <v xml:space="preserve"> </v>
      </c>
      <c r="BD28" s="32" t="str">
        <f>IF(AI28=" "," ",AI28*Inputs!$B$53)</f>
        <v xml:space="preserve"> </v>
      </c>
      <c r="BE28" s="32" t="str">
        <f>IF(AJ28=" "," ",AJ28*Inputs!$B$53)</f>
        <v xml:space="preserve"> </v>
      </c>
      <c r="BF28" s="32" t="str">
        <f>IF(AK28=" "," ",AK28*Inputs!$B$53)</f>
        <v xml:space="preserve"> </v>
      </c>
      <c r="BG28" s="32" t="str">
        <f>IF(AL28=" "," ",AL28*Inputs!$B$53)</f>
        <v xml:space="preserve"> </v>
      </c>
      <c r="BH28" s="32" t="str">
        <f>IF(AM28=" "," ",AM28*Inputs!$B$53)</f>
        <v xml:space="preserve"> </v>
      </c>
      <c r="BI28" s="32" t="str">
        <f>IF(AN28=" "," ",AN28*Inputs!$B$53)</f>
        <v xml:space="preserve"> </v>
      </c>
      <c r="BJ28" s="32" t="str">
        <f>IF(AO28=" "," ",AO28*Inputs!$B$53)</f>
        <v xml:space="preserve"> </v>
      </c>
      <c r="BK28" s="32" t="str">
        <f>IF(AP28=" "," ",AP28*Inputs!$B$53)</f>
        <v xml:space="preserve"> </v>
      </c>
      <c r="BL28" s="32" t="str">
        <f>IF(AQ28=" "," ",AQ28*Inputs!$B$53)</f>
        <v xml:space="preserve"> </v>
      </c>
    </row>
    <row r="29" spans="3:64" x14ac:dyDescent="0.25">
      <c r="C29" s="589"/>
      <c r="D29" s="589"/>
      <c r="E29" s="589"/>
      <c r="F29" s="21"/>
      <c r="G29" s="152"/>
      <c r="H29" s="152"/>
      <c r="I29" s="152"/>
      <c r="J29" s="152"/>
      <c r="K29" s="152"/>
      <c r="L29" s="152"/>
      <c r="M29" s="152"/>
      <c r="N29" s="152"/>
      <c r="O29" s="152"/>
      <c r="P29" s="152"/>
      <c r="Q29" s="152"/>
      <c r="R29" s="152"/>
      <c r="S29" s="152"/>
      <c r="T29" s="152"/>
      <c r="U29" s="152"/>
      <c r="V29" s="152"/>
      <c r="X29" s="589"/>
      <c r="Y29" s="589"/>
      <c r="Z29" s="33"/>
      <c r="AA29" s="27" t="s">
        <v>500</v>
      </c>
      <c r="AB29" s="32" t="str">
        <f>IF(G29=""," ",G29*Inputs!$B$39)</f>
        <v xml:space="preserve"> </v>
      </c>
      <c r="AC29" s="32" t="str">
        <f>IF(H29=""," ",H29*Inputs!$B$39)</f>
        <v xml:space="preserve"> </v>
      </c>
      <c r="AD29" s="32" t="str">
        <f>IF(I29=""," ",I29*Inputs!$B$39)</f>
        <v xml:space="preserve"> </v>
      </c>
      <c r="AE29" s="32" t="str">
        <f>IF(J29=""," ",J29*Inputs!$B$39)</f>
        <v xml:space="preserve"> </v>
      </c>
      <c r="AF29" s="32" t="str">
        <f>IF(K29=""," ",K29*Inputs!$B$39)</f>
        <v xml:space="preserve"> </v>
      </c>
      <c r="AG29" s="32" t="str">
        <f>IF(L29=""," ",L29*Inputs!$B$39)</f>
        <v xml:space="preserve"> </v>
      </c>
      <c r="AH29" s="32" t="str">
        <f>IF(M29=""," ",M29*Inputs!$B$39)</f>
        <v xml:space="preserve"> </v>
      </c>
      <c r="AI29" s="32" t="str">
        <f>IF(N29=""," ",N29*Inputs!$B$39)</f>
        <v xml:space="preserve"> </v>
      </c>
      <c r="AJ29" s="32" t="str">
        <f>IF(O29=""," ",O29*Inputs!$B$39)</f>
        <v xml:space="preserve"> </v>
      </c>
      <c r="AK29" s="32" t="str">
        <f>IF(P29=""," ",P29*Inputs!$B$39)</f>
        <v xml:space="preserve"> </v>
      </c>
      <c r="AL29" s="32" t="str">
        <f>IF(Q29=""," ",Q29*Inputs!$B$39)</f>
        <v xml:space="preserve"> </v>
      </c>
      <c r="AM29" s="32" t="str">
        <f>IF(R29=""," ",R29*Inputs!$B$39)</f>
        <v xml:space="preserve"> </v>
      </c>
      <c r="AN29" s="32" t="str">
        <f>IF(S29=""," ",S29*Inputs!$B$39)</f>
        <v xml:space="preserve"> </v>
      </c>
      <c r="AO29" s="32" t="str">
        <f>IF(T29=""," ",T29*Inputs!$B$39)</f>
        <v xml:space="preserve"> </v>
      </c>
      <c r="AP29" s="32" t="str">
        <f>IF(U29=""," ",U29*Inputs!$B$39)</f>
        <v xml:space="preserve"> </v>
      </c>
      <c r="AQ29" s="32" t="str">
        <f>IF(V29=""," ",V29*Inputs!$B$39)</f>
        <v xml:space="preserve"> </v>
      </c>
      <c r="AS29" s="589"/>
      <c r="AT29" s="589"/>
      <c r="AU29" s="33"/>
      <c r="AV29" s="27" t="s">
        <v>500</v>
      </c>
      <c r="AW29" s="32" t="str">
        <f>IF(AB29=" "," ",AB29*Inputs!$B$53)</f>
        <v xml:space="preserve"> </v>
      </c>
      <c r="AX29" s="32" t="str">
        <f>IF(AC29=" "," ",AC29*Inputs!$B$53)</f>
        <v xml:space="preserve"> </v>
      </c>
      <c r="AY29" s="32" t="str">
        <f>IF(AD29=" "," ",AD29*Inputs!$B$53)</f>
        <v xml:space="preserve"> </v>
      </c>
      <c r="AZ29" s="32" t="str">
        <f>IF(AE29=" "," ",AE29*Inputs!$B$53)</f>
        <v xml:space="preserve"> </v>
      </c>
      <c r="BA29" s="32" t="str">
        <f>IF(AF29=" "," ",AF29*Inputs!$B$53)</f>
        <v xml:space="preserve"> </v>
      </c>
      <c r="BB29" s="32" t="str">
        <f>IF(AG29=" "," ",AG29*Inputs!$B$53)</f>
        <v xml:space="preserve"> </v>
      </c>
      <c r="BC29" s="32" t="str">
        <f>IF(AH29=" "," ",AH29*Inputs!$B$53)</f>
        <v xml:space="preserve"> </v>
      </c>
      <c r="BD29" s="32" t="str">
        <f>IF(AI29=" "," ",AI29*Inputs!$B$53)</f>
        <v xml:space="preserve"> </v>
      </c>
      <c r="BE29" s="32" t="str">
        <f>IF(AJ29=" "," ",AJ29*Inputs!$B$53)</f>
        <v xml:space="preserve"> </v>
      </c>
      <c r="BF29" s="32" t="str">
        <f>IF(AK29=" "," ",AK29*Inputs!$B$53)</f>
        <v xml:space="preserve"> </v>
      </c>
      <c r="BG29" s="32" t="str">
        <f>IF(AL29=" "," ",AL29*Inputs!$B$53)</f>
        <v xml:space="preserve"> </v>
      </c>
      <c r="BH29" s="32" t="str">
        <f>IF(AM29=" "," ",AM29*Inputs!$B$53)</f>
        <v xml:space="preserve"> </v>
      </c>
      <c r="BI29" s="32" t="str">
        <f>IF(AN29=" "," ",AN29*Inputs!$B$53)</f>
        <v xml:space="preserve"> </v>
      </c>
      <c r="BJ29" s="32" t="str">
        <f>IF(AO29=" "," ",AO29*Inputs!$B$53)</f>
        <v xml:space="preserve"> </v>
      </c>
      <c r="BK29" s="32" t="str">
        <f>IF(AP29=" "," ",AP29*Inputs!$B$53)</f>
        <v xml:space="preserve"> </v>
      </c>
      <c r="BL29" s="32" t="str">
        <f>IF(AQ29=" "," ",AQ29*Inputs!$B$53)</f>
        <v xml:space="preserve"> </v>
      </c>
    </row>
    <row r="30" spans="3:64" x14ac:dyDescent="0.25">
      <c r="C30" s="591"/>
      <c r="D30" s="589"/>
      <c r="E30" s="591"/>
      <c r="F30" s="21"/>
      <c r="G30" s="152"/>
      <c r="H30" s="152"/>
      <c r="I30" s="152"/>
      <c r="J30" s="152"/>
      <c r="K30" s="152"/>
      <c r="L30" s="152"/>
      <c r="M30" s="152"/>
      <c r="N30" s="152"/>
      <c r="O30" s="152"/>
      <c r="P30" s="152"/>
      <c r="Q30" s="152"/>
      <c r="R30" s="152"/>
      <c r="S30" s="152"/>
      <c r="T30" s="152"/>
      <c r="U30" s="152"/>
      <c r="V30" s="152"/>
      <c r="X30" s="591"/>
      <c r="Y30" s="591"/>
      <c r="Z30" s="6"/>
      <c r="AA30" s="29" t="s">
        <v>501</v>
      </c>
      <c r="AB30" s="32" t="str">
        <f>IF(G30=""," ",G30*Inputs!$B$39)</f>
        <v xml:space="preserve"> </v>
      </c>
      <c r="AC30" s="32" t="str">
        <f>IF(H30=""," ",H30*Inputs!$B$39)</f>
        <v xml:space="preserve"> </v>
      </c>
      <c r="AD30" s="32" t="str">
        <f>IF(I30=""," ",I30*Inputs!$B$39)</f>
        <v xml:space="preserve"> </v>
      </c>
      <c r="AE30" s="32" t="str">
        <f>IF(J30=""," ",J30*Inputs!$B$39)</f>
        <v xml:space="preserve"> </v>
      </c>
      <c r="AF30" s="32" t="str">
        <f>IF(K30=""," ",K30*Inputs!$B$39)</f>
        <v xml:space="preserve"> </v>
      </c>
      <c r="AG30" s="32" t="str">
        <f>IF(L30=""," ",L30*Inputs!$B$39)</f>
        <v xml:space="preserve"> </v>
      </c>
      <c r="AH30" s="32" t="str">
        <f>IF(M30=""," ",M30*Inputs!$B$39)</f>
        <v xml:space="preserve"> </v>
      </c>
      <c r="AI30" s="32" t="str">
        <f>IF(N30=""," ",N30*Inputs!$B$39)</f>
        <v xml:space="preserve"> </v>
      </c>
      <c r="AJ30" s="32" t="str">
        <f>IF(O30=""," ",O30*Inputs!$B$39)</f>
        <v xml:space="preserve"> </v>
      </c>
      <c r="AK30" s="32" t="str">
        <f>IF(P30=""," ",P30*Inputs!$B$39)</f>
        <v xml:space="preserve"> </v>
      </c>
      <c r="AL30" s="32" t="str">
        <f>IF(Q30=""," ",Q30*Inputs!$B$39)</f>
        <v xml:space="preserve"> </v>
      </c>
      <c r="AM30" s="32" t="str">
        <f>IF(R30=""," ",R30*Inputs!$B$39)</f>
        <v xml:space="preserve"> </v>
      </c>
      <c r="AN30" s="32" t="str">
        <f>IF(S30=""," ",S30*Inputs!$B$39)</f>
        <v xml:space="preserve"> </v>
      </c>
      <c r="AO30" s="32" t="str">
        <f>IF(T30=""," ",T30*Inputs!$B$39)</f>
        <v xml:space="preserve"> </v>
      </c>
      <c r="AP30" s="32" t="str">
        <f>IF(U30=""," ",U30*Inputs!$B$39)</f>
        <v xml:space="preserve"> </v>
      </c>
      <c r="AQ30" s="32" t="str">
        <f>IF(V30=""," ",V30*Inputs!$B$39)</f>
        <v xml:space="preserve"> </v>
      </c>
      <c r="AS30" s="591"/>
      <c r="AT30" s="591"/>
      <c r="AU30" s="6"/>
      <c r="AV30" s="29" t="s">
        <v>501</v>
      </c>
      <c r="AW30" s="32" t="str">
        <f>IF(AB30=" "," ",AB30*Inputs!$B$53)</f>
        <v xml:space="preserve"> </v>
      </c>
      <c r="AX30" s="32" t="str">
        <f>IF(AC30=" "," ",AC30*Inputs!$B$53)</f>
        <v xml:space="preserve"> </v>
      </c>
      <c r="AY30" s="32" t="str">
        <f>IF(AD30=" "," ",AD30*Inputs!$B$53)</f>
        <v xml:space="preserve"> </v>
      </c>
      <c r="AZ30" s="32" t="str">
        <f>IF(AE30=" "," ",AE30*Inputs!$B$53)</f>
        <v xml:space="preserve"> </v>
      </c>
      <c r="BA30" s="32" t="str">
        <f>IF(AF30=" "," ",AF30*Inputs!$B$53)</f>
        <v xml:space="preserve"> </v>
      </c>
      <c r="BB30" s="32" t="str">
        <f>IF(AG30=" "," ",AG30*Inputs!$B$53)</f>
        <v xml:space="preserve"> </v>
      </c>
      <c r="BC30" s="32" t="str">
        <f>IF(AH30=" "," ",AH30*Inputs!$B$53)</f>
        <v xml:space="preserve"> </v>
      </c>
      <c r="BD30" s="32" t="str">
        <f>IF(AI30=" "," ",AI30*Inputs!$B$53)</f>
        <v xml:space="preserve"> </v>
      </c>
      <c r="BE30" s="32" t="str">
        <f>IF(AJ30=" "," ",AJ30*Inputs!$B$53)</f>
        <v xml:space="preserve"> </v>
      </c>
      <c r="BF30" s="32" t="str">
        <f>IF(AK30=" "," ",AK30*Inputs!$B$53)</f>
        <v xml:space="preserve"> </v>
      </c>
      <c r="BG30" s="32" t="str">
        <f>IF(AL30=" "," ",AL30*Inputs!$B$53)</f>
        <v xml:space="preserve"> </v>
      </c>
      <c r="BH30" s="32" t="str">
        <f>IF(AM30=" "," ",AM30*Inputs!$B$53)</f>
        <v xml:space="preserve"> </v>
      </c>
      <c r="BI30" s="32" t="str">
        <f>IF(AN30=" "," ",AN30*Inputs!$B$53)</f>
        <v xml:space="preserve"> </v>
      </c>
      <c r="BJ30" s="32" t="str">
        <f>IF(AO30=" "," ",AO30*Inputs!$B$53)</f>
        <v xml:space="preserve"> </v>
      </c>
      <c r="BK30" s="32" t="str">
        <f>IF(AP30=" "," ",AP30*Inputs!$B$53)</f>
        <v xml:space="preserve"> </v>
      </c>
      <c r="BL30" s="32" t="str">
        <f>IF(AQ30=" "," ",AQ30*Inputs!$B$53)</f>
        <v xml:space="preserve"> </v>
      </c>
    </row>
    <row r="31" spans="3:64" ht="15" customHeight="1" x14ac:dyDescent="0.25">
      <c r="C31" s="590"/>
      <c r="D31" s="612" t="s">
        <v>7</v>
      </c>
      <c r="E31" s="595"/>
      <c r="F31" s="150"/>
      <c r="G31" s="151"/>
      <c r="H31" s="151"/>
      <c r="I31" s="151"/>
      <c r="J31" s="151"/>
      <c r="K31" s="151"/>
      <c r="L31" s="151"/>
      <c r="M31" s="151"/>
      <c r="N31" s="151"/>
      <c r="O31" s="151"/>
      <c r="P31" s="151"/>
      <c r="Q31" s="151"/>
      <c r="R31" s="151"/>
      <c r="S31" s="151"/>
      <c r="T31" s="151"/>
      <c r="U31" s="151"/>
      <c r="V31" s="151"/>
      <c r="X31" s="590"/>
      <c r="Y31" s="612" t="s">
        <v>7</v>
      </c>
      <c r="Z31" s="32">
        <v>0.10123811361116219</v>
      </c>
      <c r="AA31" s="24" t="s">
        <v>498</v>
      </c>
      <c r="AB31" s="32" t="str">
        <f>IF(G31=""," ",G31*Inputs!$B$39)</f>
        <v xml:space="preserve"> </v>
      </c>
      <c r="AC31" s="32" t="str">
        <f>IF(H31=""," ",H31*Inputs!$B$39)</f>
        <v xml:space="preserve"> </v>
      </c>
      <c r="AD31" s="32" t="str">
        <f>IF(I31=""," ",I31*Inputs!$B$39)</f>
        <v xml:space="preserve"> </v>
      </c>
      <c r="AE31" s="32" t="str">
        <f>IF(J31=""," ",J31*Inputs!$B$39)</f>
        <v xml:space="preserve"> </v>
      </c>
      <c r="AF31" s="32" t="str">
        <f>IF(K31=""," ",K31*Inputs!$B$39)</f>
        <v xml:space="preserve"> </v>
      </c>
      <c r="AG31" s="32" t="str">
        <f>IF(L31=""," ",L31*Inputs!$B$39)</f>
        <v xml:space="preserve"> </v>
      </c>
      <c r="AH31" s="32" t="str">
        <f>IF(M31=""," ",M31*Inputs!$B$39)</f>
        <v xml:space="preserve"> </v>
      </c>
      <c r="AI31" s="32" t="str">
        <f>IF(N31=""," ",N31*Inputs!$B$39)</f>
        <v xml:space="preserve"> </v>
      </c>
      <c r="AJ31" s="32" t="str">
        <f>IF(O31=""," ",O31*Inputs!$B$39)</f>
        <v xml:space="preserve"> </v>
      </c>
      <c r="AK31" s="32" t="str">
        <f>IF(P31=""," ",P31*Inputs!$B$39)</f>
        <v xml:space="preserve"> </v>
      </c>
      <c r="AL31" s="32" t="str">
        <f>IF(Q31=""," ",Q31*Inputs!$B$39)</f>
        <v xml:space="preserve"> </v>
      </c>
      <c r="AM31" s="32" t="str">
        <f>IF(R31=""," ",R31*Inputs!$B$39)</f>
        <v xml:space="preserve"> </v>
      </c>
      <c r="AN31" s="32" t="str">
        <f>IF(S31=""," ",S31*Inputs!$B$39)</f>
        <v xml:space="preserve"> </v>
      </c>
      <c r="AO31" s="32" t="str">
        <f>IF(T31=""," ",T31*Inputs!$B$39)</f>
        <v xml:space="preserve"> </v>
      </c>
      <c r="AP31" s="32" t="str">
        <f>IF(U31=""," ",U31*Inputs!$B$39)</f>
        <v xml:space="preserve"> </v>
      </c>
      <c r="AQ31" s="32" t="str">
        <f>IF(V31=""," ",V31*Inputs!$B$39)</f>
        <v xml:space="preserve"> </v>
      </c>
      <c r="AS31" s="590"/>
      <c r="AT31" s="612" t="s">
        <v>7</v>
      </c>
      <c r="AU31" s="32">
        <v>0.10123811361116219</v>
      </c>
      <c r="AV31" s="24" t="s">
        <v>498</v>
      </c>
      <c r="AW31" s="32" t="str">
        <f>IF(AB31=" "," ",AB31*Inputs!$B$53)</f>
        <v xml:space="preserve"> </v>
      </c>
      <c r="AX31" s="32" t="str">
        <f>IF(AC31=" "," ",AC31*Inputs!$B$53)</f>
        <v xml:space="preserve"> </v>
      </c>
      <c r="AY31" s="32" t="str">
        <f>IF(AD31=" "," ",AD31*Inputs!$B$53)</f>
        <v xml:space="preserve"> </v>
      </c>
      <c r="AZ31" s="32" t="str">
        <f>IF(AE31=" "," ",AE31*Inputs!$B$53)</f>
        <v xml:space="preserve"> </v>
      </c>
      <c r="BA31" s="32" t="str">
        <f>IF(AF31=" "," ",AF31*Inputs!$B$53)</f>
        <v xml:space="preserve"> </v>
      </c>
      <c r="BB31" s="32" t="str">
        <f>IF(AG31=" "," ",AG31*Inputs!$B$53)</f>
        <v xml:space="preserve"> </v>
      </c>
      <c r="BC31" s="32" t="str">
        <f>IF(AH31=" "," ",AH31*Inputs!$B$53)</f>
        <v xml:space="preserve"> </v>
      </c>
      <c r="BD31" s="32" t="str">
        <f>IF(AI31=" "," ",AI31*Inputs!$B$53)</f>
        <v xml:space="preserve"> </v>
      </c>
      <c r="BE31" s="32" t="str">
        <f>IF(AJ31=" "," ",AJ31*Inputs!$B$53)</f>
        <v xml:space="preserve"> </v>
      </c>
      <c r="BF31" s="32" t="str">
        <f>IF(AK31=" "," ",AK31*Inputs!$B$53)</f>
        <v xml:space="preserve"> </v>
      </c>
      <c r="BG31" s="32" t="str">
        <f>IF(AL31=" "," ",AL31*Inputs!$B$53)</f>
        <v xml:space="preserve"> </v>
      </c>
      <c r="BH31" s="32" t="str">
        <f>IF(AM31=" "," ",AM31*Inputs!$B$53)</f>
        <v xml:space="preserve"> </v>
      </c>
      <c r="BI31" s="32" t="str">
        <f>IF(AN31=" "," ",AN31*Inputs!$B$53)</f>
        <v xml:space="preserve"> </v>
      </c>
      <c r="BJ31" s="32" t="str">
        <f>IF(AO31=" "," ",AO31*Inputs!$B$53)</f>
        <v xml:space="preserve"> </v>
      </c>
      <c r="BK31" s="32" t="str">
        <f>IF(AP31=" "," ",AP31*Inputs!$B$53)</f>
        <v xml:space="preserve"> </v>
      </c>
      <c r="BL31" s="32" t="str">
        <f>IF(AQ31=" "," ",AQ31*Inputs!$B$53)</f>
        <v xml:space="preserve"> </v>
      </c>
    </row>
    <row r="32" spans="3:64" x14ac:dyDescent="0.25">
      <c r="C32" s="589"/>
      <c r="D32" s="589"/>
      <c r="E32" s="589"/>
      <c r="F32" s="21"/>
      <c r="G32" s="152"/>
      <c r="H32" s="152"/>
      <c r="I32" s="152"/>
      <c r="J32" s="152"/>
      <c r="K32" s="152"/>
      <c r="L32" s="152"/>
      <c r="M32" s="152"/>
      <c r="N32" s="152"/>
      <c r="O32" s="152"/>
      <c r="P32" s="152"/>
      <c r="Q32" s="152"/>
      <c r="R32" s="152"/>
      <c r="S32" s="152"/>
      <c r="T32" s="152"/>
      <c r="U32" s="152"/>
      <c r="V32" s="152"/>
      <c r="X32" s="589"/>
      <c r="Y32" s="589"/>
      <c r="Z32" s="33"/>
      <c r="AA32" s="27" t="s">
        <v>499</v>
      </c>
      <c r="AB32" s="32" t="str">
        <f>IF(G32=""," ",G32*Inputs!$B$39)</f>
        <v xml:space="preserve"> </v>
      </c>
      <c r="AC32" s="32" t="str">
        <f>IF(H32=""," ",H32*Inputs!$B$39)</f>
        <v xml:space="preserve"> </v>
      </c>
      <c r="AD32" s="32" t="str">
        <f>IF(I32=""," ",I32*Inputs!$B$39)</f>
        <v xml:space="preserve"> </v>
      </c>
      <c r="AE32" s="32" t="str">
        <f>IF(J32=""," ",J32*Inputs!$B$39)</f>
        <v xml:space="preserve"> </v>
      </c>
      <c r="AF32" s="32" t="str">
        <f>IF(K32=""," ",K32*Inputs!$B$39)</f>
        <v xml:space="preserve"> </v>
      </c>
      <c r="AG32" s="32" t="str">
        <f>IF(L32=""," ",L32*Inputs!$B$39)</f>
        <v xml:space="preserve"> </v>
      </c>
      <c r="AH32" s="32" t="str">
        <f>IF(M32=""," ",M32*Inputs!$B$39)</f>
        <v xml:space="preserve"> </v>
      </c>
      <c r="AI32" s="32" t="str">
        <f>IF(N32=""," ",N32*Inputs!$B$39)</f>
        <v xml:space="preserve"> </v>
      </c>
      <c r="AJ32" s="32" t="str">
        <f>IF(O32=""," ",O32*Inputs!$B$39)</f>
        <v xml:space="preserve"> </v>
      </c>
      <c r="AK32" s="32" t="str">
        <f>IF(P32=""," ",P32*Inputs!$B$39)</f>
        <v xml:space="preserve"> </v>
      </c>
      <c r="AL32" s="32" t="str">
        <f>IF(Q32=""," ",Q32*Inputs!$B$39)</f>
        <v xml:space="preserve"> </v>
      </c>
      <c r="AM32" s="32" t="str">
        <f>IF(R32=""," ",R32*Inputs!$B$39)</f>
        <v xml:space="preserve"> </v>
      </c>
      <c r="AN32" s="32" t="str">
        <f>IF(S32=""," ",S32*Inputs!$B$39)</f>
        <v xml:space="preserve"> </v>
      </c>
      <c r="AO32" s="32" t="str">
        <f>IF(T32=""," ",T32*Inputs!$B$39)</f>
        <v xml:space="preserve"> </v>
      </c>
      <c r="AP32" s="32" t="str">
        <f>IF(U32=""," ",U32*Inputs!$B$39)</f>
        <v xml:space="preserve"> </v>
      </c>
      <c r="AQ32" s="32" t="str">
        <f>IF(V32=""," ",V32*Inputs!$B$39)</f>
        <v xml:space="preserve"> </v>
      </c>
      <c r="AS32" s="589"/>
      <c r="AT32" s="589"/>
      <c r="AU32" s="33"/>
      <c r="AV32" s="27" t="s">
        <v>499</v>
      </c>
      <c r="AW32" s="32" t="str">
        <f>IF(AB32=" "," ",AB32*Inputs!$B$53)</f>
        <v xml:space="preserve"> </v>
      </c>
      <c r="AX32" s="32" t="str">
        <f>IF(AC32=" "," ",AC32*Inputs!$B$53)</f>
        <v xml:space="preserve"> </v>
      </c>
      <c r="AY32" s="32" t="str">
        <f>IF(AD32=" "," ",AD32*Inputs!$B$53)</f>
        <v xml:space="preserve"> </v>
      </c>
      <c r="AZ32" s="32" t="str">
        <f>IF(AE32=" "," ",AE32*Inputs!$B$53)</f>
        <v xml:space="preserve"> </v>
      </c>
      <c r="BA32" s="32" t="str">
        <f>IF(AF32=" "," ",AF32*Inputs!$B$53)</f>
        <v xml:space="preserve"> </v>
      </c>
      <c r="BB32" s="32" t="str">
        <f>IF(AG32=" "," ",AG32*Inputs!$B$53)</f>
        <v xml:space="preserve"> </v>
      </c>
      <c r="BC32" s="32" t="str">
        <f>IF(AH32=" "," ",AH32*Inputs!$B$53)</f>
        <v xml:space="preserve"> </v>
      </c>
      <c r="BD32" s="32" t="str">
        <f>IF(AI32=" "," ",AI32*Inputs!$B$53)</f>
        <v xml:space="preserve"> </v>
      </c>
      <c r="BE32" s="32" t="str">
        <f>IF(AJ32=" "," ",AJ32*Inputs!$B$53)</f>
        <v xml:space="preserve"> </v>
      </c>
      <c r="BF32" s="32" t="str">
        <f>IF(AK32=" "," ",AK32*Inputs!$B$53)</f>
        <v xml:space="preserve"> </v>
      </c>
      <c r="BG32" s="32" t="str">
        <f>IF(AL32=" "," ",AL32*Inputs!$B$53)</f>
        <v xml:space="preserve"> </v>
      </c>
      <c r="BH32" s="32" t="str">
        <f>IF(AM32=" "," ",AM32*Inputs!$B$53)</f>
        <v xml:space="preserve"> </v>
      </c>
      <c r="BI32" s="32" t="str">
        <f>IF(AN32=" "," ",AN32*Inputs!$B$53)</f>
        <v xml:space="preserve"> </v>
      </c>
      <c r="BJ32" s="32" t="str">
        <f>IF(AO32=" "," ",AO32*Inputs!$B$53)</f>
        <v xml:space="preserve"> </v>
      </c>
      <c r="BK32" s="32" t="str">
        <f>IF(AP32=" "," ",AP32*Inputs!$B$53)</f>
        <v xml:space="preserve"> </v>
      </c>
      <c r="BL32" s="32" t="str">
        <f>IF(AQ32=" "," ",AQ32*Inputs!$B$53)</f>
        <v xml:space="preserve"> </v>
      </c>
    </row>
    <row r="33" spans="3:64" x14ac:dyDescent="0.25">
      <c r="C33" s="589"/>
      <c r="D33" s="589"/>
      <c r="E33" s="589"/>
      <c r="F33" s="21"/>
      <c r="G33" s="152"/>
      <c r="H33" s="152"/>
      <c r="I33" s="152"/>
      <c r="J33" s="152"/>
      <c r="K33" s="152"/>
      <c r="L33" s="152"/>
      <c r="M33" s="152"/>
      <c r="N33" s="152"/>
      <c r="O33" s="152"/>
      <c r="P33" s="152"/>
      <c r="Q33" s="152"/>
      <c r="R33" s="152"/>
      <c r="S33" s="152"/>
      <c r="T33" s="152"/>
      <c r="U33" s="152"/>
      <c r="V33" s="152"/>
      <c r="X33" s="589"/>
      <c r="Y33" s="589"/>
      <c r="Z33" s="33"/>
      <c r="AA33" s="27" t="s">
        <v>500</v>
      </c>
      <c r="AB33" s="32" t="str">
        <f>IF(G33=""," ",G33*Inputs!$B$39)</f>
        <v xml:space="preserve"> </v>
      </c>
      <c r="AC33" s="32" t="str">
        <f>IF(H33=""," ",H33*Inputs!$B$39)</f>
        <v xml:space="preserve"> </v>
      </c>
      <c r="AD33" s="32" t="str">
        <f>IF(I33=""," ",I33*Inputs!$B$39)</f>
        <v xml:space="preserve"> </v>
      </c>
      <c r="AE33" s="32" t="str">
        <f>IF(J33=""," ",J33*Inputs!$B$39)</f>
        <v xml:space="preserve"> </v>
      </c>
      <c r="AF33" s="32" t="str">
        <f>IF(K33=""," ",K33*Inputs!$B$39)</f>
        <v xml:space="preserve"> </v>
      </c>
      <c r="AG33" s="32" t="str">
        <f>IF(L33=""," ",L33*Inputs!$B$39)</f>
        <v xml:space="preserve"> </v>
      </c>
      <c r="AH33" s="32" t="str">
        <f>IF(M33=""," ",M33*Inputs!$B$39)</f>
        <v xml:space="preserve"> </v>
      </c>
      <c r="AI33" s="32" t="str">
        <f>IF(N33=""," ",N33*Inputs!$B$39)</f>
        <v xml:space="preserve"> </v>
      </c>
      <c r="AJ33" s="32" t="str">
        <f>IF(O33=""," ",O33*Inputs!$B$39)</f>
        <v xml:space="preserve"> </v>
      </c>
      <c r="AK33" s="32" t="str">
        <f>IF(P33=""," ",P33*Inputs!$B$39)</f>
        <v xml:space="preserve"> </v>
      </c>
      <c r="AL33" s="32" t="str">
        <f>IF(Q33=""," ",Q33*Inputs!$B$39)</f>
        <v xml:space="preserve"> </v>
      </c>
      <c r="AM33" s="32" t="str">
        <f>IF(R33=""," ",R33*Inputs!$B$39)</f>
        <v xml:space="preserve"> </v>
      </c>
      <c r="AN33" s="32" t="str">
        <f>IF(S33=""," ",S33*Inputs!$B$39)</f>
        <v xml:space="preserve"> </v>
      </c>
      <c r="AO33" s="32" t="str">
        <f>IF(T33=""," ",T33*Inputs!$B$39)</f>
        <v xml:space="preserve"> </v>
      </c>
      <c r="AP33" s="32" t="str">
        <f>IF(U33=""," ",U33*Inputs!$B$39)</f>
        <v xml:space="preserve"> </v>
      </c>
      <c r="AQ33" s="32" t="str">
        <f>IF(V33=""," ",V33*Inputs!$B$39)</f>
        <v xml:space="preserve"> </v>
      </c>
      <c r="AS33" s="589"/>
      <c r="AT33" s="589"/>
      <c r="AU33" s="33"/>
      <c r="AV33" s="27" t="s">
        <v>500</v>
      </c>
      <c r="AW33" s="32" t="str">
        <f>IF(AB33=" "," ",AB33*Inputs!$B$53)</f>
        <v xml:space="preserve"> </v>
      </c>
      <c r="AX33" s="32" t="str">
        <f>IF(AC33=" "," ",AC33*Inputs!$B$53)</f>
        <v xml:space="preserve"> </v>
      </c>
      <c r="AY33" s="32" t="str">
        <f>IF(AD33=" "," ",AD33*Inputs!$B$53)</f>
        <v xml:space="preserve"> </v>
      </c>
      <c r="AZ33" s="32" t="str">
        <f>IF(AE33=" "," ",AE33*Inputs!$B$53)</f>
        <v xml:space="preserve"> </v>
      </c>
      <c r="BA33" s="32" t="str">
        <f>IF(AF33=" "," ",AF33*Inputs!$B$53)</f>
        <v xml:space="preserve"> </v>
      </c>
      <c r="BB33" s="32" t="str">
        <f>IF(AG33=" "," ",AG33*Inputs!$B$53)</f>
        <v xml:space="preserve"> </v>
      </c>
      <c r="BC33" s="32" t="str">
        <f>IF(AH33=" "," ",AH33*Inputs!$B$53)</f>
        <v xml:space="preserve"> </v>
      </c>
      <c r="BD33" s="32" t="str">
        <f>IF(AI33=" "," ",AI33*Inputs!$B$53)</f>
        <v xml:space="preserve"> </v>
      </c>
      <c r="BE33" s="32" t="str">
        <f>IF(AJ33=" "," ",AJ33*Inputs!$B$53)</f>
        <v xml:space="preserve"> </v>
      </c>
      <c r="BF33" s="32" t="str">
        <f>IF(AK33=" "," ",AK33*Inputs!$B$53)</f>
        <v xml:space="preserve"> </v>
      </c>
      <c r="BG33" s="32" t="str">
        <f>IF(AL33=" "," ",AL33*Inputs!$B$53)</f>
        <v xml:space="preserve"> </v>
      </c>
      <c r="BH33" s="32" t="str">
        <f>IF(AM33=" "," ",AM33*Inputs!$B$53)</f>
        <v xml:space="preserve"> </v>
      </c>
      <c r="BI33" s="32" t="str">
        <f>IF(AN33=" "," ",AN33*Inputs!$B$53)</f>
        <v xml:space="preserve"> </v>
      </c>
      <c r="BJ33" s="32" t="str">
        <f>IF(AO33=" "," ",AO33*Inputs!$B$53)</f>
        <v xml:space="preserve"> </v>
      </c>
      <c r="BK33" s="32" t="str">
        <f>IF(AP33=" "," ",AP33*Inputs!$B$53)</f>
        <v xml:space="preserve"> </v>
      </c>
      <c r="BL33" s="32" t="str">
        <f>IF(AQ33=" "," ",AQ33*Inputs!$B$53)</f>
        <v xml:space="preserve"> </v>
      </c>
    </row>
    <row r="34" spans="3:64" x14ac:dyDescent="0.25">
      <c r="C34" s="591"/>
      <c r="D34" s="589"/>
      <c r="E34" s="591"/>
      <c r="F34" s="149"/>
      <c r="G34" s="153"/>
      <c r="H34" s="153"/>
      <c r="I34" s="153"/>
      <c r="J34" s="153"/>
      <c r="K34" s="153"/>
      <c r="L34" s="153"/>
      <c r="M34" s="153"/>
      <c r="N34" s="153"/>
      <c r="O34" s="153"/>
      <c r="P34" s="153"/>
      <c r="Q34" s="153"/>
      <c r="R34" s="153"/>
      <c r="S34" s="153"/>
      <c r="T34" s="153"/>
      <c r="U34" s="153"/>
      <c r="V34" s="153"/>
      <c r="X34" s="591"/>
      <c r="Y34" s="589"/>
      <c r="Z34" s="6"/>
      <c r="AA34" s="29" t="s">
        <v>501</v>
      </c>
      <c r="AB34" s="32" t="str">
        <f>IF(G34=""," ",G34*Inputs!$B$39)</f>
        <v xml:space="preserve"> </v>
      </c>
      <c r="AC34" s="32" t="str">
        <f>IF(H34=""," ",H34*Inputs!$B$39)</f>
        <v xml:space="preserve"> </v>
      </c>
      <c r="AD34" s="32" t="str">
        <f>IF(I34=""," ",I34*Inputs!$B$39)</f>
        <v xml:space="preserve"> </v>
      </c>
      <c r="AE34" s="32" t="str">
        <f>IF(J34=""," ",J34*Inputs!$B$39)</f>
        <v xml:space="preserve"> </v>
      </c>
      <c r="AF34" s="32" t="str">
        <f>IF(K34=""," ",K34*Inputs!$B$39)</f>
        <v xml:space="preserve"> </v>
      </c>
      <c r="AG34" s="32" t="str">
        <f>IF(L34=""," ",L34*Inputs!$B$39)</f>
        <v xml:space="preserve"> </v>
      </c>
      <c r="AH34" s="32" t="str">
        <f>IF(M34=""," ",M34*Inputs!$B$39)</f>
        <v xml:space="preserve"> </v>
      </c>
      <c r="AI34" s="32" t="str">
        <f>IF(N34=""," ",N34*Inputs!$B$39)</f>
        <v xml:space="preserve"> </v>
      </c>
      <c r="AJ34" s="32" t="str">
        <f>IF(O34=""," ",O34*Inputs!$B$39)</f>
        <v xml:space="preserve"> </v>
      </c>
      <c r="AK34" s="32" t="str">
        <f>IF(P34=""," ",P34*Inputs!$B$39)</f>
        <v xml:space="preserve"> </v>
      </c>
      <c r="AL34" s="32" t="str">
        <f>IF(Q34=""," ",Q34*Inputs!$B$39)</f>
        <v xml:space="preserve"> </v>
      </c>
      <c r="AM34" s="32" t="str">
        <f>IF(R34=""," ",R34*Inputs!$B$39)</f>
        <v xml:space="preserve"> </v>
      </c>
      <c r="AN34" s="32" t="str">
        <f>IF(S34=""," ",S34*Inputs!$B$39)</f>
        <v xml:space="preserve"> </v>
      </c>
      <c r="AO34" s="32" t="str">
        <f>IF(T34=""," ",T34*Inputs!$B$39)</f>
        <v xml:space="preserve"> </v>
      </c>
      <c r="AP34" s="32" t="str">
        <f>IF(U34=""," ",U34*Inputs!$B$39)</f>
        <v xml:space="preserve"> </v>
      </c>
      <c r="AQ34" s="32" t="str">
        <f>IF(V34=""," ",V34*Inputs!$B$39)</f>
        <v xml:space="preserve"> </v>
      </c>
      <c r="AS34" s="591"/>
      <c r="AT34" s="589"/>
      <c r="AU34" s="6"/>
      <c r="AV34" s="29" t="s">
        <v>501</v>
      </c>
      <c r="AW34" s="32" t="str">
        <f>IF(AB34=" "," ",AB34*Inputs!$B$53)</f>
        <v xml:space="preserve"> </v>
      </c>
      <c r="AX34" s="32" t="str">
        <f>IF(AC34=" "," ",AC34*Inputs!$B$53)</f>
        <v xml:space="preserve"> </v>
      </c>
      <c r="AY34" s="32" t="str">
        <f>IF(AD34=" "," ",AD34*Inputs!$B$53)</f>
        <v xml:space="preserve"> </v>
      </c>
      <c r="AZ34" s="32" t="str">
        <f>IF(AE34=" "," ",AE34*Inputs!$B$53)</f>
        <v xml:space="preserve"> </v>
      </c>
      <c r="BA34" s="32" t="str">
        <f>IF(AF34=" "," ",AF34*Inputs!$B$53)</f>
        <v xml:space="preserve"> </v>
      </c>
      <c r="BB34" s="32" t="str">
        <f>IF(AG34=" "," ",AG34*Inputs!$B$53)</f>
        <v xml:space="preserve"> </v>
      </c>
      <c r="BC34" s="32" t="str">
        <f>IF(AH34=" "," ",AH34*Inputs!$B$53)</f>
        <v xml:space="preserve"> </v>
      </c>
      <c r="BD34" s="32" t="str">
        <f>IF(AI34=" "," ",AI34*Inputs!$B$53)</f>
        <v xml:space="preserve"> </v>
      </c>
      <c r="BE34" s="32" t="str">
        <f>IF(AJ34=" "," ",AJ34*Inputs!$B$53)</f>
        <v xml:space="preserve"> </v>
      </c>
      <c r="BF34" s="32" t="str">
        <f>IF(AK34=" "," ",AK34*Inputs!$B$53)</f>
        <v xml:space="preserve"> </v>
      </c>
      <c r="BG34" s="32" t="str">
        <f>IF(AL34=" "," ",AL34*Inputs!$B$53)</f>
        <v xml:space="preserve"> </v>
      </c>
      <c r="BH34" s="32" t="str">
        <f>IF(AM34=" "," ",AM34*Inputs!$B$53)</f>
        <v xml:space="preserve"> </v>
      </c>
      <c r="BI34" s="32" t="str">
        <f>IF(AN34=" "," ",AN34*Inputs!$B$53)</f>
        <v xml:space="preserve"> </v>
      </c>
      <c r="BJ34" s="32" t="str">
        <f>IF(AO34=" "," ",AO34*Inputs!$B$53)</f>
        <v xml:space="preserve"> </v>
      </c>
      <c r="BK34" s="32" t="str">
        <f>IF(AP34=" "," ",AP34*Inputs!$B$53)</f>
        <v xml:space="preserve"> </v>
      </c>
      <c r="BL34" s="32" t="str">
        <f>IF(AQ34=" "," ",AQ34*Inputs!$B$53)</f>
        <v xml:space="preserve"> </v>
      </c>
    </row>
    <row r="35" spans="3:64" x14ac:dyDescent="0.25">
      <c r="C35" s="593"/>
      <c r="D35" s="589"/>
      <c r="E35" s="595"/>
      <c r="F35" s="21"/>
      <c r="G35" s="152"/>
      <c r="H35" s="152"/>
      <c r="I35" s="152"/>
      <c r="J35" s="152"/>
      <c r="K35" s="152"/>
      <c r="L35" s="152"/>
      <c r="M35" s="152"/>
      <c r="N35" s="152"/>
      <c r="O35" s="152"/>
      <c r="P35" s="152"/>
      <c r="Q35" s="152"/>
      <c r="R35" s="152"/>
      <c r="S35" s="152"/>
      <c r="T35" s="152"/>
      <c r="U35" s="152"/>
      <c r="V35" s="152"/>
      <c r="X35" s="593"/>
      <c r="Y35" s="589"/>
      <c r="Z35" s="32">
        <v>4.0560123303715827E-2</v>
      </c>
      <c r="AA35" s="24" t="s">
        <v>498</v>
      </c>
      <c r="AB35" s="32" t="str">
        <f>IF(G35=""," ",G35*Inputs!$B$39)</f>
        <v xml:space="preserve"> </v>
      </c>
      <c r="AC35" s="32" t="str">
        <f>IF(H35=""," ",H35*Inputs!$B$39)</f>
        <v xml:space="preserve"> </v>
      </c>
      <c r="AD35" s="32" t="str">
        <f>IF(I35=""," ",I35*Inputs!$B$39)</f>
        <v xml:space="preserve"> </v>
      </c>
      <c r="AE35" s="32" t="str">
        <f>IF(J35=""," ",J35*Inputs!$B$39)</f>
        <v xml:space="preserve"> </v>
      </c>
      <c r="AF35" s="32" t="str">
        <f>IF(K35=""," ",K35*Inputs!$B$39)</f>
        <v xml:space="preserve"> </v>
      </c>
      <c r="AG35" s="32" t="str">
        <f>IF(L35=""," ",L35*Inputs!$B$39)</f>
        <v xml:space="preserve"> </v>
      </c>
      <c r="AH35" s="32" t="str">
        <f>IF(M35=""," ",M35*Inputs!$B$39)</f>
        <v xml:space="preserve"> </v>
      </c>
      <c r="AI35" s="32" t="str">
        <f>IF(N35=""," ",N35*Inputs!$B$39)</f>
        <v xml:space="preserve"> </v>
      </c>
      <c r="AJ35" s="32" t="str">
        <f>IF(O35=""," ",O35*Inputs!$B$39)</f>
        <v xml:space="preserve"> </v>
      </c>
      <c r="AK35" s="32" t="str">
        <f>IF(P35=""," ",P35*Inputs!$B$39)</f>
        <v xml:space="preserve"> </v>
      </c>
      <c r="AL35" s="32" t="str">
        <f>IF(Q35=""," ",Q35*Inputs!$B$39)</f>
        <v xml:space="preserve"> </v>
      </c>
      <c r="AM35" s="32" t="str">
        <f>IF(R35=""," ",R35*Inputs!$B$39)</f>
        <v xml:space="preserve"> </v>
      </c>
      <c r="AN35" s="32" t="str">
        <f>IF(S35=""," ",S35*Inputs!$B$39)</f>
        <v xml:space="preserve"> </v>
      </c>
      <c r="AO35" s="32" t="str">
        <f>IF(T35=""," ",T35*Inputs!$B$39)</f>
        <v xml:space="preserve"> </v>
      </c>
      <c r="AP35" s="32" t="str">
        <f>IF(U35=""," ",U35*Inputs!$B$39)</f>
        <v xml:space="preserve"> </v>
      </c>
      <c r="AQ35" s="32" t="str">
        <f>IF(V35=""," ",V35*Inputs!$B$39)</f>
        <v xml:space="preserve"> </v>
      </c>
      <c r="AS35" s="593"/>
      <c r="AT35" s="589"/>
      <c r="AU35" s="32">
        <v>4.0560123303715827E-2</v>
      </c>
      <c r="AV35" s="24" t="s">
        <v>498</v>
      </c>
      <c r="AW35" s="32" t="str">
        <f>IF(AB35=" "," ",AB35*Inputs!$B$53)</f>
        <v xml:space="preserve"> </v>
      </c>
      <c r="AX35" s="32" t="str">
        <f>IF(AC35=" "," ",AC35*Inputs!$B$53)</f>
        <v xml:space="preserve"> </v>
      </c>
      <c r="AY35" s="32" t="str">
        <f>IF(AD35=" "," ",AD35*Inputs!$B$53)</f>
        <v xml:space="preserve"> </v>
      </c>
      <c r="AZ35" s="32" t="str">
        <f>IF(AE35=" "," ",AE35*Inputs!$B$53)</f>
        <v xml:space="preserve"> </v>
      </c>
      <c r="BA35" s="32" t="str">
        <f>IF(AF35=" "," ",AF35*Inputs!$B$53)</f>
        <v xml:space="preserve"> </v>
      </c>
      <c r="BB35" s="32" t="str">
        <f>IF(AG35=" "," ",AG35*Inputs!$B$53)</f>
        <v xml:space="preserve"> </v>
      </c>
      <c r="BC35" s="32" t="str">
        <f>IF(AH35=" "," ",AH35*Inputs!$B$53)</f>
        <v xml:space="preserve"> </v>
      </c>
      <c r="BD35" s="32" t="str">
        <f>IF(AI35=" "," ",AI35*Inputs!$B$53)</f>
        <v xml:space="preserve"> </v>
      </c>
      <c r="BE35" s="32" t="str">
        <f>IF(AJ35=" "," ",AJ35*Inputs!$B$53)</f>
        <v xml:space="preserve"> </v>
      </c>
      <c r="BF35" s="32" t="str">
        <f>IF(AK35=" "," ",AK35*Inputs!$B$53)</f>
        <v xml:space="preserve"> </v>
      </c>
      <c r="BG35" s="32" t="str">
        <f>IF(AL35=" "," ",AL35*Inputs!$B$53)</f>
        <v xml:space="preserve"> </v>
      </c>
      <c r="BH35" s="32" t="str">
        <f>IF(AM35=" "," ",AM35*Inputs!$B$53)</f>
        <v xml:space="preserve"> </v>
      </c>
      <c r="BI35" s="32" t="str">
        <f>IF(AN35=" "," ",AN35*Inputs!$B$53)</f>
        <v xml:space="preserve"> </v>
      </c>
      <c r="BJ35" s="32" t="str">
        <f>IF(AO35=" "," ",AO35*Inputs!$B$53)</f>
        <v xml:space="preserve"> </v>
      </c>
      <c r="BK35" s="32" t="str">
        <f>IF(AP35=" "," ",AP35*Inputs!$B$53)</f>
        <v xml:space="preserve"> </v>
      </c>
      <c r="BL35" s="32" t="str">
        <f>IF(AQ35=" "," ",AQ35*Inputs!$B$53)</f>
        <v xml:space="preserve"> </v>
      </c>
    </row>
    <row r="36" spans="3:64" x14ac:dyDescent="0.25">
      <c r="C36" s="589"/>
      <c r="D36" s="589"/>
      <c r="E36" s="589"/>
      <c r="F36" s="21"/>
      <c r="G36" s="152"/>
      <c r="H36" s="152"/>
      <c r="I36" s="152"/>
      <c r="J36" s="152"/>
      <c r="K36" s="152"/>
      <c r="L36" s="152"/>
      <c r="M36" s="152"/>
      <c r="N36" s="152"/>
      <c r="O36" s="152"/>
      <c r="P36" s="152"/>
      <c r="Q36" s="152"/>
      <c r="R36" s="152"/>
      <c r="S36" s="152"/>
      <c r="T36" s="152"/>
      <c r="U36" s="152"/>
      <c r="V36" s="152"/>
      <c r="X36" s="589"/>
      <c r="Y36" s="589"/>
      <c r="Z36" s="33"/>
      <c r="AA36" s="27" t="s">
        <v>499</v>
      </c>
      <c r="AB36" s="32" t="str">
        <f>IF(G36=""," ",G36*Inputs!$B$39)</f>
        <v xml:space="preserve"> </v>
      </c>
      <c r="AC36" s="32" t="str">
        <f>IF(H36=""," ",H36*Inputs!$B$39)</f>
        <v xml:space="preserve"> </v>
      </c>
      <c r="AD36" s="32" t="str">
        <f>IF(I36=""," ",I36*Inputs!$B$39)</f>
        <v xml:space="preserve"> </v>
      </c>
      <c r="AE36" s="32" t="str">
        <f>IF(J36=""," ",J36*Inputs!$B$39)</f>
        <v xml:space="preserve"> </v>
      </c>
      <c r="AF36" s="32" t="str">
        <f>IF(K36=""," ",K36*Inputs!$B$39)</f>
        <v xml:space="preserve"> </v>
      </c>
      <c r="AG36" s="32" t="str">
        <f>IF(L36=""," ",L36*Inputs!$B$39)</f>
        <v xml:space="preserve"> </v>
      </c>
      <c r="AH36" s="32" t="str">
        <f>IF(M36=""," ",M36*Inputs!$B$39)</f>
        <v xml:space="preserve"> </v>
      </c>
      <c r="AI36" s="32" t="str">
        <f>IF(N36=""," ",N36*Inputs!$B$39)</f>
        <v xml:space="preserve"> </v>
      </c>
      <c r="AJ36" s="32" t="str">
        <f>IF(O36=""," ",O36*Inputs!$B$39)</f>
        <v xml:space="preserve"> </v>
      </c>
      <c r="AK36" s="32" t="str">
        <f>IF(P36=""," ",P36*Inputs!$B$39)</f>
        <v xml:space="preserve"> </v>
      </c>
      <c r="AL36" s="32" t="str">
        <f>IF(Q36=""," ",Q36*Inputs!$B$39)</f>
        <v xml:space="preserve"> </v>
      </c>
      <c r="AM36" s="32" t="str">
        <f>IF(R36=""," ",R36*Inputs!$B$39)</f>
        <v xml:space="preserve"> </v>
      </c>
      <c r="AN36" s="32" t="str">
        <f>IF(S36=""," ",S36*Inputs!$B$39)</f>
        <v xml:space="preserve"> </v>
      </c>
      <c r="AO36" s="32" t="str">
        <f>IF(T36=""," ",T36*Inputs!$B$39)</f>
        <v xml:space="preserve"> </v>
      </c>
      <c r="AP36" s="32" t="str">
        <f>IF(U36=""," ",U36*Inputs!$B$39)</f>
        <v xml:space="preserve"> </v>
      </c>
      <c r="AQ36" s="32" t="str">
        <f>IF(V36=""," ",V36*Inputs!$B$39)</f>
        <v xml:space="preserve"> </v>
      </c>
      <c r="AS36" s="589"/>
      <c r="AT36" s="589"/>
      <c r="AU36" s="33"/>
      <c r="AV36" s="27" t="s">
        <v>499</v>
      </c>
      <c r="AW36" s="32" t="str">
        <f>IF(AB36=" "," ",AB36*Inputs!$B$53)</f>
        <v xml:space="preserve"> </v>
      </c>
      <c r="AX36" s="32" t="str">
        <f>IF(AC36=" "," ",AC36*Inputs!$B$53)</f>
        <v xml:space="preserve"> </v>
      </c>
      <c r="AY36" s="32" t="str">
        <f>IF(AD36=" "," ",AD36*Inputs!$B$53)</f>
        <v xml:space="preserve"> </v>
      </c>
      <c r="AZ36" s="32" t="str">
        <f>IF(AE36=" "," ",AE36*Inputs!$B$53)</f>
        <v xml:space="preserve"> </v>
      </c>
      <c r="BA36" s="32" t="str">
        <f>IF(AF36=" "," ",AF36*Inputs!$B$53)</f>
        <v xml:space="preserve"> </v>
      </c>
      <c r="BB36" s="32" t="str">
        <f>IF(AG36=" "," ",AG36*Inputs!$B$53)</f>
        <v xml:space="preserve"> </v>
      </c>
      <c r="BC36" s="32" t="str">
        <f>IF(AH36=" "," ",AH36*Inputs!$B$53)</f>
        <v xml:space="preserve"> </v>
      </c>
      <c r="BD36" s="32" t="str">
        <f>IF(AI36=" "," ",AI36*Inputs!$B$53)</f>
        <v xml:space="preserve"> </v>
      </c>
      <c r="BE36" s="32" t="str">
        <f>IF(AJ36=" "," ",AJ36*Inputs!$B$53)</f>
        <v xml:space="preserve"> </v>
      </c>
      <c r="BF36" s="32" t="str">
        <f>IF(AK36=" "," ",AK36*Inputs!$B$53)</f>
        <v xml:space="preserve"> </v>
      </c>
      <c r="BG36" s="32" t="str">
        <f>IF(AL36=" "," ",AL36*Inputs!$B$53)</f>
        <v xml:space="preserve"> </v>
      </c>
      <c r="BH36" s="32" t="str">
        <f>IF(AM36=" "," ",AM36*Inputs!$B$53)</f>
        <v xml:space="preserve"> </v>
      </c>
      <c r="BI36" s="32" t="str">
        <f>IF(AN36=" "," ",AN36*Inputs!$B$53)</f>
        <v xml:space="preserve"> </v>
      </c>
      <c r="BJ36" s="32" t="str">
        <f>IF(AO36=" "," ",AO36*Inputs!$B$53)</f>
        <v xml:space="preserve"> </v>
      </c>
      <c r="BK36" s="32" t="str">
        <f>IF(AP36=" "," ",AP36*Inputs!$B$53)</f>
        <v xml:space="preserve"> </v>
      </c>
      <c r="BL36" s="32" t="str">
        <f>IF(AQ36=" "," ",AQ36*Inputs!$B$53)</f>
        <v xml:space="preserve"> </v>
      </c>
    </row>
    <row r="37" spans="3:64" x14ac:dyDescent="0.25">
      <c r="C37" s="589"/>
      <c r="D37" s="589"/>
      <c r="E37" s="589"/>
      <c r="F37" s="21"/>
      <c r="G37" s="152"/>
      <c r="H37" s="152"/>
      <c r="I37" s="152"/>
      <c r="J37" s="152"/>
      <c r="K37" s="152"/>
      <c r="L37" s="152"/>
      <c r="M37" s="152"/>
      <c r="N37" s="152"/>
      <c r="O37" s="152"/>
      <c r="P37" s="152"/>
      <c r="Q37" s="152"/>
      <c r="R37" s="152"/>
      <c r="S37" s="152"/>
      <c r="T37" s="152"/>
      <c r="U37" s="152"/>
      <c r="V37" s="152"/>
      <c r="X37" s="589"/>
      <c r="Y37" s="589"/>
      <c r="Z37" s="33"/>
      <c r="AA37" s="27" t="s">
        <v>500</v>
      </c>
      <c r="AB37" s="32" t="str">
        <f>IF(G37=""," ",G37*Inputs!$B$39)</f>
        <v xml:space="preserve"> </v>
      </c>
      <c r="AC37" s="32" t="str">
        <f>IF(H37=""," ",H37*Inputs!$B$39)</f>
        <v xml:space="preserve"> </v>
      </c>
      <c r="AD37" s="32" t="str">
        <f>IF(I37=""," ",I37*Inputs!$B$39)</f>
        <v xml:space="preserve"> </v>
      </c>
      <c r="AE37" s="32" t="str">
        <f>IF(J37=""," ",J37*Inputs!$B$39)</f>
        <v xml:space="preserve"> </v>
      </c>
      <c r="AF37" s="32" t="str">
        <f>IF(K37=""," ",K37*Inputs!$B$39)</f>
        <v xml:space="preserve"> </v>
      </c>
      <c r="AG37" s="32" t="str">
        <f>IF(L37=""," ",L37*Inputs!$B$39)</f>
        <v xml:space="preserve"> </v>
      </c>
      <c r="AH37" s="32" t="str">
        <f>IF(M37=""," ",M37*Inputs!$B$39)</f>
        <v xml:space="preserve"> </v>
      </c>
      <c r="AI37" s="32" t="str">
        <f>IF(N37=""," ",N37*Inputs!$B$39)</f>
        <v xml:space="preserve"> </v>
      </c>
      <c r="AJ37" s="32" t="str">
        <f>IF(O37=""," ",O37*Inputs!$B$39)</f>
        <v xml:space="preserve"> </v>
      </c>
      <c r="AK37" s="32" t="str">
        <f>IF(P37=""," ",P37*Inputs!$B$39)</f>
        <v xml:space="preserve"> </v>
      </c>
      <c r="AL37" s="32" t="str">
        <f>IF(Q37=""," ",Q37*Inputs!$B$39)</f>
        <v xml:space="preserve"> </v>
      </c>
      <c r="AM37" s="32" t="str">
        <f>IF(R37=""," ",R37*Inputs!$B$39)</f>
        <v xml:space="preserve"> </v>
      </c>
      <c r="AN37" s="32" t="str">
        <f>IF(S37=""," ",S37*Inputs!$B$39)</f>
        <v xml:space="preserve"> </v>
      </c>
      <c r="AO37" s="32" t="str">
        <f>IF(T37=""," ",T37*Inputs!$B$39)</f>
        <v xml:space="preserve"> </v>
      </c>
      <c r="AP37" s="32" t="str">
        <f>IF(U37=""," ",U37*Inputs!$B$39)</f>
        <v xml:space="preserve"> </v>
      </c>
      <c r="AQ37" s="32" t="str">
        <f>IF(V37=""," ",V37*Inputs!$B$39)</f>
        <v xml:space="preserve"> </v>
      </c>
      <c r="AS37" s="589"/>
      <c r="AT37" s="589"/>
      <c r="AU37" s="33"/>
      <c r="AV37" s="27" t="s">
        <v>500</v>
      </c>
      <c r="AW37" s="32" t="str">
        <f>IF(AB37=" "," ",AB37*Inputs!$B$53)</f>
        <v xml:space="preserve"> </v>
      </c>
      <c r="AX37" s="32" t="str">
        <f>IF(AC37=" "," ",AC37*Inputs!$B$53)</f>
        <v xml:space="preserve"> </v>
      </c>
      <c r="AY37" s="32" t="str">
        <f>IF(AD37=" "," ",AD37*Inputs!$B$53)</f>
        <v xml:space="preserve"> </v>
      </c>
      <c r="AZ37" s="32" t="str">
        <f>IF(AE37=" "," ",AE37*Inputs!$B$53)</f>
        <v xml:space="preserve"> </v>
      </c>
      <c r="BA37" s="32" t="str">
        <f>IF(AF37=" "," ",AF37*Inputs!$B$53)</f>
        <v xml:space="preserve"> </v>
      </c>
      <c r="BB37" s="32" t="str">
        <f>IF(AG37=" "," ",AG37*Inputs!$B$53)</f>
        <v xml:space="preserve"> </v>
      </c>
      <c r="BC37" s="32" t="str">
        <f>IF(AH37=" "," ",AH37*Inputs!$B$53)</f>
        <v xml:space="preserve"> </v>
      </c>
      <c r="BD37" s="32" t="str">
        <f>IF(AI37=" "," ",AI37*Inputs!$B$53)</f>
        <v xml:space="preserve"> </v>
      </c>
      <c r="BE37" s="32" t="str">
        <f>IF(AJ37=" "," ",AJ37*Inputs!$B$53)</f>
        <v xml:space="preserve"> </v>
      </c>
      <c r="BF37" s="32" t="str">
        <f>IF(AK37=" "," ",AK37*Inputs!$B$53)</f>
        <v xml:space="preserve"> </v>
      </c>
      <c r="BG37" s="32" t="str">
        <f>IF(AL37=" "," ",AL37*Inputs!$B$53)</f>
        <v xml:space="preserve"> </v>
      </c>
      <c r="BH37" s="32" t="str">
        <f>IF(AM37=" "," ",AM37*Inputs!$B$53)</f>
        <v xml:space="preserve"> </v>
      </c>
      <c r="BI37" s="32" t="str">
        <f>IF(AN37=" "," ",AN37*Inputs!$B$53)</f>
        <v xml:space="preserve"> </v>
      </c>
      <c r="BJ37" s="32" t="str">
        <f>IF(AO37=" "," ",AO37*Inputs!$B$53)</f>
        <v xml:space="preserve"> </v>
      </c>
      <c r="BK37" s="32" t="str">
        <f>IF(AP37=" "," ",AP37*Inputs!$B$53)</f>
        <v xml:space="preserve"> </v>
      </c>
      <c r="BL37" s="32" t="str">
        <f>IF(AQ37=" "," ",AQ37*Inputs!$B$53)</f>
        <v xml:space="preserve"> </v>
      </c>
    </row>
    <row r="38" spans="3:64" x14ac:dyDescent="0.25">
      <c r="C38" s="591"/>
      <c r="D38" s="591"/>
      <c r="E38" s="591"/>
      <c r="F38" s="149"/>
      <c r="G38" s="153"/>
      <c r="H38" s="153"/>
      <c r="I38" s="153"/>
      <c r="J38" s="153"/>
      <c r="K38" s="153"/>
      <c r="L38" s="153"/>
      <c r="M38" s="153"/>
      <c r="N38" s="153"/>
      <c r="O38" s="153"/>
      <c r="P38" s="153"/>
      <c r="Q38" s="153"/>
      <c r="R38" s="153"/>
      <c r="S38" s="153"/>
      <c r="T38" s="153"/>
      <c r="U38" s="153"/>
      <c r="V38" s="153"/>
      <c r="X38" s="591"/>
      <c r="Y38" s="591"/>
      <c r="Z38" s="6"/>
      <c r="AA38" s="29" t="s">
        <v>501</v>
      </c>
      <c r="AB38" s="32" t="str">
        <f>IF(G38=""," ",G38*Inputs!$B$39)</f>
        <v xml:space="preserve"> </v>
      </c>
      <c r="AC38" s="32" t="str">
        <f>IF(H38=""," ",H38*Inputs!$B$39)</f>
        <v xml:space="preserve"> </v>
      </c>
      <c r="AD38" s="32" t="str">
        <f>IF(I38=""," ",I38*Inputs!$B$39)</f>
        <v xml:space="preserve"> </v>
      </c>
      <c r="AE38" s="32" t="str">
        <f>IF(J38=""," ",J38*Inputs!$B$39)</f>
        <v xml:space="preserve"> </v>
      </c>
      <c r="AF38" s="32" t="str">
        <f>IF(K38=""," ",K38*Inputs!$B$39)</f>
        <v xml:space="preserve"> </v>
      </c>
      <c r="AG38" s="32" t="str">
        <f>IF(L38=""," ",L38*Inputs!$B$39)</f>
        <v xml:space="preserve"> </v>
      </c>
      <c r="AH38" s="32" t="str">
        <f>IF(M38=""," ",M38*Inputs!$B$39)</f>
        <v xml:space="preserve"> </v>
      </c>
      <c r="AI38" s="32" t="str">
        <f>IF(N38=""," ",N38*Inputs!$B$39)</f>
        <v xml:space="preserve"> </v>
      </c>
      <c r="AJ38" s="32" t="str">
        <f>IF(O38=""," ",O38*Inputs!$B$39)</f>
        <v xml:space="preserve"> </v>
      </c>
      <c r="AK38" s="32" t="str">
        <f>IF(P38=""," ",P38*Inputs!$B$39)</f>
        <v xml:space="preserve"> </v>
      </c>
      <c r="AL38" s="32" t="str">
        <f>IF(Q38=""," ",Q38*Inputs!$B$39)</f>
        <v xml:space="preserve"> </v>
      </c>
      <c r="AM38" s="32" t="str">
        <f>IF(R38=""," ",R38*Inputs!$B$39)</f>
        <v xml:space="preserve"> </v>
      </c>
      <c r="AN38" s="32" t="str">
        <f>IF(S38=""," ",S38*Inputs!$B$39)</f>
        <v xml:space="preserve"> </v>
      </c>
      <c r="AO38" s="32" t="str">
        <f>IF(T38=""," ",T38*Inputs!$B$39)</f>
        <v xml:space="preserve"> </v>
      </c>
      <c r="AP38" s="32" t="str">
        <f>IF(U38=""," ",U38*Inputs!$B$39)</f>
        <v xml:space="preserve"> </v>
      </c>
      <c r="AQ38" s="32" t="str">
        <f>IF(V38=""," ",V38*Inputs!$B$39)</f>
        <v xml:space="preserve"> </v>
      </c>
      <c r="AS38" s="591"/>
      <c r="AT38" s="591"/>
      <c r="AU38" s="6"/>
      <c r="AV38" s="29" t="s">
        <v>501</v>
      </c>
      <c r="AW38" s="32" t="str">
        <f>IF(AB38=" "," ",AB38*Inputs!$B$53)</f>
        <v xml:space="preserve"> </v>
      </c>
      <c r="AX38" s="32" t="str">
        <f>IF(AC38=" "," ",AC38*Inputs!$B$53)</f>
        <v xml:space="preserve"> </v>
      </c>
      <c r="AY38" s="32" t="str">
        <f>IF(AD38=" "," ",AD38*Inputs!$B$53)</f>
        <v xml:space="preserve"> </v>
      </c>
      <c r="AZ38" s="32" t="str">
        <f>IF(AE38=" "," ",AE38*Inputs!$B$53)</f>
        <v xml:space="preserve"> </v>
      </c>
      <c r="BA38" s="32" t="str">
        <f>IF(AF38=" "," ",AF38*Inputs!$B$53)</f>
        <v xml:space="preserve"> </v>
      </c>
      <c r="BB38" s="32" t="str">
        <f>IF(AG38=" "," ",AG38*Inputs!$B$53)</f>
        <v xml:space="preserve"> </v>
      </c>
      <c r="BC38" s="32" t="str">
        <f>IF(AH38=" "," ",AH38*Inputs!$B$53)</f>
        <v xml:space="preserve"> </v>
      </c>
      <c r="BD38" s="32" t="str">
        <f>IF(AI38=" "," ",AI38*Inputs!$B$53)</f>
        <v xml:space="preserve"> </v>
      </c>
      <c r="BE38" s="32" t="str">
        <f>IF(AJ38=" "," ",AJ38*Inputs!$B$53)</f>
        <v xml:space="preserve"> </v>
      </c>
      <c r="BF38" s="32" t="str">
        <f>IF(AK38=" "," ",AK38*Inputs!$B$53)</f>
        <v xml:space="preserve"> </v>
      </c>
      <c r="BG38" s="32" t="str">
        <f>IF(AL38=" "," ",AL38*Inputs!$B$53)</f>
        <v xml:space="preserve"> </v>
      </c>
      <c r="BH38" s="32" t="str">
        <f>IF(AM38=" "," ",AM38*Inputs!$B$53)</f>
        <v xml:space="preserve"> </v>
      </c>
      <c r="BI38" s="32" t="str">
        <f>IF(AN38=" "," ",AN38*Inputs!$B$53)</f>
        <v xml:space="preserve"> </v>
      </c>
      <c r="BJ38" s="32" t="str">
        <f>IF(AO38=" "," ",AO38*Inputs!$B$53)</f>
        <v xml:space="preserve"> </v>
      </c>
      <c r="BK38" s="32" t="str">
        <f>IF(AP38=" "," ",AP38*Inputs!$B$53)</f>
        <v xml:space="preserve"> </v>
      </c>
      <c r="BL38" s="32" t="str">
        <f>IF(AQ38=" "," ",AQ38*Inputs!$B$53)</f>
        <v xml:space="preserve"> </v>
      </c>
    </row>
    <row r="43" spans="3:64" hidden="1" x14ac:dyDescent="0.25">
      <c r="E43" s="586" t="s">
        <v>505</v>
      </c>
      <c r="F43" s="554"/>
      <c r="G43" s="586" t="s">
        <v>506</v>
      </c>
      <c r="H43" s="554"/>
      <c r="I43" s="586" t="s">
        <v>507</v>
      </c>
      <c r="J43" s="554"/>
      <c r="K43" s="586" t="s">
        <v>508</v>
      </c>
      <c r="L43" s="554"/>
      <c r="N43" s="587" t="s">
        <v>505</v>
      </c>
      <c r="O43" s="554"/>
      <c r="P43" s="587" t="s">
        <v>506</v>
      </c>
      <c r="Q43" s="554"/>
      <c r="R43" s="587" t="s">
        <v>507</v>
      </c>
      <c r="S43" s="554"/>
      <c r="T43" s="587" t="s">
        <v>508</v>
      </c>
      <c r="U43" s="554"/>
      <c r="V43" s="240"/>
    </row>
    <row r="44" spans="3:64" hidden="1" x14ac:dyDescent="0.25">
      <c r="E44" s="53" t="s">
        <v>509</v>
      </c>
      <c r="F44" s="53" t="s">
        <v>510</v>
      </c>
      <c r="G44" s="53" t="s">
        <v>509</v>
      </c>
      <c r="H44" s="53" t="s">
        <v>510</v>
      </c>
      <c r="I44" s="53" t="s">
        <v>509</v>
      </c>
      <c r="J44" s="53" t="s">
        <v>510</v>
      </c>
      <c r="K44" s="53" t="s">
        <v>509</v>
      </c>
      <c r="L44" s="53" t="s">
        <v>510</v>
      </c>
      <c r="N44" s="54" t="s">
        <v>509</v>
      </c>
      <c r="O44" s="54" t="s">
        <v>510</v>
      </c>
      <c r="P44" s="54" t="s">
        <v>509</v>
      </c>
      <c r="Q44" s="54" t="s">
        <v>510</v>
      </c>
      <c r="R44" s="54" t="s">
        <v>509</v>
      </c>
      <c r="S44" s="54" t="s">
        <v>510</v>
      </c>
      <c r="T44" s="54" t="s">
        <v>509</v>
      </c>
      <c r="U44" s="54" t="s">
        <v>510</v>
      </c>
      <c r="V44" s="240"/>
    </row>
    <row r="45" spans="3:64" hidden="1" x14ac:dyDescent="0.25">
      <c r="E45" s="55" t="str">
        <f>AB4</f>
        <v xml:space="preserve"> </v>
      </c>
      <c r="F45" s="55" t="str">
        <f>AB23</f>
        <v xml:space="preserve"> </v>
      </c>
      <c r="G45" s="55" t="str">
        <f>AB12</f>
        <v xml:space="preserve"> </v>
      </c>
      <c r="H45" s="55" t="str">
        <f>AB31</f>
        <v xml:space="preserve"> </v>
      </c>
      <c r="I45" s="55" t="str">
        <f>AW4</f>
        <v xml:space="preserve"> </v>
      </c>
      <c r="J45" s="55" t="str">
        <f>AW23</f>
        <v xml:space="preserve"> </v>
      </c>
      <c r="K45" s="55" t="str">
        <f>AW12</f>
        <v xml:space="preserve"> </v>
      </c>
      <c r="L45" s="55" t="str">
        <f>AW31</f>
        <v xml:space="preserve"> </v>
      </c>
      <c r="N45" s="55" t="str">
        <f>AB8</f>
        <v xml:space="preserve"> </v>
      </c>
      <c r="O45" s="55" t="str">
        <f>AB27</f>
        <v xml:space="preserve"> </v>
      </c>
      <c r="P45" s="55" t="str">
        <f>AB16</f>
        <v xml:space="preserve"> </v>
      </c>
      <c r="Q45" s="55" t="str">
        <f>AB35</f>
        <v xml:space="preserve"> </v>
      </c>
      <c r="R45" s="55" t="str">
        <f>AW8</f>
        <v xml:space="preserve"> </v>
      </c>
      <c r="S45" s="55" t="str">
        <f>AW27</f>
        <v xml:space="preserve"> </v>
      </c>
      <c r="T45" s="55" t="str">
        <f>AW16</f>
        <v xml:space="preserve"> </v>
      </c>
      <c r="U45" s="55" t="str">
        <f>AW35</f>
        <v xml:space="preserve"> </v>
      </c>
      <c r="V45" s="55"/>
    </row>
    <row r="46" spans="3:64" hidden="1" x14ac:dyDescent="0.25">
      <c r="E46" s="55" t="str">
        <f>AB5</f>
        <v xml:space="preserve"> </v>
      </c>
      <c r="F46" s="55" t="str">
        <f>AB24</f>
        <v xml:space="preserve"> </v>
      </c>
      <c r="G46" s="55" t="str">
        <f>AB13</f>
        <v xml:space="preserve"> </v>
      </c>
      <c r="H46" s="55" t="str">
        <f>AB32</f>
        <v xml:space="preserve"> </v>
      </c>
      <c r="I46" s="55" t="str">
        <f>AW5</f>
        <v xml:space="preserve"> </v>
      </c>
      <c r="J46" s="55" t="str">
        <f>AW24</f>
        <v xml:space="preserve"> </v>
      </c>
      <c r="K46" s="55" t="str">
        <f>AW13</f>
        <v xml:space="preserve"> </v>
      </c>
      <c r="L46" s="55" t="str">
        <f>AW32</f>
        <v xml:space="preserve"> </v>
      </c>
      <c r="N46" s="55" t="str">
        <f>AB9</f>
        <v xml:space="preserve"> </v>
      </c>
      <c r="O46" s="55" t="str">
        <f>AB28</f>
        <v xml:space="preserve"> </v>
      </c>
      <c r="P46" s="55" t="str">
        <f>AB17</f>
        <v xml:space="preserve"> </v>
      </c>
      <c r="Q46" s="55" t="str">
        <f>AB36</f>
        <v xml:space="preserve"> </v>
      </c>
      <c r="R46" s="55" t="str">
        <f>AW9</f>
        <v xml:space="preserve"> </v>
      </c>
      <c r="S46" s="55" t="str">
        <f>AW28</f>
        <v xml:space="preserve"> </v>
      </c>
      <c r="T46" s="55" t="str">
        <f>AW17</f>
        <v xml:space="preserve"> </v>
      </c>
      <c r="U46" s="55" t="str">
        <f>AW36</f>
        <v xml:space="preserve"> </v>
      </c>
      <c r="V46" s="55"/>
    </row>
    <row r="47" spans="3:64" hidden="1" x14ac:dyDescent="0.25">
      <c r="E47" s="55" t="str">
        <f>AB6</f>
        <v xml:space="preserve"> </v>
      </c>
      <c r="F47" s="55" t="str">
        <f>AB25</f>
        <v xml:space="preserve"> </v>
      </c>
      <c r="G47" s="55" t="str">
        <f>AB14</f>
        <v xml:space="preserve"> </v>
      </c>
      <c r="H47" s="55" t="str">
        <f>AB33</f>
        <v xml:space="preserve"> </v>
      </c>
      <c r="I47" s="55" t="str">
        <f>AW6</f>
        <v xml:space="preserve"> </v>
      </c>
      <c r="J47" s="55" t="str">
        <f>AW25</f>
        <v xml:space="preserve"> </v>
      </c>
      <c r="K47" s="55" t="str">
        <f>AW14</f>
        <v xml:space="preserve"> </v>
      </c>
      <c r="L47" s="55" t="str">
        <f>AW33</f>
        <v xml:space="preserve"> </v>
      </c>
      <c r="N47" s="55" t="str">
        <f>AB10</f>
        <v xml:space="preserve"> </v>
      </c>
      <c r="O47" s="55" t="str">
        <f>AB29</f>
        <v xml:space="preserve"> </v>
      </c>
      <c r="P47" s="55" t="str">
        <f>AB18</f>
        <v xml:space="preserve"> </v>
      </c>
      <c r="Q47" s="55" t="str">
        <f>AB37</f>
        <v xml:space="preserve"> </v>
      </c>
      <c r="R47" s="55" t="str">
        <f>AW10</f>
        <v xml:space="preserve"> </v>
      </c>
      <c r="S47" s="55" t="str">
        <f>AW29</f>
        <v xml:space="preserve"> </v>
      </c>
      <c r="T47" s="55" t="str">
        <f>AW18</f>
        <v xml:space="preserve"> </v>
      </c>
      <c r="U47" s="55" t="str">
        <f>AW37</f>
        <v xml:space="preserve"> </v>
      </c>
      <c r="V47" s="55"/>
    </row>
    <row r="48" spans="3:64" hidden="1" x14ac:dyDescent="0.25">
      <c r="E48" s="56" t="str">
        <f>AB7</f>
        <v xml:space="preserve"> </v>
      </c>
      <c r="F48" s="56" t="str">
        <f>AB26</f>
        <v xml:space="preserve"> </v>
      </c>
      <c r="G48" s="56" t="str">
        <f>AB15</f>
        <v xml:space="preserve"> </v>
      </c>
      <c r="H48" s="56" t="str">
        <f>AB34</f>
        <v xml:space="preserve"> </v>
      </c>
      <c r="I48" s="56" t="str">
        <f>AW7</f>
        <v xml:space="preserve"> </v>
      </c>
      <c r="J48" s="56" t="str">
        <f>AW26</f>
        <v xml:space="preserve"> </v>
      </c>
      <c r="K48" s="56" t="str">
        <f>AW15</f>
        <v xml:space="preserve"> </v>
      </c>
      <c r="L48" s="56" t="str">
        <f>AW34</f>
        <v xml:space="preserve"> </v>
      </c>
      <c r="N48" s="56" t="str">
        <f>AB11</f>
        <v xml:space="preserve"> </v>
      </c>
      <c r="O48" s="56" t="str">
        <f>AB30</f>
        <v xml:space="preserve"> </v>
      </c>
      <c r="P48" s="56" t="str">
        <f>AB19</f>
        <v xml:space="preserve"> </v>
      </c>
      <c r="Q48" s="56" t="str">
        <f>AB38</f>
        <v xml:space="preserve"> </v>
      </c>
      <c r="R48" s="56" t="str">
        <f>AW11</f>
        <v xml:space="preserve"> </v>
      </c>
      <c r="S48" s="56" t="str">
        <f>AW30</f>
        <v xml:space="preserve"> </v>
      </c>
      <c r="T48" s="56" t="str">
        <f>AW19</f>
        <v xml:space="preserve"> </v>
      </c>
      <c r="U48" s="56" t="str">
        <f>AW38</f>
        <v xml:space="preserve"> </v>
      </c>
      <c r="V48" s="55"/>
    </row>
    <row r="49" spans="5:22" hidden="1" x14ac:dyDescent="0.25">
      <c r="E49" s="57" t="str">
        <f>AC4</f>
        <v xml:space="preserve"> </v>
      </c>
      <c r="F49" s="57" t="str">
        <f>AC23</f>
        <v xml:space="preserve"> </v>
      </c>
      <c r="G49" s="57" t="str">
        <f>AC12</f>
        <v xml:space="preserve"> </v>
      </c>
      <c r="H49" s="57" t="str">
        <f>AC31</f>
        <v xml:space="preserve"> </v>
      </c>
      <c r="I49" s="57" t="str">
        <f>AX4</f>
        <v xml:space="preserve"> </v>
      </c>
      <c r="J49" s="57" t="str">
        <f>AX23</f>
        <v xml:space="preserve"> </v>
      </c>
      <c r="K49" s="57" t="str">
        <f>AX12</f>
        <v xml:space="preserve"> </v>
      </c>
      <c r="L49" s="57" t="str">
        <f>AX31</f>
        <v xml:space="preserve"> </v>
      </c>
      <c r="N49" s="57" t="str">
        <f>AC8</f>
        <v xml:space="preserve"> </v>
      </c>
      <c r="O49" s="57" t="str">
        <f>AC27</f>
        <v xml:space="preserve"> </v>
      </c>
      <c r="P49" s="57" t="str">
        <f>AC16</f>
        <v xml:space="preserve"> </v>
      </c>
      <c r="Q49" s="57" t="str">
        <f>AC35</f>
        <v xml:space="preserve"> </v>
      </c>
      <c r="R49" s="57" t="str">
        <f>AX8</f>
        <v xml:space="preserve"> </v>
      </c>
      <c r="S49" s="57" t="str">
        <f>AX27</f>
        <v xml:space="preserve"> </v>
      </c>
      <c r="T49" s="57" t="str">
        <f>AX16</f>
        <v xml:space="preserve"> </v>
      </c>
      <c r="U49" s="57" t="str">
        <f>AX35</f>
        <v xml:space="preserve"> </v>
      </c>
      <c r="V49" s="55"/>
    </row>
    <row r="50" spans="5:22" hidden="1" x14ac:dyDescent="0.25">
      <c r="E50" s="55" t="str">
        <f>AC5</f>
        <v xml:space="preserve"> </v>
      </c>
      <c r="F50" s="55" t="str">
        <f>AC24</f>
        <v xml:space="preserve"> </v>
      </c>
      <c r="G50" s="55" t="str">
        <f>AC13</f>
        <v xml:space="preserve"> </v>
      </c>
      <c r="H50" s="55" t="str">
        <f>AC32</f>
        <v xml:space="preserve"> </v>
      </c>
      <c r="I50" s="55" t="str">
        <f>AX5</f>
        <v xml:space="preserve"> </v>
      </c>
      <c r="J50" s="55" t="str">
        <f>AX24</f>
        <v xml:space="preserve"> </v>
      </c>
      <c r="K50" s="55" t="str">
        <f>AX13</f>
        <v xml:space="preserve"> </v>
      </c>
      <c r="L50" s="55" t="str">
        <f>AX32</f>
        <v xml:space="preserve"> </v>
      </c>
      <c r="N50" s="55" t="str">
        <f>AC9</f>
        <v xml:space="preserve"> </v>
      </c>
      <c r="O50" s="55" t="str">
        <f>AC28</f>
        <v xml:space="preserve"> </v>
      </c>
      <c r="P50" s="55" t="str">
        <f>AC17</f>
        <v xml:space="preserve"> </v>
      </c>
      <c r="Q50" s="55" t="str">
        <f>AC36</f>
        <v xml:space="preserve"> </v>
      </c>
      <c r="R50" s="55" t="str">
        <f>AX9</f>
        <v xml:space="preserve"> </v>
      </c>
      <c r="S50" s="55" t="str">
        <f>AX28</f>
        <v xml:space="preserve"> </v>
      </c>
      <c r="T50" s="55" t="str">
        <f>AX17</f>
        <v xml:space="preserve"> </v>
      </c>
      <c r="U50" s="55" t="str">
        <f>AX36</f>
        <v xml:space="preserve"> </v>
      </c>
      <c r="V50" s="55"/>
    </row>
    <row r="51" spans="5:22" hidden="1" x14ac:dyDescent="0.25">
      <c r="E51" s="55" t="str">
        <f>AC6</f>
        <v xml:space="preserve"> </v>
      </c>
      <c r="F51" s="55" t="str">
        <f>AC25</f>
        <v xml:space="preserve"> </v>
      </c>
      <c r="G51" s="55" t="str">
        <f>AC14</f>
        <v xml:space="preserve"> </v>
      </c>
      <c r="H51" s="55" t="str">
        <f>AC33</f>
        <v xml:space="preserve"> </v>
      </c>
      <c r="I51" s="55" t="str">
        <f>AX6</f>
        <v xml:space="preserve"> </v>
      </c>
      <c r="J51" s="55" t="str">
        <f>AX25</f>
        <v xml:space="preserve"> </v>
      </c>
      <c r="K51" s="55" t="str">
        <f>AX14</f>
        <v xml:space="preserve"> </v>
      </c>
      <c r="L51" s="55" t="str">
        <f>AX33</f>
        <v xml:space="preserve"> </v>
      </c>
      <c r="N51" s="55" t="str">
        <f>AC10</f>
        <v xml:space="preserve"> </v>
      </c>
      <c r="O51" s="55" t="str">
        <f>AC29</f>
        <v xml:space="preserve"> </v>
      </c>
      <c r="P51" s="55" t="str">
        <f>AC18</f>
        <v xml:space="preserve"> </v>
      </c>
      <c r="Q51" s="55" t="str">
        <f>AC37</f>
        <v xml:space="preserve"> </v>
      </c>
      <c r="R51" s="55" t="str">
        <f>AX10</f>
        <v xml:space="preserve"> </v>
      </c>
      <c r="S51" s="55" t="str">
        <f>AX29</f>
        <v xml:space="preserve"> </v>
      </c>
      <c r="T51" s="55" t="str">
        <f>AX18</f>
        <v xml:space="preserve"> </v>
      </c>
      <c r="U51" s="55" t="str">
        <f>AX37</f>
        <v xml:space="preserve"> </v>
      </c>
      <c r="V51" s="55"/>
    </row>
    <row r="52" spans="5:22" hidden="1" x14ac:dyDescent="0.25">
      <c r="E52" s="56" t="str">
        <f>AC7</f>
        <v xml:space="preserve"> </v>
      </c>
      <c r="F52" s="56" t="str">
        <f>AC26</f>
        <v xml:space="preserve"> </v>
      </c>
      <c r="G52" s="56" t="str">
        <f>AC15</f>
        <v xml:space="preserve"> </v>
      </c>
      <c r="H52" s="56" t="str">
        <f>AC34</f>
        <v xml:space="preserve"> </v>
      </c>
      <c r="I52" s="56" t="str">
        <f>AX7</f>
        <v xml:space="preserve"> </v>
      </c>
      <c r="J52" s="56" t="str">
        <f>AX26</f>
        <v xml:space="preserve"> </v>
      </c>
      <c r="K52" s="56" t="str">
        <f>AX15</f>
        <v xml:space="preserve"> </v>
      </c>
      <c r="L52" s="56" t="str">
        <f>AX34</f>
        <v xml:space="preserve"> </v>
      </c>
      <c r="N52" s="56" t="str">
        <f>AC11</f>
        <v xml:space="preserve"> </v>
      </c>
      <c r="O52" s="56" t="str">
        <f>AC30</f>
        <v xml:space="preserve"> </v>
      </c>
      <c r="P52" s="56" t="str">
        <f>AC19</f>
        <v xml:space="preserve"> </v>
      </c>
      <c r="Q52" s="56" t="str">
        <f>AC38</f>
        <v xml:space="preserve"> </v>
      </c>
      <c r="R52" s="56" t="str">
        <f>AX11</f>
        <v xml:space="preserve"> </v>
      </c>
      <c r="S52" s="56" t="str">
        <f>AX30</f>
        <v xml:space="preserve"> </v>
      </c>
      <c r="T52" s="56" t="str">
        <f>AX19</f>
        <v xml:space="preserve"> </v>
      </c>
      <c r="U52" s="56" t="str">
        <f>AX38</f>
        <v xml:space="preserve"> </v>
      </c>
      <c r="V52" s="55"/>
    </row>
    <row r="53" spans="5:22" hidden="1" x14ac:dyDescent="0.25">
      <c r="E53" s="57" t="str">
        <f>AD4</f>
        <v xml:space="preserve"> </v>
      </c>
      <c r="F53" s="57" t="str">
        <f>AD23</f>
        <v xml:space="preserve"> </v>
      </c>
      <c r="G53" s="57" t="str">
        <f>AD12</f>
        <v xml:space="preserve"> </v>
      </c>
      <c r="H53" s="57" t="str">
        <f>AD31</f>
        <v xml:space="preserve"> </v>
      </c>
      <c r="I53" s="57" t="str">
        <f>AY4</f>
        <v xml:space="preserve"> </v>
      </c>
      <c r="J53" s="57" t="str">
        <f>AY23</f>
        <v xml:space="preserve"> </v>
      </c>
      <c r="K53" s="57" t="str">
        <f>AY12</f>
        <v xml:space="preserve"> </v>
      </c>
      <c r="L53" s="57" t="str">
        <f>AY31</f>
        <v xml:space="preserve"> </v>
      </c>
      <c r="N53" s="57" t="str">
        <f>AD8</f>
        <v xml:space="preserve"> </v>
      </c>
      <c r="O53" s="57" t="str">
        <f>AD27</f>
        <v xml:space="preserve"> </v>
      </c>
      <c r="P53" s="57" t="str">
        <f>AD16</f>
        <v xml:space="preserve"> </v>
      </c>
      <c r="Q53" s="57" t="str">
        <f>AD35</f>
        <v xml:space="preserve"> </v>
      </c>
      <c r="R53" s="57" t="str">
        <f>AY8</f>
        <v xml:space="preserve"> </v>
      </c>
      <c r="S53" s="57" t="str">
        <f>AY27</f>
        <v xml:space="preserve"> </v>
      </c>
      <c r="T53" s="57" t="str">
        <f>AY16</f>
        <v xml:space="preserve"> </v>
      </c>
      <c r="U53" s="57" t="str">
        <f>AY35</f>
        <v xml:space="preserve"> </v>
      </c>
      <c r="V53" s="55"/>
    </row>
    <row r="54" spans="5:22" hidden="1" x14ac:dyDescent="0.25">
      <c r="E54" s="55" t="str">
        <f>AD5</f>
        <v xml:space="preserve"> </v>
      </c>
      <c r="F54" s="55" t="str">
        <f>AD24</f>
        <v xml:space="preserve"> </v>
      </c>
      <c r="G54" s="55" t="str">
        <f>AD13</f>
        <v xml:space="preserve"> </v>
      </c>
      <c r="H54" s="55" t="str">
        <f>AD32</f>
        <v xml:space="preserve"> </v>
      </c>
      <c r="I54" s="55" t="str">
        <f>AY5</f>
        <v xml:space="preserve"> </v>
      </c>
      <c r="J54" s="55" t="str">
        <f>AY24</f>
        <v xml:space="preserve"> </v>
      </c>
      <c r="K54" s="55" t="str">
        <f>AY13</f>
        <v xml:space="preserve"> </v>
      </c>
      <c r="L54" s="55" t="str">
        <f>AY32</f>
        <v xml:space="preserve"> </v>
      </c>
      <c r="N54" s="55" t="str">
        <f>AD9</f>
        <v xml:space="preserve"> </v>
      </c>
      <c r="O54" s="55" t="str">
        <f>AD28</f>
        <v xml:space="preserve"> </v>
      </c>
      <c r="P54" s="55" t="str">
        <f>AD17</f>
        <v xml:space="preserve"> </v>
      </c>
      <c r="Q54" s="55" t="str">
        <f>AD36</f>
        <v xml:space="preserve"> </v>
      </c>
      <c r="R54" s="55" t="str">
        <f>AY9</f>
        <v xml:space="preserve"> </v>
      </c>
      <c r="S54" s="55" t="str">
        <f>AY28</f>
        <v xml:space="preserve"> </v>
      </c>
      <c r="T54" s="55" t="str">
        <f>AY17</f>
        <v xml:space="preserve"> </v>
      </c>
      <c r="U54" s="55" t="str">
        <f>AY36</f>
        <v xml:space="preserve"> </v>
      </c>
      <c r="V54" s="55"/>
    </row>
    <row r="55" spans="5:22" hidden="1" x14ac:dyDescent="0.25">
      <c r="E55" s="55" t="str">
        <f>AD6</f>
        <v xml:space="preserve"> </v>
      </c>
      <c r="F55" s="55" t="str">
        <f>AD25</f>
        <v xml:space="preserve"> </v>
      </c>
      <c r="G55" s="55" t="str">
        <f>AD14</f>
        <v xml:space="preserve"> </v>
      </c>
      <c r="H55" s="55" t="str">
        <f>AD33</f>
        <v xml:space="preserve"> </v>
      </c>
      <c r="I55" s="55" t="str">
        <f>AY6</f>
        <v xml:space="preserve"> </v>
      </c>
      <c r="J55" s="55" t="str">
        <f>AY25</f>
        <v xml:space="preserve"> </v>
      </c>
      <c r="K55" s="55" t="str">
        <f>AY14</f>
        <v xml:space="preserve"> </v>
      </c>
      <c r="L55" s="55" t="str">
        <f>AY33</f>
        <v xml:space="preserve"> </v>
      </c>
      <c r="N55" s="55" t="str">
        <f>AD10</f>
        <v xml:space="preserve"> </v>
      </c>
      <c r="O55" s="55" t="str">
        <f>AD29</f>
        <v xml:space="preserve"> </v>
      </c>
      <c r="P55" s="55" t="str">
        <f>AD18</f>
        <v xml:space="preserve"> </v>
      </c>
      <c r="Q55" s="55" t="str">
        <f>AD37</f>
        <v xml:space="preserve"> </v>
      </c>
      <c r="R55" s="55" t="str">
        <f>AY10</f>
        <v xml:space="preserve"> </v>
      </c>
      <c r="S55" s="55" t="str">
        <f>AY29</f>
        <v xml:space="preserve"> </v>
      </c>
      <c r="T55" s="55" t="str">
        <f>AY18</f>
        <v xml:space="preserve"> </v>
      </c>
      <c r="U55" s="55" t="str">
        <f>AY37</f>
        <v xml:space="preserve"> </v>
      </c>
      <c r="V55" s="55"/>
    </row>
    <row r="56" spans="5:22" hidden="1" x14ac:dyDescent="0.25">
      <c r="E56" s="56" t="str">
        <f>AD7</f>
        <v xml:space="preserve"> </v>
      </c>
      <c r="F56" s="56" t="str">
        <f>AD26</f>
        <v xml:space="preserve"> </v>
      </c>
      <c r="G56" s="56" t="str">
        <f>AD15</f>
        <v xml:space="preserve"> </v>
      </c>
      <c r="H56" s="56" t="str">
        <f>AD34</f>
        <v xml:space="preserve"> </v>
      </c>
      <c r="I56" s="56" t="str">
        <f>AY7</f>
        <v xml:space="preserve"> </v>
      </c>
      <c r="J56" s="56" t="str">
        <f>AY26</f>
        <v xml:space="preserve"> </v>
      </c>
      <c r="K56" s="56" t="str">
        <f>AY15</f>
        <v xml:space="preserve"> </v>
      </c>
      <c r="L56" s="56" t="str">
        <f>AY34</f>
        <v xml:space="preserve"> </v>
      </c>
      <c r="N56" s="56" t="str">
        <f>AD11</f>
        <v xml:space="preserve"> </v>
      </c>
      <c r="O56" s="56" t="str">
        <f>AD30</f>
        <v xml:space="preserve"> </v>
      </c>
      <c r="P56" s="56" t="str">
        <f>AD19</f>
        <v xml:space="preserve"> </v>
      </c>
      <c r="Q56" s="56" t="str">
        <f>AD38</f>
        <v xml:space="preserve"> </v>
      </c>
      <c r="R56" s="56" t="str">
        <f>AY11</f>
        <v xml:space="preserve"> </v>
      </c>
      <c r="S56" s="56" t="str">
        <f>AY30</f>
        <v xml:space="preserve"> </v>
      </c>
      <c r="T56" s="56" t="str">
        <f>AY19</f>
        <v xml:space="preserve"> </v>
      </c>
      <c r="U56" s="56" t="str">
        <f>AY38</f>
        <v xml:space="preserve"> </v>
      </c>
      <c r="V56" s="55"/>
    </row>
    <row r="57" spans="5:22" hidden="1" x14ac:dyDescent="0.25">
      <c r="E57" s="57" t="str">
        <f>AE4</f>
        <v xml:space="preserve"> </v>
      </c>
      <c r="F57" s="57" t="str">
        <f>AE23</f>
        <v xml:space="preserve"> </v>
      </c>
      <c r="G57" s="57" t="str">
        <f>AE12</f>
        <v xml:space="preserve"> </v>
      </c>
      <c r="H57" s="57" t="str">
        <f>AE31</f>
        <v xml:space="preserve"> </v>
      </c>
      <c r="I57" s="57" t="str">
        <f>AZ4</f>
        <v xml:space="preserve"> </v>
      </c>
      <c r="J57" s="57" t="str">
        <f>AZ23</f>
        <v xml:space="preserve"> </v>
      </c>
      <c r="K57" s="57" t="str">
        <f>AZ12</f>
        <v xml:space="preserve"> </v>
      </c>
      <c r="L57" s="57" t="str">
        <f>AZ31</f>
        <v xml:space="preserve"> </v>
      </c>
      <c r="N57" s="57" t="str">
        <f>AE8</f>
        <v xml:space="preserve"> </v>
      </c>
      <c r="O57" s="57" t="str">
        <f>AE27</f>
        <v xml:space="preserve"> </v>
      </c>
      <c r="P57" s="57" t="str">
        <f>AE16</f>
        <v xml:space="preserve"> </v>
      </c>
      <c r="Q57" s="57" t="str">
        <f>AE35</f>
        <v xml:space="preserve"> </v>
      </c>
      <c r="R57" s="57" t="str">
        <f>AZ8</f>
        <v xml:space="preserve"> </v>
      </c>
      <c r="S57" s="57" t="str">
        <f>AZ27</f>
        <v xml:space="preserve"> </v>
      </c>
      <c r="T57" s="57" t="str">
        <f>AZ16</f>
        <v xml:space="preserve"> </v>
      </c>
      <c r="U57" s="57" t="str">
        <f>AZ35</f>
        <v xml:space="preserve"> </v>
      </c>
      <c r="V57" s="55"/>
    </row>
    <row r="58" spans="5:22" hidden="1" x14ac:dyDescent="0.25">
      <c r="E58" s="55" t="str">
        <f>AE5</f>
        <v xml:space="preserve"> </v>
      </c>
      <c r="F58" s="55" t="str">
        <f>AE24</f>
        <v xml:space="preserve"> </v>
      </c>
      <c r="G58" s="55" t="str">
        <f>AE13</f>
        <v xml:space="preserve"> </v>
      </c>
      <c r="H58" s="55" t="str">
        <f>AE32</f>
        <v xml:space="preserve"> </v>
      </c>
      <c r="I58" s="55" t="str">
        <f>AZ5</f>
        <v xml:space="preserve"> </v>
      </c>
      <c r="J58" s="55" t="str">
        <f>AZ24</f>
        <v xml:space="preserve"> </v>
      </c>
      <c r="K58" s="55" t="str">
        <f>AZ13</f>
        <v xml:space="preserve"> </v>
      </c>
      <c r="L58" s="55" t="str">
        <f>AZ32</f>
        <v xml:space="preserve"> </v>
      </c>
      <c r="N58" s="55" t="str">
        <f>AE9</f>
        <v xml:space="preserve"> </v>
      </c>
      <c r="O58" s="55" t="str">
        <f>AE28</f>
        <v xml:space="preserve"> </v>
      </c>
      <c r="P58" s="55" t="str">
        <f>AE17</f>
        <v xml:space="preserve"> </v>
      </c>
      <c r="Q58" s="55" t="str">
        <f>AE36</f>
        <v xml:space="preserve"> </v>
      </c>
      <c r="R58" s="55" t="str">
        <f>AZ9</f>
        <v xml:space="preserve"> </v>
      </c>
      <c r="S58" s="55" t="str">
        <f>AZ28</f>
        <v xml:space="preserve"> </v>
      </c>
      <c r="T58" s="55" t="str">
        <f>AZ17</f>
        <v xml:space="preserve"> </v>
      </c>
      <c r="U58" s="55" t="str">
        <f>AZ36</f>
        <v xml:space="preserve"> </v>
      </c>
      <c r="V58" s="55"/>
    </row>
    <row r="59" spans="5:22" hidden="1" x14ac:dyDescent="0.25">
      <c r="E59" s="55" t="str">
        <f>AE6</f>
        <v xml:space="preserve"> </v>
      </c>
      <c r="F59" s="55" t="str">
        <f>AE25</f>
        <v xml:space="preserve"> </v>
      </c>
      <c r="G59" s="55" t="str">
        <f>AE14</f>
        <v xml:space="preserve"> </v>
      </c>
      <c r="H59" s="55" t="str">
        <f>AE33</f>
        <v xml:space="preserve"> </v>
      </c>
      <c r="I59" s="55" t="str">
        <f>AZ6</f>
        <v xml:space="preserve"> </v>
      </c>
      <c r="J59" s="55" t="str">
        <f>AZ25</f>
        <v xml:space="preserve"> </v>
      </c>
      <c r="K59" s="55" t="str">
        <f>AZ14</f>
        <v xml:space="preserve"> </v>
      </c>
      <c r="L59" s="55" t="str">
        <f>AZ33</f>
        <v xml:space="preserve"> </v>
      </c>
      <c r="N59" s="55" t="str">
        <f>AE10</f>
        <v xml:space="preserve"> </v>
      </c>
      <c r="O59" s="55" t="str">
        <f>AE29</f>
        <v xml:space="preserve"> </v>
      </c>
      <c r="P59" s="55" t="str">
        <f>AE18</f>
        <v xml:space="preserve"> </v>
      </c>
      <c r="Q59" s="55" t="str">
        <f>AE37</f>
        <v xml:space="preserve"> </v>
      </c>
      <c r="R59" s="55" t="str">
        <f>AZ10</f>
        <v xml:space="preserve"> </v>
      </c>
      <c r="S59" s="55" t="str">
        <f>AZ29</f>
        <v xml:space="preserve"> </v>
      </c>
      <c r="T59" s="55" t="str">
        <f>AZ18</f>
        <v xml:space="preserve"> </v>
      </c>
      <c r="U59" s="55" t="str">
        <f>AZ37</f>
        <v xml:space="preserve"> </v>
      </c>
      <c r="V59" s="55"/>
    </row>
    <row r="60" spans="5:22" hidden="1" x14ac:dyDescent="0.25">
      <c r="E60" s="56" t="str">
        <f>AE7</f>
        <v xml:space="preserve"> </v>
      </c>
      <c r="F60" s="56" t="str">
        <f>AE26</f>
        <v xml:space="preserve"> </v>
      </c>
      <c r="G60" s="56" t="str">
        <f>AE15</f>
        <v xml:space="preserve"> </v>
      </c>
      <c r="H60" s="56" t="str">
        <f>AE34</f>
        <v xml:space="preserve"> </v>
      </c>
      <c r="I60" s="56" t="str">
        <f>AZ7</f>
        <v xml:space="preserve"> </v>
      </c>
      <c r="J60" s="56" t="str">
        <f>AZ26</f>
        <v xml:space="preserve"> </v>
      </c>
      <c r="K60" s="56" t="str">
        <f>AZ15</f>
        <v xml:space="preserve"> </v>
      </c>
      <c r="L60" s="56" t="str">
        <f>AZ34</f>
        <v xml:space="preserve"> </v>
      </c>
      <c r="N60" s="56" t="str">
        <f>AE11</f>
        <v xml:space="preserve"> </v>
      </c>
      <c r="O60" s="56" t="str">
        <f>AE30</f>
        <v xml:space="preserve"> </v>
      </c>
      <c r="P60" s="56" t="str">
        <f>AE19</f>
        <v xml:space="preserve"> </v>
      </c>
      <c r="Q60" s="56" t="str">
        <f>AE38</f>
        <v xml:space="preserve"> </v>
      </c>
      <c r="R60" s="56" t="str">
        <f>AZ11</f>
        <v xml:space="preserve"> </v>
      </c>
      <c r="S60" s="56" t="str">
        <f>AZ30</f>
        <v xml:space="preserve"> </v>
      </c>
      <c r="T60" s="56" t="str">
        <f>AZ19</f>
        <v xml:space="preserve"> </v>
      </c>
      <c r="U60" s="56" t="str">
        <f>AZ38</f>
        <v xml:space="preserve"> </v>
      </c>
      <c r="V60" s="55"/>
    </row>
    <row r="61" spans="5:22" hidden="1" x14ac:dyDescent="0.25">
      <c r="E61" s="57" t="str">
        <f>AF4</f>
        <v xml:space="preserve"> </v>
      </c>
      <c r="F61" s="57" t="str">
        <f>AF23</f>
        <v xml:space="preserve"> </v>
      </c>
      <c r="G61" s="57" t="str">
        <f>AF12</f>
        <v xml:space="preserve"> </v>
      </c>
      <c r="H61" s="57" t="str">
        <f>AF31</f>
        <v xml:space="preserve"> </v>
      </c>
      <c r="I61" s="57" t="str">
        <f>BA4</f>
        <v xml:space="preserve"> </v>
      </c>
      <c r="J61" s="57" t="str">
        <f>BA23</f>
        <v xml:space="preserve"> </v>
      </c>
      <c r="K61" s="57" t="str">
        <f>BA12</f>
        <v xml:space="preserve"> </v>
      </c>
      <c r="L61" s="57" t="str">
        <f>BA31</f>
        <v xml:space="preserve"> </v>
      </c>
      <c r="N61" s="57" t="str">
        <f>AF8</f>
        <v xml:space="preserve"> </v>
      </c>
      <c r="O61" s="57" t="str">
        <f>AF27</f>
        <v xml:space="preserve"> </v>
      </c>
      <c r="P61" s="57" t="str">
        <f>AF16</f>
        <v xml:space="preserve"> </v>
      </c>
      <c r="Q61" s="57" t="str">
        <f>AF35</f>
        <v xml:space="preserve"> </v>
      </c>
      <c r="R61" s="57" t="str">
        <f>BA8</f>
        <v xml:space="preserve"> </v>
      </c>
      <c r="S61" s="57" t="str">
        <f>BA27</f>
        <v xml:space="preserve"> </v>
      </c>
      <c r="T61" s="57" t="str">
        <f>BA16</f>
        <v xml:space="preserve"> </v>
      </c>
      <c r="U61" s="57" t="str">
        <f>BA35</f>
        <v xml:space="preserve"> </v>
      </c>
      <c r="V61" s="55"/>
    </row>
    <row r="62" spans="5:22" hidden="1" x14ac:dyDescent="0.25">
      <c r="E62" s="55" t="str">
        <f>AF5</f>
        <v xml:space="preserve"> </v>
      </c>
      <c r="F62" s="55" t="str">
        <f>AF24</f>
        <v xml:space="preserve"> </v>
      </c>
      <c r="G62" s="55" t="str">
        <f>AF13</f>
        <v xml:space="preserve"> </v>
      </c>
      <c r="H62" s="55" t="str">
        <f>AF32</f>
        <v xml:space="preserve"> </v>
      </c>
      <c r="I62" s="55" t="str">
        <f>BA5</f>
        <v xml:space="preserve"> </v>
      </c>
      <c r="J62" s="55" t="str">
        <f>BA24</f>
        <v xml:space="preserve"> </v>
      </c>
      <c r="K62" s="55" t="str">
        <f>BA13</f>
        <v xml:space="preserve"> </v>
      </c>
      <c r="L62" s="55" t="str">
        <f>BA32</f>
        <v xml:space="preserve"> </v>
      </c>
      <c r="N62" s="55" t="str">
        <f>AF9</f>
        <v xml:space="preserve"> </v>
      </c>
      <c r="O62" s="55" t="str">
        <f>AF28</f>
        <v xml:space="preserve"> </v>
      </c>
      <c r="P62" s="55" t="str">
        <f>AF17</f>
        <v xml:space="preserve"> </v>
      </c>
      <c r="Q62" s="55" t="str">
        <f>AF36</f>
        <v xml:space="preserve"> </v>
      </c>
      <c r="R62" s="55" t="str">
        <f>BA9</f>
        <v xml:space="preserve"> </v>
      </c>
      <c r="S62" s="55" t="str">
        <f>BA28</f>
        <v xml:space="preserve"> </v>
      </c>
      <c r="T62" s="55" t="str">
        <f>BA17</f>
        <v xml:space="preserve"> </v>
      </c>
      <c r="U62" s="55" t="str">
        <f>BA36</f>
        <v xml:space="preserve"> </v>
      </c>
      <c r="V62" s="55"/>
    </row>
    <row r="63" spans="5:22" hidden="1" x14ac:dyDescent="0.25">
      <c r="E63" s="55" t="str">
        <f>AF6</f>
        <v xml:space="preserve"> </v>
      </c>
      <c r="F63" s="55" t="str">
        <f>AF25</f>
        <v xml:space="preserve"> </v>
      </c>
      <c r="G63" s="55" t="str">
        <f>AF14</f>
        <v xml:space="preserve"> </v>
      </c>
      <c r="H63" s="55" t="str">
        <f>AF33</f>
        <v xml:space="preserve"> </v>
      </c>
      <c r="I63" s="55" t="str">
        <f>BA6</f>
        <v xml:space="preserve"> </v>
      </c>
      <c r="J63" s="55" t="str">
        <f>BA25</f>
        <v xml:space="preserve"> </v>
      </c>
      <c r="K63" s="55" t="str">
        <f>BA14</f>
        <v xml:space="preserve"> </v>
      </c>
      <c r="L63" s="55" t="str">
        <f>BA33</f>
        <v xml:space="preserve"> </v>
      </c>
      <c r="N63" s="55" t="str">
        <f>AF10</f>
        <v xml:space="preserve"> </v>
      </c>
      <c r="O63" s="55" t="str">
        <f>AF29</f>
        <v xml:space="preserve"> </v>
      </c>
      <c r="P63" s="55" t="str">
        <f>AF18</f>
        <v xml:space="preserve"> </v>
      </c>
      <c r="Q63" s="55" t="str">
        <f>AF37</f>
        <v xml:space="preserve"> </v>
      </c>
      <c r="R63" s="55" t="str">
        <f>BA10</f>
        <v xml:space="preserve"> </v>
      </c>
      <c r="S63" s="55" t="str">
        <f>BA29</f>
        <v xml:space="preserve"> </v>
      </c>
      <c r="T63" s="55" t="str">
        <f>BA18</f>
        <v xml:space="preserve"> </v>
      </c>
      <c r="U63" s="55" t="str">
        <f>BA37</f>
        <v xml:space="preserve"> </v>
      </c>
      <c r="V63" s="55"/>
    </row>
    <row r="64" spans="5:22" hidden="1" x14ac:dyDescent="0.25">
      <c r="E64" s="56" t="str">
        <f>AF7</f>
        <v xml:space="preserve"> </v>
      </c>
      <c r="F64" s="56" t="str">
        <f>AF26</f>
        <v xml:space="preserve"> </v>
      </c>
      <c r="G64" s="56" t="str">
        <f>AF15</f>
        <v xml:space="preserve"> </v>
      </c>
      <c r="H64" s="56" t="str">
        <f>AF34</f>
        <v xml:space="preserve"> </v>
      </c>
      <c r="I64" s="56" t="str">
        <f>BA7</f>
        <v xml:space="preserve"> </v>
      </c>
      <c r="J64" s="56" t="str">
        <f>BA26</f>
        <v xml:space="preserve"> </v>
      </c>
      <c r="K64" s="56" t="str">
        <f>BA15</f>
        <v xml:space="preserve"> </v>
      </c>
      <c r="L64" s="56" t="str">
        <f>BA34</f>
        <v xml:space="preserve"> </v>
      </c>
      <c r="N64" s="56" t="str">
        <f>AF11</f>
        <v xml:space="preserve"> </v>
      </c>
      <c r="O64" s="56" t="str">
        <f>AF30</f>
        <v xml:space="preserve"> </v>
      </c>
      <c r="P64" s="56" t="str">
        <f>AF19</f>
        <v xml:space="preserve"> </v>
      </c>
      <c r="Q64" s="56" t="str">
        <f>AF38</f>
        <v xml:space="preserve"> </v>
      </c>
      <c r="R64" s="56" t="str">
        <f>BA11</f>
        <v xml:space="preserve"> </v>
      </c>
      <c r="S64" s="56" t="str">
        <f>BA30</f>
        <v xml:space="preserve"> </v>
      </c>
      <c r="T64" s="56" t="str">
        <f>BA19</f>
        <v xml:space="preserve"> </v>
      </c>
      <c r="U64" s="56" t="str">
        <f>BA38</f>
        <v xml:space="preserve"> </v>
      </c>
      <c r="V64" s="55"/>
    </row>
    <row r="65" spans="5:22" hidden="1" x14ac:dyDescent="0.25">
      <c r="E65" s="57" t="str">
        <f>AG4</f>
        <v xml:space="preserve"> </v>
      </c>
      <c r="F65" s="57" t="str">
        <f>AG23</f>
        <v xml:space="preserve"> </v>
      </c>
      <c r="G65" s="57" t="str">
        <f>AG12</f>
        <v xml:space="preserve"> </v>
      </c>
      <c r="H65" s="57" t="str">
        <f>AG31</f>
        <v xml:space="preserve"> </v>
      </c>
      <c r="I65" s="57" t="str">
        <f>BB4</f>
        <v xml:space="preserve"> </v>
      </c>
      <c r="J65" s="57" t="str">
        <f>BB23</f>
        <v xml:space="preserve"> </v>
      </c>
      <c r="K65" s="57" t="str">
        <f>BB12</f>
        <v xml:space="preserve"> </v>
      </c>
      <c r="L65" s="57" t="str">
        <f>BB31</f>
        <v xml:space="preserve"> </v>
      </c>
      <c r="N65" s="57" t="str">
        <f>AG8</f>
        <v xml:space="preserve"> </v>
      </c>
      <c r="O65" s="57" t="str">
        <f>AG27</f>
        <v xml:space="preserve"> </v>
      </c>
      <c r="P65" s="57" t="str">
        <f>AG16</f>
        <v xml:space="preserve"> </v>
      </c>
      <c r="Q65" s="57" t="str">
        <f>AG35</f>
        <v xml:space="preserve"> </v>
      </c>
      <c r="R65" s="57" t="str">
        <f>BB8</f>
        <v xml:space="preserve"> </v>
      </c>
      <c r="S65" s="57" t="str">
        <f>BB27</f>
        <v xml:space="preserve"> </v>
      </c>
      <c r="T65" s="57" t="str">
        <f>BB16</f>
        <v xml:space="preserve"> </v>
      </c>
      <c r="U65" s="57" t="str">
        <f>BB35</f>
        <v xml:space="preserve"> </v>
      </c>
      <c r="V65" s="55"/>
    </row>
    <row r="66" spans="5:22" hidden="1" x14ac:dyDescent="0.25">
      <c r="E66" s="55" t="str">
        <f>AG5</f>
        <v xml:space="preserve"> </v>
      </c>
      <c r="F66" s="55" t="str">
        <f>AG24</f>
        <v xml:space="preserve"> </v>
      </c>
      <c r="G66" s="55" t="str">
        <f>AG13</f>
        <v xml:space="preserve"> </v>
      </c>
      <c r="H66" s="55" t="str">
        <f>AG32</f>
        <v xml:space="preserve"> </v>
      </c>
      <c r="I66" s="55" t="str">
        <f>BB5</f>
        <v xml:space="preserve"> </v>
      </c>
      <c r="J66" s="55" t="str">
        <f>BB24</f>
        <v xml:space="preserve"> </v>
      </c>
      <c r="K66" s="55" t="str">
        <f>BB13</f>
        <v xml:space="preserve"> </v>
      </c>
      <c r="L66" s="55" t="str">
        <f>BB32</f>
        <v xml:space="preserve"> </v>
      </c>
      <c r="N66" s="55" t="str">
        <f>AG9</f>
        <v xml:space="preserve"> </v>
      </c>
      <c r="O66" s="55" t="str">
        <f>AG28</f>
        <v xml:space="preserve"> </v>
      </c>
      <c r="P66" s="55" t="str">
        <f>AG17</f>
        <v xml:space="preserve"> </v>
      </c>
      <c r="Q66" s="55" t="str">
        <f>AG36</f>
        <v xml:space="preserve"> </v>
      </c>
      <c r="R66" s="55" t="str">
        <f>BB9</f>
        <v xml:space="preserve"> </v>
      </c>
      <c r="S66" s="55" t="str">
        <f>BB28</f>
        <v xml:space="preserve"> </v>
      </c>
      <c r="T66" s="55" t="str">
        <f>BB17</f>
        <v xml:space="preserve"> </v>
      </c>
      <c r="U66" s="55" t="str">
        <f>BB36</f>
        <v xml:space="preserve"> </v>
      </c>
      <c r="V66" s="55"/>
    </row>
    <row r="67" spans="5:22" hidden="1" x14ac:dyDescent="0.25">
      <c r="E67" s="55" t="str">
        <f>AG6</f>
        <v xml:space="preserve"> </v>
      </c>
      <c r="F67" s="55" t="str">
        <f>AG25</f>
        <v xml:space="preserve"> </v>
      </c>
      <c r="G67" s="55" t="str">
        <f>AG14</f>
        <v xml:space="preserve"> </v>
      </c>
      <c r="H67" s="55" t="str">
        <f>AG33</f>
        <v xml:space="preserve"> </v>
      </c>
      <c r="I67" s="55" t="str">
        <f>BB6</f>
        <v xml:space="preserve"> </v>
      </c>
      <c r="J67" s="55" t="str">
        <f>BB25</f>
        <v xml:space="preserve"> </v>
      </c>
      <c r="K67" s="55" t="str">
        <f>BB14</f>
        <v xml:space="preserve"> </v>
      </c>
      <c r="L67" s="55" t="str">
        <f>BB33</f>
        <v xml:space="preserve"> </v>
      </c>
      <c r="N67" s="55" t="str">
        <f>AG10</f>
        <v xml:space="preserve"> </v>
      </c>
      <c r="O67" s="55" t="str">
        <f>AG29</f>
        <v xml:space="preserve"> </v>
      </c>
      <c r="P67" s="55" t="str">
        <f>AG18</f>
        <v xml:space="preserve"> </v>
      </c>
      <c r="Q67" s="55" t="str">
        <f>AG37</f>
        <v xml:space="preserve"> </v>
      </c>
      <c r="R67" s="55" t="str">
        <f>BB10</f>
        <v xml:space="preserve"> </v>
      </c>
      <c r="S67" s="55" t="str">
        <f>BB29</f>
        <v xml:space="preserve"> </v>
      </c>
      <c r="T67" s="55" t="str">
        <f>BB18</f>
        <v xml:space="preserve"> </v>
      </c>
      <c r="U67" s="55" t="str">
        <f>BB37</f>
        <v xml:space="preserve"> </v>
      </c>
      <c r="V67" s="55"/>
    </row>
    <row r="68" spans="5:22" hidden="1" x14ac:dyDescent="0.25">
      <c r="E68" s="56" t="str">
        <f>AG7</f>
        <v xml:space="preserve"> </v>
      </c>
      <c r="F68" s="56" t="str">
        <f>AG26</f>
        <v xml:space="preserve"> </v>
      </c>
      <c r="G68" s="56" t="str">
        <f>AG15</f>
        <v xml:space="preserve"> </v>
      </c>
      <c r="H68" s="56" t="str">
        <f>AG34</f>
        <v xml:space="preserve"> </v>
      </c>
      <c r="I68" s="56" t="str">
        <f>BB7</f>
        <v xml:space="preserve"> </v>
      </c>
      <c r="J68" s="56" t="str">
        <f>BB26</f>
        <v xml:space="preserve"> </v>
      </c>
      <c r="K68" s="56" t="str">
        <f>BB15</f>
        <v xml:space="preserve"> </v>
      </c>
      <c r="L68" s="56" t="str">
        <f>BB34</f>
        <v xml:space="preserve"> </v>
      </c>
      <c r="N68" s="56" t="str">
        <f>AG11</f>
        <v xml:space="preserve"> </v>
      </c>
      <c r="O68" s="56" t="str">
        <f>AG30</f>
        <v xml:space="preserve"> </v>
      </c>
      <c r="P68" s="56" t="str">
        <f>AG19</f>
        <v xml:space="preserve"> </v>
      </c>
      <c r="Q68" s="56" t="str">
        <f>AG38</f>
        <v xml:space="preserve"> </v>
      </c>
      <c r="R68" s="56" t="str">
        <f>BB11</f>
        <v xml:space="preserve"> </v>
      </c>
      <c r="S68" s="56" t="str">
        <f>BB30</f>
        <v xml:space="preserve"> </v>
      </c>
      <c r="T68" s="56" t="str">
        <f>BB19</f>
        <v xml:space="preserve"> </v>
      </c>
      <c r="U68" s="56" t="str">
        <f>BB38</f>
        <v xml:space="preserve"> </v>
      </c>
      <c r="V68" s="55"/>
    </row>
    <row r="69" spans="5:22" hidden="1" x14ac:dyDescent="0.25">
      <c r="E69" s="57" t="str">
        <f>AH4</f>
        <v xml:space="preserve"> </v>
      </c>
      <c r="F69" s="57" t="str">
        <f>AH23</f>
        <v xml:space="preserve"> </v>
      </c>
      <c r="G69" s="57" t="str">
        <f>AH12</f>
        <v xml:space="preserve"> </v>
      </c>
      <c r="H69" s="57" t="str">
        <f>AH31</f>
        <v xml:space="preserve"> </v>
      </c>
      <c r="I69" s="57" t="str">
        <f>BC4</f>
        <v xml:space="preserve"> </v>
      </c>
      <c r="J69" s="57" t="str">
        <f>BC23</f>
        <v xml:space="preserve"> </v>
      </c>
      <c r="K69" s="57" t="str">
        <f>BC12</f>
        <v xml:space="preserve"> </v>
      </c>
      <c r="L69" s="57" t="str">
        <f>BC31</f>
        <v xml:space="preserve"> </v>
      </c>
      <c r="N69" s="57" t="str">
        <f>AH8</f>
        <v xml:space="preserve"> </v>
      </c>
      <c r="O69" s="57" t="str">
        <f>AH27</f>
        <v xml:space="preserve"> </v>
      </c>
      <c r="P69" s="57" t="str">
        <f>AH16</f>
        <v xml:space="preserve"> </v>
      </c>
      <c r="Q69" s="57" t="str">
        <f>AH35</f>
        <v xml:space="preserve"> </v>
      </c>
      <c r="R69" s="57" t="str">
        <f>BC8</f>
        <v xml:space="preserve"> </v>
      </c>
      <c r="S69" s="57" t="str">
        <f>BC27</f>
        <v xml:space="preserve"> </v>
      </c>
      <c r="T69" s="57" t="str">
        <f>BC16</f>
        <v xml:space="preserve"> </v>
      </c>
      <c r="U69" s="57" t="str">
        <f>BC35</f>
        <v xml:space="preserve"> </v>
      </c>
      <c r="V69" s="55"/>
    </row>
    <row r="70" spans="5:22" hidden="1" x14ac:dyDescent="0.25">
      <c r="E70" s="55" t="str">
        <f>AH5</f>
        <v xml:space="preserve"> </v>
      </c>
      <c r="F70" s="55" t="str">
        <f>AH24</f>
        <v xml:space="preserve"> </v>
      </c>
      <c r="G70" s="55" t="str">
        <f>AH13</f>
        <v xml:space="preserve"> </v>
      </c>
      <c r="H70" s="55" t="str">
        <f>AH32</f>
        <v xml:space="preserve"> </v>
      </c>
      <c r="I70" s="55" t="str">
        <f>BC5</f>
        <v xml:space="preserve"> </v>
      </c>
      <c r="J70" s="55" t="str">
        <f>BC24</f>
        <v xml:space="preserve"> </v>
      </c>
      <c r="K70" s="55" t="str">
        <f>BC13</f>
        <v xml:space="preserve"> </v>
      </c>
      <c r="L70" s="55" t="str">
        <f>BC32</f>
        <v xml:space="preserve"> </v>
      </c>
      <c r="N70" s="55" t="str">
        <f>AH9</f>
        <v xml:space="preserve"> </v>
      </c>
      <c r="O70" s="55" t="str">
        <f>AH28</f>
        <v xml:space="preserve"> </v>
      </c>
      <c r="P70" s="55" t="str">
        <f>AH17</f>
        <v xml:space="preserve"> </v>
      </c>
      <c r="Q70" s="55" t="str">
        <f>AH36</f>
        <v xml:space="preserve"> </v>
      </c>
      <c r="R70" s="55" t="str">
        <f>BC9</f>
        <v xml:space="preserve"> </v>
      </c>
      <c r="S70" s="55" t="str">
        <f>BC28</f>
        <v xml:space="preserve"> </v>
      </c>
      <c r="T70" s="55" t="str">
        <f>BC17</f>
        <v xml:space="preserve"> </v>
      </c>
      <c r="U70" s="55" t="str">
        <f>BC36</f>
        <v xml:space="preserve"> </v>
      </c>
      <c r="V70" s="55"/>
    </row>
    <row r="71" spans="5:22" hidden="1" x14ac:dyDescent="0.25">
      <c r="E71" s="55" t="str">
        <f>AH6</f>
        <v xml:space="preserve"> </v>
      </c>
      <c r="F71" s="55" t="str">
        <f>AH25</f>
        <v xml:space="preserve"> </v>
      </c>
      <c r="G71" s="55" t="str">
        <f>AH14</f>
        <v xml:space="preserve"> </v>
      </c>
      <c r="H71" s="55" t="str">
        <f>AH33</f>
        <v xml:space="preserve"> </v>
      </c>
      <c r="I71" s="55" t="str">
        <f>BC6</f>
        <v xml:space="preserve"> </v>
      </c>
      <c r="J71" s="55" t="str">
        <f>BC25</f>
        <v xml:space="preserve"> </v>
      </c>
      <c r="K71" s="55" t="str">
        <f>BC14</f>
        <v xml:space="preserve"> </v>
      </c>
      <c r="L71" s="55" t="str">
        <f>BC33</f>
        <v xml:space="preserve"> </v>
      </c>
      <c r="N71" s="55" t="str">
        <f>AH10</f>
        <v xml:space="preserve"> </v>
      </c>
      <c r="O71" s="55" t="str">
        <f>AH29</f>
        <v xml:space="preserve"> </v>
      </c>
      <c r="P71" s="55" t="str">
        <f>AH18</f>
        <v xml:space="preserve"> </v>
      </c>
      <c r="Q71" s="55" t="str">
        <f>AH37</f>
        <v xml:space="preserve"> </v>
      </c>
      <c r="R71" s="55" t="str">
        <f>BC10</f>
        <v xml:space="preserve"> </v>
      </c>
      <c r="S71" s="55" t="str">
        <f>BC29</f>
        <v xml:space="preserve"> </v>
      </c>
      <c r="T71" s="55" t="str">
        <f>BC18</f>
        <v xml:space="preserve"> </v>
      </c>
      <c r="U71" s="55" t="str">
        <f>BC37</f>
        <v xml:space="preserve"> </v>
      </c>
      <c r="V71" s="55"/>
    </row>
    <row r="72" spans="5:22" hidden="1" x14ac:dyDescent="0.25">
      <c r="E72" s="56" t="str">
        <f>AH7</f>
        <v xml:space="preserve"> </v>
      </c>
      <c r="F72" s="56" t="str">
        <f>AH26</f>
        <v xml:space="preserve"> </v>
      </c>
      <c r="G72" s="56" t="str">
        <f>AH15</f>
        <v xml:space="preserve"> </v>
      </c>
      <c r="H72" s="56" t="str">
        <f>AH34</f>
        <v xml:space="preserve"> </v>
      </c>
      <c r="I72" s="56" t="str">
        <f>BC7</f>
        <v xml:space="preserve"> </v>
      </c>
      <c r="J72" s="56" t="str">
        <f>BC26</f>
        <v xml:space="preserve"> </v>
      </c>
      <c r="K72" s="56" t="str">
        <f>BC15</f>
        <v xml:space="preserve"> </v>
      </c>
      <c r="L72" s="56" t="str">
        <f>BC34</f>
        <v xml:space="preserve"> </v>
      </c>
      <c r="N72" s="56" t="str">
        <f>AH11</f>
        <v xml:space="preserve"> </v>
      </c>
      <c r="O72" s="56" t="str">
        <f>AH30</f>
        <v xml:space="preserve"> </v>
      </c>
      <c r="P72" s="56" t="str">
        <f>AH19</f>
        <v xml:space="preserve"> </v>
      </c>
      <c r="Q72" s="56" t="str">
        <f>AH38</f>
        <v xml:space="preserve"> </v>
      </c>
      <c r="R72" s="56" t="str">
        <f>BC11</f>
        <v xml:space="preserve"> </v>
      </c>
      <c r="S72" s="56" t="str">
        <f>BC30</f>
        <v xml:space="preserve"> </v>
      </c>
      <c r="T72" s="56" t="str">
        <f>BC19</f>
        <v xml:space="preserve"> </v>
      </c>
      <c r="U72" s="56" t="str">
        <f>BC38</f>
        <v xml:space="preserve"> </v>
      </c>
      <c r="V72" s="55"/>
    </row>
    <row r="73" spans="5:22" hidden="1" x14ac:dyDescent="0.25">
      <c r="E73" s="57" t="str">
        <f>AI4</f>
        <v xml:space="preserve"> </v>
      </c>
      <c r="F73" s="57" t="str">
        <f>AI23</f>
        <v xml:space="preserve"> </v>
      </c>
      <c r="G73" s="57" t="str">
        <f>AI12</f>
        <v xml:space="preserve"> </v>
      </c>
      <c r="H73" s="57" t="str">
        <f>AI31</f>
        <v xml:space="preserve"> </v>
      </c>
      <c r="I73" s="57" t="str">
        <f>BD4</f>
        <v xml:space="preserve"> </v>
      </c>
      <c r="J73" s="57" t="str">
        <f>BD23</f>
        <v xml:space="preserve"> </v>
      </c>
      <c r="K73" s="57" t="str">
        <f>BD12</f>
        <v xml:space="preserve"> </v>
      </c>
      <c r="L73" s="57" t="str">
        <f>BD31</f>
        <v xml:space="preserve"> </v>
      </c>
      <c r="N73" s="57" t="str">
        <f>AI8</f>
        <v xml:space="preserve"> </v>
      </c>
      <c r="O73" s="57" t="str">
        <f>AI27</f>
        <v xml:space="preserve"> </v>
      </c>
      <c r="P73" s="57" t="str">
        <f>AI16</f>
        <v xml:space="preserve"> </v>
      </c>
      <c r="Q73" s="57" t="str">
        <f>AI35</f>
        <v xml:space="preserve"> </v>
      </c>
      <c r="R73" s="57" t="str">
        <f>BD8</f>
        <v xml:space="preserve"> </v>
      </c>
      <c r="S73" s="57" t="str">
        <f>BD27</f>
        <v xml:space="preserve"> </v>
      </c>
      <c r="T73" s="57" t="str">
        <f>BD16</f>
        <v xml:space="preserve"> </v>
      </c>
      <c r="U73" s="57" t="str">
        <f>BD35</f>
        <v xml:space="preserve"> </v>
      </c>
      <c r="V73" s="55"/>
    </row>
    <row r="74" spans="5:22" hidden="1" x14ac:dyDescent="0.25">
      <c r="E74" s="55" t="str">
        <f>AI5</f>
        <v xml:space="preserve"> </v>
      </c>
      <c r="F74" s="55" t="str">
        <f>AI24</f>
        <v xml:space="preserve"> </v>
      </c>
      <c r="G74" s="55" t="str">
        <f>AI13</f>
        <v xml:space="preserve"> </v>
      </c>
      <c r="H74" s="55" t="str">
        <f>AI32</f>
        <v xml:space="preserve"> </v>
      </c>
      <c r="I74" s="55" t="str">
        <f>BD5</f>
        <v xml:space="preserve"> </v>
      </c>
      <c r="J74" s="55" t="str">
        <f>BD24</f>
        <v xml:space="preserve"> </v>
      </c>
      <c r="K74" s="55" t="str">
        <f>BD13</f>
        <v xml:space="preserve"> </v>
      </c>
      <c r="L74" s="55" t="str">
        <f>BD32</f>
        <v xml:space="preserve"> </v>
      </c>
      <c r="N74" s="55" t="str">
        <f>AI9</f>
        <v xml:space="preserve"> </v>
      </c>
      <c r="O74" s="55" t="str">
        <f>AI28</f>
        <v xml:space="preserve"> </v>
      </c>
      <c r="P74" s="55" t="str">
        <f>AI17</f>
        <v xml:space="preserve"> </v>
      </c>
      <c r="Q74" s="55" t="str">
        <f>AI36</f>
        <v xml:space="preserve"> </v>
      </c>
      <c r="R74" s="55" t="str">
        <f>BD9</f>
        <v xml:space="preserve"> </v>
      </c>
      <c r="S74" s="55" t="str">
        <f>BD28</f>
        <v xml:space="preserve"> </v>
      </c>
      <c r="T74" s="55" t="str">
        <f>BD17</f>
        <v xml:space="preserve"> </v>
      </c>
      <c r="U74" s="55" t="str">
        <f>BD36</f>
        <v xml:space="preserve"> </v>
      </c>
      <c r="V74" s="55"/>
    </row>
    <row r="75" spans="5:22" hidden="1" x14ac:dyDescent="0.25">
      <c r="E75" s="55" t="str">
        <f>AI6</f>
        <v xml:space="preserve"> </v>
      </c>
      <c r="F75" s="55" t="str">
        <f>AI25</f>
        <v xml:space="preserve"> </v>
      </c>
      <c r="G75" s="55" t="str">
        <f>AI14</f>
        <v xml:space="preserve"> </v>
      </c>
      <c r="H75" s="55" t="str">
        <f>AI33</f>
        <v xml:space="preserve"> </v>
      </c>
      <c r="I75" s="55" t="str">
        <f>BD6</f>
        <v xml:space="preserve"> </v>
      </c>
      <c r="J75" s="55" t="str">
        <f>BD25</f>
        <v xml:space="preserve"> </v>
      </c>
      <c r="K75" s="55" t="str">
        <f>BD14</f>
        <v xml:space="preserve"> </v>
      </c>
      <c r="L75" s="55" t="str">
        <f>BD33</f>
        <v xml:space="preserve"> </v>
      </c>
      <c r="N75" s="55" t="str">
        <f>AI10</f>
        <v xml:space="preserve"> </v>
      </c>
      <c r="O75" s="55" t="str">
        <f>AI29</f>
        <v xml:space="preserve"> </v>
      </c>
      <c r="P75" s="55" t="str">
        <f>AI18</f>
        <v xml:space="preserve"> </v>
      </c>
      <c r="Q75" s="55" t="str">
        <f>AI37</f>
        <v xml:space="preserve"> </v>
      </c>
      <c r="R75" s="55" t="str">
        <f>BD10</f>
        <v xml:space="preserve"> </v>
      </c>
      <c r="S75" s="55" t="str">
        <f>BD29</f>
        <v xml:space="preserve"> </v>
      </c>
      <c r="T75" s="55" t="str">
        <f>BD18</f>
        <v xml:space="preserve"> </v>
      </c>
      <c r="U75" s="55" t="str">
        <f>BD37</f>
        <v xml:space="preserve"> </v>
      </c>
      <c r="V75" s="55"/>
    </row>
    <row r="76" spans="5:22" hidden="1" x14ac:dyDescent="0.25">
      <c r="E76" s="56" t="str">
        <f>AI7</f>
        <v xml:space="preserve"> </v>
      </c>
      <c r="F76" s="56" t="str">
        <f>AI26</f>
        <v xml:space="preserve"> </v>
      </c>
      <c r="G76" s="56" t="str">
        <f>AI15</f>
        <v xml:space="preserve"> </v>
      </c>
      <c r="H76" s="56" t="str">
        <f>AI34</f>
        <v xml:space="preserve"> </v>
      </c>
      <c r="I76" s="56" t="str">
        <f>BD7</f>
        <v xml:space="preserve"> </v>
      </c>
      <c r="J76" s="56" t="str">
        <f>BD26</f>
        <v xml:space="preserve"> </v>
      </c>
      <c r="K76" s="56" t="str">
        <f>BD15</f>
        <v xml:space="preserve"> </v>
      </c>
      <c r="L76" s="56" t="str">
        <f>BD34</f>
        <v xml:space="preserve"> </v>
      </c>
      <c r="N76" s="56" t="str">
        <f>AI11</f>
        <v xml:space="preserve"> </v>
      </c>
      <c r="O76" s="56" t="str">
        <f>AI30</f>
        <v xml:space="preserve"> </v>
      </c>
      <c r="P76" s="56" t="str">
        <f>AI19</f>
        <v xml:space="preserve"> </v>
      </c>
      <c r="Q76" s="56" t="str">
        <f>AI38</f>
        <v xml:space="preserve"> </v>
      </c>
      <c r="R76" s="56" t="str">
        <f>BD11</f>
        <v xml:space="preserve"> </v>
      </c>
      <c r="S76" s="56" t="str">
        <f>BD30</f>
        <v xml:space="preserve"> </v>
      </c>
      <c r="T76" s="56" t="str">
        <f>BD19</f>
        <v xml:space="preserve"> </v>
      </c>
      <c r="U76" s="56" t="str">
        <f>BD38</f>
        <v xml:space="preserve"> </v>
      </c>
      <c r="V76" s="55"/>
    </row>
    <row r="77" spans="5:22" hidden="1" x14ac:dyDescent="0.25">
      <c r="E77" s="57" t="str">
        <f>AJ4</f>
        <v xml:space="preserve"> </v>
      </c>
      <c r="F77" s="57" t="str">
        <f>AJ23</f>
        <v xml:space="preserve"> </v>
      </c>
      <c r="G77" s="57" t="str">
        <f>AJ12</f>
        <v xml:space="preserve"> </v>
      </c>
      <c r="H77" s="57" t="str">
        <f>AJ31</f>
        <v xml:space="preserve"> </v>
      </c>
      <c r="I77" s="57" t="str">
        <f>BE4</f>
        <v xml:space="preserve"> </v>
      </c>
      <c r="J77" s="57" t="str">
        <f>BE23</f>
        <v xml:space="preserve"> </v>
      </c>
      <c r="K77" s="57" t="str">
        <f>BE12</f>
        <v xml:space="preserve"> </v>
      </c>
      <c r="L77" s="57" t="str">
        <f>BE31</f>
        <v xml:space="preserve"> </v>
      </c>
      <c r="N77" s="57" t="str">
        <f>AJ8</f>
        <v xml:space="preserve"> </v>
      </c>
      <c r="O77" s="57" t="str">
        <f>AJ27</f>
        <v xml:space="preserve"> </v>
      </c>
      <c r="P77" s="57" t="str">
        <f>AJ16</f>
        <v xml:space="preserve"> </v>
      </c>
      <c r="Q77" s="57" t="str">
        <f>AJ35</f>
        <v xml:space="preserve"> </v>
      </c>
      <c r="R77" s="57" t="str">
        <f>BE8</f>
        <v xml:space="preserve"> </v>
      </c>
      <c r="S77" s="57" t="str">
        <f>BE27</f>
        <v xml:space="preserve"> </v>
      </c>
      <c r="T77" s="57" t="str">
        <f>BE16</f>
        <v xml:space="preserve"> </v>
      </c>
      <c r="U77" s="57" t="str">
        <f>BE35</f>
        <v xml:space="preserve"> </v>
      </c>
      <c r="V77" s="55"/>
    </row>
    <row r="78" spans="5:22" hidden="1" x14ac:dyDescent="0.25">
      <c r="E78" s="55" t="str">
        <f>AJ5</f>
        <v xml:space="preserve"> </v>
      </c>
      <c r="F78" s="55" t="str">
        <f>AJ24</f>
        <v xml:space="preserve"> </v>
      </c>
      <c r="G78" s="55" t="str">
        <f>AJ13</f>
        <v xml:space="preserve"> </v>
      </c>
      <c r="H78" s="55" t="str">
        <f>AJ32</f>
        <v xml:space="preserve"> </v>
      </c>
      <c r="I78" s="55" t="str">
        <f>BE5</f>
        <v xml:space="preserve"> </v>
      </c>
      <c r="J78" s="55" t="str">
        <f>BE24</f>
        <v xml:space="preserve"> </v>
      </c>
      <c r="K78" s="55" t="str">
        <f>BE13</f>
        <v xml:space="preserve"> </v>
      </c>
      <c r="L78" s="55" t="str">
        <f>BE32</f>
        <v xml:space="preserve"> </v>
      </c>
      <c r="N78" s="55" t="str">
        <f>AJ9</f>
        <v xml:space="preserve"> </v>
      </c>
      <c r="O78" s="55" t="str">
        <f>AJ28</f>
        <v xml:space="preserve"> </v>
      </c>
      <c r="P78" s="55" t="str">
        <f>AJ17</f>
        <v xml:space="preserve"> </v>
      </c>
      <c r="Q78" s="55" t="str">
        <f>AJ36</f>
        <v xml:space="preserve"> </v>
      </c>
      <c r="R78" s="55" t="str">
        <f>BE9</f>
        <v xml:space="preserve"> </v>
      </c>
      <c r="S78" s="55" t="str">
        <f>BE28</f>
        <v xml:space="preserve"> </v>
      </c>
      <c r="T78" s="55" t="str">
        <f>BE17</f>
        <v xml:space="preserve"> </v>
      </c>
      <c r="U78" s="55" t="str">
        <f>BE36</f>
        <v xml:space="preserve"> </v>
      </c>
      <c r="V78" s="55"/>
    </row>
    <row r="79" spans="5:22" hidden="1" x14ac:dyDescent="0.25">
      <c r="E79" s="55" t="str">
        <f>AJ6</f>
        <v xml:space="preserve"> </v>
      </c>
      <c r="F79" s="55" t="str">
        <f>AJ25</f>
        <v xml:space="preserve"> </v>
      </c>
      <c r="G79" s="55" t="str">
        <f>AJ14</f>
        <v xml:space="preserve"> </v>
      </c>
      <c r="H79" s="55" t="str">
        <f>AJ33</f>
        <v xml:space="preserve"> </v>
      </c>
      <c r="I79" s="55" t="str">
        <f>BE6</f>
        <v xml:space="preserve"> </v>
      </c>
      <c r="J79" s="55" t="str">
        <f>BE25</f>
        <v xml:space="preserve"> </v>
      </c>
      <c r="K79" s="55" t="str">
        <f>BE14</f>
        <v xml:space="preserve"> </v>
      </c>
      <c r="L79" s="55" t="str">
        <f>BE33</f>
        <v xml:space="preserve"> </v>
      </c>
      <c r="N79" s="55" t="str">
        <f>AJ10</f>
        <v xml:space="preserve"> </v>
      </c>
      <c r="O79" s="55" t="str">
        <f>AJ29</f>
        <v xml:space="preserve"> </v>
      </c>
      <c r="P79" s="55" t="str">
        <f>AJ18</f>
        <v xml:space="preserve"> </v>
      </c>
      <c r="Q79" s="55" t="str">
        <f>AJ37</f>
        <v xml:space="preserve"> </v>
      </c>
      <c r="R79" s="55" t="str">
        <f>BE10</f>
        <v xml:space="preserve"> </v>
      </c>
      <c r="S79" s="55" t="str">
        <f>BE29</f>
        <v xml:space="preserve"> </v>
      </c>
      <c r="T79" s="55" t="str">
        <f>BE18</f>
        <v xml:space="preserve"> </v>
      </c>
      <c r="U79" s="55" t="str">
        <f>BE37</f>
        <v xml:space="preserve"> </v>
      </c>
      <c r="V79" s="55"/>
    </row>
    <row r="80" spans="5:22" hidden="1" x14ac:dyDescent="0.25">
      <c r="E80" s="56" t="str">
        <f>AJ7</f>
        <v xml:space="preserve"> </v>
      </c>
      <c r="F80" s="56" t="str">
        <f>AJ26</f>
        <v xml:space="preserve"> </v>
      </c>
      <c r="G80" s="56" t="str">
        <f>AJ15</f>
        <v xml:space="preserve"> </v>
      </c>
      <c r="H80" s="56" t="str">
        <f>AJ34</f>
        <v xml:space="preserve"> </v>
      </c>
      <c r="I80" s="56" t="str">
        <f>BE7</f>
        <v xml:space="preserve"> </v>
      </c>
      <c r="J80" s="56" t="str">
        <f>BE26</f>
        <v xml:space="preserve"> </v>
      </c>
      <c r="K80" s="56" t="str">
        <f>BE15</f>
        <v xml:space="preserve"> </v>
      </c>
      <c r="L80" s="56" t="str">
        <f>BE34</f>
        <v xml:space="preserve"> </v>
      </c>
      <c r="N80" s="56" t="str">
        <f>AJ11</f>
        <v xml:space="preserve"> </v>
      </c>
      <c r="O80" s="56" t="str">
        <f>AJ30</f>
        <v xml:space="preserve"> </v>
      </c>
      <c r="P80" s="56" t="str">
        <f>AJ19</f>
        <v xml:space="preserve"> </v>
      </c>
      <c r="Q80" s="56" t="str">
        <f>AJ38</f>
        <v xml:space="preserve"> </v>
      </c>
      <c r="R80" s="56" t="str">
        <f>BE11</f>
        <v xml:space="preserve"> </v>
      </c>
      <c r="S80" s="56" t="str">
        <f>BE30</f>
        <v xml:space="preserve"> </v>
      </c>
      <c r="T80" s="56" t="str">
        <f>BE19</f>
        <v xml:space="preserve"> </v>
      </c>
      <c r="U80" s="56" t="str">
        <f>BE38</f>
        <v xml:space="preserve"> </v>
      </c>
      <c r="V80" s="55"/>
    </row>
    <row r="81" spans="5:22" hidden="1" x14ac:dyDescent="0.25">
      <c r="E81" s="57" t="str">
        <f>AK4</f>
        <v xml:space="preserve"> </v>
      </c>
      <c r="F81" s="57" t="str">
        <f>AK23</f>
        <v xml:space="preserve"> </v>
      </c>
      <c r="G81" s="57" t="str">
        <f>AK12</f>
        <v xml:space="preserve"> </v>
      </c>
      <c r="H81" s="57" t="str">
        <f>AK31</f>
        <v xml:space="preserve"> </v>
      </c>
      <c r="I81" s="57" t="str">
        <f>BF4</f>
        <v xml:space="preserve"> </v>
      </c>
      <c r="J81" s="57" t="str">
        <f>BF23</f>
        <v xml:space="preserve"> </v>
      </c>
      <c r="K81" s="57" t="str">
        <f>BF12</f>
        <v xml:space="preserve"> </v>
      </c>
      <c r="L81" s="57" t="str">
        <f>BF31</f>
        <v xml:space="preserve"> </v>
      </c>
      <c r="N81" s="57" t="str">
        <f>AK8</f>
        <v xml:space="preserve"> </v>
      </c>
      <c r="O81" s="57" t="str">
        <f>AK27</f>
        <v xml:space="preserve"> </v>
      </c>
      <c r="P81" s="57" t="str">
        <f>AK16</f>
        <v xml:space="preserve"> </v>
      </c>
      <c r="Q81" s="57" t="str">
        <f>AK35</f>
        <v xml:space="preserve"> </v>
      </c>
      <c r="R81" s="57" t="str">
        <f>BF8</f>
        <v xml:space="preserve"> </v>
      </c>
      <c r="S81" s="57" t="str">
        <f>BF27</f>
        <v xml:space="preserve"> </v>
      </c>
      <c r="T81" s="57" t="str">
        <f>BF16</f>
        <v xml:space="preserve"> </v>
      </c>
      <c r="U81" s="57" t="str">
        <f>BF35</f>
        <v xml:space="preserve"> </v>
      </c>
      <c r="V81" s="55"/>
    </row>
    <row r="82" spans="5:22" hidden="1" x14ac:dyDescent="0.25">
      <c r="E82" s="55" t="str">
        <f>AK5</f>
        <v xml:space="preserve"> </v>
      </c>
      <c r="F82" s="55" t="str">
        <f>AK24</f>
        <v xml:space="preserve"> </v>
      </c>
      <c r="G82" s="55" t="str">
        <f>AK13</f>
        <v xml:space="preserve"> </v>
      </c>
      <c r="H82" s="55" t="str">
        <f>AK32</f>
        <v xml:space="preserve"> </v>
      </c>
      <c r="I82" s="55" t="str">
        <f>BF5</f>
        <v xml:space="preserve"> </v>
      </c>
      <c r="J82" s="55" t="str">
        <f>BF24</f>
        <v xml:space="preserve"> </v>
      </c>
      <c r="K82" s="55" t="str">
        <f>BF13</f>
        <v xml:space="preserve"> </v>
      </c>
      <c r="L82" s="55" t="str">
        <f>BF32</f>
        <v xml:space="preserve"> </v>
      </c>
      <c r="N82" s="55" t="str">
        <f>AK9</f>
        <v xml:space="preserve"> </v>
      </c>
      <c r="O82" s="55" t="str">
        <f>AK28</f>
        <v xml:space="preserve"> </v>
      </c>
      <c r="P82" s="55" t="str">
        <f>AK17</f>
        <v xml:space="preserve"> </v>
      </c>
      <c r="Q82" s="55" t="str">
        <f>AK36</f>
        <v xml:space="preserve"> </v>
      </c>
      <c r="R82" s="55" t="str">
        <f>BF9</f>
        <v xml:space="preserve"> </v>
      </c>
      <c r="S82" s="55" t="str">
        <f>BF28</f>
        <v xml:space="preserve"> </v>
      </c>
      <c r="T82" s="55" t="str">
        <f>BF17</f>
        <v xml:space="preserve"> </v>
      </c>
      <c r="U82" s="55" t="str">
        <f>BF36</f>
        <v xml:space="preserve"> </v>
      </c>
      <c r="V82" s="55"/>
    </row>
    <row r="83" spans="5:22" hidden="1" x14ac:dyDescent="0.25">
      <c r="E83" s="55" t="str">
        <f>AK6</f>
        <v xml:space="preserve"> </v>
      </c>
      <c r="F83" s="55" t="str">
        <f>AK25</f>
        <v xml:space="preserve"> </v>
      </c>
      <c r="G83" s="55" t="str">
        <f>AK14</f>
        <v xml:space="preserve"> </v>
      </c>
      <c r="H83" s="55" t="str">
        <f>AK33</f>
        <v xml:space="preserve"> </v>
      </c>
      <c r="I83" s="55" t="str">
        <f>BF6</f>
        <v xml:space="preserve"> </v>
      </c>
      <c r="J83" s="55" t="str">
        <f>BF25</f>
        <v xml:space="preserve"> </v>
      </c>
      <c r="K83" s="55" t="str">
        <f>BF14</f>
        <v xml:space="preserve"> </v>
      </c>
      <c r="L83" s="55" t="str">
        <f>BF33</f>
        <v xml:space="preserve"> </v>
      </c>
      <c r="N83" s="55" t="str">
        <f>AK10</f>
        <v xml:space="preserve"> </v>
      </c>
      <c r="O83" s="55" t="str">
        <f>AK29</f>
        <v xml:space="preserve"> </v>
      </c>
      <c r="P83" s="55" t="str">
        <f>AK18</f>
        <v xml:space="preserve"> </v>
      </c>
      <c r="Q83" s="55" t="str">
        <f>AK37</f>
        <v xml:space="preserve"> </v>
      </c>
      <c r="R83" s="55" t="str">
        <f>BF10</f>
        <v xml:space="preserve"> </v>
      </c>
      <c r="S83" s="55" t="str">
        <f>BF29</f>
        <v xml:space="preserve"> </v>
      </c>
      <c r="T83" s="55" t="str">
        <f>BF18</f>
        <v xml:space="preserve"> </v>
      </c>
      <c r="U83" s="55" t="str">
        <f>BF37</f>
        <v xml:space="preserve"> </v>
      </c>
      <c r="V83" s="55"/>
    </row>
    <row r="84" spans="5:22" hidden="1" x14ac:dyDescent="0.25">
      <c r="E84" s="56" t="str">
        <f>AK7</f>
        <v xml:space="preserve"> </v>
      </c>
      <c r="F84" s="56" t="str">
        <f>AK26</f>
        <v xml:space="preserve"> </v>
      </c>
      <c r="G84" s="56" t="str">
        <f>AK15</f>
        <v xml:space="preserve"> </v>
      </c>
      <c r="H84" s="56" t="str">
        <f>AK34</f>
        <v xml:space="preserve"> </v>
      </c>
      <c r="I84" s="56" t="str">
        <f>BF7</f>
        <v xml:space="preserve"> </v>
      </c>
      <c r="J84" s="56" t="str">
        <f>BF26</f>
        <v xml:space="preserve"> </v>
      </c>
      <c r="K84" s="56" t="str">
        <f>BF15</f>
        <v xml:space="preserve"> </v>
      </c>
      <c r="L84" s="56" t="str">
        <f>BF34</f>
        <v xml:space="preserve"> </v>
      </c>
      <c r="N84" s="56" t="str">
        <f>AK11</f>
        <v xml:space="preserve"> </v>
      </c>
      <c r="O84" s="56" t="str">
        <f>AK30</f>
        <v xml:space="preserve"> </v>
      </c>
      <c r="P84" s="56" t="str">
        <f>AK19</f>
        <v xml:space="preserve"> </v>
      </c>
      <c r="Q84" s="56" t="str">
        <f>AK38</f>
        <v xml:space="preserve"> </v>
      </c>
      <c r="R84" s="56" t="str">
        <f>BF11</f>
        <v xml:space="preserve"> </v>
      </c>
      <c r="S84" s="56" t="str">
        <f>BF30</f>
        <v xml:space="preserve"> </v>
      </c>
      <c r="T84" s="56" t="str">
        <f>BF19</f>
        <v xml:space="preserve"> </v>
      </c>
      <c r="U84" s="56" t="str">
        <f>BF38</f>
        <v xml:space="preserve"> </v>
      </c>
      <c r="V84" s="55"/>
    </row>
    <row r="85" spans="5:22" hidden="1" x14ac:dyDescent="0.25">
      <c r="E85" s="57" t="str">
        <f>AL4</f>
        <v xml:space="preserve"> </v>
      </c>
      <c r="F85" s="57" t="str">
        <f>AL23</f>
        <v xml:space="preserve"> </v>
      </c>
      <c r="G85" s="57" t="str">
        <f>AL12</f>
        <v xml:space="preserve"> </v>
      </c>
      <c r="H85" s="57" t="str">
        <f>AL31</f>
        <v xml:space="preserve"> </v>
      </c>
      <c r="I85" s="57" t="str">
        <f>BG4</f>
        <v xml:space="preserve"> </v>
      </c>
      <c r="J85" s="57" t="str">
        <f>BG23</f>
        <v xml:space="preserve"> </v>
      </c>
      <c r="K85" s="57" t="str">
        <f>BG12</f>
        <v xml:space="preserve"> </v>
      </c>
      <c r="L85" s="57" t="str">
        <f>BG31</f>
        <v xml:space="preserve"> </v>
      </c>
      <c r="N85" s="57" t="str">
        <f>AL8</f>
        <v xml:space="preserve"> </v>
      </c>
      <c r="O85" s="57" t="str">
        <f>AL27</f>
        <v xml:space="preserve"> </v>
      </c>
      <c r="P85" s="57" t="str">
        <f>AL16</f>
        <v xml:space="preserve"> </v>
      </c>
      <c r="Q85" s="57" t="str">
        <f>AL35</f>
        <v xml:space="preserve"> </v>
      </c>
      <c r="R85" s="57" t="str">
        <f>BG8</f>
        <v xml:space="preserve"> </v>
      </c>
      <c r="S85" s="57" t="str">
        <f>BG27</f>
        <v xml:space="preserve"> </v>
      </c>
      <c r="T85" s="57" t="str">
        <f>BG16</f>
        <v xml:space="preserve"> </v>
      </c>
      <c r="U85" s="57" t="str">
        <f>BG35</f>
        <v xml:space="preserve"> </v>
      </c>
      <c r="V85" s="55"/>
    </row>
    <row r="86" spans="5:22" hidden="1" x14ac:dyDescent="0.25">
      <c r="E86" s="55" t="str">
        <f>AL5</f>
        <v xml:space="preserve"> </v>
      </c>
      <c r="F86" s="55" t="str">
        <f>AL24</f>
        <v xml:space="preserve"> </v>
      </c>
      <c r="G86" s="55" t="str">
        <f>AL13</f>
        <v xml:space="preserve"> </v>
      </c>
      <c r="H86" s="55" t="str">
        <f>AL32</f>
        <v xml:space="preserve"> </v>
      </c>
      <c r="I86" s="55" t="str">
        <f>BG5</f>
        <v xml:space="preserve"> </v>
      </c>
      <c r="J86" s="55" t="str">
        <f>BG24</f>
        <v xml:space="preserve"> </v>
      </c>
      <c r="K86" s="55" t="str">
        <f>BG13</f>
        <v xml:space="preserve"> </v>
      </c>
      <c r="L86" s="55" t="str">
        <f>BG32</f>
        <v xml:space="preserve"> </v>
      </c>
      <c r="N86" s="55" t="str">
        <f>AL9</f>
        <v xml:space="preserve"> </v>
      </c>
      <c r="O86" s="55" t="str">
        <f>AL28</f>
        <v xml:space="preserve"> </v>
      </c>
      <c r="P86" s="55" t="str">
        <f>AL17</f>
        <v xml:space="preserve"> </v>
      </c>
      <c r="Q86" s="55" t="str">
        <f>AL36</f>
        <v xml:space="preserve"> </v>
      </c>
      <c r="R86" s="55" t="str">
        <f>BG9</f>
        <v xml:space="preserve"> </v>
      </c>
      <c r="S86" s="55" t="str">
        <f>BG28</f>
        <v xml:space="preserve"> </v>
      </c>
      <c r="T86" s="55" t="str">
        <f>BG17</f>
        <v xml:space="preserve"> </v>
      </c>
      <c r="U86" s="55" t="str">
        <f>BG36</f>
        <v xml:space="preserve"> </v>
      </c>
      <c r="V86" s="55"/>
    </row>
    <row r="87" spans="5:22" hidden="1" x14ac:dyDescent="0.25">
      <c r="E87" s="55" t="str">
        <f>AL6</f>
        <v xml:space="preserve"> </v>
      </c>
      <c r="F87" s="55" t="str">
        <f>AL25</f>
        <v xml:space="preserve"> </v>
      </c>
      <c r="G87" s="55" t="str">
        <f>AL14</f>
        <v xml:space="preserve"> </v>
      </c>
      <c r="H87" s="55" t="str">
        <f>AL33</f>
        <v xml:space="preserve"> </v>
      </c>
      <c r="I87" s="55" t="str">
        <f>BG6</f>
        <v xml:space="preserve"> </v>
      </c>
      <c r="J87" s="55" t="str">
        <f>BG25</f>
        <v xml:space="preserve"> </v>
      </c>
      <c r="K87" s="55" t="str">
        <f>BG14</f>
        <v xml:space="preserve"> </v>
      </c>
      <c r="L87" s="55" t="str">
        <f>BG33</f>
        <v xml:space="preserve"> </v>
      </c>
      <c r="N87" s="55" t="str">
        <f>AL10</f>
        <v xml:space="preserve"> </v>
      </c>
      <c r="O87" s="55" t="str">
        <f>AL29</f>
        <v xml:space="preserve"> </v>
      </c>
      <c r="P87" s="55" t="str">
        <f>AL18</f>
        <v xml:space="preserve"> </v>
      </c>
      <c r="Q87" s="55" t="str">
        <f>AL37</f>
        <v xml:space="preserve"> </v>
      </c>
      <c r="R87" s="55" t="str">
        <f>BG10</f>
        <v xml:space="preserve"> </v>
      </c>
      <c r="S87" s="55" t="str">
        <f>BG29</f>
        <v xml:space="preserve"> </v>
      </c>
      <c r="T87" s="55" t="str">
        <f>BG18</f>
        <v xml:space="preserve"> </v>
      </c>
      <c r="U87" s="55" t="str">
        <f>BG37</f>
        <v xml:space="preserve"> </v>
      </c>
      <c r="V87" s="55"/>
    </row>
    <row r="88" spans="5:22" hidden="1" x14ac:dyDescent="0.25">
      <c r="E88" s="56" t="str">
        <f>AL7</f>
        <v xml:space="preserve"> </v>
      </c>
      <c r="F88" s="56" t="str">
        <f>AL26</f>
        <v xml:space="preserve"> </v>
      </c>
      <c r="G88" s="56" t="str">
        <f>AL15</f>
        <v xml:space="preserve"> </v>
      </c>
      <c r="H88" s="56" t="str">
        <f>AL34</f>
        <v xml:space="preserve"> </v>
      </c>
      <c r="I88" s="56" t="str">
        <f>BG7</f>
        <v xml:space="preserve"> </v>
      </c>
      <c r="J88" s="56" t="str">
        <f>BG26</f>
        <v xml:space="preserve"> </v>
      </c>
      <c r="K88" s="56" t="str">
        <f>BG15</f>
        <v xml:space="preserve"> </v>
      </c>
      <c r="L88" s="56" t="str">
        <f>BG34</f>
        <v xml:space="preserve"> </v>
      </c>
      <c r="N88" s="56" t="str">
        <f>AL11</f>
        <v xml:space="preserve"> </v>
      </c>
      <c r="O88" s="56" t="str">
        <f>AL30</f>
        <v xml:space="preserve"> </v>
      </c>
      <c r="P88" s="56" t="str">
        <f>AL19</f>
        <v xml:space="preserve"> </v>
      </c>
      <c r="Q88" s="56" t="str">
        <f>AL38</f>
        <v xml:space="preserve"> </v>
      </c>
      <c r="R88" s="56" t="str">
        <f>BG11</f>
        <v xml:space="preserve"> </v>
      </c>
      <c r="S88" s="56" t="str">
        <f>BG30</f>
        <v xml:space="preserve"> </v>
      </c>
      <c r="T88" s="56" t="str">
        <f>BG19</f>
        <v xml:space="preserve"> </v>
      </c>
      <c r="U88" s="56" t="str">
        <f>BG38</f>
        <v xml:space="preserve"> </v>
      </c>
      <c r="V88" s="55"/>
    </row>
    <row r="89" spans="5:22" hidden="1" x14ac:dyDescent="0.25">
      <c r="E89" s="57" t="str">
        <f>AM4</f>
        <v xml:space="preserve"> </v>
      </c>
      <c r="F89" s="57" t="str">
        <f>AM23</f>
        <v xml:space="preserve"> </v>
      </c>
      <c r="G89" s="57" t="str">
        <f>AM12</f>
        <v xml:space="preserve"> </v>
      </c>
      <c r="H89" s="57" t="str">
        <f>AM31</f>
        <v xml:space="preserve"> </v>
      </c>
      <c r="I89" s="57" t="str">
        <f>BH4</f>
        <v xml:space="preserve"> </v>
      </c>
      <c r="J89" s="57" t="str">
        <f>BH23</f>
        <v xml:space="preserve"> </v>
      </c>
      <c r="K89" s="57" t="str">
        <f>BH12</f>
        <v xml:space="preserve"> </v>
      </c>
      <c r="L89" s="57" t="str">
        <f>BH31</f>
        <v xml:space="preserve"> </v>
      </c>
      <c r="N89" s="57" t="str">
        <f>AM8</f>
        <v xml:space="preserve"> </v>
      </c>
      <c r="O89" s="57" t="str">
        <f>AM27</f>
        <v xml:space="preserve"> </v>
      </c>
      <c r="P89" s="57" t="str">
        <f>AM16</f>
        <v xml:space="preserve"> </v>
      </c>
      <c r="Q89" s="57" t="str">
        <f>AM35</f>
        <v xml:space="preserve"> </v>
      </c>
      <c r="R89" s="57" t="str">
        <f>BH8</f>
        <v xml:space="preserve"> </v>
      </c>
      <c r="S89" s="57" t="str">
        <f>BH27</f>
        <v xml:space="preserve"> </v>
      </c>
      <c r="T89" s="57" t="str">
        <f>BH16</f>
        <v xml:space="preserve"> </v>
      </c>
      <c r="U89" s="57" t="str">
        <f>BH35</f>
        <v xml:space="preserve"> </v>
      </c>
      <c r="V89" s="55"/>
    </row>
    <row r="90" spans="5:22" hidden="1" x14ac:dyDescent="0.25">
      <c r="E90" s="55" t="str">
        <f>AM5</f>
        <v xml:space="preserve"> </v>
      </c>
      <c r="F90" s="55" t="str">
        <f>AM24</f>
        <v xml:space="preserve"> </v>
      </c>
      <c r="G90" s="55" t="str">
        <f>AM13</f>
        <v xml:space="preserve"> </v>
      </c>
      <c r="H90" s="55" t="str">
        <f>AM32</f>
        <v xml:space="preserve"> </v>
      </c>
      <c r="I90" s="55" t="str">
        <f>BH5</f>
        <v xml:space="preserve"> </v>
      </c>
      <c r="J90" s="55" t="str">
        <f>BH24</f>
        <v xml:space="preserve"> </v>
      </c>
      <c r="K90" s="55" t="str">
        <f>BH13</f>
        <v xml:space="preserve"> </v>
      </c>
      <c r="L90" s="55" t="str">
        <f>BH32</f>
        <v xml:space="preserve"> </v>
      </c>
      <c r="N90" s="55" t="str">
        <f>AM9</f>
        <v xml:space="preserve"> </v>
      </c>
      <c r="O90" s="55" t="str">
        <f>AM28</f>
        <v xml:space="preserve"> </v>
      </c>
      <c r="P90" s="55" t="str">
        <f>AM17</f>
        <v xml:space="preserve"> </v>
      </c>
      <c r="Q90" s="55" t="str">
        <f>AM36</f>
        <v xml:space="preserve"> </v>
      </c>
      <c r="R90" s="55" t="str">
        <f>BH9</f>
        <v xml:space="preserve"> </v>
      </c>
      <c r="S90" s="55" t="str">
        <f>BH28</f>
        <v xml:space="preserve"> </v>
      </c>
      <c r="T90" s="55" t="str">
        <f>BH17</f>
        <v xml:space="preserve"> </v>
      </c>
      <c r="U90" s="55" t="str">
        <f>BH36</f>
        <v xml:space="preserve"> </v>
      </c>
      <c r="V90" s="55"/>
    </row>
    <row r="91" spans="5:22" hidden="1" x14ac:dyDescent="0.25">
      <c r="E91" s="55" t="str">
        <f>AM6</f>
        <v xml:space="preserve"> </v>
      </c>
      <c r="F91" s="55" t="str">
        <f>AM25</f>
        <v xml:space="preserve"> </v>
      </c>
      <c r="G91" s="55" t="str">
        <f>AM14</f>
        <v xml:space="preserve"> </v>
      </c>
      <c r="H91" s="55" t="str">
        <f>AM33</f>
        <v xml:space="preserve"> </v>
      </c>
      <c r="I91" s="55" t="str">
        <f>BH6</f>
        <v xml:space="preserve"> </v>
      </c>
      <c r="J91" s="55" t="str">
        <f>BH25</f>
        <v xml:space="preserve"> </v>
      </c>
      <c r="K91" s="55" t="str">
        <f>BH14</f>
        <v xml:space="preserve"> </v>
      </c>
      <c r="L91" s="55" t="str">
        <f>BH33</f>
        <v xml:space="preserve"> </v>
      </c>
      <c r="N91" s="55" t="str">
        <f>AM10</f>
        <v xml:space="preserve"> </v>
      </c>
      <c r="O91" s="55" t="str">
        <f>AM29</f>
        <v xml:space="preserve"> </v>
      </c>
      <c r="P91" s="55" t="str">
        <f>AM18</f>
        <v xml:space="preserve"> </v>
      </c>
      <c r="Q91" s="55" t="str">
        <f>AM37</f>
        <v xml:space="preserve"> </v>
      </c>
      <c r="R91" s="55" t="str">
        <f>BH10</f>
        <v xml:space="preserve"> </v>
      </c>
      <c r="S91" s="55" t="str">
        <f>BH29</f>
        <v xml:space="preserve"> </v>
      </c>
      <c r="T91" s="55" t="str">
        <f>BH18</f>
        <v xml:space="preserve"> </v>
      </c>
      <c r="U91" s="55" t="str">
        <f>BH37</f>
        <v xml:space="preserve"> </v>
      </c>
      <c r="V91" s="55"/>
    </row>
    <row r="92" spans="5:22" hidden="1" x14ac:dyDescent="0.25">
      <c r="E92" s="56" t="str">
        <f>AM7</f>
        <v xml:space="preserve"> </v>
      </c>
      <c r="F92" s="56" t="str">
        <f>AM26</f>
        <v xml:space="preserve"> </v>
      </c>
      <c r="G92" s="56" t="str">
        <f>AM15</f>
        <v xml:space="preserve"> </v>
      </c>
      <c r="H92" s="56" t="str">
        <f>AM34</f>
        <v xml:space="preserve"> </v>
      </c>
      <c r="I92" s="56" t="str">
        <f>BH7</f>
        <v xml:space="preserve"> </v>
      </c>
      <c r="J92" s="56" t="str">
        <f>BH26</f>
        <v xml:space="preserve"> </v>
      </c>
      <c r="K92" s="56" t="str">
        <f>BH15</f>
        <v xml:space="preserve"> </v>
      </c>
      <c r="L92" s="56" t="str">
        <f>BH34</f>
        <v xml:space="preserve"> </v>
      </c>
      <c r="N92" s="56" t="str">
        <f>AM11</f>
        <v xml:space="preserve"> </v>
      </c>
      <c r="O92" s="56" t="str">
        <f>AM30</f>
        <v xml:space="preserve"> </v>
      </c>
      <c r="P92" s="56" t="str">
        <f>AM19</f>
        <v xml:space="preserve"> </v>
      </c>
      <c r="Q92" s="56" t="str">
        <f>AM38</f>
        <v xml:space="preserve"> </v>
      </c>
      <c r="R92" s="56" t="str">
        <f>BH11</f>
        <v xml:space="preserve"> </v>
      </c>
      <c r="S92" s="56" t="str">
        <f>BH30</f>
        <v xml:space="preserve"> </v>
      </c>
      <c r="T92" s="56" t="str">
        <f>BH19</f>
        <v xml:space="preserve"> </v>
      </c>
      <c r="U92" s="56" t="str">
        <f>BH38</f>
        <v xml:space="preserve"> </v>
      </c>
      <c r="V92" s="55"/>
    </row>
    <row r="93" spans="5:22" hidden="1" x14ac:dyDescent="0.25">
      <c r="E93" s="55" t="str">
        <f>AN4</f>
        <v xml:space="preserve"> </v>
      </c>
      <c r="F93" s="55" t="str">
        <f>AN23</f>
        <v xml:space="preserve"> </v>
      </c>
      <c r="G93" s="55" t="str">
        <f>AN12</f>
        <v xml:space="preserve"> </v>
      </c>
      <c r="H93" s="55" t="str">
        <f>AN31</f>
        <v xml:space="preserve"> </v>
      </c>
      <c r="I93" s="55" t="str">
        <f>BI4</f>
        <v xml:space="preserve"> </v>
      </c>
      <c r="J93" s="55" t="str">
        <f>BI23</f>
        <v xml:space="preserve"> </v>
      </c>
      <c r="K93" s="55" t="str">
        <f>BI12</f>
        <v xml:space="preserve"> </v>
      </c>
      <c r="L93" s="55" t="str">
        <f>BI31</f>
        <v xml:space="preserve"> </v>
      </c>
      <c r="N93" s="57" t="str">
        <f>AN8</f>
        <v xml:space="preserve"> </v>
      </c>
      <c r="O93" s="57" t="str">
        <f>AN27</f>
        <v xml:space="preserve"> </v>
      </c>
      <c r="P93" s="57" t="str">
        <f>AN16</f>
        <v xml:space="preserve"> </v>
      </c>
      <c r="Q93" s="57" t="str">
        <f>AN35</f>
        <v xml:space="preserve"> </v>
      </c>
      <c r="R93" s="57" t="str">
        <f>BI8</f>
        <v xml:space="preserve"> </v>
      </c>
      <c r="S93" s="57" t="str">
        <f>BI27</f>
        <v xml:space="preserve"> </v>
      </c>
      <c r="T93" s="57" t="str">
        <f>BI16</f>
        <v xml:space="preserve"> </v>
      </c>
      <c r="U93" s="57" t="str">
        <f>BI35</f>
        <v xml:space="preserve"> </v>
      </c>
      <c r="V93" s="55"/>
    </row>
    <row r="94" spans="5:22" hidden="1" x14ac:dyDescent="0.25">
      <c r="E94" s="55" t="str">
        <f>AN5</f>
        <v xml:space="preserve"> </v>
      </c>
      <c r="F94" s="55" t="str">
        <f>AN24</f>
        <v xml:space="preserve"> </v>
      </c>
      <c r="G94" s="55" t="str">
        <f>AN13</f>
        <v xml:space="preserve"> </v>
      </c>
      <c r="H94" s="55" t="str">
        <f>AN32</f>
        <v xml:space="preserve"> </v>
      </c>
      <c r="I94" s="55" t="str">
        <f>BI5</f>
        <v xml:space="preserve"> </v>
      </c>
      <c r="J94" s="55" t="str">
        <f>BI24</f>
        <v xml:space="preserve"> </v>
      </c>
      <c r="K94" s="55" t="str">
        <f>BI13</f>
        <v xml:space="preserve"> </v>
      </c>
      <c r="L94" s="55" t="str">
        <f>BI32</f>
        <v xml:space="preserve"> </v>
      </c>
      <c r="N94" s="55" t="str">
        <f>AN9</f>
        <v xml:space="preserve"> </v>
      </c>
      <c r="O94" s="55" t="str">
        <f>AN28</f>
        <v xml:space="preserve"> </v>
      </c>
      <c r="P94" s="55" t="str">
        <f>AN17</f>
        <v xml:space="preserve"> </v>
      </c>
      <c r="Q94" s="55" t="str">
        <f>AN36</f>
        <v xml:space="preserve"> </v>
      </c>
      <c r="R94" s="55" t="str">
        <f>BI9</f>
        <v xml:space="preserve"> </v>
      </c>
      <c r="S94" s="55" t="str">
        <f>BI28</f>
        <v xml:space="preserve"> </v>
      </c>
      <c r="T94" s="55" t="str">
        <f>BI17</f>
        <v xml:space="preserve"> </v>
      </c>
      <c r="U94" s="55" t="str">
        <f>BI36</f>
        <v xml:space="preserve"> </v>
      </c>
      <c r="V94" s="55"/>
    </row>
    <row r="95" spans="5:22" hidden="1" x14ac:dyDescent="0.25">
      <c r="E95" s="55" t="str">
        <f>AN6</f>
        <v xml:space="preserve"> </v>
      </c>
      <c r="F95" s="55" t="str">
        <f>AN25</f>
        <v xml:space="preserve"> </v>
      </c>
      <c r="G95" s="55" t="str">
        <f>AN14</f>
        <v xml:space="preserve"> </v>
      </c>
      <c r="H95" s="55" t="str">
        <f>AN33</f>
        <v xml:space="preserve"> </v>
      </c>
      <c r="I95" s="55" t="str">
        <f>BI6</f>
        <v xml:space="preserve"> </v>
      </c>
      <c r="J95" s="55" t="str">
        <f>BI25</f>
        <v xml:space="preserve"> </v>
      </c>
      <c r="K95" s="55" t="str">
        <f>BI14</f>
        <v xml:space="preserve"> </v>
      </c>
      <c r="L95" s="55" t="str">
        <f>BI33</f>
        <v xml:space="preserve"> </v>
      </c>
      <c r="N95" s="55" t="str">
        <f>AN10</f>
        <v xml:space="preserve"> </v>
      </c>
      <c r="O95" s="55" t="str">
        <f>AN29</f>
        <v xml:space="preserve"> </v>
      </c>
      <c r="P95" s="55" t="str">
        <f>AN18</f>
        <v xml:space="preserve"> </v>
      </c>
      <c r="Q95" s="55" t="str">
        <f>AN37</f>
        <v xml:space="preserve"> </v>
      </c>
      <c r="R95" s="55" t="str">
        <f>BI10</f>
        <v xml:space="preserve"> </v>
      </c>
      <c r="S95" s="55" t="str">
        <f>BI29</f>
        <v xml:space="preserve"> </v>
      </c>
      <c r="T95" s="55" t="str">
        <f>BI18</f>
        <v xml:space="preserve"> </v>
      </c>
      <c r="U95" s="55" t="str">
        <f>BI37</f>
        <v xml:space="preserve"> </v>
      </c>
      <c r="V95" s="55"/>
    </row>
    <row r="96" spans="5:22" hidden="1" x14ac:dyDescent="0.25">
      <c r="E96" s="56" t="str">
        <f>AN7</f>
        <v xml:space="preserve"> </v>
      </c>
      <c r="F96" s="56" t="str">
        <f>AN26</f>
        <v xml:space="preserve"> </v>
      </c>
      <c r="G96" s="56" t="str">
        <f>AN15</f>
        <v xml:space="preserve"> </v>
      </c>
      <c r="H96" s="56" t="str">
        <f>AN34</f>
        <v xml:space="preserve"> </v>
      </c>
      <c r="I96" s="56" t="str">
        <f>BI7</f>
        <v xml:space="preserve"> </v>
      </c>
      <c r="J96" s="56" t="str">
        <f>BI26</f>
        <v xml:space="preserve"> </v>
      </c>
      <c r="K96" s="56" t="str">
        <f>BI15</f>
        <v xml:space="preserve"> </v>
      </c>
      <c r="L96" s="55" t="str">
        <f>BI34</f>
        <v xml:space="preserve"> </v>
      </c>
      <c r="N96" s="56" t="str">
        <f>AN11</f>
        <v xml:space="preserve"> </v>
      </c>
      <c r="O96" s="56" t="str">
        <f>AN30</f>
        <v xml:space="preserve"> </v>
      </c>
      <c r="P96" s="56" t="str">
        <f>AN19</f>
        <v xml:space="preserve"> </v>
      </c>
      <c r="Q96" s="56" t="str">
        <f>AN38</f>
        <v xml:space="preserve"> </v>
      </c>
      <c r="R96" s="56" t="str">
        <f>BI11</f>
        <v xml:space="preserve"> </v>
      </c>
      <c r="S96" s="56" t="str">
        <f>BI30</f>
        <v xml:space="preserve"> </v>
      </c>
      <c r="T96" s="56" t="str">
        <f>BI19</f>
        <v xml:space="preserve"> </v>
      </c>
      <c r="U96" s="56" t="str">
        <f>BI38</f>
        <v xml:space="preserve"> </v>
      </c>
      <c r="V96" s="55"/>
    </row>
    <row r="97" spans="5:24" hidden="1" x14ac:dyDescent="0.25">
      <c r="E97" s="55" t="str">
        <f>AO4</f>
        <v xml:space="preserve"> </v>
      </c>
      <c r="F97" s="55" t="str">
        <f>AO23</f>
        <v xml:space="preserve"> </v>
      </c>
      <c r="G97" s="55" t="str">
        <f>AO12</f>
        <v xml:space="preserve"> </v>
      </c>
      <c r="H97" s="55" t="str">
        <f>AO31</f>
        <v xml:space="preserve"> </v>
      </c>
      <c r="I97" s="55" t="str">
        <f>BJ4</f>
        <v xml:space="preserve"> </v>
      </c>
      <c r="J97" s="55" t="str">
        <f>BJ23</f>
        <v xml:space="preserve"> </v>
      </c>
      <c r="K97" s="55" t="str">
        <f>BJ12</f>
        <v xml:space="preserve"> </v>
      </c>
      <c r="L97" s="57" t="str">
        <f>BJ31</f>
        <v xml:space="preserve"> </v>
      </c>
      <c r="N97" s="55" t="str">
        <f>AO8</f>
        <v xml:space="preserve"> </v>
      </c>
      <c r="O97" s="55" t="str">
        <f>AO27</f>
        <v xml:space="preserve"> </v>
      </c>
      <c r="P97" s="55" t="str">
        <f>AO16</f>
        <v xml:space="preserve"> </v>
      </c>
      <c r="Q97" s="55" t="str">
        <f>AO35</f>
        <v xml:space="preserve"> </v>
      </c>
      <c r="R97" s="55" t="str">
        <f>BJ8</f>
        <v xml:space="preserve"> </v>
      </c>
      <c r="S97" s="55" t="str">
        <f>BJ27</f>
        <v xml:space="preserve"> </v>
      </c>
      <c r="T97" s="55" t="str">
        <f>BJ16</f>
        <v xml:space="preserve"> </v>
      </c>
      <c r="U97" s="55" t="str">
        <f>BJ35</f>
        <v xml:space="preserve"> </v>
      </c>
      <c r="V97" s="55"/>
    </row>
    <row r="98" spans="5:24" hidden="1" x14ac:dyDescent="0.25">
      <c r="E98" s="55" t="str">
        <f>AO5</f>
        <v xml:space="preserve"> </v>
      </c>
      <c r="F98" s="55" t="str">
        <f>AO24</f>
        <v xml:space="preserve"> </v>
      </c>
      <c r="G98" s="55" t="str">
        <f>AO13</f>
        <v xml:space="preserve"> </v>
      </c>
      <c r="H98" s="55" t="str">
        <f>AO32</f>
        <v xml:space="preserve"> </v>
      </c>
      <c r="I98" s="55" t="str">
        <f>BJ5</f>
        <v xml:space="preserve"> </v>
      </c>
      <c r="J98" s="55" t="str">
        <f>BJ24</f>
        <v xml:space="preserve"> </v>
      </c>
      <c r="K98" s="55" t="str">
        <f>BJ13</f>
        <v xml:space="preserve"> </v>
      </c>
      <c r="L98" s="55" t="str">
        <f>BJ32</f>
        <v xml:space="preserve"> </v>
      </c>
      <c r="N98" s="55" t="str">
        <f>AO9</f>
        <v xml:space="preserve"> </v>
      </c>
      <c r="O98" s="55" t="str">
        <f>AO28</f>
        <v xml:space="preserve"> </v>
      </c>
      <c r="P98" s="55" t="str">
        <f>AO17</f>
        <v xml:space="preserve"> </v>
      </c>
      <c r="Q98" s="55" t="str">
        <f>AO36</f>
        <v xml:space="preserve"> </v>
      </c>
      <c r="R98" s="55" t="str">
        <f>BJ9</f>
        <v xml:space="preserve"> </v>
      </c>
      <c r="S98" s="55" t="str">
        <f>BJ28</f>
        <v xml:space="preserve"> </v>
      </c>
      <c r="T98" s="55" t="str">
        <f>BJ17</f>
        <v xml:space="preserve"> </v>
      </c>
      <c r="U98" s="55" t="str">
        <f>BJ36</f>
        <v xml:space="preserve"> </v>
      </c>
      <c r="V98" s="55"/>
    </row>
    <row r="99" spans="5:24" hidden="1" x14ac:dyDescent="0.25">
      <c r="E99" s="55" t="str">
        <f>AO6</f>
        <v xml:space="preserve"> </v>
      </c>
      <c r="F99" s="55" t="str">
        <f>AO25</f>
        <v xml:space="preserve"> </v>
      </c>
      <c r="G99" s="55" t="str">
        <f>AO14</f>
        <v xml:space="preserve"> </v>
      </c>
      <c r="H99" s="55" t="str">
        <f>AO33</f>
        <v xml:space="preserve"> </v>
      </c>
      <c r="I99" s="55" t="str">
        <f>BJ6</f>
        <v xml:space="preserve"> </v>
      </c>
      <c r="J99" s="55" t="str">
        <f>BJ25</f>
        <v xml:space="preserve"> </v>
      </c>
      <c r="K99" s="55" t="str">
        <f>BJ14</f>
        <v xml:space="preserve"> </v>
      </c>
      <c r="L99" s="55" t="str">
        <f>BJ33</f>
        <v xml:space="preserve"> </v>
      </c>
      <c r="N99" s="55" t="str">
        <f>AO10</f>
        <v xml:space="preserve"> </v>
      </c>
      <c r="O99" s="55" t="str">
        <f>AO29</f>
        <v xml:space="preserve"> </v>
      </c>
      <c r="P99" s="55" t="str">
        <f>AO18</f>
        <v xml:space="preserve"> </v>
      </c>
      <c r="Q99" s="55" t="str">
        <f>AO37</f>
        <v xml:space="preserve"> </v>
      </c>
      <c r="R99" s="55" t="str">
        <f>BJ10</f>
        <v xml:space="preserve"> </v>
      </c>
      <c r="S99" s="55" t="str">
        <f>BJ29</f>
        <v xml:space="preserve"> </v>
      </c>
      <c r="T99" s="55" t="str">
        <f>BJ18</f>
        <v xml:space="preserve"> </v>
      </c>
      <c r="U99" s="55" t="str">
        <f>BJ37</f>
        <v xml:space="preserve"> </v>
      </c>
      <c r="V99" s="55"/>
    </row>
    <row r="100" spans="5:24" hidden="1" x14ac:dyDescent="0.25">
      <c r="E100" s="56" t="str">
        <f>AO7</f>
        <v xml:space="preserve"> </v>
      </c>
      <c r="F100" s="56" t="str">
        <f>AO26</f>
        <v xml:space="preserve"> </v>
      </c>
      <c r="G100" s="56" t="str">
        <f>AO15</f>
        <v xml:space="preserve"> </v>
      </c>
      <c r="H100" s="56" t="str">
        <f>AO34</f>
        <v xml:space="preserve"> </v>
      </c>
      <c r="I100" s="56" t="str">
        <f>BJ7</f>
        <v xml:space="preserve"> </v>
      </c>
      <c r="J100" s="56" t="str">
        <f>BJ26</f>
        <v xml:space="preserve"> </v>
      </c>
      <c r="K100" s="56" t="str">
        <f>BJ15</f>
        <v xml:space="preserve"> </v>
      </c>
      <c r="L100" s="56" t="str">
        <f>BJ34</f>
        <v xml:space="preserve"> </v>
      </c>
      <c r="N100" s="56" t="str">
        <f>AO11</f>
        <v xml:space="preserve"> </v>
      </c>
      <c r="O100" s="56" t="str">
        <f>AO30</f>
        <v xml:space="preserve"> </v>
      </c>
      <c r="P100" s="56" t="str">
        <f>AO19</f>
        <v xml:space="preserve"> </v>
      </c>
      <c r="Q100" s="56" t="str">
        <f>AO38</f>
        <v xml:space="preserve"> </v>
      </c>
      <c r="R100" s="56" t="str">
        <f>BJ11</f>
        <v xml:space="preserve"> </v>
      </c>
      <c r="S100" s="56" t="str">
        <f>BJ30</f>
        <v xml:space="preserve"> </v>
      </c>
      <c r="T100" s="56" t="str">
        <f>BJ19</f>
        <v xml:space="preserve"> </v>
      </c>
      <c r="U100" s="56" t="str">
        <f>BJ38</f>
        <v xml:space="preserve"> </v>
      </c>
      <c r="V100" s="55"/>
    </row>
    <row r="101" spans="5:24" hidden="1" x14ac:dyDescent="0.25">
      <c r="E101" s="55" t="str">
        <f>AP4</f>
        <v xml:space="preserve"> </v>
      </c>
      <c r="F101" s="55" t="str">
        <f>AP23</f>
        <v xml:space="preserve"> </v>
      </c>
      <c r="G101" s="55" t="str">
        <f>AP12</f>
        <v xml:space="preserve"> </v>
      </c>
      <c r="H101" s="55" t="str">
        <f>AP31</f>
        <v xml:space="preserve"> </v>
      </c>
      <c r="I101" s="55" t="str">
        <f>BK4</f>
        <v xml:space="preserve"> </v>
      </c>
      <c r="J101" s="55" t="str">
        <f>BK23</f>
        <v xml:space="preserve"> </v>
      </c>
      <c r="K101" s="55" t="str">
        <f>BK12</f>
        <v xml:space="preserve"> </v>
      </c>
      <c r="L101" s="55" t="str">
        <f>BK31</f>
        <v xml:space="preserve"> </v>
      </c>
      <c r="N101" s="55" t="str">
        <f>AP8</f>
        <v xml:space="preserve"> </v>
      </c>
      <c r="O101" s="55" t="str">
        <f>AP27</f>
        <v xml:space="preserve"> </v>
      </c>
      <c r="P101" s="55" t="str">
        <f>AP16</f>
        <v xml:space="preserve"> </v>
      </c>
      <c r="Q101" s="55" t="str">
        <f>AP35</f>
        <v xml:space="preserve"> </v>
      </c>
      <c r="R101" s="55" t="str">
        <f>BK8</f>
        <v xml:space="preserve"> </v>
      </c>
      <c r="S101" s="55" t="str">
        <f>BK27</f>
        <v xml:space="preserve"> </v>
      </c>
      <c r="T101" s="55" t="str">
        <f>BK16</f>
        <v xml:space="preserve"> </v>
      </c>
      <c r="U101" s="55" t="str">
        <f>BK35</f>
        <v xml:space="preserve"> </v>
      </c>
      <c r="V101" s="55"/>
    </row>
    <row r="102" spans="5:24" hidden="1" x14ac:dyDescent="0.25">
      <c r="E102" s="55" t="str">
        <f>AP5</f>
        <v xml:space="preserve"> </v>
      </c>
      <c r="F102" s="55" t="str">
        <f>AP24</f>
        <v xml:space="preserve"> </v>
      </c>
      <c r="G102" s="55" t="str">
        <f>AP13</f>
        <v xml:space="preserve"> </v>
      </c>
      <c r="H102" s="55" t="str">
        <f>AP32</f>
        <v xml:space="preserve"> </v>
      </c>
      <c r="I102" s="55" t="str">
        <f>BK5</f>
        <v xml:space="preserve"> </v>
      </c>
      <c r="J102" s="55" t="str">
        <f>BK24</f>
        <v xml:space="preserve"> </v>
      </c>
      <c r="K102" s="55" t="str">
        <f>BK13</f>
        <v xml:space="preserve"> </v>
      </c>
      <c r="L102" s="55" t="str">
        <f>BK32</f>
        <v xml:space="preserve"> </v>
      </c>
      <c r="N102" s="55" t="str">
        <f>AP9</f>
        <v xml:space="preserve"> </v>
      </c>
      <c r="O102" s="55" t="str">
        <f>AP28</f>
        <v xml:space="preserve"> </v>
      </c>
      <c r="P102" s="55" t="str">
        <f>AP17</f>
        <v xml:space="preserve"> </v>
      </c>
      <c r="Q102" s="55" t="str">
        <f>AP36</f>
        <v xml:space="preserve"> </v>
      </c>
      <c r="R102" s="55" t="str">
        <f>BK9</f>
        <v xml:space="preserve"> </v>
      </c>
      <c r="S102" s="55" t="str">
        <f>BK28</f>
        <v xml:space="preserve"> </v>
      </c>
      <c r="T102" s="55" t="str">
        <f>BK17</f>
        <v xml:space="preserve"> </v>
      </c>
      <c r="U102" s="55" t="str">
        <f>BK36</f>
        <v xml:space="preserve"> </v>
      </c>
      <c r="V102" s="55"/>
    </row>
    <row r="103" spans="5:24" hidden="1" x14ac:dyDescent="0.25">
      <c r="E103" s="55" t="str">
        <f>AP6</f>
        <v xml:space="preserve"> </v>
      </c>
      <c r="F103" s="55" t="str">
        <f>AP25</f>
        <v xml:space="preserve"> </v>
      </c>
      <c r="G103" s="55" t="str">
        <f>AP14</f>
        <v xml:space="preserve"> </v>
      </c>
      <c r="H103" s="55" t="str">
        <f>AP33</f>
        <v xml:space="preserve"> </v>
      </c>
      <c r="I103" s="55" t="str">
        <f>BK6</f>
        <v xml:space="preserve"> </v>
      </c>
      <c r="J103" s="55" t="str">
        <f>BK25</f>
        <v xml:space="preserve"> </v>
      </c>
      <c r="K103" s="55" t="str">
        <f>BK14</f>
        <v xml:space="preserve"> </v>
      </c>
      <c r="L103" s="55" t="str">
        <f>BK33</f>
        <v xml:space="preserve"> </v>
      </c>
      <c r="N103" s="55" t="str">
        <f>AP10</f>
        <v xml:space="preserve"> </v>
      </c>
      <c r="O103" s="55" t="str">
        <f>AP29</f>
        <v xml:space="preserve"> </v>
      </c>
      <c r="P103" s="55" t="str">
        <f>AP18</f>
        <v xml:space="preserve"> </v>
      </c>
      <c r="Q103" s="55" t="str">
        <f>AP37</f>
        <v xml:space="preserve"> </v>
      </c>
      <c r="R103" s="55" t="str">
        <f>BK10</f>
        <v xml:space="preserve"> </v>
      </c>
      <c r="S103" s="55" t="str">
        <f>BK29</f>
        <v xml:space="preserve"> </v>
      </c>
      <c r="T103" s="55" t="str">
        <f>BK18</f>
        <v xml:space="preserve"> </v>
      </c>
      <c r="U103" s="55" t="str">
        <f>BK37</f>
        <v xml:space="preserve"> </v>
      </c>
      <c r="V103" s="55"/>
    </row>
    <row r="104" spans="5:24" hidden="1" x14ac:dyDescent="0.25">
      <c r="E104" s="56" t="str">
        <f>AP7</f>
        <v xml:space="preserve"> </v>
      </c>
      <c r="F104" s="56" t="str">
        <f>AP26</f>
        <v xml:space="preserve"> </v>
      </c>
      <c r="G104" s="56" t="str">
        <f>AP15</f>
        <v xml:space="preserve"> </v>
      </c>
      <c r="H104" s="56" t="str">
        <f>AP34</f>
        <v xml:space="preserve"> </v>
      </c>
      <c r="I104" s="56" t="str">
        <f>BK7</f>
        <v xml:space="preserve"> </v>
      </c>
      <c r="J104" s="56" t="str">
        <f>BK26</f>
        <v xml:space="preserve"> </v>
      </c>
      <c r="K104" s="56" t="str">
        <f>BK15</f>
        <v xml:space="preserve"> </v>
      </c>
      <c r="L104" s="56" t="str">
        <f>BK34</f>
        <v xml:space="preserve"> </v>
      </c>
      <c r="N104" s="56" t="str">
        <f>AP11</f>
        <v xml:space="preserve"> </v>
      </c>
      <c r="O104" s="56" t="str">
        <f>AP30</f>
        <v xml:space="preserve"> </v>
      </c>
      <c r="P104" s="56" t="str">
        <f>AP19</f>
        <v xml:space="preserve"> </v>
      </c>
      <c r="Q104" s="56" t="str">
        <f>AP38</f>
        <v xml:space="preserve"> </v>
      </c>
      <c r="R104" s="56" t="str">
        <f>BK11</f>
        <v xml:space="preserve"> </v>
      </c>
      <c r="S104" s="56" t="str">
        <f>BK30</f>
        <v xml:space="preserve"> </v>
      </c>
      <c r="T104" s="56" t="str">
        <f>BK19</f>
        <v xml:space="preserve"> </v>
      </c>
      <c r="U104" s="56" t="str">
        <f>BK38</f>
        <v xml:space="preserve"> </v>
      </c>
      <c r="V104" s="55"/>
    </row>
    <row r="105" spans="5:24" hidden="1" x14ac:dyDescent="0.25">
      <c r="E105" s="55" t="str">
        <f>AQ4</f>
        <v xml:space="preserve"> </v>
      </c>
      <c r="F105" s="55" t="str">
        <f>AQ23</f>
        <v xml:space="preserve"> </v>
      </c>
      <c r="G105" s="55" t="str">
        <f>AQ12</f>
        <v xml:space="preserve"> </v>
      </c>
      <c r="H105" s="55" t="str">
        <f>AQ31</f>
        <v xml:space="preserve"> </v>
      </c>
      <c r="I105" s="55" t="str">
        <f>BL4</f>
        <v xml:space="preserve"> </v>
      </c>
      <c r="J105" s="55" t="str">
        <f>BL23</f>
        <v xml:space="preserve"> </v>
      </c>
      <c r="K105" s="55" t="str">
        <f>BL12</f>
        <v xml:space="preserve"> </v>
      </c>
      <c r="L105" s="55" t="str">
        <f>BL31</f>
        <v xml:space="preserve"> </v>
      </c>
      <c r="N105" s="55" t="str">
        <f>AQ8</f>
        <v xml:space="preserve"> </v>
      </c>
      <c r="O105" s="55" t="str">
        <f>AQ27</f>
        <v xml:space="preserve"> </v>
      </c>
      <c r="P105" s="55" t="str">
        <f>AQ16</f>
        <v xml:space="preserve"> </v>
      </c>
      <c r="Q105" s="55" t="str">
        <f>AQ35</f>
        <v xml:space="preserve"> </v>
      </c>
      <c r="R105" s="55" t="str">
        <f>BL8</f>
        <v xml:space="preserve"> </v>
      </c>
      <c r="S105" s="55" t="str">
        <f>BL27</f>
        <v xml:space="preserve"> </v>
      </c>
      <c r="T105" s="55" t="str">
        <f>BL16</f>
        <v xml:space="preserve"> </v>
      </c>
      <c r="U105" s="55" t="str">
        <f>BL35</f>
        <v xml:space="preserve"> </v>
      </c>
      <c r="V105" s="55"/>
    </row>
    <row r="106" spans="5:24" hidden="1" x14ac:dyDescent="0.25">
      <c r="E106" s="55" t="str">
        <f>AQ5</f>
        <v xml:space="preserve"> </v>
      </c>
      <c r="F106" s="55" t="str">
        <f>AQ24</f>
        <v xml:space="preserve"> </v>
      </c>
      <c r="G106" s="55" t="str">
        <f>AQ13</f>
        <v xml:space="preserve"> </v>
      </c>
      <c r="H106" s="55" t="str">
        <f>AQ32</f>
        <v xml:space="preserve"> </v>
      </c>
      <c r="I106" s="55" t="str">
        <f>BL5</f>
        <v xml:space="preserve"> </v>
      </c>
      <c r="J106" s="55" t="str">
        <f>BL24</f>
        <v xml:space="preserve"> </v>
      </c>
      <c r="K106" s="55" t="str">
        <f>BL13</f>
        <v xml:space="preserve"> </v>
      </c>
      <c r="L106" s="55" t="str">
        <f>BL32</f>
        <v xml:space="preserve"> </v>
      </c>
      <c r="N106" s="55" t="str">
        <f>AQ9</f>
        <v xml:space="preserve"> </v>
      </c>
      <c r="O106" s="55" t="str">
        <f>AQ28</f>
        <v xml:space="preserve"> </v>
      </c>
      <c r="P106" s="55" t="str">
        <f>AQ17</f>
        <v xml:space="preserve"> </v>
      </c>
      <c r="Q106" s="55" t="str">
        <f>AQ36</f>
        <v xml:space="preserve"> </v>
      </c>
      <c r="R106" s="55" t="str">
        <f>BL9</f>
        <v xml:space="preserve"> </v>
      </c>
      <c r="S106" s="55" t="str">
        <f>BL28</f>
        <v xml:space="preserve"> </v>
      </c>
      <c r="T106" s="55" t="str">
        <f>BL17</f>
        <v xml:space="preserve"> </v>
      </c>
      <c r="U106" s="55" t="str">
        <f>BL36</f>
        <v xml:space="preserve"> </v>
      </c>
      <c r="V106" s="55"/>
    </row>
    <row r="107" spans="5:24" hidden="1" x14ac:dyDescent="0.25">
      <c r="E107" s="55" t="str">
        <f>AQ6</f>
        <v xml:space="preserve"> </v>
      </c>
      <c r="F107" s="55" t="str">
        <f>AQ25</f>
        <v xml:space="preserve"> </v>
      </c>
      <c r="G107" s="55" t="str">
        <f>AQ14</f>
        <v xml:space="preserve"> </v>
      </c>
      <c r="H107" s="55" t="str">
        <f>AQ33</f>
        <v xml:space="preserve"> </v>
      </c>
      <c r="I107" s="55" t="str">
        <f>BL6</f>
        <v xml:space="preserve"> </v>
      </c>
      <c r="J107" s="55" t="str">
        <f>BL25</f>
        <v xml:space="preserve"> </v>
      </c>
      <c r="K107" s="55" t="str">
        <f>BL14</f>
        <v xml:space="preserve"> </v>
      </c>
      <c r="L107" s="55" t="str">
        <f>BL33</f>
        <v xml:space="preserve"> </v>
      </c>
      <c r="N107" s="55" t="str">
        <f>AQ10</f>
        <v xml:space="preserve"> </v>
      </c>
      <c r="O107" s="55" t="str">
        <f>AQ29</f>
        <v xml:space="preserve"> </v>
      </c>
      <c r="P107" s="55" t="str">
        <f>AQ18</f>
        <v xml:space="preserve"> </v>
      </c>
      <c r="Q107" s="55" t="str">
        <f>AQ37</f>
        <v xml:space="preserve"> </v>
      </c>
      <c r="R107" s="55" t="str">
        <f>BL10</f>
        <v xml:space="preserve"> </v>
      </c>
      <c r="S107" s="55" t="str">
        <f>BL29</f>
        <v xml:space="preserve"> </v>
      </c>
      <c r="T107" s="55" t="str">
        <f>BL18</f>
        <v xml:space="preserve"> </v>
      </c>
      <c r="U107" s="55" t="str">
        <f>BL37</f>
        <v xml:space="preserve"> </v>
      </c>
      <c r="V107" s="55"/>
    </row>
    <row r="108" spans="5:24" hidden="1" x14ac:dyDescent="0.25">
      <c r="E108" s="56" t="str">
        <f>AQ7</f>
        <v xml:space="preserve"> </v>
      </c>
      <c r="F108" s="56" t="str">
        <f>AQ26</f>
        <v xml:space="preserve"> </v>
      </c>
      <c r="G108" s="56" t="str">
        <f>AQ15</f>
        <v xml:space="preserve"> </v>
      </c>
      <c r="H108" s="56" t="str">
        <f>AQ34</f>
        <v xml:space="preserve"> </v>
      </c>
      <c r="I108" s="56" t="str">
        <f>BL7</f>
        <v xml:space="preserve"> </v>
      </c>
      <c r="J108" s="56" t="str">
        <f>BL26</f>
        <v xml:space="preserve"> </v>
      </c>
      <c r="K108" s="56" t="str">
        <f>BL15</f>
        <v xml:space="preserve"> </v>
      </c>
      <c r="L108" s="56" t="str">
        <f>BL34</f>
        <v xml:space="preserve"> </v>
      </c>
      <c r="M108" s="30"/>
      <c r="N108" s="56" t="str">
        <f>AQ11</f>
        <v xml:space="preserve"> </v>
      </c>
      <c r="O108" s="56" t="str">
        <f>AQ30</f>
        <v xml:space="preserve"> </v>
      </c>
      <c r="P108" s="56" t="str">
        <f>AQ19</f>
        <v xml:space="preserve"> </v>
      </c>
      <c r="Q108" s="56" t="str">
        <f>AQ38</f>
        <v xml:space="preserve"> </v>
      </c>
      <c r="R108" s="56" t="str">
        <f>BL11</f>
        <v xml:space="preserve"> </v>
      </c>
      <c r="S108" s="56" t="str">
        <f>BL30</f>
        <v xml:space="preserve"> </v>
      </c>
      <c r="T108" s="56" t="str">
        <f>BL19</f>
        <v xml:space="preserve"> </v>
      </c>
      <c r="U108" s="56" t="str">
        <f>BL38</f>
        <v xml:space="preserve"> </v>
      </c>
      <c r="V108" s="55"/>
    </row>
    <row r="109" spans="5:24" hidden="1" x14ac:dyDescent="0.25">
      <c r="E109" s="55"/>
      <c r="F109" s="55"/>
      <c r="G109" s="55"/>
      <c r="H109" s="55"/>
      <c r="I109" s="55"/>
      <c r="J109" s="55"/>
      <c r="K109" s="55"/>
      <c r="L109" s="55"/>
      <c r="N109" s="55"/>
      <c r="O109" s="55"/>
      <c r="P109" s="55"/>
      <c r="Q109" s="55"/>
      <c r="R109" s="55"/>
      <c r="S109" s="55"/>
      <c r="T109" s="55"/>
      <c r="U109" s="55"/>
      <c r="V109" s="55"/>
      <c r="W109" s="55"/>
      <c r="X109" s="55"/>
    </row>
    <row r="110" spans="5:24" hidden="1" x14ac:dyDescent="0.25">
      <c r="E110" s="55"/>
      <c r="F110" s="55"/>
      <c r="G110" s="55"/>
      <c r="H110" s="55"/>
      <c r="I110" s="55"/>
      <c r="J110" s="55"/>
      <c r="K110" s="55"/>
      <c r="L110" s="55"/>
      <c r="N110" s="55"/>
      <c r="O110" s="55"/>
      <c r="P110" s="55"/>
      <c r="Q110" s="55"/>
      <c r="R110" s="55"/>
      <c r="S110" s="55"/>
      <c r="T110" s="55"/>
      <c r="U110" s="55"/>
      <c r="V110" s="55"/>
      <c r="W110" s="55"/>
      <c r="X110" s="55"/>
    </row>
    <row r="111" spans="5:24" hidden="1" x14ac:dyDescent="0.25">
      <c r="E111" s="55"/>
      <c r="F111" s="55"/>
      <c r="G111" s="55"/>
      <c r="H111" s="55"/>
      <c r="I111" s="55"/>
      <c r="J111" s="55"/>
      <c r="K111" s="55"/>
      <c r="L111" s="55"/>
      <c r="N111" s="55"/>
      <c r="O111" s="55"/>
      <c r="P111" s="55"/>
      <c r="Q111" s="55"/>
      <c r="R111" s="55"/>
      <c r="S111" s="55"/>
      <c r="T111" s="55"/>
      <c r="U111" s="55"/>
      <c r="V111" s="55"/>
      <c r="W111" s="55"/>
      <c r="X111" s="55"/>
    </row>
    <row r="112" spans="5:24" hidden="1" x14ac:dyDescent="0.25">
      <c r="E112" s="55"/>
      <c r="F112" s="55"/>
      <c r="G112" s="55"/>
      <c r="H112" s="55"/>
      <c r="I112" s="55"/>
      <c r="J112" s="55"/>
      <c r="K112" s="55"/>
      <c r="L112" s="55"/>
      <c r="N112" s="55"/>
      <c r="O112" s="55"/>
      <c r="P112" s="55"/>
      <c r="Q112" s="55"/>
      <c r="R112" s="55"/>
      <c r="S112" s="55"/>
      <c r="T112" s="55"/>
      <c r="U112" s="55"/>
      <c r="V112" s="55"/>
      <c r="W112" s="55"/>
      <c r="X112" s="55"/>
    </row>
    <row r="113" spans="1:24" hidden="1" x14ac:dyDescent="0.25"/>
    <row r="114" spans="1:24" hidden="1" x14ac:dyDescent="0.25">
      <c r="A114">
        <v>1</v>
      </c>
      <c r="B114" t="str">
        <f t="shared" ref="B114:B145" si="0">IF(ISNUMBER(C114),A114,"")</f>
        <v/>
      </c>
      <c r="C114" s="55" t="str">
        <f t="shared" ref="C114:C145" si="1">IF(ISNUMBER(E45),-ABS(E45),"")</f>
        <v/>
      </c>
      <c r="D114" s="55" t="str">
        <f t="shared" ref="D114:D145" si="2">IF(ISNUMBER(F45),-ABS(F45),"")</f>
        <v/>
      </c>
      <c r="E114" s="55" t="str">
        <f t="shared" ref="E114:E145" si="3">IF(ISNUMBER(G45),ABS(G45),"")</f>
        <v/>
      </c>
      <c r="F114" s="55" t="str">
        <f t="shared" ref="F114:F145" si="4">IF(ISNUMBER(H45),ABS(H45),"")</f>
        <v/>
      </c>
      <c r="G114" s="55" t="str">
        <f t="shared" ref="G114:G145" si="5">IF(ISNUMBER(I45),-ABS(I45),"")</f>
        <v/>
      </c>
      <c r="H114" s="55" t="str">
        <f t="shared" ref="H114:H145" si="6">IF(ISNUMBER(J45),-ABS(J45),"")</f>
        <v/>
      </c>
      <c r="I114" s="55" t="str">
        <f t="shared" ref="I114:I145" si="7">IF(ISNUMBER(K45),ABS(K45),"")</f>
        <v/>
      </c>
      <c r="J114" s="55" t="str">
        <f t="shared" ref="J114:J145" si="8">IF(ISNUMBER(L45),ABS(L45),"")</f>
        <v/>
      </c>
      <c r="L114">
        <v>1</v>
      </c>
      <c r="M114" t="str">
        <f t="shared" ref="M114:M145" si="9">IF(ISNUMBER(N114),L114,"")</f>
        <v/>
      </c>
      <c r="N114" s="55" t="str">
        <f t="shared" ref="N114:O133" si="10">IF(ISNUMBER(N45),-ABS(N45),"")</f>
        <v/>
      </c>
      <c r="O114" s="55" t="str">
        <f t="shared" si="10"/>
        <v/>
      </c>
      <c r="P114" s="55" t="str">
        <f t="shared" ref="P114:Q133" si="11">IF(ISNUMBER(P45),ABS(P45),"")</f>
        <v/>
      </c>
      <c r="Q114" s="55" t="str">
        <f t="shared" si="11"/>
        <v/>
      </c>
      <c r="R114" s="55" t="str">
        <f t="shared" ref="R114:S133" si="12">IF(ISNUMBER(R45),-ABS(R45),"")</f>
        <v/>
      </c>
      <c r="S114" s="55" t="str">
        <f t="shared" si="12"/>
        <v/>
      </c>
      <c r="T114" s="55" t="str">
        <f t="shared" ref="T114:U133" si="13">IF(ISNUMBER(T45),ABS(T45),"")</f>
        <v/>
      </c>
      <c r="U114" s="55" t="str">
        <f t="shared" si="13"/>
        <v/>
      </c>
      <c r="V114" s="55"/>
      <c r="W114" s="55"/>
      <c r="X114" s="55"/>
    </row>
    <row r="115" spans="1:24" hidden="1" x14ac:dyDescent="0.25">
      <c r="A115">
        <v>2</v>
      </c>
      <c r="B115" t="str">
        <f t="shared" si="0"/>
        <v/>
      </c>
      <c r="C115" s="55" t="str">
        <f t="shared" si="1"/>
        <v/>
      </c>
      <c r="D115" s="55" t="str">
        <f t="shared" si="2"/>
        <v/>
      </c>
      <c r="E115" s="55" t="str">
        <f t="shared" si="3"/>
        <v/>
      </c>
      <c r="F115" s="55" t="str">
        <f t="shared" si="4"/>
        <v/>
      </c>
      <c r="G115" s="55" t="str">
        <f t="shared" si="5"/>
        <v/>
      </c>
      <c r="H115" s="55" t="str">
        <f t="shared" si="6"/>
        <v/>
      </c>
      <c r="I115" s="55" t="str">
        <f t="shared" si="7"/>
        <v/>
      </c>
      <c r="J115" s="55" t="str">
        <f t="shared" si="8"/>
        <v/>
      </c>
      <c r="L115">
        <v>2</v>
      </c>
      <c r="M115" t="str">
        <f t="shared" si="9"/>
        <v/>
      </c>
      <c r="N115" s="55" t="str">
        <f t="shared" si="10"/>
        <v/>
      </c>
      <c r="O115" s="55" t="str">
        <f t="shared" si="10"/>
        <v/>
      </c>
      <c r="P115" s="55" t="str">
        <f t="shared" si="11"/>
        <v/>
      </c>
      <c r="Q115" s="55" t="str">
        <f t="shared" si="11"/>
        <v/>
      </c>
      <c r="R115" s="55" t="str">
        <f t="shared" si="12"/>
        <v/>
      </c>
      <c r="S115" s="55" t="str">
        <f t="shared" si="12"/>
        <v/>
      </c>
      <c r="T115" s="55" t="str">
        <f t="shared" si="13"/>
        <v/>
      </c>
      <c r="U115" s="55" t="str">
        <f t="shared" si="13"/>
        <v/>
      </c>
      <c r="V115" s="55"/>
      <c r="W115" s="55"/>
      <c r="X115" s="55"/>
    </row>
    <row r="116" spans="1:24" hidden="1" x14ac:dyDescent="0.25">
      <c r="A116">
        <v>3</v>
      </c>
      <c r="B116" t="str">
        <f t="shared" si="0"/>
        <v/>
      </c>
      <c r="C116" s="55" t="str">
        <f t="shared" si="1"/>
        <v/>
      </c>
      <c r="D116" s="55" t="str">
        <f t="shared" si="2"/>
        <v/>
      </c>
      <c r="E116" s="55" t="str">
        <f t="shared" si="3"/>
        <v/>
      </c>
      <c r="F116" s="55" t="str">
        <f t="shared" si="4"/>
        <v/>
      </c>
      <c r="G116" s="55" t="str">
        <f t="shared" si="5"/>
        <v/>
      </c>
      <c r="H116" s="55" t="str">
        <f t="shared" si="6"/>
        <v/>
      </c>
      <c r="I116" s="55" t="str">
        <f t="shared" si="7"/>
        <v/>
      </c>
      <c r="J116" s="55" t="str">
        <f t="shared" si="8"/>
        <v/>
      </c>
      <c r="L116">
        <v>3</v>
      </c>
      <c r="M116" t="str">
        <f t="shared" si="9"/>
        <v/>
      </c>
      <c r="N116" s="55" t="str">
        <f t="shared" si="10"/>
        <v/>
      </c>
      <c r="O116" s="55" t="str">
        <f t="shared" si="10"/>
        <v/>
      </c>
      <c r="P116" s="55" t="str">
        <f t="shared" si="11"/>
        <v/>
      </c>
      <c r="Q116" s="55" t="str">
        <f t="shared" si="11"/>
        <v/>
      </c>
      <c r="R116" s="55" t="str">
        <f t="shared" si="12"/>
        <v/>
      </c>
      <c r="S116" s="55" t="str">
        <f t="shared" si="12"/>
        <v/>
      </c>
      <c r="T116" s="55" t="str">
        <f t="shared" si="13"/>
        <v/>
      </c>
      <c r="U116" s="55" t="str">
        <f t="shared" si="13"/>
        <v/>
      </c>
      <c r="V116" s="55"/>
      <c r="W116" s="55"/>
      <c r="X116" s="55"/>
    </row>
    <row r="117" spans="1:24" hidden="1" x14ac:dyDescent="0.25">
      <c r="A117">
        <v>4</v>
      </c>
      <c r="B117" t="str">
        <f t="shared" si="0"/>
        <v/>
      </c>
      <c r="C117" s="55" t="str">
        <f t="shared" si="1"/>
        <v/>
      </c>
      <c r="D117" s="55" t="str">
        <f t="shared" si="2"/>
        <v/>
      </c>
      <c r="E117" s="55" t="str">
        <f t="shared" si="3"/>
        <v/>
      </c>
      <c r="F117" s="55" t="str">
        <f t="shared" si="4"/>
        <v/>
      </c>
      <c r="G117" s="55" t="str">
        <f t="shared" si="5"/>
        <v/>
      </c>
      <c r="H117" s="55" t="str">
        <f t="shared" si="6"/>
        <v/>
      </c>
      <c r="I117" s="55" t="str">
        <f t="shared" si="7"/>
        <v/>
      </c>
      <c r="J117" s="55" t="str">
        <f t="shared" si="8"/>
        <v/>
      </c>
      <c r="L117">
        <v>4</v>
      </c>
      <c r="M117" t="str">
        <f t="shared" si="9"/>
        <v/>
      </c>
      <c r="N117" s="55" t="str">
        <f t="shared" si="10"/>
        <v/>
      </c>
      <c r="O117" s="55" t="str">
        <f t="shared" si="10"/>
        <v/>
      </c>
      <c r="P117" s="55" t="str">
        <f t="shared" si="11"/>
        <v/>
      </c>
      <c r="Q117" s="55" t="str">
        <f t="shared" si="11"/>
        <v/>
      </c>
      <c r="R117" s="55" t="str">
        <f t="shared" si="12"/>
        <v/>
      </c>
      <c r="S117" s="55" t="str">
        <f t="shared" si="12"/>
        <v/>
      </c>
      <c r="T117" s="55" t="str">
        <f t="shared" si="13"/>
        <v/>
      </c>
      <c r="U117" s="55" t="str">
        <f t="shared" si="13"/>
        <v/>
      </c>
      <c r="V117" s="55"/>
      <c r="W117" s="55"/>
      <c r="X117" s="55"/>
    </row>
    <row r="118" spans="1:24" hidden="1" x14ac:dyDescent="0.25">
      <c r="A118">
        <v>5</v>
      </c>
      <c r="B118" t="str">
        <f t="shared" si="0"/>
        <v/>
      </c>
      <c r="C118" s="55" t="str">
        <f t="shared" si="1"/>
        <v/>
      </c>
      <c r="D118" s="55" t="str">
        <f t="shared" si="2"/>
        <v/>
      </c>
      <c r="E118" s="55" t="str">
        <f t="shared" si="3"/>
        <v/>
      </c>
      <c r="F118" s="55" t="str">
        <f t="shared" si="4"/>
        <v/>
      </c>
      <c r="G118" s="55" t="str">
        <f t="shared" si="5"/>
        <v/>
      </c>
      <c r="H118" s="55" t="str">
        <f t="shared" si="6"/>
        <v/>
      </c>
      <c r="I118" s="55" t="str">
        <f t="shared" si="7"/>
        <v/>
      </c>
      <c r="J118" s="55" t="str">
        <f t="shared" si="8"/>
        <v/>
      </c>
      <c r="L118">
        <v>5</v>
      </c>
      <c r="M118" t="str">
        <f t="shared" si="9"/>
        <v/>
      </c>
      <c r="N118" s="55" t="str">
        <f t="shared" si="10"/>
        <v/>
      </c>
      <c r="O118" s="55" t="str">
        <f t="shared" si="10"/>
        <v/>
      </c>
      <c r="P118" s="55" t="str">
        <f t="shared" si="11"/>
        <v/>
      </c>
      <c r="Q118" s="55" t="str">
        <f t="shared" si="11"/>
        <v/>
      </c>
      <c r="R118" s="55" t="str">
        <f t="shared" si="12"/>
        <v/>
      </c>
      <c r="S118" s="55" t="str">
        <f t="shared" si="12"/>
        <v/>
      </c>
      <c r="T118" s="55" t="str">
        <f t="shared" si="13"/>
        <v/>
      </c>
      <c r="U118" s="55" t="str">
        <f t="shared" si="13"/>
        <v/>
      </c>
      <c r="V118" s="55"/>
      <c r="W118" s="55"/>
      <c r="X118" s="55"/>
    </row>
    <row r="119" spans="1:24" hidden="1" x14ac:dyDescent="0.25">
      <c r="A119">
        <v>6</v>
      </c>
      <c r="B119" t="str">
        <f t="shared" si="0"/>
        <v/>
      </c>
      <c r="C119" s="55" t="str">
        <f t="shared" si="1"/>
        <v/>
      </c>
      <c r="D119" s="55" t="str">
        <f t="shared" si="2"/>
        <v/>
      </c>
      <c r="E119" s="55" t="str">
        <f t="shared" si="3"/>
        <v/>
      </c>
      <c r="F119" s="55" t="str">
        <f t="shared" si="4"/>
        <v/>
      </c>
      <c r="G119" s="55" t="str">
        <f t="shared" si="5"/>
        <v/>
      </c>
      <c r="H119" s="55" t="str">
        <f t="shared" si="6"/>
        <v/>
      </c>
      <c r="I119" s="55" t="str">
        <f t="shared" si="7"/>
        <v/>
      </c>
      <c r="J119" s="55" t="str">
        <f t="shared" si="8"/>
        <v/>
      </c>
      <c r="L119">
        <v>6</v>
      </c>
      <c r="M119" t="str">
        <f t="shared" si="9"/>
        <v/>
      </c>
      <c r="N119" s="55" t="str">
        <f t="shared" si="10"/>
        <v/>
      </c>
      <c r="O119" s="55" t="str">
        <f t="shared" si="10"/>
        <v/>
      </c>
      <c r="P119" s="55" t="str">
        <f t="shared" si="11"/>
        <v/>
      </c>
      <c r="Q119" s="55" t="str">
        <f t="shared" si="11"/>
        <v/>
      </c>
      <c r="R119" s="55" t="str">
        <f t="shared" si="12"/>
        <v/>
      </c>
      <c r="S119" s="55" t="str">
        <f t="shared" si="12"/>
        <v/>
      </c>
      <c r="T119" s="55" t="str">
        <f t="shared" si="13"/>
        <v/>
      </c>
      <c r="U119" s="55" t="str">
        <f t="shared" si="13"/>
        <v/>
      </c>
      <c r="V119" s="55"/>
      <c r="W119" s="55"/>
      <c r="X119" s="55"/>
    </row>
    <row r="120" spans="1:24" hidden="1" x14ac:dyDescent="0.25">
      <c r="A120">
        <v>7</v>
      </c>
      <c r="B120" t="str">
        <f t="shared" si="0"/>
        <v/>
      </c>
      <c r="C120" s="55" t="str">
        <f t="shared" si="1"/>
        <v/>
      </c>
      <c r="D120" s="55" t="str">
        <f t="shared" si="2"/>
        <v/>
      </c>
      <c r="E120" s="55" t="str">
        <f t="shared" si="3"/>
        <v/>
      </c>
      <c r="F120" s="55" t="str">
        <f t="shared" si="4"/>
        <v/>
      </c>
      <c r="G120" s="55" t="str">
        <f t="shared" si="5"/>
        <v/>
      </c>
      <c r="H120" s="55" t="str">
        <f t="shared" si="6"/>
        <v/>
      </c>
      <c r="I120" s="55" t="str">
        <f t="shared" si="7"/>
        <v/>
      </c>
      <c r="J120" s="55" t="str">
        <f t="shared" si="8"/>
        <v/>
      </c>
      <c r="L120">
        <v>7</v>
      </c>
      <c r="M120" t="str">
        <f t="shared" si="9"/>
        <v/>
      </c>
      <c r="N120" s="55" t="str">
        <f t="shared" si="10"/>
        <v/>
      </c>
      <c r="O120" s="55" t="str">
        <f t="shared" si="10"/>
        <v/>
      </c>
      <c r="P120" s="55" t="str">
        <f t="shared" si="11"/>
        <v/>
      </c>
      <c r="Q120" s="55" t="str">
        <f t="shared" si="11"/>
        <v/>
      </c>
      <c r="R120" s="55" t="str">
        <f t="shared" si="12"/>
        <v/>
      </c>
      <c r="S120" s="55" t="str">
        <f t="shared" si="12"/>
        <v/>
      </c>
      <c r="T120" s="55" t="str">
        <f t="shared" si="13"/>
        <v/>
      </c>
      <c r="U120" s="55" t="str">
        <f t="shared" si="13"/>
        <v/>
      </c>
      <c r="V120" s="55"/>
      <c r="W120" s="55"/>
      <c r="X120" s="55"/>
    </row>
    <row r="121" spans="1:24" hidden="1" x14ac:dyDescent="0.25">
      <c r="A121">
        <v>8</v>
      </c>
      <c r="B121" t="str">
        <f t="shared" si="0"/>
        <v/>
      </c>
      <c r="C121" s="55" t="str">
        <f t="shared" si="1"/>
        <v/>
      </c>
      <c r="D121" s="55" t="str">
        <f t="shared" si="2"/>
        <v/>
      </c>
      <c r="E121" s="55" t="str">
        <f t="shared" si="3"/>
        <v/>
      </c>
      <c r="F121" s="55" t="str">
        <f t="shared" si="4"/>
        <v/>
      </c>
      <c r="G121" s="55" t="str">
        <f t="shared" si="5"/>
        <v/>
      </c>
      <c r="H121" s="55" t="str">
        <f t="shared" si="6"/>
        <v/>
      </c>
      <c r="I121" s="55" t="str">
        <f t="shared" si="7"/>
        <v/>
      </c>
      <c r="J121" s="55" t="str">
        <f t="shared" si="8"/>
        <v/>
      </c>
      <c r="L121">
        <v>8</v>
      </c>
      <c r="M121" t="str">
        <f t="shared" si="9"/>
        <v/>
      </c>
      <c r="N121" s="55" t="str">
        <f t="shared" si="10"/>
        <v/>
      </c>
      <c r="O121" s="55" t="str">
        <f t="shared" si="10"/>
        <v/>
      </c>
      <c r="P121" s="55" t="str">
        <f t="shared" si="11"/>
        <v/>
      </c>
      <c r="Q121" s="55" t="str">
        <f t="shared" si="11"/>
        <v/>
      </c>
      <c r="R121" s="55" t="str">
        <f t="shared" si="12"/>
        <v/>
      </c>
      <c r="S121" s="55" t="str">
        <f t="shared" si="12"/>
        <v/>
      </c>
      <c r="T121" s="55" t="str">
        <f t="shared" si="13"/>
        <v/>
      </c>
      <c r="U121" s="55" t="str">
        <f t="shared" si="13"/>
        <v/>
      </c>
      <c r="V121" s="55"/>
      <c r="W121" s="55"/>
      <c r="X121" s="55"/>
    </row>
    <row r="122" spans="1:24" hidden="1" x14ac:dyDescent="0.25">
      <c r="A122">
        <v>9</v>
      </c>
      <c r="B122" t="str">
        <f t="shared" si="0"/>
        <v/>
      </c>
      <c r="C122" s="55" t="str">
        <f t="shared" si="1"/>
        <v/>
      </c>
      <c r="D122" s="55" t="str">
        <f t="shared" si="2"/>
        <v/>
      </c>
      <c r="E122" s="55" t="str">
        <f t="shared" si="3"/>
        <v/>
      </c>
      <c r="F122" s="55" t="str">
        <f t="shared" si="4"/>
        <v/>
      </c>
      <c r="G122" s="55" t="str">
        <f t="shared" si="5"/>
        <v/>
      </c>
      <c r="H122" s="55" t="str">
        <f t="shared" si="6"/>
        <v/>
      </c>
      <c r="I122" s="55" t="str">
        <f t="shared" si="7"/>
        <v/>
      </c>
      <c r="J122" s="55" t="str">
        <f t="shared" si="8"/>
        <v/>
      </c>
      <c r="L122">
        <v>9</v>
      </c>
      <c r="M122" t="str">
        <f t="shared" si="9"/>
        <v/>
      </c>
      <c r="N122" s="55" t="str">
        <f t="shared" si="10"/>
        <v/>
      </c>
      <c r="O122" s="55" t="str">
        <f t="shared" si="10"/>
        <v/>
      </c>
      <c r="P122" s="55" t="str">
        <f t="shared" si="11"/>
        <v/>
      </c>
      <c r="Q122" s="55" t="str">
        <f t="shared" si="11"/>
        <v/>
      </c>
      <c r="R122" s="55" t="str">
        <f t="shared" si="12"/>
        <v/>
      </c>
      <c r="S122" s="55" t="str">
        <f t="shared" si="12"/>
        <v/>
      </c>
      <c r="T122" s="55" t="str">
        <f t="shared" si="13"/>
        <v/>
      </c>
      <c r="U122" s="55" t="str">
        <f t="shared" si="13"/>
        <v/>
      </c>
      <c r="V122" s="55"/>
      <c r="W122" s="55"/>
      <c r="X122" s="55"/>
    </row>
    <row r="123" spans="1:24" hidden="1" x14ac:dyDescent="0.25">
      <c r="A123">
        <v>10</v>
      </c>
      <c r="B123" t="str">
        <f t="shared" si="0"/>
        <v/>
      </c>
      <c r="C123" s="55" t="str">
        <f t="shared" si="1"/>
        <v/>
      </c>
      <c r="D123" s="55" t="str">
        <f t="shared" si="2"/>
        <v/>
      </c>
      <c r="E123" s="55" t="str">
        <f t="shared" si="3"/>
        <v/>
      </c>
      <c r="F123" s="55" t="str">
        <f t="shared" si="4"/>
        <v/>
      </c>
      <c r="G123" s="55" t="str">
        <f t="shared" si="5"/>
        <v/>
      </c>
      <c r="H123" s="55" t="str">
        <f t="shared" si="6"/>
        <v/>
      </c>
      <c r="I123" s="55" t="str">
        <f t="shared" si="7"/>
        <v/>
      </c>
      <c r="J123" s="55" t="str">
        <f t="shared" si="8"/>
        <v/>
      </c>
      <c r="L123">
        <v>10</v>
      </c>
      <c r="M123" t="str">
        <f t="shared" si="9"/>
        <v/>
      </c>
      <c r="N123" s="55" t="str">
        <f t="shared" si="10"/>
        <v/>
      </c>
      <c r="O123" s="55" t="str">
        <f t="shared" si="10"/>
        <v/>
      </c>
      <c r="P123" s="55" t="str">
        <f t="shared" si="11"/>
        <v/>
      </c>
      <c r="Q123" s="55" t="str">
        <f t="shared" si="11"/>
        <v/>
      </c>
      <c r="R123" s="55" t="str">
        <f t="shared" si="12"/>
        <v/>
      </c>
      <c r="S123" s="55" t="str">
        <f t="shared" si="12"/>
        <v/>
      </c>
      <c r="T123" s="55" t="str">
        <f t="shared" si="13"/>
        <v/>
      </c>
      <c r="U123" s="55" t="str">
        <f t="shared" si="13"/>
        <v/>
      </c>
      <c r="V123" s="55"/>
      <c r="W123" s="55"/>
      <c r="X123" s="55"/>
    </row>
    <row r="124" spans="1:24" hidden="1" x14ac:dyDescent="0.25">
      <c r="A124">
        <v>11</v>
      </c>
      <c r="B124" t="str">
        <f t="shared" si="0"/>
        <v/>
      </c>
      <c r="C124" s="55" t="str">
        <f t="shared" si="1"/>
        <v/>
      </c>
      <c r="D124" s="55" t="str">
        <f t="shared" si="2"/>
        <v/>
      </c>
      <c r="E124" s="55" t="str">
        <f t="shared" si="3"/>
        <v/>
      </c>
      <c r="F124" s="55" t="str">
        <f t="shared" si="4"/>
        <v/>
      </c>
      <c r="G124" s="55" t="str">
        <f t="shared" si="5"/>
        <v/>
      </c>
      <c r="H124" s="55" t="str">
        <f t="shared" si="6"/>
        <v/>
      </c>
      <c r="I124" s="55" t="str">
        <f t="shared" si="7"/>
        <v/>
      </c>
      <c r="J124" s="55" t="str">
        <f t="shared" si="8"/>
        <v/>
      </c>
      <c r="L124">
        <v>11</v>
      </c>
      <c r="M124" t="str">
        <f t="shared" si="9"/>
        <v/>
      </c>
      <c r="N124" s="55" t="str">
        <f t="shared" si="10"/>
        <v/>
      </c>
      <c r="O124" s="55" t="str">
        <f t="shared" si="10"/>
        <v/>
      </c>
      <c r="P124" s="55" t="str">
        <f t="shared" si="11"/>
        <v/>
      </c>
      <c r="Q124" s="55" t="str">
        <f t="shared" si="11"/>
        <v/>
      </c>
      <c r="R124" s="55" t="str">
        <f t="shared" si="12"/>
        <v/>
      </c>
      <c r="S124" s="55" t="str">
        <f t="shared" si="12"/>
        <v/>
      </c>
      <c r="T124" s="55" t="str">
        <f t="shared" si="13"/>
        <v/>
      </c>
      <c r="U124" s="55" t="str">
        <f t="shared" si="13"/>
        <v/>
      </c>
      <c r="V124" s="55"/>
      <c r="W124" s="55"/>
      <c r="X124" s="55"/>
    </row>
    <row r="125" spans="1:24" hidden="1" x14ac:dyDescent="0.25">
      <c r="A125">
        <v>12</v>
      </c>
      <c r="B125" t="str">
        <f t="shared" si="0"/>
        <v/>
      </c>
      <c r="C125" s="55" t="str">
        <f t="shared" si="1"/>
        <v/>
      </c>
      <c r="D125" s="55" t="str">
        <f t="shared" si="2"/>
        <v/>
      </c>
      <c r="E125" s="55" t="str">
        <f t="shared" si="3"/>
        <v/>
      </c>
      <c r="F125" s="55" t="str">
        <f t="shared" si="4"/>
        <v/>
      </c>
      <c r="G125" s="55" t="str">
        <f t="shared" si="5"/>
        <v/>
      </c>
      <c r="H125" s="55" t="str">
        <f t="shared" si="6"/>
        <v/>
      </c>
      <c r="I125" s="55" t="str">
        <f t="shared" si="7"/>
        <v/>
      </c>
      <c r="J125" s="55" t="str">
        <f t="shared" si="8"/>
        <v/>
      </c>
      <c r="L125">
        <v>12</v>
      </c>
      <c r="M125" t="str">
        <f t="shared" si="9"/>
        <v/>
      </c>
      <c r="N125" s="55" t="str">
        <f t="shared" si="10"/>
        <v/>
      </c>
      <c r="O125" s="55" t="str">
        <f t="shared" si="10"/>
        <v/>
      </c>
      <c r="P125" s="55" t="str">
        <f t="shared" si="11"/>
        <v/>
      </c>
      <c r="Q125" s="55" t="str">
        <f t="shared" si="11"/>
        <v/>
      </c>
      <c r="R125" s="55" t="str">
        <f t="shared" si="12"/>
        <v/>
      </c>
      <c r="S125" s="55" t="str">
        <f t="shared" si="12"/>
        <v/>
      </c>
      <c r="T125" s="55" t="str">
        <f t="shared" si="13"/>
        <v/>
      </c>
      <c r="U125" s="55" t="str">
        <f t="shared" si="13"/>
        <v/>
      </c>
      <c r="V125" s="55"/>
      <c r="W125" s="55"/>
      <c r="X125" s="55"/>
    </row>
    <row r="126" spans="1:24" hidden="1" x14ac:dyDescent="0.25">
      <c r="A126">
        <v>13</v>
      </c>
      <c r="B126" t="str">
        <f t="shared" si="0"/>
        <v/>
      </c>
      <c r="C126" s="55" t="str">
        <f t="shared" si="1"/>
        <v/>
      </c>
      <c r="D126" s="55" t="str">
        <f t="shared" si="2"/>
        <v/>
      </c>
      <c r="E126" s="55" t="str">
        <f t="shared" si="3"/>
        <v/>
      </c>
      <c r="F126" s="55" t="str">
        <f t="shared" si="4"/>
        <v/>
      </c>
      <c r="G126" s="55" t="str">
        <f t="shared" si="5"/>
        <v/>
      </c>
      <c r="H126" s="55" t="str">
        <f t="shared" si="6"/>
        <v/>
      </c>
      <c r="I126" s="55" t="str">
        <f t="shared" si="7"/>
        <v/>
      </c>
      <c r="J126" s="55" t="str">
        <f t="shared" si="8"/>
        <v/>
      </c>
      <c r="L126">
        <v>13</v>
      </c>
      <c r="M126" t="str">
        <f t="shared" si="9"/>
        <v/>
      </c>
      <c r="N126" s="55" t="str">
        <f t="shared" si="10"/>
        <v/>
      </c>
      <c r="O126" s="55" t="str">
        <f t="shared" si="10"/>
        <v/>
      </c>
      <c r="P126" s="55" t="str">
        <f t="shared" si="11"/>
        <v/>
      </c>
      <c r="Q126" s="55" t="str">
        <f t="shared" si="11"/>
        <v/>
      </c>
      <c r="R126" s="55" t="str">
        <f t="shared" si="12"/>
        <v/>
      </c>
      <c r="S126" s="55" t="str">
        <f t="shared" si="12"/>
        <v/>
      </c>
      <c r="T126" s="55" t="str">
        <f t="shared" si="13"/>
        <v/>
      </c>
      <c r="U126" s="55" t="str">
        <f t="shared" si="13"/>
        <v/>
      </c>
      <c r="V126" s="55"/>
      <c r="W126" s="55"/>
      <c r="X126" s="55"/>
    </row>
    <row r="127" spans="1:24" hidden="1" x14ac:dyDescent="0.25">
      <c r="A127">
        <v>14</v>
      </c>
      <c r="B127" t="str">
        <f t="shared" si="0"/>
        <v/>
      </c>
      <c r="C127" s="55" t="str">
        <f t="shared" si="1"/>
        <v/>
      </c>
      <c r="D127" s="55" t="str">
        <f t="shared" si="2"/>
        <v/>
      </c>
      <c r="E127" s="55" t="str">
        <f t="shared" si="3"/>
        <v/>
      </c>
      <c r="F127" s="55" t="str">
        <f t="shared" si="4"/>
        <v/>
      </c>
      <c r="G127" s="55" t="str">
        <f t="shared" si="5"/>
        <v/>
      </c>
      <c r="H127" s="55" t="str">
        <f t="shared" si="6"/>
        <v/>
      </c>
      <c r="I127" s="55" t="str">
        <f t="shared" si="7"/>
        <v/>
      </c>
      <c r="J127" s="55" t="str">
        <f t="shared" si="8"/>
        <v/>
      </c>
      <c r="L127">
        <v>14</v>
      </c>
      <c r="M127" t="str">
        <f t="shared" si="9"/>
        <v/>
      </c>
      <c r="N127" s="55" t="str">
        <f t="shared" si="10"/>
        <v/>
      </c>
      <c r="O127" s="55" t="str">
        <f t="shared" si="10"/>
        <v/>
      </c>
      <c r="P127" s="55" t="str">
        <f t="shared" si="11"/>
        <v/>
      </c>
      <c r="Q127" s="55" t="str">
        <f t="shared" si="11"/>
        <v/>
      </c>
      <c r="R127" s="55" t="str">
        <f t="shared" si="12"/>
        <v/>
      </c>
      <c r="S127" s="55" t="str">
        <f t="shared" si="12"/>
        <v/>
      </c>
      <c r="T127" s="55" t="str">
        <f t="shared" si="13"/>
        <v/>
      </c>
      <c r="U127" s="55" t="str">
        <f t="shared" si="13"/>
        <v/>
      </c>
      <c r="V127" s="55"/>
      <c r="W127" s="55"/>
      <c r="X127" s="55"/>
    </row>
    <row r="128" spans="1:24" hidden="1" x14ac:dyDescent="0.25">
      <c r="A128">
        <v>15</v>
      </c>
      <c r="B128" t="str">
        <f t="shared" si="0"/>
        <v/>
      </c>
      <c r="C128" s="55" t="str">
        <f t="shared" si="1"/>
        <v/>
      </c>
      <c r="D128" s="55" t="str">
        <f t="shared" si="2"/>
        <v/>
      </c>
      <c r="E128" s="55" t="str">
        <f t="shared" si="3"/>
        <v/>
      </c>
      <c r="F128" s="55" t="str">
        <f t="shared" si="4"/>
        <v/>
      </c>
      <c r="G128" s="55" t="str">
        <f t="shared" si="5"/>
        <v/>
      </c>
      <c r="H128" s="55" t="str">
        <f t="shared" si="6"/>
        <v/>
      </c>
      <c r="I128" s="55" t="str">
        <f t="shared" si="7"/>
        <v/>
      </c>
      <c r="J128" s="55" t="str">
        <f t="shared" si="8"/>
        <v/>
      </c>
      <c r="L128">
        <v>15</v>
      </c>
      <c r="M128" t="str">
        <f t="shared" si="9"/>
        <v/>
      </c>
      <c r="N128" s="55" t="str">
        <f t="shared" si="10"/>
        <v/>
      </c>
      <c r="O128" s="55" t="str">
        <f t="shared" si="10"/>
        <v/>
      </c>
      <c r="P128" s="55" t="str">
        <f t="shared" si="11"/>
        <v/>
      </c>
      <c r="Q128" s="55" t="str">
        <f t="shared" si="11"/>
        <v/>
      </c>
      <c r="R128" s="55" t="str">
        <f t="shared" si="12"/>
        <v/>
      </c>
      <c r="S128" s="55" t="str">
        <f t="shared" si="12"/>
        <v/>
      </c>
      <c r="T128" s="55" t="str">
        <f t="shared" si="13"/>
        <v/>
      </c>
      <c r="U128" s="55" t="str">
        <f t="shared" si="13"/>
        <v/>
      </c>
      <c r="V128" s="55"/>
      <c r="W128" s="55"/>
      <c r="X128" s="55"/>
    </row>
    <row r="129" spans="1:24" hidden="1" x14ac:dyDescent="0.25">
      <c r="A129">
        <v>16</v>
      </c>
      <c r="B129" t="str">
        <f t="shared" si="0"/>
        <v/>
      </c>
      <c r="C129" s="55" t="str">
        <f t="shared" si="1"/>
        <v/>
      </c>
      <c r="D129" s="55" t="str">
        <f t="shared" si="2"/>
        <v/>
      </c>
      <c r="E129" s="55" t="str">
        <f t="shared" si="3"/>
        <v/>
      </c>
      <c r="F129" s="55" t="str">
        <f t="shared" si="4"/>
        <v/>
      </c>
      <c r="G129" s="55" t="str">
        <f t="shared" si="5"/>
        <v/>
      </c>
      <c r="H129" s="55" t="str">
        <f t="shared" si="6"/>
        <v/>
      </c>
      <c r="I129" s="55" t="str">
        <f t="shared" si="7"/>
        <v/>
      </c>
      <c r="J129" s="55" t="str">
        <f t="shared" si="8"/>
        <v/>
      </c>
      <c r="L129">
        <v>16</v>
      </c>
      <c r="M129" t="str">
        <f t="shared" si="9"/>
        <v/>
      </c>
      <c r="N129" s="55" t="str">
        <f t="shared" si="10"/>
        <v/>
      </c>
      <c r="O129" s="55" t="str">
        <f t="shared" si="10"/>
        <v/>
      </c>
      <c r="P129" s="55" t="str">
        <f t="shared" si="11"/>
        <v/>
      </c>
      <c r="Q129" s="55" t="str">
        <f t="shared" si="11"/>
        <v/>
      </c>
      <c r="R129" s="55" t="str">
        <f t="shared" si="12"/>
        <v/>
      </c>
      <c r="S129" s="55" t="str">
        <f t="shared" si="12"/>
        <v/>
      </c>
      <c r="T129" s="55" t="str">
        <f t="shared" si="13"/>
        <v/>
      </c>
      <c r="U129" s="55" t="str">
        <f t="shared" si="13"/>
        <v/>
      </c>
      <c r="V129" s="55"/>
      <c r="W129" s="55"/>
      <c r="X129" s="55"/>
    </row>
    <row r="130" spans="1:24" hidden="1" x14ac:dyDescent="0.25">
      <c r="A130">
        <v>17</v>
      </c>
      <c r="B130" t="str">
        <f t="shared" si="0"/>
        <v/>
      </c>
      <c r="C130" s="55" t="str">
        <f t="shared" si="1"/>
        <v/>
      </c>
      <c r="D130" s="55" t="str">
        <f t="shared" si="2"/>
        <v/>
      </c>
      <c r="E130" s="55" t="str">
        <f t="shared" si="3"/>
        <v/>
      </c>
      <c r="F130" s="55" t="str">
        <f t="shared" si="4"/>
        <v/>
      </c>
      <c r="G130" s="55" t="str">
        <f t="shared" si="5"/>
        <v/>
      </c>
      <c r="H130" s="55" t="str">
        <f t="shared" si="6"/>
        <v/>
      </c>
      <c r="I130" s="55" t="str">
        <f t="shared" si="7"/>
        <v/>
      </c>
      <c r="J130" s="55" t="str">
        <f t="shared" si="8"/>
        <v/>
      </c>
      <c r="L130">
        <v>17</v>
      </c>
      <c r="M130" t="str">
        <f t="shared" si="9"/>
        <v/>
      </c>
      <c r="N130" s="55" t="str">
        <f t="shared" si="10"/>
        <v/>
      </c>
      <c r="O130" s="55" t="str">
        <f t="shared" si="10"/>
        <v/>
      </c>
      <c r="P130" s="55" t="str">
        <f t="shared" si="11"/>
        <v/>
      </c>
      <c r="Q130" s="55" t="str">
        <f t="shared" si="11"/>
        <v/>
      </c>
      <c r="R130" s="55" t="str">
        <f t="shared" si="12"/>
        <v/>
      </c>
      <c r="S130" s="55" t="str">
        <f t="shared" si="12"/>
        <v/>
      </c>
      <c r="T130" s="55" t="str">
        <f t="shared" si="13"/>
        <v/>
      </c>
      <c r="U130" s="55" t="str">
        <f t="shared" si="13"/>
        <v/>
      </c>
      <c r="V130" s="55"/>
      <c r="W130" s="55"/>
      <c r="X130" s="55"/>
    </row>
    <row r="131" spans="1:24" hidden="1" x14ac:dyDescent="0.25">
      <c r="A131">
        <v>18</v>
      </c>
      <c r="B131" t="str">
        <f t="shared" si="0"/>
        <v/>
      </c>
      <c r="C131" s="55" t="str">
        <f t="shared" si="1"/>
        <v/>
      </c>
      <c r="D131" s="55" t="str">
        <f t="shared" si="2"/>
        <v/>
      </c>
      <c r="E131" s="55" t="str">
        <f t="shared" si="3"/>
        <v/>
      </c>
      <c r="F131" s="55" t="str">
        <f t="shared" si="4"/>
        <v/>
      </c>
      <c r="G131" s="55" t="str">
        <f t="shared" si="5"/>
        <v/>
      </c>
      <c r="H131" s="55" t="str">
        <f t="shared" si="6"/>
        <v/>
      </c>
      <c r="I131" s="55" t="str">
        <f t="shared" si="7"/>
        <v/>
      </c>
      <c r="J131" s="55" t="str">
        <f t="shared" si="8"/>
        <v/>
      </c>
      <c r="L131">
        <v>18</v>
      </c>
      <c r="M131" t="str">
        <f t="shared" si="9"/>
        <v/>
      </c>
      <c r="N131" s="55" t="str">
        <f t="shared" si="10"/>
        <v/>
      </c>
      <c r="O131" s="55" t="str">
        <f t="shared" si="10"/>
        <v/>
      </c>
      <c r="P131" s="55" t="str">
        <f t="shared" si="11"/>
        <v/>
      </c>
      <c r="Q131" s="55" t="str">
        <f t="shared" si="11"/>
        <v/>
      </c>
      <c r="R131" s="55" t="str">
        <f t="shared" si="12"/>
        <v/>
      </c>
      <c r="S131" s="55" t="str">
        <f t="shared" si="12"/>
        <v/>
      </c>
      <c r="T131" s="55" t="str">
        <f t="shared" si="13"/>
        <v/>
      </c>
      <c r="U131" s="55" t="str">
        <f t="shared" si="13"/>
        <v/>
      </c>
      <c r="V131" s="55"/>
      <c r="W131" s="55"/>
      <c r="X131" s="55"/>
    </row>
    <row r="132" spans="1:24" hidden="1" x14ac:dyDescent="0.25">
      <c r="A132">
        <v>19</v>
      </c>
      <c r="B132" t="str">
        <f t="shared" si="0"/>
        <v/>
      </c>
      <c r="C132" s="55" t="str">
        <f t="shared" si="1"/>
        <v/>
      </c>
      <c r="D132" s="55" t="str">
        <f t="shared" si="2"/>
        <v/>
      </c>
      <c r="E132" s="55" t="str">
        <f t="shared" si="3"/>
        <v/>
      </c>
      <c r="F132" s="55" t="str">
        <f t="shared" si="4"/>
        <v/>
      </c>
      <c r="G132" s="55" t="str">
        <f t="shared" si="5"/>
        <v/>
      </c>
      <c r="H132" s="55" t="str">
        <f t="shared" si="6"/>
        <v/>
      </c>
      <c r="I132" s="55" t="str">
        <f t="shared" si="7"/>
        <v/>
      </c>
      <c r="J132" s="55" t="str">
        <f t="shared" si="8"/>
        <v/>
      </c>
      <c r="L132">
        <v>19</v>
      </c>
      <c r="M132" t="str">
        <f t="shared" si="9"/>
        <v/>
      </c>
      <c r="N132" s="55" t="str">
        <f t="shared" si="10"/>
        <v/>
      </c>
      <c r="O132" s="55" t="str">
        <f t="shared" si="10"/>
        <v/>
      </c>
      <c r="P132" s="55" t="str">
        <f t="shared" si="11"/>
        <v/>
      </c>
      <c r="Q132" s="55" t="str">
        <f t="shared" si="11"/>
        <v/>
      </c>
      <c r="R132" s="55" t="str">
        <f t="shared" si="12"/>
        <v/>
      </c>
      <c r="S132" s="55" t="str">
        <f t="shared" si="12"/>
        <v/>
      </c>
      <c r="T132" s="55" t="str">
        <f t="shared" si="13"/>
        <v/>
      </c>
      <c r="U132" s="55" t="str">
        <f t="shared" si="13"/>
        <v/>
      </c>
      <c r="V132" s="55"/>
      <c r="W132" s="55"/>
      <c r="X132" s="55"/>
    </row>
    <row r="133" spans="1:24" hidden="1" x14ac:dyDescent="0.25">
      <c r="A133">
        <v>20</v>
      </c>
      <c r="B133" t="str">
        <f t="shared" si="0"/>
        <v/>
      </c>
      <c r="C133" s="55" t="str">
        <f t="shared" si="1"/>
        <v/>
      </c>
      <c r="D133" s="55" t="str">
        <f t="shared" si="2"/>
        <v/>
      </c>
      <c r="E133" s="55" t="str">
        <f t="shared" si="3"/>
        <v/>
      </c>
      <c r="F133" s="55" t="str">
        <f t="shared" si="4"/>
        <v/>
      </c>
      <c r="G133" s="55" t="str">
        <f t="shared" si="5"/>
        <v/>
      </c>
      <c r="H133" s="55" t="str">
        <f t="shared" si="6"/>
        <v/>
      </c>
      <c r="I133" s="55" t="str">
        <f t="shared" si="7"/>
        <v/>
      </c>
      <c r="J133" s="55" t="str">
        <f t="shared" si="8"/>
        <v/>
      </c>
      <c r="L133">
        <v>20</v>
      </c>
      <c r="M133" t="str">
        <f t="shared" si="9"/>
        <v/>
      </c>
      <c r="N133" s="55" t="str">
        <f t="shared" si="10"/>
        <v/>
      </c>
      <c r="O133" s="55" t="str">
        <f t="shared" si="10"/>
        <v/>
      </c>
      <c r="P133" s="55" t="str">
        <f t="shared" si="11"/>
        <v/>
      </c>
      <c r="Q133" s="55" t="str">
        <f t="shared" si="11"/>
        <v/>
      </c>
      <c r="R133" s="55" t="str">
        <f t="shared" si="12"/>
        <v/>
      </c>
      <c r="S133" s="55" t="str">
        <f t="shared" si="12"/>
        <v/>
      </c>
      <c r="T133" s="55" t="str">
        <f t="shared" si="13"/>
        <v/>
      </c>
      <c r="U133" s="55" t="str">
        <f t="shared" si="13"/>
        <v/>
      </c>
      <c r="V133" s="55"/>
      <c r="W133" s="55"/>
      <c r="X133" s="55"/>
    </row>
    <row r="134" spans="1:24" hidden="1" x14ac:dyDescent="0.25">
      <c r="A134">
        <v>21</v>
      </c>
      <c r="B134" t="str">
        <f t="shared" si="0"/>
        <v/>
      </c>
      <c r="C134" s="55" t="str">
        <f t="shared" si="1"/>
        <v/>
      </c>
      <c r="D134" s="55" t="str">
        <f t="shared" si="2"/>
        <v/>
      </c>
      <c r="E134" s="55" t="str">
        <f t="shared" si="3"/>
        <v/>
      </c>
      <c r="F134" s="55" t="str">
        <f t="shared" si="4"/>
        <v/>
      </c>
      <c r="G134" s="55" t="str">
        <f t="shared" si="5"/>
        <v/>
      </c>
      <c r="H134" s="55" t="str">
        <f t="shared" si="6"/>
        <v/>
      </c>
      <c r="I134" s="55" t="str">
        <f t="shared" si="7"/>
        <v/>
      </c>
      <c r="J134" s="55" t="str">
        <f t="shared" si="8"/>
        <v/>
      </c>
      <c r="L134">
        <v>21</v>
      </c>
      <c r="M134" t="str">
        <f t="shared" si="9"/>
        <v/>
      </c>
      <c r="N134" s="55" t="str">
        <f t="shared" ref="N134:O153" si="14">IF(ISNUMBER(N65),-ABS(N65),"")</f>
        <v/>
      </c>
      <c r="O134" s="55" t="str">
        <f t="shared" si="14"/>
        <v/>
      </c>
      <c r="P134" s="55" t="str">
        <f t="shared" ref="P134:Q153" si="15">IF(ISNUMBER(P65),ABS(P65),"")</f>
        <v/>
      </c>
      <c r="Q134" s="55" t="str">
        <f t="shared" si="15"/>
        <v/>
      </c>
      <c r="R134" s="55" t="str">
        <f t="shared" ref="R134:S153" si="16">IF(ISNUMBER(R65),-ABS(R65),"")</f>
        <v/>
      </c>
      <c r="S134" s="55" t="str">
        <f t="shared" si="16"/>
        <v/>
      </c>
      <c r="T134" s="55" t="str">
        <f t="shared" ref="T134:U153" si="17">IF(ISNUMBER(T65),ABS(T65),"")</f>
        <v/>
      </c>
      <c r="U134" s="55" t="str">
        <f t="shared" si="17"/>
        <v/>
      </c>
      <c r="V134" s="55"/>
      <c r="W134" s="55"/>
      <c r="X134" s="55"/>
    </row>
    <row r="135" spans="1:24" hidden="1" x14ac:dyDescent="0.25">
      <c r="A135">
        <v>22</v>
      </c>
      <c r="B135" t="str">
        <f t="shared" si="0"/>
        <v/>
      </c>
      <c r="C135" s="55" t="str">
        <f t="shared" si="1"/>
        <v/>
      </c>
      <c r="D135" s="55" t="str">
        <f t="shared" si="2"/>
        <v/>
      </c>
      <c r="E135" s="55" t="str">
        <f t="shared" si="3"/>
        <v/>
      </c>
      <c r="F135" s="55" t="str">
        <f t="shared" si="4"/>
        <v/>
      </c>
      <c r="G135" s="55" t="str">
        <f t="shared" si="5"/>
        <v/>
      </c>
      <c r="H135" s="55" t="str">
        <f t="shared" si="6"/>
        <v/>
      </c>
      <c r="I135" s="55" t="str">
        <f t="shared" si="7"/>
        <v/>
      </c>
      <c r="J135" s="55" t="str">
        <f t="shared" si="8"/>
        <v/>
      </c>
      <c r="L135">
        <v>22</v>
      </c>
      <c r="M135" t="str">
        <f t="shared" si="9"/>
        <v/>
      </c>
      <c r="N135" s="55" t="str">
        <f t="shared" si="14"/>
        <v/>
      </c>
      <c r="O135" s="55" t="str">
        <f t="shared" si="14"/>
        <v/>
      </c>
      <c r="P135" s="55" t="str">
        <f t="shared" si="15"/>
        <v/>
      </c>
      <c r="Q135" s="55" t="str">
        <f t="shared" si="15"/>
        <v/>
      </c>
      <c r="R135" s="55" t="str">
        <f t="shared" si="16"/>
        <v/>
      </c>
      <c r="S135" s="55" t="str">
        <f t="shared" si="16"/>
        <v/>
      </c>
      <c r="T135" s="55" t="str">
        <f t="shared" si="17"/>
        <v/>
      </c>
      <c r="U135" s="55" t="str">
        <f t="shared" si="17"/>
        <v/>
      </c>
      <c r="V135" s="55"/>
      <c r="W135" s="55"/>
      <c r="X135" s="55"/>
    </row>
    <row r="136" spans="1:24" hidden="1" x14ac:dyDescent="0.25">
      <c r="A136">
        <v>23</v>
      </c>
      <c r="B136" t="str">
        <f t="shared" si="0"/>
        <v/>
      </c>
      <c r="C136" s="55" t="str">
        <f t="shared" si="1"/>
        <v/>
      </c>
      <c r="D136" s="55" t="str">
        <f t="shared" si="2"/>
        <v/>
      </c>
      <c r="E136" s="55" t="str">
        <f t="shared" si="3"/>
        <v/>
      </c>
      <c r="F136" s="55" t="str">
        <f t="shared" si="4"/>
        <v/>
      </c>
      <c r="G136" s="55" t="str">
        <f t="shared" si="5"/>
        <v/>
      </c>
      <c r="H136" s="55" t="str">
        <f t="shared" si="6"/>
        <v/>
      </c>
      <c r="I136" s="55" t="str">
        <f t="shared" si="7"/>
        <v/>
      </c>
      <c r="J136" s="55" t="str">
        <f t="shared" si="8"/>
        <v/>
      </c>
      <c r="L136">
        <v>23</v>
      </c>
      <c r="M136" t="str">
        <f t="shared" si="9"/>
        <v/>
      </c>
      <c r="N136" s="55" t="str">
        <f t="shared" si="14"/>
        <v/>
      </c>
      <c r="O136" s="55" t="str">
        <f t="shared" si="14"/>
        <v/>
      </c>
      <c r="P136" s="55" t="str">
        <f t="shared" si="15"/>
        <v/>
      </c>
      <c r="Q136" s="55" t="str">
        <f t="shared" si="15"/>
        <v/>
      </c>
      <c r="R136" s="55" t="str">
        <f t="shared" si="16"/>
        <v/>
      </c>
      <c r="S136" s="55" t="str">
        <f t="shared" si="16"/>
        <v/>
      </c>
      <c r="T136" s="55" t="str">
        <f t="shared" si="17"/>
        <v/>
      </c>
      <c r="U136" s="55" t="str">
        <f t="shared" si="17"/>
        <v/>
      </c>
      <c r="V136" s="55"/>
      <c r="W136" s="55"/>
      <c r="X136" s="55"/>
    </row>
    <row r="137" spans="1:24" hidden="1" x14ac:dyDescent="0.25">
      <c r="A137">
        <v>24</v>
      </c>
      <c r="B137" t="str">
        <f t="shared" si="0"/>
        <v/>
      </c>
      <c r="C137" s="55" t="str">
        <f t="shared" si="1"/>
        <v/>
      </c>
      <c r="D137" s="55" t="str">
        <f t="shared" si="2"/>
        <v/>
      </c>
      <c r="E137" s="55" t="str">
        <f t="shared" si="3"/>
        <v/>
      </c>
      <c r="F137" s="55" t="str">
        <f t="shared" si="4"/>
        <v/>
      </c>
      <c r="G137" s="55" t="str">
        <f t="shared" si="5"/>
        <v/>
      </c>
      <c r="H137" s="55" t="str">
        <f t="shared" si="6"/>
        <v/>
      </c>
      <c r="I137" s="55" t="str">
        <f t="shared" si="7"/>
        <v/>
      </c>
      <c r="J137" s="55" t="str">
        <f t="shared" si="8"/>
        <v/>
      </c>
      <c r="L137">
        <v>24</v>
      </c>
      <c r="M137" t="str">
        <f t="shared" si="9"/>
        <v/>
      </c>
      <c r="N137" s="55" t="str">
        <f t="shared" si="14"/>
        <v/>
      </c>
      <c r="O137" s="55" t="str">
        <f t="shared" si="14"/>
        <v/>
      </c>
      <c r="P137" s="55" t="str">
        <f t="shared" si="15"/>
        <v/>
      </c>
      <c r="Q137" s="55" t="str">
        <f t="shared" si="15"/>
        <v/>
      </c>
      <c r="R137" s="55" t="str">
        <f t="shared" si="16"/>
        <v/>
      </c>
      <c r="S137" s="55" t="str">
        <f t="shared" si="16"/>
        <v/>
      </c>
      <c r="T137" s="55" t="str">
        <f t="shared" si="17"/>
        <v/>
      </c>
      <c r="U137" s="55" t="str">
        <f t="shared" si="17"/>
        <v/>
      </c>
      <c r="V137" s="55"/>
      <c r="W137" s="55"/>
      <c r="X137" s="55"/>
    </row>
    <row r="138" spans="1:24" hidden="1" x14ac:dyDescent="0.25">
      <c r="A138">
        <v>25</v>
      </c>
      <c r="B138" t="str">
        <f t="shared" si="0"/>
        <v/>
      </c>
      <c r="C138" s="55" t="str">
        <f t="shared" si="1"/>
        <v/>
      </c>
      <c r="D138" s="55" t="str">
        <f t="shared" si="2"/>
        <v/>
      </c>
      <c r="E138" s="55" t="str">
        <f t="shared" si="3"/>
        <v/>
      </c>
      <c r="F138" s="55" t="str">
        <f t="shared" si="4"/>
        <v/>
      </c>
      <c r="G138" s="55" t="str">
        <f t="shared" si="5"/>
        <v/>
      </c>
      <c r="H138" s="55" t="str">
        <f t="shared" si="6"/>
        <v/>
      </c>
      <c r="I138" s="55" t="str">
        <f t="shared" si="7"/>
        <v/>
      </c>
      <c r="J138" s="55" t="str">
        <f t="shared" si="8"/>
        <v/>
      </c>
      <c r="L138">
        <v>25</v>
      </c>
      <c r="M138" t="str">
        <f t="shared" si="9"/>
        <v/>
      </c>
      <c r="N138" s="55" t="str">
        <f t="shared" si="14"/>
        <v/>
      </c>
      <c r="O138" s="55" t="str">
        <f t="shared" si="14"/>
        <v/>
      </c>
      <c r="P138" s="55" t="str">
        <f t="shared" si="15"/>
        <v/>
      </c>
      <c r="Q138" s="55" t="str">
        <f t="shared" si="15"/>
        <v/>
      </c>
      <c r="R138" s="55" t="str">
        <f t="shared" si="16"/>
        <v/>
      </c>
      <c r="S138" s="55" t="str">
        <f t="shared" si="16"/>
        <v/>
      </c>
      <c r="T138" s="55" t="str">
        <f t="shared" si="17"/>
        <v/>
      </c>
      <c r="U138" s="55" t="str">
        <f t="shared" si="17"/>
        <v/>
      </c>
      <c r="V138" s="55"/>
      <c r="W138" s="55"/>
      <c r="X138" s="55"/>
    </row>
    <row r="139" spans="1:24" hidden="1" x14ac:dyDescent="0.25">
      <c r="A139">
        <v>26</v>
      </c>
      <c r="B139" t="str">
        <f t="shared" si="0"/>
        <v/>
      </c>
      <c r="C139" s="55" t="str">
        <f t="shared" si="1"/>
        <v/>
      </c>
      <c r="D139" s="55" t="str">
        <f t="shared" si="2"/>
        <v/>
      </c>
      <c r="E139" s="55" t="str">
        <f t="shared" si="3"/>
        <v/>
      </c>
      <c r="F139" s="55" t="str">
        <f t="shared" si="4"/>
        <v/>
      </c>
      <c r="G139" s="55" t="str">
        <f t="shared" si="5"/>
        <v/>
      </c>
      <c r="H139" s="55" t="str">
        <f t="shared" si="6"/>
        <v/>
      </c>
      <c r="I139" s="55" t="str">
        <f t="shared" si="7"/>
        <v/>
      </c>
      <c r="J139" s="55" t="str">
        <f t="shared" si="8"/>
        <v/>
      </c>
      <c r="L139">
        <v>26</v>
      </c>
      <c r="M139" t="str">
        <f t="shared" si="9"/>
        <v/>
      </c>
      <c r="N139" s="55" t="str">
        <f t="shared" si="14"/>
        <v/>
      </c>
      <c r="O139" s="55" t="str">
        <f t="shared" si="14"/>
        <v/>
      </c>
      <c r="P139" s="55" t="str">
        <f t="shared" si="15"/>
        <v/>
      </c>
      <c r="Q139" s="55" t="str">
        <f t="shared" si="15"/>
        <v/>
      </c>
      <c r="R139" s="55" t="str">
        <f t="shared" si="16"/>
        <v/>
      </c>
      <c r="S139" s="55" t="str">
        <f t="shared" si="16"/>
        <v/>
      </c>
      <c r="T139" s="55" t="str">
        <f t="shared" si="17"/>
        <v/>
      </c>
      <c r="U139" s="55" t="str">
        <f t="shared" si="17"/>
        <v/>
      </c>
      <c r="V139" s="55"/>
      <c r="W139" s="55"/>
      <c r="X139" s="55"/>
    </row>
    <row r="140" spans="1:24" hidden="1" x14ac:dyDescent="0.25">
      <c r="A140">
        <v>27</v>
      </c>
      <c r="B140" t="str">
        <f t="shared" si="0"/>
        <v/>
      </c>
      <c r="C140" s="55" t="str">
        <f t="shared" si="1"/>
        <v/>
      </c>
      <c r="D140" s="55" t="str">
        <f t="shared" si="2"/>
        <v/>
      </c>
      <c r="E140" s="55" t="str">
        <f t="shared" si="3"/>
        <v/>
      </c>
      <c r="F140" s="55" t="str">
        <f t="shared" si="4"/>
        <v/>
      </c>
      <c r="G140" s="55" t="str">
        <f t="shared" si="5"/>
        <v/>
      </c>
      <c r="H140" s="55" t="str">
        <f t="shared" si="6"/>
        <v/>
      </c>
      <c r="I140" s="55" t="str">
        <f t="shared" si="7"/>
        <v/>
      </c>
      <c r="J140" s="55" t="str">
        <f t="shared" si="8"/>
        <v/>
      </c>
      <c r="L140">
        <v>27</v>
      </c>
      <c r="M140" t="str">
        <f t="shared" si="9"/>
        <v/>
      </c>
      <c r="N140" s="55" t="str">
        <f t="shared" si="14"/>
        <v/>
      </c>
      <c r="O140" s="55" t="str">
        <f t="shared" si="14"/>
        <v/>
      </c>
      <c r="P140" s="55" t="str">
        <f t="shared" si="15"/>
        <v/>
      </c>
      <c r="Q140" s="55" t="str">
        <f t="shared" si="15"/>
        <v/>
      </c>
      <c r="R140" s="55" t="str">
        <f t="shared" si="16"/>
        <v/>
      </c>
      <c r="S140" s="55" t="str">
        <f t="shared" si="16"/>
        <v/>
      </c>
      <c r="T140" s="55" t="str">
        <f t="shared" si="17"/>
        <v/>
      </c>
      <c r="U140" s="55" t="str">
        <f t="shared" si="17"/>
        <v/>
      </c>
      <c r="V140" s="55"/>
      <c r="W140" s="55"/>
      <c r="X140" s="55"/>
    </row>
    <row r="141" spans="1:24" hidden="1" x14ac:dyDescent="0.25">
      <c r="A141">
        <v>28</v>
      </c>
      <c r="B141" t="str">
        <f t="shared" si="0"/>
        <v/>
      </c>
      <c r="C141" s="55" t="str">
        <f t="shared" si="1"/>
        <v/>
      </c>
      <c r="D141" s="55" t="str">
        <f t="shared" si="2"/>
        <v/>
      </c>
      <c r="E141" s="55" t="str">
        <f t="shared" si="3"/>
        <v/>
      </c>
      <c r="F141" s="55" t="str">
        <f t="shared" si="4"/>
        <v/>
      </c>
      <c r="G141" s="55" t="str">
        <f t="shared" si="5"/>
        <v/>
      </c>
      <c r="H141" s="55" t="str">
        <f t="shared" si="6"/>
        <v/>
      </c>
      <c r="I141" s="55" t="str">
        <f t="shared" si="7"/>
        <v/>
      </c>
      <c r="J141" s="55" t="str">
        <f t="shared" si="8"/>
        <v/>
      </c>
      <c r="L141">
        <v>28</v>
      </c>
      <c r="M141" t="str">
        <f t="shared" si="9"/>
        <v/>
      </c>
      <c r="N141" s="55" t="str">
        <f t="shared" si="14"/>
        <v/>
      </c>
      <c r="O141" s="55" t="str">
        <f t="shared" si="14"/>
        <v/>
      </c>
      <c r="P141" s="55" t="str">
        <f t="shared" si="15"/>
        <v/>
      </c>
      <c r="Q141" s="55" t="str">
        <f t="shared" si="15"/>
        <v/>
      </c>
      <c r="R141" s="55" t="str">
        <f t="shared" si="16"/>
        <v/>
      </c>
      <c r="S141" s="55" t="str">
        <f t="shared" si="16"/>
        <v/>
      </c>
      <c r="T141" s="55" t="str">
        <f t="shared" si="17"/>
        <v/>
      </c>
      <c r="U141" s="55" t="str">
        <f t="shared" si="17"/>
        <v/>
      </c>
      <c r="V141" s="55"/>
      <c r="W141" s="55"/>
      <c r="X141" s="55"/>
    </row>
    <row r="142" spans="1:24" hidden="1" x14ac:dyDescent="0.25">
      <c r="A142">
        <v>29</v>
      </c>
      <c r="B142" t="str">
        <f t="shared" si="0"/>
        <v/>
      </c>
      <c r="C142" s="55" t="str">
        <f t="shared" si="1"/>
        <v/>
      </c>
      <c r="D142" s="55" t="str">
        <f t="shared" si="2"/>
        <v/>
      </c>
      <c r="E142" s="55" t="str">
        <f t="shared" si="3"/>
        <v/>
      </c>
      <c r="F142" s="55" t="str">
        <f t="shared" si="4"/>
        <v/>
      </c>
      <c r="G142" s="55" t="str">
        <f t="shared" si="5"/>
        <v/>
      </c>
      <c r="H142" s="55" t="str">
        <f t="shared" si="6"/>
        <v/>
      </c>
      <c r="I142" s="55" t="str">
        <f t="shared" si="7"/>
        <v/>
      </c>
      <c r="J142" s="55" t="str">
        <f t="shared" si="8"/>
        <v/>
      </c>
      <c r="L142">
        <v>29</v>
      </c>
      <c r="M142" t="str">
        <f t="shared" si="9"/>
        <v/>
      </c>
      <c r="N142" s="55" t="str">
        <f t="shared" si="14"/>
        <v/>
      </c>
      <c r="O142" s="55" t="str">
        <f t="shared" si="14"/>
        <v/>
      </c>
      <c r="P142" s="55" t="str">
        <f t="shared" si="15"/>
        <v/>
      </c>
      <c r="Q142" s="55" t="str">
        <f t="shared" si="15"/>
        <v/>
      </c>
      <c r="R142" s="55" t="str">
        <f t="shared" si="16"/>
        <v/>
      </c>
      <c r="S142" s="55" t="str">
        <f t="shared" si="16"/>
        <v/>
      </c>
      <c r="T142" s="55" t="str">
        <f t="shared" si="17"/>
        <v/>
      </c>
      <c r="U142" s="55" t="str">
        <f t="shared" si="17"/>
        <v/>
      </c>
      <c r="V142" s="55"/>
      <c r="W142" s="55"/>
      <c r="X142" s="55"/>
    </row>
    <row r="143" spans="1:24" hidden="1" x14ac:dyDescent="0.25">
      <c r="A143">
        <v>30</v>
      </c>
      <c r="B143" t="str">
        <f t="shared" si="0"/>
        <v/>
      </c>
      <c r="C143" s="55" t="str">
        <f t="shared" si="1"/>
        <v/>
      </c>
      <c r="D143" s="55" t="str">
        <f t="shared" si="2"/>
        <v/>
      </c>
      <c r="E143" s="55" t="str">
        <f t="shared" si="3"/>
        <v/>
      </c>
      <c r="F143" s="55" t="str">
        <f t="shared" si="4"/>
        <v/>
      </c>
      <c r="G143" s="55" t="str">
        <f t="shared" si="5"/>
        <v/>
      </c>
      <c r="H143" s="55" t="str">
        <f t="shared" si="6"/>
        <v/>
      </c>
      <c r="I143" s="55" t="str">
        <f t="shared" si="7"/>
        <v/>
      </c>
      <c r="J143" s="55" t="str">
        <f t="shared" si="8"/>
        <v/>
      </c>
      <c r="L143">
        <v>30</v>
      </c>
      <c r="M143" t="str">
        <f t="shared" si="9"/>
        <v/>
      </c>
      <c r="N143" s="55" t="str">
        <f t="shared" si="14"/>
        <v/>
      </c>
      <c r="O143" s="55" t="str">
        <f t="shared" si="14"/>
        <v/>
      </c>
      <c r="P143" s="55" t="str">
        <f t="shared" si="15"/>
        <v/>
      </c>
      <c r="Q143" s="55" t="str">
        <f t="shared" si="15"/>
        <v/>
      </c>
      <c r="R143" s="55" t="str">
        <f t="shared" si="16"/>
        <v/>
      </c>
      <c r="S143" s="55" t="str">
        <f t="shared" si="16"/>
        <v/>
      </c>
      <c r="T143" s="55" t="str">
        <f t="shared" si="17"/>
        <v/>
      </c>
      <c r="U143" s="55" t="str">
        <f t="shared" si="17"/>
        <v/>
      </c>
      <c r="V143" s="55"/>
      <c r="W143" s="55"/>
      <c r="X143" s="55"/>
    </row>
    <row r="144" spans="1:24" hidden="1" x14ac:dyDescent="0.25">
      <c r="A144">
        <v>31</v>
      </c>
      <c r="B144" t="str">
        <f t="shared" si="0"/>
        <v/>
      </c>
      <c r="C144" s="55" t="str">
        <f t="shared" si="1"/>
        <v/>
      </c>
      <c r="D144" s="55" t="str">
        <f t="shared" si="2"/>
        <v/>
      </c>
      <c r="E144" s="55" t="str">
        <f t="shared" si="3"/>
        <v/>
      </c>
      <c r="F144" s="55" t="str">
        <f t="shared" si="4"/>
        <v/>
      </c>
      <c r="G144" s="55" t="str">
        <f t="shared" si="5"/>
        <v/>
      </c>
      <c r="H144" s="55" t="str">
        <f t="shared" si="6"/>
        <v/>
      </c>
      <c r="I144" s="55" t="str">
        <f t="shared" si="7"/>
        <v/>
      </c>
      <c r="J144" s="55" t="str">
        <f t="shared" si="8"/>
        <v/>
      </c>
      <c r="L144">
        <v>31</v>
      </c>
      <c r="M144" t="str">
        <f t="shared" si="9"/>
        <v/>
      </c>
      <c r="N144" s="55" t="str">
        <f t="shared" si="14"/>
        <v/>
      </c>
      <c r="O144" s="55" t="str">
        <f t="shared" si="14"/>
        <v/>
      </c>
      <c r="P144" s="55" t="str">
        <f t="shared" si="15"/>
        <v/>
      </c>
      <c r="Q144" s="55" t="str">
        <f t="shared" si="15"/>
        <v/>
      </c>
      <c r="R144" s="55" t="str">
        <f t="shared" si="16"/>
        <v/>
      </c>
      <c r="S144" s="55" t="str">
        <f t="shared" si="16"/>
        <v/>
      </c>
      <c r="T144" s="55" t="str">
        <f t="shared" si="17"/>
        <v/>
      </c>
      <c r="U144" s="55" t="str">
        <f t="shared" si="17"/>
        <v/>
      </c>
      <c r="V144" s="55"/>
      <c r="W144" s="55"/>
      <c r="X144" s="55"/>
    </row>
    <row r="145" spans="1:24" hidden="1" x14ac:dyDescent="0.25">
      <c r="A145">
        <v>32</v>
      </c>
      <c r="B145" t="str">
        <f t="shared" si="0"/>
        <v/>
      </c>
      <c r="C145" s="55" t="str">
        <f t="shared" si="1"/>
        <v/>
      </c>
      <c r="D145" s="55" t="str">
        <f t="shared" si="2"/>
        <v/>
      </c>
      <c r="E145" s="55" t="str">
        <f t="shared" si="3"/>
        <v/>
      </c>
      <c r="F145" s="55" t="str">
        <f t="shared" si="4"/>
        <v/>
      </c>
      <c r="G145" s="55" t="str">
        <f t="shared" si="5"/>
        <v/>
      </c>
      <c r="H145" s="55" t="str">
        <f t="shared" si="6"/>
        <v/>
      </c>
      <c r="I145" s="55" t="str">
        <f t="shared" si="7"/>
        <v/>
      </c>
      <c r="J145" s="55" t="str">
        <f t="shared" si="8"/>
        <v/>
      </c>
      <c r="L145">
        <v>32</v>
      </c>
      <c r="M145" t="str">
        <f t="shared" si="9"/>
        <v/>
      </c>
      <c r="N145" s="55" t="str">
        <f t="shared" si="14"/>
        <v/>
      </c>
      <c r="O145" s="55" t="str">
        <f t="shared" si="14"/>
        <v/>
      </c>
      <c r="P145" s="55" t="str">
        <f t="shared" si="15"/>
        <v/>
      </c>
      <c r="Q145" s="55" t="str">
        <f t="shared" si="15"/>
        <v/>
      </c>
      <c r="R145" s="55" t="str">
        <f t="shared" si="16"/>
        <v/>
      </c>
      <c r="S145" s="55" t="str">
        <f t="shared" si="16"/>
        <v/>
      </c>
      <c r="T145" s="55" t="str">
        <f t="shared" si="17"/>
        <v/>
      </c>
      <c r="U145" s="55" t="str">
        <f t="shared" si="17"/>
        <v/>
      </c>
      <c r="V145" s="55"/>
      <c r="W145" s="55"/>
      <c r="X145" s="55"/>
    </row>
    <row r="146" spans="1:24" hidden="1" x14ac:dyDescent="0.25">
      <c r="A146">
        <v>33</v>
      </c>
      <c r="B146" t="str">
        <f t="shared" ref="B146:B177" si="18">IF(ISNUMBER(C146),A146,"")</f>
        <v/>
      </c>
      <c r="C146" s="55" t="str">
        <f t="shared" ref="C146:C177" si="19">IF(ISNUMBER(E77),-ABS(E77),"")</f>
        <v/>
      </c>
      <c r="D146" s="55" t="str">
        <f t="shared" ref="D146:D177" si="20">IF(ISNUMBER(F77),-ABS(F77),"")</f>
        <v/>
      </c>
      <c r="E146" s="55" t="str">
        <f t="shared" ref="E146:E177" si="21">IF(ISNUMBER(G77),ABS(G77),"")</f>
        <v/>
      </c>
      <c r="F146" s="55" t="str">
        <f t="shared" ref="F146:F177" si="22">IF(ISNUMBER(H77),ABS(H77),"")</f>
        <v/>
      </c>
      <c r="G146" s="55" t="str">
        <f t="shared" ref="G146:G177" si="23">IF(ISNUMBER(I77),-ABS(I77),"")</f>
        <v/>
      </c>
      <c r="H146" s="55" t="str">
        <f t="shared" ref="H146:H177" si="24">IF(ISNUMBER(J77),-ABS(J77),"")</f>
        <v/>
      </c>
      <c r="I146" s="55" t="str">
        <f t="shared" ref="I146:I177" si="25">IF(ISNUMBER(K77),ABS(K77),"")</f>
        <v/>
      </c>
      <c r="J146" s="55" t="str">
        <f t="shared" ref="J146:J177" si="26">IF(ISNUMBER(L77),ABS(L77),"")</f>
        <v/>
      </c>
      <c r="L146">
        <v>33</v>
      </c>
      <c r="M146" t="str">
        <f t="shared" ref="M146:M177" si="27">IF(ISNUMBER(N146),L146,"")</f>
        <v/>
      </c>
      <c r="N146" s="55" t="str">
        <f t="shared" si="14"/>
        <v/>
      </c>
      <c r="O146" s="55" t="str">
        <f t="shared" si="14"/>
        <v/>
      </c>
      <c r="P146" s="55" t="str">
        <f t="shared" si="15"/>
        <v/>
      </c>
      <c r="Q146" s="55" t="str">
        <f t="shared" si="15"/>
        <v/>
      </c>
      <c r="R146" s="55" t="str">
        <f t="shared" si="16"/>
        <v/>
      </c>
      <c r="S146" s="55" t="str">
        <f t="shared" si="16"/>
        <v/>
      </c>
      <c r="T146" s="55" t="str">
        <f t="shared" si="17"/>
        <v/>
      </c>
      <c r="U146" s="55" t="str">
        <f t="shared" si="17"/>
        <v/>
      </c>
      <c r="V146" s="55"/>
      <c r="W146" s="55"/>
      <c r="X146" s="55"/>
    </row>
    <row r="147" spans="1:24" hidden="1" x14ac:dyDescent="0.25">
      <c r="A147">
        <v>34</v>
      </c>
      <c r="B147" t="str">
        <f t="shared" si="18"/>
        <v/>
      </c>
      <c r="C147" s="55" t="str">
        <f t="shared" si="19"/>
        <v/>
      </c>
      <c r="D147" s="55" t="str">
        <f t="shared" si="20"/>
        <v/>
      </c>
      <c r="E147" s="55" t="str">
        <f t="shared" si="21"/>
        <v/>
      </c>
      <c r="F147" s="55" t="str">
        <f t="shared" si="22"/>
        <v/>
      </c>
      <c r="G147" s="55" t="str">
        <f t="shared" si="23"/>
        <v/>
      </c>
      <c r="H147" s="55" t="str">
        <f t="shared" si="24"/>
        <v/>
      </c>
      <c r="I147" s="55" t="str">
        <f t="shared" si="25"/>
        <v/>
      </c>
      <c r="J147" s="55" t="str">
        <f t="shared" si="26"/>
        <v/>
      </c>
      <c r="L147">
        <v>34</v>
      </c>
      <c r="M147" t="str">
        <f t="shared" si="27"/>
        <v/>
      </c>
      <c r="N147" s="55" t="str">
        <f t="shared" si="14"/>
        <v/>
      </c>
      <c r="O147" s="55" t="str">
        <f t="shared" si="14"/>
        <v/>
      </c>
      <c r="P147" s="55" t="str">
        <f t="shared" si="15"/>
        <v/>
      </c>
      <c r="Q147" s="55" t="str">
        <f t="shared" si="15"/>
        <v/>
      </c>
      <c r="R147" s="55" t="str">
        <f t="shared" si="16"/>
        <v/>
      </c>
      <c r="S147" s="55" t="str">
        <f t="shared" si="16"/>
        <v/>
      </c>
      <c r="T147" s="55" t="str">
        <f t="shared" si="17"/>
        <v/>
      </c>
      <c r="U147" s="55" t="str">
        <f t="shared" si="17"/>
        <v/>
      </c>
      <c r="V147" s="55"/>
      <c r="W147" s="55"/>
      <c r="X147" s="55"/>
    </row>
    <row r="148" spans="1:24" hidden="1" x14ac:dyDescent="0.25">
      <c r="A148">
        <v>35</v>
      </c>
      <c r="B148" t="str">
        <f t="shared" si="18"/>
        <v/>
      </c>
      <c r="C148" s="55" t="str">
        <f t="shared" si="19"/>
        <v/>
      </c>
      <c r="D148" s="55" t="str">
        <f t="shared" si="20"/>
        <v/>
      </c>
      <c r="E148" s="55" t="str">
        <f t="shared" si="21"/>
        <v/>
      </c>
      <c r="F148" s="55" t="str">
        <f t="shared" si="22"/>
        <v/>
      </c>
      <c r="G148" s="55" t="str">
        <f t="shared" si="23"/>
        <v/>
      </c>
      <c r="H148" s="55" t="str">
        <f t="shared" si="24"/>
        <v/>
      </c>
      <c r="I148" s="55" t="str">
        <f t="shared" si="25"/>
        <v/>
      </c>
      <c r="J148" s="55" t="str">
        <f t="shared" si="26"/>
        <v/>
      </c>
      <c r="L148">
        <v>35</v>
      </c>
      <c r="M148" t="str">
        <f t="shared" si="27"/>
        <v/>
      </c>
      <c r="N148" s="55" t="str">
        <f t="shared" si="14"/>
        <v/>
      </c>
      <c r="O148" s="55" t="str">
        <f t="shared" si="14"/>
        <v/>
      </c>
      <c r="P148" s="55" t="str">
        <f t="shared" si="15"/>
        <v/>
      </c>
      <c r="Q148" s="55" t="str">
        <f t="shared" si="15"/>
        <v/>
      </c>
      <c r="R148" s="55" t="str">
        <f t="shared" si="16"/>
        <v/>
      </c>
      <c r="S148" s="55" t="str">
        <f t="shared" si="16"/>
        <v/>
      </c>
      <c r="T148" s="55" t="str">
        <f t="shared" si="17"/>
        <v/>
      </c>
      <c r="U148" s="55" t="str">
        <f t="shared" si="17"/>
        <v/>
      </c>
      <c r="V148" s="55"/>
      <c r="W148" s="55"/>
      <c r="X148" s="55"/>
    </row>
    <row r="149" spans="1:24" hidden="1" x14ac:dyDescent="0.25">
      <c r="A149">
        <v>36</v>
      </c>
      <c r="B149" t="str">
        <f t="shared" si="18"/>
        <v/>
      </c>
      <c r="C149" s="55" t="str">
        <f t="shared" si="19"/>
        <v/>
      </c>
      <c r="D149" s="55" t="str">
        <f t="shared" si="20"/>
        <v/>
      </c>
      <c r="E149" s="55" t="str">
        <f t="shared" si="21"/>
        <v/>
      </c>
      <c r="F149" s="55" t="str">
        <f t="shared" si="22"/>
        <v/>
      </c>
      <c r="G149" s="55" t="str">
        <f t="shared" si="23"/>
        <v/>
      </c>
      <c r="H149" s="55" t="str">
        <f t="shared" si="24"/>
        <v/>
      </c>
      <c r="I149" s="55" t="str">
        <f t="shared" si="25"/>
        <v/>
      </c>
      <c r="J149" s="55" t="str">
        <f t="shared" si="26"/>
        <v/>
      </c>
      <c r="L149">
        <v>36</v>
      </c>
      <c r="M149" t="str">
        <f t="shared" si="27"/>
        <v/>
      </c>
      <c r="N149" s="55" t="str">
        <f t="shared" si="14"/>
        <v/>
      </c>
      <c r="O149" s="55" t="str">
        <f t="shared" si="14"/>
        <v/>
      </c>
      <c r="P149" s="55" t="str">
        <f t="shared" si="15"/>
        <v/>
      </c>
      <c r="Q149" s="55" t="str">
        <f t="shared" si="15"/>
        <v/>
      </c>
      <c r="R149" s="55" t="str">
        <f t="shared" si="16"/>
        <v/>
      </c>
      <c r="S149" s="55" t="str">
        <f t="shared" si="16"/>
        <v/>
      </c>
      <c r="T149" s="55" t="str">
        <f t="shared" si="17"/>
        <v/>
      </c>
      <c r="U149" s="55" t="str">
        <f t="shared" si="17"/>
        <v/>
      </c>
      <c r="V149" s="55"/>
      <c r="W149" s="55"/>
      <c r="X149" s="55"/>
    </row>
    <row r="150" spans="1:24" hidden="1" x14ac:dyDescent="0.25">
      <c r="A150">
        <v>37</v>
      </c>
      <c r="B150" t="str">
        <f t="shared" si="18"/>
        <v/>
      </c>
      <c r="C150" s="55" t="str">
        <f t="shared" si="19"/>
        <v/>
      </c>
      <c r="D150" s="55" t="str">
        <f t="shared" si="20"/>
        <v/>
      </c>
      <c r="E150" s="55" t="str">
        <f t="shared" si="21"/>
        <v/>
      </c>
      <c r="F150" s="55" t="str">
        <f t="shared" si="22"/>
        <v/>
      </c>
      <c r="G150" s="55" t="str">
        <f t="shared" si="23"/>
        <v/>
      </c>
      <c r="H150" s="55" t="str">
        <f t="shared" si="24"/>
        <v/>
      </c>
      <c r="I150" s="55" t="str">
        <f t="shared" si="25"/>
        <v/>
      </c>
      <c r="J150" s="55" t="str">
        <f t="shared" si="26"/>
        <v/>
      </c>
      <c r="L150">
        <v>37</v>
      </c>
      <c r="M150" t="str">
        <f t="shared" si="27"/>
        <v/>
      </c>
      <c r="N150" s="55" t="str">
        <f t="shared" si="14"/>
        <v/>
      </c>
      <c r="O150" s="55" t="str">
        <f t="shared" si="14"/>
        <v/>
      </c>
      <c r="P150" s="55" t="str">
        <f t="shared" si="15"/>
        <v/>
      </c>
      <c r="Q150" s="55" t="str">
        <f t="shared" si="15"/>
        <v/>
      </c>
      <c r="R150" s="55" t="str">
        <f t="shared" si="16"/>
        <v/>
      </c>
      <c r="S150" s="55" t="str">
        <f t="shared" si="16"/>
        <v/>
      </c>
      <c r="T150" s="55" t="str">
        <f t="shared" si="17"/>
        <v/>
      </c>
      <c r="U150" s="55" t="str">
        <f t="shared" si="17"/>
        <v/>
      </c>
      <c r="V150" s="55"/>
      <c r="W150" s="55"/>
      <c r="X150" s="55"/>
    </row>
    <row r="151" spans="1:24" hidden="1" x14ac:dyDescent="0.25">
      <c r="A151">
        <v>38</v>
      </c>
      <c r="B151" t="str">
        <f t="shared" si="18"/>
        <v/>
      </c>
      <c r="C151" s="55" t="str">
        <f t="shared" si="19"/>
        <v/>
      </c>
      <c r="D151" s="55" t="str">
        <f t="shared" si="20"/>
        <v/>
      </c>
      <c r="E151" s="55" t="str">
        <f t="shared" si="21"/>
        <v/>
      </c>
      <c r="F151" s="55" t="str">
        <f t="shared" si="22"/>
        <v/>
      </c>
      <c r="G151" s="55" t="str">
        <f t="shared" si="23"/>
        <v/>
      </c>
      <c r="H151" s="55" t="str">
        <f t="shared" si="24"/>
        <v/>
      </c>
      <c r="I151" s="55" t="str">
        <f t="shared" si="25"/>
        <v/>
      </c>
      <c r="J151" s="55" t="str">
        <f t="shared" si="26"/>
        <v/>
      </c>
      <c r="L151">
        <v>38</v>
      </c>
      <c r="M151" t="str">
        <f t="shared" si="27"/>
        <v/>
      </c>
      <c r="N151" s="55" t="str">
        <f t="shared" si="14"/>
        <v/>
      </c>
      <c r="O151" s="55" t="str">
        <f t="shared" si="14"/>
        <v/>
      </c>
      <c r="P151" s="55" t="str">
        <f t="shared" si="15"/>
        <v/>
      </c>
      <c r="Q151" s="55" t="str">
        <f t="shared" si="15"/>
        <v/>
      </c>
      <c r="R151" s="55" t="str">
        <f t="shared" si="16"/>
        <v/>
      </c>
      <c r="S151" s="55" t="str">
        <f t="shared" si="16"/>
        <v/>
      </c>
      <c r="T151" s="55" t="str">
        <f t="shared" si="17"/>
        <v/>
      </c>
      <c r="U151" s="55" t="str">
        <f t="shared" si="17"/>
        <v/>
      </c>
      <c r="V151" s="55"/>
      <c r="W151" s="55"/>
      <c r="X151" s="55"/>
    </row>
    <row r="152" spans="1:24" hidden="1" x14ac:dyDescent="0.25">
      <c r="A152">
        <v>39</v>
      </c>
      <c r="B152" t="str">
        <f t="shared" si="18"/>
        <v/>
      </c>
      <c r="C152" s="55" t="str">
        <f t="shared" si="19"/>
        <v/>
      </c>
      <c r="D152" s="55" t="str">
        <f t="shared" si="20"/>
        <v/>
      </c>
      <c r="E152" s="55" t="str">
        <f t="shared" si="21"/>
        <v/>
      </c>
      <c r="F152" s="55" t="str">
        <f t="shared" si="22"/>
        <v/>
      </c>
      <c r="G152" s="55" t="str">
        <f t="shared" si="23"/>
        <v/>
      </c>
      <c r="H152" s="55" t="str">
        <f t="shared" si="24"/>
        <v/>
      </c>
      <c r="I152" s="55" t="str">
        <f t="shared" si="25"/>
        <v/>
      </c>
      <c r="J152" s="55" t="str">
        <f t="shared" si="26"/>
        <v/>
      </c>
      <c r="L152">
        <v>39</v>
      </c>
      <c r="M152" t="str">
        <f t="shared" si="27"/>
        <v/>
      </c>
      <c r="N152" s="55" t="str">
        <f t="shared" si="14"/>
        <v/>
      </c>
      <c r="O152" s="55" t="str">
        <f t="shared" si="14"/>
        <v/>
      </c>
      <c r="P152" s="55" t="str">
        <f t="shared" si="15"/>
        <v/>
      </c>
      <c r="Q152" s="55" t="str">
        <f t="shared" si="15"/>
        <v/>
      </c>
      <c r="R152" s="55" t="str">
        <f t="shared" si="16"/>
        <v/>
      </c>
      <c r="S152" s="55" t="str">
        <f t="shared" si="16"/>
        <v/>
      </c>
      <c r="T152" s="55" t="str">
        <f t="shared" si="17"/>
        <v/>
      </c>
      <c r="U152" s="55" t="str">
        <f t="shared" si="17"/>
        <v/>
      </c>
      <c r="V152" s="55"/>
      <c r="W152" s="55"/>
      <c r="X152" s="55"/>
    </row>
    <row r="153" spans="1:24" hidden="1" x14ac:dyDescent="0.25">
      <c r="A153">
        <v>40</v>
      </c>
      <c r="B153" t="str">
        <f t="shared" si="18"/>
        <v/>
      </c>
      <c r="C153" s="55" t="str">
        <f t="shared" si="19"/>
        <v/>
      </c>
      <c r="D153" s="55" t="str">
        <f t="shared" si="20"/>
        <v/>
      </c>
      <c r="E153" s="55" t="str">
        <f t="shared" si="21"/>
        <v/>
      </c>
      <c r="F153" s="55" t="str">
        <f t="shared" si="22"/>
        <v/>
      </c>
      <c r="G153" s="55" t="str">
        <f t="shared" si="23"/>
        <v/>
      </c>
      <c r="H153" s="55" t="str">
        <f t="shared" si="24"/>
        <v/>
      </c>
      <c r="I153" s="55" t="str">
        <f t="shared" si="25"/>
        <v/>
      </c>
      <c r="J153" s="55" t="str">
        <f t="shared" si="26"/>
        <v/>
      </c>
      <c r="L153">
        <v>40</v>
      </c>
      <c r="M153" t="str">
        <f t="shared" si="27"/>
        <v/>
      </c>
      <c r="N153" s="55" t="str">
        <f t="shared" si="14"/>
        <v/>
      </c>
      <c r="O153" s="55" t="str">
        <f t="shared" si="14"/>
        <v/>
      </c>
      <c r="P153" s="55" t="str">
        <f t="shared" si="15"/>
        <v/>
      </c>
      <c r="Q153" s="55" t="str">
        <f t="shared" si="15"/>
        <v/>
      </c>
      <c r="R153" s="55" t="str">
        <f t="shared" si="16"/>
        <v/>
      </c>
      <c r="S153" s="55" t="str">
        <f t="shared" si="16"/>
        <v/>
      </c>
      <c r="T153" s="55" t="str">
        <f t="shared" si="17"/>
        <v/>
      </c>
      <c r="U153" s="55" t="str">
        <f t="shared" si="17"/>
        <v/>
      </c>
      <c r="V153" s="55"/>
      <c r="W153" s="55"/>
      <c r="X153" s="55"/>
    </row>
    <row r="154" spans="1:24" hidden="1" x14ac:dyDescent="0.25">
      <c r="A154">
        <v>41</v>
      </c>
      <c r="B154" t="str">
        <f t="shared" si="18"/>
        <v/>
      </c>
      <c r="C154" s="55" t="str">
        <f t="shared" si="19"/>
        <v/>
      </c>
      <c r="D154" s="55" t="str">
        <f t="shared" si="20"/>
        <v/>
      </c>
      <c r="E154" s="55" t="str">
        <f t="shared" si="21"/>
        <v/>
      </c>
      <c r="F154" s="55" t="str">
        <f t="shared" si="22"/>
        <v/>
      </c>
      <c r="G154" s="55" t="str">
        <f t="shared" si="23"/>
        <v/>
      </c>
      <c r="H154" s="55" t="str">
        <f t="shared" si="24"/>
        <v/>
      </c>
      <c r="I154" s="55" t="str">
        <f t="shared" si="25"/>
        <v/>
      </c>
      <c r="J154" s="55" t="str">
        <f t="shared" si="26"/>
        <v/>
      </c>
      <c r="L154">
        <v>41</v>
      </c>
      <c r="M154" t="str">
        <f t="shared" si="27"/>
        <v/>
      </c>
      <c r="N154" s="55" t="str">
        <f t="shared" ref="N154:O173" si="28">IF(ISNUMBER(N85),-ABS(N85),"")</f>
        <v/>
      </c>
      <c r="O154" s="55" t="str">
        <f t="shared" si="28"/>
        <v/>
      </c>
      <c r="P154" s="55" t="str">
        <f t="shared" ref="P154:Q173" si="29">IF(ISNUMBER(P85),ABS(P85),"")</f>
        <v/>
      </c>
      <c r="Q154" s="55" t="str">
        <f t="shared" si="29"/>
        <v/>
      </c>
      <c r="R154" s="55" t="str">
        <f t="shared" ref="R154:S173" si="30">IF(ISNUMBER(R85),-ABS(R85),"")</f>
        <v/>
      </c>
      <c r="S154" s="55" t="str">
        <f t="shared" si="30"/>
        <v/>
      </c>
      <c r="T154" s="55" t="str">
        <f t="shared" ref="T154:U173" si="31">IF(ISNUMBER(T85),ABS(T85),"")</f>
        <v/>
      </c>
      <c r="U154" s="55" t="str">
        <f t="shared" si="31"/>
        <v/>
      </c>
      <c r="V154" s="55"/>
      <c r="W154" s="55"/>
      <c r="X154" s="55"/>
    </row>
    <row r="155" spans="1:24" hidden="1" x14ac:dyDescent="0.25">
      <c r="A155">
        <v>42</v>
      </c>
      <c r="B155" t="str">
        <f t="shared" si="18"/>
        <v/>
      </c>
      <c r="C155" s="55" t="str">
        <f t="shared" si="19"/>
        <v/>
      </c>
      <c r="D155" s="55" t="str">
        <f t="shared" si="20"/>
        <v/>
      </c>
      <c r="E155" s="55" t="str">
        <f t="shared" si="21"/>
        <v/>
      </c>
      <c r="F155" s="55" t="str">
        <f t="shared" si="22"/>
        <v/>
      </c>
      <c r="G155" s="55" t="str">
        <f t="shared" si="23"/>
        <v/>
      </c>
      <c r="H155" s="55" t="str">
        <f t="shared" si="24"/>
        <v/>
      </c>
      <c r="I155" s="55" t="str">
        <f t="shared" si="25"/>
        <v/>
      </c>
      <c r="J155" s="55" t="str">
        <f t="shared" si="26"/>
        <v/>
      </c>
      <c r="L155">
        <v>42</v>
      </c>
      <c r="M155" t="str">
        <f t="shared" si="27"/>
        <v/>
      </c>
      <c r="N155" s="55" t="str">
        <f t="shared" si="28"/>
        <v/>
      </c>
      <c r="O155" s="55" t="str">
        <f t="shared" si="28"/>
        <v/>
      </c>
      <c r="P155" s="55" t="str">
        <f t="shared" si="29"/>
        <v/>
      </c>
      <c r="Q155" s="55" t="str">
        <f t="shared" si="29"/>
        <v/>
      </c>
      <c r="R155" s="55" t="str">
        <f t="shared" si="30"/>
        <v/>
      </c>
      <c r="S155" s="55" t="str">
        <f t="shared" si="30"/>
        <v/>
      </c>
      <c r="T155" s="55" t="str">
        <f t="shared" si="31"/>
        <v/>
      </c>
      <c r="U155" s="55" t="str">
        <f t="shared" si="31"/>
        <v/>
      </c>
      <c r="V155" s="55"/>
      <c r="W155" s="55"/>
      <c r="X155" s="55"/>
    </row>
    <row r="156" spans="1:24" hidden="1" x14ac:dyDescent="0.25">
      <c r="A156">
        <v>43</v>
      </c>
      <c r="B156" t="str">
        <f t="shared" si="18"/>
        <v/>
      </c>
      <c r="C156" s="55" t="str">
        <f t="shared" si="19"/>
        <v/>
      </c>
      <c r="D156" s="55" t="str">
        <f t="shared" si="20"/>
        <v/>
      </c>
      <c r="E156" s="55" t="str">
        <f t="shared" si="21"/>
        <v/>
      </c>
      <c r="F156" s="55" t="str">
        <f t="shared" si="22"/>
        <v/>
      </c>
      <c r="G156" s="55" t="str">
        <f t="shared" si="23"/>
        <v/>
      </c>
      <c r="H156" s="55" t="str">
        <f t="shared" si="24"/>
        <v/>
      </c>
      <c r="I156" s="55" t="str">
        <f t="shared" si="25"/>
        <v/>
      </c>
      <c r="J156" s="55" t="str">
        <f t="shared" si="26"/>
        <v/>
      </c>
      <c r="L156">
        <v>43</v>
      </c>
      <c r="M156" t="str">
        <f t="shared" si="27"/>
        <v/>
      </c>
      <c r="N156" s="55" t="str">
        <f t="shared" si="28"/>
        <v/>
      </c>
      <c r="O156" s="55" t="str">
        <f t="shared" si="28"/>
        <v/>
      </c>
      <c r="P156" s="55" t="str">
        <f t="shared" si="29"/>
        <v/>
      </c>
      <c r="Q156" s="55" t="str">
        <f t="shared" si="29"/>
        <v/>
      </c>
      <c r="R156" s="55" t="str">
        <f t="shared" si="30"/>
        <v/>
      </c>
      <c r="S156" s="55" t="str">
        <f t="shared" si="30"/>
        <v/>
      </c>
      <c r="T156" s="55" t="str">
        <f t="shared" si="31"/>
        <v/>
      </c>
      <c r="U156" s="55" t="str">
        <f t="shared" si="31"/>
        <v/>
      </c>
      <c r="V156" s="55"/>
      <c r="W156" s="55"/>
      <c r="X156" s="55"/>
    </row>
    <row r="157" spans="1:24" hidden="1" x14ac:dyDescent="0.25">
      <c r="A157">
        <v>44</v>
      </c>
      <c r="B157" t="str">
        <f t="shared" si="18"/>
        <v/>
      </c>
      <c r="C157" s="55" t="str">
        <f t="shared" si="19"/>
        <v/>
      </c>
      <c r="D157" s="55" t="str">
        <f t="shared" si="20"/>
        <v/>
      </c>
      <c r="E157" s="55" t="str">
        <f t="shared" si="21"/>
        <v/>
      </c>
      <c r="F157" s="55" t="str">
        <f t="shared" si="22"/>
        <v/>
      </c>
      <c r="G157" s="55" t="str">
        <f t="shared" si="23"/>
        <v/>
      </c>
      <c r="H157" s="55" t="str">
        <f t="shared" si="24"/>
        <v/>
      </c>
      <c r="I157" s="55" t="str">
        <f t="shared" si="25"/>
        <v/>
      </c>
      <c r="J157" s="55" t="str">
        <f t="shared" si="26"/>
        <v/>
      </c>
      <c r="L157">
        <v>44</v>
      </c>
      <c r="M157" t="str">
        <f t="shared" si="27"/>
        <v/>
      </c>
      <c r="N157" s="55" t="str">
        <f t="shared" si="28"/>
        <v/>
      </c>
      <c r="O157" s="55" t="str">
        <f t="shared" si="28"/>
        <v/>
      </c>
      <c r="P157" s="55" t="str">
        <f t="shared" si="29"/>
        <v/>
      </c>
      <c r="Q157" s="55" t="str">
        <f t="shared" si="29"/>
        <v/>
      </c>
      <c r="R157" s="55" t="str">
        <f t="shared" si="30"/>
        <v/>
      </c>
      <c r="S157" s="55" t="str">
        <f t="shared" si="30"/>
        <v/>
      </c>
      <c r="T157" s="55" t="str">
        <f t="shared" si="31"/>
        <v/>
      </c>
      <c r="U157" s="55" t="str">
        <f t="shared" si="31"/>
        <v/>
      </c>
      <c r="V157" s="55"/>
      <c r="W157" s="55"/>
      <c r="X157" s="55"/>
    </row>
    <row r="158" spans="1:24" hidden="1" x14ac:dyDescent="0.25">
      <c r="A158">
        <v>45</v>
      </c>
      <c r="B158" t="str">
        <f t="shared" si="18"/>
        <v/>
      </c>
      <c r="C158" s="55" t="str">
        <f t="shared" si="19"/>
        <v/>
      </c>
      <c r="D158" s="55" t="str">
        <f t="shared" si="20"/>
        <v/>
      </c>
      <c r="E158" s="55" t="str">
        <f t="shared" si="21"/>
        <v/>
      </c>
      <c r="F158" s="55" t="str">
        <f t="shared" si="22"/>
        <v/>
      </c>
      <c r="G158" s="55" t="str">
        <f t="shared" si="23"/>
        <v/>
      </c>
      <c r="H158" s="55" t="str">
        <f t="shared" si="24"/>
        <v/>
      </c>
      <c r="I158" s="55" t="str">
        <f t="shared" si="25"/>
        <v/>
      </c>
      <c r="J158" s="55" t="str">
        <f t="shared" si="26"/>
        <v/>
      </c>
      <c r="L158">
        <v>45</v>
      </c>
      <c r="M158" t="str">
        <f t="shared" si="27"/>
        <v/>
      </c>
      <c r="N158" s="55" t="str">
        <f t="shared" si="28"/>
        <v/>
      </c>
      <c r="O158" s="55" t="str">
        <f t="shared" si="28"/>
        <v/>
      </c>
      <c r="P158" s="55" t="str">
        <f t="shared" si="29"/>
        <v/>
      </c>
      <c r="Q158" s="55" t="str">
        <f t="shared" si="29"/>
        <v/>
      </c>
      <c r="R158" s="55" t="str">
        <f t="shared" si="30"/>
        <v/>
      </c>
      <c r="S158" s="55" t="str">
        <f t="shared" si="30"/>
        <v/>
      </c>
      <c r="T158" s="55" t="str">
        <f t="shared" si="31"/>
        <v/>
      </c>
      <c r="U158" s="55" t="str">
        <f t="shared" si="31"/>
        <v/>
      </c>
      <c r="V158" s="55"/>
      <c r="W158" s="55"/>
      <c r="X158" s="55"/>
    </row>
    <row r="159" spans="1:24" hidden="1" x14ac:dyDescent="0.25">
      <c r="A159">
        <v>46</v>
      </c>
      <c r="B159" t="str">
        <f t="shared" si="18"/>
        <v/>
      </c>
      <c r="C159" s="55" t="str">
        <f t="shared" si="19"/>
        <v/>
      </c>
      <c r="D159" s="55" t="str">
        <f t="shared" si="20"/>
        <v/>
      </c>
      <c r="E159" s="55" t="str">
        <f t="shared" si="21"/>
        <v/>
      </c>
      <c r="F159" s="55" t="str">
        <f t="shared" si="22"/>
        <v/>
      </c>
      <c r="G159" s="55" t="str">
        <f t="shared" si="23"/>
        <v/>
      </c>
      <c r="H159" s="55" t="str">
        <f t="shared" si="24"/>
        <v/>
      </c>
      <c r="I159" s="55" t="str">
        <f t="shared" si="25"/>
        <v/>
      </c>
      <c r="J159" s="55" t="str">
        <f t="shared" si="26"/>
        <v/>
      </c>
      <c r="L159">
        <v>46</v>
      </c>
      <c r="M159" t="str">
        <f t="shared" si="27"/>
        <v/>
      </c>
      <c r="N159" s="55" t="str">
        <f t="shared" si="28"/>
        <v/>
      </c>
      <c r="O159" s="55" t="str">
        <f t="shared" si="28"/>
        <v/>
      </c>
      <c r="P159" s="55" t="str">
        <f t="shared" si="29"/>
        <v/>
      </c>
      <c r="Q159" s="55" t="str">
        <f t="shared" si="29"/>
        <v/>
      </c>
      <c r="R159" s="55" t="str">
        <f t="shared" si="30"/>
        <v/>
      </c>
      <c r="S159" s="55" t="str">
        <f t="shared" si="30"/>
        <v/>
      </c>
      <c r="T159" s="55" t="str">
        <f t="shared" si="31"/>
        <v/>
      </c>
      <c r="U159" s="55" t="str">
        <f t="shared" si="31"/>
        <v/>
      </c>
      <c r="V159" s="55"/>
      <c r="W159" s="55"/>
      <c r="X159" s="55"/>
    </row>
    <row r="160" spans="1:24" hidden="1" x14ac:dyDescent="0.25">
      <c r="A160">
        <v>47</v>
      </c>
      <c r="B160" t="str">
        <f t="shared" si="18"/>
        <v/>
      </c>
      <c r="C160" s="55" t="str">
        <f t="shared" si="19"/>
        <v/>
      </c>
      <c r="D160" s="55" t="str">
        <f t="shared" si="20"/>
        <v/>
      </c>
      <c r="E160" s="55" t="str">
        <f t="shared" si="21"/>
        <v/>
      </c>
      <c r="F160" s="55" t="str">
        <f t="shared" si="22"/>
        <v/>
      </c>
      <c r="G160" s="55" t="str">
        <f t="shared" si="23"/>
        <v/>
      </c>
      <c r="H160" s="55" t="str">
        <f t="shared" si="24"/>
        <v/>
      </c>
      <c r="I160" s="55" t="str">
        <f t="shared" si="25"/>
        <v/>
      </c>
      <c r="J160" s="55" t="str">
        <f t="shared" si="26"/>
        <v/>
      </c>
      <c r="L160">
        <v>47</v>
      </c>
      <c r="M160" t="str">
        <f t="shared" si="27"/>
        <v/>
      </c>
      <c r="N160" s="55" t="str">
        <f t="shared" si="28"/>
        <v/>
      </c>
      <c r="O160" s="55" t="str">
        <f t="shared" si="28"/>
        <v/>
      </c>
      <c r="P160" s="55" t="str">
        <f t="shared" si="29"/>
        <v/>
      </c>
      <c r="Q160" s="55" t="str">
        <f t="shared" si="29"/>
        <v/>
      </c>
      <c r="R160" s="55" t="str">
        <f t="shared" si="30"/>
        <v/>
      </c>
      <c r="S160" s="55" t="str">
        <f t="shared" si="30"/>
        <v/>
      </c>
      <c r="T160" s="55" t="str">
        <f t="shared" si="31"/>
        <v/>
      </c>
      <c r="U160" s="55" t="str">
        <f t="shared" si="31"/>
        <v/>
      </c>
      <c r="V160" s="55"/>
      <c r="W160" s="55"/>
      <c r="X160" s="55"/>
    </row>
    <row r="161" spans="1:24" hidden="1" x14ac:dyDescent="0.25">
      <c r="A161">
        <v>48</v>
      </c>
      <c r="B161" t="str">
        <f t="shared" si="18"/>
        <v/>
      </c>
      <c r="C161" s="55" t="str">
        <f t="shared" si="19"/>
        <v/>
      </c>
      <c r="D161" s="55" t="str">
        <f t="shared" si="20"/>
        <v/>
      </c>
      <c r="E161" s="55" t="str">
        <f t="shared" si="21"/>
        <v/>
      </c>
      <c r="F161" s="55" t="str">
        <f t="shared" si="22"/>
        <v/>
      </c>
      <c r="G161" s="55" t="str">
        <f t="shared" si="23"/>
        <v/>
      </c>
      <c r="H161" s="55" t="str">
        <f t="shared" si="24"/>
        <v/>
      </c>
      <c r="I161" s="55" t="str">
        <f t="shared" si="25"/>
        <v/>
      </c>
      <c r="J161" s="55" t="str">
        <f t="shared" si="26"/>
        <v/>
      </c>
      <c r="L161">
        <v>48</v>
      </c>
      <c r="M161" t="str">
        <f t="shared" si="27"/>
        <v/>
      </c>
      <c r="N161" s="55" t="str">
        <f t="shared" si="28"/>
        <v/>
      </c>
      <c r="O161" s="55" t="str">
        <f t="shared" si="28"/>
        <v/>
      </c>
      <c r="P161" s="55" t="str">
        <f t="shared" si="29"/>
        <v/>
      </c>
      <c r="Q161" s="55" t="str">
        <f t="shared" si="29"/>
        <v/>
      </c>
      <c r="R161" s="55" t="str">
        <f t="shared" si="30"/>
        <v/>
      </c>
      <c r="S161" s="55" t="str">
        <f t="shared" si="30"/>
        <v/>
      </c>
      <c r="T161" s="55" t="str">
        <f t="shared" si="31"/>
        <v/>
      </c>
      <c r="U161" s="55" t="str">
        <f t="shared" si="31"/>
        <v/>
      </c>
      <c r="V161" s="55"/>
      <c r="W161" s="55"/>
      <c r="X161" s="55"/>
    </row>
    <row r="162" spans="1:24" hidden="1" x14ac:dyDescent="0.25">
      <c r="A162">
        <v>49</v>
      </c>
      <c r="B162" t="str">
        <f t="shared" si="18"/>
        <v/>
      </c>
      <c r="C162" s="55" t="str">
        <f t="shared" si="19"/>
        <v/>
      </c>
      <c r="D162" s="55" t="str">
        <f t="shared" si="20"/>
        <v/>
      </c>
      <c r="E162" s="55" t="str">
        <f t="shared" si="21"/>
        <v/>
      </c>
      <c r="F162" s="55" t="str">
        <f t="shared" si="22"/>
        <v/>
      </c>
      <c r="G162" s="55" t="str">
        <f t="shared" si="23"/>
        <v/>
      </c>
      <c r="H162" s="55" t="str">
        <f t="shared" si="24"/>
        <v/>
      </c>
      <c r="I162" s="55" t="str">
        <f t="shared" si="25"/>
        <v/>
      </c>
      <c r="J162" s="55" t="str">
        <f t="shared" si="26"/>
        <v/>
      </c>
      <c r="L162">
        <v>49</v>
      </c>
      <c r="M162" t="str">
        <f t="shared" si="27"/>
        <v/>
      </c>
      <c r="N162" s="55" t="str">
        <f t="shared" si="28"/>
        <v/>
      </c>
      <c r="O162" s="55" t="str">
        <f t="shared" si="28"/>
        <v/>
      </c>
      <c r="P162" s="55" t="str">
        <f t="shared" si="29"/>
        <v/>
      </c>
      <c r="Q162" s="55" t="str">
        <f t="shared" si="29"/>
        <v/>
      </c>
      <c r="R162" s="55" t="str">
        <f t="shared" si="30"/>
        <v/>
      </c>
      <c r="S162" s="55" t="str">
        <f t="shared" si="30"/>
        <v/>
      </c>
      <c r="T162" s="55" t="str">
        <f t="shared" si="31"/>
        <v/>
      </c>
      <c r="U162" s="55" t="str">
        <f t="shared" si="31"/>
        <v/>
      </c>
      <c r="V162" s="55"/>
      <c r="W162" s="55"/>
      <c r="X162" s="55"/>
    </row>
    <row r="163" spans="1:24" hidden="1" x14ac:dyDescent="0.25">
      <c r="A163">
        <v>50</v>
      </c>
      <c r="B163" t="str">
        <f t="shared" si="18"/>
        <v/>
      </c>
      <c r="C163" s="55" t="str">
        <f t="shared" si="19"/>
        <v/>
      </c>
      <c r="D163" s="55" t="str">
        <f t="shared" si="20"/>
        <v/>
      </c>
      <c r="E163" s="55" t="str">
        <f t="shared" si="21"/>
        <v/>
      </c>
      <c r="F163" s="55" t="str">
        <f t="shared" si="22"/>
        <v/>
      </c>
      <c r="G163" s="55" t="str">
        <f t="shared" si="23"/>
        <v/>
      </c>
      <c r="H163" s="55" t="str">
        <f t="shared" si="24"/>
        <v/>
      </c>
      <c r="I163" s="55" t="str">
        <f t="shared" si="25"/>
        <v/>
      </c>
      <c r="J163" s="55" t="str">
        <f t="shared" si="26"/>
        <v/>
      </c>
      <c r="L163">
        <v>50</v>
      </c>
      <c r="M163" t="str">
        <f t="shared" si="27"/>
        <v/>
      </c>
      <c r="N163" s="55" t="str">
        <f t="shared" si="28"/>
        <v/>
      </c>
      <c r="O163" s="55" t="str">
        <f t="shared" si="28"/>
        <v/>
      </c>
      <c r="P163" s="55" t="str">
        <f t="shared" si="29"/>
        <v/>
      </c>
      <c r="Q163" s="55" t="str">
        <f t="shared" si="29"/>
        <v/>
      </c>
      <c r="R163" s="55" t="str">
        <f t="shared" si="30"/>
        <v/>
      </c>
      <c r="S163" s="55" t="str">
        <f t="shared" si="30"/>
        <v/>
      </c>
      <c r="T163" s="55" t="str">
        <f t="shared" si="31"/>
        <v/>
      </c>
      <c r="U163" s="55" t="str">
        <f t="shared" si="31"/>
        <v/>
      </c>
      <c r="V163" s="55"/>
      <c r="W163" s="55"/>
      <c r="X163" s="55"/>
    </row>
    <row r="164" spans="1:24" hidden="1" x14ac:dyDescent="0.25">
      <c r="A164">
        <v>51</v>
      </c>
      <c r="B164" t="str">
        <f t="shared" si="18"/>
        <v/>
      </c>
      <c r="C164" s="55" t="str">
        <f t="shared" si="19"/>
        <v/>
      </c>
      <c r="D164" s="55" t="str">
        <f t="shared" si="20"/>
        <v/>
      </c>
      <c r="E164" s="55" t="str">
        <f t="shared" si="21"/>
        <v/>
      </c>
      <c r="F164" s="55" t="str">
        <f t="shared" si="22"/>
        <v/>
      </c>
      <c r="G164" s="55" t="str">
        <f t="shared" si="23"/>
        <v/>
      </c>
      <c r="H164" s="55" t="str">
        <f t="shared" si="24"/>
        <v/>
      </c>
      <c r="I164" s="55" t="str">
        <f t="shared" si="25"/>
        <v/>
      </c>
      <c r="J164" s="55" t="str">
        <f t="shared" si="26"/>
        <v/>
      </c>
      <c r="L164">
        <v>51</v>
      </c>
      <c r="M164" t="str">
        <f t="shared" si="27"/>
        <v/>
      </c>
      <c r="N164" s="55" t="str">
        <f t="shared" si="28"/>
        <v/>
      </c>
      <c r="O164" s="55" t="str">
        <f t="shared" si="28"/>
        <v/>
      </c>
      <c r="P164" s="55" t="str">
        <f t="shared" si="29"/>
        <v/>
      </c>
      <c r="Q164" s="55" t="str">
        <f t="shared" si="29"/>
        <v/>
      </c>
      <c r="R164" s="55" t="str">
        <f t="shared" si="30"/>
        <v/>
      </c>
      <c r="S164" s="55" t="str">
        <f t="shared" si="30"/>
        <v/>
      </c>
      <c r="T164" s="55" t="str">
        <f t="shared" si="31"/>
        <v/>
      </c>
      <c r="U164" s="55" t="str">
        <f t="shared" si="31"/>
        <v/>
      </c>
      <c r="V164" s="55"/>
      <c r="W164" s="55"/>
      <c r="X164" s="55"/>
    </row>
    <row r="165" spans="1:24" hidden="1" x14ac:dyDescent="0.25">
      <c r="A165">
        <v>52</v>
      </c>
      <c r="B165" t="str">
        <f t="shared" si="18"/>
        <v/>
      </c>
      <c r="C165" s="55" t="str">
        <f t="shared" si="19"/>
        <v/>
      </c>
      <c r="D165" s="55" t="str">
        <f t="shared" si="20"/>
        <v/>
      </c>
      <c r="E165" s="55" t="str">
        <f t="shared" si="21"/>
        <v/>
      </c>
      <c r="F165" s="55" t="str">
        <f t="shared" si="22"/>
        <v/>
      </c>
      <c r="G165" s="55" t="str">
        <f t="shared" si="23"/>
        <v/>
      </c>
      <c r="H165" s="55" t="str">
        <f t="shared" si="24"/>
        <v/>
      </c>
      <c r="I165" s="55" t="str">
        <f t="shared" si="25"/>
        <v/>
      </c>
      <c r="J165" s="55" t="str">
        <f t="shared" si="26"/>
        <v/>
      </c>
      <c r="L165">
        <v>52</v>
      </c>
      <c r="M165" t="str">
        <f t="shared" si="27"/>
        <v/>
      </c>
      <c r="N165" s="55" t="str">
        <f t="shared" si="28"/>
        <v/>
      </c>
      <c r="O165" s="55" t="str">
        <f t="shared" si="28"/>
        <v/>
      </c>
      <c r="P165" s="55" t="str">
        <f t="shared" si="29"/>
        <v/>
      </c>
      <c r="Q165" s="55" t="str">
        <f t="shared" si="29"/>
        <v/>
      </c>
      <c r="R165" s="55" t="str">
        <f t="shared" si="30"/>
        <v/>
      </c>
      <c r="S165" s="55" t="str">
        <f t="shared" si="30"/>
        <v/>
      </c>
      <c r="T165" s="55" t="str">
        <f t="shared" si="31"/>
        <v/>
      </c>
      <c r="U165" s="55" t="str">
        <f t="shared" si="31"/>
        <v/>
      </c>
      <c r="V165" s="55"/>
      <c r="W165" s="55"/>
      <c r="X165" s="55"/>
    </row>
    <row r="166" spans="1:24" hidden="1" x14ac:dyDescent="0.25">
      <c r="A166">
        <v>53</v>
      </c>
      <c r="B166" t="str">
        <f t="shared" si="18"/>
        <v/>
      </c>
      <c r="C166" s="55" t="str">
        <f t="shared" si="19"/>
        <v/>
      </c>
      <c r="D166" s="55" t="str">
        <f t="shared" si="20"/>
        <v/>
      </c>
      <c r="E166" s="55" t="str">
        <f t="shared" si="21"/>
        <v/>
      </c>
      <c r="F166" s="55" t="str">
        <f t="shared" si="22"/>
        <v/>
      </c>
      <c r="G166" s="55" t="str">
        <f t="shared" si="23"/>
        <v/>
      </c>
      <c r="H166" s="55" t="str">
        <f t="shared" si="24"/>
        <v/>
      </c>
      <c r="I166" s="55" t="str">
        <f t="shared" si="25"/>
        <v/>
      </c>
      <c r="J166" s="55" t="str">
        <f t="shared" si="26"/>
        <v/>
      </c>
      <c r="L166">
        <v>53</v>
      </c>
      <c r="M166" t="str">
        <f t="shared" si="27"/>
        <v/>
      </c>
      <c r="N166" s="55" t="str">
        <f t="shared" si="28"/>
        <v/>
      </c>
      <c r="O166" s="55" t="str">
        <f t="shared" si="28"/>
        <v/>
      </c>
      <c r="P166" s="55" t="str">
        <f t="shared" si="29"/>
        <v/>
      </c>
      <c r="Q166" s="55" t="str">
        <f t="shared" si="29"/>
        <v/>
      </c>
      <c r="R166" s="55" t="str">
        <f t="shared" si="30"/>
        <v/>
      </c>
      <c r="S166" s="55" t="str">
        <f t="shared" si="30"/>
        <v/>
      </c>
      <c r="T166" s="55" t="str">
        <f t="shared" si="31"/>
        <v/>
      </c>
      <c r="U166" s="55" t="str">
        <f t="shared" si="31"/>
        <v/>
      </c>
      <c r="V166" s="55"/>
      <c r="W166" s="55"/>
      <c r="X166" s="55"/>
    </row>
    <row r="167" spans="1:24" hidden="1" x14ac:dyDescent="0.25">
      <c r="A167">
        <v>54</v>
      </c>
      <c r="B167" t="str">
        <f t="shared" si="18"/>
        <v/>
      </c>
      <c r="C167" s="55" t="str">
        <f t="shared" si="19"/>
        <v/>
      </c>
      <c r="D167" s="55" t="str">
        <f t="shared" si="20"/>
        <v/>
      </c>
      <c r="E167" s="55" t="str">
        <f t="shared" si="21"/>
        <v/>
      </c>
      <c r="F167" s="55" t="str">
        <f t="shared" si="22"/>
        <v/>
      </c>
      <c r="G167" s="55" t="str">
        <f t="shared" si="23"/>
        <v/>
      </c>
      <c r="H167" s="55" t="str">
        <f t="shared" si="24"/>
        <v/>
      </c>
      <c r="I167" s="55" t="str">
        <f t="shared" si="25"/>
        <v/>
      </c>
      <c r="J167" s="55" t="str">
        <f t="shared" si="26"/>
        <v/>
      </c>
      <c r="L167">
        <v>54</v>
      </c>
      <c r="M167" t="str">
        <f t="shared" si="27"/>
        <v/>
      </c>
      <c r="N167" s="55" t="str">
        <f t="shared" si="28"/>
        <v/>
      </c>
      <c r="O167" s="55" t="str">
        <f t="shared" si="28"/>
        <v/>
      </c>
      <c r="P167" s="55" t="str">
        <f t="shared" si="29"/>
        <v/>
      </c>
      <c r="Q167" s="55" t="str">
        <f t="shared" si="29"/>
        <v/>
      </c>
      <c r="R167" s="55" t="str">
        <f t="shared" si="30"/>
        <v/>
      </c>
      <c r="S167" s="55" t="str">
        <f t="shared" si="30"/>
        <v/>
      </c>
      <c r="T167" s="55" t="str">
        <f t="shared" si="31"/>
        <v/>
      </c>
      <c r="U167" s="55" t="str">
        <f t="shared" si="31"/>
        <v/>
      </c>
      <c r="V167" s="55"/>
      <c r="W167" s="55"/>
      <c r="X167" s="55"/>
    </row>
    <row r="168" spans="1:24" hidden="1" x14ac:dyDescent="0.25">
      <c r="A168">
        <v>55</v>
      </c>
      <c r="B168" t="str">
        <f t="shared" si="18"/>
        <v/>
      </c>
      <c r="C168" s="55" t="str">
        <f t="shared" si="19"/>
        <v/>
      </c>
      <c r="D168" s="55" t="str">
        <f t="shared" si="20"/>
        <v/>
      </c>
      <c r="E168" s="55" t="str">
        <f t="shared" si="21"/>
        <v/>
      </c>
      <c r="F168" s="55" t="str">
        <f t="shared" si="22"/>
        <v/>
      </c>
      <c r="G168" s="55" t="str">
        <f t="shared" si="23"/>
        <v/>
      </c>
      <c r="H168" s="55" t="str">
        <f t="shared" si="24"/>
        <v/>
      </c>
      <c r="I168" s="55" t="str">
        <f t="shared" si="25"/>
        <v/>
      </c>
      <c r="J168" s="55" t="str">
        <f t="shared" si="26"/>
        <v/>
      </c>
      <c r="L168">
        <v>55</v>
      </c>
      <c r="M168" t="str">
        <f t="shared" si="27"/>
        <v/>
      </c>
      <c r="N168" s="55" t="str">
        <f t="shared" si="28"/>
        <v/>
      </c>
      <c r="O168" s="55" t="str">
        <f t="shared" si="28"/>
        <v/>
      </c>
      <c r="P168" s="55" t="str">
        <f t="shared" si="29"/>
        <v/>
      </c>
      <c r="Q168" s="55" t="str">
        <f t="shared" si="29"/>
        <v/>
      </c>
      <c r="R168" s="55" t="str">
        <f t="shared" si="30"/>
        <v/>
      </c>
      <c r="S168" s="55" t="str">
        <f t="shared" si="30"/>
        <v/>
      </c>
      <c r="T168" s="55" t="str">
        <f t="shared" si="31"/>
        <v/>
      </c>
      <c r="U168" s="55" t="str">
        <f t="shared" si="31"/>
        <v/>
      </c>
      <c r="V168" s="55"/>
      <c r="W168" s="55"/>
      <c r="X168" s="55"/>
    </row>
    <row r="169" spans="1:24" hidden="1" x14ac:dyDescent="0.25">
      <c r="A169">
        <v>56</v>
      </c>
      <c r="B169" t="str">
        <f t="shared" si="18"/>
        <v/>
      </c>
      <c r="C169" s="55" t="str">
        <f t="shared" si="19"/>
        <v/>
      </c>
      <c r="D169" s="55" t="str">
        <f t="shared" si="20"/>
        <v/>
      </c>
      <c r="E169" s="55" t="str">
        <f t="shared" si="21"/>
        <v/>
      </c>
      <c r="F169" s="55" t="str">
        <f t="shared" si="22"/>
        <v/>
      </c>
      <c r="G169" s="55" t="str">
        <f t="shared" si="23"/>
        <v/>
      </c>
      <c r="H169" s="55" t="str">
        <f t="shared" si="24"/>
        <v/>
      </c>
      <c r="I169" s="55" t="str">
        <f t="shared" si="25"/>
        <v/>
      </c>
      <c r="J169" s="55" t="str">
        <f t="shared" si="26"/>
        <v/>
      </c>
      <c r="L169">
        <v>56</v>
      </c>
      <c r="M169" t="str">
        <f t="shared" si="27"/>
        <v/>
      </c>
      <c r="N169" s="55" t="str">
        <f t="shared" si="28"/>
        <v/>
      </c>
      <c r="O169" s="55" t="str">
        <f t="shared" si="28"/>
        <v/>
      </c>
      <c r="P169" s="55" t="str">
        <f t="shared" si="29"/>
        <v/>
      </c>
      <c r="Q169" s="55" t="str">
        <f t="shared" si="29"/>
        <v/>
      </c>
      <c r="R169" s="55" t="str">
        <f t="shared" si="30"/>
        <v/>
      </c>
      <c r="S169" s="55" t="str">
        <f t="shared" si="30"/>
        <v/>
      </c>
      <c r="T169" s="55" t="str">
        <f t="shared" si="31"/>
        <v/>
      </c>
      <c r="U169" s="55" t="str">
        <f t="shared" si="31"/>
        <v/>
      </c>
      <c r="V169" s="55"/>
      <c r="W169" s="55"/>
      <c r="X169" s="55"/>
    </row>
    <row r="170" spans="1:24" hidden="1" x14ac:dyDescent="0.25">
      <c r="A170">
        <v>57</v>
      </c>
      <c r="B170" t="str">
        <f t="shared" si="18"/>
        <v/>
      </c>
      <c r="C170" s="55" t="str">
        <f t="shared" si="19"/>
        <v/>
      </c>
      <c r="D170" s="55" t="str">
        <f t="shared" si="20"/>
        <v/>
      </c>
      <c r="E170" s="55" t="str">
        <f t="shared" si="21"/>
        <v/>
      </c>
      <c r="F170" s="55" t="str">
        <f t="shared" si="22"/>
        <v/>
      </c>
      <c r="G170" s="55" t="str">
        <f t="shared" si="23"/>
        <v/>
      </c>
      <c r="H170" s="55" t="str">
        <f t="shared" si="24"/>
        <v/>
      </c>
      <c r="I170" s="55" t="str">
        <f t="shared" si="25"/>
        <v/>
      </c>
      <c r="J170" s="55" t="str">
        <f t="shared" si="26"/>
        <v/>
      </c>
      <c r="L170">
        <v>57</v>
      </c>
      <c r="M170" t="str">
        <f t="shared" si="27"/>
        <v/>
      </c>
      <c r="N170" s="55" t="str">
        <f t="shared" si="28"/>
        <v/>
      </c>
      <c r="O170" s="55" t="str">
        <f t="shared" si="28"/>
        <v/>
      </c>
      <c r="P170" s="55" t="str">
        <f t="shared" si="29"/>
        <v/>
      </c>
      <c r="Q170" s="55" t="str">
        <f t="shared" si="29"/>
        <v/>
      </c>
      <c r="R170" s="55" t="str">
        <f t="shared" si="30"/>
        <v/>
      </c>
      <c r="S170" s="55" t="str">
        <f t="shared" si="30"/>
        <v/>
      </c>
      <c r="T170" s="55" t="str">
        <f t="shared" si="31"/>
        <v/>
      </c>
      <c r="U170" s="55" t="str">
        <f t="shared" si="31"/>
        <v/>
      </c>
      <c r="V170" s="55"/>
      <c r="W170" s="55"/>
      <c r="X170" s="55"/>
    </row>
    <row r="171" spans="1:24" hidden="1" x14ac:dyDescent="0.25">
      <c r="A171">
        <v>58</v>
      </c>
      <c r="B171" t="str">
        <f t="shared" si="18"/>
        <v/>
      </c>
      <c r="C171" s="55" t="str">
        <f t="shared" si="19"/>
        <v/>
      </c>
      <c r="D171" s="55" t="str">
        <f t="shared" si="20"/>
        <v/>
      </c>
      <c r="E171" s="55" t="str">
        <f t="shared" si="21"/>
        <v/>
      </c>
      <c r="F171" s="55" t="str">
        <f t="shared" si="22"/>
        <v/>
      </c>
      <c r="G171" s="55" t="str">
        <f t="shared" si="23"/>
        <v/>
      </c>
      <c r="H171" s="55" t="str">
        <f t="shared" si="24"/>
        <v/>
      </c>
      <c r="I171" s="55" t="str">
        <f t="shared" si="25"/>
        <v/>
      </c>
      <c r="J171" s="55" t="str">
        <f t="shared" si="26"/>
        <v/>
      </c>
      <c r="L171">
        <v>58</v>
      </c>
      <c r="M171" t="str">
        <f t="shared" si="27"/>
        <v/>
      </c>
      <c r="N171" s="55" t="str">
        <f t="shared" si="28"/>
        <v/>
      </c>
      <c r="O171" s="55" t="str">
        <f t="shared" si="28"/>
        <v/>
      </c>
      <c r="P171" s="55" t="str">
        <f t="shared" si="29"/>
        <v/>
      </c>
      <c r="Q171" s="55" t="str">
        <f t="shared" si="29"/>
        <v/>
      </c>
      <c r="R171" s="55" t="str">
        <f t="shared" si="30"/>
        <v/>
      </c>
      <c r="S171" s="55" t="str">
        <f t="shared" si="30"/>
        <v/>
      </c>
      <c r="T171" s="55" t="str">
        <f t="shared" si="31"/>
        <v/>
      </c>
      <c r="U171" s="55" t="str">
        <f t="shared" si="31"/>
        <v/>
      </c>
      <c r="V171" s="55"/>
      <c r="W171" s="55"/>
      <c r="X171" s="55"/>
    </row>
    <row r="172" spans="1:24" hidden="1" x14ac:dyDescent="0.25">
      <c r="A172">
        <v>59</v>
      </c>
      <c r="B172" t="str">
        <f t="shared" si="18"/>
        <v/>
      </c>
      <c r="C172" s="55" t="str">
        <f t="shared" si="19"/>
        <v/>
      </c>
      <c r="D172" s="55" t="str">
        <f t="shared" si="20"/>
        <v/>
      </c>
      <c r="E172" s="55" t="str">
        <f t="shared" si="21"/>
        <v/>
      </c>
      <c r="F172" s="55" t="str">
        <f t="shared" si="22"/>
        <v/>
      </c>
      <c r="G172" s="55" t="str">
        <f t="shared" si="23"/>
        <v/>
      </c>
      <c r="H172" s="55" t="str">
        <f t="shared" si="24"/>
        <v/>
      </c>
      <c r="I172" s="55" t="str">
        <f t="shared" si="25"/>
        <v/>
      </c>
      <c r="J172" s="55" t="str">
        <f t="shared" si="26"/>
        <v/>
      </c>
      <c r="L172">
        <v>59</v>
      </c>
      <c r="M172" t="str">
        <f t="shared" si="27"/>
        <v/>
      </c>
      <c r="N172" s="55" t="str">
        <f t="shared" si="28"/>
        <v/>
      </c>
      <c r="O172" s="55" t="str">
        <f t="shared" si="28"/>
        <v/>
      </c>
      <c r="P172" s="55" t="str">
        <f t="shared" si="29"/>
        <v/>
      </c>
      <c r="Q172" s="55" t="str">
        <f t="shared" si="29"/>
        <v/>
      </c>
      <c r="R172" s="55" t="str">
        <f t="shared" si="30"/>
        <v/>
      </c>
      <c r="S172" s="55" t="str">
        <f t="shared" si="30"/>
        <v/>
      </c>
      <c r="T172" s="55" t="str">
        <f t="shared" si="31"/>
        <v/>
      </c>
      <c r="U172" s="55" t="str">
        <f t="shared" si="31"/>
        <v/>
      </c>
      <c r="V172" s="55"/>
      <c r="W172" s="55"/>
      <c r="X172" s="55"/>
    </row>
    <row r="173" spans="1:24" hidden="1" x14ac:dyDescent="0.25">
      <c r="A173">
        <v>60</v>
      </c>
      <c r="B173" t="str">
        <f t="shared" si="18"/>
        <v/>
      </c>
      <c r="C173" s="55" t="str">
        <f t="shared" si="19"/>
        <v/>
      </c>
      <c r="D173" s="55" t="str">
        <f t="shared" si="20"/>
        <v/>
      </c>
      <c r="E173" s="55" t="str">
        <f t="shared" si="21"/>
        <v/>
      </c>
      <c r="F173" s="55" t="str">
        <f t="shared" si="22"/>
        <v/>
      </c>
      <c r="G173" s="55" t="str">
        <f t="shared" si="23"/>
        <v/>
      </c>
      <c r="H173" s="55" t="str">
        <f t="shared" si="24"/>
        <v/>
      </c>
      <c r="I173" s="55" t="str">
        <f t="shared" si="25"/>
        <v/>
      </c>
      <c r="J173" s="55" t="str">
        <f t="shared" si="26"/>
        <v/>
      </c>
      <c r="L173">
        <v>60</v>
      </c>
      <c r="M173" t="str">
        <f t="shared" si="27"/>
        <v/>
      </c>
      <c r="N173" s="55" t="str">
        <f t="shared" si="28"/>
        <v/>
      </c>
      <c r="O173" s="55" t="str">
        <f t="shared" si="28"/>
        <v/>
      </c>
      <c r="P173" s="55" t="str">
        <f t="shared" si="29"/>
        <v/>
      </c>
      <c r="Q173" s="55" t="str">
        <f t="shared" si="29"/>
        <v/>
      </c>
      <c r="R173" s="55" t="str">
        <f t="shared" si="30"/>
        <v/>
      </c>
      <c r="S173" s="55" t="str">
        <f t="shared" si="30"/>
        <v/>
      </c>
      <c r="T173" s="55" t="str">
        <f t="shared" si="31"/>
        <v/>
      </c>
      <c r="U173" s="55" t="str">
        <f t="shared" si="31"/>
        <v/>
      </c>
      <c r="V173" s="55"/>
      <c r="W173" s="55"/>
      <c r="X173" s="55"/>
    </row>
    <row r="174" spans="1:24" hidden="1" x14ac:dyDescent="0.25">
      <c r="A174">
        <v>61</v>
      </c>
      <c r="B174" t="str">
        <f t="shared" si="18"/>
        <v/>
      </c>
      <c r="C174" s="55" t="str">
        <f t="shared" si="19"/>
        <v/>
      </c>
      <c r="D174" s="55" t="str">
        <f t="shared" si="20"/>
        <v/>
      </c>
      <c r="E174" s="55" t="str">
        <f t="shared" si="21"/>
        <v/>
      </c>
      <c r="F174" s="55" t="str">
        <f t="shared" si="22"/>
        <v/>
      </c>
      <c r="G174" s="55" t="str">
        <f t="shared" si="23"/>
        <v/>
      </c>
      <c r="H174" s="55" t="str">
        <f t="shared" si="24"/>
        <v/>
      </c>
      <c r="I174" s="55" t="str">
        <f t="shared" si="25"/>
        <v/>
      </c>
      <c r="J174" s="55" t="str">
        <f t="shared" si="26"/>
        <v/>
      </c>
      <c r="L174">
        <v>61</v>
      </c>
      <c r="M174" t="str">
        <f t="shared" si="27"/>
        <v/>
      </c>
      <c r="N174" s="55" t="str">
        <f t="shared" ref="N174:O193" si="32">IF(ISNUMBER(N105),-ABS(N105),"")</f>
        <v/>
      </c>
      <c r="O174" s="55" t="str">
        <f t="shared" si="32"/>
        <v/>
      </c>
      <c r="P174" s="55" t="str">
        <f t="shared" ref="P174:Q193" si="33">IF(ISNUMBER(P105),ABS(P105),"")</f>
        <v/>
      </c>
      <c r="Q174" s="55" t="str">
        <f t="shared" si="33"/>
        <v/>
      </c>
      <c r="R174" s="55" t="str">
        <f t="shared" ref="R174:S193" si="34">IF(ISNUMBER(R105),-ABS(R105),"")</f>
        <v/>
      </c>
      <c r="S174" s="55" t="str">
        <f t="shared" si="34"/>
        <v/>
      </c>
      <c r="T174" s="55" t="str">
        <f t="shared" ref="T174:U193" si="35">IF(ISNUMBER(T105),ABS(T105),"")</f>
        <v/>
      </c>
      <c r="U174" s="55" t="str">
        <f t="shared" si="35"/>
        <v/>
      </c>
      <c r="V174" s="55"/>
      <c r="W174" s="55"/>
      <c r="X174" s="55"/>
    </row>
    <row r="175" spans="1:24" hidden="1" x14ac:dyDescent="0.25">
      <c r="A175">
        <v>62</v>
      </c>
      <c r="B175" t="str">
        <f t="shared" si="18"/>
        <v/>
      </c>
      <c r="C175" s="55" t="str">
        <f t="shared" si="19"/>
        <v/>
      </c>
      <c r="D175" s="55" t="str">
        <f t="shared" si="20"/>
        <v/>
      </c>
      <c r="E175" s="55" t="str">
        <f t="shared" si="21"/>
        <v/>
      </c>
      <c r="F175" s="55" t="str">
        <f t="shared" si="22"/>
        <v/>
      </c>
      <c r="G175" s="55" t="str">
        <f t="shared" si="23"/>
        <v/>
      </c>
      <c r="H175" s="55" t="str">
        <f t="shared" si="24"/>
        <v/>
      </c>
      <c r="I175" s="55" t="str">
        <f t="shared" si="25"/>
        <v/>
      </c>
      <c r="J175" s="55" t="str">
        <f t="shared" si="26"/>
        <v/>
      </c>
      <c r="L175">
        <v>62</v>
      </c>
      <c r="M175" t="str">
        <f t="shared" si="27"/>
        <v/>
      </c>
      <c r="N175" s="55" t="str">
        <f t="shared" si="32"/>
        <v/>
      </c>
      <c r="O175" s="55" t="str">
        <f t="shared" si="32"/>
        <v/>
      </c>
      <c r="P175" s="55" t="str">
        <f t="shared" si="33"/>
        <v/>
      </c>
      <c r="Q175" s="55" t="str">
        <f t="shared" si="33"/>
        <v/>
      </c>
      <c r="R175" s="55" t="str">
        <f t="shared" si="34"/>
        <v/>
      </c>
      <c r="S175" s="55" t="str">
        <f t="shared" si="34"/>
        <v/>
      </c>
      <c r="T175" s="55" t="str">
        <f t="shared" si="35"/>
        <v/>
      </c>
      <c r="U175" s="55" t="str">
        <f t="shared" si="35"/>
        <v/>
      </c>
      <c r="V175" s="55"/>
      <c r="W175" s="55"/>
      <c r="X175" s="55"/>
    </row>
    <row r="176" spans="1:24" hidden="1" x14ac:dyDescent="0.25">
      <c r="A176">
        <v>63</v>
      </c>
      <c r="B176" t="str">
        <f t="shared" si="18"/>
        <v/>
      </c>
      <c r="C176" s="55" t="str">
        <f t="shared" si="19"/>
        <v/>
      </c>
      <c r="D176" s="55" t="str">
        <f t="shared" si="20"/>
        <v/>
      </c>
      <c r="E176" s="55" t="str">
        <f t="shared" si="21"/>
        <v/>
      </c>
      <c r="F176" s="55" t="str">
        <f t="shared" si="22"/>
        <v/>
      </c>
      <c r="G176" s="55" t="str">
        <f t="shared" si="23"/>
        <v/>
      </c>
      <c r="H176" s="55" t="str">
        <f t="shared" si="24"/>
        <v/>
      </c>
      <c r="I176" s="55" t="str">
        <f t="shared" si="25"/>
        <v/>
      </c>
      <c r="J176" s="55" t="str">
        <f t="shared" si="26"/>
        <v/>
      </c>
      <c r="L176">
        <v>63</v>
      </c>
      <c r="M176" t="str">
        <f t="shared" si="27"/>
        <v/>
      </c>
      <c r="N176" s="55" t="str">
        <f t="shared" si="32"/>
        <v/>
      </c>
      <c r="O176" s="55" t="str">
        <f t="shared" si="32"/>
        <v/>
      </c>
      <c r="P176" s="55" t="str">
        <f t="shared" si="33"/>
        <v/>
      </c>
      <c r="Q176" s="55" t="str">
        <f t="shared" si="33"/>
        <v/>
      </c>
      <c r="R176" s="55" t="str">
        <f t="shared" si="34"/>
        <v/>
      </c>
      <c r="S176" s="55" t="str">
        <f t="shared" si="34"/>
        <v/>
      </c>
      <c r="T176" s="55" t="str">
        <f t="shared" si="35"/>
        <v/>
      </c>
      <c r="U176" s="55" t="str">
        <f t="shared" si="35"/>
        <v/>
      </c>
      <c r="V176" s="55"/>
      <c r="W176" s="55"/>
      <c r="X176" s="55"/>
    </row>
    <row r="177" spans="1:24" s="10" customFormat="1" hidden="1" x14ac:dyDescent="0.25">
      <c r="A177" s="10">
        <v>64</v>
      </c>
      <c r="B177" s="10" t="str">
        <f t="shared" si="18"/>
        <v/>
      </c>
      <c r="C177" s="250" t="str">
        <f t="shared" si="19"/>
        <v/>
      </c>
      <c r="D177" s="250" t="str">
        <f t="shared" si="20"/>
        <v/>
      </c>
      <c r="E177" s="250" t="str">
        <f t="shared" si="21"/>
        <v/>
      </c>
      <c r="F177" s="250" t="str">
        <f t="shared" si="22"/>
        <v/>
      </c>
      <c r="G177" s="250" t="str">
        <f t="shared" si="23"/>
        <v/>
      </c>
      <c r="H177" s="250" t="str">
        <f t="shared" si="24"/>
        <v/>
      </c>
      <c r="I177" s="250" t="str">
        <f t="shared" si="25"/>
        <v/>
      </c>
      <c r="J177" s="250" t="str">
        <f t="shared" si="26"/>
        <v/>
      </c>
      <c r="L177" s="10">
        <v>64</v>
      </c>
      <c r="M177" s="10" t="str">
        <f t="shared" si="27"/>
        <v/>
      </c>
      <c r="N177" s="55" t="str">
        <f t="shared" si="32"/>
        <v/>
      </c>
      <c r="O177" s="55" t="str">
        <f t="shared" si="32"/>
        <v/>
      </c>
      <c r="P177" s="55" t="str">
        <f t="shared" si="33"/>
        <v/>
      </c>
      <c r="Q177" s="55" t="str">
        <f t="shared" si="33"/>
        <v/>
      </c>
      <c r="R177" s="55" t="str">
        <f t="shared" si="34"/>
        <v/>
      </c>
      <c r="S177" s="55" t="str">
        <f t="shared" si="34"/>
        <v/>
      </c>
      <c r="T177" s="55" t="str">
        <f t="shared" si="35"/>
        <v/>
      </c>
      <c r="U177" s="55" t="str">
        <f t="shared" si="35"/>
        <v/>
      </c>
      <c r="V177" s="250"/>
      <c r="W177" s="250"/>
      <c r="X177" s="250"/>
    </row>
    <row r="178" spans="1:24" hidden="1" x14ac:dyDescent="0.25">
      <c r="A178">
        <v>65</v>
      </c>
      <c r="B178" t="str">
        <f t="shared" ref="B178:B209" si="36">IF(ISNUMBER(C178),A178,"")</f>
        <v/>
      </c>
      <c r="C178" s="55" t="str">
        <f t="shared" ref="C178:J187" si="37">C114</f>
        <v/>
      </c>
      <c r="D178" s="55" t="str">
        <f t="shared" si="37"/>
        <v/>
      </c>
      <c r="E178" s="55" t="str">
        <f t="shared" si="37"/>
        <v/>
      </c>
      <c r="F178" s="55" t="str">
        <f t="shared" si="37"/>
        <v/>
      </c>
      <c r="G178" s="55" t="str">
        <f t="shared" si="37"/>
        <v/>
      </c>
      <c r="H178" s="55" t="str">
        <f t="shared" si="37"/>
        <v/>
      </c>
      <c r="I178" s="55" t="str">
        <f t="shared" si="37"/>
        <v/>
      </c>
      <c r="J178" s="55" t="str">
        <f t="shared" si="37"/>
        <v/>
      </c>
      <c r="L178">
        <v>65</v>
      </c>
      <c r="M178" t="str">
        <f t="shared" ref="M178:M209" si="38">IF(ISNUMBER(N178),L178,"")</f>
        <v/>
      </c>
      <c r="N178" s="55" t="str">
        <f t="shared" ref="N178:U187" si="39">N114</f>
        <v/>
      </c>
      <c r="O178" s="55" t="str">
        <f t="shared" si="39"/>
        <v/>
      </c>
      <c r="P178" s="55" t="str">
        <f t="shared" si="39"/>
        <v/>
      </c>
      <c r="Q178" s="55" t="str">
        <f t="shared" si="39"/>
        <v/>
      </c>
      <c r="R178" s="55" t="str">
        <f t="shared" si="39"/>
        <v/>
      </c>
      <c r="S178" s="55" t="str">
        <f t="shared" si="39"/>
        <v/>
      </c>
      <c r="T178" s="55" t="str">
        <f t="shared" si="39"/>
        <v/>
      </c>
      <c r="U178" s="55" t="str">
        <f t="shared" si="39"/>
        <v/>
      </c>
      <c r="V178" s="55"/>
      <c r="W178" s="55"/>
      <c r="X178" s="55"/>
    </row>
    <row r="179" spans="1:24" hidden="1" x14ac:dyDescent="0.25">
      <c r="A179">
        <v>66</v>
      </c>
      <c r="B179" t="str">
        <f t="shared" si="36"/>
        <v/>
      </c>
      <c r="C179" s="55" t="str">
        <f t="shared" si="37"/>
        <v/>
      </c>
      <c r="D179" s="55" t="str">
        <f t="shared" si="37"/>
        <v/>
      </c>
      <c r="E179" s="55" t="str">
        <f t="shared" si="37"/>
        <v/>
      </c>
      <c r="F179" s="55" t="str">
        <f t="shared" si="37"/>
        <v/>
      </c>
      <c r="G179" s="55" t="str">
        <f t="shared" si="37"/>
        <v/>
      </c>
      <c r="H179" s="55" t="str">
        <f t="shared" si="37"/>
        <v/>
      </c>
      <c r="I179" s="55" t="str">
        <f t="shared" si="37"/>
        <v/>
      </c>
      <c r="J179" s="55" t="str">
        <f t="shared" si="37"/>
        <v/>
      </c>
      <c r="L179">
        <v>66</v>
      </c>
      <c r="M179" t="str">
        <f t="shared" si="38"/>
        <v/>
      </c>
      <c r="N179" s="55" t="str">
        <f t="shared" si="39"/>
        <v/>
      </c>
      <c r="O179" s="55" t="str">
        <f t="shared" si="39"/>
        <v/>
      </c>
      <c r="P179" s="55" t="str">
        <f t="shared" si="39"/>
        <v/>
      </c>
      <c r="Q179" s="55" t="str">
        <f t="shared" si="39"/>
        <v/>
      </c>
      <c r="R179" s="55" t="str">
        <f t="shared" si="39"/>
        <v/>
      </c>
      <c r="S179" s="55" t="str">
        <f t="shared" si="39"/>
        <v/>
      </c>
      <c r="T179" s="55" t="str">
        <f t="shared" si="39"/>
        <v/>
      </c>
      <c r="U179" s="55" t="str">
        <f t="shared" si="39"/>
        <v/>
      </c>
      <c r="V179" s="55"/>
      <c r="W179" s="55"/>
      <c r="X179" s="55"/>
    </row>
    <row r="180" spans="1:24" hidden="1" x14ac:dyDescent="0.25">
      <c r="A180">
        <v>67</v>
      </c>
      <c r="B180" t="str">
        <f t="shared" si="36"/>
        <v/>
      </c>
      <c r="C180" s="55" t="str">
        <f t="shared" si="37"/>
        <v/>
      </c>
      <c r="D180" s="55" t="str">
        <f t="shared" si="37"/>
        <v/>
      </c>
      <c r="E180" s="55" t="str">
        <f t="shared" si="37"/>
        <v/>
      </c>
      <c r="F180" s="55" t="str">
        <f t="shared" si="37"/>
        <v/>
      </c>
      <c r="G180" s="55" t="str">
        <f t="shared" si="37"/>
        <v/>
      </c>
      <c r="H180" s="55" t="str">
        <f t="shared" si="37"/>
        <v/>
      </c>
      <c r="I180" s="55" t="str">
        <f t="shared" si="37"/>
        <v/>
      </c>
      <c r="J180" s="55" t="str">
        <f t="shared" si="37"/>
        <v/>
      </c>
      <c r="L180">
        <v>67</v>
      </c>
      <c r="M180" t="str">
        <f t="shared" si="38"/>
        <v/>
      </c>
      <c r="N180" s="55" t="str">
        <f t="shared" si="39"/>
        <v/>
      </c>
      <c r="O180" s="55" t="str">
        <f t="shared" si="39"/>
        <v/>
      </c>
      <c r="P180" s="55" t="str">
        <f t="shared" si="39"/>
        <v/>
      </c>
      <c r="Q180" s="55" t="str">
        <f t="shared" si="39"/>
        <v/>
      </c>
      <c r="R180" s="55" t="str">
        <f t="shared" si="39"/>
        <v/>
      </c>
      <c r="S180" s="55" t="str">
        <f t="shared" si="39"/>
        <v/>
      </c>
      <c r="T180" s="55" t="str">
        <f t="shared" si="39"/>
        <v/>
      </c>
      <c r="U180" s="55" t="str">
        <f t="shared" si="39"/>
        <v/>
      </c>
      <c r="V180" s="55"/>
      <c r="W180" s="55"/>
      <c r="X180" s="55"/>
    </row>
    <row r="181" spans="1:24" hidden="1" x14ac:dyDescent="0.25">
      <c r="A181">
        <v>68</v>
      </c>
      <c r="B181" t="str">
        <f t="shared" si="36"/>
        <v/>
      </c>
      <c r="C181" s="55" t="str">
        <f t="shared" si="37"/>
        <v/>
      </c>
      <c r="D181" s="55" t="str">
        <f t="shared" si="37"/>
        <v/>
      </c>
      <c r="E181" s="55" t="str">
        <f t="shared" si="37"/>
        <v/>
      </c>
      <c r="F181" s="55" t="str">
        <f t="shared" si="37"/>
        <v/>
      </c>
      <c r="G181" s="55" t="str">
        <f t="shared" si="37"/>
        <v/>
      </c>
      <c r="H181" s="55" t="str">
        <f t="shared" si="37"/>
        <v/>
      </c>
      <c r="I181" s="55" t="str">
        <f t="shared" si="37"/>
        <v/>
      </c>
      <c r="J181" s="55" t="str">
        <f t="shared" si="37"/>
        <v/>
      </c>
      <c r="L181">
        <v>68</v>
      </c>
      <c r="M181" t="str">
        <f t="shared" si="38"/>
        <v/>
      </c>
      <c r="N181" s="55" t="str">
        <f t="shared" si="39"/>
        <v/>
      </c>
      <c r="O181" s="55" t="str">
        <f t="shared" si="39"/>
        <v/>
      </c>
      <c r="P181" s="55" t="str">
        <f t="shared" si="39"/>
        <v/>
      </c>
      <c r="Q181" s="55" t="str">
        <f t="shared" si="39"/>
        <v/>
      </c>
      <c r="R181" s="55" t="str">
        <f t="shared" si="39"/>
        <v/>
      </c>
      <c r="S181" s="55" t="str">
        <f t="shared" si="39"/>
        <v/>
      </c>
      <c r="T181" s="55" t="str">
        <f t="shared" si="39"/>
        <v/>
      </c>
      <c r="U181" s="55" t="str">
        <f t="shared" si="39"/>
        <v/>
      </c>
      <c r="V181" s="55"/>
      <c r="W181" s="55"/>
      <c r="X181" s="55"/>
    </row>
    <row r="182" spans="1:24" hidden="1" x14ac:dyDescent="0.25">
      <c r="A182">
        <v>69</v>
      </c>
      <c r="B182" t="str">
        <f t="shared" si="36"/>
        <v/>
      </c>
      <c r="C182" s="55" t="str">
        <f t="shared" si="37"/>
        <v/>
      </c>
      <c r="D182" s="55" t="str">
        <f t="shared" si="37"/>
        <v/>
      </c>
      <c r="E182" s="55" t="str">
        <f t="shared" si="37"/>
        <v/>
      </c>
      <c r="F182" s="55" t="str">
        <f t="shared" si="37"/>
        <v/>
      </c>
      <c r="G182" s="55" t="str">
        <f t="shared" si="37"/>
        <v/>
      </c>
      <c r="H182" s="55" t="str">
        <f t="shared" si="37"/>
        <v/>
      </c>
      <c r="I182" s="55" t="str">
        <f t="shared" si="37"/>
        <v/>
      </c>
      <c r="J182" s="55" t="str">
        <f t="shared" si="37"/>
        <v/>
      </c>
      <c r="L182">
        <v>69</v>
      </c>
      <c r="M182" t="str">
        <f t="shared" si="38"/>
        <v/>
      </c>
      <c r="N182" s="55" t="str">
        <f t="shared" si="39"/>
        <v/>
      </c>
      <c r="O182" s="55" t="str">
        <f t="shared" si="39"/>
        <v/>
      </c>
      <c r="P182" s="55" t="str">
        <f t="shared" si="39"/>
        <v/>
      </c>
      <c r="Q182" s="55" t="str">
        <f t="shared" si="39"/>
        <v/>
      </c>
      <c r="R182" s="55" t="str">
        <f t="shared" si="39"/>
        <v/>
      </c>
      <c r="S182" s="55" t="str">
        <f t="shared" si="39"/>
        <v/>
      </c>
      <c r="T182" s="55" t="str">
        <f t="shared" si="39"/>
        <v/>
      </c>
      <c r="U182" s="55" t="str">
        <f t="shared" si="39"/>
        <v/>
      </c>
      <c r="V182" s="55"/>
      <c r="W182" s="55"/>
      <c r="X182" s="55"/>
    </row>
    <row r="183" spans="1:24" hidden="1" x14ac:dyDescent="0.25">
      <c r="A183">
        <v>70</v>
      </c>
      <c r="B183" t="str">
        <f t="shared" si="36"/>
        <v/>
      </c>
      <c r="C183" s="55" t="str">
        <f t="shared" si="37"/>
        <v/>
      </c>
      <c r="D183" s="55" t="str">
        <f t="shared" si="37"/>
        <v/>
      </c>
      <c r="E183" s="55" t="str">
        <f t="shared" si="37"/>
        <v/>
      </c>
      <c r="F183" s="55" t="str">
        <f t="shared" si="37"/>
        <v/>
      </c>
      <c r="G183" s="55" t="str">
        <f t="shared" si="37"/>
        <v/>
      </c>
      <c r="H183" s="55" t="str">
        <f t="shared" si="37"/>
        <v/>
      </c>
      <c r="I183" s="55" t="str">
        <f t="shared" si="37"/>
        <v/>
      </c>
      <c r="J183" s="55" t="str">
        <f t="shared" si="37"/>
        <v/>
      </c>
      <c r="L183">
        <v>70</v>
      </c>
      <c r="M183" t="str">
        <f t="shared" si="38"/>
        <v/>
      </c>
      <c r="N183" s="55" t="str">
        <f t="shared" si="39"/>
        <v/>
      </c>
      <c r="O183" s="55" t="str">
        <f t="shared" si="39"/>
        <v/>
      </c>
      <c r="P183" s="55" t="str">
        <f t="shared" si="39"/>
        <v/>
      </c>
      <c r="Q183" s="55" t="str">
        <f t="shared" si="39"/>
        <v/>
      </c>
      <c r="R183" s="55" t="str">
        <f t="shared" si="39"/>
        <v/>
      </c>
      <c r="S183" s="55" t="str">
        <f t="shared" si="39"/>
        <v/>
      </c>
      <c r="T183" s="55" t="str">
        <f t="shared" si="39"/>
        <v/>
      </c>
      <c r="U183" s="55" t="str">
        <f t="shared" si="39"/>
        <v/>
      </c>
      <c r="V183" s="55"/>
      <c r="W183" s="55"/>
      <c r="X183" s="55"/>
    </row>
    <row r="184" spans="1:24" hidden="1" x14ac:dyDescent="0.25">
      <c r="A184">
        <v>71</v>
      </c>
      <c r="B184" t="str">
        <f t="shared" si="36"/>
        <v/>
      </c>
      <c r="C184" s="55" t="str">
        <f t="shared" si="37"/>
        <v/>
      </c>
      <c r="D184" s="55" t="str">
        <f t="shared" si="37"/>
        <v/>
      </c>
      <c r="E184" s="55" t="str">
        <f t="shared" si="37"/>
        <v/>
      </c>
      <c r="F184" s="55" t="str">
        <f t="shared" si="37"/>
        <v/>
      </c>
      <c r="G184" s="55" t="str">
        <f t="shared" si="37"/>
        <v/>
      </c>
      <c r="H184" s="55" t="str">
        <f t="shared" si="37"/>
        <v/>
      </c>
      <c r="I184" s="55" t="str">
        <f t="shared" si="37"/>
        <v/>
      </c>
      <c r="J184" s="55" t="str">
        <f t="shared" si="37"/>
        <v/>
      </c>
      <c r="L184">
        <v>71</v>
      </c>
      <c r="M184" t="str">
        <f t="shared" si="38"/>
        <v/>
      </c>
      <c r="N184" s="55" t="str">
        <f t="shared" si="39"/>
        <v/>
      </c>
      <c r="O184" s="55" t="str">
        <f t="shared" si="39"/>
        <v/>
      </c>
      <c r="P184" s="55" t="str">
        <f t="shared" si="39"/>
        <v/>
      </c>
      <c r="Q184" s="55" t="str">
        <f t="shared" si="39"/>
        <v/>
      </c>
      <c r="R184" s="55" t="str">
        <f t="shared" si="39"/>
        <v/>
      </c>
      <c r="S184" s="55" t="str">
        <f t="shared" si="39"/>
        <v/>
      </c>
      <c r="T184" s="55" t="str">
        <f t="shared" si="39"/>
        <v/>
      </c>
      <c r="U184" s="55" t="str">
        <f t="shared" si="39"/>
        <v/>
      </c>
      <c r="V184" s="55"/>
      <c r="W184" s="55"/>
      <c r="X184" s="55"/>
    </row>
    <row r="185" spans="1:24" hidden="1" x14ac:dyDescent="0.25">
      <c r="A185">
        <v>72</v>
      </c>
      <c r="B185" t="str">
        <f t="shared" si="36"/>
        <v/>
      </c>
      <c r="C185" s="55" t="str">
        <f t="shared" si="37"/>
        <v/>
      </c>
      <c r="D185" s="55" t="str">
        <f t="shared" si="37"/>
        <v/>
      </c>
      <c r="E185" s="55" t="str">
        <f t="shared" si="37"/>
        <v/>
      </c>
      <c r="F185" s="55" t="str">
        <f t="shared" si="37"/>
        <v/>
      </c>
      <c r="G185" s="55" t="str">
        <f t="shared" si="37"/>
        <v/>
      </c>
      <c r="H185" s="55" t="str">
        <f t="shared" si="37"/>
        <v/>
      </c>
      <c r="I185" s="55" t="str">
        <f t="shared" si="37"/>
        <v/>
      </c>
      <c r="J185" s="55" t="str">
        <f t="shared" si="37"/>
        <v/>
      </c>
      <c r="L185">
        <v>72</v>
      </c>
      <c r="M185" t="str">
        <f t="shared" si="38"/>
        <v/>
      </c>
      <c r="N185" s="55" t="str">
        <f t="shared" si="39"/>
        <v/>
      </c>
      <c r="O185" s="55" t="str">
        <f t="shared" si="39"/>
        <v/>
      </c>
      <c r="P185" s="55" t="str">
        <f t="shared" si="39"/>
        <v/>
      </c>
      <c r="Q185" s="55" t="str">
        <f t="shared" si="39"/>
        <v/>
      </c>
      <c r="R185" s="55" t="str">
        <f t="shared" si="39"/>
        <v/>
      </c>
      <c r="S185" s="55" t="str">
        <f t="shared" si="39"/>
        <v/>
      </c>
      <c r="T185" s="55" t="str">
        <f t="shared" si="39"/>
        <v/>
      </c>
      <c r="U185" s="55" t="str">
        <f t="shared" si="39"/>
        <v/>
      </c>
      <c r="V185" s="55"/>
      <c r="W185" s="55"/>
      <c r="X185" s="55"/>
    </row>
    <row r="186" spans="1:24" hidden="1" x14ac:dyDescent="0.25">
      <c r="A186">
        <v>73</v>
      </c>
      <c r="B186" t="str">
        <f t="shared" si="36"/>
        <v/>
      </c>
      <c r="C186" s="55" t="str">
        <f t="shared" si="37"/>
        <v/>
      </c>
      <c r="D186" s="55" t="str">
        <f t="shared" si="37"/>
        <v/>
      </c>
      <c r="E186" s="55" t="str">
        <f t="shared" si="37"/>
        <v/>
      </c>
      <c r="F186" s="55" t="str">
        <f t="shared" si="37"/>
        <v/>
      </c>
      <c r="G186" s="55" t="str">
        <f t="shared" si="37"/>
        <v/>
      </c>
      <c r="H186" s="55" t="str">
        <f t="shared" si="37"/>
        <v/>
      </c>
      <c r="I186" s="55" t="str">
        <f t="shared" si="37"/>
        <v/>
      </c>
      <c r="J186" s="55" t="str">
        <f t="shared" si="37"/>
        <v/>
      </c>
      <c r="L186">
        <v>73</v>
      </c>
      <c r="M186" t="str">
        <f t="shared" si="38"/>
        <v/>
      </c>
      <c r="N186" s="55" t="str">
        <f t="shared" si="39"/>
        <v/>
      </c>
      <c r="O186" s="55" t="str">
        <f t="shared" si="39"/>
        <v/>
      </c>
      <c r="P186" s="55" t="str">
        <f t="shared" si="39"/>
        <v/>
      </c>
      <c r="Q186" s="55" t="str">
        <f t="shared" si="39"/>
        <v/>
      </c>
      <c r="R186" s="55" t="str">
        <f t="shared" si="39"/>
        <v/>
      </c>
      <c r="S186" s="55" t="str">
        <f t="shared" si="39"/>
        <v/>
      </c>
      <c r="T186" s="55" t="str">
        <f t="shared" si="39"/>
        <v/>
      </c>
      <c r="U186" s="55" t="str">
        <f t="shared" si="39"/>
        <v/>
      </c>
      <c r="V186" s="55"/>
      <c r="W186" s="55"/>
      <c r="X186" s="55"/>
    </row>
    <row r="187" spans="1:24" hidden="1" x14ac:dyDescent="0.25">
      <c r="A187">
        <v>74</v>
      </c>
      <c r="B187" t="str">
        <f t="shared" si="36"/>
        <v/>
      </c>
      <c r="C187" s="55" t="str">
        <f t="shared" si="37"/>
        <v/>
      </c>
      <c r="D187" s="55" t="str">
        <f t="shared" si="37"/>
        <v/>
      </c>
      <c r="E187" s="55" t="str">
        <f t="shared" si="37"/>
        <v/>
      </c>
      <c r="F187" s="55" t="str">
        <f t="shared" si="37"/>
        <v/>
      </c>
      <c r="G187" s="55" t="str">
        <f t="shared" si="37"/>
        <v/>
      </c>
      <c r="H187" s="55" t="str">
        <f t="shared" si="37"/>
        <v/>
      </c>
      <c r="I187" s="55" t="str">
        <f t="shared" si="37"/>
        <v/>
      </c>
      <c r="J187" s="55" t="str">
        <f t="shared" si="37"/>
        <v/>
      </c>
      <c r="L187">
        <v>74</v>
      </c>
      <c r="M187" t="str">
        <f t="shared" si="38"/>
        <v/>
      </c>
      <c r="N187" s="55" t="str">
        <f t="shared" si="39"/>
        <v/>
      </c>
      <c r="O187" s="55" t="str">
        <f t="shared" si="39"/>
        <v/>
      </c>
      <c r="P187" s="55" t="str">
        <f t="shared" si="39"/>
        <v/>
      </c>
      <c r="Q187" s="55" t="str">
        <f t="shared" si="39"/>
        <v/>
      </c>
      <c r="R187" s="55" t="str">
        <f t="shared" si="39"/>
        <v/>
      </c>
      <c r="S187" s="55" t="str">
        <f t="shared" si="39"/>
        <v/>
      </c>
      <c r="T187" s="55" t="str">
        <f t="shared" si="39"/>
        <v/>
      </c>
      <c r="U187" s="55" t="str">
        <f t="shared" si="39"/>
        <v/>
      </c>
      <c r="V187" s="55"/>
      <c r="W187" s="55"/>
      <c r="X187" s="55"/>
    </row>
    <row r="188" spans="1:24" hidden="1" x14ac:dyDescent="0.25">
      <c r="A188">
        <v>75</v>
      </c>
      <c r="B188" t="str">
        <f t="shared" si="36"/>
        <v/>
      </c>
      <c r="C188" s="55" t="str">
        <f t="shared" ref="C188:J197" si="40">C124</f>
        <v/>
      </c>
      <c r="D188" s="55" t="str">
        <f t="shared" si="40"/>
        <v/>
      </c>
      <c r="E188" s="55" t="str">
        <f t="shared" si="40"/>
        <v/>
      </c>
      <c r="F188" s="55" t="str">
        <f t="shared" si="40"/>
        <v/>
      </c>
      <c r="G188" s="55" t="str">
        <f t="shared" si="40"/>
        <v/>
      </c>
      <c r="H188" s="55" t="str">
        <f t="shared" si="40"/>
        <v/>
      </c>
      <c r="I188" s="55" t="str">
        <f t="shared" si="40"/>
        <v/>
      </c>
      <c r="J188" s="55" t="str">
        <f t="shared" si="40"/>
        <v/>
      </c>
      <c r="L188">
        <v>75</v>
      </c>
      <c r="M188" t="str">
        <f t="shared" si="38"/>
        <v/>
      </c>
      <c r="N188" s="55" t="str">
        <f t="shared" ref="N188:U197" si="41">N124</f>
        <v/>
      </c>
      <c r="O188" s="55" t="str">
        <f t="shared" si="41"/>
        <v/>
      </c>
      <c r="P188" s="55" t="str">
        <f t="shared" si="41"/>
        <v/>
      </c>
      <c r="Q188" s="55" t="str">
        <f t="shared" si="41"/>
        <v/>
      </c>
      <c r="R188" s="55" t="str">
        <f t="shared" si="41"/>
        <v/>
      </c>
      <c r="S188" s="55" t="str">
        <f t="shared" si="41"/>
        <v/>
      </c>
      <c r="T188" s="55" t="str">
        <f t="shared" si="41"/>
        <v/>
      </c>
      <c r="U188" s="55" t="str">
        <f t="shared" si="41"/>
        <v/>
      </c>
      <c r="V188" s="55"/>
      <c r="W188" s="55"/>
      <c r="X188" s="55"/>
    </row>
    <row r="189" spans="1:24" hidden="1" x14ac:dyDescent="0.25">
      <c r="A189">
        <v>76</v>
      </c>
      <c r="B189" t="str">
        <f t="shared" si="36"/>
        <v/>
      </c>
      <c r="C189" s="55" t="str">
        <f t="shared" si="40"/>
        <v/>
      </c>
      <c r="D189" s="55" t="str">
        <f t="shared" si="40"/>
        <v/>
      </c>
      <c r="E189" s="55" t="str">
        <f t="shared" si="40"/>
        <v/>
      </c>
      <c r="F189" s="55" t="str">
        <f t="shared" si="40"/>
        <v/>
      </c>
      <c r="G189" s="55" t="str">
        <f t="shared" si="40"/>
        <v/>
      </c>
      <c r="H189" s="55" t="str">
        <f t="shared" si="40"/>
        <v/>
      </c>
      <c r="I189" s="55" t="str">
        <f t="shared" si="40"/>
        <v/>
      </c>
      <c r="J189" s="55" t="str">
        <f t="shared" si="40"/>
        <v/>
      </c>
      <c r="L189">
        <v>76</v>
      </c>
      <c r="M189" t="str">
        <f t="shared" si="38"/>
        <v/>
      </c>
      <c r="N189" s="55" t="str">
        <f t="shared" si="41"/>
        <v/>
      </c>
      <c r="O189" s="55" t="str">
        <f t="shared" si="41"/>
        <v/>
      </c>
      <c r="P189" s="55" t="str">
        <f t="shared" si="41"/>
        <v/>
      </c>
      <c r="Q189" s="55" t="str">
        <f t="shared" si="41"/>
        <v/>
      </c>
      <c r="R189" s="55" t="str">
        <f t="shared" si="41"/>
        <v/>
      </c>
      <c r="S189" s="55" t="str">
        <f t="shared" si="41"/>
        <v/>
      </c>
      <c r="T189" s="55" t="str">
        <f t="shared" si="41"/>
        <v/>
      </c>
      <c r="U189" s="55" t="str">
        <f t="shared" si="41"/>
        <v/>
      </c>
      <c r="V189" s="55"/>
      <c r="W189" s="55"/>
      <c r="X189" s="55"/>
    </row>
    <row r="190" spans="1:24" hidden="1" x14ac:dyDescent="0.25">
      <c r="A190">
        <v>77</v>
      </c>
      <c r="B190" t="str">
        <f t="shared" si="36"/>
        <v/>
      </c>
      <c r="C190" s="55" t="str">
        <f t="shared" si="40"/>
        <v/>
      </c>
      <c r="D190" s="55" t="str">
        <f t="shared" si="40"/>
        <v/>
      </c>
      <c r="E190" s="55" t="str">
        <f t="shared" si="40"/>
        <v/>
      </c>
      <c r="F190" s="55" t="str">
        <f t="shared" si="40"/>
        <v/>
      </c>
      <c r="G190" s="55" t="str">
        <f t="shared" si="40"/>
        <v/>
      </c>
      <c r="H190" s="55" t="str">
        <f t="shared" si="40"/>
        <v/>
      </c>
      <c r="I190" s="55" t="str">
        <f t="shared" si="40"/>
        <v/>
      </c>
      <c r="J190" s="55" t="str">
        <f t="shared" si="40"/>
        <v/>
      </c>
      <c r="L190">
        <v>77</v>
      </c>
      <c r="M190" t="str">
        <f t="shared" si="38"/>
        <v/>
      </c>
      <c r="N190" s="55" t="str">
        <f t="shared" si="41"/>
        <v/>
      </c>
      <c r="O190" s="55" t="str">
        <f t="shared" si="41"/>
        <v/>
      </c>
      <c r="P190" s="55" t="str">
        <f t="shared" si="41"/>
        <v/>
      </c>
      <c r="Q190" s="55" t="str">
        <f t="shared" si="41"/>
        <v/>
      </c>
      <c r="R190" s="55" t="str">
        <f t="shared" si="41"/>
        <v/>
      </c>
      <c r="S190" s="55" t="str">
        <f t="shared" si="41"/>
        <v/>
      </c>
      <c r="T190" s="55" t="str">
        <f t="shared" si="41"/>
        <v/>
      </c>
      <c r="U190" s="55" t="str">
        <f t="shared" si="41"/>
        <v/>
      </c>
      <c r="V190" s="55"/>
      <c r="W190" s="55"/>
      <c r="X190" s="55"/>
    </row>
    <row r="191" spans="1:24" hidden="1" x14ac:dyDescent="0.25">
      <c r="A191">
        <v>78</v>
      </c>
      <c r="B191" t="str">
        <f t="shared" si="36"/>
        <v/>
      </c>
      <c r="C191" s="55" t="str">
        <f t="shared" si="40"/>
        <v/>
      </c>
      <c r="D191" s="55" t="str">
        <f t="shared" si="40"/>
        <v/>
      </c>
      <c r="E191" s="55" t="str">
        <f t="shared" si="40"/>
        <v/>
      </c>
      <c r="F191" s="55" t="str">
        <f t="shared" si="40"/>
        <v/>
      </c>
      <c r="G191" s="55" t="str">
        <f t="shared" si="40"/>
        <v/>
      </c>
      <c r="H191" s="55" t="str">
        <f t="shared" si="40"/>
        <v/>
      </c>
      <c r="I191" s="55" t="str">
        <f t="shared" si="40"/>
        <v/>
      </c>
      <c r="J191" s="55" t="str">
        <f t="shared" si="40"/>
        <v/>
      </c>
      <c r="L191">
        <v>78</v>
      </c>
      <c r="M191" t="str">
        <f t="shared" si="38"/>
        <v/>
      </c>
      <c r="N191" s="55" t="str">
        <f t="shared" si="41"/>
        <v/>
      </c>
      <c r="O191" s="55" t="str">
        <f t="shared" si="41"/>
        <v/>
      </c>
      <c r="P191" s="55" t="str">
        <f t="shared" si="41"/>
        <v/>
      </c>
      <c r="Q191" s="55" t="str">
        <f t="shared" si="41"/>
        <v/>
      </c>
      <c r="R191" s="55" t="str">
        <f t="shared" si="41"/>
        <v/>
      </c>
      <c r="S191" s="55" t="str">
        <f t="shared" si="41"/>
        <v/>
      </c>
      <c r="T191" s="55" t="str">
        <f t="shared" si="41"/>
        <v/>
      </c>
      <c r="U191" s="55" t="str">
        <f t="shared" si="41"/>
        <v/>
      </c>
      <c r="V191" s="55"/>
      <c r="W191" s="55"/>
      <c r="X191" s="55"/>
    </row>
    <row r="192" spans="1:24" hidden="1" x14ac:dyDescent="0.25">
      <c r="A192">
        <v>79</v>
      </c>
      <c r="B192" t="str">
        <f t="shared" si="36"/>
        <v/>
      </c>
      <c r="C192" s="55" t="str">
        <f t="shared" si="40"/>
        <v/>
      </c>
      <c r="D192" s="55" t="str">
        <f t="shared" si="40"/>
        <v/>
      </c>
      <c r="E192" s="55" t="str">
        <f t="shared" si="40"/>
        <v/>
      </c>
      <c r="F192" s="55" t="str">
        <f t="shared" si="40"/>
        <v/>
      </c>
      <c r="G192" s="55" t="str">
        <f t="shared" si="40"/>
        <v/>
      </c>
      <c r="H192" s="55" t="str">
        <f t="shared" si="40"/>
        <v/>
      </c>
      <c r="I192" s="55" t="str">
        <f t="shared" si="40"/>
        <v/>
      </c>
      <c r="J192" s="55" t="str">
        <f t="shared" si="40"/>
        <v/>
      </c>
      <c r="L192">
        <v>79</v>
      </c>
      <c r="M192" t="str">
        <f t="shared" si="38"/>
        <v/>
      </c>
      <c r="N192" s="55" t="str">
        <f t="shared" si="41"/>
        <v/>
      </c>
      <c r="O192" s="55" t="str">
        <f t="shared" si="41"/>
        <v/>
      </c>
      <c r="P192" s="55" t="str">
        <f t="shared" si="41"/>
        <v/>
      </c>
      <c r="Q192" s="55" t="str">
        <f t="shared" si="41"/>
        <v/>
      </c>
      <c r="R192" s="55" t="str">
        <f t="shared" si="41"/>
        <v/>
      </c>
      <c r="S192" s="55" t="str">
        <f t="shared" si="41"/>
        <v/>
      </c>
      <c r="T192" s="55" t="str">
        <f t="shared" si="41"/>
        <v/>
      </c>
      <c r="U192" s="55" t="str">
        <f t="shared" si="41"/>
        <v/>
      </c>
      <c r="V192" s="55"/>
      <c r="W192" s="55"/>
      <c r="X192" s="55"/>
    </row>
    <row r="193" spans="1:24" hidden="1" x14ac:dyDescent="0.25">
      <c r="A193">
        <v>80</v>
      </c>
      <c r="B193" t="str">
        <f t="shared" si="36"/>
        <v/>
      </c>
      <c r="C193" s="55" t="str">
        <f t="shared" si="40"/>
        <v/>
      </c>
      <c r="D193" s="55" t="str">
        <f t="shared" si="40"/>
        <v/>
      </c>
      <c r="E193" s="55" t="str">
        <f t="shared" si="40"/>
        <v/>
      </c>
      <c r="F193" s="55" t="str">
        <f t="shared" si="40"/>
        <v/>
      </c>
      <c r="G193" s="55" t="str">
        <f t="shared" si="40"/>
        <v/>
      </c>
      <c r="H193" s="55" t="str">
        <f t="shared" si="40"/>
        <v/>
      </c>
      <c r="I193" s="55" t="str">
        <f t="shared" si="40"/>
        <v/>
      </c>
      <c r="J193" s="55" t="str">
        <f t="shared" si="40"/>
        <v/>
      </c>
      <c r="L193">
        <v>80</v>
      </c>
      <c r="M193" t="str">
        <f t="shared" si="38"/>
        <v/>
      </c>
      <c r="N193" s="55" t="str">
        <f t="shared" si="41"/>
        <v/>
      </c>
      <c r="O193" s="55" t="str">
        <f t="shared" si="41"/>
        <v/>
      </c>
      <c r="P193" s="55" t="str">
        <f t="shared" si="41"/>
        <v/>
      </c>
      <c r="Q193" s="55" t="str">
        <f t="shared" si="41"/>
        <v/>
      </c>
      <c r="R193" s="55" t="str">
        <f t="shared" si="41"/>
        <v/>
      </c>
      <c r="S193" s="55" t="str">
        <f t="shared" si="41"/>
        <v/>
      </c>
      <c r="T193" s="55" t="str">
        <f t="shared" si="41"/>
        <v/>
      </c>
      <c r="U193" s="55" t="str">
        <f t="shared" si="41"/>
        <v/>
      </c>
      <c r="V193" s="55"/>
      <c r="W193" s="55"/>
      <c r="X193" s="55"/>
    </row>
    <row r="194" spans="1:24" hidden="1" x14ac:dyDescent="0.25">
      <c r="A194">
        <v>81</v>
      </c>
      <c r="B194" t="str">
        <f t="shared" si="36"/>
        <v/>
      </c>
      <c r="C194" s="55" t="str">
        <f t="shared" si="40"/>
        <v/>
      </c>
      <c r="D194" s="55" t="str">
        <f t="shared" si="40"/>
        <v/>
      </c>
      <c r="E194" s="55" t="str">
        <f t="shared" si="40"/>
        <v/>
      </c>
      <c r="F194" s="55" t="str">
        <f t="shared" si="40"/>
        <v/>
      </c>
      <c r="G194" s="55" t="str">
        <f t="shared" si="40"/>
        <v/>
      </c>
      <c r="H194" s="55" t="str">
        <f t="shared" si="40"/>
        <v/>
      </c>
      <c r="I194" s="55" t="str">
        <f t="shared" si="40"/>
        <v/>
      </c>
      <c r="J194" s="55" t="str">
        <f t="shared" si="40"/>
        <v/>
      </c>
      <c r="L194">
        <v>81</v>
      </c>
      <c r="M194" t="str">
        <f t="shared" si="38"/>
        <v/>
      </c>
      <c r="N194" s="55" t="str">
        <f t="shared" si="41"/>
        <v/>
      </c>
      <c r="O194" s="55" t="str">
        <f t="shared" si="41"/>
        <v/>
      </c>
      <c r="P194" s="55" t="str">
        <f t="shared" si="41"/>
        <v/>
      </c>
      <c r="Q194" s="55" t="str">
        <f t="shared" si="41"/>
        <v/>
      </c>
      <c r="R194" s="55" t="str">
        <f t="shared" si="41"/>
        <v/>
      </c>
      <c r="S194" s="55" t="str">
        <f t="shared" si="41"/>
        <v/>
      </c>
      <c r="T194" s="55" t="str">
        <f t="shared" si="41"/>
        <v/>
      </c>
      <c r="U194" s="55" t="str">
        <f t="shared" si="41"/>
        <v/>
      </c>
      <c r="V194" s="55"/>
      <c r="W194" s="55"/>
      <c r="X194" s="55"/>
    </row>
    <row r="195" spans="1:24" hidden="1" x14ac:dyDescent="0.25">
      <c r="A195">
        <v>82</v>
      </c>
      <c r="B195" t="str">
        <f t="shared" si="36"/>
        <v/>
      </c>
      <c r="C195" s="55" t="str">
        <f t="shared" si="40"/>
        <v/>
      </c>
      <c r="D195" s="55" t="str">
        <f t="shared" si="40"/>
        <v/>
      </c>
      <c r="E195" s="55" t="str">
        <f t="shared" si="40"/>
        <v/>
      </c>
      <c r="F195" s="55" t="str">
        <f t="shared" si="40"/>
        <v/>
      </c>
      <c r="G195" s="55" t="str">
        <f t="shared" si="40"/>
        <v/>
      </c>
      <c r="H195" s="55" t="str">
        <f t="shared" si="40"/>
        <v/>
      </c>
      <c r="I195" s="55" t="str">
        <f t="shared" si="40"/>
        <v/>
      </c>
      <c r="J195" s="55" t="str">
        <f t="shared" si="40"/>
        <v/>
      </c>
      <c r="L195">
        <v>82</v>
      </c>
      <c r="M195" t="str">
        <f t="shared" si="38"/>
        <v/>
      </c>
      <c r="N195" s="55" t="str">
        <f t="shared" si="41"/>
        <v/>
      </c>
      <c r="O195" s="55" t="str">
        <f t="shared" si="41"/>
        <v/>
      </c>
      <c r="P195" s="55" t="str">
        <f t="shared" si="41"/>
        <v/>
      </c>
      <c r="Q195" s="55" t="str">
        <f t="shared" si="41"/>
        <v/>
      </c>
      <c r="R195" s="55" t="str">
        <f t="shared" si="41"/>
        <v/>
      </c>
      <c r="S195" s="55" t="str">
        <f t="shared" si="41"/>
        <v/>
      </c>
      <c r="T195" s="55" t="str">
        <f t="shared" si="41"/>
        <v/>
      </c>
      <c r="U195" s="55" t="str">
        <f t="shared" si="41"/>
        <v/>
      </c>
      <c r="V195" s="55"/>
      <c r="W195" s="55"/>
      <c r="X195" s="55"/>
    </row>
    <row r="196" spans="1:24" hidden="1" x14ac:dyDescent="0.25">
      <c r="A196">
        <v>83</v>
      </c>
      <c r="B196" t="str">
        <f t="shared" si="36"/>
        <v/>
      </c>
      <c r="C196" s="55" t="str">
        <f t="shared" si="40"/>
        <v/>
      </c>
      <c r="D196" s="55" t="str">
        <f t="shared" si="40"/>
        <v/>
      </c>
      <c r="E196" s="55" t="str">
        <f t="shared" si="40"/>
        <v/>
      </c>
      <c r="F196" s="55" t="str">
        <f t="shared" si="40"/>
        <v/>
      </c>
      <c r="G196" s="55" t="str">
        <f t="shared" si="40"/>
        <v/>
      </c>
      <c r="H196" s="55" t="str">
        <f t="shared" si="40"/>
        <v/>
      </c>
      <c r="I196" s="55" t="str">
        <f t="shared" si="40"/>
        <v/>
      </c>
      <c r="J196" s="55" t="str">
        <f t="shared" si="40"/>
        <v/>
      </c>
      <c r="L196">
        <v>83</v>
      </c>
      <c r="M196" t="str">
        <f t="shared" si="38"/>
        <v/>
      </c>
      <c r="N196" s="55" t="str">
        <f t="shared" si="41"/>
        <v/>
      </c>
      <c r="O196" s="55" t="str">
        <f t="shared" si="41"/>
        <v/>
      </c>
      <c r="P196" s="55" t="str">
        <f t="shared" si="41"/>
        <v/>
      </c>
      <c r="Q196" s="55" t="str">
        <f t="shared" si="41"/>
        <v/>
      </c>
      <c r="R196" s="55" t="str">
        <f t="shared" si="41"/>
        <v/>
      </c>
      <c r="S196" s="55" t="str">
        <f t="shared" si="41"/>
        <v/>
      </c>
      <c r="T196" s="55" t="str">
        <f t="shared" si="41"/>
        <v/>
      </c>
      <c r="U196" s="55" t="str">
        <f t="shared" si="41"/>
        <v/>
      </c>
      <c r="V196" s="55"/>
      <c r="W196" s="55"/>
      <c r="X196" s="55"/>
    </row>
    <row r="197" spans="1:24" hidden="1" x14ac:dyDescent="0.25">
      <c r="A197">
        <v>84</v>
      </c>
      <c r="B197" t="str">
        <f t="shared" si="36"/>
        <v/>
      </c>
      <c r="C197" s="55" t="str">
        <f t="shared" si="40"/>
        <v/>
      </c>
      <c r="D197" s="55" t="str">
        <f t="shared" si="40"/>
        <v/>
      </c>
      <c r="E197" s="55" t="str">
        <f t="shared" si="40"/>
        <v/>
      </c>
      <c r="F197" s="55" t="str">
        <f t="shared" si="40"/>
        <v/>
      </c>
      <c r="G197" s="55" t="str">
        <f t="shared" si="40"/>
        <v/>
      </c>
      <c r="H197" s="55" t="str">
        <f t="shared" si="40"/>
        <v/>
      </c>
      <c r="I197" s="55" t="str">
        <f t="shared" si="40"/>
        <v/>
      </c>
      <c r="J197" s="55" t="str">
        <f t="shared" si="40"/>
        <v/>
      </c>
      <c r="L197">
        <v>84</v>
      </c>
      <c r="M197" t="str">
        <f t="shared" si="38"/>
        <v/>
      </c>
      <c r="N197" s="55" t="str">
        <f t="shared" si="41"/>
        <v/>
      </c>
      <c r="O197" s="55" t="str">
        <f t="shared" si="41"/>
        <v/>
      </c>
      <c r="P197" s="55" t="str">
        <f t="shared" si="41"/>
        <v/>
      </c>
      <c r="Q197" s="55" t="str">
        <f t="shared" si="41"/>
        <v/>
      </c>
      <c r="R197" s="55" t="str">
        <f t="shared" si="41"/>
        <v/>
      </c>
      <c r="S197" s="55" t="str">
        <f t="shared" si="41"/>
        <v/>
      </c>
      <c r="T197" s="55" t="str">
        <f t="shared" si="41"/>
        <v/>
      </c>
      <c r="U197" s="55" t="str">
        <f t="shared" si="41"/>
        <v/>
      </c>
      <c r="V197" s="55"/>
      <c r="W197" s="55"/>
      <c r="X197" s="55"/>
    </row>
    <row r="198" spans="1:24" hidden="1" x14ac:dyDescent="0.25">
      <c r="A198">
        <v>85</v>
      </c>
      <c r="B198" t="str">
        <f t="shared" si="36"/>
        <v/>
      </c>
      <c r="C198" s="55" t="str">
        <f t="shared" ref="C198:J207" si="42">C134</f>
        <v/>
      </c>
      <c r="D198" s="55" t="str">
        <f t="shared" si="42"/>
        <v/>
      </c>
      <c r="E198" s="55" t="str">
        <f t="shared" si="42"/>
        <v/>
      </c>
      <c r="F198" s="55" t="str">
        <f t="shared" si="42"/>
        <v/>
      </c>
      <c r="G198" s="55" t="str">
        <f t="shared" si="42"/>
        <v/>
      </c>
      <c r="H198" s="55" t="str">
        <f t="shared" si="42"/>
        <v/>
      </c>
      <c r="I198" s="55" t="str">
        <f t="shared" si="42"/>
        <v/>
      </c>
      <c r="J198" s="55" t="str">
        <f t="shared" si="42"/>
        <v/>
      </c>
      <c r="L198">
        <v>85</v>
      </c>
      <c r="M198" t="str">
        <f t="shared" si="38"/>
        <v/>
      </c>
      <c r="N198" s="55" t="str">
        <f t="shared" ref="N198:U207" si="43">N134</f>
        <v/>
      </c>
      <c r="O198" s="55" t="str">
        <f t="shared" si="43"/>
        <v/>
      </c>
      <c r="P198" s="55" t="str">
        <f t="shared" si="43"/>
        <v/>
      </c>
      <c r="Q198" s="55" t="str">
        <f t="shared" si="43"/>
        <v/>
      </c>
      <c r="R198" s="55" t="str">
        <f t="shared" si="43"/>
        <v/>
      </c>
      <c r="S198" s="55" t="str">
        <f t="shared" si="43"/>
        <v/>
      </c>
      <c r="T198" s="55" t="str">
        <f t="shared" si="43"/>
        <v/>
      </c>
      <c r="U198" s="55" t="str">
        <f t="shared" si="43"/>
        <v/>
      </c>
      <c r="V198" s="55"/>
      <c r="W198" s="55"/>
      <c r="X198" s="55"/>
    </row>
    <row r="199" spans="1:24" hidden="1" x14ac:dyDescent="0.25">
      <c r="A199">
        <v>86</v>
      </c>
      <c r="B199" t="str">
        <f t="shared" si="36"/>
        <v/>
      </c>
      <c r="C199" s="55" t="str">
        <f t="shared" si="42"/>
        <v/>
      </c>
      <c r="D199" s="55" t="str">
        <f t="shared" si="42"/>
        <v/>
      </c>
      <c r="E199" s="55" t="str">
        <f t="shared" si="42"/>
        <v/>
      </c>
      <c r="F199" s="55" t="str">
        <f t="shared" si="42"/>
        <v/>
      </c>
      <c r="G199" s="55" t="str">
        <f t="shared" si="42"/>
        <v/>
      </c>
      <c r="H199" s="55" t="str">
        <f t="shared" si="42"/>
        <v/>
      </c>
      <c r="I199" s="55" t="str">
        <f t="shared" si="42"/>
        <v/>
      </c>
      <c r="J199" s="55" t="str">
        <f t="shared" si="42"/>
        <v/>
      </c>
      <c r="L199">
        <v>86</v>
      </c>
      <c r="M199" t="str">
        <f t="shared" si="38"/>
        <v/>
      </c>
      <c r="N199" s="55" t="str">
        <f t="shared" si="43"/>
        <v/>
      </c>
      <c r="O199" s="55" t="str">
        <f t="shared" si="43"/>
        <v/>
      </c>
      <c r="P199" s="55" t="str">
        <f t="shared" si="43"/>
        <v/>
      </c>
      <c r="Q199" s="55" t="str">
        <f t="shared" si="43"/>
        <v/>
      </c>
      <c r="R199" s="55" t="str">
        <f t="shared" si="43"/>
        <v/>
      </c>
      <c r="S199" s="55" t="str">
        <f t="shared" si="43"/>
        <v/>
      </c>
      <c r="T199" s="55" t="str">
        <f t="shared" si="43"/>
        <v/>
      </c>
      <c r="U199" s="55" t="str">
        <f t="shared" si="43"/>
        <v/>
      </c>
      <c r="V199" s="55"/>
      <c r="W199" s="55"/>
      <c r="X199" s="55"/>
    </row>
    <row r="200" spans="1:24" hidden="1" x14ac:dyDescent="0.25">
      <c r="A200">
        <v>87</v>
      </c>
      <c r="B200" t="str">
        <f t="shared" si="36"/>
        <v/>
      </c>
      <c r="C200" s="55" t="str">
        <f t="shared" si="42"/>
        <v/>
      </c>
      <c r="D200" s="55" t="str">
        <f t="shared" si="42"/>
        <v/>
      </c>
      <c r="E200" s="55" t="str">
        <f t="shared" si="42"/>
        <v/>
      </c>
      <c r="F200" s="55" t="str">
        <f t="shared" si="42"/>
        <v/>
      </c>
      <c r="G200" s="55" t="str">
        <f t="shared" si="42"/>
        <v/>
      </c>
      <c r="H200" s="55" t="str">
        <f t="shared" si="42"/>
        <v/>
      </c>
      <c r="I200" s="55" t="str">
        <f t="shared" si="42"/>
        <v/>
      </c>
      <c r="J200" s="55" t="str">
        <f t="shared" si="42"/>
        <v/>
      </c>
      <c r="L200">
        <v>87</v>
      </c>
      <c r="M200" t="str">
        <f t="shared" si="38"/>
        <v/>
      </c>
      <c r="N200" s="55" t="str">
        <f t="shared" si="43"/>
        <v/>
      </c>
      <c r="O200" s="55" t="str">
        <f t="shared" si="43"/>
        <v/>
      </c>
      <c r="P200" s="55" t="str">
        <f t="shared" si="43"/>
        <v/>
      </c>
      <c r="Q200" s="55" t="str">
        <f t="shared" si="43"/>
        <v/>
      </c>
      <c r="R200" s="55" t="str">
        <f t="shared" si="43"/>
        <v/>
      </c>
      <c r="S200" s="55" t="str">
        <f t="shared" si="43"/>
        <v/>
      </c>
      <c r="T200" s="55" t="str">
        <f t="shared" si="43"/>
        <v/>
      </c>
      <c r="U200" s="55" t="str">
        <f t="shared" si="43"/>
        <v/>
      </c>
      <c r="V200" s="55"/>
      <c r="W200" s="55"/>
      <c r="X200" s="55"/>
    </row>
    <row r="201" spans="1:24" hidden="1" x14ac:dyDescent="0.25">
      <c r="A201">
        <v>88</v>
      </c>
      <c r="B201" t="str">
        <f t="shared" si="36"/>
        <v/>
      </c>
      <c r="C201" s="55" t="str">
        <f t="shared" si="42"/>
        <v/>
      </c>
      <c r="D201" s="55" t="str">
        <f t="shared" si="42"/>
        <v/>
      </c>
      <c r="E201" s="55" t="str">
        <f t="shared" si="42"/>
        <v/>
      </c>
      <c r="F201" s="55" t="str">
        <f t="shared" si="42"/>
        <v/>
      </c>
      <c r="G201" s="55" t="str">
        <f t="shared" si="42"/>
        <v/>
      </c>
      <c r="H201" s="55" t="str">
        <f t="shared" si="42"/>
        <v/>
      </c>
      <c r="I201" s="55" t="str">
        <f t="shared" si="42"/>
        <v/>
      </c>
      <c r="J201" s="55" t="str">
        <f t="shared" si="42"/>
        <v/>
      </c>
      <c r="L201">
        <v>88</v>
      </c>
      <c r="M201" t="str">
        <f t="shared" si="38"/>
        <v/>
      </c>
      <c r="N201" s="55" t="str">
        <f t="shared" si="43"/>
        <v/>
      </c>
      <c r="O201" s="55" t="str">
        <f t="shared" si="43"/>
        <v/>
      </c>
      <c r="P201" s="55" t="str">
        <f t="shared" si="43"/>
        <v/>
      </c>
      <c r="Q201" s="55" t="str">
        <f t="shared" si="43"/>
        <v/>
      </c>
      <c r="R201" s="55" t="str">
        <f t="shared" si="43"/>
        <v/>
      </c>
      <c r="S201" s="55" t="str">
        <f t="shared" si="43"/>
        <v/>
      </c>
      <c r="T201" s="55" t="str">
        <f t="shared" si="43"/>
        <v/>
      </c>
      <c r="U201" s="55" t="str">
        <f t="shared" si="43"/>
        <v/>
      </c>
      <c r="V201" s="55"/>
      <c r="W201" s="55"/>
      <c r="X201" s="55"/>
    </row>
    <row r="202" spans="1:24" hidden="1" x14ac:dyDescent="0.25">
      <c r="A202">
        <v>89</v>
      </c>
      <c r="B202" t="str">
        <f t="shared" si="36"/>
        <v/>
      </c>
      <c r="C202" s="55" t="str">
        <f t="shared" si="42"/>
        <v/>
      </c>
      <c r="D202" s="55" t="str">
        <f t="shared" si="42"/>
        <v/>
      </c>
      <c r="E202" s="55" t="str">
        <f t="shared" si="42"/>
        <v/>
      </c>
      <c r="F202" s="55" t="str">
        <f t="shared" si="42"/>
        <v/>
      </c>
      <c r="G202" s="55" t="str">
        <f t="shared" si="42"/>
        <v/>
      </c>
      <c r="H202" s="55" t="str">
        <f t="shared" si="42"/>
        <v/>
      </c>
      <c r="I202" s="55" t="str">
        <f t="shared" si="42"/>
        <v/>
      </c>
      <c r="J202" s="55" t="str">
        <f t="shared" si="42"/>
        <v/>
      </c>
      <c r="L202">
        <v>89</v>
      </c>
      <c r="M202" t="str">
        <f t="shared" si="38"/>
        <v/>
      </c>
      <c r="N202" s="55" t="str">
        <f t="shared" si="43"/>
        <v/>
      </c>
      <c r="O202" s="55" t="str">
        <f t="shared" si="43"/>
        <v/>
      </c>
      <c r="P202" s="55" t="str">
        <f t="shared" si="43"/>
        <v/>
      </c>
      <c r="Q202" s="55" t="str">
        <f t="shared" si="43"/>
        <v/>
      </c>
      <c r="R202" s="55" t="str">
        <f t="shared" si="43"/>
        <v/>
      </c>
      <c r="S202" s="55" t="str">
        <f t="shared" si="43"/>
        <v/>
      </c>
      <c r="T202" s="55" t="str">
        <f t="shared" si="43"/>
        <v/>
      </c>
      <c r="U202" s="55" t="str">
        <f t="shared" si="43"/>
        <v/>
      </c>
      <c r="V202" s="55"/>
      <c r="W202" s="55"/>
      <c r="X202" s="55"/>
    </row>
    <row r="203" spans="1:24" hidden="1" x14ac:dyDescent="0.25">
      <c r="A203">
        <v>90</v>
      </c>
      <c r="B203" t="str">
        <f t="shared" si="36"/>
        <v/>
      </c>
      <c r="C203" s="55" t="str">
        <f t="shared" si="42"/>
        <v/>
      </c>
      <c r="D203" s="55" t="str">
        <f t="shared" si="42"/>
        <v/>
      </c>
      <c r="E203" s="55" t="str">
        <f t="shared" si="42"/>
        <v/>
      </c>
      <c r="F203" s="55" t="str">
        <f t="shared" si="42"/>
        <v/>
      </c>
      <c r="G203" s="55" t="str">
        <f t="shared" si="42"/>
        <v/>
      </c>
      <c r="H203" s="55" t="str">
        <f t="shared" si="42"/>
        <v/>
      </c>
      <c r="I203" s="55" t="str">
        <f t="shared" si="42"/>
        <v/>
      </c>
      <c r="J203" s="55" t="str">
        <f t="shared" si="42"/>
        <v/>
      </c>
      <c r="L203">
        <v>90</v>
      </c>
      <c r="M203" t="str">
        <f t="shared" si="38"/>
        <v/>
      </c>
      <c r="N203" s="55" t="str">
        <f t="shared" si="43"/>
        <v/>
      </c>
      <c r="O203" s="55" t="str">
        <f t="shared" si="43"/>
        <v/>
      </c>
      <c r="P203" s="55" t="str">
        <f t="shared" si="43"/>
        <v/>
      </c>
      <c r="Q203" s="55" t="str">
        <f t="shared" si="43"/>
        <v/>
      </c>
      <c r="R203" s="55" t="str">
        <f t="shared" si="43"/>
        <v/>
      </c>
      <c r="S203" s="55" t="str">
        <f t="shared" si="43"/>
        <v/>
      </c>
      <c r="T203" s="55" t="str">
        <f t="shared" si="43"/>
        <v/>
      </c>
      <c r="U203" s="55" t="str">
        <f t="shared" si="43"/>
        <v/>
      </c>
      <c r="V203" s="55"/>
      <c r="W203" s="55"/>
      <c r="X203" s="55"/>
    </row>
    <row r="204" spans="1:24" hidden="1" x14ac:dyDescent="0.25">
      <c r="A204">
        <v>91</v>
      </c>
      <c r="B204" t="str">
        <f t="shared" si="36"/>
        <v/>
      </c>
      <c r="C204" s="55" t="str">
        <f t="shared" si="42"/>
        <v/>
      </c>
      <c r="D204" s="55" t="str">
        <f t="shared" si="42"/>
        <v/>
      </c>
      <c r="E204" s="55" t="str">
        <f t="shared" si="42"/>
        <v/>
      </c>
      <c r="F204" s="55" t="str">
        <f t="shared" si="42"/>
        <v/>
      </c>
      <c r="G204" s="55" t="str">
        <f t="shared" si="42"/>
        <v/>
      </c>
      <c r="H204" s="55" t="str">
        <f t="shared" si="42"/>
        <v/>
      </c>
      <c r="I204" s="55" t="str">
        <f t="shared" si="42"/>
        <v/>
      </c>
      <c r="J204" s="55" t="str">
        <f t="shared" si="42"/>
        <v/>
      </c>
      <c r="L204">
        <v>91</v>
      </c>
      <c r="M204" t="str">
        <f t="shared" si="38"/>
        <v/>
      </c>
      <c r="N204" s="55" t="str">
        <f t="shared" si="43"/>
        <v/>
      </c>
      <c r="O204" s="55" t="str">
        <f t="shared" si="43"/>
        <v/>
      </c>
      <c r="P204" s="55" t="str">
        <f t="shared" si="43"/>
        <v/>
      </c>
      <c r="Q204" s="55" t="str">
        <f t="shared" si="43"/>
        <v/>
      </c>
      <c r="R204" s="55" t="str">
        <f t="shared" si="43"/>
        <v/>
      </c>
      <c r="S204" s="55" t="str">
        <f t="shared" si="43"/>
        <v/>
      </c>
      <c r="T204" s="55" t="str">
        <f t="shared" si="43"/>
        <v/>
      </c>
      <c r="U204" s="55" t="str">
        <f t="shared" si="43"/>
        <v/>
      </c>
      <c r="V204" s="55"/>
      <c r="W204" s="55"/>
      <c r="X204" s="55"/>
    </row>
    <row r="205" spans="1:24" hidden="1" x14ac:dyDescent="0.25">
      <c r="A205">
        <v>92</v>
      </c>
      <c r="B205" t="str">
        <f t="shared" si="36"/>
        <v/>
      </c>
      <c r="C205" s="55" t="str">
        <f t="shared" si="42"/>
        <v/>
      </c>
      <c r="D205" s="55" t="str">
        <f t="shared" si="42"/>
        <v/>
      </c>
      <c r="E205" s="55" t="str">
        <f t="shared" si="42"/>
        <v/>
      </c>
      <c r="F205" s="55" t="str">
        <f t="shared" si="42"/>
        <v/>
      </c>
      <c r="G205" s="55" t="str">
        <f t="shared" si="42"/>
        <v/>
      </c>
      <c r="H205" s="55" t="str">
        <f t="shared" si="42"/>
        <v/>
      </c>
      <c r="I205" s="55" t="str">
        <f t="shared" si="42"/>
        <v/>
      </c>
      <c r="J205" s="55" t="str">
        <f t="shared" si="42"/>
        <v/>
      </c>
      <c r="L205">
        <v>92</v>
      </c>
      <c r="M205" t="str">
        <f t="shared" si="38"/>
        <v/>
      </c>
      <c r="N205" s="55" t="str">
        <f t="shared" si="43"/>
        <v/>
      </c>
      <c r="O205" s="55" t="str">
        <f t="shared" si="43"/>
        <v/>
      </c>
      <c r="P205" s="55" t="str">
        <f t="shared" si="43"/>
        <v/>
      </c>
      <c r="Q205" s="55" t="str">
        <f t="shared" si="43"/>
        <v/>
      </c>
      <c r="R205" s="55" t="str">
        <f t="shared" si="43"/>
        <v/>
      </c>
      <c r="S205" s="55" t="str">
        <f t="shared" si="43"/>
        <v/>
      </c>
      <c r="T205" s="55" t="str">
        <f t="shared" si="43"/>
        <v/>
      </c>
      <c r="U205" s="55" t="str">
        <f t="shared" si="43"/>
        <v/>
      </c>
      <c r="V205" s="55"/>
      <c r="W205" s="55"/>
      <c r="X205" s="55"/>
    </row>
    <row r="206" spans="1:24" hidden="1" x14ac:dyDescent="0.25">
      <c r="A206">
        <v>93</v>
      </c>
      <c r="B206" t="str">
        <f t="shared" si="36"/>
        <v/>
      </c>
      <c r="C206" s="55" t="str">
        <f t="shared" si="42"/>
        <v/>
      </c>
      <c r="D206" s="55" t="str">
        <f t="shared" si="42"/>
        <v/>
      </c>
      <c r="E206" s="55" t="str">
        <f t="shared" si="42"/>
        <v/>
      </c>
      <c r="F206" s="55" t="str">
        <f t="shared" si="42"/>
        <v/>
      </c>
      <c r="G206" s="55" t="str">
        <f t="shared" si="42"/>
        <v/>
      </c>
      <c r="H206" s="55" t="str">
        <f t="shared" si="42"/>
        <v/>
      </c>
      <c r="I206" s="55" t="str">
        <f t="shared" si="42"/>
        <v/>
      </c>
      <c r="J206" s="55" t="str">
        <f t="shared" si="42"/>
        <v/>
      </c>
      <c r="L206">
        <v>93</v>
      </c>
      <c r="M206" t="str">
        <f t="shared" si="38"/>
        <v/>
      </c>
      <c r="N206" s="55" t="str">
        <f t="shared" si="43"/>
        <v/>
      </c>
      <c r="O206" s="55" t="str">
        <f t="shared" si="43"/>
        <v/>
      </c>
      <c r="P206" s="55" t="str">
        <f t="shared" si="43"/>
        <v/>
      </c>
      <c r="Q206" s="55" t="str">
        <f t="shared" si="43"/>
        <v/>
      </c>
      <c r="R206" s="55" t="str">
        <f t="shared" si="43"/>
        <v/>
      </c>
      <c r="S206" s="55" t="str">
        <f t="shared" si="43"/>
        <v/>
      </c>
      <c r="T206" s="55" t="str">
        <f t="shared" si="43"/>
        <v/>
      </c>
      <c r="U206" s="55" t="str">
        <f t="shared" si="43"/>
        <v/>
      </c>
      <c r="V206" s="55"/>
      <c r="W206" s="55"/>
      <c r="X206" s="55"/>
    </row>
    <row r="207" spans="1:24" hidden="1" x14ac:dyDescent="0.25">
      <c r="A207">
        <v>94</v>
      </c>
      <c r="B207" t="str">
        <f t="shared" si="36"/>
        <v/>
      </c>
      <c r="C207" s="55" t="str">
        <f t="shared" si="42"/>
        <v/>
      </c>
      <c r="D207" s="55" t="str">
        <f t="shared" si="42"/>
        <v/>
      </c>
      <c r="E207" s="55" t="str">
        <f t="shared" si="42"/>
        <v/>
      </c>
      <c r="F207" s="55" t="str">
        <f t="shared" si="42"/>
        <v/>
      </c>
      <c r="G207" s="55" t="str">
        <f t="shared" si="42"/>
        <v/>
      </c>
      <c r="H207" s="55" t="str">
        <f t="shared" si="42"/>
        <v/>
      </c>
      <c r="I207" s="55" t="str">
        <f t="shared" si="42"/>
        <v/>
      </c>
      <c r="J207" s="55" t="str">
        <f t="shared" si="42"/>
        <v/>
      </c>
      <c r="L207">
        <v>94</v>
      </c>
      <c r="M207" t="str">
        <f t="shared" si="38"/>
        <v/>
      </c>
      <c r="N207" s="55" t="str">
        <f t="shared" si="43"/>
        <v/>
      </c>
      <c r="O207" s="55" t="str">
        <f t="shared" si="43"/>
        <v/>
      </c>
      <c r="P207" s="55" t="str">
        <f t="shared" si="43"/>
        <v/>
      </c>
      <c r="Q207" s="55" t="str">
        <f t="shared" si="43"/>
        <v/>
      </c>
      <c r="R207" s="55" t="str">
        <f t="shared" si="43"/>
        <v/>
      </c>
      <c r="S207" s="55" t="str">
        <f t="shared" si="43"/>
        <v/>
      </c>
      <c r="T207" s="55" t="str">
        <f t="shared" si="43"/>
        <v/>
      </c>
      <c r="U207" s="55" t="str">
        <f t="shared" si="43"/>
        <v/>
      </c>
      <c r="V207" s="55"/>
      <c r="W207" s="55"/>
      <c r="X207" s="55"/>
    </row>
    <row r="208" spans="1:24" hidden="1" x14ac:dyDescent="0.25">
      <c r="A208">
        <v>95</v>
      </c>
      <c r="B208" t="str">
        <f t="shared" si="36"/>
        <v/>
      </c>
      <c r="C208" s="55" t="str">
        <f t="shared" ref="C208:J217" si="44">C144</f>
        <v/>
      </c>
      <c r="D208" s="55" t="str">
        <f t="shared" si="44"/>
        <v/>
      </c>
      <c r="E208" s="55" t="str">
        <f t="shared" si="44"/>
        <v/>
      </c>
      <c r="F208" s="55" t="str">
        <f t="shared" si="44"/>
        <v/>
      </c>
      <c r="G208" s="55" t="str">
        <f t="shared" si="44"/>
        <v/>
      </c>
      <c r="H208" s="55" t="str">
        <f t="shared" si="44"/>
        <v/>
      </c>
      <c r="I208" s="55" t="str">
        <f t="shared" si="44"/>
        <v/>
      </c>
      <c r="J208" s="55" t="str">
        <f t="shared" si="44"/>
        <v/>
      </c>
      <c r="L208">
        <v>95</v>
      </c>
      <c r="M208" t="str">
        <f t="shared" si="38"/>
        <v/>
      </c>
      <c r="N208" s="55" t="str">
        <f t="shared" ref="N208:U217" si="45">N144</f>
        <v/>
      </c>
      <c r="O208" s="55" t="str">
        <f t="shared" si="45"/>
        <v/>
      </c>
      <c r="P208" s="55" t="str">
        <f t="shared" si="45"/>
        <v/>
      </c>
      <c r="Q208" s="55" t="str">
        <f t="shared" si="45"/>
        <v/>
      </c>
      <c r="R208" s="55" t="str">
        <f t="shared" si="45"/>
        <v/>
      </c>
      <c r="S208" s="55" t="str">
        <f t="shared" si="45"/>
        <v/>
      </c>
      <c r="T208" s="55" t="str">
        <f t="shared" si="45"/>
        <v/>
      </c>
      <c r="U208" s="55" t="str">
        <f t="shared" si="45"/>
        <v/>
      </c>
      <c r="V208" s="55"/>
      <c r="W208" s="55"/>
      <c r="X208" s="55"/>
    </row>
    <row r="209" spans="1:24" hidden="1" x14ac:dyDescent="0.25">
      <c r="A209">
        <v>96</v>
      </c>
      <c r="B209" t="str">
        <f t="shared" si="36"/>
        <v/>
      </c>
      <c r="C209" s="55" t="str">
        <f t="shared" si="44"/>
        <v/>
      </c>
      <c r="D209" s="55" t="str">
        <f t="shared" si="44"/>
        <v/>
      </c>
      <c r="E209" s="55" t="str">
        <f t="shared" si="44"/>
        <v/>
      </c>
      <c r="F209" s="55" t="str">
        <f t="shared" si="44"/>
        <v/>
      </c>
      <c r="G209" s="55" t="str">
        <f t="shared" si="44"/>
        <v/>
      </c>
      <c r="H209" s="55" t="str">
        <f t="shared" si="44"/>
        <v/>
      </c>
      <c r="I209" s="55" t="str">
        <f t="shared" si="44"/>
        <v/>
      </c>
      <c r="J209" s="55" t="str">
        <f t="shared" si="44"/>
        <v/>
      </c>
      <c r="L209">
        <v>96</v>
      </c>
      <c r="M209" t="str">
        <f t="shared" si="38"/>
        <v/>
      </c>
      <c r="N209" s="55" t="str">
        <f t="shared" si="45"/>
        <v/>
      </c>
      <c r="O209" s="55" t="str">
        <f t="shared" si="45"/>
        <v/>
      </c>
      <c r="P209" s="55" t="str">
        <f t="shared" si="45"/>
        <v/>
      </c>
      <c r="Q209" s="55" t="str">
        <f t="shared" si="45"/>
        <v/>
      </c>
      <c r="R209" s="55" t="str">
        <f t="shared" si="45"/>
        <v/>
      </c>
      <c r="S209" s="55" t="str">
        <f t="shared" si="45"/>
        <v/>
      </c>
      <c r="T209" s="55" t="str">
        <f t="shared" si="45"/>
        <v/>
      </c>
      <c r="U209" s="55" t="str">
        <f t="shared" si="45"/>
        <v/>
      </c>
      <c r="V209" s="55"/>
      <c r="W209" s="55"/>
      <c r="X209" s="55"/>
    </row>
    <row r="210" spans="1:24" hidden="1" x14ac:dyDescent="0.25">
      <c r="A210">
        <v>97</v>
      </c>
      <c r="B210" t="str">
        <f t="shared" ref="B210:B241" si="46">IF(ISNUMBER(C210),A210,"")</f>
        <v/>
      </c>
      <c r="C210" s="55" t="str">
        <f t="shared" si="44"/>
        <v/>
      </c>
      <c r="D210" s="55" t="str">
        <f t="shared" si="44"/>
        <v/>
      </c>
      <c r="E210" s="55" t="str">
        <f t="shared" si="44"/>
        <v/>
      </c>
      <c r="F210" s="55" t="str">
        <f t="shared" si="44"/>
        <v/>
      </c>
      <c r="G210" s="55" t="str">
        <f t="shared" si="44"/>
        <v/>
      </c>
      <c r="H210" s="55" t="str">
        <f t="shared" si="44"/>
        <v/>
      </c>
      <c r="I210" s="55" t="str">
        <f t="shared" si="44"/>
        <v/>
      </c>
      <c r="J210" s="55" t="str">
        <f t="shared" si="44"/>
        <v/>
      </c>
      <c r="L210">
        <v>97</v>
      </c>
      <c r="M210" t="str">
        <f t="shared" ref="M210:M241" si="47">IF(ISNUMBER(N210),L210,"")</f>
        <v/>
      </c>
      <c r="N210" s="55" t="str">
        <f t="shared" si="45"/>
        <v/>
      </c>
      <c r="O210" s="55" t="str">
        <f t="shared" si="45"/>
        <v/>
      </c>
      <c r="P210" s="55" t="str">
        <f t="shared" si="45"/>
        <v/>
      </c>
      <c r="Q210" s="55" t="str">
        <f t="shared" si="45"/>
        <v/>
      </c>
      <c r="R210" s="55" t="str">
        <f t="shared" si="45"/>
        <v/>
      </c>
      <c r="S210" s="55" t="str">
        <f t="shared" si="45"/>
        <v/>
      </c>
      <c r="T210" s="55" t="str">
        <f t="shared" si="45"/>
        <v/>
      </c>
      <c r="U210" s="55" t="str">
        <f t="shared" si="45"/>
        <v/>
      </c>
      <c r="V210" s="55"/>
      <c r="W210" s="55"/>
      <c r="X210" s="55"/>
    </row>
    <row r="211" spans="1:24" hidden="1" x14ac:dyDescent="0.25">
      <c r="A211">
        <v>98</v>
      </c>
      <c r="B211" t="str">
        <f t="shared" si="46"/>
        <v/>
      </c>
      <c r="C211" s="55" t="str">
        <f t="shared" si="44"/>
        <v/>
      </c>
      <c r="D211" s="55" t="str">
        <f t="shared" si="44"/>
        <v/>
      </c>
      <c r="E211" s="55" t="str">
        <f t="shared" si="44"/>
        <v/>
      </c>
      <c r="F211" s="55" t="str">
        <f t="shared" si="44"/>
        <v/>
      </c>
      <c r="G211" s="55" t="str">
        <f t="shared" si="44"/>
        <v/>
      </c>
      <c r="H211" s="55" t="str">
        <f t="shared" si="44"/>
        <v/>
      </c>
      <c r="I211" s="55" t="str">
        <f t="shared" si="44"/>
        <v/>
      </c>
      <c r="J211" s="55" t="str">
        <f t="shared" si="44"/>
        <v/>
      </c>
      <c r="L211">
        <v>98</v>
      </c>
      <c r="M211" t="str">
        <f t="shared" si="47"/>
        <v/>
      </c>
      <c r="N211" s="55" t="str">
        <f t="shared" si="45"/>
        <v/>
      </c>
      <c r="O211" s="55" t="str">
        <f t="shared" si="45"/>
        <v/>
      </c>
      <c r="P211" s="55" t="str">
        <f t="shared" si="45"/>
        <v/>
      </c>
      <c r="Q211" s="55" t="str">
        <f t="shared" si="45"/>
        <v/>
      </c>
      <c r="R211" s="55" t="str">
        <f t="shared" si="45"/>
        <v/>
      </c>
      <c r="S211" s="55" t="str">
        <f t="shared" si="45"/>
        <v/>
      </c>
      <c r="T211" s="55" t="str">
        <f t="shared" si="45"/>
        <v/>
      </c>
      <c r="U211" s="55" t="str">
        <f t="shared" si="45"/>
        <v/>
      </c>
      <c r="V211" s="55"/>
      <c r="W211" s="55"/>
      <c r="X211" s="55"/>
    </row>
    <row r="212" spans="1:24" hidden="1" x14ac:dyDescent="0.25">
      <c r="A212">
        <v>99</v>
      </c>
      <c r="B212" t="str">
        <f t="shared" si="46"/>
        <v/>
      </c>
      <c r="C212" s="55" t="str">
        <f t="shared" si="44"/>
        <v/>
      </c>
      <c r="D212" s="55" t="str">
        <f t="shared" si="44"/>
        <v/>
      </c>
      <c r="E212" s="55" t="str">
        <f t="shared" si="44"/>
        <v/>
      </c>
      <c r="F212" s="55" t="str">
        <f t="shared" si="44"/>
        <v/>
      </c>
      <c r="G212" s="55" t="str">
        <f t="shared" si="44"/>
        <v/>
      </c>
      <c r="H212" s="55" t="str">
        <f t="shared" si="44"/>
        <v/>
      </c>
      <c r="I212" s="55" t="str">
        <f t="shared" si="44"/>
        <v/>
      </c>
      <c r="J212" s="55" t="str">
        <f t="shared" si="44"/>
        <v/>
      </c>
      <c r="L212">
        <v>99</v>
      </c>
      <c r="M212" t="str">
        <f t="shared" si="47"/>
        <v/>
      </c>
      <c r="N212" s="55" t="str">
        <f t="shared" si="45"/>
        <v/>
      </c>
      <c r="O212" s="55" t="str">
        <f t="shared" si="45"/>
        <v/>
      </c>
      <c r="P212" s="55" t="str">
        <f t="shared" si="45"/>
        <v/>
      </c>
      <c r="Q212" s="55" t="str">
        <f t="shared" si="45"/>
        <v/>
      </c>
      <c r="R212" s="55" t="str">
        <f t="shared" si="45"/>
        <v/>
      </c>
      <c r="S212" s="55" t="str">
        <f t="shared" si="45"/>
        <v/>
      </c>
      <c r="T212" s="55" t="str">
        <f t="shared" si="45"/>
        <v/>
      </c>
      <c r="U212" s="55" t="str">
        <f t="shared" si="45"/>
        <v/>
      </c>
      <c r="V212" s="55"/>
      <c r="W212" s="55"/>
      <c r="X212" s="55"/>
    </row>
    <row r="213" spans="1:24" hidden="1" x14ac:dyDescent="0.25">
      <c r="A213">
        <v>100</v>
      </c>
      <c r="B213" t="str">
        <f t="shared" si="46"/>
        <v/>
      </c>
      <c r="C213" s="55" t="str">
        <f t="shared" si="44"/>
        <v/>
      </c>
      <c r="D213" s="55" t="str">
        <f t="shared" si="44"/>
        <v/>
      </c>
      <c r="E213" s="55" t="str">
        <f t="shared" si="44"/>
        <v/>
      </c>
      <c r="F213" s="55" t="str">
        <f t="shared" si="44"/>
        <v/>
      </c>
      <c r="G213" s="55" t="str">
        <f t="shared" si="44"/>
        <v/>
      </c>
      <c r="H213" s="55" t="str">
        <f t="shared" si="44"/>
        <v/>
      </c>
      <c r="I213" s="55" t="str">
        <f t="shared" si="44"/>
        <v/>
      </c>
      <c r="J213" s="55" t="str">
        <f t="shared" si="44"/>
        <v/>
      </c>
      <c r="L213">
        <v>100</v>
      </c>
      <c r="M213" t="str">
        <f t="shared" si="47"/>
        <v/>
      </c>
      <c r="N213" s="55" t="str">
        <f t="shared" si="45"/>
        <v/>
      </c>
      <c r="O213" s="55" t="str">
        <f t="shared" si="45"/>
        <v/>
      </c>
      <c r="P213" s="55" t="str">
        <f t="shared" si="45"/>
        <v/>
      </c>
      <c r="Q213" s="55" t="str">
        <f t="shared" si="45"/>
        <v/>
      </c>
      <c r="R213" s="55" t="str">
        <f t="shared" si="45"/>
        <v/>
      </c>
      <c r="S213" s="55" t="str">
        <f t="shared" si="45"/>
        <v/>
      </c>
      <c r="T213" s="55" t="str">
        <f t="shared" si="45"/>
        <v/>
      </c>
      <c r="U213" s="55" t="str">
        <f t="shared" si="45"/>
        <v/>
      </c>
      <c r="V213" s="55"/>
      <c r="W213" s="55"/>
      <c r="X213" s="55"/>
    </row>
    <row r="214" spans="1:24" hidden="1" x14ac:dyDescent="0.25">
      <c r="A214">
        <v>101</v>
      </c>
      <c r="B214" t="str">
        <f t="shared" si="46"/>
        <v/>
      </c>
      <c r="C214" s="55" t="str">
        <f t="shared" si="44"/>
        <v/>
      </c>
      <c r="D214" s="55" t="str">
        <f t="shared" si="44"/>
        <v/>
      </c>
      <c r="E214" s="55" t="str">
        <f t="shared" si="44"/>
        <v/>
      </c>
      <c r="F214" s="55" t="str">
        <f t="shared" si="44"/>
        <v/>
      </c>
      <c r="G214" s="55" t="str">
        <f t="shared" si="44"/>
        <v/>
      </c>
      <c r="H214" s="55" t="str">
        <f t="shared" si="44"/>
        <v/>
      </c>
      <c r="I214" s="55" t="str">
        <f t="shared" si="44"/>
        <v/>
      </c>
      <c r="J214" s="55" t="str">
        <f t="shared" si="44"/>
        <v/>
      </c>
      <c r="L214">
        <v>101</v>
      </c>
      <c r="M214" t="str">
        <f t="shared" si="47"/>
        <v/>
      </c>
      <c r="N214" s="55" t="str">
        <f t="shared" si="45"/>
        <v/>
      </c>
      <c r="O214" s="55" t="str">
        <f t="shared" si="45"/>
        <v/>
      </c>
      <c r="P214" s="55" t="str">
        <f t="shared" si="45"/>
        <v/>
      </c>
      <c r="Q214" s="55" t="str">
        <f t="shared" si="45"/>
        <v/>
      </c>
      <c r="R214" s="55" t="str">
        <f t="shared" si="45"/>
        <v/>
      </c>
      <c r="S214" s="55" t="str">
        <f t="shared" si="45"/>
        <v/>
      </c>
      <c r="T214" s="55" t="str">
        <f t="shared" si="45"/>
        <v/>
      </c>
      <c r="U214" s="55" t="str">
        <f t="shared" si="45"/>
        <v/>
      </c>
      <c r="V214" s="55"/>
      <c r="W214" s="55" t="str">
        <f>IF(ISNUMBER(W142),ABS(W142),"")</f>
        <v/>
      </c>
      <c r="X214" s="55"/>
    </row>
    <row r="215" spans="1:24" hidden="1" x14ac:dyDescent="0.25">
      <c r="A215">
        <v>102</v>
      </c>
      <c r="B215" t="str">
        <f t="shared" si="46"/>
        <v/>
      </c>
      <c r="C215" s="55" t="str">
        <f t="shared" si="44"/>
        <v/>
      </c>
      <c r="D215" s="55" t="str">
        <f t="shared" si="44"/>
        <v/>
      </c>
      <c r="E215" s="55" t="str">
        <f t="shared" si="44"/>
        <v/>
      </c>
      <c r="F215" s="55" t="str">
        <f t="shared" si="44"/>
        <v/>
      </c>
      <c r="G215" s="55" t="str">
        <f t="shared" si="44"/>
        <v/>
      </c>
      <c r="H215" s="55" t="str">
        <f t="shared" si="44"/>
        <v/>
      </c>
      <c r="I215" s="55" t="str">
        <f t="shared" si="44"/>
        <v/>
      </c>
      <c r="J215" s="55" t="str">
        <f t="shared" si="44"/>
        <v/>
      </c>
      <c r="L215">
        <v>102</v>
      </c>
      <c r="M215" t="str">
        <f t="shared" si="47"/>
        <v/>
      </c>
      <c r="N215" s="55" t="str">
        <f t="shared" si="45"/>
        <v/>
      </c>
      <c r="O215" s="55" t="str">
        <f t="shared" si="45"/>
        <v/>
      </c>
      <c r="P215" s="55" t="str">
        <f t="shared" si="45"/>
        <v/>
      </c>
      <c r="Q215" s="55" t="str">
        <f t="shared" si="45"/>
        <v/>
      </c>
      <c r="R215" s="55" t="str">
        <f t="shared" si="45"/>
        <v/>
      </c>
      <c r="S215" s="55" t="str">
        <f t="shared" si="45"/>
        <v/>
      </c>
      <c r="T215" s="55" t="str">
        <f t="shared" si="45"/>
        <v/>
      </c>
      <c r="U215" s="55" t="str">
        <f t="shared" si="45"/>
        <v/>
      </c>
      <c r="V215" s="55"/>
      <c r="W215" s="55" t="str">
        <f>IF(ISNUMBER(W143),ABS(W143),"")</f>
        <v/>
      </c>
      <c r="X215" s="55"/>
    </row>
    <row r="216" spans="1:24" hidden="1" x14ac:dyDescent="0.25">
      <c r="A216">
        <v>103</v>
      </c>
      <c r="B216" t="str">
        <f t="shared" si="46"/>
        <v/>
      </c>
      <c r="C216" s="55" t="str">
        <f t="shared" si="44"/>
        <v/>
      </c>
      <c r="D216" s="55" t="str">
        <f t="shared" si="44"/>
        <v/>
      </c>
      <c r="E216" s="55" t="str">
        <f t="shared" si="44"/>
        <v/>
      </c>
      <c r="F216" s="55" t="str">
        <f t="shared" si="44"/>
        <v/>
      </c>
      <c r="G216" s="55" t="str">
        <f t="shared" si="44"/>
        <v/>
      </c>
      <c r="H216" s="55" t="str">
        <f t="shared" si="44"/>
        <v/>
      </c>
      <c r="I216" s="55" t="str">
        <f t="shared" si="44"/>
        <v/>
      </c>
      <c r="J216" s="55" t="str">
        <f t="shared" si="44"/>
        <v/>
      </c>
      <c r="L216">
        <v>103</v>
      </c>
      <c r="M216" t="str">
        <f t="shared" si="47"/>
        <v/>
      </c>
      <c r="N216" s="55" t="str">
        <f t="shared" si="45"/>
        <v/>
      </c>
      <c r="O216" s="55" t="str">
        <f t="shared" si="45"/>
        <v/>
      </c>
      <c r="P216" s="55" t="str">
        <f t="shared" si="45"/>
        <v/>
      </c>
      <c r="Q216" s="55" t="str">
        <f t="shared" si="45"/>
        <v/>
      </c>
      <c r="R216" s="55" t="str">
        <f t="shared" si="45"/>
        <v/>
      </c>
      <c r="S216" s="55" t="str">
        <f t="shared" si="45"/>
        <v/>
      </c>
      <c r="T216" s="55" t="str">
        <f t="shared" si="45"/>
        <v/>
      </c>
      <c r="U216" s="55" t="str">
        <f t="shared" si="45"/>
        <v/>
      </c>
      <c r="V216" s="55"/>
      <c r="W216" s="55" t="str">
        <f>IF(ISNUMBER(W144),ABS(W144),"")</f>
        <v/>
      </c>
      <c r="X216" s="55"/>
    </row>
    <row r="217" spans="1:24" hidden="1" x14ac:dyDescent="0.25">
      <c r="A217">
        <v>104</v>
      </c>
      <c r="B217" t="str">
        <f t="shared" si="46"/>
        <v/>
      </c>
      <c r="C217" s="55" t="str">
        <f t="shared" si="44"/>
        <v/>
      </c>
      <c r="D217" s="55" t="str">
        <f t="shared" si="44"/>
        <v/>
      </c>
      <c r="E217" s="55" t="str">
        <f t="shared" si="44"/>
        <v/>
      </c>
      <c r="F217" s="55" t="str">
        <f t="shared" si="44"/>
        <v/>
      </c>
      <c r="G217" s="55" t="str">
        <f t="shared" si="44"/>
        <v/>
      </c>
      <c r="H217" s="55" t="str">
        <f t="shared" si="44"/>
        <v/>
      </c>
      <c r="I217" s="55" t="str">
        <f t="shared" si="44"/>
        <v/>
      </c>
      <c r="J217" s="55" t="str">
        <f t="shared" si="44"/>
        <v/>
      </c>
      <c r="L217">
        <v>104</v>
      </c>
      <c r="M217" t="str">
        <f t="shared" si="47"/>
        <v/>
      </c>
      <c r="N217" s="55" t="str">
        <f t="shared" si="45"/>
        <v/>
      </c>
      <c r="O217" s="55" t="str">
        <f t="shared" si="45"/>
        <v/>
      </c>
      <c r="P217" s="55" t="str">
        <f t="shared" si="45"/>
        <v/>
      </c>
      <c r="Q217" s="55" t="str">
        <f t="shared" si="45"/>
        <v/>
      </c>
      <c r="R217" s="55" t="str">
        <f t="shared" si="45"/>
        <v/>
      </c>
      <c r="S217" s="55" t="str">
        <f t="shared" si="45"/>
        <v/>
      </c>
      <c r="T217" s="55" t="str">
        <f t="shared" si="45"/>
        <v/>
      </c>
      <c r="U217" s="55" t="str">
        <f t="shared" si="45"/>
        <v/>
      </c>
      <c r="V217" s="55"/>
      <c r="W217" s="55" t="str">
        <f>IF(ISNUMBER(W145),ABS(W145),"")</f>
        <v/>
      </c>
      <c r="X217" s="55"/>
    </row>
    <row r="218" spans="1:24" hidden="1" x14ac:dyDescent="0.25">
      <c r="A218">
        <v>105</v>
      </c>
      <c r="B218" t="str">
        <f t="shared" si="46"/>
        <v/>
      </c>
      <c r="C218" s="55" t="str">
        <f t="shared" ref="C218:J227" si="48">C154</f>
        <v/>
      </c>
      <c r="D218" s="55" t="str">
        <f t="shared" si="48"/>
        <v/>
      </c>
      <c r="E218" s="55" t="str">
        <f t="shared" si="48"/>
        <v/>
      </c>
      <c r="F218" s="55" t="str">
        <f t="shared" si="48"/>
        <v/>
      </c>
      <c r="G218" s="55" t="str">
        <f t="shared" si="48"/>
        <v/>
      </c>
      <c r="H218" s="55" t="str">
        <f t="shared" si="48"/>
        <v/>
      </c>
      <c r="I218" s="55" t="str">
        <f t="shared" si="48"/>
        <v/>
      </c>
      <c r="J218" s="55" t="str">
        <f t="shared" si="48"/>
        <v/>
      </c>
      <c r="L218">
        <v>105</v>
      </c>
      <c r="M218" t="str">
        <f t="shared" si="47"/>
        <v/>
      </c>
      <c r="N218" s="55" t="str">
        <f t="shared" ref="N218:U227" si="49">N154</f>
        <v/>
      </c>
      <c r="O218" s="55" t="str">
        <f t="shared" si="49"/>
        <v/>
      </c>
      <c r="P218" s="55" t="str">
        <f t="shared" si="49"/>
        <v/>
      </c>
      <c r="Q218" s="55" t="str">
        <f t="shared" si="49"/>
        <v/>
      </c>
      <c r="R218" s="55" t="str">
        <f t="shared" si="49"/>
        <v/>
      </c>
      <c r="S218" s="55" t="str">
        <f t="shared" si="49"/>
        <v/>
      </c>
      <c r="T218" s="55" t="str">
        <f t="shared" si="49"/>
        <v/>
      </c>
      <c r="U218" s="55" t="str">
        <f t="shared" si="49"/>
        <v/>
      </c>
      <c r="V218" s="55"/>
    </row>
    <row r="219" spans="1:24" hidden="1" x14ac:dyDescent="0.25">
      <c r="A219">
        <v>106</v>
      </c>
      <c r="B219" t="str">
        <f t="shared" si="46"/>
        <v/>
      </c>
      <c r="C219" s="55" t="str">
        <f t="shared" si="48"/>
        <v/>
      </c>
      <c r="D219" s="55" t="str">
        <f t="shared" si="48"/>
        <v/>
      </c>
      <c r="E219" s="55" t="str">
        <f t="shared" si="48"/>
        <v/>
      </c>
      <c r="F219" s="55" t="str">
        <f t="shared" si="48"/>
        <v/>
      </c>
      <c r="G219" s="55" t="str">
        <f t="shared" si="48"/>
        <v/>
      </c>
      <c r="H219" s="55" t="str">
        <f t="shared" si="48"/>
        <v/>
      </c>
      <c r="I219" s="55" t="str">
        <f t="shared" si="48"/>
        <v/>
      </c>
      <c r="J219" s="55" t="str">
        <f t="shared" si="48"/>
        <v/>
      </c>
      <c r="L219">
        <v>106</v>
      </c>
      <c r="M219" t="str">
        <f t="shared" si="47"/>
        <v/>
      </c>
      <c r="N219" s="55" t="str">
        <f t="shared" si="49"/>
        <v/>
      </c>
      <c r="O219" s="55" t="str">
        <f t="shared" si="49"/>
        <v/>
      </c>
      <c r="P219" s="55" t="str">
        <f t="shared" si="49"/>
        <v/>
      </c>
      <c r="Q219" s="55" t="str">
        <f t="shared" si="49"/>
        <v/>
      </c>
      <c r="R219" s="55" t="str">
        <f t="shared" si="49"/>
        <v/>
      </c>
      <c r="S219" s="55" t="str">
        <f t="shared" si="49"/>
        <v/>
      </c>
      <c r="T219" s="55" t="str">
        <f t="shared" si="49"/>
        <v/>
      </c>
      <c r="U219" s="55" t="str">
        <f t="shared" si="49"/>
        <v/>
      </c>
      <c r="V219" s="55"/>
      <c r="W219" s="55" t="str">
        <f t="shared" ref="W219:W233" si="50">IF(ISNUMBER(W146),ABS(W146),"")</f>
        <v/>
      </c>
      <c r="X219" s="55"/>
    </row>
    <row r="220" spans="1:24" hidden="1" x14ac:dyDescent="0.25">
      <c r="A220">
        <v>107</v>
      </c>
      <c r="B220" t="str">
        <f t="shared" si="46"/>
        <v/>
      </c>
      <c r="C220" s="55" t="str">
        <f t="shared" si="48"/>
        <v/>
      </c>
      <c r="D220" s="55" t="str">
        <f t="shared" si="48"/>
        <v/>
      </c>
      <c r="E220" s="55" t="str">
        <f t="shared" si="48"/>
        <v/>
      </c>
      <c r="F220" s="55" t="str">
        <f t="shared" si="48"/>
        <v/>
      </c>
      <c r="G220" s="55" t="str">
        <f t="shared" si="48"/>
        <v/>
      </c>
      <c r="H220" s="55" t="str">
        <f t="shared" si="48"/>
        <v/>
      </c>
      <c r="I220" s="55" t="str">
        <f t="shared" si="48"/>
        <v/>
      </c>
      <c r="J220" s="55" t="str">
        <f t="shared" si="48"/>
        <v/>
      </c>
      <c r="L220">
        <v>107</v>
      </c>
      <c r="M220" t="str">
        <f t="shared" si="47"/>
        <v/>
      </c>
      <c r="N220" s="55" t="str">
        <f t="shared" si="49"/>
        <v/>
      </c>
      <c r="O220" s="55" t="str">
        <f t="shared" si="49"/>
        <v/>
      </c>
      <c r="P220" s="55" t="str">
        <f t="shared" si="49"/>
        <v/>
      </c>
      <c r="Q220" s="55" t="str">
        <f t="shared" si="49"/>
        <v/>
      </c>
      <c r="R220" s="55" t="str">
        <f t="shared" si="49"/>
        <v/>
      </c>
      <c r="S220" s="55" t="str">
        <f t="shared" si="49"/>
        <v/>
      </c>
      <c r="T220" s="55" t="str">
        <f t="shared" si="49"/>
        <v/>
      </c>
      <c r="U220" s="55" t="str">
        <f t="shared" si="49"/>
        <v/>
      </c>
      <c r="V220" s="55"/>
      <c r="W220" s="55" t="str">
        <f t="shared" si="50"/>
        <v/>
      </c>
      <c r="X220" s="55"/>
    </row>
    <row r="221" spans="1:24" hidden="1" x14ac:dyDescent="0.25">
      <c r="A221">
        <v>108</v>
      </c>
      <c r="B221" t="str">
        <f t="shared" si="46"/>
        <v/>
      </c>
      <c r="C221" s="55" t="str">
        <f t="shared" si="48"/>
        <v/>
      </c>
      <c r="D221" s="55" t="str">
        <f t="shared" si="48"/>
        <v/>
      </c>
      <c r="E221" s="55" t="str">
        <f t="shared" si="48"/>
        <v/>
      </c>
      <c r="F221" s="55" t="str">
        <f t="shared" si="48"/>
        <v/>
      </c>
      <c r="G221" s="55" t="str">
        <f t="shared" si="48"/>
        <v/>
      </c>
      <c r="H221" s="55" t="str">
        <f t="shared" si="48"/>
        <v/>
      </c>
      <c r="I221" s="55" t="str">
        <f t="shared" si="48"/>
        <v/>
      </c>
      <c r="J221" s="55" t="str">
        <f t="shared" si="48"/>
        <v/>
      </c>
      <c r="L221">
        <v>108</v>
      </c>
      <c r="M221" t="str">
        <f t="shared" si="47"/>
        <v/>
      </c>
      <c r="N221" s="55" t="str">
        <f t="shared" si="49"/>
        <v/>
      </c>
      <c r="O221" s="55" t="str">
        <f t="shared" si="49"/>
        <v/>
      </c>
      <c r="P221" s="55" t="str">
        <f t="shared" si="49"/>
        <v/>
      </c>
      <c r="Q221" s="55" t="str">
        <f t="shared" si="49"/>
        <v/>
      </c>
      <c r="R221" s="55" t="str">
        <f t="shared" si="49"/>
        <v/>
      </c>
      <c r="S221" s="55" t="str">
        <f t="shared" si="49"/>
        <v/>
      </c>
      <c r="T221" s="55" t="str">
        <f t="shared" si="49"/>
        <v/>
      </c>
      <c r="U221" s="55" t="str">
        <f t="shared" si="49"/>
        <v/>
      </c>
      <c r="V221" s="55"/>
      <c r="W221" s="55" t="str">
        <f t="shared" si="50"/>
        <v/>
      </c>
      <c r="X221" s="55"/>
    </row>
    <row r="222" spans="1:24" hidden="1" x14ac:dyDescent="0.25">
      <c r="A222">
        <v>109</v>
      </c>
      <c r="B222" t="str">
        <f t="shared" si="46"/>
        <v/>
      </c>
      <c r="C222" s="55" t="str">
        <f t="shared" si="48"/>
        <v/>
      </c>
      <c r="D222" s="55" t="str">
        <f t="shared" si="48"/>
        <v/>
      </c>
      <c r="E222" s="55" t="str">
        <f t="shared" si="48"/>
        <v/>
      </c>
      <c r="F222" s="55" t="str">
        <f t="shared" si="48"/>
        <v/>
      </c>
      <c r="G222" s="55" t="str">
        <f t="shared" si="48"/>
        <v/>
      </c>
      <c r="H222" s="55" t="str">
        <f t="shared" si="48"/>
        <v/>
      </c>
      <c r="I222" s="55" t="str">
        <f t="shared" si="48"/>
        <v/>
      </c>
      <c r="J222" s="55" t="str">
        <f t="shared" si="48"/>
        <v/>
      </c>
      <c r="L222">
        <v>109</v>
      </c>
      <c r="M222" t="str">
        <f t="shared" si="47"/>
        <v/>
      </c>
      <c r="N222" s="55" t="str">
        <f t="shared" si="49"/>
        <v/>
      </c>
      <c r="O222" s="55" t="str">
        <f t="shared" si="49"/>
        <v/>
      </c>
      <c r="P222" s="55" t="str">
        <f t="shared" si="49"/>
        <v/>
      </c>
      <c r="Q222" s="55" t="str">
        <f t="shared" si="49"/>
        <v/>
      </c>
      <c r="R222" s="55" t="str">
        <f t="shared" si="49"/>
        <v/>
      </c>
      <c r="S222" s="55" t="str">
        <f t="shared" si="49"/>
        <v/>
      </c>
      <c r="T222" s="55" t="str">
        <f t="shared" si="49"/>
        <v/>
      </c>
      <c r="U222" s="55" t="str">
        <f t="shared" si="49"/>
        <v/>
      </c>
      <c r="V222" s="55"/>
      <c r="W222" s="55" t="str">
        <f t="shared" si="50"/>
        <v/>
      </c>
      <c r="X222" s="55"/>
    </row>
    <row r="223" spans="1:24" hidden="1" x14ac:dyDescent="0.25">
      <c r="A223">
        <v>110</v>
      </c>
      <c r="B223" t="str">
        <f t="shared" si="46"/>
        <v/>
      </c>
      <c r="C223" s="55" t="str">
        <f t="shared" si="48"/>
        <v/>
      </c>
      <c r="D223" s="55" t="str">
        <f t="shared" si="48"/>
        <v/>
      </c>
      <c r="E223" s="55" t="str">
        <f t="shared" si="48"/>
        <v/>
      </c>
      <c r="F223" s="55" t="str">
        <f t="shared" si="48"/>
        <v/>
      </c>
      <c r="G223" s="55" t="str">
        <f t="shared" si="48"/>
        <v/>
      </c>
      <c r="H223" s="55" t="str">
        <f t="shared" si="48"/>
        <v/>
      </c>
      <c r="I223" s="55" t="str">
        <f t="shared" si="48"/>
        <v/>
      </c>
      <c r="J223" s="55" t="str">
        <f t="shared" si="48"/>
        <v/>
      </c>
      <c r="L223">
        <v>110</v>
      </c>
      <c r="M223" t="str">
        <f t="shared" si="47"/>
        <v/>
      </c>
      <c r="N223" s="55" t="str">
        <f t="shared" si="49"/>
        <v/>
      </c>
      <c r="O223" s="55" t="str">
        <f t="shared" si="49"/>
        <v/>
      </c>
      <c r="P223" s="55" t="str">
        <f t="shared" si="49"/>
        <v/>
      </c>
      <c r="Q223" s="55" t="str">
        <f t="shared" si="49"/>
        <v/>
      </c>
      <c r="R223" s="55" t="str">
        <f t="shared" si="49"/>
        <v/>
      </c>
      <c r="S223" s="55" t="str">
        <f t="shared" si="49"/>
        <v/>
      </c>
      <c r="T223" s="55" t="str">
        <f t="shared" si="49"/>
        <v/>
      </c>
      <c r="U223" s="55" t="str">
        <f t="shared" si="49"/>
        <v/>
      </c>
      <c r="V223" s="55"/>
      <c r="W223" s="55" t="str">
        <f t="shared" si="50"/>
        <v/>
      </c>
      <c r="X223" s="55"/>
    </row>
    <row r="224" spans="1:24" hidden="1" x14ac:dyDescent="0.25">
      <c r="A224">
        <v>111</v>
      </c>
      <c r="B224" t="str">
        <f t="shared" si="46"/>
        <v/>
      </c>
      <c r="C224" s="55" t="str">
        <f t="shared" si="48"/>
        <v/>
      </c>
      <c r="D224" s="55" t="str">
        <f t="shared" si="48"/>
        <v/>
      </c>
      <c r="E224" s="55" t="str">
        <f t="shared" si="48"/>
        <v/>
      </c>
      <c r="F224" s="55" t="str">
        <f t="shared" si="48"/>
        <v/>
      </c>
      <c r="G224" s="55" t="str">
        <f t="shared" si="48"/>
        <v/>
      </c>
      <c r="H224" s="55" t="str">
        <f t="shared" si="48"/>
        <v/>
      </c>
      <c r="I224" s="55" t="str">
        <f t="shared" si="48"/>
        <v/>
      </c>
      <c r="J224" s="55" t="str">
        <f t="shared" si="48"/>
        <v/>
      </c>
      <c r="L224">
        <v>111</v>
      </c>
      <c r="M224" t="str">
        <f t="shared" si="47"/>
        <v/>
      </c>
      <c r="N224" s="55" t="str">
        <f t="shared" si="49"/>
        <v/>
      </c>
      <c r="O224" s="55" t="str">
        <f t="shared" si="49"/>
        <v/>
      </c>
      <c r="P224" s="55" t="str">
        <f t="shared" si="49"/>
        <v/>
      </c>
      <c r="Q224" s="55" t="str">
        <f t="shared" si="49"/>
        <v/>
      </c>
      <c r="R224" s="55" t="str">
        <f t="shared" si="49"/>
        <v/>
      </c>
      <c r="S224" s="55" t="str">
        <f t="shared" si="49"/>
        <v/>
      </c>
      <c r="T224" s="55" t="str">
        <f t="shared" si="49"/>
        <v/>
      </c>
      <c r="U224" s="55" t="str">
        <f t="shared" si="49"/>
        <v/>
      </c>
      <c r="V224" s="55"/>
      <c r="W224" s="55" t="str">
        <f t="shared" si="50"/>
        <v/>
      </c>
      <c r="X224" s="55"/>
    </row>
    <row r="225" spans="1:24" hidden="1" x14ac:dyDescent="0.25">
      <c r="A225">
        <v>112</v>
      </c>
      <c r="B225" t="str">
        <f t="shared" si="46"/>
        <v/>
      </c>
      <c r="C225" s="55" t="str">
        <f t="shared" si="48"/>
        <v/>
      </c>
      <c r="D225" s="55" t="str">
        <f t="shared" si="48"/>
        <v/>
      </c>
      <c r="E225" s="55" t="str">
        <f t="shared" si="48"/>
        <v/>
      </c>
      <c r="F225" s="55" t="str">
        <f t="shared" si="48"/>
        <v/>
      </c>
      <c r="G225" s="55" t="str">
        <f t="shared" si="48"/>
        <v/>
      </c>
      <c r="H225" s="55" t="str">
        <f t="shared" si="48"/>
        <v/>
      </c>
      <c r="I225" s="55" t="str">
        <f t="shared" si="48"/>
        <v/>
      </c>
      <c r="J225" s="55" t="str">
        <f t="shared" si="48"/>
        <v/>
      </c>
      <c r="L225">
        <v>112</v>
      </c>
      <c r="M225" t="str">
        <f t="shared" si="47"/>
        <v/>
      </c>
      <c r="N225" s="55" t="str">
        <f t="shared" si="49"/>
        <v/>
      </c>
      <c r="O225" s="55" t="str">
        <f t="shared" si="49"/>
        <v/>
      </c>
      <c r="P225" s="55" t="str">
        <f t="shared" si="49"/>
        <v/>
      </c>
      <c r="Q225" s="55" t="str">
        <f t="shared" si="49"/>
        <v/>
      </c>
      <c r="R225" s="55" t="str">
        <f t="shared" si="49"/>
        <v/>
      </c>
      <c r="S225" s="55" t="str">
        <f t="shared" si="49"/>
        <v/>
      </c>
      <c r="T225" s="55" t="str">
        <f t="shared" si="49"/>
        <v/>
      </c>
      <c r="U225" s="55" t="str">
        <f t="shared" si="49"/>
        <v/>
      </c>
      <c r="V225" s="55"/>
      <c r="W225" s="55" t="str">
        <f t="shared" si="50"/>
        <v/>
      </c>
      <c r="X225" s="55"/>
    </row>
    <row r="226" spans="1:24" hidden="1" x14ac:dyDescent="0.25">
      <c r="A226">
        <v>113</v>
      </c>
      <c r="B226" t="str">
        <f t="shared" si="46"/>
        <v/>
      </c>
      <c r="C226" s="55" t="str">
        <f t="shared" si="48"/>
        <v/>
      </c>
      <c r="D226" s="55" t="str">
        <f t="shared" si="48"/>
        <v/>
      </c>
      <c r="E226" s="55" t="str">
        <f t="shared" si="48"/>
        <v/>
      </c>
      <c r="F226" s="55" t="str">
        <f t="shared" si="48"/>
        <v/>
      </c>
      <c r="G226" s="55" t="str">
        <f t="shared" si="48"/>
        <v/>
      </c>
      <c r="H226" s="55" t="str">
        <f t="shared" si="48"/>
        <v/>
      </c>
      <c r="I226" s="55" t="str">
        <f t="shared" si="48"/>
        <v/>
      </c>
      <c r="J226" s="55" t="str">
        <f t="shared" si="48"/>
        <v/>
      </c>
      <c r="L226">
        <v>113</v>
      </c>
      <c r="M226" t="str">
        <f t="shared" si="47"/>
        <v/>
      </c>
      <c r="N226" s="55" t="str">
        <f t="shared" si="49"/>
        <v/>
      </c>
      <c r="O226" s="55" t="str">
        <f t="shared" si="49"/>
        <v/>
      </c>
      <c r="P226" s="55" t="str">
        <f t="shared" si="49"/>
        <v/>
      </c>
      <c r="Q226" s="55" t="str">
        <f t="shared" si="49"/>
        <v/>
      </c>
      <c r="R226" s="55" t="str">
        <f t="shared" si="49"/>
        <v/>
      </c>
      <c r="S226" s="55" t="str">
        <f t="shared" si="49"/>
        <v/>
      </c>
      <c r="T226" s="55" t="str">
        <f t="shared" si="49"/>
        <v/>
      </c>
      <c r="U226" s="55" t="str">
        <f t="shared" si="49"/>
        <v/>
      </c>
      <c r="V226" s="55"/>
      <c r="W226" s="55" t="str">
        <f t="shared" si="50"/>
        <v/>
      </c>
      <c r="X226" s="55"/>
    </row>
    <row r="227" spans="1:24" hidden="1" x14ac:dyDescent="0.25">
      <c r="A227">
        <v>114</v>
      </c>
      <c r="B227" t="str">
        <f t="shared" si="46"/>
        <v/>
      </c>
      <c r="C227" s="55" t="str">
        <f t="shared" si="48"/>
        <v/>
      </c>
      <c r="D227" s="55" t="str">
        <f t="shared" si="48"/>
        <v/>
      </c>
      <c r="E227" s="55" t="str">
        <f t="shared" si="48"/>
        <v/>
      </c>
      <c r="F227" s="55" t="str">
        <f t="shared" si="48"/>
        <v/>
      </c>
      <c r="G227" s="55" t="str">
        <f t="shared" si="48"/>
        <v/>
      </c>
      <c r="H227" s="55" t="str">
        <f t="shared" si="48"/>
        <v/>
      </c>
      <c r="I227" s="55" t="str">
        <f t="shared" si="48"/>
        <v/>
      </c>
      <c r="J227" s="55" t="str">
        <f t="shared" si="48"/>
        <v/>
      </c>
      <c r="L227">
        <v>114</v>
      </c>
      <c r="M227" t="str">
        <f t="shared" si="47"/>
        <v/>
      </c>
      <c r="N227" s="55" t="str">
        <f t="shared" si="49"/>
        <v/>
      </c>
      <c r="O227" s="55" t="str">
        <f t="shared" si="49"/>
        <v/>
      </c>
      <c r="P227" s="55" t="str">
        <f t="shared" si="49"/>
        <v/>
      </c>
      <c r="Q227" s="55" t="str">
        <f t="shared" si="49"/>
        <v/>
      </c>
      <c r="R227" s="55" t="str">
        <f t="shared" si="49"/>
        <v/>
      </c>
      <c r="S227" s="55" t="str">
        <f t="shared" si="49"/>
        <v/>
      </c>
      <c r="T227" s="55" t="str">
        <f t="shared" si="49"/>
        <v/>
      </c>
      <c r="U227" s="55" t="str">
        <f t="shared" si="49"/>
        <v/>
      </c>
      <c r="V227" s="55"/>
      <c r="W227" s="55" t="str">
        <f t="shared" si="50"/>
        <v/>
      </c>
      <c r="X227" s="55"/>
    </row>
    <row r="228" spans="1:24" hidden="1" x14ac:dyDescent="0.25">
      <c r="A228">
        <v>115</v>
      </c>
      <c r="B228" t="str">
        <f t="shared" si="46"/>
        <v/>
      </c>
      <c r="C228" s="55" t="str">
        <f t="shared" ref="C228:J237" si="51">C164</f>
        <v/>
      </c>
      <c r="D228" s="55" t="str">
        <f t="shared" si="51"/>
        <v/>
      </c>
      <c r="E228" s="55" t="str">
        <f t="shared" si="51"/>
        <v/>
      </c>
      <c r="F228" s="55" t="str">
        <f t="shared" si="51"/>
        <v/>
      </c>
      <c r="G228" s="55" t="str">
        <f t="shared" si="51"/>
        <v/>
      </c>
      <c r="H228" s="55" t="str">
        <f t="shared" si="51"/>
        <v/>
      </c>
      <c r="I228" s="55" t="str">
        <f t="shared" si="51"/>
        <v/>
      </c>
      <c r="J228" s="55" t="str">
        <f t="shared" si="51"/>
        <v/>
      </c>
      <c r="L228">
        <v>115</v>
      </c>
      <c r="M228" t="str">
        <f t="shared" si="47"/>
        <v/>
      </c>
      <c r="N228" s="55" t="str">
        <f t="shared" ref="N228:U237" si="52">N164</f>
        <v/>
      </c>
      <c r="O228" s="55" t="str">
        <f t="shared" si="52"/>
        <v/>
      </c>
      <c r="P228" s="55" t="str">
        <f t="shared" si="52"/>
        <v/>
      </c>
      <c r="Q228" s="55" t="str">
        <f t="shared" si="52"/>
        <v/>
      </c>
      <c r="R228" s="55" t="str">
        <f t="shared" si="52"/>
        <v/>
      </c>
      <c r="S228" s="55" t="str">
        <f t="shared" si="52"/>
        <v/>
      </c>
      <c r="T228" s="55" t="str">
        <f t="shared" si="52"/>
        <v/>
      </c>
      <c r="U228" s="55" t="str">
        <f t="shared" si="52"/>
        <v/>
      </c>
      <c r="V228" s="55"/>
      <c r="W228" s="55" t="str">
        <f t="shared" si="50"/>
        <v/>
      </c>
      <c r="X228" s="55"/>
    </row>
    <row r="229" spans="1:24" hidden="1" x14ac:dyDescent="0.25">
      <c r="A229">
        <v>116</v>
      </c>
      <c r="B229" t="str">
        <f t="shared" si="46"/>
        <v/>
      </c>
      <c r="C229" s="55" t="str">
        <f t="shared" si="51"/>
        <v/>
      </c>
      <c r="D229" s="55" t="str">
        <f t="shared" si="51"/>
        <v/>
      </c>
      <c r="E229" s="55" t="str">
        <f t="shared" si="51"/>
        <v/>
      </c>
      <c r="F229" s="55" t="str">
        <f t="shared" si="51"/>
        <v/>
      </c>
      <c r="G229" s="55" t="str">
        <f t="shared" si="51"/>
        <v/>
      </c>
      <c r="H229" s="55" t="str">
        <f t="shared" si="51"/>
        <v/>
      </c>
      <c r="I229" s="55" t="str">
        <f t="shared" si="51"/>
        <v/>
      </c>
      <c r="J229" s="55" t="str">
        <f t="shared" si="51"/>
        <v/>
      </c>
      <c r="L229">
        <v>116</v>
      </c>
      <c r="M229" t="str">
        <f t="shared" si="47"/>
        <v/>
      </c>
      <c r="N229" s="55" t="str">
        <f t="shared" si="52"/>
        <v/>
      </c>
      <c r="O229" s="55" t="str">
        <f t="shared" si="52"/>
        <v/>
      </c>
      <c r="P229" s="55" t="str">
        <f t="shared" si="52"/>
        <v/>
      </c>
      <c r="Q229" s="55" t="str">
        <f t="shared" si="52"/>
        <v/>
      </c>
      <c r="R229" s="55" t="str">
        <f t="shared" si="52"/>
        <v/>
      </c>
      <c r="S229" s="55" t="str">
        <f t="shared" si="52"/>
        <v/>
      </c>
      <c r="T229" s="55" t="str">
        <f t="shared" si="52"/>
        <v/>
      </c>
      <c r="U229" s="55" t="str">
        <f t="shared" si="52"/>
        <v/>
      </c>
      <c r="V229" s="55"/>
      <c r="W229" s="55" t="str">
        <f t="shared" si="50"/>
        <v/>
      </c>
      <c r="X229" s="55"/>
    </row>
    <row r="230" spans="1:24" hidden="1" x14ac:dyDescent="0.25">
      <c r="A230">
        <v>117</v>
      </c>
      <c r="B230" t="str">
        <f t="shared" si="46"/>
        <v/>
      </c>
      <c r="C230" s="55" t="str">
        <f t="shared" si="51"/>
        <v/>
      </c>
      <c r="D230" s="55" t="str">
        <f t="shared" si="51"/>
        <v/>
      </c>
      <c r="E230" s="55" t="str">
        <f t="shared" si="51"/>
        <v/>
      </c>
      <c r="F230" s="55" t="str">
        <f t="shared" si="51"/>
        <v/>
      </c>
      <c r="G230" s="55" t="str">
        <f t="shared" si="51"/>
        <v/>
      </c>
      <c r="H230" s="55" t="str">
        <f t="shared" si="51"/>
        <v/>
      </c>
      <c r="I230" s="55" t="str">
        <f t="shared" si="51"/>
        <v/>
      </c>
      <c r="J230" s="55" t="str">
        <f t="shared" si="51"/>
        <v/>
      </c>
      <c r="L230">
        <v>117</v>
      </c>
      <c r="M230" t="str">
        <f t="shared" si="47"/>
        <v/>
      </c>
      <c r="N230" s="55" t="str">
        <f t="shared" si="52"/>
        <v/>
      </c>
      <c r="O230" s="55" t="str">
        <f t="shared" si="52"/>
        <v/>
      </c>
      <c r="P230" s="55" t="str">
        <f t="shared" si="52"/>
        <v/>
      </c>
      <c r="Q230" s="55" t="str">
        <f t="shared" si="52"/>
        <v/>
      </c>
      <c r="R230" s="55" t="str">
        <f t="shared" si="52"/>
        <v/>
      </c>
      <c r="S230" s="55" t="str">
        <f t="shared" si="52"/>
        <v/>
      </c>
      <c r="T230" s="55" t="str">
        <f t="shared" si="52"/>
        <v/>
      </c>
      <c r="U230" s="55" t="str">
        <f t="shared" si="52"/>
        <v/>
      </c>
      <c r="V230" s="55"/>
      <c r="W230" s="55" t="str">
        <f t="shared" si="50"/>
        <v/>
      </c>
      <c r="X230" s="55"/>
    </row>
    <row r="231" spans="1:24" hidden="1" x14ac:dyDescent="0.25">
      <c r="A231">
        <v>118</v>
      </c>
      <c r="B231" t="str">
        <f t="shared" si="46"/>
        <v/>
      </c>
      <c r="C231" s="55" t="str">
        <f t="shared" si="51"/>
        <v/>
      </c>
      <c r="D231" s="55" t="str">
        <f t="shared" si="51"/>
        <v/>
      </c>
      <c r="E231" s="55" t="str">
        <f t="shared" si="51"/>
        <v/>
      </c>
      <c r="F231" s="55" t="str">
        <f t="shared" si="51"/>
        <v/>
      </c>
      <c r="G231" s="55" t="str">
        <f t="shared" si="51"/>
        <v/>
      </c>
      <c r="H231" s="55" t="str">
        <f t="shared" si="51"/>
        <v/>
      </c>
      <c r="I231" s="55" t="str">
        <f t="shared" si="51"/>
        <v/>
      </c>
      <c r="J231" s="55" t="str">
        <f t="shared" si="51"/>
        <v/>
      </c>
      <c r="L231">
        <v>118</v>
      </c>
      <c r="M231" t="str">
        <f t="shared" si="47"/>
        <v/>
      </c>
      <c r="N231" s="55" t="str">
        <f t="shared" si="52"/>
        <v/>
      </c>
      <c r="O231" s="55" t="str">
        <f t="shared" si="52"/>
        <v/>
      </c>
      <c r="P231" s="55" t="str">
        <f t="shared" si="52"/>
        <v/>
      </c>
      <c r="Q231" s="55" t="str">
        <f t="shared" si="52"/>
        <v/>
      </c>
      <c r="R231" s="55" t="str">
        <f t="shared" si="52"/>
        <v/>
      </c>
      <c r="S231" s="55" t="str">
        <f t="shared" si="52"/>
        <v/>
      </c>
      <c r="T231" s="55" t="str">
        <f t="shared" si="52"/>
        <v/>
      </c>
      <c r="U231" s="55" t="str">
        <f t="shared" si="52"/>
        <v/>
      </c>
      <c r="V231" s="55"/>
      <c r="W231" s="55" t="str">
        <f t="shared" si="50"/>
        <v/>
      </c>
      <c r="X231" s="55"/>
    </row>
    <row r="232" spans="1:24" hidden="1" x14ac:dyDescent="0.25">
      <c r="A232">
        <v>119</v>
      </c>
      <c r="B232" t="str">
        <f t="shared" si="46"/>
        <v/>
      </c>
      <c r="C232" s="55" t="str">
        <f t="shared" si="51"/>
        <v/>
      </c>
      <c r="D232" s="55" t="str">
        <f t="shared" si="51"/>
        <v/>
      </c>
      <c r="E232" s="55" t="str">
        <f t="shared" si="51"/>
        <v/>
      </c>
      <c r="F232" s="55" t="str">
        <f t="shared" si="51"/>
        <v/>
      </c>
      <c r="G232" s="55" t="str">
        <f t="shared" si="51"/>
        <v/>
      </c>
      <c r="H232" s="55" t="str">
        <f t="shared" si="51"/>
        <v/>
      </c>
      <c r="I232" s="55" t="str">
        <f t="shared" si="51"/>
        <v/>
      </c>
      <c r="J232" s="55" t="str">
        <f t="shared" si="51"/>
        <v/>
      </c>
      <c r="L232">
        <v>119</v>
      </c>
      <c r="M232" t="str">
        <f t="shared" si="47"/>
        <v/>
      </c>
      <c r="N232" s="55" t="str">
        <f t="shared" si="52"/>
        <v/>
      </c>
      <c r="O232" s="55" t="str">
        <f t="shared" si="52"/>
        <v/>
      </c>
      <c r="P232" s="55" t="str">
        <f t="shared" si="52"/>
        <v/>
      </c>
      <c r="Q232" s="55" t="str">
        <f t="shared" si="52"/>
        <v/>
      </c>
      <c r="R232" s="55" t="str">
        <f t="shared" si="52"/>
        <v/>
      </c>
      <c r="S232" s="55" t="str">
        <f t="shared" si="52"/>
        <v/>
      </c>
      <c r="T232" s="55" t="str">
        <f t="shared" si="52"/>
        <v/>
      </c>
      <c r="U232" s="55" t="str">
        <f t="shared" si="52"/>
        <v/>
      </c>
      <c r="V232" s="55"/>
      <c r="W232" s="55" t="str">
        <f t="shared" si="50"/>
        <v/>
      </c>
      <c r="X232" s="55"/>
    </row>
    <row r="233" spans="1:24" hidden="1" x14ac:dyDescent="0.25">
      <c r="A233">
        <v>120</v>
      </c>
      <c r="B233" t="str">
        <f t="shared" si="46"/>
        <v/>
      </c>
      <c r="C233" s="55" t="str">
        <f t="shared" si="51"/>
        <v/>
      </c>
      <c r="D233" s="55" t="str">
        <f t="shared" si="51"/>
        <v/>
      </c>
      <c r="E233" s="55" t="str">
        <f t="shared" si="51"/>
        <v/>
      </c>
      <c r="F233" s="55" t="str">
        <f t="shared" si="51"/>
        <v/>
      </c>
      <c r="G233" s="55" t="str">
        <f t="shared" si="51"/>
        <v/>
      </c>
      <c r="H233" s="55" t="str">
        <f t="shared" si="51"/>
        <v/>
      </c>
      <c r="I233" s="55" t="str">
        <f t="shared" si="51"/>
        <v/>
      </c>
      <c r="J233" s="55" t="str">
        <f t="shared" si="51"/>
        <v/>
      </c>
      <c r="L233">
        <v>120</v>
      </c>
      <c r="M233" t="str">
        <f t="shared" si="47"/>
        <v/>
      </c>
      <c r="N233" s="55" t="str">
        <f t="shared" si="52"/>
        <v/>
      </c>
      <c r="O233" s="55" t="str">
        <f t="shared" si="52"/>
        <v/>
      </c>
      <c r="P233" s="55" t="str">
        <f t="shared" si="52"/>
        <v/>
      </c>
      <c r="Q233" s="55" t="str">
        <f t="shared" si="52"/>
        <v/>
      </c>
      <c r="R233" s="55" t="str">
        <f t="shared" si="52"/>
        <v/>
      </c>
      <c r="S233" s="55" t="str">
        <f t="shared" si="52"/>
        <v/>
      </c>
      <c r="T233" s="55" t="str">
        <f t="shared" si="52"/>
        <v/>
      </c>
      <c r="U233" s="55" t="str">
        <f t="shared" si="52"/>
        <v/>
      </c>
      <c r="V233" s="55"/>
      <c r="W233" s="55" t="str">
        <f t="shared" si="50"/>
        <v/>
      </c>
      <c r="X233" s="55"/>
    </row>
    <row r="234" spans="1:24" hidden="1" x14ac:dyDescent="0.25">
      <c r="A234">
        <v>121</v>
      </c>
      <c r="B234" t="str">
        <f t="shared" si="46"/>
        <v/>
      </c>
      <c r="C234" s="55" t="str">
        <f t="shared" si="51"/>
        <v/>
      </c>
      <c r="D234" s="55" t="str">
        <f t="shared" si="51"/>
        <v/>
      </c>
      <c r="E234" s="55" t="str">
        <f t="shared" si="51"/>
        <v/>
      </c>
      <c r="F234" s="55" t="str">
        <f t="shared" si="51"/>
        <v/>
      </c>
      <c r="G234" s="55" t="str">
        <f t="shared" si="51"/>
        <v/>
      </c>
      <c r="H234" s="55" t="str">
        <f t="shared" si="51"/>
        <v/>
      </c>
      <c r="I234" s="55" t="str">
        <f t="shared" si="51"/>
        <v/>
      </c>
      <c r="J234" s="55" t="str">
        <f t="shared" si="51"/>
        <v/>
      </c>
      <c r="L234">
        <v>121</v>
      </c>
      <c r="M234" t="str">
        <f t="shared" si="47"/>
        <v/>
      </c>
      <c r="N234" s="55" t="str">
        <f t="shared" si="52"/>
        <v/>
      </c>
      <c r="O234" s="55" t="str">
        <f t="shared" si="52"/>
        <v/>
      </c>
      <c r="P234" s="55" t="str">
        <f t="shared" si="52"/>
        <v/>
      </c>
      <c r="Q234" s="55" t="str">
        <f t="shared" si="52"/>
        <v/>
      </c>
      <c r="R234" s="55" t="str">
        <f t="shared" si="52"/>
        <v/>
      </c>
      <c r="S234" s="55" t="str">
        <f t="shared" si="52"/>
        <v/>
      </c>
      <c r="T234" s="55" t="str">
        <f t="shared" si="52"/>
        <v/>
      </c>
      <c r="U234" s="55" t="str">
        <f t="shared" si="52"/>
        <v/>
      </c>
      <c r="V234" s="55"/>
      <c r="W234" s="55"/>
      <c r="X234" s="55"/>
    </row>
    <row r="235" spans="1:24" hidden="1" x14ac:dyDescent="0.25">
      <c r="A235">
        <v>122</v>
      </c>
      <c r="B235" t="str">
        <f t="shared" si="46"/>
        <v/>
      </c>
      <c r="C235" s="55" t="str">
        <f t="shared" si="51"/>
        <v/>
      </c>
      <c r="D235" s="55" t="str">
        <f t="shared" si="51"/>
        <v/>
      </c>
      <c r="E235" s="55" t="str">
        <f t="shared" si="51"/>
        <v/>
      </c>
      <c r="F235" s="55" t="str">
        <f t="shared" si="51"/>
        <v/>
      </c>
      <c r="G235" s="55" t="str">
        <f t="shared" si="51"/>
        <v/>
      </c>
      <c r="H235" s="55" t="str">
        <f t="shared" si="51"/>
        <v/>
      </c>
      <c r="I235" s="55" t="str">
        <f t="shared" si="51"/>
        <v/>
      </c>
      <c r="J235" s="55" t="str">
        <f t="shared" si="51"/>
        <v/>
      </c>
      <c r="L235">
        <v>122</v>
      </c>
      <c r="M235" t="str">
        <f t="shared" si="47"/>
        <v/>
      </c>
      <c r="N235" s="55" t="str">
        <f t="shared" si="52"/>
        <v/>
      </c>
      <c r="O235" s="55" t="str">
        <f t="shared" si="52"/>
        <v/>
      </c>
      <c r="P235" s="55" t="str">
        <f t="shared" si="52"/>
        <v/>
      </c>
      <c r="Q235" s="55" t="str">
        <f t="shared" si="52"/>
        <v/>
      </c>
      <c r="R235" s="55" t="str">
        <f t="shared" si="52"/>
        <v/>
      </c>
      <c r="S235" s="55" t="str">
        <f t="shared" si="52"/>
        <v/>
      </c>
      <c r="T235" s="55" t="str">
        <f t="shared" si="52"/>
        <v/>
      </c>
      <c r="U235" s="55" t="str">
        <f t="shared" si="52"/>
        <v/>
      </c>
      <c r="V235" s="55"/>
      <c r="W235" s="55"/>
      <c r="X235" s="55"/>
    </row>
    <row r="236" spans="1:24" hidden="1" x14ac:dyDescent="0.25">
      <c r="A236">
        <v>123</v>
      </c>
      <c r="B236" t="str">
        <f t="shared" si="46"/>
        <v/>
      </c>
      <c r="C236" s="55" t="str">
        <f t="shared" si="51"/>
        <v/>
      </c>
      <c r="D236" s="55" t="str">
        <f t="shared" si="51"/>
        <v/>
      </c>
      <c r="E236" s="55" t="str">
        <f t="shared" si="51"/>
        <v/>
      </c>
      <c r="F236" s="55" t="str">
        <f t="shared" si="51"/>
        <v/>
      </c>
      <c r="G236" s="55" t="str">
        <f t="shared" si="51"/>
        <v/>
      </c>
      <c r="H236" s="55" t="str">
        <f t="shared" si="51"/>
        <v/>
      </c>
      <c r="I236" s="55" t="str">
        <f t="shared" si="51"/>
        <v/>
      </c>
      <c r="J236" s="55" t="str">
        <f t="shared" si="51"/>
        <v/>
      </c>
      <c r="L236">
        <v>123</v>
      </c>
      <c r="M236" t="str">
        <f t="shared" si="47"/>
        <v/>
      </c>
      <c r="N236" s="55" t="str">
        <f t="shared" si="52"/>
        <v/>
      </c>
      <c r="O236" s="55" t="str">
        <f t="shared" si="52"/>
        <v/>
      </c>
      <c r="P236" s="55" t="str">
        <f t="shared" si="52"/>
        <v/>
      </c>
      <c r="Q236" s="55" t="str">
        <f t="shared" si="52"/>
        <v/>
      </c>
      <c r="R236" s="55" t="str">
        <f t="shared" si="52"/>
        <v/>
      </c>
      <c r="S236" s="55" t="str">
        <f t="shared" si="52"/>
        <v/>
      </c>
      <c r="T236" s="55" t="str">
        <f t="shared" si="52"/>
        <v/>
      </c>
      <c r="U236" s="55" t="str">
        <f t="shared" si="52"/>
        <v/>
      </c>
      <c r="V236" s="55"/>
      <c r="W236" s="55"/>
      <c r="X236" s="55"/>
    </row>
    <row r="237" spans="1:24" hidden="1" x14ac:dyDescent="0.25">
      <c r="A237">
        <v>124</v>
      </c>
      <c r="B237" t="str">
        <f t="shared" si="46"/>
        <v/>
      </c>
      <c r="C237" s="55" t="str">
        <f t="shared" si="51"/>
        <v/>
      </c>
      <c r="D237" s="55" t="str">
        <f t="shared" si="51"/>
        <v/>
      </c>
      <c r="E237" s="55" t="str">
        <f t="shared" si="51"/>
        <v/>
      </c>
      <c r="F237" s="55" t="str">
        <f t="shared" si="51"/>
        <v/>
      </c>
      <c r="G237" s="55" t="str">
        <f t="shared" si="51"/>
        <v/>
      </c>
      <c r="H237" s="55" t="str">
        <f t="shared" si="51"/>
        <v/>
      </c>
      <c r="I237" s="55" t="str">
        <f t="shared" si="51"/>
        <v/>
      </c>
      <c r="J237" s="55" t="str">
        <f t="shared" si="51"/>
        <v/>
      </c>
      <c r="L237">
        <v>124</v>
      </c>
      <c r="M237" t="str">
        <f t="shared" si="47"/>
        <v/>
      </c>
      <c r="N237" s="55" t="str">
        <f t="shared" si="52"/>
        <v/>
      </c>
      <c r="O237" s="55" t="str">
        <f t="shared" si="52"/>
        <v/>
      </c>
      <c r="P237" s="55" t="str">
        <f t="shared" si="52"/>
        <v/>
      </c>
      <c r="Q237" s="55" t="str">
        <f t="shared" si="52"/>
        <v/>
      </c>
      <c r="R237" s="55" t="str">
        <f t="shared" si="52"/>
        <v/>
      </c>
      <c r="S237" s="55" t="str">
        <f t="shared" si="52"/>
        <v/>
      </c>
      <c r="T237" s="55" t="str">
        <f t="shared" si="52"/>
        <v/>
      </c>
      <c r="U237" s="55" t="str">
        <f t="shared" si="52"/>
        <v/>
      </c>
      <c r="V237" s="55"/>
      <c r="W237" s="55"/>
      <c r="X237" s="55"/>
    </row>
    <row r="238" spans="1:24" hidden="1" x14ac:dyDescent="0.25">
      <c r="A238">
        <v>125</v>
      </c>
      <c r="B238" t="str">
        <f t="shared" si="46"/>
        <v/>
      </c>
      <c r="C238" s="55" t="str">
        <f t="shared" ref="C238:J247" si="53">C174</f>
        <v/>
      </c>
      <c r="D238" s="55" t="str">
        <f t="shared" si="53"/>
        <v/>
      </c>
      <c r="E238" s="55" t="str">
        <f t="shared" si="53"/>
        <v/>
      </c>
      <c r="F238" s="55" t="str">
        <f t="shared" si="53"/>
        <v/>
      </c>
      <c r="G238" s="55" t="str">
        <f t="shared" si="53"/>
        <v/>
      </c>
      <c r="H238" s="55" t="str">
        <f t="shared" si="53"/>
        <v/>
      </c>
      <c r="I238" s="55" t="str">
        <f t="shared" si="53"/>
        <v/>
      </c>
      <c r="J238" s="55" t="str">
        <f t="shared" si="53"/>
        <v/>
      </c>
      <c r="L238">
        <v>125</v>
      </c>
      <c r="M238" t="str">
        <f t="shared" si="47"/>
        <v/>
      </c>
      <c r="N238" s="55" t="str">
        <f t="shared" ref="N238:U247" si="54">N174</f>
        <v/>
      </c>
      <c r="O238" s="55" t="str">
        <f t="shared" si="54"/>
        <v/>
      </c>
      <c r="P238" s="55" t="str">
        <f t="shared" si="54"/>
        <v/>
      </c>
      <c r="Q238" s="55" t="str">
        <f t="shared" si="54"/>
        <v/>
      </c>
      <c r="R238" s="55" t="str">
        <f t="shared" si="54"/>
        <v/>
      </c>
      <c r="S238" s="55" t="str">
        <f t="shared" si="54"/>
        <v/>
      </c>
      <c r="T238" s="55" t="str">
        <f t="shared" si="54"/>
        <v/>
      </c>
      <c r="U238" s="55" t="str">
        <f t="shared" si="54"/>
        <v/>
      </c>
      <c r="V238" s="55"/>
      <c r="W238" s="55"/>
      <c r="X238" s="55"/>
    </row>
    <row r="239" spans="1:24" hidden="1" x14ac:dyDescent="0.25">
      <c r="A239">
        <v>126</v>
      </c>
      <c r="B239" t="str">
        <f t="shared" si="46"/>
        <v/>
      </c>
      <c r="C239" s="55" t="str">
        <f t="shared" si="53"/>
        <v/>
      </c>
      <c r="D239" s="55" t="str">
        <f t="shared" si="53"/>
        <v/>
      </c>
      <c r="E239" s="55" t="str">
        <f t="shared" si="53"/>
        <v/>
      </c>
      <c r="F239" s="55" t="str">
        <f t="shared" si="53"/>
        <v/>
      </c>
      <c r="G239" s="55" t="str">
        <f t="shared" si="53"/>
        <v/>
      </c>
      <c r="H239" s="55" t="str">
        <f t="shared" si="53"/>
        <v/>
      </c>
      <c r="I239" s="55" t="str">
        <f t="shared" si="53"/>
        <v/>
      </c>
      <c r="J239" s="55" t="str">
        <f t="shared" si="53"/>
        <v/>
      </c>
      <c r="L239">
        <v>126</v>
      </c>
      <c r="M239" t="str">
        <f t="shared" si="47"/>
        <v/>
      </c>
      <c r="N239" s="55" t="str">
        <f t="shared" si="54"/>
        <v/>
      </c>
      <c r="O239" s="55" t="str">
        <f t="shared" si="54"/>
        <v/>
      </c>
      <c r="P239" s="55" t="str">
        <f t="shared" si="54"/>
        <v/>
      </c>
      <c r="Q239" s="55" t="str">
        <f t="shared" si="54"/>
        <v/>
      </c>
      <c r="R239" s="55" t="str">
        <f t="shared" si="54"/>
        <v/>
      </c>
      <c r="S239" s="55" t="str">
        <f t="shared" si="54"/>
        <v/>
      </c>
      <c r="T239" s="55" t="str">
        <f t="shared" si="54"/>
        <v/>
      </c>
      <c r="U239" s="55" t="str">
        <f t="shared" si="54"/>
        <v/>
      </c>
      <c r="V239" s="55"/>
      <c r="W239" s="55"/>
      <c r="X239" s="55"/>
    </row>
    <row r="240" spans="1:24" hidden="1" x14ac:dyDescent="0.25">
      <c r="A240">
        <v>127</v>
      </c>
      <c r="B240" t="str">
        <f t="shared" si="46"/>
        <v/>
      </c>
      <c r="C240" s="55" t="str">
        <f t="shared" si="53"/>
        <v/>
      </c>
      <c r="D240" s="55" t="str">
        <f t="shared" si="53"/>
        <v/>
      </c>
      <c r="E240" s="55" t="str">
        <f t="shared" si="53"/>
        <v/>
      </c>
      <c r="F240" s="55" t="str">
        <f t="shared" si="53"/>
        <v/>
      </c>
      <c r="G240" s="55" t="str">
        <f t="shared" si="53"/>
        <v/>
      </c>
      <c r="H240" s="55" t="str">
        <f t="shared" si="53"/>
        <v/>
      </c>
      <c r="I240" s="55" t="str">
        <f t="shared" si="53"/>
        <v/>
      </c>
      <c r="J240" s="55" t="str">
        <f t="shared" si="53"/>
        <v/>
      </c>
      <c r="L240">
        <v>127</v>
      </c>
      <c r="M240" t="str">
        <f t="shared" si="47"/>
        <v/>
      </c>
      <c r="N240" s="55" t="str">
        <f t="shared" si="54"/>
        <v/>
      </c>
      <c r="O240" s="55" t="str">
        <f t="shared" si="54"/>
        <v/>
      </c>
      <c r="P240" s="55" t="str">
        <f t="shared" si="54"/>
        <v/>
      </c>
      <c r="Q240" s="55" t="str">
        <f t="shared" si="54"/>
        <v/>
      </c>
      <c r="R240" s="55" t="str">
        <f t="shared" si="54"/>
        <v/>
      </c>
      <c r="S240" s="55" t="str">
        <f t="shared" si="54"/>
        <v/>
      </c>
      <c r="T240" s="55" t="str">
        <f t="shared" si="54"/>
        <v/>
      </c>
      <c r="U240" s="55" t="str">
        <f t="shared" si="54"/>
        <v/>
      </c>
      <c r="V240" s="55"/>
      <c r="W240" s="55"/>
      <c r="X240" s="55"/>
    </row>
    <row r="241" spans="1:45" hidden="1" x14ac:dyDescent="0.25">
      <c r="A241">
        <v>128</v>
      </c>
      <c r="B241" t="str">
        <f t="shared" si="46"/>
        <v/>
      </c>
      <c r="C241" s="55" t="str">
        <f t="shared" si="53"/>
        <v/>
      </c>
      <c r="D241" s="55" t="str">
        <f t="shared" si="53"/>
        <v/>
      </c>
      <c r="E241" s="55" t="str">
        <f t="shared" si="53"/>
        <v/>
      </c>
      <c r="F241" s="55" t="str">
        <f t="shared" si="53"/>
        <v/>
      </c>
      <c r="G241" s="55" t="str">
        <f t="shared" si="53"/>
        <v/>
      </c>
      <c r="H241" s="55" t="str">
        <f t="shared" si="53"/>
        <v/>
      </c>
      <c r="I241" s="55" t="str">
        <f t="shared" si="53"/>
        <v/>
      </c>
      <c r="J241" s="55" t="str">
        <f t="shared" si="53"/>
        <v/>
      </c>
      <c r="L241">
        <v>128</v>
      </c>
      <c r="M241" t="str">
        <f t="shared" si="47"/>
        <v/>
      </c>
      <c r="N241" s="55" t="str">
        <f t="shared" si="54"/>
        <v/>
      </c>
      <c r="O241" s="55" t="str">
        <f t="shared" si="54"/>
        <v/>
      </c>
      <c r="P241" s="55" t="str">
        <f t="shared" si="54"/>
        <v/>
      </c>
      <c r="Q241" s="55" t="str">
        <f t="shared" si="54"/>
        <v/>
      </c>
      <c r="R241" s="55" t="str">
        <f t="shared" si="54"/>
        <v/>
      </c>
      <c r="S241" s="55" t="str">
        <f t="shared" si="54"/>
        <v/>
      </c>
      <c r="T241" s="55" t="str">
        <f t="shared" si="54"/>
        <v/>
      </c>
      <c r="U241" s="55" t="str">
        <f t="shared" si="54"/>
        <v/>
      </c>
      <c r="V241" s="55"/>
      <c r="W241" s="55"/>
      <c r="X241" s="55"/>
    </row>
    <row r="242" spans="1:45" hidden="1" x14ac:dyDescent="0.25">
      <c r="C242" s="55"/>
      <c r="D242" s="55"/>
      <c r="E242" s="55"/>
      <c r="F242" s="55"/>
      <c r="G242" s="55"/>
      <c r="H242" s="55"/>
      <c r="I242" s="55"/>
      <c r="J242" s="55"/>
      <c r="N242" s="55"/>
      <c r="O242" s="55"/>
      <c r="P242" s="55"/>
      <c r="Q242" s="55"/>
      <c r="R242" s="55"/>
      <c r="S242" s="55"/>
      <c r="T242" s="55"/>
      <c r="U242" s="55"/>
      <c r="V242" s="55"/>
      <c r="W242" s="55"/>
      <c r="X242" s="55"/>
    </row>
    <row r="243" spans="1:45" ht="6" hidden="1" customHeight="1" x14ac:dyDescent="0.25">
      <c r="C243" s="55"/>
      <c r="D243" s="55"/>
      <c r="E243" s="55"/>
      <c r="F243" s="55"/>
      <c r="G243" s="55"/>
      <c r="H243" s="55"/>
      <c r="I243" s="55"/>
      <c r="J243" s="55"/>
    </row>
    <row r="244" spans="1:45" ht="6" hidden="1" customHeight="1" x14ac:dyDescent="0.25">
      <c r="C244" s="586" t="s">
        <v>505</v>
      </c>
      <c r="D244" s="554"/>
      <c r="E244" s="586" t="s">
        <v>506</v>
      </c>
      <c r="F244" s="554"/>
      <c r="G244" s="586" t="s">
        <v>507</v>
      </c>
      <c r="H244" s="554"/>
      <c r="I244" s="586" t="s">
        <v>508</v>
      </c>
      <c r="J244" s="554"/>
      <c r="N244" s="587" t="s">
        <v>505</v>
      </c>
      <c r="O244" s="554"/>
      <c r="P244" s="587" t="s">
        <v>506</v>
      </c>
      <c r="Q244" s="554"/>
      <c r="R244" s="587" t="s">
        <v>507</v>
      </c>
      <c r="S244" s="554"/>
      <c r="T244" s="216"/>
      <c r="U244" s="216"/>
      <c r="V244" s="216"/>
      <c r="W244" s="587" t="s">
        <v>508</v>
      </c>
      <c r="X244" s="554"/>
      <c r="Z244" s="617" t="s">
        <v>505</v>
      </c>
      <c r="AA244" s="554"/>
      <c r="AB244" s="617" t="s">
        <v>506</v>
      </c>
      <c r="AC244" s="554"/>
      <c r="AD244" s="617" t="s">
        <v>507</v>
      </c>
      <c r="AE244" s="554"/>
      <c r="AF244" s="617" t="s">
        <v>508</v>
      </c>
      <c r="AG244" s="554"/>
      <c r="AI244" s="616" t="s">
        <v>505</v>
      </c>
      <c r="AJ244" s="554"/>
      <c r="AK244" s="616" t="s">
        <v>506</v>
      </c>
      <c r="AL244" s="554"/>
      <c r="AM244" s="616" t="s">
        <v>507</v>
      </c>
      <c r="AN244" s="554"/>
      <c r="AO244" s="217"/>
      <c r="AP244" s="217"/>
      <c r="AQ244" s="217"/>
      <c r="AR244" s="616" t="s">
        <v>508</v>
      </c>
      <c r="AS244" s="554"/>
    </row>
    <row r="245" spans="1:45" hidden="1" x14ac:dyDescent="0.25">
      <c r="C245" s="53" t="s">
        <v>509</v>
      </c>
      <c r="D245" s="53" t="s">
        <v>510</v>
      </c>
      <c r="E245" s="53" t="s">
        <v>509</v>
      </c>
      <c r="F245" s="53" t="s">
        <v>510</v>
      </c>
      <c r="G245" s="53" t="s">
        <v>509</v>
      </c>
      <c r="H245" s="53" t="s">
        <v>510</v>
      </c>
      <c r="I245" s="53" t="s">
        <v>509</v>
      </c>
      <c r="J245" s="53" t="s">
        <v>510</v>
      </c>
      <c r="N245" s="54" t="s">
        <v>509</v>
      </c>
      <c r="O245" s="54" t="s">
        <v>510</v>
      </c>
      <c r="P245" s="54" t="s">
        <v>509</v>
      </c>
      <c r="Q245" s="54" t="s">
        <v>510</v>
      </c>
      <c r="R245" s="54" t="s">
        <v>509</v>
      </c>
      <c r="S245" s="54" t="s">
        <v>510</v>
      </c>
      <c r="T245" s="54"/>
      <c r="U245" s="54"/>
      <c r="V245" s="54"/>
      <c r="W245" s="54" t="s">
        <v>509</v>
      </c>
      <c r="X245" s="54" t="s">
        <v>510</v>
      </c>
      <c r="Z245" s="222" t="s">
        <v>509</v>
      </c>
      <c r="AA245" s="222" t="s">
        <v>510</v>
      </c>
      <c r="AB245" s="222" t="s">
        <v>509</v>
      </c>
      <c r="AC245" s="222" t="s">
        <v>510</v>
      </c>
      <c r="AD245" s="222" t="s">
        <v>509</v>
      </c>
      <c r="AE245" s="222" t="s">
        <v>510</v>
      </c>
      <c r="AF245" s="222" t="s">
        <v>509</v>
      </c>
      <c r="AG245" s="222" t="s">
        <v>510</v>
      </c>
      <c r="AI245" s="223" t="s">
        <v>509</v>
      </c>
      <c r="AJ245" s="223" t="s">
        <v>510</v>
      </c>
      <c r="AK245" s="223" t="s">
        <v>509</v>
      </c>
      <c r="AL245" s="223" t="s">
        <v>510</v>
      </c>
      <c r="AM245" s="223" t="s">
        <v>509</v>
      </c>
      <c r="AN245" s="223" t="s">
        <v>510</v>
      </c>
      <c r="AO245" s="223"/>
      <c r="AP245" s="223"/>
      <c r="AQ245" s="223"/>
      <c r="AR245" s="223" t="s">
        <v>509</v>
      </c>
      <c r="AS245" s="223" t="s">
        <v>510</v>
      </c>
    </row>
    <row r="246" spans="1:45" hidden="1" x14ac:dyDescent="0.25">
      <c r="B246" s="70">
        <v>1</v>
      </c>
      <c r="C246" s="59" t="str">
        <f t="shared" ref="C246:C277" si="55">IFERROR(VLOOKUP(SMALL($B$114:$B$241,B246),$B$114:$J$241,2,FALSE),"")</f>
        <v/>
      </c>
      <c r="D246" s="55" t="str">
        <f t="shared" ref="D246:D277" si="56">IFERROR(VLOOKUP(SMALL($B$114:$B$241,B246),$B$114:$J$241,3,FALSE),"")</f>
        <v/>
      </c>
      <c r="E246" s="55" t="str">
        <f t="shared" ref="E246:E277" si="57">IFERROR(VLOOKUP(SMALL($B$114:$B$241,B246),$B$114:$J$241,4,FALSE),"")</f>
        <v/>
      </c>
      <c r="F246" s="55" t="str">
        <f t="shared" ref="F246:F277" si="58">IFERROR(VLOOKUP(SMALL($B$114:$B$241,B246),$B$114:$J$241,5,FALSE),"")</f>
        <v/>
      </c>
      <c r="G246" s="55" t="str">
        <f t="shared" ref="G246:G277" si="59">IFERROR(VLOOKUP(SMALL($B$114:$B$241,B246),$B$114:$J$241,6,FALSE),"")</f>
        <v/>
      </c>
      <c r="H246" s="55" t="str">
        <f t="shared" ref="H246:H277" si="60">IFERROR(VLOOKUP(SMALL($B$114:$B$241,B246),$B$114:$J$241,7,FALSE),"")</f>
        <v/>
      </c>
      <c r="I246" s="55" t="str">
        <f t="shared" ref="I246:I277" si="61">IFERROR(VLOOKUP(SMALL($B$114:$B$241,B246),$B$114:$J$241,8,FALSE),"")</f>
        <v/>
      </c>
      <c r="J246" s="60" t="str">
        <f t="shared" ref="J246:J277" si="62">IFERROR(VLOOKUP(SMALL($B$114:$B$241,B246),$B$114:$J$241,9,FALSE),"")</f>
        <v/>
      </c>
      <c r="M246" s="58">
        <v>1</v>
      </c>
      <c r="N246" s="59" t="str">
        <f t="shared" ref="N246:N277" si="63">IFERROR(VLOOKUP(SMALL($M$114:$M$241,M246),$M$114:$X$241,2,FALSE),"")</f>
        <v/>
      </c>
      <c r="O246" s="55" t="str">
        <f t="shared" ref="O246:O277" si="64">IFERROR(VLOOKUP(SMALL($M$114:$M$241,M246),$M$114:$X$241,3,FALSE),"")</f>
        <v/>
      </c>
      <c r="P246" s="55" t="str">
        <f t="shared" ref="P246:P277" si="65">IFERROR(VLOOKUP(SMALL($M$114:$M$241,M246),$M$114:$X$241,4,FALSE),"")</f>
        <v/>
      </c>
      <c r="Q246" s="55" t="str">
        <f t="shared" ref="Q246:Q277" si="66">IFERROR(VLOOKUP(SMALL($M$114:$M$241,M246),$M$114:$X$241,5,FALSE),"")</f>
        <v/>
      </c>
      <c r="R246" s="55" t="str">
        <f t="shared" ref="R246:R277" si="67">IFERROR(VLOOKUP(SMALL($M$114:$M$241,M246),$M$114:$X$241,6,FALSE),"")</f>
        <v/>
      </c>
      <c r="S246" s="55" t="str">
        <f t="shared" ref="S246:S277" si="68">IFERROR(VLOOKUP(SMALL($M$114:$M$241,M246),$M$114:$X$241,7,FALSE),"")</f>
        <v/>
      </c>
      <c r="T246" s="55"/>
      <c r="U246" s="55"/>
      <c r="V246" s="55"/>
      <c r="W246" s="55" t="str">
        <f t="shared" ref="W246:W277" si="69">IFERROR(VLOOKUP(SMALL($M$114:$M$241,M246),$M$114:$X$241,8,FALSE),"")</f>
        <v/>
      </c>
      <c r="X246" s="60" t="str">
        <f t="shared" ref="X246:X277" si="70">IFERROR(VLOOKUP(SMALL($M$114:$M$241,M246),$M$114:$X$241,9,FALSE),"")</f>
        <v/>
      </c>
      <c r="Z246" s="24" t="str">
        <f t="shared" ref="Z246:Z277" si="71">IF(ISNUMBER(C246),C246*$AB$383,"")</f>
        <v/>
      </c>
      <c r="AA246" s="25" t="str">
        <f t="shared" ref="AA246:AA277" si="72">IF(ISNUMBER(D246),D246*$AB$386,"")</f>
        <v/>
      </c>
      <c r="AB246" s="25" t="str">
        <f t="shared" ref="AB246:AB277" si="73">IF(ISNUMBER(E246),E246*$AB$389,"")</f>
        <v/>
      </c>
      <c r="AC246" s="25" t="str">
        <f t="shared" ref="AC246:AC277" si="74">IF(ISNUMBER(F246),F246*$AB$392,"")</f>
        <v/>
      </c>
      <c r="AD246" s="25" t="str">
        <f t="shared" ref="AD246:AD277" si="75">IF(ISNUMBER(G246),G246*$AB$383,"")</f>
        <v/>
      </c>
      <c r="AE246" s="25" t="str">
        <f t="shared" ref="AE246:AE277" si="76">IF(ISNUMBER(H246),H246*$AB$386,"")</f>
        <v/>
      </c>
      <c r="AF246" s="25" t="str">
        <f t="shared" ref="AF246:AF277" si="77">IF(ISNUMBER(I246),I246*$AB$389,"")</f>
        <v/>
      </c>
      <c r="AG246" s="26" t="str">
        <f t="shared" ref="AG246:AG277" si="78">IF(ISNUMBER(J246),J246*$AB$392,"")</f>
        <v/>
      </c>
      <c r="AI246" s="24" t="str">
        <f t="shared" ref="AI246:AI277" si="79">IF(ISNUMBER(N246),N246*$AB$395,"")</f>
        <v/>
      </c>
      <c r="AJ246" s="25" t="str">
        <f t="shared" ref="AJ246:AJ277" si="80">IF(ISNUMBER(O246),O246*$AB$398,"")</f>
        <v/>
      </c>
      <c r="AK246" s="25" t="str">
        <f t="shared" ref="AK246:AK277" si="81">IF(ISNUMBER(P246),P246*$AB$401,"")</f>
        <v/>
      </c>
      <c r="AL246" s="25" t="str">
        <f t="shared" ref="AL246:AL277" si="82">IF(ISNUMBER(Q246),Q246*$AB$404,"")</f>
        <v/>
      </c>
      <c r="AM246" s="25" t="str">
        <f t="shared" ref="AM246:AM277" si="83">IF(ISNUMBER(R246),R246*$AB$395,"")</f>
        <v/>
      </c>
      <c r="AN246" s="25" t="str">
        <f t="shared" ref="AN246:AN277" si="84">IF(ISNUMBER(S246),S246*$AB$398,"")</f>
        <v/>
      </c>
      <c r="AO246" s="25"/>
      <c r="AP246" s="25"/>
      <c r="AQ246" s="25"/>
      <c r="AR246" s="25" t="str">
        <f t="shared" ref="AR246:AR277" si="85">IF(ISNUMBER(W246),W246*$AB$401,"")</f>
        <v/>
      </c>
      <c r="AS246" s="26" t="str">
        <f t="shared" ref="AS246:AS277" si="86">IF(ISNUMBER(X246),X246*$AB$404,"")</f>
        <v/>
      </c>
    </row>
    <row r="247" spans="1:45" hidden="1" x14ac:dyDescent="0.25">
      <c r="B247" s="70">
        <v>2</v>
      </c>
      <c r="C247" s="59" t="str">
        <f t="shared" si="55"/>
        <v/>
      </c>
      <c r="D247" s="55" t="str">
        <f t="shared" si="56"/>
        <v/>
      </c>
      <c r="E247" s="55" t="str">
        <f t="shared" si="57"/>
        <v/>
      </c>
      <c r="F247" s="55" t="str">
        <f t="shared" si="58"/>
        <v/>
      </c>
      <c r="G247" s="55" t="str">
        <f t="shared" si="59"/>
        <v/>
      </c>
      <c r="H247" s="55" t="str">
        <f t="shared" si="60"/>
        <v/>
      </c>
      <c r="I247" s="55" t="str">
        <f t="shared" si="61"/>
        <v/>
      </c>
      <c r="J247" s="60" t="str">
        <f t="shared" si="62"/>
        <v/>
      </c>
      <c r="M247" s="58">
        <v>2</v>
      </c>
      <c r="N247" s="59" t="str">
        <f t="shared" si="63"/>
        <v/>
      </c>
      <c r="O247" s="55" t="str">
        <f t="shared" si="64"/>
        <v/>
      </c>
      <c r="P247" s="55" t="str">
        <f t="shared" si="65"/>
        <v/>
      </c>
      <c r="Q247" s="55" t="str">
        <f t="shared" si="66"/>
        <v/>
      </c>
      <c r="R247" s="55" t="str">
        <f t="shared" si="67"/>
        <v/>
      </c>
      <c r="S247" s="55" t="str">
        <f t="shared" si="68"/>
        <v/>
      </c>
      <c r="T247" s="55"/>
      <c r="U247" s="55"/>
      <c r="V247" s="55"/>
      <c r="W247" s="55" t="str">
        <f t="shared" si="69"/>
        <v/>
      </c>
      <c r="X247" s="60" t="str">
        <f t="shared" si="70"/>
        <v/>
      </c>
      <c r="Z247" s="24" t="str">
        <f t="shared" si="71"/>
        <v/>
      </c>
      <c r="AA247" s="25" t="str">
        <f t="shared" si="72"/>
        <v/>
      </c>
      <c r="AB247" s="25" t="str">
        <f t="shared" si="73"/>
        <v/>
      </c>
      <c r="AC247" s="25" t="str">
        <f t="shared" si="74"/>
        <v/>
      </c>
      <c r="AD247" s="25" t="str">
        <f t="shared" si="75"/>
        <v/>
      </c>
      <c r="AE247" s="25" t="str">
        <f t="shared" si="76"/>
        <v/>
      </c>
      <c r="AF247" s="25" t="str">
        <f t="shared" si="77"/>
        <v/>
      </c>
      <c r="AG247" s="26" t="str">
        <f t="shared" si="78"/>
        <v/>
      </c>
      <c r="AI247" s="24" t="str">
        <f t="shared" si="79"/>
        <v/>
      </c>
      <c r="AJ247" s="25" t="str">
        <f t="shared" si="80"/>
        <v/>
      </c>
      <c r="AK247" s="25" t="str">
        <f t="shared" si="81"/>
        <v/>
      </c>
      <c r="AL247" s="25" t="str">
        <f t="shared" si="82"/>
        <v/>
      </c>
      <c r="AM247" s="25" t="str">
        <f t="shared" si="83"/>
        <v/>
      </c>
      <c r="AN247" s="25" t="str">
        <f t="shared" si="84"/>
        <v/>
      </c>
      <c r="AO247" s="25"/>
      <c r="AP247" s="25"/>
      <c r="AQ247" s="25"/>
      <c r="AR247" s="25" t="str">
        <f t="shared" si="85"/>
        <v/>
      </c>
      <c r="AS247" s="26" t="str">
        <f t="shared" si="86"/>
        <v/>
      </c>
    </row>
    <row r="248" spans="1:45" hidden="1" x14ac:dyDescent="0.25">
      <c r="B248" s="70">
        <v>3</v>
      </c>
      <c r="C248" s="59" t="str">
        <f t="shared" si="55"/>
        <v/>
      </c>
      <c r="D248" s="55" t="str">
        <f t="shared" si="56"/>
        <v/>
      </c>
      <c r="E248" s="55" t="str">
        <f t="shared" si="57"/>
        <v/>
      </c>
      <c r="F248" s="55" t="str">
        <f t="shared" si="58"/>
        <v/>
      </c>
      <c r="G248" s="55" t="str">
        <f t="shared" si="59"/>
        <v/>
      </c>
      <c r="H248" s="55" t="str">
        <f t="shared" si="60"/>
        <v/>
      </c>
      <c r="I248" s="55" t="str">
        <f t="shared" si="61"/>
        <v/>
      </c>
      <c r="J248" s="60" t="str">
        <f t="shared" si="62"/>
        <v/>
      </c>
      <c r="M248" s="58">
        <v>3</v>
      </c>
      <c r="N248" s="59" t="str">
        <f t="shared" si="63"/>
        <v/>
      </c>
      <c r="O248" s="55" t="str">
        <f t="shared" si="64"/>
        <v/>
      </c>
      <c r="P248" s="55" t="str">
        <f t="shared" si="65"/>
        <v/>
      </c>
      <c r="Q248" s="55" t="str">
        <f t="shared" si="66"/>
        <v/>
      </c>
      <c r="R248" s="55" t="str">
        <f t="shared" si="67"/>
        <v/>
      </c>
      <c r="S248" s="55" t="str">
        <f t="shared" si="68"/>
        <v/>
      </c>
      <c r="T248" s="55"/>
      <c r="U248" s="55"/>
      <c r="V248" s="55"/>
      <c r="W248" s="55" t="str">
        <f t="shared" si="69"/>
        <v/>
      </c>
      <c r="X248" s="60" t="str">
        <f t="shared" si="70"/>
        <v/>
      </c>
      <c r="Z248" s="24" t="str">
        <f t="shared" si="71"/>
        <v/>
      </c>
      <c r="AA248" s="25" t="str">
        <f t="shared" si="72"/>
        <v/>
      </c>
      <c r="AB248" s="25" t="str">
        <f t="shared" si="73"/>
        <v/>
      </c>
      <c r="AC248" s="25" t="str">
        <f t="shared" si="74"/>
        <v/>
      </c>
      <c r="AD248" s="25" t="str">
        <f t="shared" si="75"/>
        <v/>
      </c>
      <c r="AE248" s="25" t="str">
        <f t="shared" si="76"/>
        <v/>
      </c>
      <c r="AF248" s="25" t="str">
        <f t="shared" si="77"/>
        <v/>
      </c>
      <c r="AG248" s="26" t="str">
        <f t="shared" si="78"/>
        <v/>
      </c>
      <c r="AI248" s="24" t="str">
        <f t="shared" si="79"/>
        <v/>
      </c>
      <c r="AJ248" s="25" t="str">
        <f t="shared" si="80"/>
        <v/>
      </c>
      <c r="AK248" s="25" t="str">
        <f t="shared" si="81"/>
        <v/>
      </c>
      <c r="AL248" s="25" t="str">
        <f t="shared" si="82"/>
        <v/>
      </c>
      <c r="AM248" s="25" t="str">
        <f t="shared" si="83"/>
        <v/>
      </c>
      <c r="AN248" s="25" t="str">
        <f t="shared" si="84"/>
        <v/>
      </c>
      <c r="AO248" s="25"/>
      <c r="AP248" s="25"/>
      <c r="AQ248" s="25"/>
      <c r="AR248" s="25" t="str">
        <f t="shared" si="85"/>
        <v/>
      </c>
      <c r="AS248" s="26" t="str">
        <f t="shared" si="86"/>
        <v/>
      </c>
    </row>
    <row r="249" spans="1:45" hidden="1" x14ac:dyDescent="0.25">
      <c r="B249" s="70">
        <v>4</v>
      </c>
      <c r="C249" s="59" t="str">
        <f t="shared" si="55"/>
        <v/>
      </c>
      <c r="D249" s="55" t="str">
        <f t="shared" si="56"/>
        <v/>
      </c>
      <c r="E249" s="55" t="str">
        <f t="shared" si="57"/>
        <v/>
      </c>
      <c r="F249" s="55" t="str">
        <f t="shared" si="58"/>
        <v/>
      </c>
      <c r="G249" s="55" t="str">
        <f t="shared" si="59"/>
        <v/>
      </c>
      <c r="H249" s="55" t="str">
        <f t="shared" si="60"/>
        <v/>
      </c>
      <c r="I249" s="55" t="str">
        <f t="shared" si="61"/>
        <v/>
      </c>
      <c r="J249" s="60" t="str">
        <f t="shared" si="62"/>
        <v/>
      </c>
      <c r="M249" s="58">
        <v>4</v>
      </c>
      <c r="N249" s="59" t="str">
        <f t="shared" si="63"/>
        <v/>
      </c>
      <c r="O249" s="55" t="str">
        <f t="shared" si="64"/>
        <v/>
      </c>
      <c r="P249" s="55" t="str">
        <f t="shared" si="65"/>
        <v/>
      </c>
      <c r="Q249" s="55" t="str">
        <f t="shared" si="66"/>
        <v/>
      </c>
      <c r="R249" s="55" t="str">
        <f t="shared" si="67"/>
        <v/>
      </c>
      <c r="S249" s="55" t="str">
        <f t="shared" si="68"/>
        <v/>
      </c>
      <c r="T249" s="55"/>
      <c r="U249" s="55"/>
      <c r="V249" s="55"/>
      <c r="W249" s="55" t="str">
        <f t="shared" si="69"/>
        <v/>
      </c>
      <c r="X249" s="60" t="str">
        <f t="shared" si="70"/>
        <v/>
      </c>
      <c r="Z249" s="24" t="str">
        <f t="shared" si="71"/>
        <v/>
      </c>
      <c r="AA249" s="25" t="str">
        <f t="shared" si="72"/>
        <v/>
      </c>
      <c r="AB249" s="25" t="str">
        <f t="shared" si="73"/>
        <v/>
      </c>
      <c r="AC249" s="25" t="str">
        <f t="shared" si="74"/>
        <v/>
      </c>
      <c r="AD249" s="25" t="str">
        <f t="shared" si="75"/>
        <v/>
      </c>
      <c r="AE249" s="25" t="str">
        <f t="shared" si="76"/>
        <v/>
      </c>
      <c r="AF249" s="25" t="str">
        <f t="shared" si="77"/>
        <v/>
      </c>
      <c r="AG249" s="26" t="str">
        <f t="shared" si="78"/>
        <v/>
      </c>
      <c r="AI249" s="24" t="str">
        <f t="shared" si="79"/>
        <v/>
      </c>
      <c r="AJ249" s="25" t="str">
        <f t="shared" si="80"/>
        <v/>
      </c>
      <c r="AK249" s="25" t="str">
        <f t="shared" si="81"/>
        <v/>
      </c>
      <c r="AL249" s="25" t="str">
        <f t="shared" si="82"/>
        <v/>
      </c>
      <c r="AM249" s="25" t="str">
        <f t="shared" si="83"/>
        <v/>
      </c>
      <c r="AN249" s="25" t="str">
        <f t="shared" si="84"/>
        <v/>
      </c>
      <c r="AO249" s="25"/>
      <c r="AP249" s="25"/>
      <c r="AQ249" s="25"/>
      <c r="AR249" s="25" t="str">
        <f t="shared" si="85"/>
        <v/>
      </c>
      <c r="AS249" s="26" t="str">
        <f t="shared" si="86"/>
        <v/>
      </c>
    </row>
    <row r="250" spans="1:45" hidden="1" x14ac:dyDescent="0.25">
      <c r="B250" s="70">
        <v>5</v>
      </c>
      <c r="C250" s="59" t="str">
        <f t="shared" si="55"/>
        <v/>
      </c>
      <c r="D250" s="55" t="str">
        <f t="shared" si="56"/>
        <v/>
      </c>
      <c r="E250" s="55" t="str">
        <f t="shared" si="57"/>
        <v/>
      </c>
      <c r="F250" s="55" t="str">
        <f t="shared" si="58"/>
        <v/>
      </c>
      <c r="G250" s="55" t="str">
        <f t="shared" si="59"/>
        <v/>
      </c>
      <c r="H250" s="55" t="str">
        <f t="shared" si="60"/>
        <v/>
      </c>
      <c r="I250" s="55" t="str">
        <f t="shared" si="61"/>
        <v/>
      </c>
      <c r="J250" s="60" t="str">
        <f t="shared" si="62"/>
        <v/>
      </c>
      <c r="M250" s="58">
        <v>5</v>
      </c>
      <c r="N250" s="59" t="str">
        <f t="shared" si="63"/>
        <v/>
      </c>
      <c r="O250" s="55" t="str">
        <f t="shared" si="64"/>
        <v/>
      </c>
      <c r="P250" s="55" t="str">
        <f t="shared" si="65"/>
        <v/>
      </c>
      <c r="Q250" s="55" t="str">
        <f t="shared" si="66"/>
        <v/>
      </c>
      <c r="R250" s="55" t="str">
        <f t="shared" si="67"/>
        <v/>
      </c>
      <c r="S250" s="55" t="str">
        <f t="shared" si="68"/>
        <v/>
      </c>
      <c r="T250" s="55"/>
      <c r="U250" s="55"/>
      <c r="V250" s="55"/>
      <c r="W250" s="55" t="str">
        <f t="shared" si="69"/>
        <v/>
      </c>
      <c r="X250" s="60" t="str">
        <f t="shared" si="70"/>
        <v/>
      </c>
      <c r="Z250" s="24" t="str">
        <f t="shared" si="71"/>
        <v/>
      </c>
      <c r="AA250" s="25" t="str">
        <f t="shared" si="72"/>
        <v/>
      </c>
      <c r="AB250" s="25" t="str">
        <f t="shared" si="73"/>
        <v/>
      </c>
      <c r="AC250" s="25" t="str">
        <f t="shared" si="74"/>
        <v/>
      </c>
      <c r="AD250" s="25" t="str">
        <f t="shared" si="75"/>
        <v/>
      </c>
      <c r="AE250" s="25" t="str">
        <f t="shared" si="76"/>
        <v/>
      </c>
      <c r="AF250" s="25" t="str">
        <f t="shared" si="77"/>
        <v/>
      </c>
      <c r="AG250" s="26" t="str">
        <f t="shared" si="78"/>
        <v/>
      </c>
      <c r="AI250" s="24" t="str">
        <f t="shared" si="79"/>
        <v/>
      </c>
      <c r="AJ250" s="25" t="str">
        <f t="shared" si="80"/>
        <v/>
      </c>
      <c r="AK250" s="25" t="str">
        <f t="shared" si="81"/>
        <v/>
      </c>
      <c r="AL250" s="25" t="str">
        <f t="shared" si="82"/>
        <v/>
      </c>
      <c r="AM250" s="25" t="str">
        <f t="shared" si="83"/>
        <v/>
      </c>
      <c r="AN250" s="25" t="str">
        <f t="shared" si="84"/>
        <v/>
      </c>
      <c r="AO250" s="25"/>
      <c r="AP250" s="25"/>
      <c r="AQ250" s="25"/>
      <c r="AR250" s="25" t="str">
        <f t="shared" si="85"/>
        <v/>
      </c>
      <c r="AS250" s="26" t="str">
        <f t="shared" si="86"/>
        <v/>
      </c>
    </row>
    <row r="251" spans="1:45" hidden="1" x14ac:dyDescent="0.25">
      <c r="B251" s="70">
        <v>6</v>
      </c>
      <c r="C251" s="59" t="str">
        <f t="shared" si="55"/>
        <v/>
      </c>
      <c r="D251" s="55" t="str">
        <f t="shared" si="56"/>
        <v/>
      </c>
      <c r="E251" s="55" t="str">
        <f t="shared" si="57"/>
        <v/>
      </c>
      <c r="F251" s="55" t="str">
        <f t="shared" si="58"/>
        <v/>
      </c>
      <c r="G251" s="55" t="str">
        <f t="shared" si="59"/>
        <v/>
      </c>
      <c r="H251" s="55" t="str">
        <f t="shared" si="60"/>
        <v/>
      </c>
      <c r="I251" s="55" t="str">
        <f t="shared" si="61"/>
        <v/>
      </c>
      <c r="J251" s="60" t="str">
        <f t="shared" si="62"/>
        <v/>
      </c>
      <c r="M251" s="58">
        <v>6</v>
      </c>
      <c r="N251" s="59" t="str">
        <f t="shared" si="63"/>
        <v/>
      </c>
      <c r="O251" s="55" t="str">
        <f t="shared" si="64"/>
        <v/>
      </c>
      <c r="P251" s="55" t="str">
        <f t="shared" si="65"/>
        <v/>
      </c>
      <c r="Q251" s="55" t="str">
        <f t="shared" si="66"/>
        <v/>
      </c>
      <c r="R251" s="55" t="str">
        <f t="shared" si="67"/>
        <v/>
      </c>
      <c r="S251" s="55" t="str">
        <f t="shared" si="68"/>
        <v/>
      </c>
      <c r="T251" s="55"/>
      <c r="U251" s="55"/>
      <c r="V251" s="55"/>
      <c r="W251" s="55" t="str">
        <f t="shared" si="69"/>
        <v/>
      </c>
      <c r="X251" s="60" t="str">
        <f t="shared" si="70"/>
        <v/>
      </c>
      <c r="Z251" s="24" t="str">
        <f t="shared" si="71"/>
        <v/>
      </c>
      <c r="AA251" s="25" t="str">
        <f t="shared" si="72"/>
        <v/>
      </c>
      <c r="AB251" s="25" t="str">
        <f t="shared" si="73"/>
        <v/>
      </c>
      <c r="AC251" s="25" t="str">
        <f t="shared" si="74"/>
        <v/>
      </c>
      <c r="AD251" s="25" t="str">
        <f t="shared" si="75"/>
        <v/>
      </c>
      <c r="AE251" s="25" t="str">
        <f t="shared" si="76"/>
        <v/>
      </c>
      <c r="AF251" s="25" t="str">
        <f t="shared" si="77"/>
        <v/>
      </c>
      <c r="AG251" s="26" t="str">
        <f t="shared" si="78"/>
        <v/>
      </c>
      <c r="AI251" s="24" t="str">
        <f t="shared" si="79"/>
        <v/>
      </c>
      <c r="AJ251" s="25" t="str">
        <f t="shared" si="80"/>
        <v/>
      </c>
      <c r="AK251" s="25" t="str">
        <f t="shared" si="81"/>
        <v/>
      </c>
      <c r="AL251" s="25" t="str">
        <f t="shared" si="82"/>
        <v/>
      </c>
      <c r="AM251" s="25" t="str">
        <f t="shared" si="83"/>
        <v/>
      </c>
      <c r="AN251" s="25" t="str">
        <f t="shared" si="84"/>
        <v/>
      </c>
      <c r="AO251" s="25"/>
      <c r="AP251" s="25"/>
      <c r="AQ251" s="25"/>
      <c r="AR251" s="25" t="str">
        <f t="shared" si="85"/>
        <v/>
      </c>
      <c r="AS251" s="26" t="str">
        <f t="shared" si="86"/>
        <v/>
      </c>
    </row>
    <row r="252" spans="1:45" hidden="1" x14ac:dyDescent="0.25">
      <c r="B252" s="70">
        <v>7</v>
      </c>
      <c r="C252" s="59" t="str">
        <f t="shared" si="55"/>
        <v/>
      </c>
      <c r="D252" s="55" t="str">
        <f t="shared" si="56"/>
        <v/>
      </c>
      <c r="E252" s="55" t="str">
        <f t="shared" si="57"/>
        <v/>
      </c>
      <c r="F252" s="55" t="str">
        <f t="shared" si="58"/>
        <v/>
      </c>
      <c r="G252" s="55" t="str">
        <f t="shared" si="59"/>
        <v/>
      </c>
      <c r="H252" s="55" t="str">
        <f t="shared" si="60"/>
        <v/>
      </c>
      <c r="I252" s="55" t="str">
        <f t="shared" si="61"/>
        <v/>
      </c>
      <c r="J252" s="60" t="str">
        <f t="shared" si="62"/>
        <v/>
      </c>
      <c r="M252" s="58">
        <v>7</v>
      </c>
      <c r="N252" s="59" t="str">
        <f t="shared" si="63"/>
        <v/>
      </c>
      <c r="O252" s="55" t="str">
        <f t="shared" si="64"/>
        <v/>
      </c>
      <c r="P252" s="55" t="str">
        <f t="shared" si="65"/>
        <v/>
      </c>
      <c r="Q252" s="55" t="str">
        <f t="shared" si="66"/>
        <v/>
      </c>
      <c r="R252" s="55" t="str">
        <f t="shared" si="67"/>
        <v/>
      </c>
      <c r="S252" s="55" t="str">
        <f t="shared" si="68"/>
        <v/>
      </c>
      <c r="T252" s="55"/>
      <c r="U252" s="55"/>
      <c r="V252" s="55"/>
      <c r="W252" s="55" t="str">
        <f t="shared" si="69"/>
        <v/>
      </c>
      <c r="X252" s="60" t="str">
        <f t="shared" si="70"/>
        <v/>
      </c>
      <c r="Z252" s="24" t="str">
        <f t="shared" si="71"/>
        <v/>
      </c>
      <c r="AA252" s="25" t="str">
        <f t="shared" si="72"/>
        <v/>
      </c>
      <c r="AB252" s="25" t="str">
        <f t="shared" si="73"/>
        <v/>
      </c>
      <c r="AC252" s="25" t="str">
        <f t="shared" si="74"/>
        <v/>
      </c>
      <c r="AD252" s="25" t="str">
        <f t="shared" si="75"/>
        <v/>
      </c>
      <c r="AE252" s="25" t="str">
        <f t="shared" si="76"/>
        <v/>
      </c>
      <c r="AF252" s="25" t="str">
        <f t="shared" si="77"/>
        <v/>
      </c>
      <c r="AG252" s="26" t="str">
        <f t="shared" si="78"/>
        <v/>
      </c>
      <c r="AI252" s="24" t="str">
        <f t="shared" si="79"/>
        <v/>
      </c>
      <c r="AJ252" s="25" t="str">
        <f t="shared" si="80"/>
        <v/>
      </c>
      <c r="AK252" s="25" t="str">
        <f t="shared" si="81"/>
        <v/>
      </c>
      <c r="AL252" s="25" t="str">
        <f t="shared" si="82"/>
        <v/>
      </c>
      <c r="AM252" s="25" t="str">
        <f t="shared" si="83"/>
        <v/>
      </c>
      <c r="AN252" s="25" t="str">
        <f t="shared" si="84"/>
        <v/>
      </c>
      <c r="AO252" s="25"/>
      <c r="AP252" s="25"/>
      <c r="AQ252" s="25"/>
      <c r="AR252" s="25" t="str">
        <f t="shared" si="85"/>
        <v/>
      </c>
      <c r="AS252" s="26" t="str">
        <f t="shared" si="86"/>
        <v/>
      </c>
    </row>
    <row r="253" spans="1:45" hidden="1" x14ac:dyDescent="0.25">
      <c r="B253" s="70">
        <v>8</v>
      </c>
      <c r="C253" s="59" t="str">
        <f t="shared" si="55"/>
        <v/>
      </c>
      <c r="D253" s="55" t="str">
        <f t="shared" si="56"/>
        <v/>
      </c>
      <c r="E253" s="55" t="str">
        <f t="shared" si="57"/>
        <v/>
      </c>
      <c r="F253" s="55" t="str">
        <f t="shared" si="58"/>
        <v/>
      </c>
      <c r="G253" s="55" t="str">
        <f t="shared" si="59"/>
        <v/>
      </c>
      <c r="H253" s="55" t="str">
        <f t="shared" si="60"/>
        <v/>
      </c>
      <c r="I253" s="55" t="str">
        <f t="shared" si="61"/>
        <v/>
      </c>
      <c r="J253" s="60" t="str">
        <f t="shared" si="62"/>
        <v/>
      </c>
      <c r="M253" s="58">
        <v>8</v>
      </c>
      <c r="N253" s="59" t="str">
        <f t="shared" si="63"/>
        <v/>
      </c>
      <c r="O253" s="55" t="str">
        <f t="shared" si="64"/>
        <v/>
      </c>
      <c r="P253" s="55" t="str">
        <f t="shared" si="65"/>
        <v/>
      </c>
      <c r="Q253" s="55" t="str">
        <f t="shared" si="66"/>
        <v/>
      </c>
      <c r="R253" s="55" t="str">
        <f t="shared" si="67"/>
        <v/>
      </c>
      <c r="S253" s="55" t="str">
        <f t="shared" si="68"/>
        <v/>
      </c>
      <c r="T253" s="55"/>
      <c r="U253" s="55"/>
      <c r="V253" s="55"/>
      <c r="W253" s="55" t="str">
        <f t="shared" si="69"/>
        <v/>
      </c>
      <c r="X253" s="60" t="str">
        <f t="shared" si="70"/>
        <v/>
      </c>
      <c r="Z253" s="24" t="str">
        <f t="shared" si="71"/>
        <v/>
      </c>
      <c r="AA253" s="25" t="str">
        <f t="shared" si="72"/>
        <v/>
      </c>
      <c r="AB253" s="25" t="str">
        <f t="shared" si="73"/>
        <v/>
      </c>
      <c r="AC253" s="25" t="str">
        <f t="shared" si="74"/>
        <v/>
      </c>
      <c r="AD253" s="25" t="str">
        <f t="shared" si="75"/>
        <v/>
      </c>
      <c r="AE253" s="25" t="str">
        <f t="shared" si="76"/>
        <v/>
      </c>
      <c r="AF253" s="25" t="str">
        <f t="shared" si="77"/>
        <v/>
      </c>
      <c r="AG253" s="26" t="str">
        <f t="shared" si="78"/>
        <v/>
      </c>
      <c r="AI253" s="24" t="str">
        <f t="shared" si="79"/>
        <v/>
      </c>
      <c r="AJ253" s="25" t="str">
        <f t="shared" si="80"/>
        <v/>
      </c>
      <c r="AK253" s="25" t="str">
        <f t="shared" si="81"/>
        <v/>
      </c>
      <c r="AL253" s="25" t="str">
        <f t="shared" si="82"/>
        <v/>
      </c>
      <c r="AM253" s="25" t="str">
        <f t="shared" si="83"/>
        <v/>
      </c>
      <c r="AN253" s="25" t="str">
        <f t="shared" si="84"/>
        <v/>
      </c>
      <c r="AO253" s="25"/>
      <c r="AP253" s="25"/>
      <c r="AQ253" s="25"/>
      <c r="AR253" s="25" t="str">
        <f t="shared" si="85"/>
        <v/>
      </c>
      <c r="AS253" s="26" t="str">
        <f t="shared" si="86"/>
        <v/>
      </c>
    </row>
    <row r="254" spans="1:45" hidden="1" x14ac:dyDescent="0.25">
      <c r="B254" s="70">
        <v>9</v>
      </c>
      <c r="C254" s="59" t="str">
        <f t="shared" si="55"/>
        <v/>
      </c>
      <c r="D254" s="55" t="str">
        <f t="shared" si="56"/>
        <v/>
      </c>
      <c r="E254" s="55" t="str">
        <f t="shared" si="57"/>
        <v/>
      </c>
      <c r="F254" s="55" t="str">
        <f t="shared" si="58"/>
        <v/>
      </c>
      <c r="G254" s="55" t="str">
        <f t="shared" si="59"/>
        <v/>
      </c>
      <c r="H254" s="55" t="str">
        <f t="shared" si="60"/>
        <v/>
      </c>
      <c r="I254" s="55" t="str">
        <f t="shared" si="61"/>
        <v/>
      </c>
      <c r="J254" s="60" t="str">
        <f t="shared" si="62"/>
        <v/>
      </c>
      <c r="M254" s="58">
        <v>9</v>
      </c>
      <c r="N254" s="59" t="str">
        <f t="shared" si="63"/>
        <v/>
      </c>
      <c r="O254" s="55" t="str">
        <f t="shared" si="64"/>
        <v/>
      </c>
      <c r="P254" s="55" t="str">
        <f t="shared" si="65"/>
        <v/>
      </c>
      <c r="Q254" s="55" t="str">
        <f t="shared" si="66"/>
        <v/>
      </c>
      <c r="R254" s="55" t="str">
        <f t="shared" si="67"/>
        <v/>
      </c>
      <c r="S254" s="55" t="str">
        <f t="shared" si="68"/>
        <v/>
      </c>
      <c r="T254" s="55"/>
      <c r="U254" s="55"/>
      <c r="V254" s="55"/>
      <c r="W254" s="55" t="str">
        <f t="shared" si="69"/>
        <v/>
      </c>
      <c r="X254" s="60" t="str">
        <f t="shared" si="70"/>
        <v/>
      </c>
      <c r="Z254" s="24" t="str">
        <f t="shared" si="71"/>
        <v/>
      </c>
      <c r="AA254" s="25" t="str">
        <f t="shared" si="72"/>
        <v/>
      </c>
      <c r="AB254" s="25" t="str">
        <f t="shared" si="73"/>
        <v/>
      </c>
      <c r="AC254" s="25" t="str">
        <f t="shared" si="74"/>
        <v/>
      </c>
      <c r="AD254" s="25" t="str">
        <f t="shared" si="75"/>
        <v/>
      </c>
      <c r="AE254" s="25" t="str">
        <f t="shared" si="76"/>
        <v/>
      </c>
      <c r="AF254" s="25" t="str">
        <f t="shared" si="77"/>
        <v/>
      </c>
      <c r="AG254" s="26" t="str">
        <f t="shared" si="78"/>
        <v/>
      </c>
      <c r="AI254" s="24" t="str">
        <f t="shared" si="79"/>
        <v/>
      </c>
      <c r="AJ254" s="25" t="str">
        <f t="shared" si="80"/>
        <v/>
      </c>
      <c r="AK254" s="25" t="str">
        <f t="shared" si="81"/>
        <v/>
      </c>
      <c r="AL254" s="25" t="str">
        <f t="shared" si="82"/>
        <v/>
      </c>
      <c r="AM254" s="25" t="str">
        <f t="shared" si="83"/>
        <v/>
      </c>
      <c r="AN254" s="25" t="str">
        <f t="shared" si="84"/>
        <v/>
      </c>
      <c r="AO254" s="25"/>
      <c r="AP254" s="25"/>
      <c r="AQ254" s="25"/>
      <c r="AR254" s="25" t="str">
        <f t="shared" si="85"/>
        <v/>
      </c>
      <c r="AS254" s="26" t="str">
        <f t="shared" si="86"/>
        <v/>
      </c>
    </row>
    <row r="255" spans="1:45" hidden="1" x14ac:dyDescent="0.25">
      <c r="B255" s="70">
        <v>10</v>
      </c>
      <c r="C255" s="59" t="str">
        <f t="shared" si="55"/>
        <v/>
      </c>
      <c r="D255" s="55" t="str">
        <f t="shared" si="56"/>
        <v/>
      </c>
      <c r="E255" s="55" t="str">
        <f t="shared" si="57"/>
        <v/>
      </c>
      <c r="F255" s="55" t="str">
        <f t="shared" si="58"/>
        <v/>
      </c>
      <c r="G255" s="55" t="str">
        <f t="shared" si="59"/>
        <v/>
      </c>
      <c r="H255" s="55" t="str">
        <f t="shared" si="60"/>
        <v/>
      </c>
      <c r="I255" s="55" t="str">
        <f t="shared" si="61"/>
        <v/>
      </c>
      <c r="J255" s="60" t="str">
        <f t="shared" si="62"/>
        <v/>
      </c>
      <c r="M255" s="58">
        <v>10</v>
      </c>
      <c r="N255" s="59" t="str">
        <f t="shared" si="63"/>
        <v/>
      </c>
      <c r="O255" s="55" t="str">
        <f t="shared" si="64"/>
        <v/>
      </c>
      <c r="P255" s="55" t="str">
        <f t="shared" si="65"/>
        <v/>
      </c>
      <c r="Q255" s="55" t="str">
        <f t="shared" si="66"/>
        <v/>
      </c>
      <c r="R255" s="55" t="str">
        <f t="shared" si="67"/>
        <v/>
      </c>
      <c r="S255" s="55" t="str">
        <f t="shared" si="68"/>
        <v/>
      </c>
      <c r="T255" s="55"/>
      <c r="U255" s="55"/>
      <c r="V255" s="55"/>
      <c r="W255" s="55" t="str">
        <f t="shared" si="69"/>
        <v/>
      </c>
      <c r="X255" s="60" t="str">
        <f t="shared" si="70"/>
        <v/>
      </c>
      <c r="Z255" s="24" t="str">
        <f t="shared" si="71"/>
        <v/>
      </c>
      <c r="AA255" s="25" t="str">
        <f t="shared" si="72"/>
        <v/>
      </c>
      <c r="AB255" s="25" t="str">
        <f t="shared" si="73"/>
        <v/>
      </c>
      <c r="AC255" s="25" t="str">
        <f t="shared" si="74"/>
        <v/>
      </c>
      <c r="AD255" s="25" t="str">
        <f t="shared" si="75"/>
        <v/>
      </c>
      <c r="AE255" s="25" t="str">
        <f t="shared" si="76"/>
        <v/>
      </c>
      <c r="AF255" s="25" t="str">
        <f t="shared" si="77"/>
        <v/>
      </c>
      <c r="AG255" s="26" t="str">
        <f t="shared" si="78"/>
        <v/>
      </c>
      <c r="AI255" s="24" t="str">
        <f t="shared" si="79"/>
        <v/>
      </c>
      <c r="AJ255" s="25" t="str">
        <f t="shared" si="80"/>
        <v/>
      </c>
      <c r="AK255" s="25" t="str">
        <f t="shared" si="81"/>
        <v/>
      </c>
      <c r="AL255" s="25" t="str">
        <f t="shared" si="82"/>
        <v/>
      </c>
      <c r="AM255" s="25" t="str">
        <f t="shared" si="83"/>
        <v/>
      </c>
      <c r="AN255" s="25" t="str">
        <f t="shared" si="84"/>
        <v/>
      </c>
      <c r="AO255" s="25"/>
      <c r="AP255" s="25"/>
      <c r="AQ255" s="25"/>
      <c r="AR255" s="25" t="str">
        <f t="shared" si="85"/>
        <v/>
      </c>
      <c r="AS255" s="26" t="str">
        <f t="shared" si="86"/>
        <v/>
      </c>
    </row>
    <row r="256" spans="1:45" hidden="1" x14ac:dyDescent="0.25">
      <c r="B256" s="70">
        <v>11</v>
      </c>
      <c r="C256" s="59" t="str">
        <f t="shared" si="55"/>
        <v/>
      </c>
      <c r="D256" s="55" t="str">
        <f t="shared" si="56"/>
        <v/>
      </c>
      <c r="E256" s="55" t="str">
        <f t="shared" si="57"/>
        <v/>
      </c>
      <c r="F256" s="55" t="str">
        <f t="shared" si="58"/>
        <v/>
      </c>
      <c r="G256" s="55" t="str">
        <f t="shared" si="59"/>
        <v/>
      </c>
      <c r="H256" s="55" t="str">
        <f t="shared" si="60"/>
        <v/>
      </c>
      <c r="I256" s="55" t="str">
        <f t="shared" si="61"/>
        <v/>
      </c>
      <c r="J256" s="60" t="str">
        <f t="shared" si="62"/>
        <v/>
      </c>
      <c r="M256" s="58">
        <v>11</v>
      </c>
      <c r="N256" s="59" t="str">
        <f t="shared" si="63"/>
        <v/>
      </c>
      <c r="O256" s="55" t="str">
        <f t="shared" si="64"/>
        <v/>
      </c>
      <c r="P256" s="55" t="str">
        <f t="shared" si="65"/>
        <v/>
      </c>
      <c r="Q256" s="55" t="str">
        <f t="shared" si="66"/>
        <v/>
      </c>
      <c r="R256" s="55" t="str">
        <f t="shared" si="67"/>
        <v/>
      </c>
      <c r="S256" s="55" t="str">
        <f t="shared" si="68"/>
        <v/>
      </c>
      <c r="T256" s="55"/>
      <c r="U256" s="55"/>
      <c r="V256" s="55"/>
      <c r="W256" s="55" t="str">
        <f t="shared" si="69"/>
        <v/>
      </c>
      <c r="X256" s="60" t="str">
        <f t="shared" si="70"/>
        <v/>
      </c>
      <c r="Z256" s="24" t="str">
        <f t="shared" si="71"/>
        <v/>
      </c>
      <c r="AA256" s="25" t="str">
        <f t="shared" si="72"/>
        <v/>
      </c>
      <c r="AB256" s="25" t="str">
        <f t="shared" si="73"/>
        <v/>
      </c>
      <c r="AC256" s="25" t="str">
        <f t="shared" si="74"/>
        <v/>
      </c>
      <c r="AD256" s="25" t="str">
        <f t="shared" si="75"/>
        <v/>
      </c>
      <c r="AE256" s="25" t="str">
        <f t="shared" si="76"/>
        <v/>
      </c>
      <c r="AF256" s="25" t="str">
        <f t="shared" si="77"/>
        <v/>
      </c>
      <c r="AG256" s="26" t="str">
        <f t="shared" si="78"/>
        <v/>
      </c>
      <c r="AI256" s="24" t="str">
        <f t="shared" si="79"/>
        <v/>
      </c>
      <c r="AJ256" s="25" t="str">
        <f t="shared" si="80"/>
        <v/>
      </c>
      <c r="AK256" s="25" t="str">
        <f t="shared" si="81"/>
        <v/>
      </c>
      <c r="AL256" s="25" t="str">
        <f t="shared" si="82"/>
        <v/>
      </c>
      <c r="AM256" s="25" t="str">
        <f t="shared" si="83"/>
        <v/>
      </c>
      <c r="AN256" s="25" t="str">
        <f t="shared" si="84"/>
        <v/>
      </c>
      <c r="AO256" s="25"/>
      <c r="AP256" s="25"/>
      <c r="AQ256" s="25"/>
      <c r="AR256" s="25" t="str">
        <f t="shared" si="85"/>
        <v/>
      </c>
      <c r="AS256" s="26" t="str">
        <f t="shared" si="86"/>
        <v/>
      </c>
    </row>
    <row r="257" spans="2:45" hidden="1" x14ac:dyDescent="0.25">
      <c r="B257" s="70">
        <v>12</v>
      </c>
      <c r="C257" s="59" t="str">
        <f t="shared" si="55"/>
        <v/>
      </c>
      <c r="D257" s="55" t="str">
        <f t="shared" si="56"/>
        <v/>
      </c>
      <c r="E257" s="55" t="str">
        <f t="shared" si="57"/>
        <v/>
      </c>
      <c r="F257" s="55" t="str">
        <f t="shared" si="58"/>
        <v/>
      </c>
      <c r="G257" s="55" t="str">
        <f t="shared" si="59"/>
        <v/>
      </c>
      <c r="H257" s="55" t="str">
        <f t="shared" si="60"/>
        <v/>
      </c>
      <c r="I257" s="55" t="str">
        <f t="shared" si="61"/>
        <v/>
      </c>
      <c r="J257" s="60" t="str">
        <f t="shared" si="62"/>
        <v/>
      </c>
      <c r="M257" s="58">
        <v>12</v>
      </c>
      <c r="N257" s="59" t="str">
        <f t="shared" si="63"/>
        <v/>
      </c>
      <c r="O257" s="55" t="str">
        <f t="shared" si="64"/>
        <v/>
      </c>
      <c r="P257" s="55" t="str">
        <f t="shared" si="65"/>
        <v/>
      </c>
      <c r="Q257" s="55" t="str">
        <f t="shared" si="66"/>
        <v/>
      </c>
      <c r="R257" s="55" t="str">
        <f t="shared" si="67"/>
        <v/>
      </c>
      <c r="S257" s="55" t="str">
        <f t="shared" si="68"/>
        <v/>
      </c>
      <c r="T257" s="55"/>
      <c r="U257" s="55"/>
      <c r="V257" s="55"/>
      <c r="W257" s="55" t="str">
        <f t="shared" si="69"/>
        <v/>
      </c>
      <c r="X257" s="60" t="str">
        <f t="shared" si="70"/>
        <v/>
      </c>
      <c r="Z257" s="24" t="str">
        <f t="shared" si="71"/>
        <v/>
      </c>
      <c r="AA257" s="25" t="str">
        <f t="shared" si="72"/>
        <v/>
      </c>
      <c r="AB257" s="25" t="str">
        <f t="shared" si="73"/>
        <v/>
      </c>
      <c r="AC257" s="25" t="str">
        <f t="shared" si="74"/>
        <v/>
      </c>
      <c r="AD257" s="25" t="str">
        <f t="shared" si="75"/>
        <v/>
      </c>
      <c r="AE257" s="25" t="str">
        <f t="shared" si="76"/>
        <v/>
      </c>
      <c r="AF257" s="25" t="str">
        <f t="shared" si="77"/>
        <v/>
      </c>
      <c r="AG257" s="26" t="str">
        <f t="shared" si="78"/>
        <v/>
      </c>
      <c r="AI257" s="24" t="str">
        <f t="shared" si="79"/>
        <v/>
      </c>
      <c r="AJ257" s="25" t="str">
        <f t="shared" si="80"/>
        <v/>
      </c>
      <c r="AK257" s="25" t="str">
        <f t="shared" si="81"/>
        <v/>
      </c>
      <c r="AL257" s="25" t="str">
        <f t="shared" si="82"/>
        <v/>
      </c>
      <c r="AM257" s="25" t="str">
        <f t="shared" si="83"/>
        <v/>
      </c>
      <c r="AN257" s="25" t="str">
        <f t="shared" si="84"/>
        <v/>
      </c>
      <c r="AO257" s="25"/>
      <c r="AP257" s="25"/>
      <c r="AQ257" s="25"/>
      <c r="AR257" s="25" t="str">
        <f t="shared" si="85"/>
        <v/>
      </c>
      <c r="AS257" s="26" t="str">
        <f t="shared" si="86"/>
        <v/>
      </c>
    </row>
    <row r="258" spans="2:45" hidden="1" x14ac:dyDescent="0.25">
      <c r="B258" s="70">
        <v>13</v>
      </c>
      <c r="C258" s="59" t="str">
        <f t="shared" si="55"/>
        <v/>
      </c>
      <c r="D258" s="55" t="str">
        <f t="shared" si="56"/>
        <v/>
      </c>
      <c r="E258" s="55" t="str">
        <f t="shared" si="57"/>
        <v/>
      </c>
      <c r="F258" s="55" t="str">
        <f t="shared" si="58"/>
        <v/>
      </c>
      <c r="G258" s="55" t="str">
        <f t="shared" si="59"/>
        <v/>
      </c>
      <c r="H258" s="55" t="str">
        <f t="shared" si="60"/>
        <v/>
      </c>
      <c r="I258" s="55" t="str">
        <f t="shared" si="61"/>
        <v/>
      </c>
      <c r="J258" s="60" t="str">
        <f t="shared" si="62"/>
        <v/>
      </c>
      <c r="M258" s="58">
        <v>13</v>
      </c>
      <c r="N258" s="59" t="str">
        <f t="shared" si="63"/>
        <v/>
      </c>
      <c r="O258" s="55" t="str">
        <f t="shared" si="64"/>
        <v/>
      </c>
      <c r="P258" s="55" t="str">
        <f t="shared" si="65"/>
        <v/>
      </c>
      <c r="Q258" s="55" t="str">
        <f t="shared" si="66"/>
        <v/>
      </c>
      <c r="R258" s="55" t="str">
        <f t="shared" si="67"/>
        <v/>
      </c>
      <c r="S258" s="55" t="str">
        <f t="shared" si="68"/>
        <v/>
      </c>
      <c r="T258" s="55"/>
      <c r="U258" s="55"/>
      <c r="V258" s="55"/>
      <c r="W258" s="55" t="str">
        <f t="shared" si="69"/>
        <v/>
      </c>
      <c r="X258" s="60" t="str">
        <f t="shared" si="70"/>
        <v/>
      </c>
      <c r="Z258" s="24" t="str">
        <f t="shared" si="71"/>
        <v/>
      </c>
      <c r="AA258" s="25" t="str">
        <f t="shared" si="72"/>
        <v/>
      </c>
      <c r="AB258" s="25" t="str">
        <f t="shared" si="73"/>
        <v/>
      </c>
      <c r="AC258" s="25" t="str">
        <f t="shared" si="74"/>
        <v/>
      </c>
      <c r="AD258" s="25" t="str">
        <f t="shared" si="75"/>
        <v/>
      </c>
      <c r="AE258" s="25" t="str">
        <f t="shared" si="76"/>
        <v/>
      </c>
      <c r="AF258" s="25" t="str">
        <f t="shared" si="77"/>
        <v/>
      </c>
      <c r="AG258" s="26" t="str">
        <f t="shared" si="78"/>
        <v/>
      </c>
      <c r="AI258" s="24" t="str">
        <f t="shared" si="79"/>
        <v/>
      </c>
      <c r="AJ258" s="25" t="str">
        <f t="shared" si="80"/>
        <v/>
      </c>
      <c r="AK258" s="25" t="str">
        <f t="shared" si="81"/>
        <v/>
      </c>
      <c r="AL258" s="25" t="str">
        <f t="shared" si="82"/>
        <v/>
      </c>
      <c r="AM258" s="25" t="str">
        <f t="shared" si="83"/>
        <v/>
      </c>
      <c r="AN258" s="25" t="str">
        <f t="shared" si="84"/>
        <v/>
      </c>
      <c r="AO258" s="25"/>
      <c r="AP258" s="25"/>
      <c r="AQ258" s="25"/>
      <c r="AR258" s="25" t="str">
        <f t="shared" si="85"/>
        <v/>
      </c>
      <c r="AS258" s="26" t="str">
        <f t="shared" si="86"/>
        <v/>
      </c>
    </row>
    <row r="259" spans="2:45" hidden="1" x14ac:dyDescent="0.25">
      <c r="B259" s="70">
        <v>14</v>
      </c>
      <c r="C259" s="59" t="str">
        <f t="shared" si="55"/>
        <v/>
      </c>
      <c r="D259" s="55" t="str">
        <f t="shared" si="56"/>
        <v/>
      </c>
      <c r="E259" s="55" t="str">
        <f t="shared" si="57"/>
        <v/>
      </c>
      <c r="F259" s="55" t="str">
        <f t="shared" si="58"/>
        <v/>
      </c>
      <c r="G259" s="55" t="str">
        <f t="shared" si="59"/>
        <v/>
      </c>
      <c r="H259" s="55" t="str">
        <f t="shared" si="60"/>
        <v/>
      </c>
      <c r="I259" s="55" t="str">
        <f t="shared" si="61"/>
        <v/>
      </c>
      <c r="J259" s="60" t="str">
        <f t="shared" si="62"/>
        <v/>
      </c>
      <c r="M259" s="58">
        <v>14</v>
      </c>
      <c r="N259" s="59" t="str">
        <f t="shared" si="63"/>
        <v/>
      </c>
      <c r="O259" s="55" t="str">
        <f t="shared" si="64"/>
        <v/>
      </c>
      <c r="P259" s="55" t="str">
        <f t="shared" si="65"/>
        <v/>
      </c>
      <c r="Q259" s="55" t="str">
        <f t="shared" si="66"/>
        <v/>
      </c>
      <c r="R259" s="55" t="str">
        <f t="shared" si="67"/>
        <v/>
      </c>
      <c r="S259" s="55" t="str">
        <f t="shared" si="68"/>
        <v/>
      </c>
      <c r="T259" s="55"/>
      <c r="U259" s="55"/>
      <c r="V259" s="55"/>
      <c r="W259" s="55" t="str">
        <f t="shared" si="69"/>
        <v/>
      </c>
      <c r="X259" s="60" t="str">
        <f t="shared" si="70"/>
        <v/>
      </c>
      <c r="Z259" s="24" t="str">
        <f t="shared" si="71"/>
        <v/>
      </c>
      <c r="AA259" s="25" t="str">
        <f t="shared" si="72"/>
        <v/>
      </c>
      <c r="AB259" s="25" t="str">
        <f t="shared" si="73"/>
        <v/>
      </c>
      <c r="AC259" s="25" t="str">
        <f t="shared" si="74"/>
        <v/>
      </c>
      <c r="AD259" s="25" t="str">
        <f t="shared" si="75"/>
        <v/>
      </c>
      <c r="AE259" s="25" t="str">
        <f t="shared" si="76"/>
        <v/>
      </c>
      <c r="AF259" s="25" t="str">
        <f t="shared" si="77"/>
        <v/>
      </c>
      <c r="AG259" s="26" t="str">
        <f t="shared" si="78"/>
        <v/>
      </c>
      <c r="AI259" s="24" t="str">
        <f t="shared" si="79"/>
        <v/>
      </c>
      <c r="AJ259" s="25" t="str">
        <f t="shared" si="80"/>
        <v/>
      </c>
      <c r="AK259" s="25" t="str">
        <f t="shared" si="81"/>
        <v/>
      </c>
      <c r="AL259" s="25" t="str">
        <f t="shared" si="82"/>
        <v/>
      </c>
      <c r="AM259" s="25" t="str">
        <f t="shared" si="83"/>
        <v/>
      </c>
      <c r="AN259" s="25" t="str">
        <f t="shared" si="84"/>
        <v/>
      </c>
      <c r="AO259" s="25"/>
      <c r="AP259" s="25"/>
      <c r="AQ259" s="25"/>
      <c r="AR259" s="25" t="str">
        <f t="shared" si="85"/>
        <v/>
      </c>
      <c r="AS259" s="26" t="str">
        <f t="shared" si="86"/>
        <v/>
      </c>
    </row>
    <row r="260" spans="2:45" hidden="1" x14ac:dyDescent="0.25">
      <c r="B260" s="70">
        <v>15</v>
      </c>
      <c r="C260" s="59" t="str">
        <f t="shared" si="55"/>
        <v/>
      </c>
      <c r="D260" s="55" t="str">
        <f t="shared" si="56"/>
        <v/>
      </c>
      <c r="E260" s="55" t="str">
        <f t="shared" si="57"/>
        <v/>
      </c>
      <c r="F260" s="55" t="str">
        <f t="shared" si="58"/>
        <v/>
      </c>
      <c r="G260" s="55" t="str">
        <f t="shared" si="59"/>
        <v/>
      </c>
      <c r="H260" s="55" t="str">
        <f t="shared" si="60"/>
        <v/>
      </c>
      <c r="I260" s="55" t="str">
        <f t="shared" si="61"/>
        <v/>
      </c>
      <c r="J260" s="60" t="str">
        <f t="shared" si="62"/>
        <v/>
      </c>
      <c r="M260" s="58">
        <v>15</v>
      </c>
      <c r="N260" s="59" t="str">
        <f t="shared" si="63"/>
        <v/>
      </c>
      <c r="O260" s="55" t="str">
        <f t="shared" si="64"/>
        <v/>
      </c>
      <c r="P260" s="55" t="str">
        <f t="shared" si="65"/>
        <v/>
      </c>
      <c r="Q260" s="55" t="str">
        <f t="shared" si="66"/>
        <v/>
      </c>
      <c r="R260" s="55" t="str">
        <f t="shared" si="67"/>
        <v/>
      </c>
      <c r="S260" s="55" t="str">
        <f t="shared" si="68"/>
        <v/>
      </c>
      <c r="T260" s="55"/>
      <c r="U260" s="55"/>
      <c r="V260" s="55"/>
      <c r="W260" s="55" t="str">
        <f t="shared" si="69"/>
        <v/>
      </c>
      <c r="X260" s="60" t="str">
        <f t="shared" si="70"/>
        <v/>
      </c>
      <c r="Z260" s="24" t="str">
        <f t="shared" si="71"/>
        <v/>
      </c>
      <c r="AA260" s="25" t="str">
        <f t="shared" si="72"/>
        <v/>
      </c>
      <c r="AB260" s="25" t="str">
        <f t="shared" si="73"/>
        <v/>
      </c>
      <c r="AC260" s="25" t="str">
        <f t="shared" si="74"/>
        <v/>
      </c>
      <c r="AD260" s="25" t="str">
        <f t="shared" si="75"/>
        <v/>
      </c>
      <c r="AE260" s="25" t="str">
        <f t="shared" si="76"/>
        <v/>
      </c>
      <c r="AF260" s="25" t="str">
        <f t="shared" si="77"/>
        <v/>
      </c>
      <c r="AG260" s="26" t="str">
        <f t="shared" si="78"/>
        <v/>
      </c>
      <c r="AI260" s="24" t="str">
        <f t="shared" si="79"/>
        <v/>
      </c>
      <c r="AJ260" s="25" t="str">
        <f t="shared" si="80"/>
        <v/>
      </c>
      <c r="AK260" s="25" t="str">
        <f t="shared" si="81"/>
        <v/>
      </c>
      <c r="AL260" s="25" t="str">
        <f t="shared" si="82"/>
        <v/>
      </c>
      <c r="AM260" s="25" t="str">
        <f t="shared" si="83"/>
        <v/>
      </c>
      <c r="AN260" s="25" t="str">
        <f t="shared" si="84"/>
        <v/>
      </c>
      <c r="AO260" s="25"/>
      <c r="AP260" s="25"/>
      <c r="AQ260" s="25"/>
      <c r="AR260" s="25" t="str">
        <f t="shared" si="85"/>
        <v/>
      </c>
      <c r="AS260" s="26" t="str">
        <f t="shared" si="86"/>
        <v/>
      </c>
    </row>
    <row r="261" spans="2:45" hidden="1" x14ac:dyDescent="0.25">
      <c r="B261" s="70">
        <v>16</v>
      </c>
      <c r="C261" s="59" t="str">
        <f t="shared" si="55"/>
        <v/>
      </c>
      <c r="D261" s="55" t="str">
        <f t="shared" si="56"/>
        <v/>
      </c>
      <c r="E261" s="55" t="str">
        <f t="shared" si="57"/>
        <v/>
      </c>
      <c r="F261" s="55" t="str">
        <f t="shared" si="58"/>
        <v/>
      </c>
      <c r="G261" s="55" t="str">
        <f t="shared" si="59"/>
        <v/>
      </c>
      <c r="H261" s="55" t="str">
        <f t="shared" si="60"/>
        <v/>
      </c>
      <c r="I261" s="55" t="str">
        <f t="shared" si="61"/>
        <v/>
      </c>
      <c r="J261" s="60" t="str">
        <f t="shared" si="62"/>
        <v/>
      </c>
      <c r="M261" s="58">
        <v>16</v>
      </c>
      <c r="N261" s="59" t="str">
        <f t="shared" si="63"/>
        <v/>
      </c>
      <c r="O261" s="55" t="str">
        <f t="shared" si="64"/>
        <v/>
      </c>
      <c r="P261" s="55" t="str">
        <f t="shared" si="65"/>
        <v/>
      </c>
      <c r="Q261" s="55" t="str">
        <f t="shared" si="66"/>
        <v/>
      </c>
      <c r="R261" s="55" t="str">
        <f t="shared" si="67"/>
        <v/>
      </c>
      <c r="S261" s="55" t="str">
        <f t="shared" si="68"/>
        <v/>
      </c>
      <c r="T261" s="55"/>
      <c r="U261" s="55"/>
      <c r="V261" s="55"/>
      <c r="W261" s="55" t="str">
        <f t="shared" si="69"/>
        <v/>
      </c>
      <c r="X261" s="60" t="str">
        <f t="shared" si="70"/>
        <v/>
      </c>
      <c r="Z261" s="24" t="str">
        <f t="shared" si="71"/>
        <v/>
      </c>
      <c r="AA261" s="25" t="str">
        <f t="shared" si="72"/>
        <v/>
      </c>
      <c r="AB261" s="25" t="str">
        <f t="shared" si="73"/>
        <v/>
      </c>
      <c r="AC261" s="25" t="str">
        <f t="shared" si="74"/>
        <v/>
      </c>
      <c r="AD261" s="25" t="str">
        <f t="shared" si="75"/>
        <v/>
      </c>
      <c r="AE261" s="25" t="str">
        <f t="shared" si="76"/>
        <v/>
      </c>
      <c r="AF261" s="25" t="str">
        <f t="shared" si="77"/>
        <v/>
      </c>
      <c r="AG261" s="26" t="str">
        <f t="shared" si="78"/>
        <v/>
      </c>
      <c r="AI261" s="24" t="str">
        <f t="shared" si="79"/>
        <v/>
      </c>
      <c r="AJ261" s="25" t="str">
        <f t="shared" si="80"/>
        <v/>
      </c>
      <c r="AK261" s="25" t="str">
        <f t="shared" si="81"/>
        <v/>
      </c>
      <c r="AL261" s="25" t="str">
        <f t="shared" si="82"/>
        <v/>
      </c>
      <c r="AM261" s="25" t="str">
        <f t="shared" si="83"/>
        <v/>
      </c>
      <c r="AN261" s="25" t="str">
        <f t="shared" si="84"/>
        <v/>
      </c>
      <c r="AO261" s="25"/>
      <c r="AP261" s="25"/>
      <c r="AQ261" s="25"/>
      <c r="AR261" s="25" t="str">
        <f t="shared" si="85"/>
        <v/>
      </c>
      <c r="AS261" s="26" t="str">
        <f t="shared" si="86"/>
        <v/>
      </c>
    </row>
    <row r="262" spans="2:45" hidden="1" x14ac:dyDescent="0.25">
      <c r="B262" s="70">
        <v>17</v>
      </c>
      <c r="C262" s="59" t="str">
        <f t="shared" si="55"/>
        <v/>
      </c>
      <c r="D262" s="55" t="str">
        <f t="shared" si="56"/>
        <v/>
      </c>
      <c r="E262" s="55" t="str">
        <f t="shared" si="57"/>
        <v/>
      </c>
      <c r="F262" s="55" t="str">
        <f t="shared" si="58"/>
        <v/>
      </c>
      <c r="G262" s="55" t="str">
        <f t="shared" si="59"/>
        <v/>
      </c>
      <c r="H262" s="55" t="str">
        <f t="shared" si="60"/>
        <v/>
      </c>
      <c r="I262" s="55" t="str">
        <f t="shared" si="61"/>
        <v/>
      </c>
      <c r="J262" s="60" t="str">
        <f t="shared" si="62"/>
        <v/>
      </c>
      <c r="M262" s="58">
        <v>17</v>
      </c>
      <c r="N262" s="59" t="str">
        <f t="shared" si="63"/>
        <v/>
      </c>
      <c r="O262" s="55" t="str">
        <f t="shared" si="64"/>
        <v/>
      </c>
      <c r="P262" s="55" t="str">
        <f t="shared" si="65"/>
        <v/>
      </c>
      <c r="Q262" s="55" t="str">
        <f t="shared" si="66"/>
        <v/>
      </c>
      <c r="R262" s="55" t="str">
        <f t="shared" si="67"/>
        <v/>
      </c>
      <c r="S262" s="55" t="str">
        <f t="shared" si="68"/>
        <v/>
      </c>
      <c r="T262" s="55"/>
      <c r="U262" s="55"/>
      <c r="V262" s="55"/>
      <c r="W262" s="55" t="str">
        <f t="shared" si="69"/>
        <v/>
      </c>
      <c r="X262" s="60" t="str">
        <f t="shared" si="70"/>
        <v/>
      </c>
      <c r="Z262" s="24" t="str">
        <f t="shared" si="71"/>
        <v/>
      </c>
      <c r="AA262" s="25" t="str">
        <f t="shared" si="72"/>
        <v/>
      </c>
      <c r="AB262" s="25" t="str">
        <f t="shared" si="73"/>
        <v/>
      </c>
      <c r="AC262" s="25" t="str">
        <f t="shared" si="74"/>
        <v/>
      </c>
      <c r="AD262" s="25" t="str">
        <f t="shared" si="75"/>
        <v/>
      </c>
      <c r="AE262" s="25" t="str">
        <f t="shared" si="76"/>
        <v/>
      </c>
      <c r="AF262" s="25" t="str">
        <f t="shared" si="77"/>
        <v/>
      </c>
      <c r="AG262" s="26" t="str">
        <f t="shared" si="78"/>
        <v/>
      </c>
      <c r="AI262" s="24" t="str">
        <f t="shared" si="79"/>
        <v/>
      </c>
      <c r="AJ262" s="25" t="str">
        <f t="shared" si="80"/>
        <v/>
      </c>
      <c r="AK262" s="25" t="str">
        <f t="shared" si="81"/>
        <v/>
      </c>
      <c r="AL262" s="25" t="str">
        <f t="shared" si="82"/>
        <v/>
      </c>
      <c r="AM262" s="25" t="str">
        <f t="shared" si="83"/>
        <v/>
      </c>
      <c r="AN262" s="25" t="str">
        <f t="shared" si="84"/>
        <v/>
      </c>
      <c r="AO262" s="25"/>
      <c r="AP262" s="25"/>
      <c r="AQ262" s="25"/>
      <c r="AR262" s="25" t="str">
        <f t="shared" si="85"/>
        <v/>
      </c>
      <c r="AS262" s="26" t="str">
        <f t="shared" si="86"/>
        <v/>
      </c>
    </row>
    <row r="263" spans="2:45" hidden="1" x14ac:dyDescent="0.25">
      <c r="B263" s="70">
        <v>18</v>
      </c>
      <c r="C263" s="59" t="str">
        <f t="shared" si="55"/>
        <v/>
      </c>
      <c r="D263" s="55" t="str">
        <f t="shared" si="56"/>
        <v/>
      </c>
      <c r="E263" s="55" t="str">
        <f t="shared" si="57"/>
        <v/>
      </c>
      <c r="F263" s="55" t="str">
        <f t="shared" si="58"/>
        <v/>
      </c>
      <c r="G263" s="55" t="str">
        <f t="shared" si="59"/>
        <v/>
      </c>
      <c r="H263" s="55" t="str">
        <f t="shared" si="60"/>
        <v/>
      </c>
      <c r="I263" s="55" t="str">
        <f t="shared" si="61"/>
        <v/>
      </c>
      <c r="J263" s="60" t="str">
        <f t="shared" si="62"/>
        <v/>
      </c>
      <c r="M263" s="58">
        <v>18</v>
      </c>
      <c r="N263" s="59" t="str">
        <f t="shared" si="63"/>
        <v/>
      </c>
      <c r="O263" s="55" t="str">
        <f t="shared" si="64"/>
        <v/>
      </c>
      <c r="P263" s="55" t="str">
        <f t="shared" si="65"/>
        <v/>
      </c>
      <c r="Q263" s="55" t="str">
        <f t="shared" si="66"/>
        <v/>
      </c>
      <c r="R263" s="55" t="str">
        <f t="shared" si="67"/>
        <v/>
      </c>
      <c r="S263" s="55" t="str">
        <f t="shared" si="68"/>
        <v/>
      </c>
      <c r="T263" s="55"/>
      <c r="U263" s="55"/>
      <c r="V263" s="55"/>
      <c r="W263" s="55" t="str">
        <f t="shared" si="69"/>
        <v/>
      </c>
      <c r="X263" s="60" t="str">
        <f t="shared" si="70"/>
        <v/>
      </c>
      <c r="Z263" s="24" t="str">
        <f t="shared" si="71"/>
        <v/>
      </c>
      <c r="AA263" s="25" t="str">
        <f t="shared" si="72"/>
        <v/>
      </c>
      <c r="AB263" s="25" t="str">
        <f t="shared" si="73"/>
        <v/>
      </c>
      <c r="AC263" s="25" t="str">
        <f t="shared" si="74"/>
        <v/>
      </c>
      <c r="AD263" s="25" t="str">
        <f t="shared" si="75"/>
        <v/>
      </c>
      <c r="AE263" s="25" t="str">
        <f t="shared" si="76"/>
        <v/>
      </c>
      <c r="AF263" s="25" t="str">
        <f t="shared" si="77"/>
        <v/>
      </c>
      <c r="AG263" s="26" t="str">
        <f t="shared" si="78"/>
        <v/>
      </c>
      <c r="AI263" s="24" t="str">
        <f t="shared" si="79"/>
        <v/>
      </c>
      <c r="AJ263" s="25" t="str">
        <f t="shared" si="80"/>
        <v/>
      </c>
      <c r="AK263" s="25" t="str">
        <f t="shared" si="81"/>
        <v/>
      </c>
      <c r="AL263" s="25" t="str">
        <f t="shared" si="82"/>
        <v/>
      </c>
      <c r="AM263" s="25" t="str">
        <f t="shared" si="83"/>
        <v/>
      </c>
      <c r="AN263" s="25" t="str">
        <f t="shared" si="84"/>
        <v/>
      </c>
      <c r="AO263" s="25"/>
      <c r="AP263" s="25"/>
      <c r="AQ263" s="25"/>
      <c r="AR263" s="25" t="str">
        <f t="shared" si="85"/>
        <v/>
      </c>
      <c r="AS263" s="26" t="str">
        <f t="shared" si="86"/>
        <v/>
      </c>
    </row>
    <row r="264" spans="2:45" hidden="1" x14ac:dyDescent="0.25">
      <c r="B264" s="70">
        <v>19</v>
      </c>
      <c r="C264" s="59" t="str">
        <f t="shared" si="55"/>
        <v/>
      </c>
      <c r="D264" s="55" t="str">
        <f t="shared" si="56"/>
        <v/>
      </c>
      <c r="E264" s="55" t="str">
        <f t="shared" si="57"/>
        <v/>
      </c>
      <c r="F264" s="55" t="str">
        <f t="shared" si="58"/>
        <v/>
      </c>
      <c r="G264" s="55" t="str">
        <f t="shared" si="59"/>
        <v/>
      </c>
      <c r="H264" s="55" t="str">
        <f t="shared" si="60"/>
        <v/>
      </c>
      <c r="I264" s="55" t="str">
        <f t="shared" si="61"/>
        <v/>
      </c>
      <c r="J264" s="60" t="str">
        <f t="shared" si="62"/>
        <v/>
      </c>
      <c r="M264" s="58">
        <v>19</v>
      </c>
      <c r="N264" s="59" t="str">
        <f t="shared" si="63"/>
        <v/>
      </c>
      <c r="O264" s="55" t="str">
        <f t="shared" si="64"/>
        <v/>
      </c>
      <c r="P264" s="55" t="str">
        <f t="shared" si="65"/>
        <v/>
      </c>
      <c r="Q264" s="55" t="str">
        <f t="shared" si="66"/>
        <v/>
      </c>
      <c r="R264" s="55" t="str">
        <f t="shared" si="67"/>
        <v/>
      </c>
      <c r="S264" s="55" t="str">
        <f t="shared" si="68"/>
        <v/>
      </c>
      <c r="T264" s="55"/>
      <c r="U264" s="55"/>
      <c r="V264" s="55"/>
      <c r="W264" s="55" t="str">
        <f t="shared" si="69"/>
        <v/>
      </c>
      <c r="X264" s="60" t="str">
        <f t="shared" si="70"/>
        <v/>
      </c>
      <c r="Z264" s="24" t="str">
        <f t="shared" si="71"/>
        <v/>
      </c>
      <c r="AA264" s="25" t="str">
        <f t="shared" si="72"/>
        <v/>
      </c>
      <c r="AB264" s="25" t="str">
        <f t="shared" si="73"/>
        <v/>
      </c>
      <c r="AC264" s="25" t="str">
        <f t="shared" si="74"/>
        <v/>
      </c>
      <c r="AD264" s="25" t="str">
        <f t="shared" si="75"/>
        <v/>
      </c>
      <c r="AE264" s="25" t="str">
        <f t="shared" si="76"/>
        <v/>
      </c>
      <c r="AF264" s="25" t="str">
        <f t="shared" si="77"/>
        <v/>
      </c>
      <c r="AG264" s="26" t="str">
        <f t="shared" si="78"/>
        <v/>
      </c>
      <c r="AI264" s="24" t="str">
        <f t="shared" si="79"/>
        <v/>
      </c>
      <c r="AJ264" s="25" t="str">
        <f t="shared" si="80"/>
        <v/>
      </c>
      <c r="AK264" s="25" t="str">
        <f t="shared" si="81"/>
        <v/>
      </c>
      <c r="AL264" s="25" t="str">
        <f t="shared" si="82"/>
        <v/>
      </c>
      <c r="AM264" s="25" t="str">
        <f t="shared" si="83"/>
        <v/>
      </c>
      <c r="AN264" s="25" t="str">
        <f t="shared" si="84"/>
        <v/>
      </c>
      <c r="AO264" s="25"/>
      <c r="AP264" s="25"/>
      <c r="AQ264" s="25"/>
      <c r="AR264" s="25" t="str">
        <f t="shared" si="85"/>
        <v/>
      </c>
      <c r="AS264" s="26" t="str">
        <f t="shared" si="86"/>
        <v/>
      </c>
    </row>
    <row r="265" spans="2:45" hidden="1" x14ac:dyDescent="0.25">
      <c r="B265" s="70">
        <v>20</v>
      </c>
      <c r="C265" s="59" t="str">
        <f t="shared" si="55"/>
        <v/>
      </c>
      <c r="D265" s="55" t="str">
        <f t="shared" si="56"/>
        <v/>
      </c>
      <c r="E265" s="55" t="str">
        <f t="shared" si="57"/>
        <v/>
      </c>
      <c r="F265" s="55" t="str">
        <f t="shared" si="58"/>
        <v/>
      </c>
      <c r="G265" s="55" t="str">
        <f t="shared" si="59"/>
        <v/>
      </c>
      <c r="H265" s="55" t="str">
        <f t="shared" si="60"/>
        <v/>
      </c>
      <c r="I265" s="55" t="str">
        <f t="shared" si="61"/>
        <v/>
      </c>
      <c r="J265" s="60" t="str">
        <f t="shared" si="62"/>
        <v/>
      </c>
      <c r="M265" s="58">
        <v>20</v>
      </c>
      <c r="N265" s="59" t="str">
        <f t="shared" si="63"/>
        <v/>
      </c>
      <c r="O265" s="55" t="str">
        <f t="shared" si="64"/>
        <v/>
      </c>
      <c r="P265" s="55" t="str">
        <f t="shared" si="65"/>
        <v/>
      </c>
      <c r="Q265" s="55" t="str">
        <f t="shared" si="66"/>
        <v/>
      </c>
      <c r="R265" s="55" t="str">
        <f t="shared" si="67"/>
        <v/>
      </c>
      <c r="S265" s="55" t="str">
        <f t="shared" si="68"/>
        <v/>
      </c>
      <c r="T265" s="55"/>
      <c r="U265" s="55"/>
      <c r="V265" s="55"/>
      <c r="W265" s="55" t="str">
        <f t="shared" si="69"/>
        <v/>
      </c>
      <c r="X265" s="60" t="str">
        <f t="shared" si="70"/>
        <v/>
      </c>
      <c r="Z265" s="24" t="str">
        <f t="shared" si="71"/>
        <v/>
      </c>
      <c r="AA265" s="25" t="str">
        <f t="shared" si="72"/>
        <v/>
      </c>
      <c r="AB265" s="25" t="str">
        <f t="shared" si="73"/>
        <v/>
      </c>
      <c r="AC265" s="25" t="str">
        <f t="shared" si="74"/>
        <v/>
      </c>
      <c r="AD265" s="25" t="str">
        <f t="shared" si="75"/>
        <v/>
      </c>
      <c r="AE265" s="25" t="str">
        <f t="shared" si="76"/>
        <v/>
      </c>
      <c r="AF265" s="25" t="str">
        <f t="shared" si="77"/>
        <v/>
      </c>
      <c r="AG265" s="26" t="str">
        <f t="shared" si="78"/>
        <v/>
      </c>
      <c r="AI265" s="24" t="str">
        <f t="shared" si="79"/>
        <v/>
      </c>
      <c r="AJ265" s="25" t="str">
        <f t="shared" si="80"/>
        <v/>
      </c>
      <c r="AK265" s="25" t="str">
        <f t="shared" si="81"/>
        <v/>
      </c>
      <c r="AL265" s="25" t="str">
        <f t="shared" si="82"/>
        <v/>
      </c>
      <c r="AM265" s="25" t="str">
        <f t="shared" si="83"/>
        <v/>
      </c>
      <c r="AN265" s="25" t="str">
        <f t="shared" si="84"/>
        <v/>
      </c>
      <c r="AO265" s="25"/>
      <c r="AP265" s="25"/>
      <c r="AQ265" s="25"/>
      <c r="AR265" s="25" t="str">
        <f t="shared" si="85"/>
        <v/>
      </c>
      <c r="AS265" s="26" t="str">
        <f t="shared" si="86"/>
        <v/>
      </c>
    </row>
    <row r="266" spans="2:45" hidden="1" x14ac:dyDescent="0.25">
      <c r="B266" s="70">
        <v>21</v>
      </c>
      <c r="C266" s="59" t="str">
        <f t="shared" si="55"/>
        <v/>
      </c>
      <c r="D266" s="55" t="str">
        <f t="shared" si="56"/>
        <v/>
      </c>
      <c r="E266" s="55" t="str">
        <f t="shared" si="57"/>
        <v/>
      </c>
      <c r="F266" s="55" t="str">
        <f t="shared" si="58"/>
        <v/>
      </c>
      <c r="G266" s="55" t="str">
        <f t="shared" si="59"/>
        <v/>
      </c>
      <c r="H266" s="55" t="str">
        <f t="shared" si="60"/>
        <v/>
      </c>
      <c r="I266" s="55" t="str">
        <f t="shared" si="61"/>
        <v/>
      </c>
      <c r="J266" s="60" t="str">
        <f t="shared" si="62"/>
        <v/>
      </c>
      <c r="M266" s="58">
        <v>21</v>
      </c>
      <c r="N266" s="59" t="str">
        <f t="shared" si="63"/>
        <v/>
      </c>
      <c r="O266" s="55" t="str">
        <f t="shared" si="64"/>
        <v/>
      </c>
      <c r="P266" s="55" t="str">
        <f t="shared" si="65"/>
        <v/>
      </c>
      <c r="Q266" s="55" t="str">
        <f t="shared" si="66"/>
        <v/>
      </c>
      <c r="R266" s="55" t="str">
        <f t="shared" si="67"/>
        <v/>
      </c>
      <c r="S266" s="55" t="str">
        <f t="shared" si="68"/>
        <v/>
      </c>
      <c r="T266" s="55"/>
      <c r="U266" s="55"/>
      <c r="V266" s="55"/>
      <c r="W266" s="55" t="str">
        <f t="shared" si="69"/>
        <v/>
      </c>
      <c r="X266" s="60" t="str">
        <f t="shared" si="70"/>
        <v/>
      </c>
      <c r="Z266" s="24" t="str">
        <f t="shared" si="71"/>
        <v/>
      </c>
      <c r="AA266" s="25" t="str">
        <f t="shared" si="72"/>
        <v/>
      </c>
      <c r="AB266" s="25" t="str">
        <f t="shared" si="73"/>
        <v/>
      </c>
      <c r="AC266" s="25" t="str">
        <f t="shared" si="74"/>
        <v/>
      </c>
      <c r="AD266" s="25" t="str">
        <f t="shared" si="75"/>
        <v/>
      </c>
      <c r="AE266" s="25" t="str">
        <f t="shared" si="76"/>
        <v/>
      </c>
      <c r="AF266" s="25" t="str">
        <f t="shared" si="77"/>
        <v/>
      </c>
      <c r="AG266" s="26" t="str">
        <f t="shared" si="78"/>
        <v/>
      </c>
      <c r="AI266" s="24" t="str">
        <f t="shared" si="79"/>
        <v/>
      </c>
      <c r="AJ266" s="25" t="str">
        <f t="shared" si="80"/>
        <v/>
      </c>
      <c r="AK266" s="25" t="str">
        <f t="shared" si="81"/>
        <v/>
      </c>
      <c r="AL266" s="25" t="str">
        <f t="shared" si="82"/>
        <v/>
      </c>
      <c r="AM266" s="25" t="str">
        <f t="shared" si="83"/>
        <v/>
      </c>
      <c r="AN266" s="25" t="str">
        <f t="shared" si="84"/>
        <v/>
      </c>
      <c r="AO266" s="25"/>
      <c r="AP266" s="25"/>
      <c r="AQ266" s="25"/>
      <c r="AR266" s="25" t="str">
        <f t="shared" si="85"/>
        <v/>
      </c>
      <c r="AS266" s="26" t="str">
        <f t="shared" si="86"/>
        <v/>
      </c>
    </row>
    <row r="267" spans="2:45" hidden="1" x14ac:dyDescent="0.25">
      <c r="B267" s="70">
        <v>22</v>
      </c>
      <c r="C267" s="59" t="str">
        <f t="shared" si="55"/>
        <v/>
      </c>
      <c r="D267" s="55" t="str">
        <f t="shared" si="56"/>
        <v/>
      </c>
      <c r="E267" s="55" t="str">
        <f t="shared" si="57"/>
        <v/>
      </c>
      <c r="F267" s="55" t="str">
        <f t="shared" si="58"/>
        <v/>
      </c>
      <c r="G267" s="55" t="str">
        <f t="shared" si="59"/>
        <v/>
      </c>
      <c r="H267" s="55" t="str">
        <f t="shared" si="60"/>
        <v/>
      </c>
      <c r="I267" s="55" t="str">
        <f t="shared" si="61"/>
        <v/>
      </c>
      <c r="J267" s="60" t="str">
        <f t="shared" si="62"/>
        <v/>
      </c>
      <c r="M267" s="58">
        <v>22</v>
      </c>
      <c r="N267" s="59" t="str">
        <f t="shared" si="63"/>
        <v/>
      </c>
      <c r="O267" s="55" t="str">
        <f t="shared" si="64"/>
        <v/>
      </c>
      <c r="P267" s="55" t="str">
        <f t="shared" si="65"/>
        <v/>
      </c>
      <c r="Q267" s="55" t="str">
        <f t="shared" si="66"/>
        <v/>
      </c>
      <c r="R267" s="55" t="str">
        <f t="shared" si="67"/>
        <v/>
      </c>
      <c r="S267" s="55" t="str">
        <f t="shared" si="68"/>
        <v/>
      </c>
      <c r="T267" s="55"/>
      <c r="U267" s="55"/>
      <c r="V267" s="55"/>
      <c r="W267" s="55" t="str">
        <f t="shared" si="69"/>
        <v/>
      </c>
      <c r="X267" s="60" t="str">
        <f t="shared" si="70"/>
        <v/>
      </c>
      <c r="Z267" s="24" t="str">
        <f t="shared" si="71"/>
        <v/>
      </c>
      <c r="AA267" s="25" t="str">
        <f t="shared" si="72"/>
        <v/>
      </c>
      <c r="AB267" s="25" t="str">
        <f t="shared" si="73"/>
        <v/>
      </c>
      <c r="AC267" s="25" t="str">
        <f t="shared" si="74"/>
        <v/>
      </c>
      <c r="AD267" s="25" t="str">
        <f t="shared" si="75"/>
        <v/>
      </c>
      <c r="AE267" s="25" t="str">
        <f t="shared" si="76"/>
        <v/>
      </c>
      <c r="AF267" s="25" t="str">
        <f t="shared" si="77"/>
        <v/>
      </c>
      <c r="AG267" s="26" t="str">
        <f t="shared" si="78"/>
        <v/>
      </c>
      <c r="AI267" s="24" t="str">
        <f t="shared" si="79"/>
        <v/>
      </c>
      <c r="AJ267" s="25" t="str">
        <f t="shared" si="80"/>
        <v/>
      </c>
      <c r="AK267" s="25" t="str">
        <f t="shared" si="81"/>
        <v/>
      </c>
      <c r="AL267" s="25" t="str">
        <f t="shared" si="82"/>
        <v/>
      </c>
      <c r="AM267" s="25" t="str">
        <f t="shared" si="83"/>
        <v/>
      </c>
      <c r="AN267" s="25" t="str">
        <f t="shared" si="84"/>
        <v/>
      </c>
      <c r="AO267" s="25"/>
      <c r="AP267" s="25"/>
      <c r="AQ267" s="25"/>
      <c r="AR267" s="25" t="str">
        <f t="shared" si="85"/>
        <v/>
      </c>
      <c r="AS267" s="26" t="str">
        <f t="shared" si="86"/>
        <v/>
      </c>
    </row>
    <row r="268" spans="2:45" hidden="1" x14ac:dyDescent="0.25">
      <c r="B268" s="70">
        <v>23</v>
      </c>
      <c r="C268" s="59" t="str">
        <f t="shared" si="55"/>
        <v/>
      </c>
      <c r="D268" s="55" t="str">
        <f t="shared" si="56"/>
        <v/>
      </c>
      <c r="E268" s="55" t="str">
        <f t="shared" si="57"/>
        <v/>
      </c>
      <c r="F268" s="55" t="str">
        <f t="shared" si="58"/>
        <v/>
      </c>
      <c r="G268" s="55" t="str">
        <f t="shared" si="59"/>
        <v/>
      </c>
      <c r="H268" s="55" t="str">
        <f t="shared" si="60"/>
        <v/>
      </c>
      <c r="I268" s="55" t="str">
        <f t="shared" si="61"/>
        <v/>
      </c>
      <c r="J268" s="60" t="str">
        <f t="shared" si="62"/>
        <v/>
      </c>
      <c r="M268" s="58">
        <v>23</v>
      </c>
      <c r="N268" s="59" t="str">
        <f t="shared" si="63"/>
        <v/>
      </c>
      <c r="O268" s="55" t="str">
        <f t="shared" si="64"/>
        <v/>
      </c>
      <c r="P268" s="55" t="str">
        <f t="shared" si="65"/>
        <v/>
      </c>
      <c r="Q268" s="55" t="str">
        <f t="shared" si="66"/>
        <v/>
      </c>
      <c r="R268" s="55" t="str">
        <f t="shared" si="67"/>
        <v/>
      </c>
      <c r="S268" s="55" t="str">
        <f t="shared" si="68"/>
        <v/>
      </c>
      <c r="T268" s="55"/>
      <c r="U268" s="55"/>
      <c r="V268" s="55"/>
      <c r="W268" s="55" t="str">
        <f t="shared" si="69"/>
        <v/>
      </c>
      <c r="X268" s="60" t="str">
        <f t="shared" si="70"/>
        <v/>
      </c>
      <c r="Z268" s="24" t="str">
        <f t="shared" si="71"/>
        <v/>
      </c>
      <c r="AA268" s="25" t="str">
        <f t="shared" si="72"/>
        <v/>
      </c>
      <c r="AB268" s="25" t="str">
        <f t="shared" si="73"/>
        <v/>
      </c>
      <c r="AC268" s="25" t="str">
        <f t="shared" si="74"/>
        <v/>
      </c>
      <c r="AD268" s="25" t="str">
        <f t="shared" si="75"/>
        <v/>
      </c>
      <c r="AE268" s="25" t="str">
        <f t="shared" si="76"/>
        <v/>
      </c>
      <c r="AF268" s="25" t="str">
        <f t="shared" si="77"/>
        <v/>
      </c>
      <c r="AG268" s="26" t="str">
        <f t="shared" si="78"/>
        <v/>
      </c>
      <c r="AI268" s="24" t="str">
        <f t="shared" si="79"/>
        <v/>
      </c>
      <c r="AJ268" s="25" t="str">
        <f t="shared" si="80"/>
        <v/>
      </c>
      <c r="AK268" s="25" t="str">
        <f t="shared" si="81"/>
        <v/>
      </c>
      <c r="AL268" s="25" t="str">
        <f t="shared" si="82"/>
        <v/>
      </c>
      <c r="AM268" s="25" t="str">
        <f t="shared" si="83"/>
        <v/>
      </c>
      <c r="AN268" s="25" t="str">
        <f t="shared" si="84"/>
        <v/>
      </c>
      <c r="AO268" s="25"/>
      <c r="AP268" s="25"/>
      <c r="AQ268" s="25"/>
      <c r="AR268" s="25" t="str">
        <f t="shared" si="85"/>
        <v/>
      </c>
      <c r="AS268" s="26" t="str">
        <f t="shared" si="86"/>
        <v/>
      </c>
    </row>
    <row r="269" spans="2:45" hidden="1" x14ac:dyDescent="0.25">
      <c r="B269" s="70">
        <v>24</v>
      </c>
      <c r="C269" s="59" t="str">
        <f t="shared" si="55"/>
        <v/>
      </c>
      <c r="D269" s="55" t="str">
        <f t="shared" si="56"/>
        <v/>
      </c>
      <c r="E269" s="55" t="str">
        <f t="shared" si="57"/>
        <v/>
      </c>
      <c r="F269" s="55" t="str">
        <f t="shared" si="58"/>
        <v/>
      </c>
      <c r="G269" s="55" t="str">
        <f t="shared" si="59"/>
        <v/>
      </c>
      <c r="H269" s="55" t="str">
        <f t="shared" si="60"/>
        <v/>
      </c>
      <c r="I269" s="55" t="str">
        <f t="shared" si="61"/>
        <v/>
      </c>
      <c r="J269" s="60" t="str">
        <f t="shared" si="62"/>
        <v/>
      </c>
      <c r="M269" s="58">
        <v>24</v>
      </c>
      <c r="N269" s="59" t="str">
        <f t="shared" si="63"/>
        <v/>
      </c>
      <c r="O269" s="55" t="str">
        <f t="shared" si="64"/>
        <v/>
      </c>
      <c r="P269" s="55" t="str">
        <f t="shared" si="65"/>
        <v/>
      </c>
      <c r="Q269" s="55" t="str">
        <f t="shared" si="66"/>
        <v/>
      </c>
      <c r="R269" s="55" t="str">
        <f t="shared" si="67"/>
        <v/>
      </c>
      <c r="S269" s="55" t="str">
        <f t="shared" si="68"/>
        <v/>
      </c>
      <c r="T269" s="55"/>
      <c r="U269" s="55"/>
      <c r="V269" s="55"/>
      <c r="W269" s="55" t="str">
        <f t="shared" si="69"/>
        <v/>
      </c>
      <c r="X269" s="60" t="str">
        <f t="shared" si="70"/>
        <v/>
      </c>
      <c r="Z269" s="24" t="str">
        <f t="shared" si="71"/>
        <v/>
      </c>
      <c r="AA269" s="25" t="str">
        <f t="shared" si="72"/>
        <v/>
      </c>
      <c r="AB269" s="25" t="str">
        <f t="shared" si="73"/>
        <v/>
      </c>
      <c r="AC269" s="25" t="str">
        <f t="shared" si="74"/>
        <v/>
      </c>
      <c r="AD269" s="25" t="str">
        <f t="shared" si="75"/>
        <v/>
      </c>
      <c r="AE269" s="25" t="str">
        <f t="shared" si="76"/>
        <v/>
      </c>
      <c r="AF269" s="25" t="str">
        <f t="shared" si="77"/>
        <v/>
      </c>
      <c r="AG269" s="26" t="str">
        <f t="shared" si="78"/>
        <v/>
      </c>
      <c r="AI269" s="24" t="str">
        <f t="shared" si="79"/>
        <v/>
      </c>
      <c r="AJ269" s="25" t="str">
        <f t="shared" si="80"/>
        <v/>
      </c>
      <c r="AK269" s="25" t="str">
        <f t="shared" si="81"/>
        <v/>
      </c>
      <c r="AL269" s="25" t="str">
        <f t="shared" si="82"/>
        <v/>
      </c>
      <c r="AM269" s="25" t="str">
        <f t="shared" si="83"/>
        <v/>
      </c>
      <c r="AN269" s="25" t="str">
        <f t="shared" si="84"/>
        <v/>
      </c>
      <c r="AO269" s="25"/>
      <c r="AP269" s="25"/>
      <c r="AQ269" s="25"/>
      <c r="AR269" s="25" t="str">
        <f t="shared" si="85"/>
        <v/>
      </c>
      <c r="AS269" s="26" t="str">
        <f t="shared" si="86"/>
        <v/>
      </c>
    </row>
    <row r="270" spans="2:45" hidden="1" x14ac:dyDescent="0.25">
      <c r="B270" s="70">
        <v>25</v>
      </c>
      <c r="C270" s="59" t="str">
        <f t="shared" si="55"/>
        <v/>
      </c>
      <c r="D270" s="55" t="str">
        <f t="shared" si="56"/>
        <v/>
      </c>
      <c r="E270" s="55" t="str">
        <f t="shared" si="57"/>
        <v/>
      </c>
      <c r="F270" s="55" t="str">
        <f t="shared" si="58"/>
        <v/>
      </c>
      <c r="G270" s="55" t="str">
        <f t="shared" si="59"/>
        <v/>
      </c>
      <c r="H270" s="55" t="str">
        <f t="shared" si="60"/>
        <v/>
      </c>
      <c r="I270" s="55" t="str">
        <f t="shared" si="61"/>
        <v/>
      </c>
      <c r="J270" s="60" t="str">
        <f t="shared" si="62"/>
        <v/>
      </c>
      <c r="M270" s="58">
        <v>25</v>
      </c>
      <c r="N270" s="59" t="str">
        <f t="shared" si="63"/>
        <v/>
      </c>
      <c r="O270" s="55" t="str">
        <f t="shared" si="64"/>
        <v/>
      </c>
      <c r="P270" s="55" t="str">
        <f t="shared" si="65"/>
        <v/>
      </c>
      <c r="Q270" s="55" t="str">
        <f t="shared" si="66"/>
        <v/>
      </c>
      <c r="R270" s="55" t="str">
        <f t="shared" si="67"/>
        <v/>
      </c>
      <c r="S270" s="55" t="str">
        <f t="shared" si="68"/>
        <v/>
      </c>
      <c r="T270" s="55"/>
      <c r="U270" s="55"/>
      <c r="V270" s="55"/>
      <c r="W270" s="55" t="str">
        <f t="shared" si="69"/>
        <v/>
      </c>
      <c r="X270" s="60" t="str">
        <f t="shared" si="70"/>
        <v/>
      </c>
      <c r="Z270" s="24" t="str">
        <f t="shared" si="71"/>
        <v/>
      </c>
      <c r="AA270" s="25" t="str">
        <f t="shared" si="72"/>
        <v/>
      </c>
      <c r="AB270" s="25" t="str">
        <f t="shared" si="73"/>
        <v/>
      </c>
      <c r="AC270" s="25" t="str">
        <f t="shared" si="74"/>
        <v/>
      </c>
      <c r="AD270" s="25" t="str">
        <f t="shared" si="75"/>
        <v/>
      </c>
      <c r="AE270" s="25" t="str">
        <f t="shared" si="76"/>
        <v/>
      </c>
      <c r="AF270" s="25" t="str">
        <f t="shared" si="77"/>
        <v/>
      </c>
      <c r="AG270" s="26" t="str">
        <f t="shared" si="78"/>
        <v/>
      </c>
      <c r="AI270" s="24" t="str">
        <f t="shared" si="79"/>
        <v/>
      </c>
      <c r="AJ270" s="25" t="str">
        <f t="shared" si="80"/>
        <v/>
      </c>
      <c r="AK270" s="25" t="str">
        <f t="shared" si="81"/>
        <v/>
      </c>
      <c r="AL270" s="25" t="str">
        <f t="shared" si="82"/>
        <v/>
      </c>
      <c r="AM270" s="25" t="str">
        <f t="shared" si="83"/>
        <v/>
      </c>
      <c r="AN270" s="25" t="str">
        <f t="shared" si="84"/>
        <v/>
      </c>
      <c r="AO270" s="25"/>
      <c r="AP270" s="25"/>
      <c r="AQ270" s="25"/>
      <c r="AR270" s="25" t="str">
        <f t="shared" si="85"/>
        <v/>
      </c>
      <c r="AS270" s="26" t="str">
        <f t="shared" si="86"/>
        <v/>
      </c>
    </row>
    <row r="271" spans="2:45" hidden="1" x14ac:dyDescent="0.25">
      <c r="B271" s="70">
        <v>26</v>
      </c>
      <c r="C271" s="59" t="str">
        <f t="shared" si="55"/>
        <v/>
      </c>
      <c r="D271" s="55" t="str">
        <f t="shared" si="56"/>
        <v/>
      </c>
      <c r="E271" s="55" t="str">
        <f t="shared" si="57"/>
        <v/>
      </c>
      <c r="F271" s="55" t="str">
        <f t="shared" si="58"/>
        <v/>
      </c>
      <c r="G271" s="55" t="str">
        <f t="shared" si="59"/>
        <v/>
      </c>
      <c r="H271" s="55" t="str">
        <f t="shared" si="60"/>
        <v/>
      </c>
      <c r="I271" s="55" t="str">
        <f t="shared" si="61"/>
        <v/>
      </c>
      <c r="J271" s="60" t="str">
        <f t="shared" si="62"/>
        <v/>
      </c>
      <c r="M271" s="58">
        <v>26</v>
      </c>
      <c r="N271" s="59" t="str">
        <f t="shared" si="63"/>
        <v/>
      </c>
      <c r="O271" s="55" t="str">
        <f t="shared" si="64"/>
        <v/>
      </c>
      <c r="P271" s="55" t="str">
        <f t="shared" si="65"/>
        <v/>
      </c>
      <c r="Q271" s="55" t="str">
        <f t="shared" si="66"/>
        <v/>
      </c>
      <c r="R271" s="55" t="str">
        <f t="shared" si="67"/>
        <v/>
      </c>
      <c r="S271" s="55" t="str">
        <f t="shared" si="68"/>
        <v/>
      </c>
      <c r="T271" s="55"/>
      <c r="U271" s="55"/>
      <c r="V271" s="55"/>
      <c r="W271" s="55" t="str">
        <f t="shared" si="69"/>
        <v/>
      </c>
      <c r="X271" s="60" t="str">
        <f t="shared" si="70"/>
        <v/>
      </c>
      <c r="Z271" s="24" t="str">
        <f t="shared" si="71"/>
        <v/>
      </c>
      <c r="AA271" s="25" t="str">
        <f t="shared" si="72"/>
        <v/>
      </c>
      <c r="AB271" s="25" t="str">
        <f t="shared" si="73"/>
        <v/>
      </c>
      <c r="AC271" s="25" t="str">
        <f t="shared" si="74"/>
        <v/>
      </c>
      <c r="AD271" s="25" t="str">
        <f t="shared" si="75"/>
        <v/>
      </c>
      <c r="AE271" s="25" t="str">
        <f t="shared" si="76"/>
        <v/>
      </c>
      <c r="AF271" s="25" t="str">
        <f t="shared" si="77"/>
        <v/>
      </c>
      <c r="AG271" s="26" t="str">
        <f t="shared" si="78"/>
        <v/>
      </c>
      <c r="AI271" s="24" t="str">
        <f t="shared" si="79"/>
        <v/>
      </c>
      <c r="AJ271" s="25" t="str">
        <f t="shared" si="80"/>
        <v/>
      </c>
      <c r="AK271" s="25" t="str">
        <f t="shared" si="81"/>
        <v/>
      </c>
      <c r="AL271" s="25" t="str">
        <f t="shared" si="82"/>
        <v/>
      </c>
      <c r="AM271" s="25" t="str">
        <f t="shared" si="83"/>
        <v/>
      </c>
      <c r="AN271" s="25" t="str">
        <f t="shared" si="84"/>
        <v/>
      </c>
      <c r="AO271" s="25"/>
      <c r="AP271" s="25"/>
      <c r="AQ271" s="25"/>
      <c r="AR271" s="25" t="str">
        <f t="shared" si="85"/>
        <v/>
      </c>
      <c r="AS271" s="26" t="str">
        <f t="shared" si="86"/>
        <v/>
      </c>
    </row>
    <row r="272" spans="2:45" hidden="1" x14ac:dyDescent="0.25">
      <c r="B272" s="70">
        <v>27</v>
      </c>
      <c r="C272" s="59" t="str">
        <f t="shared" si="55"/>
        <v/>
      </c>
      <c r="D272" s="55" t="str">
        <f t="shared" si="56"/>
        <v/>
      </c>
      <c r="E272" s="55" t="str">
        <f t="shared" si="57"/>
        <v/>
      </c>
      <c r="F272" s="55" t="str">
        <f t="shared" si="58"/>
        <v/>
      </c>
      <c r="G272" s="55" t="str">
        <f t="shared" si="59"/>
        <v/>
      </c>
      <c r="H272" s="55" t="str">
        <f t="shared" si="60"/>
        <v/>
      </c>
      <c r="I272" s="55" t="str">
        <f t="shared" si="61"/>
        <v/>
      </c>
      <c r="J272" s="60" t="str">
        <f t="shared" si="62"/>
        <v/>
      </c>
      <c r="M272" s="58">
        <v>27</v>
      </c>
      <c r="N272" s="59" t="str">
        <f t="shared" si="63"/>
        <v/>
      </c>
      <c r="O272" s="55" t="str">
        <f t="shared" si="64"/>
        <v/>
      </c>
      <c r="P272" s="55" t="str">
        <f t="shared" si="65"/>
        <v/>
      </c>
      <c r="Q272" s="55" t="str">
        <f t="shared" si="66"/>
        <v/>
      </c>
      <c r="R272" s="55" t="str">
        <f t="shared" si="67"/>
        <v/>
      </c>
      <c r="S272" s="55" t="str">
        <f t="shared" si="68"/>
        <v/>
      </c>
      <c r="T272" s="55"/>
      <c r="U272" s="55"/>
      <c r="V272" s="55"/>
      <c r="W272" s="55" t="str">
        <f t="shared" si="69"/>
        <v/>
      </c>
      <c r="X272" s="60" t="str">
        <f t="shared" si="70"/>
        <v/>
      </c>
      <c r="Z272" s="24" t="str">
        <f t="shared" si="71"/>
        <v/>
      </c>
      <c r="AA272" s="25" t="str">
        <f t="shared" si="72"/>
        <v/>
      </c>
      <c r="AB272" s="25" t="str">
        <f t="shared" si="73"/>
        <v/>
      </c>
      <c r="AC272" s="25" t="str">
        <f t="shared" si="74"/>
        <v/>
      </c>
      <c r="AD272" s="25" t="str">
        <f t="shared" si="75"/>
        <v/>
      </c>
      <c r="AE272" s="25" t="str">
        <f t="shared" si="76"/>
        <v/>
      </c>
      <c r="AF272" s="25" t="str">
        <f t="shared" si="77"/>
        <v/>
      </c>
      <c r="AG272" s="26" t="str">
        <f t="shared" si="78"/>
        <v/>
      </c>
      <c r="AI272" s="24" t="str">
        <f t="shared" si="79"/>
        <v/>
      </c>
      <c r="AJ272" s="25" t="str">
        <f t="shared" si="80"/>
        <v/>
      </c>
      <c r="AK272" s="25" t="str">
        <f t="shared" si="81"/>
        <v/>
      </c>
      <c r="AL272" s="25" t="str">
        <f t="shared" si="82"/>
        <v/>
      </c>
      <c r="AM272" s="25" t="str">
        <f t="shared" si="83"/>
        <v/>
      </c>
      <c r="AN272" s="25" t="str">
        <f t="shared" si="84"/>
        <v/>
      </c>
      <c r="AO272" s="25"/>
      <c r="AP272" s="25"/>
      <c r="AQ272" s="25"/>
      <c r="AR272" s="25" t="str">
        <f t="shared" si="85"/>
        <v/>
      </c>
      <c r="AS272" s="26" t="str">
        <f t="shared" si="86"/>
        <v/>
      </c>
    </row>
    <row r="273" spans="2:45" hidden="1" x14ac:dyDescent="0.25">
      <c r="B273" s="70">
        <v>28</v>
      </c>
      <c r="C273" s="59" t="str">
        <f t="shared" si="55"/>
        <v/>
      </c>
      <c r="D273" s="55" t="str">
        <f t="shared" si="56"/>
        <v/>
      </c>
      <c r="E273" s="55" t="str">
        <f t="shared" si="57"/>
        <v/>
      </c>
      <c r="F273" s="55" t="str">
        <f t="shared" si="58"/>
        <v/>
      </c>
      <c r="G273" s="55" t="str">
        <f t="shared" si="59"/>
        <v/>
      </c>
      <c r="H273" s="55" t="str">
        <f t="shared" si="60"/>
        <v/>
      </c>
      <c r="I273" s="55" t="str">
        <f t="shared" si="61"/>
        <v/>
      </c>
      <c r="J273" s="60" t="str">
        <f t="shared" si="62"/>
        <v/>
      </c>
      <c r="M273" s="58">
        <v>28</v>
      </c>
      <c r="N273" s="59" t="str">
        <f t="shared" si="63"/>
        <v/>
      </c>
      <c r="O273" s="55" t="str">
        <f t="shared" si="64"/>
        <v/>
      </c>
      <c r="P273" s="55" t="str">
        <f t="shared" si="65"/>
        <v/>
      </c>
      <c r="Q273" s="55" t="str">
        <f t="shared" si="66"/>
        <v/>
      </c>
      <c r="R273" s="55" t="str">
        <f t="shared" si="67"/>
        <v/>
      </c>
      <c r="S273" s="55" t="str">
        <f t="shared" si="68"/>
        <v/>
      </c>
      <c r="T273" s="55"/>
      <c r="U273" s="55"/>
      <c r="V273" s="55"/>
      <c r="W273" s="55" t="str">
        <f t="shared" si="69"/>
        <v/>
      </c>
      <c r="X273" s="60" t="str">
        <f t="shared" si="70"/>
        <v/>
      </c>
      <c r="Z273" s="24" t="str">
        <f t="shared" si="71"/>
        <v/>
      </c>
      <c r="AA273" s="25" t="str">
        <f t="shared" si="72"/>
        <v/>
      </c>
      <c r="AB273" s="25" t="str">
        <f t="shared" si="73"/>
        <v/>
      </c>
      <c r="AC273" s="25" t="str">
        <f t="shared" si="74"/>
        <v/>
      </c>
      <c r="AD273" s="25" t="str">
        <f t="shared" si="75"/>
        <v/>
      </c>
      <c r="AE273" s="25" t="str">
        <f t="shared" si="76"/>
        <v/>
      </c>
      <c r="AF273" s="25" t="str">
        <f t="shared" si="77"/>
        <v/>
      </c>
      <c r="AG273" s="26" t="str">
        <f t="shared" si="78"/>
        <v/>
      </c>
      <c r="AI273" s="24" t="str">
        <f t="shared" si="79"/>
        <v/>
      </c>
      <c r="AJ273" s="25" t="str">
        <f t="shared" si="80"/>
        <v/>
      </c>
      <c r="AK273" s="25" t="str">
        <f t="shared" si="81"/>
        <v/>
      </c>
      <c r="AL273" s="25" t="str">
        <f t="shared" si="82"/>
        <v/>
      </c>
      <c r="AM273" s="25" t="str">
        <f t="shared" si="83"/>
        <v/>
      </c>
      <c r="AN273" s="25" t="str">
        <f t="shared" si="84"/>
        <v/>
      </c>
      <c r="AO273" s="25"/>
      <c r="AP273" s="25"/>
      <c r="AQ273" s="25"/>
      <c r="AR273" s="25" t="str">
        <f t="shared" si="85"/>
        <v/>
      </c>
      <c r="AS273" s="26" t="str">
        <f t="shared" si="86"/>
        <v/>
      </c>
    </row>
    <row r="274" spans="2:45" hidden="1" x14ac:dyDescent="0.25">
      <c r="B274" s="70">
        <v>29</v>
      </c>
      <c r="C274" s="59" t="str">
        <f t="shared" si="55"/>
        <v/>
      </c>
      <c r="D274" s="55" t="str">
        <f t="shared" si="56"/>
        <v/>
      </c>
      <c r="E274" s="55" t="str">
        <f t="shared" si="57"/>
        <v/>
      </c>
      <c r="F274" s="55" t="str">
        <f t="shared" si="58"/>
        <v/>
      </c>
      <c r="G274" s="55" t="str">
        <f t="shared" si="59"/>
        <v/>
      </c>
      <c r="H274" s="55" t="str">
        <f t="shared" si="60"/>
        <v/>
      </c>
      <c r="I274" s="55" t="str">
        <f t="shared" si="61"/>
        <v/>
      </c>
      <c r="J274" s="60" t="str">
        <f t="shared" si="62"/>
        <v/>
      </c>
      <c r="M274" s="58">
        <v>29</v>
      </c>
      <c r="N274" s="59" t="str">
        <f t="shared" si="63"/>
        <v/>
      </c>
      <c r="O274" s="55" t="str">
        <f t="shared" si="64"/>
        <v/>
      </c>
      <c r="P274" s="55" t="str">
        <f t="shared" si="65"/>
        <v/>
      </c>
      <c r="Q274" s="55" t="str">
        <f t="shared" si="66"/>
        <v/>
      </c>
      <c r="R274" s="55" t="str">
        <f t="shared" si="67"/>
        <v/>
      </c>
      <c r="S274" s="55" t="str">
        <f t="shared" si="68"/>
        <v/>
      </c>
      <c r="T274" s="55"/>
      <c r="U274" s="55"/>
      <c r="V274" s="55"/>
      <c r="W274" s="55" t="str">
        <f t="shared" si="69"/>
        <v/>
      </c>
      <c r="X274" s="60" t="str">
        <f t="shared" si="70"/>
        <v/>
      </c>
      <c r="Z274" s="24" t="str">
        <f t="shared" si="71"/>
        <v/>
      </c>
      <c r="AA274" s="25" t="str">
        <f t="shared" si="72"/>
        <v/>
      </c>
      <c r="AB274" s="25" t="str">
        <f t="shared" si="73"/>
        <v/>
      </c>
      <c r="AC274" s="25" t="str">
        <f t="shared" si="74"/>
        <v/>
      </c>
      <c r="AD274" s="25" t="str">
        <f t="shared" si="75"/>
        <v/>
      </c>
      <c r="AE274" s="25" t="str">
        <f t="shared" si="76"/>
        <v/>
      </c>
      <c r="AF274" s="25" t="str">
        <f t="shared" si="77"/>
        <v/>
      </c>
      <c r="AG274" s="26" t="str">
        <f t="shared" si="78"/>
        <v/>
      </c>
      <c r="AI274" s="24" t="str">
        <f t="shared" si="79"/>
        <v/>
      </c>
      <c r="AJ274" s="25" t="str">
        <f t="shared" si="80"/>
        <v/>
      </c>
      <c r="AK274" s="25" t="str">
        <f t="shared" si="81"/>
        <v/>
      </c>
      <c r="AL274" s="25" t="str">
        <f t="shared" si="82"/>
        <v/>
      </c>
      <c r="AM274" s="25" t="str">
        <f t="shared" si="83"/>
        <v/>
      </c>
      <c r="AN274" s="25" t="str">
        <f t="shared" si="84"/>
        <v/>
      </c>
      <c r="AO274" s="25"/>
      <c r="AP274" s="25"/>
      <c r="AQ274" s="25"/>
      <c r="AR274" s="25" t="str">
        <f t="shared" si="85"/>
        <v/>
      </c>
      <c r="AS274" s="26" t="str">
        <f t="shared" si="86"/>
        <v/>
      </c>
    </row>
    <row r="275" spans="2:45" hidden="1" x14ac:dyDescent="0.25">
      <c r="B275" s="70">
        <v>30</v>
      </c>
      <c r="C275" s="59" t="str">
        <f t="shared" si="55"/>
        <v/>
      </c>
      <c r="D275" s="55" t="str">
        <f t="shared" si="56"/>
        <v/>
      </c>
      <c r="E275" s="55" t="str">
        <f t="shared" si="57"/>
        <v/>
      </c>
      <c r="F275" s="55" t="str">
        <f t="shared" si="58"/>
        <v/>
      </c>
      <c r="G275" s="55" t="str">
        <f t="shared" si="59"/>
        <v/>
      </c>
      <c r="H275" s="55" t="str">
        <f t="shared" si="60"/>
        <v/>
      </c>
      <c r="I275" s="55" t="str">
        <f t="shared" si="61"/>
        <v/>
      </c>
      <c r="J275" s="60" t="str">
        <f t="shared" si="62"/>
        <v/>
      </c>
      <c r="M275" s="58">
        <v>30</v>
      </c>
      <c r="N275" s="59" t="str">
        <f t="shared" si="63"/>
        <v/>
      </c>
      <c r="O275" s="55" t="str">
        <f t="shared" si="64"/>
        <v/>
      </c>
      <c r="P275" s="55" t="str">
        <f t="shared" si="65"/>
        <v/>
      </c>
      <c r="Q275" s="55" t="str">
        <f t="shared" si="66"/>
        <v/>
      </c>
      <c r="R275" s="55" t="str">
        <f t="shared" si="67"/>
        <v/>
      </c>
      <c r="S275" s="55" t="str">
        <f t="shared" si="68"/>
        <v/>
      </c>
      <c r="T275" s="55"/>
      <c r="U275" s="55"/>
      <c r="V275" s="55"/>
      <c r="W275" s="55" t="str">
        <f t="shared" si="69"/>
        <v/>
      </c>
      <c r="X275" s="60" t="str">
        <f t="shared" si="70"/>
        <v/>
      </c>
      <c r="Z275" s="24" t="str">
        <f t="shared" si="71"/>
        <v/>
      </c>
      <c r="AA275" s="25" t="str">
        <f t="shared" si="72"/>
        <v/>
      </c>
      <c r="AB275" s="25" t="str">
        <f t="shared" si="73"/>
        <v/>
      </c>
      <c r="AC275" s="25" t="str">
        <f t="shared" si="74"/>
        <v/>
      </c>
      <c r="AD275" s="25" t="str">
        <f t="shared" si="75"/>
        <v/>
      </c>
      <c r="AE275" s="25" t="str">
        <f t="shared" si="76"/>
        <v/>
      </c>
      <c r="AF275" s="25" t="str">
        <f t="shared" si="77"/>
        <v/>
      </c>
      <c r="AG275" s="26" t="str">
        <f t="shared" si="78"/>
        <v/>
      </c>
      <c r="AI275" s="24" t="str">
        <f t="shared" si="79"/>
        <v/>
      </c>
      <c r="AJ275" s="25" t="str">
        <f t="shared" si="80"/>
        <v/>
      </c>
      <c r="AK275" s="25" t="str">
        <f t="shared" si="81"/>
        <v/>
      </c>
      <c r="AL275" s="25" t="str">
        <f t="shared" si="82"/>
        <v/>
      </c>
      <c r="AM275" s="25" t="str">
        <f t="shared" si="83"/>
        <v/>
      </c>
      <c r="AN275" s="25" t="str">
        <f t="shared" si="84"/>
        <v/>
      </c>
      <c r="AO275" s="25"/>
      <c r="AP275" s="25"/>
      <c r="AQ275" s="25"/>
      <c r="AR275" s="25" t="str">
        <f t="shared" si="85"/>
        <v/>
      </c>
      <c r="AS275" s="26" t="str">
        <f t="shared" si="86"/>
        <v/>
      </c>
    </row>
    <row r="276" spans="2:45" hidden="1" x14ac:dyDescent="0.25">
      <c r="B276" s="70">
        <v>31</v>
      </c>
      <c r="C276" s="59" t="str">
        <f t="shared" si="55"/>
        <v/>
      </c>
      <c r="D276" s="55" t="str">
        <f t="shared" si="56"/>
        <v/>
      </c>
      <c r="E276" s="55" t="str">
        <f t="shared" si="57"/>
        <v/>
      </c>
      <c r="F276" s="55" t="str">
        <f t="shared" si="58"/>
        <v/>
      </c>
      <c r="G276" s="55" t="str">
        <f t="shared" si="59"/>
        <v/>
      </c>
      <c r="H276" s="55" t="str">
        <f t="shared" si="60"/>
        <v/>
      </c>
      <c r="I276" s="55" t="str">
        <f t="shared" si="61"/>
        <v/>
      </c>
      <c r="J276" s="60" t="str">
        <f t="shared" si="62"/>
        <v/>
      </c>
      <c r="M276" s="58">
        <v>31</v>
      </c>
      <c r="N276" s="59" t="str">
        <f t="shared" si="63"/>
        <v/>
      </c>
      <c r="O276" s="55" t="str">
        <f t="shared" si="64"/>
        <v/>
      </c>
      <c r="P276" s="55" t="str">
        <f t="shared" si="65"/>
        <v/>
      </c>
      <c r="Q276" s="55" t="str">
        <f t="shared" si="66"/>
        <v/>
      </c>
      <c r="R276" s="55" t="str">
        <f t="shared" si="67"/>
        <v/>
      </c>
      <c r="S276" s="55" t="str">
        <f t="shared" si="68"/>
        <v/>
      </c>
      <c r="T276" s="55"/>
      <c r="U276" s="55"/>
      <c r="V276" s="55"/>
      <c r="W276" s="55" t="str">
        <f t="shared" si="69"/>
        <v/>
      </c>
      <c r="X276" s="60" t="str">
        <f t="shared" si="70"/>
        <v/>
      </c>
      <c r="Z276" s="24" t="str">
        <f t="shared" si="71"/>
        <v/>
      </c>
      <c r="AA276" s="25" t="str">
        <f t="shared" si="72"/>
        <v/>
      </c>
      <c r="AB276" s="25" t="str">
        <f t="shared" si="73"/>
        <v/>
      </c>
      <c r="AC276" s="25" t="str">
        <f t="shared" si="74"/>
        <v/>
      </c>
      <c r="AD276" s="25" t="str">
        <f t="shared" si="75"/>
        <v/>
      </c>
      <c r="AE276" s="25" t="str">
        <f t="shared" si="76"/>
        <v/>
      </c>
      <c r="AF276" s="25" t="str">
        <f t="shared" si="77"/>
        <v/>
      </c>
      <c r="AG276" s="26" t="str">
        <f t="shared" si="78"/>
        <v/>
      </c>
      <c r="AI276" s="24" t="str">
        <f t="shared" si="79"/>
        <v/>
      </c>
      <c r="AJ276" s="25" t="str">
        <f t="shared" si="80"/>
        <v/>
      </c>
      <c r="AK276" s="25" t="str">
        <f t="shared" si="81"/>
        <v/>
      </c>
      <c r="AL276" s="25" t="str">
        <f t="shared" si="82"/>
        <v/>
      </c>
      <c r="AM276" s="25" t="str">
        <f t="shared" si="83"/>
        <v/>
      </c>
      <c r="AN276" s="25" t="str">
        <f t="shared" si="84"/>
        <v/>
      </c>
      <c r="AO276" s="25"/>
      <c r="AP276" s="25"/>
      <c r="AQ276" s="25"/>
      <c r="AR276" s="25" t="str">
        <f t="shared" si="85"/>
        <v/>
      </c>
      <c r="AS276" s="26" t="str">
        <f t="shared" si="86"/>
        <v/>
      </c>
    </row>
    <row r="277" spans="2:45" hidden="1" x14ac:dyDescent="0.25">
      <c r="B277" s="70">
        <v>32</v>
      </c>
      <c r="C277" s="59" t="str">
        <f t="shared" si="55"/>
        <v/>
      </c>
      <c r="D277" s="55" t="str">
        <f t="shared" si="56"/>
        <v/>
      </c>
      <c r="E277" s="55" t="str">
        <f t="shared" si="57"/>
        <v/>
      </c>
      <c r="F277" s="55" t="str">
        <f t="shared" si="58"/>
        <v/>
      </c>
      <c r="G277" s="55" t="str">
        <f t="shared" si="59"/>
        <v/>
      </c>
      <c r="H277" s="55" t="str">
        <f t="shared" si="60"/>
        <v/>
      </c>
      <c r="I277" s="55" t="str">
        <f t="shared" si="61"/>
        <v/>
      </c>
      <c r="J277" s="60" t="str">
        <f t="shared" si="62"/>
        <v/>
      </c>
      <c r="M277" s="58">
        <v>32</v>
      </c>
      <c r="N277" s="59" t="str">
        <f t="shared" si="63"/>
        <v/>
      </c>
      <c r="O277" s="55" t="str">
        <f t="shared" si="64"/>
        <v/>
      </c>
      <c r="P277" s="55" t="str">
        <f t="shared" si="65"/>
        <v/>
      </c>
      <c r="Q277" s="55" t="str">
        <f t="shared" si="66"/>
        <v/>
      </c>
      <c r="R277" s="55" t="str">
        <f t="shared" si="67"/>
        <v/>
      </c>
      <c r="S277" s="55" t="str">
        <f t="shared" si="68"/>
        <v/>
      </c>
      <c r="T277" s="55"/>
      <c r="U277" s="55"/>
      <c r="V277" s="55"/>
      <c r="W277" s="55" t="str">
        <f t="shared" si="69"/>
        <v/>
      </c>
      <c r="X277" s="60" t="str">
        <f t="shared" si="70"/>
        <v/>
      </c>
      <c r="Z277" s="24" t="str">
        <f t="shared" si="71"/>
        <v/>
      </c>
      <c r="AA277" s="25" t="str">
        <f t="shared" si="72"/>
        <v/>
      </c>
      <c r="AB277" s="25" t="str">
        <f t="shared" si="73"/>
        <v/>
      </c>
      <c r="AC277" s="25" t="str">
        <f t="shared" si="74"/>
        <v/>
      </c>
      <c r="AD277" s="25" t="str">
        <f t="shared" si="75"/>
        <v/>
      </c>
      <c r="AE277" s="25" t="str">
        <f t="shared" si="76"/>
        <v/>
      </c>
      <c r="AF277" s="25" t="str">
        <f t="shared" si="77"/>
        <v/>
      </c>
      <c r="AG277" s="26" t="str">
        <f t="shared" si="78"/>
        <v/>
      </c>
      <c r="AI277" s="24" t="str">
        <f t="shared" si="79"/>
        <v/>
      </c>
      <c r="AJ277" s="25" t="str">
        <f t="shared" si="80"/>
        <v/>
      </c>
      <c r="AK277" s="25" t="str">
        <f t="shared" si="81"/>
        <v/>
      </c>
      <c r="AL277" s="25" t="str">
        <f t="shared" si="82"/>
        <v/>
      </c>
      <c r="AM277" s="25" t="str">
        <f t="shared" si="83"/>
        <v/>
      </c>
      <c r="AN277" s="25" t="str">
        <f t="shared" si="84"/>
        <v/>
      </c>
      <c r="AO277" s="25"/>
      <c r="AP277" s="25"/>
      <c r="AQ277" s="25"/>
      <c r="AR277" s="25" t="str">
        <f t="shared" si="85"/>
        <v/>
      </c>
      <c r="AS277" s="26" t="str">
        <f t="shared" si="86"/>
        <v/>
      </c>
    </row>
    <row r="278" spans="2:45" hidden="1" x14ac:dyDescent="0.25">
      <c r="B278" s="70">
        <v>33</v>
      </c>
      <c r="C278" s="59" t="str">
        <f t="shared" ref="C278:C309" si="87">IFERROR(VLOOKUP(SMALL($B$114:$B$241,B278),$B$114:$J$241,2,FALSE),"")</f>
        <v/>
      </c>
      <c r="D278" s="55" t="str">
        <f t="shared" ref="D278:D309" si="88">IFERROR(VLOOKUP(SMALL($B$114:$B$241,B278),$B$114:$J$241,3,FALSE),"")</f>
        <v/>
      </c>
      <c r="E278" s="55" t="str">
        <f t="shared" ref="E278:E309" si="89">IFERROR(VLOOKUP(SMALL($B$114:$B$241,B278),$B$114:$J$241,4,FALSE),"")</f>
        <v/>
      </c>
      <c r="F278" s="55" t="str">
        <f t="shared" ref="F278:F309" si="90">IFERROR(VLOOKUP(SMALL($B$114:$B$241,B278),$B$114:$J$241,5,FALSE),"")</f>
        <v/>
      </c>
      <c r="G278" s="55" t="str">
        <f t="shared" ref="G278:G309" si="91">IFERROR(VLOOKUP(SMALL($B$114:$B$241,B278),$B$114:$J$241,6,FALSE),"")</f>
        <v/>
      </c>
      <c r="H278" s="55" t="str">
        <f t="shared" ref="H278:H309" si="92">IFERROR(VLOOKUP(SMALL($B$114:$B$241,B278),$B$114:$J$241,7,FALSE),"")</f>
        <v/>
      </c>
      <c r="I278" s="55" t="str">
        <f t="shared" ref="I278:I309" si="93">IFERROR(VLOOKUP(SMALL($B$114:$B$241,B278),$B$114:$J$241,8,FALSE),"")</f>
        <v/>
      </c>
      <c r="J278" s="60" t="str">
        <f t="shared" ref="J278:J309" si="94">IFERROR(VLOOKUP(SMALL($B$114:$B$241,B278),$B$114:$J$241,9,FALSE),"")</f>
        <v/>
      </c>
      <c r="M278" s="58">
        <v>33</v>
      </c>
      <c r="N278" s="59" t="str">
        <f t="shared" ref="N278:N309" si="95">IFERROR(VLOOKUP(SMALL($M$114:$M$241,M278),$M$114:$X$241,2,FALSE),"")</f>
        <v/>
      </c>
      <c r="O278" s="55" t="str">
        <f t="shared" ref="O278:O309" si="96">IFERROR(VLOOKUP(SMALL($M$114:$M$241,M278),$M$114:$X$241,3,FALSE),"")</f>
        <v/>
      </c>
      <c r="P278" s="55" t="str">
        <f t="shared" ref="P278:P309" si="97">IFERROR(VLOOKUP(SMALL($M$114:$M$241,M278),$M$114:$X$241,4,FALSE),"")</f>
        <v/>
      </c>
      <c r="Q278" s="55" t="str">
        <f t="shared" ref="Q278:Q309" si="98">IFERROR(VLOOKUP(SMALL($M$114:$M$241,M278),$M$114:$X$241,5,FALSE),"")</f>
        <v/>
      </c>
      <c r="R278" s="55" t="str">
        <f t="shared" ref="R278:R309" si="99">IFERROR(VLOOKUP(SMALL($M$114:$M$241,M278),$M$114:$X$241,6,FALSE),"")</f>
        <v/>
      </c>
      <c r="S278" s="55" t="str">
        <f t="shared" ref="S278:S309" si="100">IFERROR(VLOOKUP(SMALL($M$114:$M$241,M278),$M$114:$X$241,7,FALSE),"")</f>
        <v/>
      </c>
      <c r="T278" s="55"/>
      <c r="U278" s="55"/>
      <c r="V278" s="55"/>
      <c r="W278" s="55" t="str">
        <f t="shared" ref="W278:W309" si="101">IFERROR(VLOOKUP(SMALL($M$114:$M$241,M278),$M$114:$X$241,8,FALSE),"")</f>
        <v/>
      </c>
      <c r="X278" s="60" t="str">
        <f t="shared" ref="X278:X309" si="102">IFERROR(VLOOKUP(SMALL($M$114:$M$241,M278),$M$114:$X$241,9,FALSE),"")</f>
        <v/>
      </c>
      <c r="Z278" s="24" t="str">
        <f t="shared" ref="Z278:Z309" si="103">IF(ISNUMBER(C278),C278*$AB$383,"")</f>
        <v/>
      </c>
      <c r="AA278" s="25" t="str">
        <f t="shared" ref="AA278:AA309" si="104">IF(ISNUMBER(D278),D278*$AB$386,"")</f>
        <v/>
      </c>
      <c r="AB278" s="25" t="str">
        <f t="shared" ref="AB278:AB309" si="105">IF(ISNUMBER(E278),E278*$AB$389,"")</f>
        <v/>
      </c>
      <c r="AC278" s="25" t="str">
        <f t="shared" ref="AC278:AC309" si="106">IF(ISNUMBER(F278),F278*$AB$392,"")</f>
        <v/>
      </c>
      <c r="AD278" s="25" t="str">
        <f t="shared" ref="AD278:AD309" si="107">IF(ISNUMBER(G278),G278*$AB$383,"")</f>
        <v/>
      </c>
      <c r="AE278" s="25" t="str">
        <f t="shared" ref="AE278:AE309" si="108">IF(ISNUMBER(H278),H278*$AB$386,"")</f>
        <v/>
      </c>
      <c r="AF278" s="25" t="str">
        <f t="shared" ref="AF278:AF309" si="109">IF(ISNUMBER(I278),I278*$AB$389,"")</f>
        <v/>
      </c>
      <c r="AG278" s="26" t="str">
        <f t="shared" ref="AG278:AG309" si="110">IF(ISNUMBER(J278),J278*$AB$392,"")</f>
        <v/>
      </c>
      <c r="AI278" s="24" t="str">
        <f t="shared" ref="AI278:AI309" si="111">IF(ISNUMBER(N278),N278*$AB$395,"")</f>
        <v/>
      </c>
      <c r="AJ278" s="25" t="str">
        <f t="shared" ref="AJ278:AJ309" si="112">IF(ISNUMBER(O278),O278*$AB$398,"")</f>
        <v/>
      </c>
      <c r="AK278" s="25" t="str">
        <f t="shared" ref="AK278:AK309" si="113">IF(ISNUMBER(P278),P278*$AB$401,"")</f>
        <v/>
      </c>
      <c r="AL278" s="25" t="str">
        <f t="shared" ref="AL278:AL309" si="114">IF(ISNUMBER(Q278),Q278*$AB$404,"")</f>
        <v/>
      </c>
      <c r="AM278" s="25" t="str">
        <f t="shared" ref="AM278:AM309" si="115">IF(ISNUMBER(R278),R278*$AB$395,"")</f>
        <v/>
      </c>
      <c r="AN278" s="25" t="str">
        <f t="shared" ref="AN278:AN309" si="116">IF(ISNUMBER(S278),S278*$AB$398,"")</f>
        <v/>
      </c>
      <c r="AO278" s="25"/>
      <c r="AP278" s="25"/>
      <c r="AQ278" s="25"/>
      <c r="AR278" s="25" t="str">
        <f t="shared" ref="AR278:AR309" si="117">IF(ISNUMBER(W278),W278*$AB$401,"")</f>
        <v/>
      </c>
      <c r="AS278" s="26" t="str">
        <f t="shared" ref="AS278:AS309" si="118">IF(ISNUMBER(X278),X278*$AB$404,"")</f>
        <v/>
      </c>
    </row>
    <row r="279" spans="2:45" hidden="1" x14ac:dyDescent="0.25">
      <c r="B279" s="70">
        <v>34</v>
      </c>
      <c r="C279" s="59" t="str">
        <f t="shared" si="87"/>
        <v/>
      </c>
      <c r="D279" s="55" t="str">
        <f t="shared" si="88"/>
        <v/>
      </c>
      <c r="E279" s="55" t="str">
        <f t="shared" si="89"/>
        <v/>
      </c>
      <c r="F279" s="55" t="str">
        <f t="shared" si="90"/>
        <v/>
      </c>
      <c r="G279" s="55" t="str">
        <f t="shared" si="91"/>
        <v/>
      </c>
      <c r="H279" s="55" t="str">
        <f t="shared" si="92"/>
        <v/>
      </c>
      <c r="I279" s="55" t="str">
        <f t="shared" si="93"/>
        <v/>
      </c>
      <c r="J279" s="60" t="str">
        <f t="shared" si="94"/>
        <v/>
      </c>
      <c r="M279" s="58">
        <v>34</v>
      </c>
      <c r="N279" s="59" t="str">
        <f t="shared" si="95"/>
        <v/>
      </c>
      <c r="O279" s="55" t="str">
        <f t="shared" si="96"/>
        <v/>
      </c>
      <c r="P279" s="55" t="str">
        <f t="shared" si="97"/>
        <v/>
      </c>
      <c r="Q279" s="55" t="str">
        <f t="shared" si="98"/>
        <v/>
      </c>
      <c r="R279" s="55" t="str">
        <f t="shared" si="99"/>
        <v/>
      </c>
      <c r="S279" s="55" t="str">
        <f t="shared" si="100"/>
        <v/>
      </c>
      <c r="T279" s="55"/>
      <c r="U279" s="55"/>
      <c r="V279" s="55"/>
      <c r="W279" s="55" t="str">
        <f t="shared" si="101"/>
        <v/>
      </c>
      <c r="X279" s="60" t="str">
        <f t="shared" si="102"/>
        <v/>
      </c>
      <c r="Z279" s="24" t="str">
        <f t="shared" si="103"/>
        <v/>
      </c>
      <c r="AA279" s="25" t="str">
        <f t="shared" si="104"/>
        <v/>
      </c>
      <c r="AB279" s="25" t="str">
        <f t="shared" si="105"/>
        <v/>
      </c>
      <c r="AC279" s="25" t="str">
        <f t="shared" si="106"/>
        <v/>
      </c>
      <c r="AD279" s="25" t="str">
        <f t="shared" si="107"/>
        <v/>
      </c>
      <c r="AE279" s="25" t="str">
        <f t="shared" si="108"/>
        <v/>
      </c>
      <c r="AF279" s="25" t="str">
        <f t="shared" si="109"/>
        <v/>
      </c>
      <c r="AG279" s="26" t="str">
        <f t="shared" si="110"/>
        <v/>
      </c>
      <c r="AI279" s="24" t="str">
        <f t="shared" si="111"/>
        <v/>
      </c>
      <c r="AJ279" s="25" t="str">
        <f t="shared" si="112"/>
        <v/>
      </c>
      <c r="AK279" s="25" t="str">
        <f t="shared" si="113"/>
        <v/>
      </c>
      <c r="AL279" s="25" t="str">
        <f t="shared" si="114"/>
        <v/>
      </c>
      <c r="AM279" s="25" t="str">
        <f t="shared" si="115"/>
        <v/>
      </c>
      <c r="AN279" s="25" t="str">
        <f t="shared" si="116"/>
        <v/>
      </c>
      <c r="AO279" s="25"/>
      <c r="AP279" s="25"/>
      <c r="AQ279" s="25"/>
      <c r="AR279" s="25" t="str">
        <f t="shared" si="117"/>
        <v/>
      </c>
      <c r="AS279" s="26" t="str">
        <f t="shared" si="118"/>
        <v/>
      </c>
    </row>
    <row r="280" spans="2:45" hidden="1" x14ac:dyDescent="0.25">
      <c r="B280" s="70">
        <v>35</v>
      </c>
      <c r="C280" s="59" t="str">
        <f t="shared" si="87"/>
        <v/>
      </c>
      <c r="D280" s="55" t="str">
        <f t="shared" si="88"/>
        <v/>
      </c>
      <c r="E280" s="55" t="str">
        <f t="shared" si="89"/>
        <v/>
      </c>
      <c r="F280" s="55" t="str">
        <f t="shared" si="90"/>
        <v/>
      </c>
      <c r="G280" s="55" t="str">
        <f t="shared" si="91"/>
        <v/>
      </c>
      <c r="H280" s="55" t="str">
        <f t="shared" si="92"/>
        <v/>
      </c>
      <c r="I280" s="55" t="str">
        <f t="shared" si="93"/>
        <v/>
      </c>
      <c r="J280" s="60" t="str">
        <f t="shared" si="94"/>
        <v/>
      </c>
      <c r="M280" s="58">
        <v>35</v>
      </c>
      <c r="N280" s="59" t="str">
        <f t="shared" si="95"/>
        <v/>
      </c>
      <c r="O280" s="55" t="str">
        <f t="shared" si="96"/>
        <v/>
      </c>
      <c r="P280" s="55" t="str">
        <f t="shared" si="97"/>
        <v/>
      </c>
      <c r="Q280" s="55" t="str">
        <f t="shared" si="98"/>
        <v/>
      </c>
      <c r="R280" s="55" t="str">
        <f t="shared" si="99"/>
        <v/>
      </c>
      <c r="S280" s="55" t="str">
        <f t="shared" si="100"/>
        <v/>
      </c>
      <c r="T280" s="55"/>
      <c r="U280" s="55"/>
      <c r="V280" s="55"/>
      <c r="W280" s="55" t="str">
        <f t="shared" si="101"/>
        <v/>
      </c>
      <c r="X280" s="60" t="str">
        <f t="shared" si="102"/>
        <v/>
      </c>
      <c r="Z280" s="24" t="str">
        <f t="shared" si="103"/>
        <v/>
      </c>
      <c r="AA280" s="25" t="str">
        <f t="shared" si="104"/>
        <v/>
      </c>
      <c r="AB280" s="25" t="str">
        <f t="shared" si="105"/>
        <v/>
      </c>
      <c r="AC280" s="25" t="str">
        <f t="shared" si="106"/>
        <v/>
      </c>
      <c r="AD280" s="25" t="str">
        <f t="shared" si="107"/>
        <v/>
      </c>
      <c r="AE280" s="25" t="str">
        <f t="shared" si="108"/>
        <v/>
      </c>
      <c r="AF280" s="25" t="str">
        <f t="shared" si="109"/>
        <v/>
      </c>
      <c r="AG280" s="26" t="str">
        <f t="shared" si="110"/>
        <v/>
      </c>
      <c r="AI280" s="24" t="str">
        <f t="shared" si="111"/>
        <v/>
      </c>
      <c r="AJ280" s="25" t="str">
        <f t="shared" si="112"/>
        <v/>
      </c>
      <c r="AK280" s="25" t="str">
        <f t="shared" si="113"/>
        <v/>
      </c>
      <c r="AL280" s="25" t="str">
        <f t="shared" si="114"/>
        <v/>
      </c>
      <c r="AM280" s="25" t="str">
        <f t="shared" si="115"/>
        <v/>
      </c>
      <c r="AN280" s="25" t="str">
        <f t="shared" si="116"/>
        <v/>
      </c>
      <c r="AO280" s="25"/>
      <c r="AP280" s="25"/>
      <c r="AQ280" s="25"/>
      <c r="AR280" s="25" t="str">
        <f t="shared" si="117"/>
        <v/>
      </c>
      <c r="AS280" s="26" t="str">
        <f t="shared" si="118"/>
        <v/>
      </c>
    </row>
    <row r="281" spans="2:45" hidden="1" x14ac:dyDescent="0.25">
      <c r="B281" s="70">
        <v>36</v>
      </c>
      <c r="C281" s="59" t="str">
        <f t="shared" si="87"/>
        <v/>
      </c>
      <c r="D281" s="55" t="str">
        <f t="shared" si="88"/>
        <v/>
      </c>
      <c r="E281" s="55" t="str">
        <f t="shared" si="89"/>
        <v/>
      </c>
      <c r="F281" s="55" t="str">
        <f t="shared" si="90"/>
        <v/>
      </c>
      <c r="G281" s="55" t="str">
        <f t="shared" si="91"/>
        <v/>
      </c>
      <c r="H281" s="55" t="str">
        <f t="shared" si="92"/>
        <v/>
      </c>
      <c r="I281" s="55" t="str">
        <f t="shared" si="93"/>
        <v/>
      </c>
      <c r="J281" s="60" t="str">
        <f t="shared" si="94"/>
        <v/>
      </c>
      <c r="M281" s="58">
        <v>36</v>
      </c>
      <c r="N281" s="59" t="str">
        <f t="shared" si="95"/>
        <v/>
      </c>
      <c r="O281" s="55" t="str">
        <f t="shared" si="96"/>
        <v/>
      </c>
      <c r="P281" s="55" t="str">
        <f t="shared" si="97"/>
        <v/>
      </c>
      <c r="Q281" s="55" t="str">
        <f t="shared" si="98"/>
        <v/>
      </c>
      <c r="R281" s="55" t="str">
        <f t="shared" si="99"/>
        <v/>
      </c>
      <c r="S281" s="55" t="str">
        <f t="shared" si="100"/>
        <v/>
      </c>
      <c r="T281" s="55"/>
      <c r="U281" s="55"/>
      <c r="V281" s="55"/>
      <c r="W281" s="55" t="str">
        <f t="shared" si="101"/>
        <v/>
      </c>
      <c r="X281" s="60" t="str">
        <f t="shared" si="102"/>
        <v/>
      </c>
      <c r="Z281" s="24" t="str">
        <f t="shared" si="103"/>
        <v/>
      </c>
      <c r="AA281" s="25" t="str">
        <f t="shared" si="104"/>
        <v/>
      </c>
      <c r="AB281" s="25" t="str">
        <f t="shared" si="105"/>
        <v/>
      </c>
      <c r="AC281" s="25" t="str">
        <f t="shared" si="106"/>
        <v/>
      </c>
      <c r="AD281" s="25" t="str">
        <f t="shared" si="107"/>
        <v/>
      </c>
      <c r="AE281" s="25" t="str">
        <f t="shared" si="108"/>
        <v/>
      </c>
      <c r="AF281" s="25" t="str">
        <f t="shared" si="109"/>
        <v/>
      </c>
      <c r="AG281" s="26" t="str">
        <f t="shared" si="110"/>
        <v/>
      </c>
      <c r="AI281" s="24" t="str">
        <f t="shared" si="111"/>
        <v/>
      </c>
      <c r="AJ281" s="25" t="str">
        <f t="shared" si="112"/>
        <v/>
      </c>
      <c r="AK281" s="25" t="str">
        <f t="shared" si="113"/>
        <v/>
      </c>
      <c r="AL281" s="25" t="str">
        <f t="shared" si="114"/>
        <v/>
      </c>
      <c r="AM281" s="25" t="str">
        <f t="shared" si="115"/>
        <v/>
      </c>
      <c r="AN281" s="25" t="str">
        <f t="shared" si="116"/>
        <v/>
      </c>
      <c r="AO281" s="25"/>
      <c r="AP281" s="25"/>
      <c r="AQ281" s="25"/>
      <c r="AR281" s="25" t="str">
        <f t="shared" si="117"/>
        <v/>
      </c>
      <c r="AS281" s="26" t="str">
        <f t="shared" si="118"/>
        <v/>
      </c>
    </row>
    <row r="282" spans="2:45" hidden="1" x14ac:dyDescent="0.25">
      <c r="B282" s="70">
        <v>37</v>
      </c>
      <c r="C282" s="59" t="str">
        <f t="shared" si="87"/>
        <v/>
      </c>
      <c r="D282" s="55" t="str">
        <f t="shared" si="88"/>
        <v/>
      </c>
      <c r="E282" s="55" t="str">
        <f t="shared" si="89"/>
        <v/>
      </c>
      <c r="F282" s="55" t="str">
        <f t="shared" si="90"/>
        <v/>
      </c>
      <c r="G282" s="55" t="str">
        <f t="shared" si="91"/>
        <v/>
      </c>
      <c r="H282" s="55" t="str">
        <f t="shared" si="92"/>
        <v/>
      </c>
      <c r="I282" s="55" t="str">
        <f t="shared" si="93"/>
        <v/>
      </c>
      <c r="J282" s="60" t="str">
        <f t="shared" si="94"/>
        <v/>
      </c>
      <c r="M282" s="58">
        <v>37</v>
      </c>
      <c r="N282" s="59" t="str">
        <f t="shared" si="95"/>
        <v/>
      </c>
      <c r="O282" s="55" t="str">
        <f t="shared" si="96"/>
        <v/>
      </c>
      <c r="P282" s="55" t="str">
        <f t="shared" si="97"/>
        <v/>
      </c>
      <c r="Q282" s="55" t="str">
        <f t="shared" si="98"/>
        <v/>
      </c>
      <c r="R282" s="55" t="str">
        <f t="shared" si="99"/>
        <v/>
      </c>
      <c r="S282" s="55" t="str">
        <f t="shared" si="100"/>
        <v/>
      </c>
      <c r="T282" s="55"/>
      <c r="U282" s="55"/>
      <c r="V282" s="55"/>
      <c r="W282" s="55" t="str">
        <f t="shared" si="101"/>
        <v/>
      </c>
      <c r="X282" s="60" t="str">
        <f t="shared" si="102"/>
        <v/>
      </c>
      <c r="Z282" s="24" t="str">
        <f t="shared" si="103"/>
        <v/>
      </c>
      <c r="AA282" s="25" t="str">
        <f t="shared" si="104"/>
        <v/>
      </c>
      <c r="AB282" s="25" t="str">
        <f t="shared" si="105"/>
        <v/>
      </c>
      <c r="AC282" s="25" t="str">
        <f t="shared" si="106"/>
        <v/>
      </c>
      <c r="AD282" s="25" t="str">
        <f t="shared" si="107"/>
        <v/>
      </c>
      <c r="AE282" s="25" t="str">
        <f t="shared" si="108"/>
        <v/>
      </c>
      <c r="AF282" s="25" t="str">
        <f t="shared" si="109"/>
        <v/>
      </c>
      <c r="AG282" s="26" t="str">
        <f t="shared" si="110"/>
        <v/>
      </c>
      <c r="AI282" s="24" t="str">
        <f t="shared" si="111"/>
        <v/>
      </c>
      <c r="AJ282" s="25" t="str">
        <f t="shared" si="112"/>
        <v/>
      </c>
      <c r="AK282" s="25" t="str">
        <f t="shared" si="113"/>
        <v/>
      </c>
      <c r="AL282" s="25" t="str">
        <f t="shared" si="114"/>
        <v/>
      </c>
      <c r="AM282" s="25" t="str">
        <f t="shared" si="115"/>
        <v/>
      </c>
      <c r="AN282" s="25" t="str">
        <f t="shared" si="116"/>
        <v/>
      </c>
      <c r="AO282" s="25"/>
      <c r="AP282" s="25"/>
      <c r="AQ282" s="25"/>
      <c r="AR282" s="25" t="str">
        <f t="shared" si="117"/>
        <v/>
      </c>
      <c r="AS282" s="26" t="str">
        <f t="shared" si="118"/>
        <v/>
      </c>
    </row>
    <row r="283" spans="2:45" hidden="1" x14ac:dyDescent="0.25">
      <c r="B283" s="70">
        <v>38</v>
      </c>
      <c r="C283" s="59" t="str">
        <f t="shared" si="87"/>
        <v/>
      </c>
      <c r="D283" s="55" t="str">
        <f t="shared" si="88"/>
        <v/>
      </c>
      <c r="E283" s="55" t="str">
        <f t="shared" si="89"/>
        <v/>
      </c>
      <c r="F283" s="55" t="str">
        <f t="shared" si="90"/>
        <v/>
      </c>
      <c r="G283" s="55" t="str">
        <f t="shared" si="91"/>
        <v/>
      </c>
      <c r="H283" s="55" t="str">
        <f t="shared" si="92"/>
        <v/>
      </c>
      <c r="I283" s="55" t="str">
        <f t="shared" si="93"/>
        <v/>
      </c>
      <c r="J283" s="60" t="str">
        <f t="shared" si="94"/>
        <v/>
      </c>
      <c r="M283" s="58">
        <v>38</v>
      </c>
      <c r="N283" s="59" t="str">
        <f t="shared" si="95"/>
        <v/>
      </c>
      <c r="O283" s="55" t="str">
        <f t="shared" si="96"/>
        <v/>
      </c>
      <c r="P283" s="55" t="str">
        <f t="shared" si="97"/>
        <v/>
      </c>
      <c r="Q283" s="55" t="str">
        <f t="shared" si="98"/>
        <v/>
      </c>
      <c r="R283" s="55" t="str">
        <f t="shared" si="99"/>
        <v/>
      </c>
      <c r="S283" s="55" t="str">
        <f t="shared" si="100"/>
        <v/>
      </c>
      <c r="T283" s="55"/>
      <c r="U283" s="55"/>
      <c r="V283" s="55"/>
      <c r="W283" s="55" t="str">
        <f t="shared" si="101"/>
        <v/>
      </c>
      <c r="X283" s="60" t="str">
        <f t="shared" si="102"/>
        <v/>
      </c>
      <c r="Z283" s="24" t="str">
        <f t="shared" si="103"/>
        <v/>
      </c>
      <c r="AA283" s="25" t="str">
        <f t="shared" si="104"/>
        <v/>
      </c>
      <c r="AB283" s="25" t="str">
        <f t="shared" si="105"/>
        <v/>
      </c>
      <c r="AC283" s="25" t="str">
        <f t="shared" si="106"/>
        <v/>
      </c>
      <c r="AD283" s="25" t="str">
        <f t="shared" si="107"/>
        <v/>
      </c>
      <c r="AE283" s="25" t="str">
        <f t="shared" si="108"/>
        <v/>
      </c>
      <c r="AF283" s="25" t="str">
        <f t="shared" si="109"/>
        <v/>
      </c>
      <c r="AG283" s="26" t="str">
        <f t="shared" si="110"/>
        <v/>
      </c>
      <c r="AI283" s="24" t="str">
        <f t="shared" si="111"/>
        <v/>
      </c>
      <c r="AJ283" s="25" t="str">
        <f t="shared" si="112"/>
        <v/>
      </c>
      <c r="AK283" s="25" t="str">
        <f t="shared" si="113"/>
        <v/>
      </c>
      <c r="AL283" s="25" t="str">
        <f t="shared" si="114"/>
        <v/>
      </c>
      <c r="AM283" s="25" t="str">
        <f t="shared" si="115"/>
        <v/>
      </c>
      <c r="AN283" s="25" t="str">
        <f t="shared" si="116"/>
        <v/>
      </c>
      <c r="AO283" s="25"/>
      <c r="AP283" s="25"/>
      <c r="AQ283" s="25"/>
      <c r="AR283" s="25" t="str">
        <f t="shared" si="117"/>
        <v/>
      </c>
      <c r="AS283" s="26" t="str">
        <f t="shared" si="118"/>
        <v/>
      </c>
    </row>
    <row r="284" spans="2:45" hidden="1" x14ac:dyDescent="0.25">
      <c r="B284" s="70">
        <v>39</v>
      </c>
      <c r="C284" s="59" t="str">
        <f t="shared" si="87"/>
        <v/>
      </c>
      <c r="D284" s="55" t="str">
        <f t="shared" si="88"/>
        <v/>
      </c>
      <c r="E284" s="55" t="str">
        <f t="shared" si="89"/>
        <v/>
      </c>
      <c r="F284" s="55" t="str">
        <f t="shared" si="90"/>
        <v/>
      </c>
      <c r="G284" s="55" t="str">
        <f t="shared" si="91"/>
        <v/>
      </c>
      <c r="H284" s="55" t="str">
        <f t="shared" si="92"/>
        <v/>
      </c>
      <c r="I284" s="55" t="str">
        <f t="shared" si="93"/>
        <v/>
      </c>
      <c r="J284" s="60" t="str">
        <f t="shared" si="94"/>
        <v/>
      </c>
      <c r="M284" s="58">
        <v>39</v>
      </c>
      <c r="N284" s="59" t="str">
        <f t="shared" si="95"/>
        <v/>
      </c>
      <c r="O284" s="55" t="str">
        <f t="shared" si="96"/>
        <v/>
      </c>
      <c r="P284" s="55" t="str">
        <f t="shared" si="97"/>
        <v/>
      </c>
      <c r="Q284" s="55" t="str">
        <f t="shared" si="98"/>
        <v/>
      </c>
      <c r="R284" s="55" t="str">
        <f t="shared" si="99"/>
        <v/>
      </c>
      <c r="S284" s="55" t="str">
        <f t="shared" si="100"/>
        <v/>
      </c>
      <c r="T284" s="55"/>
      <c r="U284" s="55"/>
      <c r="V284" s="55"/>
      <c r="W284" s="55" t="str">
        <f t="shared" si="101"/>
        <v/>
      </c>
      <c r="X284" s="60" t="str">
        <f t="shared" si="102"/>
        <v/>
      </c>
      <c r="Z284" s="24" t="str">
        <f t="shared" si="103"/>
        <v/>
      </c>
      <c r="AA284" s="25" t="str">
        <f t="shared" si="104"/>
        <v/>
      </c>
      <c r="AB284" s="25" t="str">
        <f t="shared" si="105"/>
        <v/>
      </c>
      <c r="AC284" s="25" t="str">
        <f t="shared" si="106"/>
        <v/>
      </c>
      <c r="AD284" s="25" t="str">
        <f t="shared" si="107"/>
        <v/>
      </c>
      <c r="AE284" s="25" t="str">
        <f t="shared" si="108"/>
        <v/>
      </c>
      <c r="AF284" s="25" t="str">
        <f t="shared" si="109"/>
        <v/>
      </c>
      <c r="AG284" s="26" t="str">
        <f t="shared" si="110"/>
        <v/>
      </c>
      <c r="AI284" s="24" t="str">
        <f t="shared" si="111"/>
        <v/>
      </c>
      <c r="AJ284" s="25" t="str">
        <f t="shared" si="112"/>
        <v/>
      </c>
      <c r="AK284" s="25" t="str">
        <f t="shared" si="113"/>
        <v/>
      </c>
      <c r="AL284" s="25" t="str">
        <f t="shared" si="114"/>
        <v/>
      </c>
      <c r="AM284" s="25" t="str">
        <f t="shared" si="115"/>
        <v/>
      </c>
      <c r="AN284" s="25" t="str">
        <f t="shared" si="116"/>
        <v/>
      </c>
      <c r="AO284" s="25"/>
      <c r="AP284" s="25"/>
      <c r="AQ284" s="25"/>
      <c r="AR284" s="25" t="str">
        <f t="shared" si="117"/>
        <v/>
      </c>
      <c r="AS284" s="26" t="str">
        <f t="shared" si="118"/>
        <v/>
      </c>
    </row>
    <row r="285" spans="2:45" hidden="1" x14ac:dyDescent="0.25">
      <c r="B285" s="70">
        <v>40</v>
      </c>
      <c r="C285" s="59" t="str">
        <f t="shared" si="87"/>
        <v/>
      </c>
      <c r="D285" s="55" t="str">
        <f t="shared" si="88"/>
        <v/>
      </c>
      <c r="E285" s="55" t="str">
        <f t="shared" si="89"/>
        <v/>
      </c>
      <c r="F285" s="55" t="str">
        <f t="shared" si="90"/>
        <v/>
      </c>
      <c r="G285" s="55" t="str">
        <f t="shared" si="91"/>
        <v/>
      </c>
      <c r="H285" s="55" t="str">
        <f t="shared" si="92"/>
        <v/>
      </c>
      <c r="I285" s="55" t="str">
        <f t="shared" si="93"/>
        <v/>
      </c>
      <c r="J285" s="60" t="str">
        <f t="shared" si="94"/>
        <v/>
      </c>
      <c r="M285" s="58">
        <v>40</v>
      </c>
      <c r="N285" s="59" t="str">
        <f t="shared" si="95"/>
        <v/>
      </c>
      <c r="O285" s="55" t="str">
        <f t="shared" si="96"/>
        <v/>
      </c>
      <c r="P285" s="55" t="str">
        <f t="shared" si="97"/>
        <v/>
      </c>
      <c r="Q285" s="55" t="str">
        <f t="shared" si="98"/>
        <v/>
      </c>
      <c r="R285" s="55" t="str">
        <f t="shared" si="99"/>
        <v/>
      </c>
      <c r="S285" s="55" t="str">
        <f t="shared" si="100"/>
        <v/>
      </c>
      <c r="T285" s="55"/>
      <c r="U285" s="55"/>
      <c r="V285" s="55"/>
      <c r="W285" s="55" t="str">
        <f t="shared" si="101"/>
        <v/>
      </c>
      <c r="X285" s="60" t="str">
        <f t="shared" si="102"/>
        <v/>
      </c>
      <c r="Z285" s="24" t="str">
        <f t="shared" si="103"/>
        <v/>
      </c>
      <c r="AA285" s="25" t="str">
        <f t="shared" si="104"/>
        <v/>
      </c>
      <c r="AB285" s="25" t="str">
        <f t="shared" si="105"/>
        <v/>
      </c>
      <c r="AC285" s="25" t="str">
        <f t="shared" si="106"/>
        <v/>
      </c>
      <c r="AD285" s="25" t="str">
        <f t="shared" si="107"/>
        <v/>
      </c>
      <c r="AE285" s="25" t="str">
        <f t="shared" si="108"/>
        <v/>
      </c>
      <c r="AF285" s="25" t="str">
        <f t="shared" si="109"/>
        <v/>
      </c>
      <c r="AG285" s="26" t="str">
        <f t="shared" si="110"/>
        <v/>
      </c>
      <c r="AI285" s="24" t="str">
        <f t="shared" si="111"/>
        <v/>
      </c>
      <c r="AJ285" s="25" t="str">
        <f t="shared" si="112"/>
        <v/>
      </c>
      <c r="AK285" s="25" t="str">
        <f t="shared" si="113"/>
        <v/>
      </c>
      <c r="AL285" s="25" t="str">
        <f t="shared" si="114"/>
        <v/>
      </c>
      <c r="AM285" s="25" t="str">
        <f t="shared" si="115"/>
        <v/>
      </c>
      <c r="AN285" s="25" t="str">
        <f t="shared" si="116"/>
        <v/>
      </c>
      <c r="AO285" s="25"/>
      <c r="AP285" s="25"/>
      <c r="AQ285" s="25"/>
      <c r="AR285" s="25" t="str">
        <f t="shared" si="117"/>
        <v/>
      </c>
      <c r="AS285" s="26" t="str">
        <f t="shared" si="118"/>
        <v/>
      </c>
    </row>
    <row r="286" spans="2:45" hidden="1" x14ac:dyDescent="0.25">
      <c r="B286" s="70">
        <v>41</v>
      </c>
      <c r="C286" s="59" t="str">
        <f t="shared" si="87"/>
        <v/>
      </c>
      <c r="D286" s="55" t="str">
        <f t="shared" si="88"/>
        <v/>
      </c>
      <c r="E286" s="55" t="str">
        <f t="shared" si="89"/>
        <v/>
      </c>
      <c r="F286" s="55" t="str">
        <f t="shared" si="90"/>
        <v/>
      </c>
      <c r="G286" s="55" t="str">
        <f t="shared" si="91"/>
        <v/>
      </c>
      <c r="H286" s="55" t="str">
        <f t="shared" si="92"/>
        <v/>
      </c>
      <c r="I286" s="55" t="str">
        <f t="shared" si="93"/>
        <v/>
      </c>
      <c r="J286" s="60" t="str">
        <f t="shared" si="94"/>
        <v/>
      </c>
      <c r="M286" s="58">
        <v>41</v>
      </c>
      <c r="N286" s="59" t="str">
        <f t="shared" si="95"/>
        <v/>
      </c>
      <c r="O286" s="55" t="str">
        <f t="shared" si="96"/>
        <v/>
      </c>
      <c r="P286" s="55" t="str">
        <f t="shared" si="97"/>
        <v/>
      </c>
      <c r="Q286" s="55" t="str">
        <f t="shared" si="98"/>
        <v/>
      </c>
      <c r="R286" s="55" t="str">
        <f t="shared" si="99"/>
        <v/>
      </c>
      <c r="S286" s="55" t="str">
        <f t="shared" si="100"/>
        <v/>
      </c>
      <c r="T286" s="55"/>
      <c r="U286" s="55"/>
      <c r="V286" s="55"/>
      <c r="W286" s="55" t="str">
        <f t="shared" si="101"/>
        <v/>
      </c>
      <c r="X286" s="60" t="str">
        <f t="shared" si="102"/>
        <v/>
      </c>
      <c r="Z286" s="24" t="str">
        <f t="shared" si="103"/>
        <v/>
      </c>
      <c r="AA286" s="25" t="str">
        <f t="shared" si="104"/>
        <v/>
      </c>
      <c r="AB286" s="25" t="str">
        <f t="shared" si="105"/>
        <v/>
      </c>
      <c r="AC286" s="25" t="str">
        <f t="shared" si="106"/>
        <v/>
      </c>
      <c r="AD286" s="25" t="str">
        <f t="shared" si="107"/>
        <v/>
      </c>
      <c r="AE286" s="25" t="str">
        <f t="shared" si="108"/>
        <v/>
      </c>
      <c r="AF286" s="25" t="str">
        <f t="shared" si="109"/>
        <v/>
      </c>
      <c r="AG286" s="26" t="str">
        <f t="shared" si="110"/>
        <v/>
      </c>
      <c r="AI286" s="24" t="str">
        <f t="shared" si="111"/>
        <v/>
      </c>
      <c r="AJ286" s="25" t="str">
        <f t="shared" si="112"/>
        <v/>
      </c>
      <c r="AK286" s="25" t="str">
        <f t="shared" si="113"/>
        <v/>
      </c>
      <c r="AL286" s="25" t="str">
        <f t="shared" si="114"/>
        <v/>
      </c>
      <c r="AM286" s="25" t="str">
        <f t="shared" si="115"/>
        <v/>
      </c>
      <c r="AN286" s="25" t="str">
        <f t="shared" si="116"/>
        <v/>
      </c>
      <c r="AO286" s="25"/>
      <c r="AP286" s="25"/>
      <c r="AQ286" s="25"/>
      <c r="AR286" s="25" t="str">
        <f t="shared" si="117"/>
        <v/>
      </c>
      <c r="AS286" s="26" t="str">
        <f t="shared" si="118"/>
        <v/>
      </c>
    </row>
    <row r="287" spans="2:45" hidden="1" x14ac:dyDescent="0.25">
      <c r="B287" s="70">
        <v>42</v>
      </c>
      <c r="C287" s="59" t="str">
        <f t="shared" si="87"/>
        <v/>
      </c>
      <c r="D287" s="55" t="str">
        <f t="shared" si="88"/>
        <v/>
      </c>
      <c r="E287" s="55" t="str">
        <f t="shared" si="89"/>
        <v/>
      </c>
      <c r="F287" s="55" t="str">
        <f t="shared" si="90"/>
        <v/>
      </c>
      <c r="G287" s="55" t="str">
        <f t="shared" si="91"/>
        <v/>
      </c>
      <c r="H287" s="55" t="str">
        <f t="shared" si="92"/>
        <v/>
      </c>
      <c r="I287" s="55" t="str">
        <f t="shared" si="93"/>
        <v/>
      </c>
      <c r="J287" s="60" t="str">
        <f t="shared" si="94"/>
        <v/>
      </c>
      <c r="M287" s="58">
        <v>42</v>
      </c>
      <c r="N287" s="59" t="str">
        <f t="shared" si="95"/>
        <v/>
      </c>
      <c r="O287" s="55" t="str">
        <f t="shared" si="96"/>
        <v/>
      </c>
      <c r="P287" s="55" t="str">
        <f t="shared" si="97"/>
        <v/>
      </c>
      <c r="Q287" s="55" t="str">
        <f t="shared" si="98"/>
        <v/>
      </c>
      <c r="R287" s="55" t="str">
        <f t="shared" si="99"/>
        <v/>
      </c>
      <c r="S287" s="55" t="str">
        <f t="shared" si="100"/>
        <v/>
      </c>
      <c r="T287" s="55"/>
      <c r="U287" s="55"/>
      <c r="V287" s="55"/>
      <c r="W287" s="55" t="str">
        <f t="shared" si="101"/>
        <v/>
      </c>
      <c r="X287" s="60" t="str">
        <f t="shared" si="102"/>
        <v/>
      </c>
      <c r="Z287" s="24" t="str">
        <f t="shared" si="103"/>
        <v/>
      </c>
      <c r="AA287" s="25" t="str">
        <f t="shared" si="104"/>
        <v/>
      </c>
      <c r="AB287" s="25" t="str">
        <f t="shared" si="105"/>
        <v/>
      </c>
      <c r="AC287" s="25" t="str">
        <f t="shared" si="106"/>
        <v/>
      </c>
      <c r="AD287" s="25" t="str">
        <f t="shared" si="107"/>
        <v/>
      </c>
      <c r="AE287" s="25" t="str">
        <f t="shared" si="108"/>
        <v/>
      </c>
      <c r="AF287" s="25" t="str">
        <f t="shared" si="109"/>
        <v/>
      </c>
      <c r="AG287" s="26" t="str">
        <f t="shared" si="110"/>
        <v/>
      </c>
      <c r="AI287" s="24" t="str">
        <f t="shared" si="111"/>
        <v/>
      </c>
      <c r="AJ287" s="25" t="str">
        <f t="shared" si="112"/>
        <v/>
      </c>
      <c r="AK287" s="25" t="str">
        <f t="shared" si="113"/>
        <v/>
      </c>
      <c r="AL287" s="25" t="str">
        <f t="shared" si="114"/>
        <v/>
      </c>
      <c r="AM287" s="25" t="str">
        <f t="shared" si="115"/>
        <v/>
      </c>
      <c r="AN287" s="25" t="str">
        <f t="shared" si="116"/>
        <v/>
      </c>
      <c r="AO287" s="25"/>
      <c r="AP287" s="25"/>
      <c r="AQ287" s="25"/>
      <c r="AR287" s="25" t="str">
        <f t="shared" si="117"/>
        <v/>
      </c>
      <c r="AS287" s="26" t="str">
        <f t="shared" si="118"/>
        <v/>
      </c>
    </row>
    <row r="288" spans="2:45" hidden="1" x14ac:dyDescent="0.25">
      <c r="B288" s="70">
        <v>43</v>
      </c>
      <c r="C288" s="59" t="str">
        <f t="shared" si="87"/>
        <v/>
      </c>
      <c r="D288" s="55" t="str">
        <f t="shared" si="88"/>
        <v/>
      </c>
      <c r="E288" s="55" t="str">
        <f t="shared" si="89"/>
        <v/>
      </c>
      <c r="F288" s="55" t="str">
        <f t="shared" si="90"/>
        <v/>
      </c>
      <c r="G288" s="55" t="str">
        <f t="shared" si="91"/>
        <v/>
      </c>
      <c r="H288" s="55" t="str">
        <f t="shared" si="92"/>
        <v/>
      </c>
      <c r="I288" s="55" t="str">
        <f t="shared" si="93"/>
        <v/>
      </c>
      <c r="J288" s="60" t="str">
        <f t="shared" si="94"/>
        <v/>
      </c>
      <c r="M288" s="58">
        <v>43</v>
      </c>
      <c r="N288" s="59" t="str">
        <f t="shared" si="95"/>
        <v/>
      </c>
      <c r="O288" s="55" t="str">
        <f t="shared" si="96"/>
        <v/>
      </c>
      <c r="P288" s="55" t="str">
        <f t="shared" si="97"/>
        <v/>
      </c>
      <c r="Q288" s="55" t="str">
        <f t="shared" si="98"/>
        <v/>
      </c>
      <c r="R288" s="55" t="str">
        <f t="shared" si="99"/>
        <v/>
      </c>
      <c r="S288" s="55" t="str">
        <f t="shared" si="100"/>
        <v/>
      </c>
      <c r="T288" s="55"/>
      <c r="U288" s="55"/>
      <c r="V288" s="55"/>
      <c r="W288" s="55" t="str">
        <f t="shared" si="101"/>
        <v/>
      </c>
      <c r="X288" s="60" t="str">
        <f t="shared" si="102"/>
        <v/>
      </c>
      <c r="Z288" s="24" t="str">
        <f t="shared" si="103"/>
        <v/>
      </c>
      <c r="AA288" s="25" t="str">
        <f t="shared" si="104"/>
        <v/>
      </c>
      <c r="AB288" s="25" t="str">
        <f t="shared" si="105"/>
        <v/>
      </c>
      <c r="AC288" s="25" t="str">
        <f t="shared" si="106"/>
        <v/>
      </c>
      <c r="AD288" s="25" t="str">
        <f t="shared" si="107"/>
        <v/>
      </c>
      <c r="AE288" s="25" t="str">
        <f t="shared" si="108"/>
        <v/>
      </c>
      <c r="AF288" s="25" t="str">
        <f t="shared" si="109"/>
        <v/>
      </c>
      <c r="AG288" s="26" t="str">
        <f t="shared" si="110"/>
        <v/>
      </c>
      <c r="AI288" s="24" t="str">
        <f t="shared" si="111"/>
        <v/>
      </c>
      <c r="AJ288" s="25" t="str">
        <f t="shared" si="112"/>
        <v/>
      </c>
      <c r="AK288" s="25" t="str">
        <f t="shared" si="113"/>
        <v/>
      </c>
      <c r="AL288" s="25" t="str">
        <f t="shared" si="114"/>
        <v/>
      </c>
      <c r="AM288" s="25" t="str">
        <f t="shared" si="115"/>
        <v/>
      </c>
      <c r="AN288" s="25" t="str">
        <f t="shared" si="116"/>
        <v/>
      </c>
      <c r="AO288" s="25"/>
      <c r="AP288" s="25"/>
      <c r="AQ288" s="25"/>
      <c r="AR288" s="25" t="str">
        <f t="shared" si="117"/>
        <v/>
      </c>
      <c r="AS288" s="26" t="str">
        <f t="shared" si="118"/>
        <v/>
      </c>
    </row>
    <row r="289" spans="2:45" hidden="1" x14ac:dyDescent="0.25">
      <c r="B289" s="70">
        <v>44</v>
      </c>
      <c r="C289" s="59" t="str">
        <f t="shared" si="87"/>
        <v/>
      </c>
      <c r="D289" s="55" t="str">
        <f t="shared" si="88"/>
        <v/>
      </c>
      <c r="E289" s="55" t="str">
        <f t="shared" si="89"/>
        <v/>
      </c>
      <c r="F289" s="55" t="str">
        <f t="shared" si="90"/>
        <v/>
      </c>
      <c r="G289" s="55" t="str">
        <f t="shared" si="91"/>
        <v/>
      </c>
      <c r="H289" s="55" t="str">
        <f t="shared" si="92"/>
        <v/>
      </c>
      <c r="I289" s="55" t="str">
        <f t="shared" si="93"/>
        <v/>
      </c>
      <c r="J289" s="60" t="str">
        <f t="shared" si="94"/>
        <v/>
      </c>
      <c r="M289" s="58">
        <v>44</v>
      </c>
      <c r="N289" s="59" t="str">
        <f t="shared" si="95"/>
        <v/>
      </c>
      <c r="O289" s="55" t="str">
        <f t="shared" si="96"/>
        <v/>
      </c>
      <c r="P289" s="55" t="str">
        <f t="shared" si="97"/>
        <v/>
      </c>
      <c r="Q289" s="55" t="str">
        <f t="shared" si="98"/>
        <v/>
      </c>
      <c r="R289" s="55" t="str">
        <f t="shared" si="99"/>
        <v/>
      </c>
      <c r="S289" s="55" t="str">
        <f t="shared" si="100"/>
        <v/>
      </c>
      <c r="T289" s="55"/>
      <c r="U289" s="55"/>
      <c r="V289" s="55"/>
      <c r="W289" s="55" t="str">
        <f t="shared" si="101"/>
        <v/>
      </c>
      <c r="X289" s="60" t="str">
        <f t="shared" si="102"/>
        <v/>
      </c>
      <c r="Z289" s="24" t="str">
        <f t="shared" si="103"/>
        <v/>
      </c>
      <c r="AA289" s="25" t="str">
        <f t="shared" si="104"/>
        <v/>
      </c>
      <c r="AB289" s="25" t="str">
        <f t="shared" si="105"/>
        <v/>
      </c>
      <c r="AC289" s="25" t="str">
        <f t="shared" si="106"/>
        <v/>
      </c>
      <c r="AD289" s="25" t="str">
        <f t="shared" si="107"/>
        <v/>
      </c>
      <c r="AE289" s="25" t="str">
        <f t="shared" si="108"/>
        <v/>
      </c>
      <c r="AF289" s="25" t="str">
        <f t="shared" si="109"/>
        <v/>
      </c>
      <c r="AG289" s="26" t="str">
        <f t="shared" si="110"/>
        <v/>
      </c>
      <c r="AI289" s="24" t="str">
        <f t="shared" si="111"/>
        <v/>
      </c>
      <c r="AJ289" s="25" t="str">
        <f t="shared" si="112"/>
        <v/>
      </c>
      <c r="AK289" s="25" t="str">
        <f t="shared" si="113"/>
        <v/>
      </c>
      <c r="AL289" s="25" t="str">
        <f t="shared" si="114"/>
        <v/>
      </c>
      <c r="AM289" s="25" t="str">
        <f t="shared" si="115"/>
        <v/>
      </c>
      <c r="AN289" s="25" t="str">
        <f t="shared" si="116"/>
        <v/>
      </c>
      <c r="AO289" s="25"/>
      <c r="AP289" s="25"/>
      <c r="AQ289" s="25"/>
      <c r="AR289" s="25" t="str">
        <f t="shared" si="117"/>
        <v/>
      </c>
      <c r="AS289" s="26" t="str">
        <f t="shared" si="118"/>
        <v/>
      </c>
    </row>
    <row r="290" spans="2:45" hidden="1" x14ac:dyDescent="0.25">
      <c r="B290" s="70">
        <v>45</v>
      </c>
      <c r="C290" s="59" t="str">
        <f t="shared" si="87"/>
        <v/>
      </c>
      <c r="D290" s="55" t="str">
        <f t="shared" si="88"/>
        <v/>
      </c>
      <c r="E290" s="55" t="str">
        <f t="shared" si="89"/>
        <v/>
      </c>
      <c r="F290" s="55" t="str">
        <f t="shared" si="90"/>
        <v/>
      </c>
      <c r="G290" s="55" t="str">
        <f t="shared" si="91"/>
        <v/>
      </c>
      <c r="H290" s="55" t="str">
        <f t="shared" si="92"/>
        <v/>
      </c>
      <c r="I290" s="55" t="str">
        <f t="shared" si="93"/>
        <v/>
      </c>
      <c r="J290" s="60" t="str">
        <f t="shared" si="94"/>
        <v/>
      </c>
      <c r="M290" s="58">
        <v>45</v>
      </c>
      <c r="N290" s="59" t="str">
        <f t="shared" si="95"/>
        <v/>
      </c>
      <c r="O290" s="55" t="str">
        <f t="shared" si="96"/>
        <v/>
      </c>
      <c r="P290" s="55" t="str">
        <f t="shared" si="97"/>
        <v/>
      </c>
      <c r="Q290" s="55" t="str">
        <f t="shared" si="98"/>
        <v/>
      </c>
      <c r="R290" s="55" t="str">
        <f t="shared" si="99"/>
        <v/>
      </c>
      <c r="S290" s="55" t="str">
        <f t="shared" si="100"/>
        <v/>
      </c>
      <c r="T290" s="55"/>
      <c r="U290" s="55"/>
      <c r="V290" s="55"/>
      <c r="W290" s="55" t="str">
        <f t="shared" si="101"/>
        <v/>
      </c>
      <c r="X290" s="60" t="str">
        <f t="shared" si="102"/>
        <v/>
      </c>
      <c r="Z290" s="24" t="str">
        <f t="shared" si="103"/>
        <v/>
      </c>
      <c r="AA290" s="25" t="str">
        <f t="shared" si="104"/>
        <v/>
      </c>
      <c r="AB290" s="25" t="str">
        <f t="shared" si="105"/>
        <v/>
      </c>
      <c r="AC290" s="25" t="str">
        <f t="shared" si="106"/>
        <v/>
      </c>
      <c r="AD290" s="25" t="str">
        <f t="shared" si="107"/>
        <v/>
      </c>
      <c r="AE290" s="25" t="str">
        <f t="shared" si="108"/>
        <v/>
      </c>
      <c r="AF290" s="25" t="str">
        <f t="shared" si="109"/>
        <v/>
      </c>
      <c r="AG290" s="26" t="str">
        <f t="shared" si="110"/>
        <v/>
      </c>
      <c r="AI290" s="24" t="str">
        <f t="shared" si="111"/>
        <v/>
      </c>
      <c r="AJ290" s="25" t="str">
        <f t="shared" si="112"/>
        <v/>
      </c>
      <c r="AK290" s="25" t="str">
        <f t="shared" si="113"/>
        <v/>
      </c>
      <c r="AL290" s="25" t="str">
        <f t="shared" si="114"/>
        <v/>
      </c>
      <c r="AM290" s="25" t="str">
        <f t="shared" si="115"/>
        <v/>
      </c>
      <c r="AN290" s="25" t="str">
        <f t="shared" si="116"/>
        <v/>
      </c>
      <c r="AO290" s="25"/>
      <c r="AP290" s="25"/>
      <c r="AQ290" s="25"/>
      <c r="AR290" s="25" t="str">
        <f t="shared" si="117"/>
        <v/>
      </c>
      <c r="AS290" s="26" t="str">
        <f t="shared" si="118"/>
        <v/>
      </c>
    </row>
    <row r="291" spans="2:45" hidden="1" x14ac:dyDescent="0.25">
      <c r="B291" s="70">
        <v>46</v>
      </c>
      <c r="C291" s="59" t="str">
        <f t="shared" si="87"/>
        <v/>
      </c>
      <c r="D291" s="55" t="str">
        <f t="shared" si="88"/>
        <v/>
      </c>
      <c r="E291" s="55" t="str">
        <f t="shared" si="89"/>
        <v/>
      </c>
      <c r="F291" s="55" t="str">
        <f t="shared" si="90"/>
        <v/>
      </c>
      <c r="G291" s="55" t="str">
        <f t="shared" si="91"/>
        <v/>
      </c>
      <c r="H291" s="55" t="str">
        <f t="shared" si="92"/>
        <v/>
      </c>
      <c r="I291" s="55" t="str">
        <f t="shared" si="93"/>
        <v/>
      </c>
      <c r="J291" s="60" t="str">
        <f t="shared" si="94"/>
        <v/>
      </c>
      <c r="M291" s="58">
        <v>46</v>
      </c>
      <c r="N291" s="59" t="str">
        <f t="shared" si="95"/>
        <v/>
      </c>
      <c r="O291" s="55" t="str">
        <f t="shared" si="96"/>
        <v/>
      </c>
      <c r="P291" s="55" t="str">
        <f t="shared" si="97"/>
        <v/>
      </c>
      <c r="Q291" s="55" t="str">
        <f t="shared" si="98"/>
        <v/>
      </c>
      <c r="R291" s="55" t="str">
        <f t="shared" si="99"/>
        <v/>
      </c>
      <c r="S291" s="55" t="str">
        <f t="shared" si="100"/>
        <v/>
      </c>
      <c r="T291" s="55"/>
      <c r="U291" s="55"/>
      <c r="V291" s="55"/>
      <c r="W291" s="55" t="str">
        <f t="shared" si="101"/>
        <v/>
      </c>
      <c r="X291" s="60" t="str">
        <f t="shared" si="102"/>
        <v/>
      </c>
      <c r="Z291" s="24" t="str">
        <f t="shared" si="103"/>
        <v/>
      </c>
      <c r="AA291" s="25" t="str">
        <f t="shared" si="104"/>
        <v/>
      </c>
      <c r="AB291" s="25" t="str">
        <f t="shared" si="105"/>
        <v/>
      </c>
      <c r="AC291" s="25" t="str">
        <f t="shared" si="106"/>
        <v/>
      </c>
      <c r="AD291" s="25" t="str">
        <f t="shared" si="107"/>
        <v/>
      </c>
      <c r="AE291" s="25" t="str">
        <f t="shared" si="108"/>
        <v/>
      </c>
      <c r="AF291" s="25" t="str">
        <f t="shared" si="109"/>
        <v/>
      </c>
      <c r="AG291" s="26" t="str">
        <f t="shared" si="110"/>
        <v/>
      </c>
      <c r="AI291" s="24" t="str">
        <f t="shared" si="111"/>
        <v/>
      </c>
      <c r="AJ291" s="25" t="str">
        <f t="shared" si="112"/>
        <v/>
      </c>
      <c r="AK291" s="25" t="str">
        <f t="shared" si="113"/>
        <v/>
      </c>
      <c r="AL291" s="25" t="str">
        <f t="shared" si="114"/>
        <v/>
      </c>
      <c r="AM291" s="25" t="str">
        <f t="shared" si="115"/>
        <v/>
      </c>
      <c r="AN291" s="25" t="str">
        <f t="shared" si="116"/>
        <v/>
      </c>
      <c r="AO291" s="25"/>
      <c r="AP291" s="25"/>
      <c r="AQ291" s="25"/>
      <c r="AR291" s="25" t="str">
        <f t="shared" si="117"/>
        <v/>
      </c>
      <c r="AS291" s="26" t="str">
        <f t="shared" si="118"/>
        <v/>
      </c>
    </row>
    <row r="292" spans="2:45" hidden="1" x14ac:dyDescent="0.25">
      <c r="B292" s="70">
        <v>47</v>
      </c>
      <c r="C292" s="59" t="str">
        <f t="shared" si="87"/>
        <v/>
      </c>
      <c r="D292" s="55" t="str">
        <f t="shared" si="88"/>
        <v/>
      </c>
      <c r="E292" s="55" t="str">
        <f t="shared" si="89"/>
        <v/>
      </c>
      <c r="F292" s="55" t="str">
        <f t="shared" si="90"/>
        <v/>
      </c>
      <c r="G292" s="55" t="str">
        <f t="shared" si="91"/>
        <v/>
      </c>
      <c r="H292" s="55" t="str">
        <f t="shared" si="92"/>
        <v/>
      </c>
      <c r="I292" s="55" t="str">
        <f t="shared" si="93"/>
        <v/>
      </c>
      <c r="J292" s="60" t="str">
        <f t="shared" si="94"/>
        <v/>
      </c>
      <c r="M292" s="58">
        <v>47</v>
      </c>
      <c r="N292" s="59" t="str">
        <f t="shared" si="95"/>
        <v/>
      </c>
      <c r="O292" s="55" t="str">
        <f t="shared" si="96"/>
        <v/>
      </c>
      <c r="P292" s="55" t="str">
        <f t="shared" si="97"/>
        <v/>
      </c>
      <c r="Q292" s="55" t="str">
        <f t="shared" si="98"/>
        <v/>
      </c>
      <c r="R292" s="55" t="str">
        <f t="shared" si="99"/>
        <v/>
      </c>
      <c r="S292" s="55" t="str">
        <f t="shared" si="100"/>
        <v/>
      </c>
      <c r="T292" s="55"/>
      <c r="U292" s="55"/>
      <c r="V292" s="55"/>
      <c r="W292" s="55" t="str">
        <f t="shared" si="101"/>
        <v/>
      </c>
      <c r="X292" s="60" t="str">
        <f t="shared" si="102"/>
        <v/>
      </c>
      <c r="Z292" s="24" t="str">
        <f t="shared" si="103"/>
        <v/>
      </c>
      <c r="AA292" s="25" t="str">
        <f t="shared" si="104"/>
        <v/>
      </c>
      <c r="AB292" s="25" t="str">
        <f t="shared" si="105"/>
        <v/>
      </c>
      <c r="AC292" s="25" t="str">
        <f t="shared" si="106"/>
        <v/>
      </c>
      <c r="AD292" s="25" t="str">
        <f t="shared" si="107"/>
        <v/>
      </c>
      <c r="AE292" s="25" t="str">
        <f t="shared" si="108"/>
        <v/>
      </c>
      <c r="AF292" s="25" t="str">
        <f t="shared" si="109"/>
        <v/>
      </c>
      <c r="AG292" s="26" t="str">
        <f t="shared" si="110"/>
        <v/>
      </c>
      <c r="AI292" s="24" t="str">
        <f t="shared" si="111"/>
        <v/>
      </c>
      <c r="AJ292" s="25" t="str">
        <f t="shared" si="112"/>
        <v/>
      </c>
      <c r="AK292" s="25" t="str">
        <f t="shared" si="113"/>
        <v/>
      </c>
      <c r="AL292" s="25" t="str">
        <f t="shared" si="114"/>
        <v/>
      </c>
      <c r="AM292" s="25" t="str">
        <f t="shared" si="115"/>
        <v/>
      </c>
      <c r="AN292" s="25" t="str">
        <f t="shared" si="116"/>
        <v/>
      </c>
      <c r="AO292" s="25"/>
      <c r="AP292" s="25"/>
      <c r="AQ292" s="25"/>
      <c r="AR292" s="25" t="str">
        <f t="shared" si="117"/>
        <v/>
      </c>
      <c r="AS292" s="26" t="str">
        <f t="shared" si="118"/>
        <v/>
      </c>
    </row>
    <row r="293" spans="2:45" hidden="1" x14ac:dyDescent="0.25">
      <c r="B293" s="70">
        <v>48</v>
      </c>
      <c r="C293" s="59" t="str">
        <f t="shared" si="87"/>
        <v/>
      </c>
      <c r="D293" s="55" t="str">
        <f t="shared" si="88"/>
        <v/>
      </c>
      <c r="E293" s="55" t="str">
        <f t="shared" si="89"/>
        <v/>
      </c>
      <c r="F293" s="55" t="str">
        <f t="shared" si="90"/>
        <v/>
      </c>
      <c r="G293" s="55" t="str">
        <f t="shared" si="91"/>
        <v/>
      </c>
      <c r="H293" s="55" t="str">
        <f t="shared" si="92"/>
        <v/>
      </c>
      <c r="I293" s="55" t="str">
        <f t="shared" si="93"/>
        <v/>
      </c>
      <c r="J293" s="60" t="str">
        <f t="shared" si="94"/>
        <v/>
      </c>
      <c r="M293" s="58">
        <v>48</v>
      </c>
      <c r="N293" s="59" t="str">
        <f t="shared" si="95"/>
        <v/>
      </c>
      <c r="O293" s="55" t="str">
        <f t="shared" si="96"/>
        <v/>
      </c>
      <c r="P293" s="55" t="str">
        <f t="shared" si="97"/>
        <v/>
      </c>
      <c r="Q293" s="55" t="str">
        <f t="shared" si="98"/>
        <v/>
      </c>
      <c r="R293" s="55" t="str">
        <f t="shared" si="99"/>
        <v/>
      </c>
      <c r="S293" s="55" t="str">
        <f t="shared" si="100"/>
        <v/>
      </c>
      <c r="T293" s="55"/>
      <c r="U293" s="55"/>
      <c r="V293" s="55"/>
      <c r="W293" s="55" t="str">
        <f t="shared" si="101"/>
        <v/>
      </c>
      <c r="X293" s="60" t="str">
        <f t="shared" si="102"/>
        <v/>
      </c>
      <c r="Z293" s="24" t="str">
        <f t="shared" si="103"/>
        <v/>
      </c>
      <c r="AA293" s="25" t="str">
        <f t="shared" si="104"/>
        <v/>
      </c>
      <c r="AB293" s="25" t="str">
        <f t="shared" si="105"/>
        <v/>
      </c>
      <c r="AC293" s="25" t="str">
        <f t="shared" si="106"/>
        <v/>
      </c>
      <c r="AD293" s="25" t="str">
        <f t="shared" si="107"/>
        <v/>
      </c>
      <c r="AE293" s="25" t="str">
        <f t="shared" si="108"/>
        <v/>
      </c>
      <c r="AF293" s="25" t="str">
        <f t="shared" si="109"/>
        <v/>
      </c>
      <c r="AG293" s="26" t="str">
        <f t="shared" si="110"/>
        <v/>
      </c>
      <c r="AI293" s="24" t="str">
        <f t="shared" si="111"/>
        <v/>
      </c>
      <c r="AJ293" s="25" t="str">
        <f t="shared" si="112"/>
        <v/>
      </c>
      <c r="AK293" s="25" t="str">
        <f t="shared" si="113"/>
        <v/>
      </c>
      <c r="AL293" s="25" t="str">
        <f t="shared" si="114"/>
        <v/>
      </c>
      <c r="AM293" s="25" t="str">
        <f t="shared" si="115"/>
        <v/>
      </c>
      <c r="AN293" s="25" t="str">
        <f t="shared" si="116"/>
        <v/>
      </c>
      <c r="AO293" s="25"/>
      <c r="AP293" s="25"/>
      <c r="AQ293" s="25"/>
      <c r="AR293" s="25" t="str">
        <f t="shared" si="117"/>
        <v/>
      </c>
      <c r="AS293" s="26" t="str">
        <f t="shared" si="118"/>
        <v/>
      </c>
    </row>
    <row r="294" spans="2:45" hidden="1" x14ac:dyDescent="0.25">
      <c r="B294" s="70">
        <v>49</v>
      </c>
      <c r="C294" s="59" t="str">
        <f t="shared" si="87"/>
        <v/>
      </c>
      <c r="D294" s="55" t="str">
        <f t="shared" si="88"/>
        <v/>
      </c>
      <c r="E294" s="55" t="str">
        <f t="shared" si="89"/>
        <v/>
      </c>
      <c r="F294" s="55" t="str">
        <f t="shared" si="90"/>
        <v/>
      </c>
      <c r="G294" s="55" t="str">
        <f t="shared" si="91"/>
        <v/>
      </c>
      <c r="H294" s="55" t="str">
        <f t="shared" si="92"/>
        <v/>
      </c>
      <c r="I294" s="55" t="str">
        <f t="shared" si="93"/>
        <v/>
      </c>
      <c r="J294" s="60" t="str">
        <f t="shared" si="94"/>
        <v/>
      </c>
      <c r="M294" s="58">
        <v>49</v>
      </c>
      <c r="N294" s="59" t="str">
        <f t="shared" si="95"/>
        <v/>
      </c>
      <c r="O294" s="55" t="str">
        <f t="shared" si="96"/>
        <v/>
      </c>
      <c r="P294" s="55" t="str">
        <f t="shared" si="97"/>
        <v/>
      </c>
      <c r="Q294" s="55" t="str">
        <f t="shared" si="98"/>
        <v/>
      </c>
      <c r="R294" s="55" t="str">
        <f t="shared" si="99"/>
        <v/>
      </c>
      <c r="S294" s="55" t="str">
        <f t="shared" si="100"/>
        <v/>
      </c>
      <c r="T294" s="55"/>
      <c r="U294" s="55"/>
      <c r="V294" s="55"/>
      <c r="W294" s="55" t="str">
        <f t="shared" si="101"/>
        <v/>
      </c>
      <c r="X294" s="60" t="str">
        <f t="shared" si="102"/>
        <v/>
      </c>
      <c r="Z294" s="24" t="str">
        <f t="shared" si="103"/>
        <v/>
      </c>
      <c r="AA294" s="25" t="str">
        <f t="shared" si="104"/>
        <v/>
      </c>
      <c r="AB294" s="25" t="str">
        <f t="shared" si="105"/>
        <v/>
      </c>
      <c r="AC294" s="25" t="str">
        <f t="shared" si="106"/>
        <v/>
      </c>
      <c r="AD294" s="25" t="str">
        <f t="shared" si="107"/>
        <v/>
      </c>
      <c r="AE294" s="25" t="str">
        <f t="shared" si="108"/>
        <v/>
      </c>
      <c r="AF294" s="25" t="str">
        <f t="shared" si="109"/>
        <v/>
      </c>
      <c r="AG294" s="26" t="str">
        <f t="shared" si="110"/>
        <v/>
      </c>
      <c r="AI294" s="24" t="str">
        <f t="shared" si="111"/>
        <v/>
      </c>
      <c r="AJ294" s="25" t="str">
        <f t="shared" si="112"/>
        <v/>
      </c>
      <c r="AK294" s="25" t="str">
        <f t="shared" si="113"/>
        <v/>
      </c>
      <c r="AL294" s="25" t="str">
        <f t="shared" si="114"/>
        <v/>
      </c>
      <c r="AM294" s="25" t="str">
        <f t="shared" si="115"/>
        <v/>
      </c>
      <c r="AN294" s="25" t="str">
        <f t="shared" si="116"/>
        <v/>
      </c>
      <c r="AO294" s="25"/>
      <c r="AP294" s="25"/>
      <c r="AQ294" s="25"/>
      <c r="AR294" s="25" t="str">
        <f t="shared" si="117"/>
        <v/>
      </c>
      <c r="AS294" s="26" t="str">
        <f t="shared" si="118"/>
        <v/>
      </c>
    </row>
    <row r="295" spans="2:45" hidden="1" x14ac:dyDescent="0.25">
      <c r="B295" s="70">
        <v>50</v>
      </c>
      <c r="C295" s="59" t="str">
        <f t="shared" si="87"/>
        <v/>
      </c>
      <c r="D295" s="55" t="str">
        <f t="shared" si="88"/>
        <v/>
      </c>
      <c r="E295" s="55" t="str">
        <f t="shared" si="89"/>
        <v/>
      </c>
      <c r="F295" s="55" t="str">
        <f t="shared" si="90"/>
        <v/>
      </c>
      <c r="G295" s="55" t="str">
        <f t="shared" si="91"/>
        <v/>
      </c>
      <c r="H295" s="55" t="str">
        <f t="shared" si="92"/>
        <v/>
      </c>
      <c r="I295" s="55" t="str">
        <f t="shared" si="93"/>
        <v/>
      </c>
      <c r="J295" s="60" t="str">
        <f t="shared" si="94"/>
        <v/>
      </c>
      <c r="M295" s="58">
        <v>50</v>
      </c>
      <c r="N295" s="59" t="str">
        <f t="shared" si="95"/>
        <v/>
      </c>
      <c r="O295" s="55" t="str">
        <f t="shared" si="96"/>
        <v/>
      </c>
      <c r="P295" s="55" t="str">
        <f t="shared" si="97"/>
        <v/>
      </c>
      <c r="Q295" s="55" t="str">
        <f t="shared" si="98"/>
        <v/>
      </c>
      <c r="R295" s="55" t="str">
        <f t="shared" si="99"/>
        <v/>
      </c>
      <c r="S295" s="55" t="str">
        <f t="shared" si="100"/>
        <v/>
      </c>
      <c r="T295" s="55"/>
      <c r="U295" s="55"/>
      <c r="V295" s="55"/>
      <c r="W295" s="55" t="str">
        <f t="shared" si="101"/>
        <v/>
      </c>
      <c r="X295" s="60" t="str">
        <f t="shared" si="102"/>
        <v/>
      </c>
      <c r="Z295" s="24" t="str">
        <f t="shared" si="103"/>
        <v/>
      </c>
      <c r="AA295" s="25" t="str">
        <f t="shared" si="104"/>
        <v/>
      </c>
      <c r="AB295" s="25" t="str">
        <f t="shared" si="105"/>
        <v/>
      </c>
      <c r="AC295" s="25" t="str">
        <f t="shared" si="106"/>
        <v/>
      </c>
      <c r="AD295" s="25" t="str">
        <f t="shared" si="107"/>
        <v/>
      </c>
      <c r="AE295" s="25" t="str">
        <f t="shared" si="108"/>
        <v/>
      </c>
      <c r="AF295" s="25" t="str">
        <f t="shared" si="109"/>
        <v/>
      </c>
      <c r="AG295" s="26" t="str">
        <f t="shared" si="110"/>
        <v/>
      </c>
      <c r="AI295" s="24" t="str">
        <f t="shared" si="111"/>
        <v/>
      </c>
      <c r="AJ295" s="25" t="str">
        <f t="shared" si="112"/>
        <v/>
      </c>
      <c r="AK295" s="25" t="str">
        <f t="shared" si="113"/>
        <v/>
      </c>
      <c r="AL295" s="25" t="str">
        <f t="shared" si="114"/>
        <v/>
      </c>
      <c r="AM295" s="25" t="str">
        <f t="shared" si="115"/>
        <v/>
      </c>
      <c r="AN295" s="25" t="str">
        <f t="shared" si="116"/>
        <v/>
      </c>
      <c r="AO295" s="25"/>
      <c r="AP295" s="25"/>
      <c r="AQ295" s="25"/>
      <c r="AR295" s="25" t="str">
        <f t="shared" si="117"/>
        <v/>
      </c>
      <c r="AS295" s="26" t="str">
        <f t="shared" si="118"/>
        <v/>
      </c>
    </row>
    <row r="296" spans="2:45" hidden="1" x14ac:dyDescent="0.25">
      <c r="B296" s="70">
        <v>51</v>
      </c>
      <c r="C296" s="59" t="str">
        <f t="shared" si="87"/>
        <v/>
      </c>
      <c r="D296" s="55" t="str">
        <f t="shared" si="88"/>
        <v/>
      </c>
      <c r="E296" s="55" t="str">
        <f t="shared" si="89"/>
        <v/>
      </c>
      <c r="F296" s="55" t="str">
        <f t="shared" si="90"/>
        <v/>
      </c>
      <c r="G296" s="55" t="str">
        <f t="shared" si="91"/>
        <v/>
      </c>
      <c r="H296" s="55" t="str">
        <f t="shared" si="92"/>
        <v/>
      </c>
      <c r="I296" s="55" t="str">
        <f t="shared" si="93"/>
        <v/>
      </c>
      <c r="J296" s="60" t="str">
        <f t="shared" si="94"/>
        <v/>
      </c>
      <c r="M296" s="58">
        <v>51</v>
      </c>
      <c r="N296" s="59" t="str">
        <f t="shared" si="95"/>
        <v/>
      </c>
      <c r="O296" s="55" t="str">
        <f t="shared" si="96"/>
        <v/>
      </c>
      <c r="P296" s="55" t="str">
        <f t="shared" si="97"/>
        <v/>
      </c>
      <c r="Q296" s="55" t="str">
        <f t="shared" si="98"/>
        <v/>
      </c>
      <c r="R296" s="55" t="str">
        <f t="shared" si="99"/>
        <v/>
      </c>
      <c r="S296" s="55" t="str">
        <f t="shared" si="100"/>
        <v/>
      </c>
      <c r="T296" s="55"/>
      <c r="U296" s="55"/>
      <c r="V296" s="55"/>
      <c r="W296" s="55" t="str">
        <f t="shared" si="101"/>
        <v/>
      </c>
      <c r="X296" s="60" t="str">
        <f t="shared" si="102"/>
        <v/>
      </c>
      <c r="Z296" s="24" t="str">
        <f t="shared" si="103"/>
        <v/>
      </c>
      <c r="AA296" s="25" t="str">
        <f t="shared" si="104"/>
        <v/>
      </c>
      <c r="AB296" s="25" t="str">
        <f t="shared" si="105"/>
        <v/>
      </c>
      <c r="AC296" s="25" t="str">
        <f t="shared" si="106"/>
        <v/>
      </c>
      <c r="AD296" s="25" t="str">
        <f t="shared" si="107"/>
        <v/>
      </c>
      <c r="AE296" s="25" t="str">
        <f t="shared" si="108"/>
        <v/>
      </c>
      <c r="AF296" s="25" t="str">
        <f t="shared" si="109"/>
        <v/>
      </c>
      <c r="AG296" s="26" t="str">
        <f t="shared" si="110"/>
        <v/>
      </c>
      <c r="AI296" s="24" t="str">
        <f t="shared" si="111"/>
        <v/>
      </c>
      <c r="AJ296" s="25" t="str">
        <f t="shared" si="112"/>
        <v/>
      </c>
      <c r="AK296" s="25" t="str">
        <f t="shared" si="113"/>
        <v/>
      </c>
      <c r="AL296" s="25" t="str">
        <f t="shared" si="114"/>
        <v/>
      </c>
      <c r="AM296" s="25" t="str">
        <f t="shared" si="115"/>
        <v/>
      </c>
      <c r="AN296" s="25" t="str">
        <f t="shared" si="116"/>
        <v/>
      </c>
      <c r="AO296" s="25"/>
      <c r="AP296" s="25"/>
      <c r="AQ296" s="25"/>
      <c r="AR296" s="25" t="str">
        <f t="shared" si="117"/>
        <v/>
      </c>
      <c r="AS296" s="26" t="str">
        <f t="shared" si="118"/>
        <v/>
      </c>
    </row>
    <row r="297" spans="2:45" hidden="1" x14ac:dyDescent="0.25">
      <c r="B297" s="70">
        <v>52</v>
      </c>
      <c r="C297" s="59" t="str">
        <f t="shared" si="87"/>
        <v/>
      </c>
      <c r="D297" s="55" t="str">
        <f t="shared" si="88"/>
        <v/>
      </c>
      <c r="E297" s="55" t="str">
        <f t="shared" si="89"/>
        <v/>
      </c>
      <c r="F297" s="55" t="str">
        <f t="shared" si="90"/>
        <v/>
      </c>
      <c r="G297" s="55" t="str">
        <f t="shared" si="91"/>
        <v/>
      </c>
      <c r="H297" s="55" t="str">
        <f t="shared" si="92"/>
        <v/>
      </c>
      <c r="I297" s="55" t="str">
        <f t="shared" si="93"/>
        <v/>
      </c>
      <c r="J297" s="60" t="str">
        <f t="shared" si="94"/>
        <v/>
      </c>
      <c r="M297" s="58">
        <v>52</v>
      </c>
      <c r="N297" s="59" t="str">
        <f t="shared" si="95"/>
        <v/>
      </c>
      <c r="O297" s="55" t="str">
        <f t="shared" si="96"/>
        <v/>
      </c>
      <c r="P297" s="55" t="str">
        <f t="shared" si="97"/>
        <v/>
      </c>
      <c r="Q297" s="55" t="str">
        <f t="shared" si="98"/>
        <v/>
      </c>
      <c r="R297" s="55" t="str">
        <f t="shared" si="99"/>
        <v/>
      </c>
      <c r="S297" s="55" t="str">
        <f t="shared" si="100"/>
        <v/>
      </c>
      <c r="T297" s="55"/>
      <c r="U297" s="55"/>
      <c r="V297" s="55"/>
      <c r="W297" s="55" t="str">
        <f t="shared" si="101"/>
        <v/>
      </c>
      <c r="X297" s="60" t="str">
        <f t="shared" si="102"/>
        <v/>
      </c>
      <c r="Z297" s="24" t="str">
        <f t="shared" si="103"/>
        <v/>
      </c>
      <c r="AA297" s="25" t="str">
        <f t="shared" si="104"/>
        <v/>
      </c>
      <c r="AB297" s="25" t="str">
        <f t="shared" si="105"/>
        <v/>
      </c>
      <c r="AC297" s="25" t="str">
        <f t="shared" si="106"/>
        <v/>
      </c>
      <c r="AD297" s="25" t="str">
        <f t="shared" si="107"/>
        <v/>
      </c>
      <c r="AE297" s="25" t="str">
        <f t="shared" si="108"/>
        <v/>
      </c>
      <c r="AF297" s="25" t="str">
        <f t="shared" si="109"/>
        <v/>
      </c>
      <c r="AG297" s="26" t="str">
        <f t="shared" si="110"/>
        <v/>
      </c>
      <c r="AI297" s="24" t="str">
        <f t="shared" si="111"/>
        <v/>
      </c>
      <c r="AJ297" s="25" t="str">
        <f t="shared" si="112"/>
        <v/>
      </c>
      <c r="AK297" s="25" t="str">
        <f t="shared" si="113"/>
        <v/>
      </c>
      <c r="AL297" s="25" t="str">
        <f t="shared" si="114"/>
        <v/>
      </c>
      <c r="AM297" s="25" t="str">
        <f t="shared" si="115"/>
        <v/>
      </c>
      <c r="AN297" s="25" t="str">
        <f t="shared" si="116"/>
        <v/>
      </c>
      <c r="AO297" s="25"/>
      <c r="AP297" s="25"/>
      <c r="AQ297" s="25"/>
      <c r="AR297" s="25" t="str">
        <f t="shared" si="117"/>
        <v/>
      </c>
      <c r="AS297" s="26" t="str">
        <f t="shared" si="118"/>
        <v/>
      </c>
    </row>
    <row r="298" spans="2:45" hidden="1" x14ac:dyDescent="0.25">
      <c r="B298" s="70">
        <v>53</v>
      </c>
      <c r="C298" s="59" t="str">
        <f t="shared" si="87"/>
        <v/>
      </c>
      <c r="D298" s="55" t="str">
        <f t="shared" si="88"/>
        <v/>
      </c>
      <c r="E298" s="55" t="str">
        <f t="shared" si="89"/>
        <v/>
      </c>
      <c r="F298" s="55" t="str">
        <f t="shared" si="90"/>
        <v/>
      </c>
      <c r="G298" s="55" t="str">
        <f t="shared" si="91"/>
        <v/>
      </c>
      <c r="H298" s="55" t="str">
        <f t="shared" si="92"/>
        <v/>
      </c>
      <c r="I298" s="55" t="str">
        <f t="shared" si="93"/>
        <v/>
      </c>
      <c r="J298" s="60" t="str">
        <f t="shared" si="94"/>
        <v/>
      </c>
      <c r="M298" s="58">
        <v>53</v>
      </c>
      <c r="N298" s="59" t="str">
        <f t="shared" si="95"/>
        <v/>
      </c>
      <c r="O298" s="55" t="str">
        <f t="shared" si="96"/>
        <v/>
      </c>
      <c r="P298" s="55" t="str">
        <f t="shared" si="97"/>
        <v/>
      </c>
      <c r="Q298" s="55" t="str">
        <f t="shared" si="98"/>
        <v/>
      </c>
      <c r="R298" s="55" t="str">
        <f t="shared" si="99"/>
        <v/>
      </c>
      <c r="S298" s="55" t="str">
        <f t="shared" si="100"/>
        <v/>
      </c>
      <c r="T298" s="55"/>
      <c r="U298" s="55"/>
      <c r="V298" s="55"/>
      <c r="W298" s="55" t="str">
        <f t="shared" si="101"/>
        <v/>
      </c>
      <c r="X298" s="60" t="str">
        <f t="shared" si="102"/>
        <v/>
      </c>
      <c r="Z298" s="24" t="str">
        <f t="shared" si="103"/>
        <v/>
      </c>
      <c r="AA298" s="25" t="str">
        <f t="shared" si="104"/>
        <v/>
      </c>
      <c r="AB298" s="25" t="str">
        <f t="shared" si="105"/>
        <v/>
      </c>
      <c r="AC298" s="25" t="str">
        <f t="shared" si="106"/>
        <v/>
      </c>
      <c r="AD298" s="25" t="str">
        <f t="shared" si="107"/>
        <v/>
      </c>
      <c r="AE298" s="25" t="str">
        <f t="shared" si="108"/>
        <v/>
      </c>
      <c r="AF298" s="25" t="str">
        <f t="shared" si="109"/>
        <v/>
      </c>
      <c r="AG298" s="26" t="str">
        <f t="shared" si="110"/>
        <v/>
      </c>
      <c r="AI298" s="24" t="str">
        <f t="shared" si="111"/>
        <v/>
      </c>
      <c r="AJ298" s="25" t="str">
        <f t="shared" si="112"/>
        <v/>
      </c>
      <c r="AK298" s="25" t="str">
        <f t="shared" si="113"/>
        <v/>
      </c>
      <c r="AL298" s="25" t="str">
        <f t="shared" si="114"/>
        <v/>
      </c>
      <c r="AM298" s="25" t="str">
        <f t="shared" si="115"/>
        <v/>
      </c>
      <c r="AN298" s="25" t="str">
        <f t="shared" si="116"/>
        <v/>
      </c>
      <c r="AO298" s="25"/>
      <c r="AP298" s="25"/>
      <c r="AQ298" s="25"/>
      <c r="AR298" s="25" t="str">
        <f t="shared" si="117"/>
        <v/>
      </c>
      <c r="AS298" s="26" t="str">
        <f t="shared" si="118"/>
        <v/>
      </c>
    </row>
    <row r="299" spans="2:45" hidden="1" x14ac:dyDescent="0.25">
      <c r="B299" s="70">
        <v>54</v>
      </c>
      <c r="C299" s="59" t="str">
        <f t="shared" si="87"/>
        <v/>
      </c>
      <c r="D299" s="55" t="str">
        <f t="shared" si="88"/>
        <v/>
      </c>
      <c r="E299" s="55" t="str">
        <f t="shared" si="89"/>
        <v/>
      </c>
      <c r="F299" s="55" t="str">
        <f t="shared" si="90"/>
        <v/>
      </c>
      <c r="G299" s="55" t="str">
        <f t="shared" si="91"/>
        <v/>
      </c>
      <c r="H299" s="55" t="str">
        <f t="shared" si="92"/>
        <v/>
      </c>
      <c r="I299" s="55" t="str">
        <f t="shared" si="93"/>
        <v/>
      </c>
      <c r="J299" s="60" t="str">
        <f t="shared" si="94"/>
        <v/>
      </c>
      <c r="M299" s="58">
        <v>54</v>
      </c>
      <c r="N299" s="59" t="str">
        <f t="shared" si="95"/>
        <v/>
      </c>
      <c r="O299" s="55" t="str">
        <f t="shared" si="96"/>
        <v/>
      </c>
      <c r="P299" s="55" t="str">
        <f t="shared" si="97"/>
        <v/>
      </c>
      <c r="Q299" s="55" t="str">
        <f t="shared" si="98"/>
        <v/>
      </c>
      <c r="R299" s="55" t="str">
        <f t="shared" si="99"/>
        <v/>
      </c>
      <c r="S299" s="55" t="str">
        <f t="shared" si="100"/>
        <v/>
      </c>
      <c r="T299" s="55"/>
      <c r="U299" s="55"/>
      <c r="V299" s="55"/>
      <c r="W299" s="55" t="str">
        <f t="shared" si="101"/>
        <v/>
      </c>
      <c r="X299" s="60" t="str">
        <f t="shared" si="102"/>
        <v/>
      </c>
      <c r="Z299" s="24" t="str">
        <f t="shared" si="103"/>
        <v/>
      </c>
      <c r="AA299" s="25" t="str">
        <f t="shared" si="104"/>
        <v/>
      </c>
      <c r="AB299" s="25" t="str">
        <f t="shared" si="105"/>
        <v/>
      </c>
      <c r="AC299" s="25" t="str">
        <f t="shared" si="106"/>
        <v/>
      </c>
      <c r="AD299" s="25" t="str">
        <f t="shared" si="107"/>
        <v/>
      </c>
      <c r="AE299" s="25" t="str">
        <f t="shared" si="108"/>
        <v/>
      </c>
      <c r="AF299" s="25" t="str">
        <f t="shared" si="109"/>
        <v/>
      </c>
      <c r="AG299" s="26" t="str">
        <f t="shared" si="110"/>
        <v/>
      </c>
      <c r="AI299" s="24" t="str">
        <f t="shared" si="111"/>
        <v/>
      </c>
      <c r="AJ299" s="25" t="str">
        <f t="shared" si="112"/>
        <v/>
      </c>
      <c r="AK299" s="25" t="str">
        <f t="shared" si="113"/>
        <v/>
      </c>
      <c r="AL299" s="25" t="str">
        <f t="shared" si="114"/>
        <v/>
      </c>
      <c r="AM299" s="25" t="str">
        <f t="shared" si="115"/>
        <v/>
      </c>
      <c r="AN299" s="25" t="str">
        <f t="shared" si="116"/>
        <v/>
      </c>
      <c r="AO299" s="25"/>
      <c r="AP299" s="25"/>
      <c r="AQ299" s="25"/>
      <c r="AR299" s="25" t="str">
        <f t="shared" si="117"/>
        <v/>
      </c>
      <c r="AS299" s="26" t="str">
        <f t="shared" si="118"/>
        <v/>
      </c>
    </row>
    <row r="300" spans="2:45" hidden="1" x14ac:dyDescent="0.25">
      <c r="B300" s="70">
        <v>55</v>
      </c>
      <c r="C300" s="59" t="str">
        <f t="shared" si="87"/>
        <v/>
      </c>
      <c r="D300" s="55" t="str">
        <f t="shared" si="88"/>
        <v/>
      </c>
      <c r="E300" s="55" t="str">
        <f t="shared" si="89"/>
        <v/>
      </c>
      <c r="F300" s="55" t="str">
        <f t="shared" si="90"/>
        <v/>
      </c>
      <c r="G300" s="55" t="str">
        <f t="shared" si="91"/>
        <v/>
      </c>
      <c r="H300" s="55" t="str">
        <f t="shared" si="92"/>
        <v/>
      </c>
      <c r="I300" s="55" t="str">
        <f t="shared" si="93"/>
        <v/>
      </c>
      <c r="J300" s="60" t="str">
        <f t="shared" si="94"/>
        <v/>
      </c>
      <c r="M300" s="58">
        <v>55</v>
      </c>
      <c r="N300" s="59" t="str">
        <f t="shared" si="95"/>
        <v/>
      </c>
      <c r="O300" s="55" t="str">
        <f t="shared" si="96"/>
        <v/>
      </c>
      <c r="P300" s="55" t="str">
        <f t="shared" si="97"/>
        <v/>
      </c>
      <c r="Q300" s="55" t="str">
        <f t="shared" si="98"/>
        <v/>
      </c>
      <c r="R300" s="55" t="str">
        <f t="shared" si="99"/>
        <v/>
      </c>
      <c r="S300" s="55" t="str">
        <f t="shared" si="100"/>
        <v/>
      </c>
      <c r="T300" s="55"/>
      <c r="U300" s="55"/>
      <c r="V300" s="55"/>
      <c r="W300" s="55" t="str">
        <f t="shared" si="101"/>
        <v/>
      </c>
      <c r="X300" s="60" t="str">
        <f t="shared" si="102"/>
        <v/>
      </c>
      <c r="Z300" s="24" t="str">
        <f t="shared" si="103"/>
        <v/>
      </c>
      <c r="AA300" s="25" t="str">
        <f t="shared" si="104"/>
        <v/>
      </c>
      <c r="AB300" s="25" t="str">
        <f t="shared" si="105"/>
        <v/>
      </c>
      <c r="AC300" s="25" t="str">
        <f t="shared" si="106"/>
        <v/>
      </c>
      <c r="AD300" s="25" t="str">
        <f t="shared" si="107"/>
        <v/>
      </c>
      <c r="AE300" s="25" t="str">
        <f t="shared" si="108"/>
        <v/>
      </c>
      <c r="AF300" s="25" t="str">
        <f t="shared" si="109"/>
        <v/>
      </c>
      <c r="AG300" s="26" t="str">
        <f t="shared" si="110"/>
        <v/>
      </c>
      <c r="AI300" s="24" t="str">
        <f t="shared" si="111"/>
        <v/>
      </c>
      <c r="AJ300" s="25" t="str">
        <f t="shared" si="112"/>
        <v/>
      </c>
      <c r="AK300" s="25" t="str">
        <f t="shared" si="113"/>
        <v/>
      </c>
      <c r="AL300" s="25" t="str">
        <f t="shared" si="114"/>
        <v/>
      </c>
      <c r="AM300" s="25" t="str">
        <f t="shared" si="115"/>
        <v/>
      </c>
      <c r="AN300" s="25" t="str">
        <f t="shared" si="116"/>
        <v/>
      </c>
      <c r="AO300" s="25"/>
      <c r="AP300" s="25"/>
      <c r="AQ300" s="25"/>
      <c r="AR300" s="25" t="str">
        <f t="shared" si="117"/>
        <v/>
      </c>
      <c r="AS300" s="26" t="str">
        <f t="shared" si="118"/>
        <v/>
      </c>
    </row>
    <row r="301" spans="2:45" hidden="1" x14ac:dyDescent="0.25">
      <c r="B301" s="70">
        <v>56</v>
      </c>
      <c r="C301" s="59" t="str">
        <f t="shared" si="87"/>
        <v/>
      </c>
      <c r="D301" s="55" t="str">
        <f t="shared" si="88"/>
        <v/>
      </c>
      <c r="E301" s="55" t="str">
        <f t="shared" si="89"/>
        <v/>
      </c>
      <c r="F301" s="55" t="str">
        <f t="shared" si="90"/>
        <v/>
      </c>
      <c r="G301" s="55" t="str">
        <f t="shared" si="91"/>
        <v/>
      </c>
      <c r="H301" s="55" t="str">
        <f t="shared" si="92"/>
        <v/>
      </c>
      <c r="I301" s="55" t="str">
        <f t="shared" si="93"/>
        <v/>
      </c>
      <c r="J301" s="60" t="str">
        <f t="shared" si="94"/>
        <v/>
      </c>
      <c r="M301" s="58">
        <v>56</v>
      </c>
      <c r="N301" s="59" t="str">
        <f t="shared" si="95"/>
        <v/>
      </c>
      <c r="O301" s="55" t="str">
        <f t="shared" si="96"/>
        <v/>
      </c>
      <c r="P301" s="55" t="str">
        <f t="shared" si="97"/>
        <v/>
      </c>
      <c r="Q301" s="55" t="str">
        <f t="shared" si="98"/>
        <v/>
      </c>
      <c r="R301" s="55" t="str">
        <f t="shared" si="99"/>
        <v/>
      </c>
      <c r="S301" s="55" t="str">
        <f t="shared" si="100"/>
        <v/>
      </c>
      <c r="T301" s="55"/>
      <c r="U301" s="55"/>
      <c r="V301" s="55"/>
      <c r="W301" s="55" t="str">
        <f t="shared" si="101"/>
        <v/>
      </c>
      <c r="X301" s="60" t="str">
        <f t="shared" si="102"/>
        <v/>
      </c>
      <c r="Z301" s="24" t="str">
        <f t="shared" si="103"/>
        <v/>
      </c>
      <c r="AA301" s="25" t="str">
        <f t="shared" si="104"/>
        <v/>
      </c>
      <c r="AB301" s="25" t="str">
        <f t="shared" si="105"/>
        <v/>
      </c>
      <c r="AC301" s="25" t="str">
        <f t="shared" si="106"/>
        <v/>
      </c>
      <c r="AD301" s="25" t="str">
        <f t="shared" si="107"/>
        <v/>
      </c>
      <c r="AE301" s="25" t="str">
        <f t="shared" si="108"/>
        <v/>
      </c>
      <c r="AF301" s="25" t="str">
        <f t="shared" si="109"/>
        <v/>
      </c>
      <c r="AG301" s="26" t="str">
        <f t="shared" si="110"/>
        <v/>
      </c>
      <c r="AI301" s="24" t="str">
        <f t="shared" si="111"/>
        <v/>
      </c>
      <c r="AJ301" s="25" t="str">
        <f t="shared" si="112"/>
        <v/>
      </c>
      <c r="AK301" s="25" t="str">
        <f t="shared" si="113"/>
        <v/>
      </c>
      <c r="AL301" s="25" t="str">
        <f t="shared" si="114"/>
        <v/>
      </c>
      <c r="AM301" s="25" t="str">
        <f t="shared" si="115"/>
        <v/>
      </c>
      <c r="AN301" s="25" t="str">
        <f t="shared" si="116"/>
        <v/>
      </c>
      <c r="AO301" s="25"/>
      <c r="AP301" s="25"/>
      <c r="AQ301" s="25"/>
      <c r="AR301" s="25" t="str">
        <f t="shared" si="117"/>
        <v/>
      </c>
      <c r="AS301" s="26" t="str">
        <f t="shared" si="118"/>
        <v/>
      </c>
    </row>
    <row r="302" spans="2:45" hidden="1" x14ac:dyDescent="0.25">
      <c r="B302" s="70">
        <v>57</v>
      </c>
      <c r="C302" s="59" t="str">
        <f t="shared" si="87"/>
        <v/>
      </c>
      <c r="D302" s="55" t="str">
        <f t="shared" si="88"/>
        <v/>
      </c>
      <c r="E302" s="55" t="str">
        <f t="shared" si="89"/>
        <v/>
      </c>
      <c r="F302" s="55" t="str">
        <f t="shared" si="90"/>
        <v/>
      </c>
      <c r="G302" s="55" t="str">
        <f t="shared" si="91"/>
        <v/>
      </c>
      <c r="H302" s="55" t="str">
        <f t="shared" si="92"/>
        <v/>
      </c>
      <c r="I302" s="55" t="str">
        <f t="shared" si="93"/>
        <v/>
      </c>
      <c r="J302" s="60" t="str">
        <f t="shared" si="94"/>
        <v/>
      </c>
      <c r="M302" s="58">
        <v>57</v>
      </c>
      <c r="N302" s="59" t="str">
        <f t="shared" si="95"/>
        <v/>
      </c>
      <c r="O302" s="55" t="str">
        <f t="shared" si="96"/>
        <v/>
      </c>
      <c r="P302" s="55" t="str">
        <f t="shared" si="97"/>
        <v/>
      </c>
      <c r="Q302" s="55" t="str">
        <f t="shared" si="98"/>
        <v/>
      </c>
      <c r="R302" s="55" t="str">
        <f t="shared" si="99"/>
        <v/>
      </c>
      <c r="S302" s="55" t="str">
        <f t="shared" si="100"/>
        <v/>
      </c>
      <c r="T302" s="55"/>
      <c r="U302" s="55"/>
      <c r="V302" s="55"/>
      <c r="W302" s="55" t="str">
        <f t="shared" si="101"/>
        <v/>
      </c>
      <c r="X302" s="60" t="str">
        <f t="shared" si="102"/>
        <v/>
      </c>
      <c r="Z302" s="24" t="str">
        <f t="shared" si="103"/>
        <v/>
      </c>
      <c r="AA302" s="25" t="str">
        <f t="shared" si="104"/>
        <v/>
      </c>
      <c r="AB302" s="25" t="str">
        <f t="shared" si="105"/>
        <v/>
      </c>
      <c r="AC302" s="25" t="str">
        <f t="shared" si="106"/>
        <v/>
      </c>
      <c r="AD302" s="25" t="str">
        <f t="shared" si="107"/>
        <v/>
      </c>
      <c r="AE302" s="25" t="str">
        <f t="shared" si="108"/>
        <v/>
      </c>
      <c r="AF302" s="25" t="str">
        <f t="shared" si="109"/>
        <v/>
      </c>
      <c r="AG302" s="26" t="str">
        <f t="shared" si="110"/>
        <v/>
      </c>
      <c r="AI302" s="24" t="str">
        <f t="shared" si="111"/>
        <v/>
      </c>
      <c r="AJ302" s="25" t="str">
        <f t="shared" si="112"/>
        <v/>
      </c>
      <c r="AK302" s="25" t="str">
        <f t="shared" si="113"/>
        <v/>
      </c>
      <c r="AL302" s="25" t="str">
        <f t="shared" si="114"/>
        <v/>
      </c>
      <c r="AM302" s="25" t="str">
        <f t="shared" si="115"/>
        <v/>
      </c>
      <c r="AN302" s="25" t="str">
        <f t="shared" si="116"/>
        <v/>
      </c>
      <c r="AO302" s="25"/>
      <c r="AP302" s="25"/>
      <c r="AQ302" s="25"/>
      <c r="AR302" s="25" t="str">
        <f t="shared" si="117"/>
        <v/>
      </c>
      <c r="AS302" s="26" t="str">
        <f t="shared" si="118"/>
        <v/>
      </c>
    </row>
    <row r="303" spans="2:45" hidden="1" x14ac:dyDescent="0.25">
      <c r="B303" s="70">
        <v>58</v>
      </c>
      <c r="C303" s="59" t="str">
        <f t="shared" si="87"/>
        <v/>
      </c>
      <c r="D303" s="55" t="str">
        <f t="shared" si="88"/>
        <v/>
      </c>
      <c r="E303" s="55" t="str">
        <f t="shared" si="89"/>
        <v/>
      </c>
      <c r="F303" s="55" t="str">
        <f t="shared" si="90"/>
        <v/>
      </c>
      <c r="G303" s="55" t="str">
        <f t="shared" si="91"/>
        <v/>
      </c>
      <c r="H303" s="55" t="str">
        <f t="shared" si="92"/>
        <v/>
      </c>
      <c r="I303" s="55" t="str">
        <f t="shared" si="93"/>
        <v/>
      </c>
      <c r="J303" s="60" t="str">
        <f t="shared" si="94"/>
        <v/>
      </c>
      <c r="M303" s="58">
        <v>58</v>
      </c>
      <c r="N303" s="59" t="str">
        <f t="shared" si="95"/>
        <v/>
      </c>
      <c r="O303" s="55" t="str">
        <f t="shared" si="96"/>
        <v/>
      </c>
      <c r="P303" s="55" t="str">
        <f t="shared" si="97"/>
        <v/>
      </c>
      <c r="Q303" s="55" t="str">
        <f t="shared" si="98"/>
        <v/>
      </c>
      <c r="R303" s="55" t="str">
        <f t="shared" si="99"/>
        <v/>
      </c>
      <c r="S303" s="55" t="str">
        <f t="shared" si="100"/>
        <v/>
      </c>
      <c r="T303" s="55"/>
      <c r="U303" s="55"/>
      <c r="V303" s="55"/>
      <c r="W303" s="55" t="str">
        <f t="shared" si="101"/>
        <v/>
      </c>
      <c r="X303" s="60" t="str">
        <f t="shared" si="102"/>
        <v/>
      </c>
      <c r="Z303" s="24" t="str">
        <f t="shared" si="103"/>
        <v/>
      </c>
      <c r="AA303" s="25" t="str">
        <f t="shared" si="104"/>
        <v/>
      </c>
      <c r="AB303" s="25" t="str">
        <f t="shared" si="105"/>
        <v/>
      </c>
      <c r="AC303" s="25" t="str">
        <f t="shared" si="106"/>
        <v/>
      </c>
      <c r="AD303" s="25" t="str">
        <f t="shared" si="107"/>
        <v/>
      </c>
      <c r="AE303" s="25" t="str">
        <f t="shared" si="108"/>
        <v/>
      </c>
      <c r="AF303" s="25" t="str">
        <f t="shared" si="109"/>
        <v/>
      </c>
      <c r="AG303" s="26" t="str">
        <f t="shared" si="110"/>
        <v/>
      </c>
      <c r="AI303" s="24" t="str">
        <f t="shared" si="111"/>
        <v/>
      </c>
      <c r="AJ303" s="25" t="str">
        <f t="shared" si="112"/>
        <v/>
      </c>
      <c r="AK303" s="25" t="str">
        <f t="shared" si="113"/>
        <v/>
      </c>
      <c r="AL303" s="25" t="str">
        <f t="shared" si="114"/>
        <v/>
      </c>
      <c r="AM303" s="25" t="str">
        <f t="shared" si="115"/>
        <v/>
      </c>
      <c r="AN303" s="25" t="str">
        <f t="shared" si="116"/>
        <v/>
      </c>
      <c r="AO303" s="25"/>
      <c r="AP303" s="25"/>
      <c r="AQ303" s="25"/>
      <c r="AR303" s="25" t="str">
        <f t="shared" si="117"/>
        <v/>
      </c>
      <c r="AS303" s="26" t="str">
        <f t="shared" si="118"/>
        <v/>
      </c>
    </row>
    <row r="304" spans="2:45" hidden="1" x14ac:dyDescent="0.25">
      <c r="B304" s="70">
        <v>59</v>
      </c>
      <c r="C304" s="59" t="str">
        <f t="shared" si="87"/>
        <v/>
      </c>
      <c r="D304" s="55" t="str">
        <f t="shared" si="88"/>
        <v/>
      </c>
      <c r="E304" s="55" t="str">
        <f t="shared" si="89"/>
        <v/>
      </c>
      <c r="F304" s="55" t="str">
        <f t="shared" si="90"/>
        <v/>
      </c>
      <c r="G304" s="55" t="str">
        <f t="shared" si="91"/>
        <v/>
      </c>
      <c r="H304" s="55" t="str">
        <f t="shared" si="92"/>
        <v/>
      </c>
      <c r="I304" s="55" t="str">
        <f t="shared" si="93"/>
        <v/>
      </c>
      <c r="J304" s="60" t="str">
        <f t="shared" si="94"/>
        <v/>
      </c>
      <c r="M304" s="58">
        <v>59</v>
      </c>
      <c r="N304" s="59" t="str">
        <f t="shared" si="95"/>
        <v/>
      </c>
      <c r="O304" s="55" t="str">
        <f t="shared" si="96"/>
        <v/>
      </c>
      <c r="P304" s="55" t="str">
        <f t="shared" si="97"/>
        <v/>
      </c>
      <c r="Q304" s="55" t="str">
        <f t="shared" si="98"/>
        <v/>
      </c>
      <c r="R304" s="55" t="str">
        <f t="shared" si="99"/>
        <v/>
      </c>
      <c r="S304" s="55" t="str">
        <f t="shared" si="100"/>
        <v/>
      </c>
      <c r="T304" s="55"/>
      <c r="U304" s="55"/>
      <c r="V304" s="55"/>
      <c r="W304" s="55" t="str">
        <f t="shared" si="101"/>
        <v/>
      </c>
      <c r="X304" s="60" t="str">
        <f t="shared" si="102"/>
        <v/>
      </c>
      <c r="Z304" s="24" t="str">
        <f t="shared" si="103"/>
        <v/>
      </c>
      <c r="AA304" s="25" t="str">
        <f t="shared" si="104"/>
        <v/>
      </c>
      <c r="AB304" s="25" t="str">
        <f t="shared" si="105"/>
        <v/>
      </c>
      <c r="AC304" s="25" t="str">
        <f t="shared" si="106"/>
        <v/>
      </c>
      <c r="AD304" s="25" t="str">
        <f t="shared" si="107"/>
        <v/>
      </c>
      <c r="AE304" s="25" t="str">
        <f t="shared" si="108"/>
        <v/>
      </c>
      <c r="AF304" s="25" t="str">
        <f t="shared" si="109"/>
        <v/>
      </c>
      <c r="AG304" s="26" t="str">
        <f t="shared" si="110"/>
        <v/>
      </c>
      <c r="AI304" s="24" t="str">
        <f t="shared" si="111"/>
        <v/>
      </c>
      <c r="AJ304" s="25" t="str">
        <f t="shared" si="112"/>
        <v/>
      </c>
      <c r="AK304" s="25" t="str">
        <f t="shared" si="113"/>
        <v/>
      </c>
      <c r="AL304" s="25" t="str">
        <f t="shared" si="114"/>
        <v/>
      </c>
      <c r="AM304" s="25" t="str">
        <f t="shared" si="115"/>
        <v/>
      </c>
      <c r="AN304" s="25" t="str">
        <f t="shared" si="116"/>
        <v/>
      </c>
      <c r="AO304" s="25"/>
      <c r="AP304" s="25"/>
      <c r="AQ304" s="25"/>
      <c r="AR304" s="25" t="str">
        <f t="shared" si="117"/>
        <v/>
      </c>
      <c r="AS304" s="26" t="str">
        <f t="shared" si="118"/>
        <v/>
      </c>
    </row>
    <row r="305" spans="2:45" hidden="1" x14ac:dyDescent="0.25">
      <c r="B305" s="70">
        <v>60</v>
      </c>
      <c r="C305" s="59" t="str">
        <f t="shared" si="87"/>
        <v/>
      </c>
      <c r="D305" s="55" t="str">
        <f t="shared" si="88"/>
        <v/>
      </c>
      <c r="E305" s="55" t="str">
        <f t="shared" si="89"/>
        <v/>
      </c>
      <c r="F305" s="55" t="str">
        <f t="shared" si="90"/>
        <v/>
      </c>
      <c r="G305" s="55" t="str">
        <f t="shared" si="91"/>
        <v/>
      </c>
      <c r="H305" s="55" t="str">
        <f t="shared" si="92"/>
        <v/>
      </c>
      <c r="I305" s="55" t="str">
        <f t="shared" si="93"/>
        <v/>
      </c>
      <c r="J305" s="60" t="str">
        <f t="shared" si="94"/>
        <v/>
      </c>
      <c r="M305" s="58">
        <v>60</v>
      </c>
      <c r="N305" s="59" t="str">
        <f t="shared" si="95"/>
        <v/>
      </c>
      <c r="O305" s="55" t="str">
        <f t="shared" si="96"/>
        <v/>
      </c>
      <c r="P305" s="55" t="str">
        <f t="shared" si="97"/>
        <v/>
      </c>
      <c r="Q305" s="55" t="str">
        <f t="shared" si="98"/>
        <v/>
      </c>
      <c r="R305" s="55" t="str">
        <f t="shared" si="99"/>
        <v/>
      </c>
      <c r="S305" s="55" t="str">
        <f t="shared" si="100"/>
        <v/>
      </c>
      <c r="T305" s="55"/>
      <c r="U305" s="55"/>
      <c r="V305" s="55"/>
      <c r="W305" s="55" t="str">
        <f t="shared" si="101"/>
        <v/>
      </c>
      <c r="X305" s="60" t="str">
        <f t="shared" si="102"/>
        <v/>
      </c>
      <c r="Z305" s="24" t="str">
        <f t="shared" si="103"/>
        <v/>
      </c>
      <c r="AA305" s="25" t="str">
        <f t="shared" si="104"/>
        <v/>
      </c>
      <c r="AB305" s="25" t="str">
        <f t="shared" si="105"/>
        <v/>
      </c>
      <c r="AC305" s="25" t="str">
        <f t="shared" si="106"/>
        <v/>
      </c>
      <c r="AD305" s="25" t="str">
        <f t="shared" si="107"/>
        <v/>
      </c>
      <c r="AE305" s="25" t="str">
        <f t="shared" si="108"/>
        <v/>
      </c>
      <c r="AF305" s="25" t="str">
        <f t="shared" si="109"/>
        <v/>
      </c>
      <c r="AG305" s="26" t="str">
        <f t="shared" si="110"/>
        <v/>
      </c>
      <c r="AI305" s="24" t="str">
        <f t="shared" si="111"/>
        <v/>
      </c>
      <c r="AJ305" s="25" t="str">
        <f t="shared" si="112"/>
        <v/>
      </c>
      <c r="AK305" s="25" t="str">
        <f t="shared" si="113"/>
        <v/>
      </c>
      <c r="AL305" s="25" t="str">
        <f t="shared" si="114"/>
        <v/>
      </c>
      <c r="AM305" s="25" t="str">
        <f t="shared" si="115"/>
        <v/>
      </c>
      <c r="AN305" s="25" t="str">
        <f t="shared" si="116"/>
        <v/>
      </c>
      <c r="AO305" s="25"/>
      <c r="AP305" s="25"/>
      <c r="AQ305" s="25"/>
      <c r="AR305" s="25" t="str">
        <f t="shared" si="117"/>
        <v/>
      </c>
      <c r="AS305" s="26" t="str">
        <f t="shared" si="118"/>
        <v/>
      </c>
    </row>
    <row r="306" spans="2:45" hidden="1" x14ac:dyDescent="0.25">
      <c r="B306" s="70">
        <v>61</v>
      </c>
      <c r="C306" s="59" t="str">
        <f t="shared" si="87"/>
        <v/>
      </c>
      <c r="D306" s="55" t="str">
        <f t="shared" si="88"/>
        <v/>
      </c>
      <c r="E306" s="55" t="str">
        <f t="shared" si="89"/>
        <v/>
      </c>
      <c r="F306" s="55" t="str">
        <f t="shared" si="90"/>
        <v/>
      </c>
      <c r="G306" s="55" t="str">
        <f t="shared" si="91"/>
        <v/>
      </c>
      <c r="H306" s="55" t="str">
        <f t="shared" si="92"/>
        <v/>
      </c>
      <c r="I306" s="55" t="str">
        <f t="shared" si="93"/>
        <v/>
      </c>
      <c r="J306" s="60" t="str">
        <f t="shared" si="94"/>
        <v/>
      </c>
      <c r="M306" s="58">
        <v>61</v>
      </c>
      <c r="N306" s="59" t="str">
        <f t="shared" si="95"/>
        <v/>
      </c>
      <c r="O306" s="55" t="str">
        <f t="shared" si="96"/>
        <v/>
      </c>
      <c r="P306" s="55" t="str">
        <f t="shared" si="97"/>
        <v/>
      </c>
      <c r="Q306" s="55" t="str">
        <f t="shared" si="98"/>
        <v/>
      </c>
      <c r="R306" s="55" t="str">
        <f t="shared" si="99"/>
        <v/>
      </c>
      <c r="S306" s="55" t="str">
        <f t="shared" si="100"/>
        <v/>
      </c>
      <c r="T306" s="55"/>
      <c r="U306" s="55"/>
      <c r="V306" s="55"/>
      <c r="W306" s="55" t="str">
        <f t="shared" si="101"/>
        <v/>
      </c>
      <c r="X306" s="60" t="str">
        <f t="shared" si="102"/>
        <v/>
      </c>
      <c r="Z306" s="24" t="str">
        <f t="shared" si="103"/>
        <v/>
      </c>
      <c r="AA306" s="25" t="str">
        <f t="shared" si="104"/>
        <v/>
      </c>
      <c r="AB306" s="25" t="str">
        <f t="shared" si="105"/>
        <v/>
      </c>
      <c r="AC306" s="25" t="str">
        <f t="shared" si="106"/>
        <v/>
      </c>
      <c r="AD306" s="25" t="str">
        <f t="shared" si="107"/>
        <v/>
      </c>
      <c r="AE306" s="25" t="str">
        <f t="shared" si="108"/>
        <v/>
      </c>
      <c r="AF306" s="25" t="str">
        <f t="shared" si="109"/>
        <v/>
      </c>
      <c r="AG306" s="26" t="str">
        <f t="shared" si="110"/>
        <v/>
      </c>
      <c r="AI306" s="24" t="str">
        <f t="shared" si="111"/>
        <v/>
      </c>
      <c r="AJ306" s="25" t="str">
        <f t="shared" si="112"/>
        <v/>
      </c>
      <c r="AK306" s="25" t="str">
        <f t="shared" si="113"/>
        <v/>
      </c>
      <c r="AL306" s="25" t="str">
        <f t="shared" si="114"/>
        <v/>
      </c>
      <c r="AM306" s="25" t="str">
        <f t="shared" si="115"/>
        <v/>
      </c>
      <c r="AN306" s="25" t="str">
        <f t="shared" si="116"/>
        <v/>
      </c>
      <c r="AO306" s="25"/>
      <c r="AP306" s="25"/>
      <c r="AQ306" s="25"/>
      <c r="AR306" s="25" t="str">
        <f t="shared" si="117"/>
        <v/>
      </c>
      <c r="AS306" s="26" t="str">
        <f t="shared" si="118"/>
        <v/>
      </c>
    </row>
    <row r="307" spans="2:45" hidden="1" x14ac:dyDescent="0.25">
      <c r="B307" s="70">
        <v>62</v>
      </c>
      <c r="C307" s="59" t="str">
        <f t="shared" si="87"/>
        <v/>
      </c>
      <c r="D307" s="55" t="str">
        <f t="shared" si="88"/>
        <v/>
      </c>
      <c r="E307" s="55" t="str">
        <f t="shared" si="89"/>
        <v/>
      </c>
      <c r="F307" s="55" t="str">
        <f t="shared" si="90"/>
        <v/>
      </c>
      <c r="G307" s="55" t="str">
        <f t="shared" si="91"/>
        <v/>
      </c>
      <c r="H307" s="55" t="str">
        <f t="shared" si="92"/>
        <v/>
      </c>
      <c r="I307" s="55" t="str">
        <f t="shared" si="93"/>
        <v/>
      </c>
      <c r="J307" s="60" t="str">
        <f t="shared" si="94"/>
        <v/>
      </c>
      <c r="M307" s="58">
        <v>62</v>
      </c>
      <c r="N307" s="59" t="str">
        <f t="shared" si="95"/>
        <v/>
      </c>
      <c r="O307" s="55" t="str">
        <f t="shared" si="96"/>
        <v/>
      </c>
      <c r="P307" s="55" t="str">
        <f t="shared" si="97"/>
        <v/>
      </c>
      <c r="Q307" s="55" t="str">
        <f t="shared" si="98"/>
        <v/>
      </c>
      <c r="R307" s="55" t="str">
        <f t="shared" si="99"/>
        <v/>
      </c>
      <c r="S307" s="55" t="str">
        <f t="shared" si="100"/>
        <v/>
      </c>
      <c r="T307" s="55"/>
      <c r="U307" s="55"/>
      <c r="V307" s="55"/>
      <c r="W307" s="55" t="str">
        <f t="shared" si="101"/>
        <v/>
      </c>
      <c r="X307" s="60" t="str">
        <f t="shared" si="102"/>
        <v/>
      </c>
      <c r="Z307" s="24" t="str">
        <f t="shared" si="103"/>
        <v/>
      </c>
      <c r="AA307" s="25" t="str">
        <f t="shared" si="104"/>
        <v/>
      </c>
      <c r="AB307" s="25" t="str">
        <f t="shared" si="105"/>
        <v/>
      </c>
      <c r="AC307" s="25" t="str">
        <f t="shared" si="106"/>
        <v/>
      </c>
      <c r="AD307" s="25" t="str">
        <f t="shared" si="107"/>
        <v/>
      </c>
      <c r="AE307" s="25" t="str">
        <f t="shared" si="108"/>
        <v/>
      </c>
      <c r="AF307" s="25" t="str">
        <f t="shared" si="109"/>
        <v/>
      </c>
      <c r="AG307" s="26" t="str">
        <f t="shared" si="110"/>
        <v/>
      </c>
      <c r="AI307" s="24" t="str">
        <f t="shared" si="111"/>
        <v/>
      </c>
      <c r="AJ307" s="25" t="str">
        <f t="shared" si="112"/>
        <v/>
      </c>
      <c r="AK307" s="25" t="str">
        <f t="shared" si="113"/>
        <v/>
      </c>
      <c r="AL307" s="25" t="str">
        <f t="shared" si="114"/>
        <v/>
      </c>
      <c r="AM307" s="25" t="str">
        <f t="shared" si="115"/>
        <v/>
      </c>
      <c r="AN307" s="25" t="str">
        <f t="shared" si="116"/>
        <v/>
      </c>
      <c r="AO307" s="25"/>
      <c r="AP307" s="25"/>
      <c r="AQ307" s="25"/>
      <c r="AR307" s="25" t="str">
        <f t="shared" si="117"/>
        <v/>
      </c>
      <c r="AS307" s="26" t="str">
        <f t="shared" si="118"/>
        <v/>
      </c>
    </row>
    <row r="308" spans="2:45" hidden="1" x14ac:dyDescent="0.25">
      <c r="B308" s="70">
        <v>63</v>
      </c>
      <c r="C308" s="59" t="str">
        <f t="shared" si="87"/>
        <v/>
      </c>
      <c r="D308" s="55" t="str">
        <f t="shared" si="88"/>
        <v/>
      </c>
      <c r="E308" s="55" t="str">
        <f t="shared" si="89"/>
        <v/>
      </c>
      <c r="F308" s="55" t="str">
        <f t="shared" si="90"/>
        <v/>
      </c>
      <c r="G308" s="55" t="str">
        <f t="shared" si="91"/>
        <v/>
      </c>
      <c r="H308" s="55" t="str">
        <f t="shared" si="92"/>
        <v/>
      </c>
      <c r="I308" s="55" t="str">
        <f t="shared" si="93"/>
        <v/>
      </c>
      <c r="J308" s="60" t="str">
        <f t="shared" si="94"/>
        <v/>
      </c>
      <c r="M308" s="58">
        <v>63</v>
      </c>
      <c r="N308" s="59" t="str">
        <f t="shared" si="95"/>
        <v/>
      </c>
      <c r="O308" s="55" t="str">
        <f t="shared" si="96"/>
        <v/>
      </c>
      <c r="P308" s="55" t="str">
        <f t="shared" si="97"/>
        <v/>
      </c>
      <c r="Q308" s="55" t="str">
        <f t="shared" si="98"/>
        <v/>
      </c>
      <c r="R308" s="55" t="str">
        <f t="shared" si="99"/>
        <v/>
      </c>
      <c r="S308" s="55" t="str">
        <f t="shared" si="100"/>
        <v/>
      </c>
      <c r="T308" s="55"/>
      <c r="U308" s="55"/>
      <c r="V308" s="55"/>
      <c r="W308" s="55" t="str">
        <f t="shared" si="101"/>
        <v/>
      </c>
      <c r="X308" s="60" t="str">
        <f t="shared" si="102"/>
        <v/>
      </c>
      <c r="Z308" s="24" t="str">
        <f t="shared" si="103"/>
        <v/>
      </c>
      <c r="AA308" s="25" t="str">
        <f t="shared" si="104"/>
        <v/>
      </c>
      <c r="AB308" s="25" t="str">
        <f t="shared" si="105"/>
        <v/>
      </c>
      <c r="AC308" s="25" t="str">
        <f t="shared" si="106"/>
        <v/>
      </c>
      <c r="AD308" s="25" t="str">
        <f t="shared" si="107"/>
        <v/>
      </c>
      <c r="AE308" s="25" t="str">
        <f t="shared" si="108"/>
        <v/>
      </c>
      <c r="AF308" s="25" t="str">
        <f t="shared" si="109"/>
        <v/>
      </c>
      <c r="AG308" s="26" t="str">
        <f t="shared" si="110"/>
        <v/>
      </c>
      <c r="AI308" s="24" t="str">
        <f t="shared" si="111"/>
        <v/>
      </c>
      <c r="AJ308" s="25" t="str">
        <f t="shared" si="112"/>
        <v/>
      </c>
      <c r="AK308" s="25" t="str">
        <f t="shared" si="113"/>
        <v/>
      </c>
      <c r="AL308" s="25" t="str">
        <f t="shared" si="114"/>
        <v/>
      </c>
      <c r="AM308" s="25" t="str">
        <f t="shared" si="115"/>
        <v/>
      </c>
      <c r="AN308" s="25" t="str">
        <f t="shared" si="116"/>
        <v/>
      </c>
      <c r="AO308" s="25"/>
      <c r="AP308" s="25"/>
      <c r="AQ308" s="25"/>
      <c r="AR308" s="25" t="str">
        <f t="shared" si="117"/>
        <v/>
      </c>
      <c r="AS308" s="26" t="str">
        <f t="shared" si="118"/>
        <v/>
      </c>
    </row>
    <row r="309" spans="2:45" hidden="1" x14ac:dyDescent="0.25">
      <c r="B309" s="70">
        <v>64</v>
      </c>
      <c r="C309" s="59" t="str">
        <f t="shared" si="87"/>
        <v/>
      </c>
      <c r="D309" s="55" t="str">
        <f t="shared" si="88"/>
        <v/>
      </c>
      <c r="E309" s="55" t="str">
        <f t="shared" si="89"/>
        <v/>
      </c>
      <c r="F309" s="55" t="str">
        <f t="shared" si="90"/>
        <v/>
      </c>
      <c r="G309" s="55" t="str">
        <f t="shared" si="91"/>
        <v/>
      </c>
      <c r="H309" s="55" t="str">
        <f t="shared" si="92"/>
        <v/>
      </c>
      <c r="I309" s="55" t="str">
        <f t="shared" si="93"/>
        <v/>
      </c>
      <c r="J309" s="60" t="str">
        <f t="shared" si="94"/>
        <v/>
      </c>
      <c r="M309" s="58">
        <v>64</v>
      </c>
      <c r="N309" s="59" t="str">
        <f t="shared" si="95"/>
        <v/>
      </c>
      <c r="O309" s="55" t="str">
        <f t="shared" si="96"/>
        <v/>
      </c>
      <c r="P309" s="55" t="str">
        <f t="shared" si="97"/>
        <v/>
      </c>
      <c r="Q309" s="55" t="str">
        <f t="shared" si="98"/>
        <v/>
      </c>
      <c r="R309" s="55" t="str">
        <f t="shared" si="99"/>
        <v/>
      </c>
      <c r="S309" s="55" t="str">
        <f t="shared" si="100"/>
        <v/>
      </c>
      <c r="T309" s="55"/>
      <c r="U309" s="55"/>
      <c r="V309" s="55"/>
      <c r="W309" s="55" t="str">
        <f t="shared" si="101"/>
        <v/>
      </c>
      <c r="X309" s="60" t="str">
        <f t="shared" si="102"/>
        <v/>
      </c>
      <c r="Z309" s="24" t="str">
        <f t="shared" si="103"/>
        <v/>
      </c>
      <c r="AA309" s="25" t="str">
        <f t="shared" si="104"/>
        <v/>
      </c>
      <c r="AB309" s="25" t="str">
        <f t="shared" si="105"/>
        <v/>
      </c>
      <c r="AC309" s="25" t="str">
        <f t="shared" si="106"/>
        <v/>
      </c>
      <c r="AD309" s="25" t="str">
        <f t="shared" si="107"/>
        <v/>
      </c>
      <c r="AE309" s="25" t="str">
        <f t="shared" si="108"/>
        <v/>
      </c>
      <c r="AF309" s="25" t="str">
        <f t="shared" si="109"/>
        <v/>
      </c>
      <c r="AG309" s="26" t="str">
        <f t="shared" si="110"/>
        <v/>
      </c>
      <c r="AI309" s="24" t="str">
        <f t="shared" si="111"/>
        <v/>
      </c>
      <c r="AJ309" s="25" t="str">
        <f t="shared" si="112"/>
        <v/>
      </c>
      <c r="AK309" s="25" t="str">
        <f t="shared" si="113"/>
        <v/>
      </c>
      <c r="AL309" s="25" t="str">
        <f t="shared" si="114"/>
        <v/>
      </c>
      <c r="AM309" s="25" t="str">
        <f t="shared" si="115"/>
        <v/>
      </c>
      <c r="AN309" s="25" t="str">
        <f t="shared" si="116"/>
        <v/>
      </c>
      <c r="AO309" s="25"/>
      <c r="AP309" s="25"/>
      <c r="AQ309" s="25"/>
      <c r="AR309" s="25" t="str">
        <f t="shared" si="117"/>
        <v/>
      </c>
      <c r="AS309" s="26" t="str">
        <f t="shared" si="118"/>
        <v/>
      </c>
    </row>
    <row r="310" spans="2:45" hidden="1" x14ac:dyDescent="0.25">
      <c r="B310" s="70">
        <v>65</v>
      </c>
      <c r="C310" s="59" t="str">
        <f t="shared" ref="C310:C341" si="119">IFERROR(VLOOKUP(SMALL($B$114:$B$241,B310),$B$114:$J$241,2,FALSE),"")</f>
        <v/>
      </c>
      <c r="D310" s="55" t="str">
        <f t="shared" ref="D310:D341" si="120">IFERROR(VLOOKUP(SMALL($B$114:$B$241,B310),$B$114:$J$241,3,FALSE),"")</f>
        <v/>
      </c>
      <c r="E310" s="55" t="str">
        <f t="shared" ref="E310:E341" si="121">IFERROR(VLOOKUP(SMALL($B$114:$B$241,B310),$B$114:$J$241,4,FALSE),"")</f>
        <v/>
      </c>
      <c r="F310" s="55" t="str">
        <f t="shared" ref="F310:F341" si="122">IFERROR(VLOOKUP(SMALL($B$114:$B$241,B310),$B$114:$J$241,5,FALSE),"")</f>
        <v/>
      </c>
      <c r="G310" s="55" t="str">
        <f t="shared" ref="G310:G341" si="123">IFERROR(VLOOKUP(SMALL($B$114:$B$241,B310),$B$114:$J$241,6,FALSE),"")</f>
        <v/>
      </c>
      <c r="H310" s="55" t="str">
        <f t="shared" ref="H310:H341" si="124">IFERROR(VLOOKUP(SMALL($B$114:$B$241,B310),$B$114:$J$241,7,FALSE),"")</f>
        <v/>
      </c>
      <c r="I310" s="55" t="str">
        <f t="shared" ref="I310:I341" si="125">IFERROR(VLOOKUP(SMALL($B$114:$B$241,B310),$B$114:$J$241,8,FALSE),"")</f>
        <v/>
      </c>
      <c r="J310" s="60" t="str">
        <f t="shared" ref="J310:J341" si="126">IFERROR(VLOOKUP(SMALL($B$114:$B$241,B310),$B$114:$J$241,9,FALSE),"")</f>
        <v/>
      </c>
      <c r="M310" s="58">
        <v>65</v>
      </c>
      <c r="N310" s="59" t="str">
        <f t="shared" ref="N310:N341" si="127">IFERROR(VLOOKUP(SMALL($M$114:$M$241,M310),$M$114:$X$241,2,FALSE),"")</f>
        <v/>
      </c>
      <c r="O310" s="55" t="str">
        <f t="shared" ref="O310:O341" si="128">IFERROR(VLOOKUP(SMALL($M$114:$M$241,M310),$M$114:$X$241,3,FALSE),"")</f>
        <v/>
      </c>
      <c r="P310" s="55" t="str">
        <f t="shared" ref="P310:P341" si="129">IFERROR(VLOOKUP(SMALL($M$114:$M$241,M310),$M$114:$X$241,4,FALSE),"")</f>
        <v/>
      </c>
      <c r="Q310" s="55" t="str">
        <f t="shared" ref="Q310:Q341" si="130">IFERROR(VLOOKUP(SMALL($M$114:$M$241,M310),$M$114:$X$241,5,FALSE),"")</f>
        <v/>
      </c>
      <c r="R310" s="55" t="str">
        <f t="shared" ref="R310:R341" si="131">IFERROR(VLOOKUP(SMALL($M$114:$M$241,M310),$M$114:$X$241,6,FALSE),"")</f>
        <v/>
      </c>
      <c r="S310" s="55" t="str">
        <f t="shared" ref="S310:S341" si="132">IFERROR(VLOOKUP(SMALL($M$114:$M$241,M310),$M$114:$X$241,7,FALSE),"")</f>
        <v/>
      </c>
      <c r="T310" s="55"/>
      <c r="U310" s="55"/>
      <c r="V310" s="55"/>
      <c r="W310" s="55" t="str">
        <f t="shared" ref="W310:W341" si="133">IFERROR(VLOOKUP(SMALL($M$114:$M$241,M310),$M$114:$X$241,8,FALSE),"")</f>
        <v/>
      </c>
      <c r="X310" s="60" t="str">
        <f t="shared" ref="X310:X341" si="134">IFERROR(VLOOKUP(SMALL($M$114:$M$241,M310),$M$114:$X$241,9,FALSE),"")</f>
        <v/>
      </c>
      <c r="Z310" s="24" t="str">
        <f t="shared" ref="Z310:Z341" si="135">IF(ISNUMBER(C310),C310*$AB$383,"")</f>
        <v/>
      </c>
      <c r="AA310" s="25" t="str">
        <f t="shared" ref="AA310:AA341" si="136">IF(ISNUMBER(D310),D310*$AB$386,"")</f>
        <v/>
      </c>
      <c r="AB310" s="25" t="str">
        <f t="shared" ref="AB310:AB341" si="137">IF(ISNUMBER(E310),E310*$AB$389,"")</f>
        <v/>
      </c>
      <c r="AC310" s="25" t="str">
        <f t="shared" ref="AC310:AC341" si="138">IF(ISNUMBER(F310),F310*$AB$392,"")</f>
        <v/>
      </c>
      <c r="AD310" s="25" t="str">
        <f t="shared" ref="AD310:AD341" si="139">IF(ISNUMBER(G310),G310*$AB$383,"")</f>
        <v/>
      </c>
      <c r="AE310" s="25" t="str">
        <f t="shared" ref="AE310:AE341" si="140">IF(ISNUMBER(H310),H310*$AB$386,"")</f>
        <v/>
      </c>
      <c r="AF310" s="25" t="str">
        <f t="shared" ref="AF310:AF341" si="141">IF(ISNUMBER(I310),I310*$AB$389,"")</f>
        <v/>
      </c>
      <c r="AG310" s="26" t="str">
        <f t="shared" ref="AG310:AG341" si="142">IF(ISNUMBER(J310),J310*$AB$392,"")</f>
        <v/>
      </c>
      <c r="AI310" s="24" t="str">
        <f t="shared" ref="AI310:AI341" si="143">IF(ISNUMBER(N310),N310*$AB$395,"")</f>
        <v/>
      </c>
      <c r="AJ310" s="25" t="str">
        <f t="shared" ref="AJ310:AJ341" si="144">IF(ISNUMBER(O310),O310*$AB$398,"")</f>
        <v/>
      </c>
      <c r="AK310" s="25" t="str">
        <f t="shared" ref="AK310:AK341" si="145">IF(ISNUMBER(P310),P310*$AB$401,"")</f>
        <v/>
      </c>
      <c r="AL310" s="25" t="str">
        <f t="shared" ref="AL310:AL341" si="146">IF(ISNUMBER(Q310),Q310*$AB$404,"")</f>
        <v/>
      </c>
      <c r="AM310" s="25" t="str">
        <f t="shared" ref="AM310:AM341" si="147">IF(ISNUMBER(R310),R310*$AB$395,"")</f>
        <v/>
      </c>
      <c r="AN310" s="25" t="str">
        <f t="shared" ref="AN310:AN341" si="148">IF(ISNUMBER(S310),S310*$AB$398,"")</f>
        <v/>
      </c>
      <c r="AO310" s="25"/>
      <c r="AP310" s="25"/>
      <c r="AQ310" s="25"/>
      <c r="AR310" s="25" t="str">
        <f t="shared" ref="AR310:AR341" si="149">IF(ISNUMBER(W310),W310*$AB$401,"")</f>
        <v/>
      </c>
      <c r="AS310" s="26" t="str">
        <f t="shared" ref="AS310:AS341" si="150">IF(ISNUMBER(X310),X310*$AB$404,"")</f>
        <v/>
      </c>
    </row>
    <row r="311" spans="2:45" hidden="1" x14ac:dyDescent="0.25">
      <c r="B311" s="70">
        <v>66</v>
      </c>
      <c r="C311" s="59" t="str">
        <f t="shared" si="119"/>
        <v/>
      </c>
      <c r="D311" s="55" t="str">
        <f t="shared" si="120"/>
        <v/>
      </c>
      <c r="E311" s="55" t="str">
        <f t="shared" si="121"/>
        <v/>
      </c>
      <c r="F311" s="55" t="str">
        <f t="shared" si="122"/>
        <v/>
      </c>
      <c r="G311" s="55" t="str">
        <f t="shared" si="123"/>
        <v/>
      </c>
      <c r="H311" s="55" t="str">
        <f t="shared" si="124"/>
        <v/>
      </c>
      <c r="I311" s="55" t="str">
        <f t="shared" si="125"/>
        <v/>
      </c>
      <c r="J311" s="60" t="str">
        <f t="shared" si="126"/>
        <v/>
      </c>
      <c r="M311" s="58">
        <v>66</v>
      </c>
      <c r="N311" s="59" t="str">
        <f t="shared" si="127"/>
        <v/>
      </c>
      <c r="O311" s="55" t="str">
        <f t="shared" si="128"/>
        <v/>
      </c>
      <c r="P311" s="55" t="str">
        <f t="shared" si="129"/>
        <v/>
      </c>
      <c r="Q311" s="55" t="str">
        <f t="shared" si="130"/>
        <v/>
      </c>
      <c r="R311" s="55" t="str">
        <f t="shared" si="131"/>
        <v/>
      </c>
      <c r="S311" s="55" t="str">
        <f t="shared" si="132"/>
        <v/>
      </c>
      <c r="T311" s="55"/>
      <c r="U311" s="55"/>
      <c r="V311" s="55"/>
      <c r="W311" s="55" t="str">
        <f t="shared" si="133"/>
        <v/>
      </c>
      <c r="X311" s="60" t="str">
        <f t="shared" si="134"/>
        <v/>
      </c>
      <c r="Z311" s="24" t="str">
        <f t="shared" si="135"/>
        <v/>
      </c>
      <c r="AA311" s="25" t="str">
        <f t="shared" si="136"/>
        <v/>
      </c>
      <c r="AB311" s="25" t="str">
        <f t="shared" si="137"/>
        <v/>
      </c>
      <c r="AC311" s="25" t="str">
        <f t="shared" si="138"/>
        <v/>
      </c>
      <c r="AD311" s="25" t="str">
        <f t="shared" si="139"/>
        <v/>
      </c>
      <c r="AE311" s="25" t="str">
        <f t="shared" si="140"/>
        <v/>
      </c>
      <c r="AF311" s="25" t="str">
        <f t="shared" si="141"/>
        <v/>
      </c>
      <c r="AG311" s="26" t="str">
        <f t="shared" si="142"/>
        <v/>
      </c>
      <c r="AI311" s="24" t="str">
        <f t="shared" si="143"/>
        <v/>
      </c>
      <c r="AJ311" s="25" t="str">
        <f t="shared" si="144"/>
        <v/>
      </c>
      <c r="AK311" s="25" t="str">
        <f t="shared" si="145"/>
        <v/>
      </c>
      <c r="AL311" s="25" t="str">
        <f t="shared" si="146"/>
        <v/>
      </c>
      <c r="AM311" s="25" t="str">
        <f t="shared" si="147"/>
        <v/>
      </c>
      <c r="AN311" s="25" t="str">
        <f t="shared" si="148"/>
        <v/>
      </c>
      <c r="AO311" s="25"/>
      <c r="AP311" s="25"/>
      <c r="AQ311" s="25"/>
      <c r="AR311" s="25" t="str">
        <f t="shared" si="149"/>
        <v/>
      </c>
      <c r="AS311" s="26" t="str">
        <f t="shared" si="150"/>
        <v/>
      </c>
    </row>
    <row r="312" spans="2:45" hidden="1" x14ac:dyDescent="0.25">
      <c r="B312" s="70">
        <v>67</v>
      </c>
      <c r="C312" s="59" t="str">
        <f t="shared" si="119"/>
        <v/>
      </c>
      <c r="D312" s="55" t="str">
        <f t="shared" si="120"/>
        <v/>
      </c>
      <c r="E312" s="55" t="str">
        <f t="shared" si="121"/>
        <v/>
      </c>
      <c r="F312" s="55" t="str">
        <f t="shared" si="122"/>
        <v/>
      </c>
      <c r="G312" s="55" t="str">
        <f t="shared" si="123"/>
        <v/>
      </c>
      <c r="H312" s="55" t="str">
        <f t="shared" si="124"/>
        <v/>
      </c>
      <c r="I312" s="55" t="str">
        <f t="shared" si="125"/>
        <v/>
      </c>
      <c r="J312" s="60" t="str">
        <f t="shared" si="126"/>
        <v/>
      </c>
      <c r="M312" s="58">
        <v>67</v>
      </c>
      <c r="N312" s="59" t="str">
        <f t="shared" si="127"/>
        <v/>
      </c>
      <c r="O312" s="55" t="str">
        <f t="shared" si="128"/>
        <v/>
      </c>
      <c r="P312" s="55" t="str">
        <f t="shared" si="129"/>
        <v/>
      </c>
      <c r="Q312" s="55" t="str">
        <f t="shared" si="130"/>
        <v/>
      </c>
      <c r="R312" s="55" t="str">
        <f t="shared" si="131"/>
        <v/>
      </c>
      <c r="S312" s="55" t="str">
        <f t="shared" si="132"/>
        <v/>
      </c>
      <c r="T312" s="55"/>
      <c r="U312" s="55"/>
      <c r="V312" s="55"/>
      <c r="W312" s="55" t="str">
        <f t="shared" si="133"/>
        <v/>
      </c>
      <c r="X312" s="60" t="str">
        <f t="shared" si="134"/>
        <v/>
      </c>
      <c r="Z312" s="24" t="str">
        <f t="shared" si="135"/>
        <v/>
      </c>
      <c r="AA312" s="25" t="str">
        <f t="shared" si="136"/>
        <v/>
      </c>
      <c r="AB312" s="25" t="str">
        <f t="shared" si="137"/>
        <v/>
      </c>
      <c r="AC312" s="25" t="str">
        <f t="shared" si="138"/>
        <v/>
      </c>
      <c r="AD312" s="25" t="str">
        <f t="shared" si="139"/>
        <v/>
      </c>
      <c r="AE312" s="25" t="str">
        <f t="shared" si="140"/>
        <v/>
      </c>
      <c r="AF312" s="25" t="str">
        <f t="shared" si="141"/>
        <v/>
      </c>
      <c r="AG312" s="26" t="str">
        <f t="shared" si="142"/>
        <v/>
      </c>
      <c r="AI312" s="24" t="str">
        <f t="shared" si="143"/>
        <v/>
      </c>
      <c r="AJ312" s="25" t="str">
        <f t="shared" si="144"/>
        <v/>
      </c>
      <c r="AK312" s="25" t="str">
        <f t="shared" si="145"/>
        <v/>
      </c>
      <c r="AL312" s="25" t="str">
        <f t="shared" si="146"/>
        <v/>
      </c>
      <c r="AM312" s="25" t="str">
        <f t="shared" si="147"/>
        <v/>
      </c>
      <c r="AN312" s="25" t="str">
        <f t="shared" si="148"/>
        <v/>
      </c>
      <c r="AO312" s="25"/>
      <c r="AP312" s="25"/>
      <c r="AQ312" s="25"/>
      <c r="AR312" s="25" t="str">
        <f t="shared" si="149"/>
        <v/>
      </c>
      <c r="AS312" s="26" t="str">
        <f t="shared" si="150"/>
        <v/>
      </c>
    </row>
    <row r="313" spans="2:45" hidden="1" x14ac:dyDescent="0.25">
      <c r="B313" s="70">
        <v>68</v>
      </c>
      <c r="C313" s="59" t="str">
        <f t="shared" si="119"/>
        <v/>
      </c>
      <c r="D313" s="55" t="str">
        <f t="shared" si="120"/>
        <v/>
      </c>
      <c r="E313" s="55" t="str">
        <f t="shared" si="121"/>
        <v/>
      </c>
      <c r="F313" s="55" t="str">
        <f t="shared" si="122"/>
        <v/>
      </c>
      <c r="G313" s="55" t="str">
        <f t="shared" si="123"/>
        <v/>
      </c>
      <c r="H313" s="55" t="str">
        <f t="shared" si="124"/>
        <v/>
      </c>
      <c r="I313" s="55" t="str">
        <f t="shared" si="125"/>
        <v/>
      </c>
      <c r="J313" s="60" t="str">
        <f t="shared" si="126"/>
        <v/>
      </c>
      <c r="M313" s="58">
        <v>68</v>
      </c>
      <c r="N313" s="59" t="str">
        <f t="shared" si="127"/>
        <v/>
      </c>
      <c r="O313" s="55" t="str">
        <f t="shared" si="128"/>
        <v/>
      </c>
      <c r="P313" s="55" t="str">
        <f t="shared" si="129"/>
        <v/>
      </c>
      <c r="Q313" s="55" t="str">
        <f t="shared" si="130"/>
        <v/>
      </c>
      <c r="R313" s="55" t="str">
        <f t="shared" si="131"/>
        <v/>
      </c>
      <c r="S313" s="55" t="str">
        <f t="shared" si="132"/>
        <v/>
      </c>
      <c r="T313" s="55"/>
      <c r="U313" s="55"/>
      <c r="V313" s="55"/>
      <c r="W313" s="55" t="str">
        <f t="shared" si="133"/>
        <v/>
      </c>
      <c r="X313" s="60" t="str">
        <f t="shared" si="134"/>
        <v/>
      </c>
      <c r="Z313" s="24" t="str">
        <f t="shared" si="135"/>
        <v/>
      </c>
      <c r="AA313" s="25" t="str">
        <f t="shared" si="136"/>
        <v/>
      </c>
      <c r="AB313" s="25" t="str">
        <f t="shared" si="137"/>
        <v/>
      </c>
      <c r="AC313" s="25" t="str">
        <f t="shared" si="138"/>
        <v/>
      </c>
      <c r="AD313" s="25" t="str">
        <f t="shared" si="139"/>
        <v/>
      </c>
      <c r="AE313" s="25" t="str">
        <f t="shared" si="140"/>
        <v/>
      </c>
      <c r="AF313" s="25" t="str">
        <f t="shared" si="141"/>
        <v/>
      </c>
      <c r="AG313" s="26" t="str">
        <f t="shared" si="142"/>
        <v/>
      </c>
      <c r="AI313" s="24" t="str">
        <f t="shared" si="143"/>
        <v/>
      </c>
      <c r="AJ313" s="25" t="str">
        <f t="shared" si="144"/>
        <v/>
      </c>
      <c r="AK313" s="25" t="str">
        <f t="shared" si="145"/>
        <v/>
      </c>
      <c r="AL313" s="25" t="str">
        <f t="shared" si="146"/>
        <v/>
      </c>
      <c r="AM313" s="25" t="str">
        <f t="shared" si="147"/>
        <v/>
      </c>
      <c r="AN313" s="25" t="str">
        <f t="shared" si="148"/>
        <v/>
      </c>
      <c r="AO313" s="25"/>
      <c r="AP313" s="25"/>
      <c r="AQ313" s="25"/>
      <c r="AR313" s="25" t="str">
        <f t="shared" si="149"/>
        <v/>
      </c>
      <c r="AS313" s="26" t="str">
        <f t="shared" si="150"/>
        <v/>
      </c>
    </row>
    <row r="314" spans="2:45" hidden="1" x14ac:dyDescent="0.25">
      <c r="B314" s="70">
        <v>69</v>
      </c>
      <c r="C314" s="59" t="str">
        <f t="shared" si="119"/>
        <v/>
      </c>
      <c r="D314" s="55" t="str">
        <f t="shared" si="120"/>
        <v/>
      </c>
      <c r="E314" s="55" t="str">
        <f t="shared" si="121"/>
        <v/>
      </c>
      <c r="F314" s="55" t="str">
        <f t="shared" si="122"/>
        <v/>
      </c>
      <c r="G314" s="55" t="str">
        <f t="shared" si="123"/>
        <v/>
      </c>
      <c r="H314" s="55" t="str">
        <f t="shared" si="124"/>
        <v/>
      </c>
      <c r="I314" s="55" t="str">
        <f t="shared" si="125"/>
        <v/>
      </c>
      <c r="J314" s="60" t="str">
        <f t="shared" si="126"/>
        <v/>
      </c>
      <c r="M314" s="58">
        <v>69</v>
      </c>
      <c r="N314" s="59" t="str">
        <f t="shared" si="127"/>
        <v/>
      </c>
      <c r="O314" s="55" t="str">
        <f t="shared" si="128"/>
        <v/>
      </c>
      <c r="P314" s="55" t="str">
        <f t="shared" si="129"/>
        <v/>
      </c>
      <c r="Q314" s="55" t="str">
        <f t="shared" si="130"/>
        <v/>
      </c>
      <c r="R314" s="55" t="str">
        <f t="shared" si="131"/>
        <v/>
      </c>
      <c r="S314" s="55" t="str">
        <f t="shared" si="132"/>
        <v/>
      </c>
      <c r="T314" s="55"/>
      <c r="U314" s="55"/>
      <c r="V314" s="55"/>
      <c r="W314" s="55" t="str">
        <f t="shared" si="133"/>
        <v/>
      </c>
      <c r="X314" s="60" t="str">
        <f t="shared" si="134"/>
        <v/>
      </c>
      <c r="Z314" s="24" t="str">
        <f t="shared" si="135"/>
        <v/>
      </c>
      <c r="AA314" s="25" t="str">
        <f t="shared" si="136"/>
        <v/>
      </c>
      <c r="AB314" s="25" t="str">
        <f t="shared" si="137"/>
        <v/>
      </c>
      <c r="AC314" s="25" t="str">
        <f t="shared" si="138"/>
        <v/>
      </c>
      <c r="AD314" s="25" t="str">
        <f t="shared" si="139"/>
        <v/>
      </c>
      <c r="AE314" s="25" t="str">
        <f t="shared" si="140"/>
        <v/>
      </c>
      <c r="AF314" s="25" t="str">
        <f t="shared" si="141"/>
        <v/>
      </c>
      <c r="AG314" s="26" t="str">
        <f t="shared" si="142"/>
        <v/>
      </c>
      <c r="AI314" s="24" t="str">
        <f t="shared" si="143"/>
        <v/>
      </c>
      <c r="AJ314" s="25" t="str">
        <f t="shared" si="144"/>
        <v/>
      </c>
      <c r="AK314" s="25" t="str">
        <f t="shared" si="145"/>
        <v/>
      </c>
      <c r="AL314" s="25" t="str">
        <f t="shared" si="146"/>
        <v/>
      </c>
      <c r="AM314" s="25" t="str">
        <f t="shared" si="147"/>
        <v/>
      </c>
      <c r="AN314" s="25" t="str">
        <f t="shared" si="148"/>
        <v/>
      </c>
      <c r="AO314" s="25"/>
      <c r="AP314" s="25"/>
      <c r="AQ314" s="25"/>
      <c r="AR314" s="25" t="str">
        <f t="shared" si="149"/>
        <v/>
      </c>
      <c r="AS314" s="26" t="str">
        <f t="shared" si="150"/>
        <v/>
      </c>
    </row>
    <row r="315" spans="2:45" hidden="1" x14ac:dyDescent="0.25">
      <c r="B315" s="70">
        <v>70</v>
      </c>
      <c r="C315" s="59" t="str">
        <f t="shared" si="119"/>
        <v/>
      </c>
      <c r="D315" s="55" t="str">
        <f t="shared" si="120"/>
        <v/>
      </c>
      <c r="E315" s="55" t="str">
        <f t="shared" si="121"/>
        <v/>
      </c>
      <c r="F315" s="55" t="str">
        <f t="shared" si="122"/>
        <v/>
      </c>
      <c r="G315" s="55" t="str">
        <f t="shared" si="123"/>
        <v/>
      </c>
      <c r="H315" s="55" t="str">
        <f t="shared" si="124"/>
        <v/>
      </c>
      <c r="I315" s="55" t="str">
        <f t="shared" si="125"/>
        <v/>
      </c>
      <c r="J315" s="60" t="str">
        <f t="shared" si="126"/>
        <v/>
      </c>
      <c r="M315" s="58">
        <v>70</v>
      </c>
      <c r="N315" s="59" t="str">
        <f t="shared" si="127"/>
        <v/>
      </c>
      <c r="O315" s="55" t="str">
        <f t="shared" si="128"/>
        <v/>
      </c>
      <c r="P315" s="55" t="str">
        <f t="shared" si="129"/>
        <v/>
      </c>
      <c r="Q315" s="55" t="str">
        <f t="shared" si="130"/>
        <v/>
      </c>
      <c r="R315" s="55" t="str">
        <f t="shared" si="131"/>
        <v/>
      </c>
      <c r="S315" s="55" t="str">
        <f t="shared" si="132"/>
        <v/>
      </c>
      <c r="T315" s="55"/>
      <c r="U315" s="55"/>
      <c r="V315" s="55"/>
      <c r="W315" s="55" t="str">
        <f t="shared" si="133"/>
        <v/>
      </c>
      <c r="X315" s="60" t="str">
        <f t="shared" si="134"/>
        <v/>
      </c>
      <c r="Z315" s="24" t="str">
        <f t="shared" si="135"/>
        <v/>
      </c>
      <c r="AA315" s="25" t="str">
        <f t="shared" si="136"/>
        <v/>
      </c>
      <c r="AB315" s="25" t="str">
        <f t="shared" si="137"/>
        <v/>
      </c>
      <c r="AC315" s="25" t="str">
        <f t="shared" si="138"/>
        <v/>
      </c>
      <c r="AD315" s="25" t="str">
        <f t="shared" si="139"/>
        <v/>
      </c>
      <c r="AE315" s="25" t="str">
        <f t="shared" si="140"/>
        <v/>
      </c>
      <c r="AF315" s="25" t="str">
        <f t="shared" si="141"/>
        <v/>
      </c>
      <c r="AG315" s="26" t="str">
        <f t="shared" si="142"/>
        <v/>
      </c>
      <c r="AI315" s="24" t="str">
        <f t="shared" si="143"/>
        <v/>
      </c>
      <c r="AJ315" s="25" t="str">
        <f t="shared" si="144"/>
        <v/>
      </c>
      <c r="AK315" s="25" t="str">
        <f t="shared" si="145"/>
        <v/>
      </c>
      <c r="AL315" s="25" t="str">
        <f t="shared" si="146"/>
        <v/>
      </c>
      <c r="AM315" s="25" t="str">
        <f t="shared" si="147"/>
        <v/>
      </c>
      <c r="AN315" s="25" t="str">
        <f t="shared" si="148"/>
        <v/>
      </c>
      <c r="AO315" s="25"/>
      <c r="AP315" s="25"/>
      <c r="AQ315" s="25"/>
      <c r="AR315" s="25" t="str">
        <f t="shared" si="149"/>
        <v/>
      </c>
      <c r="AS315" s="26" t="str">
        <f t="shared" si="150"/>
        <v/>
      </c>
    </row>
    <row r="316" spans="2:45" hidden="1" x14ac:dyDescent="0.25">
      <c r="B316" s="70">
        <v>71</v>
      </c>
      <c r="C316" s="59" t="str">
        <f t="shared" si="119"/>
        <v/>
      </c>
      <c r="D316" s="55" t="str">
        <f t="shared" si="120"/>
        <v/>
      </c>
      <c r="E316" s="55" t="str">
        <f t="shared" si="121"/>
        <v/>
      </c>
      <c r="F316" s="55" t="str">
        <f t="shared" si="122"/>
        <v/>
      </c>
      <c r="G316" s="55" t="str">
        <f t="shared" si="123"/>
        <v/>
      </c>
      <c r="H316" s="55" t="str">
        <f t="shared" si="124"/>
        <v/>
      </c>
      <c r="I316" s="55" t="str">
        <f t="shared" si="125"/>
        <v/>
      </c>
      <c r="J316" s="60" t="str">
        <f t="shared" si="126"/>
        <v/>
      </c>
      <c r="M316" s="58">
        <v>71</v>
      </c>
      <c r="N316" s="59" t="str">
        <f t="shared" si="127"/>
        <v/>
      </c>
      <c r="O316" s="55" t="str">
        <f t="shared" si="128"/>
        <v/>
      </c>
      <c r="P316" s="55" t="str">
        <f t="shared" si="129"/>
        <v/>
      </c>
      <c r="Q316" s="55" t="str">
        <f t="shared" si="130"/>
        <v/>
      </c>
      <c r="R316" s="55" t="str">
        <f t="shared" si="131"/>
        <v/>
      </c>
      <c r="S316" s="55" t="str">
        <f t="shared" si="132"/>
        <v/>
      </c>
      <c r="T316" s="55"/>
      <c r="U316" s="55"/>
      <c r="V316" s="55"/>
      <c r="W316" s="55" t="str">
        <f t="shared" si="133"/>
        <v/>
      </c>
      <c r="X316" s="60" t="str">
        <f t="shared" si="134"/>
        <v/>
      </c>
      <c r="Z316" s="24" t="str">
        <f t="shared" si="135"/>
        <v/>
      </c>
      <c r="AA316" s="25" t="str">
        <f t="shared" si="136"/>
        <v/>
      </c>
      <c r="AB316" s="25" t="str">
        <f t="shared" si="137"/>
        <v/>
      </c>
      <c r="AC316" s="25" t="str">
        <f t="shared" si="138"/>
        <v/>
      </c>
      <c r="AD316" s="25" t="str">
        <f t="shared" si="139"/>
        <v/>
      </c>
      <c r="AE316" s="25" t="str">
        <f t="shared" si="140"/>
        <v/>
      </c>
      <c r="AF316" s="25" t="str">
        <f t="shared" si="141"/>
        <v/>
      </c>
      <c r="AG316" s="26" t="str">
        <f t="shared" si="142"/>
        <v/>
      </c>
      <c r="AI316" s="24" t="str">
        <f t="shared" si="143"/>
        <v/>
      </c>
      <c r="AJ316" s="25" t="str">
        <f t="shared" si="144"/>
        <v/>
      </c>
      <c r="AK316" s="25" t="str">
        <f t="shared" si="145"/>
        <v/>
      </c>
      <c r="AL316" s="25" t="str">
        <f t="shared" si="146"/>
        <v/>
      </c>
      <c r="AM316" s="25" t="str">
        <f t="shared" si="147"/>
        <v/>
      </c>
      <c r="AN316" s="25" t="str">
        <f t="shared" si="148"/>
        <v/>
      </c>
      <c r="AO316" s="25"/>
      <c r="AP316" s="25"/>
      <c r="AQ316" s="25"/>
      <c r="AR316" s="25" t="str">
        <f t="shared" si="149"/>
        <v/>
      </c>
      <c r="AS316" s="26" t="str">
        <f t="shared" si="150"/>
        <v/>
      </c>
    </row>
    <row r="317" spans="2:45" hidden="1" x14ac:dyDescent="0.25">
      <c r="B317" s="70">
        <v>72</v>
      </c>
      <c r="C317" s="59" t="str">
        <f t="shared" si="119"/>
        <v/>
      </c>
      <c r="D317" s="55" t="str">
        <f t="shared" si="120"/>
        <v/>
      </c>
      <c r="E317" s="55" t="str">
        <f t="shared" si="121"/>
        <v/>
      </c>
      <c r="F317" s="55" t="str">
        <f t="shared" si="122"/>
        <v/>
      </c>
      <c r="G317" s="55" t="str">
        <f t="shared" si="123"/>
        <v/>
      </c>
      <c r="H317" s="55" t="str">
        <f t="shared" si="124"/>
        <v/>
      </c>
      <c r="I317" s="55" t="str">
        <f t="shared" si="125"/>
        <v/>
      </c>
      <c r="J317" s="60" t="str">
        <f t="shared" si="126"/>
        <v/>
      </c>
      <c r="M317" s="58">
        <v>72</v>
      </c>
      <c r="N317" s="59" t="str">
        <f t="shared" si="127"/>
        <v/>
      </c>
      <c r="O317" s="55" t="str">
        <f t="shared" si="128"/>
        <v/>
      </c>
      <c r="P317" s="55" t="str">
        <f t="shared" si="129"/>
        <v/>
      </c>
      <c r="Q317" s="55" t="str">
        <f t="shared" si="130"/>
        <v/>
      </c>
      <c r="R317" s="55" t="str">
        <f t="shared" si="131"/>
        <v/>
      </c>
      <c r="S317" s="55" t="str">
        <f t="shared" si="132"/>
        <v/>
      </c>
      <c r="T317" s="55"/>
      <c r="U317" s="55"/>
      <c r="V317" s="55"/>
      <c r="W317" s="55" t="str">
        <f t="shared" si="133"/>
        <v/>
      </c>
      <c r="X317" s="60" t="str">
        <f t="shared" si="134"/>
        <v/>
      </c>
      <c r="Z317" s="24" t="str">
        <f t="shared" si="135"/>
        <v/>
      </c>
      <c r="AA317" s="25" t="str">
        <f t="shared" si="136"/>
        <v/>
      </c>
      <c r="AB317" s="25" t="str">
        <f t="shared" si="137"/>
        <v/>
      </c>
      <c r="AC317" s="25" t="str">
        <f t="shared" si="138"/>
        <v/>
      </c>
      <c r="AD317" s="25" t="str">
        <f t="shared" si="139"/>
        <v/>
      </c>
      <c r="AE317" s="25" t="str">
        <f t="shared" si="140"/>
        <v/>
      </c>
      <c r="AF317" s="25" t="str">
        <f t="shared" si="141"/>
        <v/>
      </c>
      <c r="AG317" s="26" t="str">
        <f t="shared" si="142"/>
        <v/>
      </c>
      <c r="AI317" s="24" t="str">
        <f t="shared" si="143"/>
        <v/>
      </c>
      <c r="AJ317" s="25" t="str">
        <f t="shared" si="144"/>
        <v/>
      </c>
      <c r="AK317" s="25" t="str">
        <f t="shared" si="145"/>
        <v/>
      </c>
      <c r="AL317" s="25" t="str">
        <f t="shared" si="146"/>
        <v/>
      </c>
      <c r="AM317" s="25" t="str">
        <f t="shared" si="147"/>
        <v/>
      </c>
      <c r="AN317" s="25" t="str">
        <f t="shared" si="148"/>
        <v/>
      </c>
      <c r="AO317" s="25"/>
      <c r="AP317" s="25"/>
      <c r="AQ317" s="25"/>
      <c r="AR317" s="25" t="str">
        <f t="shared" si="149"/>
        <v/>
      </c>
      <c r="AS317" s="26" t="str">
        <f t="shared" si="150"/>
        <v/>
      </c>
    </row>
    <row r="318" spans="2:45" hidden="1" x14ac:dyDescent="0.25">
      <c r="B318" s="70">
        <v>73</v>
      </c>
      <c r="C318" s="59" t="str">
        <f t="shared" si="119"/>
        <v/>
      </c>
      <c r="D318" s="55" t="str">
        <f t="shared" si="120"/>
        <v/>
      </c>
      <c r="E318" s="55" t="str">
        <f t="shared" si="121"/>
        <v/>
      </c>
      <c r="F318" s="55" t="str">
        <f t="shared" si="122"/>
        <v/>
      </c>
      <c r="G318" s="55" t="str">
        <f t="shared" si="123"/>
        <v/>
      </c>
      <c r="H318" s="55" t="str">
        <f t="shared" si="124"/>
        <v/>
      </c>
      <c r="I318" s="55" t="str">
        <f t="shared" si="125"/>
        <v/>
      </c>
      <c r="J318" s="60" t="str">
        <f t="shared" si="126"/>
        <v/>
      </c>
      <c r="M318" s="58">
        <v>73</v>
      </c>
      <c r="N318" s="59" t="str">
        <f t="shared" si="127"/>
        <v/>
      </c>
      <c r="O318" s="55" t="str">
        <f t="shared" si="128"/>
        <v/>
      </c>
      <c r="P318" s="55" t="str">
        <f t="shared" si="129"/>
        <v/>
      </c>
      <c r="Q318" s="55" t="str">
        <f t="shared" si="130"/>
        <v/>
      </c>
      <c r="R318" s="55" t="str">
        <f t="shared" si="131"/>
        <v/>
      </c>
      <c r="S318" s="55" t="str">
        <f t="shared" si="132"/>
        <v/>
      </c>
      <c r="T318" s="55"/>
      <c r="U318" s="55"/>
      <c r="V318" s="55"/>
      <c r="W318" s="55" t="str">
        <f t="shared" si="133"/>
        <v/>
      </c>
      <c r="X318" s="60" t="str">
        <f t="shared" si="134"/>
        <v/>
      </c>
      <c r="Z318" s="24" t="str">
        <f t="shared" si="135"/>
        <v/>
      </c>
      <c r="AA318" s="25" t="str">
        <f t="shared" si="136"/>
        <v/>
      </c>
      <c r="AB318" s="25" t="str">
        <f t="shared" si="137"/>
        <v/>
      </c>
      <c r="AC318" s="25" t="str">
        <f t="shared" si="138"/>
        <v/>
      </c>
      <c r="AD318" s="25" t="str">
        <f t="shared" si="139"/>
        <v/>
      </c>
      <c r="AE318" s="25" t="str">
        <f t="shared" si="140"/>
        <v/>
      </c>
      <c r="AF318" s="25" t="str">
        <f t="shared" si="141"/>
        <v/>
      </c>
      <c r="AG318" s="26" t="str">
        <f t="shared" si="142"/>
        <v/>
      </c>
      <c r="AI318" s="24" t="str">
        <f t="shared" si="143"/>
        <v/>
      </c>
      <c r="AJ318" s="25" t="str">
        <f t="shared" si="144"/>
        <v/>
      </c>
      <c r="AK318" s="25" t="str">
        <f t="shared" si="145"/>
        <v/>
      </c>
      <c r="AL318" s="25" t="str">
        <f t="shared" si="146"/>
        <v/>
      </c>
      <c r="AM318" s="25" t="str">
        <f t="shared" si="147"/>
        <v/>
      </c>
      <c r="AN318" s="25" t="str">
        <f t="shared" si="148"/>
        <v/>
      </c>
      <c r="AO318" s="25"/>
      <c r="AP318" s="25"/>
      <c r="AQ318" s="25"/>
      <c r="AR318" s="25" t="str">
        <f t="shared" si="149"/>
        <v/>
      </c>
      <c r="AS318" s="26" t="str">
        <f t="shared" si="150"/>
        <v/>
      </c>
    </row>
    <row r="319" spans="2:45" hidden="1" x14ac:dyDescent="0.25">
      <c r="B319" s="70">
        <v>74</v>
      </c>
      <c r="C319" s="59" t="str">
        <f t="shared" si="119"/>
        <v/>
      </c>
      <c r="D319" s="55" t="str">
        <f t="shared" si="120"/>
        <v/>
      </c>
      <c r="E319" s="55" t="str">
        <f t="shared" si="121"/>
        <v/>
      </c>
      <c r="F319" s="55" t="str">
        <f t="shared" si="122"/>
        <v/>
      </c>
      <c r="G319" s="55" t="str">
        <f t="shared" si="123"/>
        <v/>
      </c>
      <c r="H319" s="55" t="str">
        <f t="shared" si="124"/>
        <v/>
      </c>
      <c r="I319" s="55" t="str">
        <f t="shared" si="125"/>
        <v/>
      </c>
      <c r="J319" s="60" t="str">
        <f t="shared" si="126"/>
        <v/>
      </c>
      <c r="M319" s="58">
        <v>74</v>
      </c>
      <c r="N319" s="59" t="str">
        <f t="shared" si="127"/>
        <v/>
      </c>
      <c r="O319" s="55" t="str">
        <f t="shared" si="128"/>
        <v/>
      </c>
      <c r="P319" s="55" t="str">
        <f t="shared" si="129"/>
        <v/>
      </c>
      <c r="Q319" s="55" t="str">
        <f t="shared" si="130"/>
        <v/>
      </c>
      <c r="R319" s="55" t="str">
        <f t="shared" si="131"/>
        <v/>
      </c>
      <c r="S319" s="55" t="str">
        <f t="shared" si="132"/>
        <v/>
      </c>
      <c r="T319" s="55"/>
      <c r="U319" s="55"/>
      <c r="V319" s="55"/>
      <c r="W319" s="55" t="str">
        <f t="shared" si="133"/>
        <v/>
      </c>
      <c r="X319" s="60" t="str">
        <f t="shared" si="134"/>
        <v/>
      </c>
      <c r="Z319" s="24" t="str">
        <f t="shared" si="135"/>
        <v/>
      </c>
      <c r="AA319" s="25" t="str">
        <f t="shared" si="136"/>
        <v/>
      </c>
      <c r="AB319" s="25" t="str">
        <f t="shared" si="137"/>
        <v/>
      </c>
      <c r="AC319" s="25" t="str">
        <f t="shared" si="138"/>
        <v/>
      </c>
      <c r="AD319" s="25" t="str">
        <f t="shared" si="139"/>
        <v/>
      </c>
      <c r="AE319" s="25" t="str">
        <f t="shared" si="140"/>
        <v/>
      </c>
      <c r="AF319" s="25" t="str">
        <f t="shared" si="141"/>
        <v/>
      </c>
      <c r="AG319" s="26" t="str">
        <f t="shared" si="142"/>
        <v/>
      </c>
      <c r="AI319" s="24" t="str">
        <f t="shared" si="143"/>
        <v/>
      </c>
      <c r="AJ319" s="25" t="str">
        <f t="shared" si="144"/>
        <v/>
      </c>
      <c r="AK319" s="25" t="str">
        <f t="shared" si="145"/>
        <v/>
      </c>
      <c r="AL319" s="25" t="str">
        <f t="shared" si="146"/>
        <v/>
      </c>
      <c r="AM319" s="25" t="str">
        <f t="shared" si="147"/>
        <v/>
      </c>
      <c r="AN319" s="25" t="str">
        <f t="shared" si="148"/>
        <v/>
      </c>
      <c r="AO319" s="25"/>
      <c r="AP319" s="25"/>
      <c r="AQ319" s="25"/>
      <c r="AR319" s="25" t="str">
        <f t="shared" si="149"/>
        <v/>
      </c>
      <c r="AS319" s="26" t="str">
        <f t="shared" si="150"/>
        <v/>
      </c>
    </row>
    <row r="320" spans="2:45" hidden="1" x14ac:dyDescent="0.25">
      <c r="B320" s="70">
        <v>75</v>
      </c>
      <c r="C320" s="59" t="str">
        <f t="shared" si="119"/>
        <v/>
      </c>
      <c r="D320" s="55" t="str">
        <f t="shared" si="120"/>
        <v/>
      </c>
      <c r="E320" s="55" t="str">
        <f t="shared" si="121"/>
        <v/>
      </c>
      <c r="F320" s="55" t="str">
        <f t="shared" si="122"/>
        <v/>
      </c>
      <c r="G320" s="55" t="str">
        <f t="shared" si="123"/>
        <v/>
      </c>
      <c r="H320" s="55" t="str">
        <f t="shared" si="124"/>
        <v/>
      </c>
      <c r="I320" s="55" t="str">
        <f t="shared" si="125"/>
        <v/>
      </c>
      <c r="J320" s="60" t="str">
        <f t="shared" si="126"/>
        <v/>
      </c>
      <c r="M320" s="58">
        <v>75</v>
      </c>
      <c r="N320" s="59" t="str">
        <f t="shared" si="127"/>
        <v/>
      </c>
      <c r="O320" s="55" t="str">
        <f t="shared" si="128"/>
        <v/>
      </c>
      <c r="P320" s="55" t="str">
        <f t="shared" si="129"/>
        <v/>
      </c>
      <c r="Q320" s="55" t="str">
        <f t="shared" si="130"/>
        <v/>
      </c>
      <c r="R320" s="55" t="str">
        <f t="shared" si="131"/>
        <v/>
      </c>
      <c r="S320" s="55" t="str">
        <f t="shared" si="132"/>
        <v/>
      </c>
      <c r="T320" s="55"/>
      <c r="U320" s="55"/>
      <c r="V320" s="55"/>
      <c r="W320" s="55" t="str">
        <f t="shared" si="133"/>
        <v/>
      </c>
      <c r="X320" s="60" t="str">
        <f t="shared" si="134"/>
        <v/>
      </c>
      <c r="Z320" s="24" t="str">
        <f t="shared" si="135"/>
        <v/>
      </c>
      <c r="AA320" s="25" t="str">
        <f t="shared" si="136"/>
        <v/>
      </c>
      <c r="AB320" s="25" t="str">
        <f t="shared" si="137"/>
        <v/>
      </c>
      <c r="AC320" s="25" t="str">
        <f t="shared" si="138"/>
        <v/>
      </c>
      <c r="AD320" s="25" t="str">
        <f t="shared" si="139"/>
        <v/>
      </c>
      <c r="AE320" s="25" t="str">
        <f t="shared" si="140"/>
        <v/>
      </c>
      <c r="AF320" s="25" t="str">
        <f t="shared" si="141"/>
        <v/>
      </c>
      <c r="AG320" s="26" t="str">
        <f t="shared" si="142"/>
        <v/>
      </c>
      <c r="AI320" s="24" t="str">
        <f t="shared" si="143"/>
        <v/>
      </c>
      <c r="AJ320" s="25" t="str">
        <f t="shared" si="144"/>
        <v/>
      </c>
      <c r="AK320" s="25" t="str">
        <f t="shared" si="145"/>
        <v/>
      </c>
      <c r="AL320" s="25" t="str">
        <f t="shared" si="146"/>
        <v/>
      </c>
      <c r="AM320" s="25" t="str">
        <f t="shared" si="147"/>
        <v/>
      </c>
      <c r="AN320" s="25" t="str">
        <f t="shared" si="148"/>
        <v/>
      </c>
      <c r="AO320" s="25"/>
      <c r="AP320" s="25"/>
      <c r="AQ320" s="25"/>
      <c r="AR320" s="25" t="str">
        <f t="shared" si="149"/>
        <v/>
      </c>
      <c r="AS320" s="26" t="str">
        <f t="shared" si="150"/>
        <v/>
      </c>
    </row>
    <row r="321" spans="2:45" hidden="1" x14ac:dyDescent="0.25">
      <c r="B321" s="70">
        <v>76</v>
      </c>
      <c r="C321" s="59" t="str">
        <f t="shared" si="119"/>
        <v/>
      </c>
      <c r="D321" s="55" t="str">
        <f t="shared" si="120"/>
        <v/>
      </c>
      <c r="E321" s="55" t="str">
        <f t="shared" si="121"/>
        <v/>
      </c>
      <c r="F321" s="55" t="str">
        <f t="shared" si="122"/>
        <v/>
      </c>
      <c r="G321" s="55" t="str">
        <f t="shared" si="123"/>
        <v/>
      </c>
      <c r="H321" s="55" t="str">
        <f t="shared" si="124"/>
        <v/>
      </c>
      <c r="I321" s="55" t="str">
        <f t="shared" si="125"/>
        <v/>
      </c>
      <c r="J321" s="60" t="str">
        <f t="shared" si="126"/>
        <v/>
      </c>
      <c r="M321" s="58">
        <v>76</v>
      </c>
      <c r="N321" s="59" t="str">
        <f t="shared" si="127"/>
        <v/>
      </c>
      <c r="O321" s="55" t="str">
        <f t="shared" si="128"/>
        <v/>
      </c>
      <c r="P321" s="55" t="str">
        <f t="shared" si="129"/>
        <v/>
      </c>
      <c r="Q321" s="55" t="str">
        <f t="shared" si="130"/>
        <v/>
      </c>
      <c r="R321" s="55" t="str">
        <f t="shared" si="131"/>
        <v/>
      </c>
      <c r="S321" s="55" t="str">
        <f t="shared" si="132"/>
        <v/>
      </c>
      <c r="T321" s="55"/>
      <c r="U321" s="55"/>
      <c r="V321" s="55"/>
      <c r="W321" s="55" t="str">
        <f t="shared" si="133"/>
        <v/>
      </c>
      <c r="X321" s="60" t="str">
        <f t="shared" si="134"/>
        <v/>
      </c>
      <c r="Z321" s="24" t="str">
        <f t="shared" si="135"/>
        <v/>
      </c>
      <c r="AA321" s="25" t="str">
        <f t="shared" si="136"/>
        <v/>
      </c>
      <c r="AB321" s="25" t="str">
        <f t="shared" si="137"/>
        <v/>
      </c>
      <c r="AC321" s="25" t="str">
        <f t="shared" si="138"/>
        <v/>
      </c>
      <c r="AD321" s="25" t="str">
        <f t="shared" si="139"/>
        <v/>
      </c>
      <c r="AE321" s="25" t="str">
        <f t="shared" si="140"/>
        <v/>
      </c>
      <c r="AF321" s="25" t="str">
        <f t="shared" si="141"/>
        <v/>
      </c>
      <c r="AG321" s="26" t="str">
        <f t="shared" si="142"/>
        <v/>
      </c>
      <c r="AI321" s="24" t="str">
        <f t="shared" si="143"/>
        <v/>
      </c>
      <c r="AJ321" s="25" t="str">
        <f t="shared" si="144"/>
        <v/>
      </c>
      <c r="AK321" s="25" t="str">
        <f t="shared" si="145"/>
        <v/>
      </c>
      <c r="AL321" s="25" t="str">
        <f t="shared" si="146"/>
        <v/>
      </c>
      <c r="AM321" s="25" t="str">
        <f t="shared" si="147"/>
        <v/>
      </c>
      <c r="AN321" s="25" t="str">
        <f t="shared" si="148"/>
        <v/>
      </c>
      <c r="AO321" s="25"/>
      <c r="AP321" s="25"/>
      <c r="AQ321" s="25"/>
      <c r="AR321" s="25" t="str">
        <f t="shared" si="149"/>
        <v/>
      </c>
      <c r="AS321" s="26" t="str">
        <f t="shared" si="150"/>
        <v/>
      </c>
    </row>
    <row r="322" spans="2:45" hidden="1" x14ac:dyDescent="0.25">
      <c r="B322" s="70">
        <v>77</v>
      </c>
      <c r="C322" s="59" t="str">
        <f t="shared" si="119"/>
        <v/>
      </c>
      <c r="D322" s="55" t="str">
        <f t="shared" si="120"/>
        <v/>
      </c>
      <c r="E322" s="55" t="str">
        <f t="shared" si="121"/>
        <v/>
      </c>
      <c r="F322" s="55" t="str">
        <f t="shared" si="122"/>
        <v/>
      </c>
      <c r="G322" s="55" t="str">
        <f t="shared" si="123"/>
        <v/>
      </c>
      <c r="H322" s="55" t="str">
        <f t="shared" si="124"/>
        <v/>
      </c>
      <c r="I322" s="55" t="str">
        <f t="shared" si="125"/>
        <v/>
      </c>
      <c r="J322" s="60" t="str">
        <f t="shared" si="126"/>
        <v/>
      </c>
      <c r="M322" s="58">
        <v>77</v>
      </c>
      <c r="N322" s="59" t="str">
        <f t="shared" si="127"/>
        <v/>
      </c>
      <c r="O322" s="55" t="str">
        <f t="shared" si="128"/>
        <v/>
      </c>
      <c r="P322" s="55" t="str">
        <f t="shared" si="129"/>
        <v/>
      </c>
      <c r="Q322" s="55" t="str">
        <f t="shared" si="130"/>
        <v/>
      </c>
      <c r="R322" s="55" t="str">
        <f t="shared" si="131"/>
        <v/>
      </c>
      <c r="S322" s="55" t="str">
        <f t="shared" si="132"/>
        <v/>
      </c>
      <c r="T322" s="55"/>
      <c r="U322" s="55"/>
      <c r="V322" s="55"/>
      <c r="W322" s="55" t="str">
        <f t="shared" si="133"/>
        <v/>
      </c>
      <c r="X322" s="60" t="str">
        <f t="shared" si="134"/>
        <v/>
      </c>
      <c r="Z322" s="24" t="str">
        <f t="shared" si="135"/>
        <v/>
      </c>
      <c r="AA322" s="25" t="str">
        <f t="shared" si="136"/>
        <v/>
      </c>
      <c r="AB322" s="25" t="str">
        <f t="shared" si="137"/>
        <v/>
      </c>
      <c r="AC322" s="25" t="str">
        <f t="shared" si="138"/>
        <v/>
      </c>
      <c r="AD322" s="25" t="str">
        <f t="shared" si="139"/>
        <v/>
      </c>
      <c r="AE322" s="25" t="str">
        <f t="shared" si="140"/>
        <v/>
      </c>
      <c r="AF322" s="25" t="str">
        <f t="shared" si="141"/>
        <v/>
      </c>
      <c r="AG322" s="26" t="str">
        <f t="shared" si="142"/>
        <v/>
      </c>
      <c r="AI322" s="24" t="str">
        <f t="shared" si="143"/>
        <v/>
      </c>
      <c r="AJ322" s="25" t="str">
        <f t="shared" si="144"/>
        <v/>
      </c>
      <c r="AK322" s="25" t="str">
        <f t="shared" si="145"/>
        <v/>
      </c>
      <c r="AL322" s="25" t="str">
        <f t="shared" si="146"/>
        <v/>
      </c>
      <c r="AM322" s="25" t="str">
        <f t="shared" si="147"/>
        <v/>
      </c>
      <c r="AN322" s="25" t="str">
        <f t="shared" si="148"/>
        <v/>
      </c>
      <c r="AO322" s="25"/>
      <c r="AP322" s="25"/>
      <c r="AQ322" s="25"/>
      <c r="AR322" s="25" t="str">
        <f t="shared" si="149"/>
        <v/>
      </c>
      <c r="AS322" s="26" t="str">
        <f t="shared" si="150"/>
        <v/>
      </c>
    </row>
    <row r="323" spans="2:45" hidden="1" x14ac:dyDescent="0.25">
      <c r="B323" s="70">
        <v>78</v>
      </c>
      <c r="C323" s="59" t="str">
        <f t="shared" si="119"/>
        <v/>
      </c>
      <c r="D323" s="55" t="str">
        <f t="shared" si="120"/>
        <v/>
      </c>
      <c r="E323" s="55" t="str">
        <f t="shared" si="121"/>
        <v/>
      </c>
      <c r="F323" s="55" t="str">
        <f t="shared" si="122"/>
        <v/>
      </c>
      <c r="G323" s="55" t="str">
        <f t="shared" si="123"/>
        <v/>
      </c>
      <c r="H323" s="55" t="str">
        <f t="shared" si="124"/>
        <v/>
      </c>
      <c r="I323" s="55" t="str">
        <f t="shared" si="125"/>
        <v/>
      </c>
      <c r="J323" s="60" t="str">
        <f t="shared" si="126"/>
        <v/>
      </c>
      <c r="M323" s="58">
        <v>78</v>
      </c>
      <c r="N323" s="59" t="str">
        <f t="shared" si="127"/>
        <v/>
      </c>
      <c r="O323" s="55" t="str">
        <f t="shared" si="128"/>
        <v/>
      </c>
      <c r="P323" s="55" t="str">
        <f t="shared" si="129"/>
        <v/>
      </c>
      <c r="Q323" s="55" t="str">
        <f t="shared" si="130"/>
        <v/>
      </c>
      <c r="R323" s="55" t="str">
        <f t="shared" si="131"/>
        <v/>
      </c>
      <c r="S323" s="55" t="str">
        <f t="shared" si="132"/>
        <v/>
      </c>
      <c r="T323" s="55"/>
      <c r="U323" s="55"/>
      <c r="V323" s="55"/>
      <c r="W323" s="55" t="str">
        <f t="shared" si="133"/>
        <v/>
      </c>
      <c r="X323" s="60" t="str">
        <f t="shared" si="134"/>
        <v/>
      </c>
      <c r="Z323" s="24" t="str">
        <f t="shared" si="135"/>
        <v/>
      </c>
      <c r="AA323" s="25" t="str">
        <f t="shared" si="136"/>
        <v/>
      </c>
      <c r="AB323" s="25" t="str">
        <f t="shared" si="137"/>
        <v/>
      </c>
      <c r="AC323" s="25" t="str">
        <f t="shared" si="138"/>
        <v/>
      </c>
      <c r="AD323" s="25" t="str">
        <f t="shared" si="139"/>
        <v/>
      </c>
      <c r="AE323" s="25" t="str">
        <f t="shared" si="140"/>
        <v/>
      </c>
      <c r="AF323" s="25" t="str">
        <f t="shared" si="141"/>
        <v/>
      </c>
      <c r="AG323" s="26" t="str">
        <f t="shared" si="142"/>
        <v/>
      </c>
      <c r="AI323" s="24" t="str">
        <f t="shared" si="143"/>
        <v/>
      </c>
      <c r="AJ323" s="25" t="str">
        <f t="shared" si="144"/>
        <v/>
      </c>
      <c r="AK323" s="25" t="str">
        <f t="shared" si="145"/>
        <v/>
      </c>
      <c r="AL323" s="25" t="str">
        <f t="shared" si="146"/>
        <v/>
      </c>
      <c r="AM323" s="25" t="str">
        <f t="shared" si="147"/>
        <v/>
      </c>
      <c r="AN323" s="25" t="str">
        <f t="shared" si="148"/>
        <v/>
      </c>
      <c r="AO323" s="25"/>
      <c r="AP323" s="25"/>
      <c r="AQ323" s="25"/>
      <c r="AR323" s="25" t="str">
        <f t="shared" si="149"/>
        <v/>
      </c>
      <c r="AS323" s="26" t="str">
        <f t="shared" si="150"/>
        <v/>
      </c>
    </row>
    <row r="324" spans="2:45" hidden="1" x14ac:dyDescent="0.25">
      <c r="B324" s="70">
        <v>79</v>
      </c>
      <c r="C324" s="59" t="str">
        <f t="shared" si="119"/>
        <v/>
      </c>
      <c r="D324" s="55" t="str">
        <f t="shared" si="120"/>
        <v/>
      </c>
      <c r="E324" s="55" t="str">
        <f t="shared" si="121"/>
        <v/>
      </c>
      <c r="F324" s="55" t="str">
        <f t="shared" si="122"/>
        <v/>
      </c>
      <c r="G324" s="55" t="str">
        <f t="shared" si="123"/>
        <v/>
      </c>
      <c r="H324" s="55" t="str">
        <f t="shared" si="124"/>
        <v/>
      </c>
      <c r="I324" s="55" t="str">
        <f t="shared" si="125"/>
        <v/>
      </c>
      <c r="J324" s="60" t="str">
        <f t="shared" si="126"/>
        <v/>
      </c>
      <c r="M324" s="58">
        <v>79</v>
      </c>
      <c r="N324" s="59" t="str">
        <f t="shared" si="127"/>
        <v/>
      </c>
      <c r="O324" s="55" t="str">
        <f t="shared" si="128"/>
        <v/>
      </c>
      <c r="P324" s="55" t="str">
        <f t="shared" si="129"/>
        <v/>
      </c>
      <c r="Q324" s="55" t="str">
        <f t="shared" si="130"/>
        <v/>
      </c>
      <c r="R324" s="55" t="str">
        <f t="shared" si="131"/>
        <v/>
      </c>
      <c r="S324" s="55" t="str">
        <f t="shared" si="132"/>
        <v/>
      </c>
      <c r="T324" s="55"/>
      <c r="U324" s="55"/>
      <c r="V324" s="55"/>
      <c r="W324" s="55" t="str">
        <f t="shared" si="133"/>
        <v/>
      </c>
      <c r="X324" s="60" t="str">
        <f t="shared" si="134"/>
        <v/>
      </c>
      <c r="Z324" s="24" t="str">
        <f t="shared" si="135"/>
        <v/>
      </c>
      <c r="AA324" s="25" t="str">
        <f t="shared" si="136"/>
        <v/>
      </c>
      <c r="AB324" s="25" t="str">
        <f t="shared" si="137"/>
        <v/>
      </c>
      <c r="AC324" s="25" t="str">
        <f t="shared" si="138"/>
        <v/>
      </c>
      <c r="AD324" s="25" t="str">
        <f t="shared" si="139"/>
        <v/>
      </c>
      <c r="AE324" s="25" t="str">
        <f t="shared" si="140"/>
        <v/>
      </c>
      <c r="AF324" s="25" t="str">
        <f t="shared" si="141"/>
        <v/>
      </c>
      <c r="AG324" s="26" t="str">
        <f t="shared" si="142"/>
        <v/>
      </c>
      <c r="AI324" s="24" t="str">
        <f t="shared" si="143"/>
        <v/>
      </c>
      <c r="AJ324" s="25" t="str">
        <f t="shared" si="144"/>
        <v/>
      </c>
      <c r="AK324" s="25" t="str">
        <f t="shared" si="145"/>
        <v/>
      </c>
      <c r="AL324" s="25" t="str">
        <f t="shared" si="146"/>
        <v/>
      </c>
      <c r="AM324" s="25" t="str">
        <f t="shared" si="147"/>
        <v/>
      </c>
      <c r="AN324" s="25" t="str">
        <f t="shared" si="148"/>
        <v/>
      </c>
      <c r="AO324" s="25"/>
      <c r="AP324" s="25"/>
      <c r="AQ324" s="25"/>
      <c r="AR324" s="25" t="str">
        <f t="shared" si="149"/>
        <v/>
      </c>
      <c r="AS324" s="26" t="str">
        <f t="shared" si="150"/>
        <v/>
      </c>
    </row>
    <row r="325" spans="2:45" hidden="1" x14ac:dyDescent="0.25">
      <c r="B325" s="70">
        <v>80</v>
      </c>
      <c r="C325" s="59" t="str">
        <f t="shared" si="119"/>
        <v/>
      </c>
      <c r="D325" s="55" t="str">
        <f t="shared" si="120"/>
        <v/>
      </c>
      <c r="E325" s="55" t="str">
        <f t="shared" si="121"/>
        <v/>
      </c>
      <c r="F325" s="55" t="str">
        <f t="shared" si="122"/>
        <v/>
      </c>
      <c r="G325" s="55" t="str">
        <f t="shared" si="123"/>
        <v/>
      </c>
      <c r="H325" s="55" t="str">
        <f t="shared" si="124"/>
        <v/>
      </c>
      <c r="I325" s="55" t="str">
        <f t="shared" si="125"/>
        <v/>
      </c>
      <c r="J325" s="60" t="str">
        <f t="shared" si="126"/>
        <v/>
      </c>
      <c r="M325" s="58">
        <v>80</v>
      </c>
      <c r="N325" s="59" t="str">
        <f t="shared" si="127"/>
        <v/>
      </c>
      <c r="O325" s="55" t="str">
        <f t="shared" si="128"/>
        <v/>
      </c>
      <c r="P325" s="55" t="str">
        <f t="shared" si="129"/>
        <v/>
      </c>
      <c r="Q325" s="55" t="str">
        <f t="shared" si="130"/>
        <v/>
      </c>
      <c r="R325" s="55" t="str">
        <f t="shared" si="131"/>
        <v/>
      </c>
      <c r="S325" s="55" t="str">
        <f t="shared" si="132"/>
        <v/>
      </c>
      <c r="T325" s="55"/>
      <c r="U325" s="55"/>
      <c r="V325" s="55"/>
      <c r="W325" s="55" t="str">
        <f t="shared" si="133"/>
        <v/>
      </c>
      <c r="X325" s="60" t="str">
        <f t="shared" si="134"/>
        <v/>
      </c>
      <c r="Z325" s="24" t="str">
        <f t="shared" si="135"/>
        <v/>
      </c>
      <c r="AA325" s="25" t="str">
        <f t="shared" si="136"/>
        <v/>
      </c>
      <c r="AB325" s="25" t="str">
        <f t="shared" si="137"/>
        <v/>
      </c>
      <c r="AC325" s="25" t="str">
        <f t="shared" si="138"/>
        <v/>
      </c>
      <c r="AD325" s="25" t="str">
        <f t="shared" si="139"/>
        <v/>
      </c>
      <c r="AE325" s="25" t="str">
        <f t="shared" si="140"/>
        <v/>
      </c>
      <c r="AF325" s="25" t="str">
        <f t="shared" si="141"/>
        <v/>
      </c>
      <c r="AG325" s="26" t="str">
        <f t="shared" si="142"/>
        <v/>
      </c>
      <c r="AI325" s="24" t="str">
        <f t="shared" si="143"/>
        <v/>
      </c>
      <c r="AJ325" s="25" t="str">
        <f t="shared" si="144"/>
        <v/>
      </c>
      <c r="AK325" s="25" t="str">
        <f t="shared" si="145"/>
        <v/>
      </c>
      <c r="AL325" s="25" t="str">
        <f t="shared" si="146"/>
        <v/>
      </c>
      <c r="AM325" s="25" t="str">
        <f t="shared" si="147"/>
        <v/>
      </c>
      <c r="AN325" s="25" t="str">
        <f t="shared" si="148"/>
        <v/>
      </c>
      <c r="AO325" s="25"/>
      <c r="AP325" s="25"/>
      <c r="AQ325" s="25"/>
      <c r="AR325" s="25" t="str">
        <f t="shared" si="149"/>
        <v/>
      </c>
      <c r="AS325" s="26" t="str">
        <f t="shared" si="150"/>
        <v/>
      </c>
    </row>
    <row r="326" spans="2:45" hidden="1" x14ac:dyDescent="0.25">
      <c r="B326" s="70">
        <v>81</v>
      </c>
      <c r="C326" s="59" t="str">
        <f t="shared" si="119"/>
        <v/>
      </c>
      <c r="D326" s="55" t="str">
        <f t="shared" si="120"/>
        <v/>
      </c>
      <c r="E326" s="55" t="str">
        <f t="shared" si="121"/>
        <v/>
      </c>
      <c r="F326" s="55" t="str">
        <f t="shared" si="122"/>
        <v/>
      </c>
      <c r="G326" s="55" t="str">
        <f t="shared" si="123"/>
        <v/>
      </c>
      <c r="H326" s="55" t="str">
        <f t="shared" si="124"/>
        <v/>
      </c>
      <c r="I326" s="55" t="str">
        <f t="shared" si="125"/>
        <v/>
      </c>
      <c r="J326" s="60" t="str">
        <f t="shared" si="126"/>
        <v/>
      </c>
      <c r="M326" s="58">
        <v>81</v>
      </c>
      <c r="N326" s="59" t="str">
        <f t="shared" si="127"/>
        <v/>
      </c>
      <c r="O326" s="55" t="str">
        <f t="shared" si="128"/>
        <v/>
      </c>
      <c r="P326" s="55" t="str">
        <f t="shared" si="129"/>
        <v/>
      </c>
      <c r="Q326" s="55" t="str">
        <f t="shared" si="130"/>
        <v/>
      </c>
      <c r="R326" s="55" t="str">
        <f t="shared" si="131"/>
        <v/>
      </c>
      <c r="S326" s="55" t="str">
        <f t="shared" si="132"/>
        <v/>
      </c>
      <c r="T326" s="55"/>
      <c r="U326" s="55"/>
      <c r="V326" s="55"/>
      <c r="W326" s="55" t="str">
        <f t="shared" si="133"/>
        <v/>
      </c>
      <c r="X326" s="60" t="str">
        <f t="shared" si="134"/>
        <v/>
      </c>
      <c r="Z326" s="24" t="str">
        <f t="shared" si="135"/>
        <v/>
      </c>
      <c r="AA326" s="25" t="str">
        <f t="shared" si="136"/>
        <v/>
      </c>
      <c r="AB326" s="25" t="str">
        <f t="shared" si="137"/>
        <v/>
      </c>
      <c r="AC326" s="25" t="str">
        <f t="shared" si="138"/>
        <v/>
      </c>
      <c r="AD326" s="25" t="str">
        <f t="shared" si="139"/>
        <v/>
      </c>
      <c r="AE326" s="25" t="str">
        <f t="shared" si="140"/>
        <v/>
      </c>
      <c r="AF326" s="25" t="str">
        <f t="shared" si="141"/>
        <v/>
      </c>
      <c r="AG326" s="26" t="str">
        <f t="shared" si="142"/>
        <v/>
      </c>
      <c r="AI326" s="24" t="str">
        <f t="shared" si="143"/>
        <v/>
      </c>
      <c r="AJ326" s="25" t="str">
        <f t="shared" si="144"/>
        <v/>
      </c>
      <c r="AK326" s="25" t="str">
        <f t="shared" si="145"/>
        <v/>
      </c>
      <c r="AL326" s="25" t="str">
        <f t="shared" si="146"/>
        <v/>
      </c>
      <c r="AM326" s="25" t="str">
        <f t="shared" si="147"/>
        <v/>
      </c>
      <c r="AN326" s="25" t="str">
        <f t="shared" si="148"/>
        <v/>
      </c>
      <c r="AO326" s="25"/>
      <c r="AP326" s="25"/>
      <c r="AQ326" s="25"/>
      <c r="AR326" s="25" t="str">
        <f t="shared" si="149"/>
        <v/>
      </c>
      <c r="AS326" s="26" t="str">
        <f t="shared" si="150"/>
        <v/>
      </c>
    </row>
    <row r="327" spans="2:45" hidden="1" x14ac:dyDescent="0.25">
      <c r="B327" s="70">
        <v>82</v>
      </c>
      <c r="C327" s="59" t="str">
        <f t="shared" si="119"/>
        <v/>
      </c>
      <c r="D327" s="55" t="str">
        <f t="shared" si="120"/>
        <v/>
      </c>
      <c r="E327" s="55" t="str">
        <f t="shared" si="121"/>
        <v/>
      </c>
      <c r="F327" s="55" t="str">
        <f t="shared" si="122"/>
        <v/>
      </c>
      <c r="G327" s="55" t="str">
        <f t="shared" si="123"/>
        <v/>
      </c>
      <c r="H327" s="55" t="str">
        <f t="shared" si="124"/>
        <v/>
      </c>
      <c r="I327" s="55" t="str">
        <f t="shared" si="125"/>
        <v/>
      </c>
      <c r="J327" s="60" t="str">
        <f t="shared" si="126"/>
        <v/>
      </c>
      <c r="M327" s="58">
        <v>82</v>
      </c>
      <c r="N327" s="59" t="str">
        <f t="shared" si="127"/>
        <v/>
      </c>
      <c r="O327" s="55" t="str">
        <f t="shared" si="128"/>
        <v/>
      </c>
      <c r="P327" s="55" t="str">
        <f t="shared" si="129"/>
        <v/>
      </c>
      <c r="Q327" s="55" t="str">
        <f t="shared" si="130"/>
        <v/>
      </c>
      <c r="R327" s="55" t="str">
        <f t="shared" si="131"/>
        <v/>
      </c>
      <c r="S327" s="55" t="str">
        <f t="shared" si="132"/>
        <v/>
      </c>
      <c r="T327" s="55"/>
      <c r="U327" s="55"/>
      <c r="V327" s="55"/>
      <c r="W327" s="55" t="str">
        <f t="shared" si="133"/>
        <v/>
      </c>
      <c r="X327" s="60" t="str">
        <f t="shared" si="134"/>
        <v/>
      </c>
      <c r="Z327" s="24" t="str">
        <f t="shared" si="135"/>
        <v/>
      </c>
      <c r="AA327" s="25" t="str">
        <f t="shared" si="136"/>
        <v/>
      </c>
      <c r="AB327" s="25" t="str">
        <f t="shared" si="137"/>
        <v/>
      </c>
      <c r="AC327" s="25" t="str">
        <f t="shared" si="138"/>
        <v/>
      </c>
      <c r="AD327" s="25" t="str">
        <f t="shared" si="139"/>
        <v/>
      </c>
      <c r="AE327" s="25" t="str">
        <f t="shared" si="140"/>
        <v/>
      </c>
      <c r="AF327" s="25" t="str">
        <f t="shared" si="141"/>
        <v/>
      </c>
      <c r="AG327" s="26" t="str">
        <f t="shared" si="142"/>
        <v/>
      </c>
      <c r="AI327" s="24" t="str">
        <f t="shared" si="143"/>
        <v/>
      </c>
      <c r="AJ327" s="25" t="str">
        <f t="shared" si="144"/>
        <v/>
      </c>
      <c r="AK327" s="25" t="str">
        <f t="shared" si="145"/>
        <v/>
      </c>
      <c r="AL327" s="25" t="str">
        <f t="shared" si="146"/>
        <v/>
      </c>
      <c r="AM327" s="25" t="str">
        <f t="shared" si="147"/>
        <v/>
      </c>
      <c r="AN327" s="25" t="str">
        <f t="shared" si="148"/>
        <v/>
      </c>
      <c r="AO327" s="25"/>
      <c r="AP327" s="25"/>
      <c r="AQ327" s="25"/>
      <c r="AR327" s="25" t="str">
        <f t="shared" si="149"/>
        <v/>
      </c>
      <c r="AS327" s="26" t="str">
        <f t="shared" si="150"/>
        <v/>
      </c>
    </row>
    <row r="328" spans="2:45" hidden="1" x14ac:dyDescent="0.25">
      <c r="B328" s="70">
        <v>83</v>
      </c>
      <c r="C328" s="59" t="str">
        <f t="shared" si="119"/>
        <v/>
      </c>
      <c r="D328" s="55" t="str">
        <f t="shared" si="120"/>
        <v/>
      </c>
      <c r="E328" s="55" t="str">
        <f t="shared" si="121"/>
        <v/>
      </c>
      <c r="F328" s="55" t="str">
        <f t="shared" si="122"/>
        <v/>
      </c>
      <c r="G328" s="55" t="str">
        <f t="shared" si="123"/>
        <v/>
      </c>
      <c r="H328" s="55" t="str">
        <f t="shared" si="124"/>
        <v/>
      </c>
      <c r="I328" s="55" t="str">
        <f t="shared" si="125"/>
        <v/>
      </c>
      <c r="J328" s="60" t="str">
        <f t="shared" si="126"/>
        <v/>
      </c>
      <c r="M328" s="58">
        <v>83</v>
      </c>
      <c r="N328" s="59" t="str">
        <f t="shared" si="127"/>
        <v/>
      </c>
      <c r="O328" s="55" t="str">
        <f t="shared" si="128"/>
        <v/>
      </c>
      <c r="P328" s="55" t="str">
        <f t="shared" si="129"/>
        <v/>
      </c>
      <c r="Q328" s="55" t="str">
        <f t="shared" si="130"/>
        <v/>
      </c>
      <c r="R328" s="55" t="str">
        <f t="shared" si="131"/>
        <v/>
      </c>
      <c r="S328" s="55" t="str">
        <f t="shared" si="132"/>
        <v/>
      </c>
      <c r="T328" s="55"/>
      <c r="U328" s="55"/>
      <c r="V328" s="55"/>
      <c r="W328" s="55" t="str">
        <f t="shared" si="133"/>
        <v/>
      </c>
      <c r="X328" s="60" t="str">
        <f t="shared" si="134"/>
        <v/>
      </c>
      <c r="Z328" s="24" t="str">
        <f t="shared" si="135"/>
        <v/>
      </c>
      <c r="AA328" s="25" t="str">
        <f t="shared" si="136"/>
        <v/>
      </c>
      <c r="AB328" s="25" t="str">
        <f t="shared" si="137"/>
        <v/>
      </c>
      <c r="AC328" s="25" t="str">
        <f t="shared" si="138"/>
        <v/>
      </c>
      <c r="AD328" s="25" t="str">
        <f t="shared" si="139"/>
        <v/>
      </c>
      <c r="AE328" s="25" t="str">
        <f t="shared" si="140"/>
        <v/>
      </c>
      <c r="AF328" s="25" t="str">
        <f t="shared" si="141"/>
        <v/>
      </c>
      <c r="AG328" s="26" t="str">
        <f t="shared" si="142"/>
        <v/>
      </c>
      <c r="AI328" s="24" t="str">
        <f t="shared" si="143"/>
        <v/>
      </c>
      <c r="AJ328" s="25" t="str">
        <f t="shared" si="144"/>
        <v/>
      </c>
      <c r="AK328" s="25" t="str">
        <f t="shared" si="145"/>
        <v/>
      </c>
      <c r="AL328" s="25" t="str">
        <f t="shared" si="146"/>
        <v/>
      </c>
      <c r="AM328" s="25" t="str">
        <f t="shared" si="147"/>
        <v/>
      </c>
      <c r="AN328" s="25" t="str">
        <f t="shared" si="148"/>
        <v/>
      </c>
      <c r="AO328" s="25"/>
      <c r="AP328" s="25"/>
      <c r="AQ328" s="25"/>
      <c r="AR328" s="25" t="str">
        <f t="shared" si="149"/>
        <v/>
      </c>
      <c r="AS328" s="26" t="str">
        <f t="shared" si="150"/>
        <v/>
      </c>
    </row>
    <row r="329" spans="2:45" hidden="1" x14ac:dyDescent="0.25">
      <c r="B329" s="70">
        <v>84</v>
      </c>
      <c r="C329" s="59" t="str">
        <f t="shared" si="119"/>
        <v/>
      </c>
      <c r="D329" s="55" t="str">
        <f t="shared" si="120"/>
        <v/>
      </c>
      <c r="E329" s="55" t="str">
        <f t="shared" si="121"/>
        <v/>
      </c>
      <c r="F329" s="55" t="str">
        <f t="shared" si="122"/>
        <v/>
      </c>
      <c r="G329" s="55" t="str">
        <f t="shared" si="123"/>
        <v/>
      </c>
      <c r="H329" s="55" t="str">
        <f t="shared" si="124"/>
        <v/>
      </c>
      <c r="I329" s="55" t="str">
        <f t="shared" si="125"/>
        <v/>
      </c>
      <c r="J329" s="60" t="str">
        <f t="shared" si="126"/>
        <v/>
      </c>
      <c r="M329" s="58">
        <v>84</v>
      </c>
      <c r="N329" s="59" t="str">
        <f t="shared" si="127"/>
        <v/>
      </c>
      <c r="O329" s="55" t="str">
        <f t="shared" si="128"/>
        <v/>
      </c>
      <c r="P329" s="55" t="str">
        <f t="shared" si="129"/>
        <v/>
      </c>
      <c r="Q329" s="55" t="str">
        <f t="shared" si="130"/>
        <v/>
      </c>
      <c r="R329" s="55" t="str">
        <f t="shared" si="131"/>
        <v/>
      </c>
      <c r="S329" s="55" t="str">
        <f t="shared" si="132"/>
        <v/>
      </c>
      <c r="T329" s="55"/>
      <c r="U329" s="55"/>
      <c r="V329" s="55"/>
      <c r="W329" s="55" t="str">
        <f t="shared" si="133"/>
        <v/>
      </c>
      <c r="X329" s="60" t="str">
        <f t="shared" si="134"/>
        <v/>
      </c>
      <c r="Z329" s="24" t="str">
        <f t="shared" si="135"/>
        <v/>
      </c>
      <c r="AA329" s="25" t="str">
        <f t="shared" si="136"/>
        <v/>
      </c>
      <c r="AB329" s="25" t="str">
        <f t="shared" si="137"/>
        <v/>
      </c>
      <c r="AC329" s="25" t="str">
        <f t="shared" si="138"/>
        <v/>
      </c>
      <c r="AD329" s="25" t="str">
        <f t="shared" si="139"/>
        <v/>
      </c>
      <c r="AE329" s="25" t="str">
        <f t="shared" si="140"/>
        <v/>
      </c>
      <c r="AF329" s="25" t="str">
        <f t="shared" si="141"/>
        <v/>
      </c>
      <c r="AG329" s="26" t="str">
        <f t="shared" si="142"/>
        <v/>
      </c>
      <c r="AI329" s="24" t="str">
        <f t="shared" si="143"/>
        <v/>
      </c>
      <c r="AJ329" s="25" t="str">
        <f t="shared" si="144"/>
        <v/>
      </c>
      <c r="AK329" s="25" t="str">
        <f t="shared" si="145"/>
        <v/>
      </c>
      <c r="AL329" s="25" t="str">
        <f t="shared" si="146"/>
        <v/>
      </c>
      <c r="AM329" s="25" t="str">
        <f t="shared" si="147"/>
        <v/>
      </c>
      <c r="AN329" s="25" t="str">
        <f t="shared" si="148"/>
        <v/>
      </c>
      <c r="AO329" s="25"/>
      <c r="AP329" s="25"/>
      <c r="AQ329" s="25"/>
      <c r="AR329" s="25" t="str">
        <f t="shared" si="149"/>
        <v/>
      </c>
      <c r="AS329" s="26" t="str">
        <f t="shared" si="150"/>
        <v/>
      </c>
    </row>
    <row r="330" spans="2:45" hidden="1" x14ac:dyDescent="0.25">
      <c r="B330" s="70">
        <v>85</v>
      </c>
      <c r="C330" s="59" t="str">
        <f t="shared" si="119"/>
        <v/>
      </c>
      <c r="D330" s="55" t="str">
        <f t="shared" si="120"/>
        <v/>
      </c>
      <c r="E330" s="55" t="str">
        <f t="shared" si="121"/>
        <v/>
      </c>
      <c r="F330" s="55" t="str">
        <f t="shared" si="122"/>
        <v/>
      </c>
      <c r="G330" s="55" t="str">
        <f t="shared" si="123"/>
        <v/>
      </c>
      <c r="H330" s="55" t="str">
        <f t="shared" si="124"/>
        <v/>
      </c>
      <c r="I330" s="55" t="str">
        <f t="shared" si="125"/>
        <v/>
      </c>
      <c r="J330" s="60" t="str">
        <f t="shared" si="126"/>
        <v/>
      </c>
      <c r="M330" s="58">
        <v>85</v>
      </c>
      <c r="N330" s="59" t="str">
        <f t="shared" si="127"/>
        <v/>
      </c>
      <c r="O330" s="55" t="str">
        <f t="shared" si="128"/>
        <v/>
      </c>
      <c r="P330" s="55" t="str">
        <f t="shared" si="129"/>
        <v/>
      </c>
      <c r="Q330" s="55" t="str">
        <f t="shared" si="130"/>
        <v/>
      </c>
      <c r="R330" s="55" t="str">
        <f t="shared" si="131"/>
        <v/>
      </c>
      <c r="S330" s="55" t="str">
        <f t="shared" si="132"/>
        <v/>
      </c>
      <c r="T330" s="55"/>
      <c r="U330" s="55"/>
      <c r="V330" s="55"/>
      <c r="W330" s="55" t="str">
        <f t="shared" si="133"/>
        <v/>
      </c>
      <c r="X330" s="60" t="str">
        <f t="shared" si="134"/>
        <v/>
      </c>
      <c r="Z330" s="24" t="str">
        <f t="shared" si="135"/>
        <v/>
      </c>
      <c r="AA330" s="25" t="str">
        <f t="shared" si="136"/>
        <v/>
      </c>
      <c r="AB330" s="25" t="str">
        <f t="shared" si="137"/>
        <v/>
      </c>
      <c r="AC330" s="25" t="str">
        <f t="shared" si="138"/>
        <v/>
      </c>
      <c r="AD330" s="25" t="str">
        <f t="shared" si="139"/>
        <v/>
      </c>
      <c r="AE330" s="25" t="str">
        <f t="shared" si="140"/>
        <v/>
      </c>
      <c r="AF330" s="25" t="str">
        <f t="shared" si="141"/>
        <v/>
      </c>
      <c r="AG330" s="26" t="str">
        <f t="shared" si="142"/>
        <v/>
      </c>
      <c r="AI330" s="24" t="str">
        <f t="shared" si="143"/>
        <v/>
      </c>
      <c r="AJ330" s="25" t="str">
        <f t="shared" si="144"/>
        <v/>
      </c>
      <c r="AK330" s="25" t="str">
        <f t="shared" si="145"/>
        <v/>
      </c>
      <c r="AL330" s="25" t="str">
        <f t="shared" si="146"/>
        <v/>
      </c>
      <c r="AM330" s="25" t="str">
        <f t="shared" si="147"/>
        <v/>
      </c>
      <c r="AN330" s="25" t="str">
        <f t="shared" si="148"/>
        <v/>
      </c>
      <c r="AO330" s="25"/>
      <c r="AP330" s="25"/>
      <c r="AQ330" s="25"/>
      <c r="AR330" s="25" t="str">
        <f t="shared" si="149"/>
        <v/>
      </c>
      <c r="AS330" s="26" t="str">
        <f t="shared" si="150"/>
        <v/>
      </c>
    </row>
    <row r="331" spans="2:45" hidden="1" x14ac:dyDescent="0.25">
      <c r="B331" s="70">
        <v>86</v>
      </c>
      <c r="C331" s="59" t="str">
        <f t="shared" si="119"/>
        <v/>
      </c>
      <c r="D331" s="55" t="str">
        <f t="shared" si="120"/>
        <v/>
      </c>
      <c r="E331" s="55" t="str">
        <f t="shared" si="121"/>
        <v/>
      </c>
      <c r="F331" s="55" t="str">
        <f t="shared" si="122"/>
        <v/>
      </c>
      <c r="G331" s="55" t="str">
        <f t="shared" si="123"/>
        <v/>
      </c>
      <c r="H331" s="55" t="str">
        <f t="shared" si="124"/>
        <v/>
      </c>
      <c r="I331" s="55" t="str">
        <f t="shared" si="125"/>
        <v/>
      </c>
      <c r="J331" s="60" t="str">
        <f t="shared" si="126"/>
        <v/>
      </c>
      <c r="M331" s="58">
        <v>86</v>
      </c>
      <c r="N331" s="59" t="str">
        <f t="shared" si="127"/>
        <v/>
      </c>
      <c r="O331" s="55" t="str">
        <f t="shared" si="128"/>
        <v/>
      </c>
      <c r="P331" s="55" t="str">
        <f t="shared" si="129"/>
        <v/>
      </c>
      <c r="Q331" s="55" t="str">
        <f t="shared" si="130"/>
        <v/>
      </c>
      <c r="R331" s="55" t="str">
        <f t="shared" si="131"/>
        <v/>
      </c>
      <c r="S331" s="55" t="str">
        <f t="shared" si="132"/>
        <v/>
      </c>
      <c r="T331" s="55"/>
      <c r="U331" s="55"/>
      <c r="V331" s="55"/>
      <c r="W331" s="55" t="str">
        <f t="shared" si="133"/>
        <v/>
      </c>
      <c r="X331" s="60" t="str">
        <f t="shared" si="134"/>
        <v/>
      </c>
      <c r="Z331" s="24" t="str">
        <f t="shared" si="135"/>
        <v/>
      </c>
      <c r="AA331" s="25" t="str">
        <f t="shared" si="136"/>
        <v/>
      </c>
      <c r="AB331" s="25" t="str">
        <f t="shared" si="137"/>
        <v/>
      </c>
      <c r="AC331" s="25" t="str">
        <f t="shared" si="138"/>
        <v/>
      </c>
      <c r="AD331" s="25" t="str">
        <f t="shared" si="139"/>
        <v/>
      </c>
      <c r="AE331" s="25" t="str">
        <f t="shared" si="140"/>
        <v/>
      </c>
      <c r="AF331" s="25" t="str">
        <f t="shared" si="141"/>
        <v/>
      </c>
      <c r="AG331" s="26" t="str">
        <f t="shared" si="142"/>
        <v/>
      </c>
      <c r="AI331" s="24" t="str">
        <f t="shared" si="143"/>
        <v/>
      </c>
      <c r="AJ331" s="25" t="str">
        <f t="shared" si="144"/>
        <v/>
      </c>
      <c r="AK331" s="25" t="str">
        <f t="shared" si="145"/>
        <v/>
      </c>
      <c r="AL331" s="25" t="str">
        <f t="shared" si="146"/>
        <v/>
      </c>
      <c r="AM331" s="25" t="str">
        <f t="shared" si="147"/>
        <v/>
      </c>
      <c r="AN331" s="25" t="str">
        <f t="shared" si="148"/>
        <v/>
      </c>
      <c r="AO331" s="25"/>
      <c r="AP331" s="25"/>
      <c r="AQ331" s="25"/>
      <c r="AR331" s="25" t="str">
        <f t="shared" si="149"/>
        <v/>
      </c>
      <c r="AS331" s="26" t="str">
        <f t="shared" si="150"/>
        <v/>
      </c>
    </row>
    <row r="332" spans="2:45" hidden="1" x14ac:dyDescent="0.25">
      <c r="B332" s="70">
        <v>87</v>
      </c>
      <c r="C332" s="59" t="str">
        <f t="shared" si="119"/>
        <v/>
      </c>
      <c r="D332" s="55" t="str">
        <f t="shared" si="120"/>
        <v/>
      </c>
      <c r="E332" s="55" t="str">
        <f t="shared" si="121"/>
        <v/>
      </c>
      <c r="F332" s="55" t="str">
        <f t="shared" si="122"/>
        <v/>
      </c>
      <c r="G332" s="55" t="str">
        <f t="shared" si="123"/>
        <v/>
      </c>
      <c r="H332" s="55" t="str">
        <f t="shared" si="124"/>
        <v/>
      </c>
      <c r="I332" s="55" t="str">
        <f t="shared" si="125"/>
        <v/>
      </c>
      <c r="J332" s="60" t="str">
        <f t="shared" si="126"/>
        <v/>
      </c>
      <c r="M332" s="58">
        <v>87</v>
      </c>
      <c r="N332" s="59" t="str">
        <f t="shared" si="127"/>
        <v/>
      </c>
      <c r="O332" s="55" t="str">
        <f t="shared" si="128"/>
        <v/>
      </c>
      <c r="P332" s="55" t="str">
        <f t="shared" si="129"/>
        <v/>
      </c>
      <c r="Q332" s="55" t="str">
        <f t="shared" si="130"/>
        <v/>
      </c>
      <c r="R332" s="55" t="str">
        <f t="shared" si="131"/>
        <v/>
      </c>
      <c r="S332" s="55" t="str">
        <f t="shared" si="132"/>
        <v/>
      </c>
      <c r="T332" s="55"/>
      <c r="U332" s="55"/>
      <c r="V332" s="55"/>
      <c r="W332" s="55" t="str">
        <f t="shared" si="133"/>
        <v/>
      </c>
      <c r="X332" s="60" t="str">
        <f t="shared" si="134"/>
        <v/>
      </c>
      <c r="Z332" s="24" t="str">
        <f t="shared" si="135"/>
        <v/>
      </c>
      <c r="AA332" s="25" t="str">
        <f t="shared" si="136"/>
        <v/>
      </c>
      <c r="AB332" s="25" t="str">
        <f t="shared" si="137"/>
        <v/>
      </c>
      <c r="AC332" s="25" t="str">
        <f t="shared" si="138"/>
        <v/>
      </c>
      <c r="AD332" s="25" t="str">
        <f t="shared" si="139"/>
        <v/>
      </c>
      <c r="AE332" s="25" t="str">
        <f t="shared" si="140"/>
        <v/>
      </c>
      <c r="AF332" s="25" t="str">
        <f t="shared" si="141"/>
        <v/>
      </c>
      <c r="AG332" s="26" t="str">
        <f t="shared" si="142"/>
        <v/>
      </c>
      <c r="AI332" s="24" t="str">
        <f t="shared" si="143"/>
        <v/>
      </c>
      <c r="AJ332" s="25" t="str">
        <f t="shared" si="144"/>
        <v/>
      </c>
      <c r="AK332" s="25" t="str">
        <f t="shared" si="145"/>
        <v/>
      </c>
      <c r="AL332" s="25" t="str">
        <f t="shared" si="146"/>
        <v/>
      </c>
      <c r="AM332" s="25" t="str">
        <f t="shared" si="147"/>
        <v/>
      </c>
      <c r="AN332" s="25" t="str">
        <f t="shared" si="148"/>
        <v/>
      </c>
      <c r="AO332" s="25"/>
      <c r="AP332" s="25"/>
      <c r="AQ332" s="25"/>
      <c r="AR332" s="25" t="str">
        <f t="shared" si="149"/>
        <v/>
      </c>
      <c r="AS332" s="26" t="str">
        <f t="shared" si="150"/>
        <v/>
      </c>
    </row>
    <row r="333" spans="2:45" hidden="1" x14ac:dyDescent="0.25">
      <c r="B333" s="70">
        <v>88</v>
      </c>
      <c r="C333" s="59" t="str">
        <f t="shared" si="119"/>
        <v/>
      </c>
      <c r="D333" s="55" t="str">
        <f t="shared" si="120"/>
        <v/>
      </c>
      <c r="E333" s="55" t="str">
        <f t="shared" si="121"/>
        <v/>
      </c>
      <c r="F333" s="55" t="str">
        <f t="shared" si="122"/>
        <v/>
      </c>
      <c r="G333" s="55" t="str">
        <f t="shared" si="123"/>
        <v/>
      </c>
      <c r="H333" s="55" t="str">
        <f t="shared" si="124"/>
        <v/>
      </c>
      <c r="I333" s="55" t="str">
        <f t="shared" si="125"/>
        <v/>
      </c>
      <c r="J333" s="60" t="str">
        <f t="shared" si="126"/>
        <v/>
      </c>
      <c r="M333" s="58">
        <v>88</v>
      </c>
      <c r="N333" s="59" t="str">
        <f t="shared" si="127"/>
        <v/>
      </c>
      <c r="O333" s="55" t="str">
        <f t="shared" si="128"/>
        <v/>
      </c>
      <c r="P333" s="55" t="str">
        <f t="shared" si="129"/>
        <v/>
      </c>
      <c r="Q333" s="55" t="str">
        <f t="shared" si="130"/>
        <v/>
      </c>
      <c r="R333" s="55" t="str">
        <f t="shared" si="131"/>
        <v/>
      </c>
      <c r="S333" s="55" t="str">
        <f t="shared" si="132"/>
        <v/>
      </c>
      <c r="T333" s="55"/>
      <c r="U333" s="55"/>
      <c r="V333" s="55"/>
      <c r="W333" s="55" t="str">
        <f t="shared" si="133"/>
        <v/>
      </c>
      <c r="X333" s="60" t="str">
        <f t="shared" si="134"/>
        <v/>
      </c>
      <c r="Z333" s="24" t="str">
        <f t="shared" si="135"/>
        <v/>
      </c>
      <c r="AA333" s="25" t="str">
        <f t="shared" si="136"/>
        <v/>
      </c>
      <c r="AB333" s="25" t="str">
        <f t="shared" si="137"/>
        <v/>
      </c>
      <c r="AC333" s="25" t="str">
        <f t="shared" si="138"/>
        <v/>
      </c>
      <c r="AD333" s="25" t="str">
        <f t="shared" si="139"/>
        <v/>
      </c>
      <c r="AE333" s="25" t="str">
        <f t="shared" si="140"/>
        <v/>
      </c>
      <c r="AF333" s="25" t="str">
        <f t="shared" si="141"/>
        <v/>
      </c>
      <c r="AG333" s="26" t="str">
        <f t="shared" si="142"/>
        <v/>
      </c>
      <c r="AI333" s="24" t="str">
        <f t="shared" si="143"/>
        <v/>
      </c>
      <c r="AJ333" s="25" t="str">
        <f t="shared" si="144"/>
        <v/>
      </c>
      <c r="AK333" s="25" t="str">
        <f t="shared" si="145"/>
        <v/>
      </c>
      <c r="AL333" s="25" t="str">
        <f t="shared" si="146"/>
        <v/>
      </c>
      <c r="AM333" s="25" t="str">
        <f t="shared" si="147"/>
        <v/>
      </c>
      <c r="AN333" s="25" t="str">
        <f t="shared" si="148"/>
        <v/>
      </c>
      <c r="AO333" s="25"/>
      <c r="AP333" s="25"/>
      <c r="AQ333" s="25"/>
      <c r="AR333" s="25" t="str">
        <f t="shared" si="149"/>
        <v/>
      </c>
      <c r="AS333" s="26" t="str">
        <f t="shared" si="150"/>
        <v/>
      </c>
    </row>
    <row r="334" spans="2:45" hidden="1" x14ac:dyDescent="0.25">
      <c r="B334" s="70">
        <v>89</v>
      </c>
      <c r="C334" s="59" t="str">
        <f t="shared" si="119"/>
        <v/>
      </c>
      <c r="D334" s="55" t="str">
        <f t="shared" si="120"/>
        <v/>
      </c>
      <c r="E334" s="55" t="str">
        <f t="shared" si="121"/>
        <v/>
      </c>
      <c r="F334" s="55" t="str">
        <f t="shared" si="122"/>
        <v/>
      </c>
      <c r="G334" s="55" t="str">
        <f t="shared" si="123"/>
        <v/>
      </c>
      <c r="H334" s="55" t="str">
        <f t="shared" si="124"/>
        <v/>
      </c>
      <c r="I334" s="55" t="str">
        <f t="shared" si="125"/>
        <v/>
      </c>
      <c r="J334" s="60" t="str">
        <f t="shared" si="126"/>
        <v/>
      </c>
      <c r="M334" s="58">
        <v>89</v>
      </c>
      <c r="N334" s="59" t="str">
        <f t="shared" si="127"/>
        <v/>
      </c>
      <c r="O334" s="55" t="str">
        <f t="shared" si="128"/>
        <v/>
      </c>
      <c r="P334" s="55" t="str">
        <f t="shared" si="129"/>
        <v/>
      </c>
      <c r="Q334" s="55" t="str">
        <f t="shared" si="130"/>
        <v/>
      </c>
      <c r="R334" s="55" t="str">
        <f t="shared" si="131"/>
        <v/>
      </c>
      <c r="S334" s="55" t="str">
        <f t="shared" si="132"/>
        <v/>
      </c>
      <c r="T334" s="55"/>
      <c r="U334" s="55"/>
      <c r="V334" s="55"/>
      <c r="W334" s="55" t="str">
        <f t="shared" si="133"/>
        <v/>
      </c>
      <c r="X334" s="60" t="str">
        <f t="shared" si="134"/>
        <v/>
      </c>
      <c r="Z334" s="24" t="str">
        <f t="shared" si="135"/>
        <v/>
      </c>
      <c r="AA334" s="25" t="str">
        <f t="shared" si="136"/>
        <v/>
      </c>
      <c r="AB334" s="25" t="str">
        <f t="shared" si="137"/>
        <v/>
      </c>
      <c r="AC334" s="25" t="str">
        <f t="shared" si="138"/>
        <v/>
      </c>
      <c r="AD334" s="25" t="str">
        <f t="shared" si="139"/>
        <v/>
      </c>
      <c r="AE334" s="25" t="str">
        <f t="shared" si="140"/>
        <v/>
      </c>
      <c r="AF334" s="25" t="str">
        <f t="shared" si="141"/>
        <v/>
      </c>
      <c r="AG334" s="26" t="str">
        <f t="shared" si="142"/>
        <v/>
      </c>
      <c r="AI334" s="24" t="str">
        <f t="shared" si="143"/>
        <v/>
      </c>
      <c r="AJ334" s="25" t="str">
        <f t="shared" si="144"/>
        <v/>
      </c>
      <c r="AK334" s="25" t="str">
        <f t="shared" si="145"/>
        <v/>
      </c>
      <c r="AL334" s="25" t="str">
        <f t="shared" si="146"/>
        <v/>
      </c>
      <c r="AM334" s="25" t="str">
        <f t="shared" si="147"/>
        <v/>
      </c>
      <c r="AN334" s="25" t="str">
        <f t="shared" si="148"/>
        <v/>
      </c>
      <c r="AO334" s="25"/>
      <c r="AP334" s="25"/>
      <c r="AQ334" s="25"/>
      <c r="AR334" s="25" t="str">
        <f t="shared" si="149"/>
        <v/>
      </c>
      <c r="AS334" s="26" t="str">
        <f t="shared" si="150"/>
        <v/>
      </c>
    </row>
    <row r="335" spans="2:45" hidden="1" x14ac:dyDescent="0.25">
      <c r="B335" s="70">
        <v>90</v>
      </c>
      <c r="C335" s="59" t="str">
        <f t="shared" si="119"/>
        <v/>
      </c>
      <c r="D335" s="55" t="str">
        <f t="shared" si="120"/>
        <v/>
      </c>
      <c r="E335" s="55" t="str">
        <f t="shared" si="121"/>
        <v/>
      </c>
      <c r="F335" s="55" t="str">
        <f t="shared" si="122"/>
        <v/>
      </c>
      <c r="G335" s="55" t="str">
        <f t="shared" si="123"/>
        <v/>
      </c>
      <c r="H335" s="55" t="str">
        <f t="shared" si="124"/>
        <v/>
      </c>
      <c r="I335" s="55" t="str">
        <f t="shared" si="125"/>
        <v/>
      </c>
      <c r="J335" s="60" t="str">
        <f t="shared" si="126"/>
        <v/>
      </c>
      <c r="M335" s="58">
        <v>90</v>
      </c>
      <c r="N335" s="59" t="str">
        <f t="shared" si="127"/>
        <v/>
      </c>
      <c r="O335" s="55" t="str">
        <f t="shared" si="128"/>
        <v/>
      </c>
      <c r="P335" s="55" t="str">
        <f t="shared" si="129"/>
        <v/>
      </c>
      <c r="Q335" s="55" t="str">
        <f t="shared" si="130"/>
        <v/>
      </c>
      <c r="R335" s="55" t="str">
        <f t="shared" si="131"/>
        <v/>
      </c>
      <c r="S335" s="55" t="str">
        <f t="shared" si="132"/>
        <v/>
      </c>
      <c r="T335" s="55"/>
      <c r="U335" s="55"/>
      <c r="V335" s="55"/>
      <c r="W335" s="55" t="str">
        <f t="shared" si="133"/>
        <v/>
      </c>
      <c r="X335" s="60" t="str">
        <f t="shared" si="134"/>
        <v/>
      </c>
      <c r="Z335" s="24" t="str">
        <f t="shared" si="135"/>
        <v/>
      </c>
      <c r="AA335" s="25" t="str">
        <f t="shared" si="136"/>
        <v/>
      </c>
      <c r="AB335" s="25" t="str">
        <f t="shared" si="137"/>
        <v/>
      </c>
      <c r="AC335" s="25" t="str">
        <f t="shared" si="138"/>
        <v/>
      </c>
      <c r="AD335" s="25" t="str">
        <f t="shared" si="139"/>
        <v/>
      </c>
      <c r="AE335" s="25" t="str">
        <f t="shared" si="140"/>
        <v/>
      </c>
      <c r="AF335" s="25" t="str">
        <f t="shared" si="141"/>
        <v/>
      </c>
      <c r="AG335" s="26" t="str">
        <f t="shared" si="142"/>
        <v/>
      </c>
      <c r="AI335" s="24" t="str">
        <f t="shared" si="143"/>
        <v/>
      </c>
      <c r="AJ335" s="25" t="str">
        <f t="shared" si="144"/>
        <v/>
      </c>
      <c r="AK335" s="25" t="str">
        <f t="shared" si="145"/>
        <v/>
      </c>
      <c r="AL335" s="25" t="str">
        <f t="shared" si="146"/>
        <v/>
      </c>
      <c r="AM335" s="25" t="str">
        <f t="shared" si="147"/>
        <v/>
      </c>
      <c r="AN335" s="25" t="str">
        <f t="shared" si="148"/>
        <v/>
      </c>
      <c r="AO335" s="25"/>
      <c r="AP335" s="25"/>
      <c r="AQ335" s="25"/>
      <c r="AR335" s="25" t="str">
        <f t="shared" si="149"/>
        <v/>
      </c>
      <c r="AS335" s="26" t="str">
        <f t="shared" si="150"/>
        <v/>
      </c>
    </row>
    <row r="336" spans="2:45" hidden="1" x14ac:dyDescent="0.25">
      <c r="B336" s="70">
        <v>91</v>
      </c>
      <c r="C336" s="59" t="str">
        <f t="shared" si="119"/>
        <v/>
      </c>
      <c r="D336" s="55" t="str">
        <f t="shared" si="120"/>
        <v/>
      </c>
      <c r="E336" s="55" t="str">
        <f t="shared" si="121"/>
        <v/>
      </c>
      <c r="F336" s="55" t="str">
        <f t="shared" si="122"/>
        <v/>
      </c>
      <c r="G336" s="55" t="str">
        <f t="shared" si="123"/>
        <v/>
      </c>
      <c r="H336" s="55" t="str">
        <f t="shared" si="124"/>
        <v/>
      </c>
      <c r="I336" s="55" t="str">
        <f t="shared" si="125"/>
        <v/>
      </c>
      <c r="J336" s="60" t="str">
        <f t="shared" si="126"/>
        <v/>
      </c>
      <c r="M336" s="58">
        <v>91</v>
      </c>
      <c r="N336" s="59" t="str">
        <f t="shared" si="127"/>
        <v/>
      </c>
      <c r="O336" s="55" t="str">
        <f t="shared" si="128"/>
        <v/>
      </c>
      <c r="P336" s="55" t="str">
        <f t="shared" si="129"/>
        <v/>
      </c>
      <c r="Q336" s="55" t="str">
        <f t="shared" si="130"/>
        <v/>
      </c>
      <c r="R336" s="55" t="str">
        <f t="shared" si="131"/>
        <v/>
      </c>
      <c r="S336" s="55" t="str">
        <f t="shared" si="132"/>
        <v/>
      </c>
      <c r="T336" s="55"/>
      <c r="U336" s="55"/>
      <c r="V336" s="55"/>
      <c r="W336" s="55" t="str">
        <f t="shared" si="133"/>
        <v/>
      </c>
      <c r="X336" s="60" t="str">
        <f t="shared" si="134"/>
        <v/>
      </c>
      <c r="Z336" s="24" t="str">
        <f t="shared" si="135"/>
        <v/>
      </c>
      <c r="AA336" s="25" t="str">
        <f t="shared" si="136"/>
        <v/>
      </c>
      <c r="AB336" s="25" t="str">
        <f t="shared" si="137"/>
        <v/>
      </c>
      <c r="AC336" s="25" t="str">
        <f t="shared" si="138"/>
        <v/>
      </c>
      <c r="AD336" s="25" t="str">
        <f t="shared" si="139"/>
        <v/>
      </c>
      <c r="AE336" s="25" t="str">
        <f t="shared" si="140"/>
        <v/>
      </c>
      <c r="AF336" s="25" t="str">
        <f t="shared" si="141"/>
        <v/>
      </c>
      <c r="AG336" s="26" t="str">
        <f t="shared" si="142"/>
        <v/>
      </c>
      <c r="AI336" s="24" t="str">
        <f t="shared" si="143"/>
        <v/>
      </c>
      <c r="AJ336" s="25" t="str">
        <f t="shared" si="144"/>
        <v/>
      </c>
      <c r="AK336" s="25" t="str">
        <f t="shared" si="145"/>
        <v/>
      </c>
      <c r="AL336" s="25" t="str">
        <f t="shared" si="146"/>
        <v/>
      </c>
      <c r="AM336" s="25" t="str">
        <f t="shared" si="147"/>
        <v/>
      </c>
      <c r="AN336" s="25" t="str">
        <f t="shared" si="148"/>
        <v/>
      </c>
      <c r="AO336" s="25"/>
      <c r="AP336" s="25"/>
      <c r="AQ336" s="25"/>
      <c r="AR336" s="25" t="str">
        <f t="shared" si="149"/>
        <v/>
      </c>
      <c r="AS336" s="26" t="str">
        <f t="shared" si="150"/>
        <v/>
      </c>
    </row>
    <row r="337" spans="2:45" hidden="1" x14ac:dyDescent="0.25">
      <c r="B337" s="70">
        <v>92</v>
      </c>
      <c r="C337" s="59" t="str">
        <f t="shared" si="119"/>
        <v/>
      </c>
      <c r="D337" s="55" t="str">
        <f t="shared" si="120"/>
        <v/>
      </c>
      <c r="E337" s="55" t="str">
        <f t="shared" si="121"/>
        <v/>
      </c>
      <c r="F337" s="55" t="str">
        <f t="shared" si="122"/>
        <v/>
      </c>
      <c r="G337" s="55" t="str">
        <f t="shared" si="123"/>
        <v/>
      </c>
      <c r="H337" s="55" t="str">
        <f t="shared" si="124"/>
        <v/>
      </c>
      <c r="I337" s="55" t="str">
        <f t="shared" si="125"/>
        <v/>
      </c>
      <c r="J337" s="60" t="str">
        <f t="shared" si="126"/>
        <v/>
      </c>
      <c r="M337" s="58">
        <v>92</v>
      </c>
      <c r="N337" s="59" t="str">
        <f t="shared" si="127"/>
        <v/>
      </c>
      <c r="O337" s="55" t="str">
        <f t="shared" si="128"/>
        <v/>
      </c>
      <c r="P337" s="55" t="str">
        <f t="shared" si="129"/>
        <v/>
      </c>
      <c r="Q337" s="55" t="str">
        <f t="shared" si="130"/>
        <v/>
      </c>
      <c r="R337" s="55" t="str">
        <f t="shared" si="131"/>
        <v/>
      </c>
      <c r="S337" s="55" t="str">
        <f t="shared" si="132"/>
        <v/>
      </c>
      <c r="T337" s="55"/>
      <c r="U337" s="55"/>
      <c r="V337" s="55"/>
      <c r="W337" s="55" t="str">
        <f t="shared" si="133"/>
        <v/>
      </c>
      <c r="X337" s="60" t="str">
        <f t="shared" si="134"/>
        <v/>
      </c>
      <c r="Z337" s="24" t="str">
        <f t="shared" si="135"/>
        <v/>
      </c>
      <c r="AA337" s="25" t="str">
        <f t="shared" si="136"/>
        <v/>
      </c>
      <c r="AB337" s="25" t="str">
        <f t="shared" si="137"/>
        <v/>
      </c>
      <c r="AC337" s="25" t="str">
        <f t="shared" si="138"/>
        <v/>
      </c>
      <c r="AD337" s="25" t="str">
        <f t="shared" si="139"/>
        <v/>
      </c>
      <c r="AE337" s="25" t="str">
        <f t="shared" si="140"/>
        <v/>
      </c>
      <c r="AF337" s="25" t="str">
        <f t="shared" si="141"/>
        <v/>
      </c>
      <c r="AG337" s="26" t="str">
        <f t="shared" si="142"/>
        <v/>
      </c>
      <c r="AI337" s="24" t="str">
        <f t="shared" si="143"/>
        <v/>
      </c>
      <c r="AJ337" s="25" t="str">
        <f t="shared" si="144"/>
        <v/>
      </c>
      <c r="AK337" s="25" t="str">
        <f t="shared" si="145"/>
        <v/>
      </c>
      <c r="AL337" s="25" t="str">
        <f t="shared" si="146"/>
        <v/>
      </c>
      <c r="AM337" s="25" t="str">
        <f t="shared" si="147"/>
        <v/>
      </c>
      <c r="AN337" s="25" t="str">
        <f t="shared" si="148"/>
        <v/>
      </c>
      <c r="AO337" s="25"/>
      <c r="AP337" s="25"/>
      <c r="AQ337" s="25"/>
      <c r="AR337" s="25" t="str">
        <f t="shared" si="149"/>
        <v/>
      </c>
      <c r="AS337" s="26" t="str">
        <f t="shared" si="150"/>
        <v/>
      </c>
    </row>
    <row r="338" spans="2:45" hidden="1" x14ac:dyDescent="0.25">
      <c r="B338" s="70">
        <v>93</v>
      </c>
      <c r="C338" s="59" t="str">
        <f t="shared" si="119"/>
        <v/>
      </c>
      <c r="D338" s="55" t="str">
        <f t="shared" si="120"/>
        <v/>
      </c>
      <c r="E338" s="55" t="str">
        <f t="shared" si="121"/>
        <v/>
      </c>
      <c r="F338" s="55" t="str">
        <f t="shared" si="122"/>
        <v/>
      </c>
      <c r="G338" s="55" t="str">
        <f t="shared" si="123"/>
        <v/>
      </c>
      <c r="H338" s="55" t="str">
        <f t="shared" si="124"/>
        <v/>
      </c>
      <c r="I338" s="55" t="str">
        <f t="shared" si="125"/>
        <v/>
      </c>
      <c r="J338" s="60" t="str">
        <f t="shared" si="126"/>
        <v/>
      </c>
      <c r="M338" s="58">
        <v>93</v>
      </c>
      <c r="N338" s="59" t="str">
        <f t="shared" si="127"/>
        <v/>
      </c>
      <c r="O338" s="55" t="str">
        <f t="shared" si="128"/>
        <v/>
      </c>
      <c r="P338" s="55" t="str">
        <f t="shared" si="129"/>
        <v/>
      </c>
      <c r="Q338" s="55" t="str">
        <f t="shared" si="130"/>
        <v/>
      </c>
      <c r="R338" s="55" t="str">
        <f t="shared" si="131"/>
        <v/>
      </c>
      <c r="S338" s="55" t="str">
        <f t="shared" si="132"/>
        <v/>
      </c>
      <c r="T338" s="55"/>
      <c r="U338" s="55"/>
      <c r="V338" s="55"/>
      <c r="W338" s="55" t="str">
        <f t="shared" si="133"/>
        <v/>
      </c>
      <c r="X338" s="60" t="str">
        <f t="shared" si="134"/>
        <v/>
      </c>
      <c r="Z338" s="24" t="str">
        <f t="shared" si="135"/>
        <v/>
      </c>
      <c r="AA338" s="25" t="str">
        <f t="shared" si="136"/>
        <v/>
      </c>
      <c r="AB338" s="25" t="str">
        <f t="shared" si="137"/>
        <v/>
      </c>
      <c r="AC338" s="25" t="str">
        <f t="shared" si="138"/>
        <v/>
      </c>
      <c r="AD338" s="25" t="str">
        <f t="shared" si="139"/>
        <v/>
      </c>
      <c r="AE338" s="25" t="str">
        <f t="shared" si="140"/>
        <v/>
      </c>
      <c r="AF338" s="25" t="str">
        <f t="shared" si="141"/>
        <v/>
      </c>
      <c r="AG338" s="26" t="str">
        <f t="shared" si="142"/>
        <v/>
      </c>
      <c r="AI338" s="24" t="str">
        <f t="shared" si="143"/>
        <v/>
      </c>
      <c r="AJ338" s="25" t="str">
        <f t="shared" si="144"/>
        <v/>
      </c>
      <c r="AK338" s="25" t="str">
        <f t="shared" si="145"/>
        <v/>
      </c>
      <c r="AL338" s="25" t="str">
        <f t="shared" si="146"/>
        <v/>
      </c>
      <c r="AM338" s="25" t="str">
        <f t="shared" si="147"/>
        <v/>
      </c>
      <c r="AN338" s="25" t="str">
        <f t="shared" si="148"/>
        <v/>
      </c>
      <c r="AO338" s="25"/>
      <c r="AP338" s="25"/>
      <c r="AQ338" s="25"/>
      <c r="AR338" s="25" t="str">
        <f t="shared" si="149"/>
        <v/>
      </c>
      <c r="AS338" s="26" t="str">
        <f t="shared" si="150"/>
        <v/>
      </c>
    </row>
    <row r="339" spans="2:45" hidden="1" x14ac:dyDescent="0.25">
      <c r="B339" s="70">
        <v>94</v>
      </c>
      <c r="C339" s="59" t="str">
        <f t="shared" si="119"/>
        <v/>
      </c>
      <c r="D339" s="55" t="str">
        <f t="shared" si="120"/>
        <v/>
      </c>
      <c r="E339" s="55" t="str">
        <f t="shared" si="121"/>
        <v/>
      </c>
      <c r="F339" s="55" t="str">
        <f t="shared" si="122"/>
        <v/>
      </c>
      <c r="G339" s="55" t="str">
        <f t="shared" si="123"/>
        <v/>
      </c>
      <c r="H339" s="55" t="str">
        <f t="shared" si="124"/>
        <v/>
      </c>
      <c r="I339" s="55" t="str">
        <f t="shared" si="125"/>
        <v/>
      </c>
      <c r="J339" s="60" t="str">
        <f t="shared" si="126"/>
        <v/>
      </c>
      <c r="M339" s="58">
        <v>94</v>
      </c>
      <c r="N339" s="59" t="str">
        <f t="shared" si="127"/>
        <v/>
      </c>
      <c r="O339" s="55" t="str">
        <f t="shared" si="128"/>
        <v/>
      </c>
      <c r="P339" s="55" t="str">
        <f t="shared" si="129"/>
        <v/>
      </c>
      <c r="Q339" s="55" t="str">
        <f t="shared" si="130"/>
        <v/>
      </c>
      <c r="R339" s="55" t="str">
        <f t="shared" si="131"/>
        <v/>
      </c>
      <c r="S339" s="55" t="str">
        <f t="shared" si="132"/>
        <v/>
      </c>
      <c r="T339" s="55"/>
      <c r="U339" s="55"/>
      <c r="V339" s="55"/>
      <c r="W339" s="55" t="str">
        <f t="shared" si="133"/>
        <v/>
      </c>
      <c r="X339" s="60" t="str">
        <f t="shared" si="134"/>
        <v/>
      </c>
      <c r="Z339" s="24" t="str">
        <f t="shared" si="135"/>
        <v/>
      </c>
      <c r="AA339" s="25" t="str">
        <f t="shared" si="136"/>
        <v/>
      </c>
      <c r="AB339" s="25" t="str">
        <f t="shared" si="137"/>
        <v/>
      </c>
      <c r="AC339" s="25" t="str">
        <f t="shared" si="138"/>
        <v/>
      </c>
      <c r="AD339" s="25" t="str">
        <f t="shared" si="139"/>
        <v/>
      </c>
      <c r="AE339" s="25" t="str">
        <f t="shared" si="140"/>
        <v/>
      </c>
      <c r="AF339" s="25" t="str">
        <f t="shared" si="141"/>
        <v/>
      </c>
      <c r="AG339" s="26" t="str">
        <f t="shared" si="142"/>
        <v/>
      </c>
      <c r="AI339" s="24" t="str">
        <f t="shared" si="143"/>
        <v/>
      </c>
      <c r="AJ339" s="25" t="str">
        <f t="shared" si="144"/>
        <v/>
      </c>
      <c r="AK339" s="25" t="str">
        <f t="shared" si="145"/>
        <v/>
      </c>
      <c r="AL339" s="25" t="str">
        <f t="shared" si="146"/>
        <v/>
      </c>
      <c r="AM339" s="25" t="str">
        <f t="shared" si="147"/>
        <v/>
      </c>
      <c r="AN339" s="25" t="str">
        <f t="shared" si="148"/>
        <v/>
      </c>
      <c r="AO339" s="25"/>
      <c r="AP339" s="25"/>
      <c r="AQ339" s="25"/>
      <c r="AR339" s="25" t="str">
        <f t="shared" si="149"/>
        <v/>
      </c>
      <c r="AS339" s="26" t="str">
        <f t="shared" si="150"/>
        <v/>
      </c>
    </row>
    <row r="340" spans="2:45" hidden="1" x14ac:dyDescent="0.25">
      <c r="B340" s="70">
        <v>95</v>
      </c>
      <c r="C340" s="59" t="str">
        <f t="shared" si="119"/>
        <v/>
      </c>
      <c r="D340" s="55" t="str">
        <f t="shared" si="120"/>
        <v/>
      </c>
      <c r="E340" s="55" t="str">
        <f t="shared" si="121"/>
        <v/>
      </c>
      <c r="F340" s="55" t="str">
        <f t="shared" si="122"/>
        <v/>
      </c>
      <c r="G340" s="55" t="str">
        <f t="shared" si="123"/>
        <v/>
      </c>
      <c r="H340" s="55" t="str">
        <f t="shared" si="124"/>
        <v/>
      </c>
      <c r="I340" s="55" t="str">
        <f t="shared" si="125"/>
        <v/>
      </c>
      <c r="J340" s="60" t="str">
        <f t="shared" si="126"/>
        <v/>
      </c>
      <c r="M340" s="58">
        <v>95</v>
      </c>
      <c r="N340" s="59" t="str">
        <f t="shared" si="127"/>
        <v/>
      </c>
      <c r="O340" s="55" t="str">
        <f t="shared" si="128"/>
        <v/>
      </c>
      <c r="P340" s="55" t="str">
        <f t="shared" si="129"/>
        <v/>
      </c>
      <c r="Q340" s="55" t="str">
        <f t="shared" si="130"/>
        <v/>
      </c>
      <c r="R340" s="55" t="str">
        <f t="shared" si="131"/>
        <v/>
      </c>
      <c r="S340" s="55" t="str">
        <f t="shared" si="132"/>
        <v/>
      </c>
      <c r="T340" s="55"/>
      <c r="U340" s="55"/>
      <c r="V340" s="55"/>
      <c r="W340" s="55" t="str">
        <f t="shared" si="133"/>
        <v/>
      </c>
      <c r="X340" s="60" t="str">
        <f t="shared" si="134"/>
        <v/>
      </c>
      <c r="Z340" s="24" t="str">
        <f t="shared" si="135"/>
        <v/>
      </c>
      <c r="AA340" s="25" t="str">
        <f t="shared" si="136"/>
        <v/>
      </c>
      <c r="AB340" s="25" t="str">
        <f t="shared" si="137"/>
        <v/>
      </c>
      <c r="AC340" s="25" t="str">
        <f t="shared" si="138"/>
        <v/>
      </c>
      <c r="AD340" s="25" t="str">
        <f t="shared" si="139"/>
        <v/>
      </c>
      <c r="AE340" s="25" t="str">
        <f t="shared" si="140"/>
        <v/>
      </c>
      <c r="AF340" s="25" t="str">
        <f t="shared" si="141"/>
        <v/>
      </c>
      <c r="AG340" s="26" t="str">
        <f t="shared" si="142"/>
        <v/>
      </c>
      <c r="AI340" s="24" t="str">
        <f t="shared" si="143"/>
        <v/>
      </c>
      <c r="AJ340" s="25" t="str">
        <f t="shared" si="144"/>
        <v/>
      </c>
      <c r="AK340" s="25" t="str">
        <f t="shared" si="145"/>
        <v/>
      </c>
      <c r="AL340" s="25" t="str">
        <f t="shared" si="146"/>
        <v/>
      </c>
      <c r="AM340" s="25" t="str">
        <f t="shared" si="147"/>
        <v/>
      </c>
      <c r="AN340" s="25" t="str">
        <f t="shared" si="148"/>
        <v/>
      </c>
      <c r="AO340" s="25"/>
      <c r="AP340" s="25"/>
      <c r="AQ340" s="25"/>
      <c r="AR340" s="25" t="str">
        <f t="shared" si="149"/>
        <v/>
      </c>
      <c r="AS340" s="26" t="str">
        <f t="shared" si="150"/>
        <v/>
      </c>
    </row>
    <row r="341" spans="2:45" hidden="1" x14ac:dyDescent="0.25">
      <c r="B341" s="70">
        <v>96</v>
      </c>
      <c r="C341" s="59" t="str">
        <f t="shared" si="119"/>
        <v/>
      </c>
      <c r="D341" s="55" t="str">
        <f t="shared" si="120"/>
        <v/>
      </c>
      <c r="E341" s="55" t="str">
        <f t="shared" si="121"/>
        <v/>
      </c>
      <c r="F341" s="55" t="str">
        <f t="shared" si="122"/>
        <v/>
      </c>
      <c r="G341" s="55" t="str">
        <f t="shared" si="123"/>
        <v/>
      </c>
      <c r="H341" s="55" t="str">
        <f t="shared" si="124"/>
        <v/>
      </c>
      <c r="I341" s="55" t="str">
        <f t="shared" si="125"/>
        <v/>
      </c>
      <c r="J341" s="60" t="str">
        <f t="shared" si="126"/>
        <v/>
      </c>
      <c r="M341" s="58">
        <v>96</v>
      </c>
      <c r="N341" s="59" t="str">
        <f t="shared" si="127"/>
        <v/>
      </c>
      <c r="O341" s="55" t="str">
        <f t="shared" si="128"/>
        <v/>
      </c>
      <c r="P341" s="55" t="str">
        <f t="shared" si="129"/>
        <v/>
      </c>
      <c r="Q341" s="55" t="str">
        <f t="shared" si="130"/>
        <v/>
      </c>
      <c r="R341" s="55" t="str">
        <f t="shared" si="131"/>
        <v/>
      </c>
      <c r="S341" s="55" t="str">
        <f t="shared" si="132"/>
        <v/>
      </c>
      <c r="T341" s="55"/>
      <c r="U341" s="55"/>
      <c r="V341" s="55"/>
      <c r="W341" s="55" t="str">
        <f t="shared" si="133"/>
        <v/>
      </c>
      <c r="X341" s="60" t="str">
        <f t="shared" si="134"/>
        <v/>
      </c>
      <c r="Z341" s="24" t="str">
        <f t="shared" si="135"/>
        <v/>
      </c>
      <c r="AA341" s="25" t="str">
        <f t="shared" si="136"/>
        <v/>
      </c>
      <c r="AB341" s="25" t="str">
        <f t="shared" si="137"/>
        <v/>
      </c>
      <c r="AC341" s="25" t="str">
        <f t="shared" si="138"/>
        <v/>
      </c>
      <c r="AD341" s="25" t="str">
        <f t="shared" si="139"/>
        <v/>
      </c>
      <c r="AE341" s="25" t="str">
        <f t="shared" si="140"/>
        <v/>
      </c>
      <c r="AF341" s="25" t="str">
        <f t="shared" si="141"/>
        <v/>
      </c>
      <c r="AG341" s="26" t="str">
        <f t="shared" si="142"/>
        <v/>
      </c>
      <c r="AI341" s="24" t="str">
        <f t="shared" si="143"/>
        <v/>
      </c>
      <c r="AJ341" s="25" t="str">
        <f t="shared" si="144"/>
        <v/>
      </c>
      <c r="AK341" s="25" t="str">
        <f t="shared" si="145"/>
        <v/>
      </c>
      <c r="AL341" s="25" t="str">
        <f t="shared" si="146"/>
        <v/>
      </c>
      <c r="AM341" s="25" t="str">
        <f t="shared" si="147"/>
        <v/>
      </c>
      <c r="AN341" s="25" t="str">
        <f t="shared" si="148"/>
        <v/>
      </c>
      <c r="AO341" s="25"/>
      <c r="AP341" s="25"/>
      <c r="AQ341" s="25"/>
      <c r="AR341" s="25" t="str">
        <f t="shared" si="149"/>
        <v/>
      </c>
      <c r="AS341" s="26" t="str">
        <f t="shared" si="150"/>
        <v/>
      </c>
    </row>
    <row r="342" spans="2:45" hidden="1" x14ac:dyDescent="0.25">
      <c r="B342" s="70">
        <v>97</v>
      </c>
      <c r="C342" s="59" t="str">
        <f t="shared" ref="C342:C373" si="151">IFERROR(VLOOKUP(SMALL($B$114:$B$241,B342),$B$114:$J$241,2,FALSE),"")</f>
        <v/>
      </c>
      <c r="D342" s="55" t="str">
        <f t="shared" ref="D342:D373" si="152">IFERROR(VLOOKUP(SMALL($B$114:$B$241,B342),$B$114:$J$241,3,FALSE),"")</f>
        <v/>
      </c>
      <c r="E342" s="55" t="str">
        <f t="shared" ref="E342:E373" si="153">IFERROR(VLOOKUP(SMALL($B$114:$B$241,B342),$B$114:$J$241,4,FALSE),"")</f>
        <v/>
      </c>
      <c r="F342" s="55" t="str">
        <f t="shared" ref="F342:F373" si="154">IFERROR(VLOOKUP(SMALL($B$114:$B$241,B342),$B$114:$J$241,5,FALSE),"")</f>
        <v/>
      </c>
      <c r="G342" s="55" t="str">
        <f t="shared" ref="G342:G373" si="155">IFERROR(VLOOKUP(SMALL($B$114:$B$241,B342),$B$114:$J$241,6,FALSE),"")</f>
        <v/>
      </c>
      <c r="H342" s="55" t="str">
        <f t="shared" ref="H342:H373" si="156">IFERROR(VLOOKUP(SMALL($B$114:$B$241,B342),$B$114:$J$241,7,FALSE),"")</f>
        <v/>
      </c>
      <c r="I342" s="55" t="str">
        <f t="shared" ref="I342:I373" si="157">IFERROR(VLOOKUP(SMALL($B$114:$B$241,B342),$B$114:$J$241,8,FALSE),"")</f>
        <v/>
      </c>
      <c r="J342" s="60" t="str">
        <f t="shared" ref="J342:J373" si="158">IFERROR(VLOOKUP(SMALL($B$114:$B$241,B342),$B$114:$J$241,9,FALSE),"")</f>
        <v/>
      </c>
      <c r="M342" s="58">
        <v>97</v>
      </c>
      <c r="N342" s="59" t="str">
        <f t="shared" ref="N342:N373" si="159">IFERROR(VLOOKUP(SMALL($M$114:$M$241,M342),$M$114:$X$241,2,FALSE),"")</f>
        <v/>
      </c>
      <c r="O342" s="55" t="str">
        <f t="shared" ref="O342:O373" si="160">IFERROR(VLOOKUP(SMALL($M$114:$M$241,M342),$M$114:$X$241,3,FALSE),"")</f>
        <v/>
      </c>
      <c r="P342" s="55" t="str">
        <f t="shared" ref="P342:P373" si="161">IFERROR(VLOOKUP(SMALL($M$114:$M$241,M342),$M$114:$X$241,4,FALSE),"")</f>
        <v/>
      </c>
      <c r="Q342" s="55" t="str">
        <f t="shared" ref="Q342:Q373" si="162">IFERROR(VLOOKUP(SMALL($M$114:$M$241,M342),$M$114:$X$241,5,FALSE),"")</f>
        <v/>
      </c>
      <c r="R342" s="55" t="str">
        <f t="shared" ref="R342:R373" si="163">IFERROR(VLOOKUP(SMALL($M$114:$M$241,M342),$M$114:$X$241,6,FALSE),"")</f>
        <v/>
      </c>
      <c r="S342" s="55" t="str">
        <f t="shared" ref="S342:S373" si="164">IFERROR(VLOOKUP(SMALL($M$114:$M$241,M342),$M$114:$X$241,7,FALSE),"")</f>
        <v/>
      </c>
      <c r="T342" s="55"/>
      <c r="U342" s="55"/>
      <c r="V342" s="55"/>
      <c r="W342" s="55" t="str">
        <f t="shared" ref="W342:W373" si="165">IFERROR(VLOOKUP(SMALL($M$114:$M$241,M342),$M$114:$X$241,8,FALSE),"")</f>
        <v/>
      </c>
      <c r="X342" s="60" t="str">
        <f t="shared" ref="X342:X373" si="166">IFERROR(VLOOKUP(SMALL($M$114:$M$241,M342),$M$114:$X$241,9,FALSE),"")</f>
        <v/>
      </c>
      <c r="Z342" s="24" t="str">
        <f t="shared" ref="Z342:Z373" si="167">IF(ISNUMBER(C342),C342*$AB$383,"")</f>
        <v/>
      </c>
      <c r="AA342" s="25" t="str">
        <f t="shared" ref="AA342:AA373" si="168">IF(ISNUMBER(D342),D342*$AB$386,"")</f>
        <v/>
      </c>
      <c r="AB342" s="25" t="str">
        <f t="shared" ref="AB342:AB373" si="169">IF(ISNUMBER(E342),E342*$AB$389,"")</f>
        <v/>
      </c>
      <c r="AC342" s="25" t="str">
        <f t="shared" ref="AC342:AC373" si="170">IF(ISNUMBER(F342),F342*$AB$392,"")</f>
        <v/>
      </c>
      <c r="AD342" s="25" t="str">
        <f t="shared" ref="AD342:AD373" si="171">IF(ISNUMBER(G342),G342*$AB$383,"")</f>
        <v/>
      </c>
      <c r="AE342" s="25" t="str">
        <f t="shared" ref="AE342:AE373" si="172">IF(ISNUMBER(H342),H342*$AB$386,"")</f>
        <v/>
      </c>
      <c r="AF342" s="25" t="str">
        <f t="shared" ref="AF342:AF373" si="173">IF(ISNUMBER(I342),I342*$AB$389,"")</f>
        <v/>
      </c>
      <c r="AG342" s="26" t="str">
        <f t="shared" ref="AG342:AG373" si="174">IF(ISNUMBER(J342),J342*$AB$392,"")</f>
        <v/>
      </c>
      <c r="AI342" s="24" t="str">
        <f t="shared" ref="AI342:AI373" si="175">IF(ISNUMBER(N342),N342*$AB$395,"")</f>
        <v/>
      </c>
      <c r="AJ342" s="25" t="str">
        <f t="shared" ref="AJ342:AJ373" si="176">IF(ISNUMBER(O342),O342*$AB$398,"")</f>
        <v/>
      </c>
      <c r="AK342" s="25" t="str">
        <f t="shared" ref="AK342:AK373" si="177">IF(ISNUMBER(P342),P342*$AB$401,"")</f>
        <v/>
      </c>
      <c r="AL342" s="25" t="str">
        <f t="shared" ref="AL342:AL373" si="178">IF(ISNUMBER(Q342),Q342*$AB$404,"")</f>
        <v/>
      </c>
      <c r="AM342" s="25" t="str">
        <f t="shared" ref="AM342:AM373" si="179">IF(ISNUMBER(R342),R342*$AB$395,"")</f>
        <v/>
      </c>
      <c r="AN342" s="25" t="str">
        <f t="shared" ref="AN342:AN373" si="180">IF(ISNUMBER(S342),S342*$AB$398,"")</f>
        <v/>
      </c>
      <c r="AO342" s="25"/>
      <c r="AP342" s="25"/>
      <c r="AQ342" s="25"/>
      <c r="AR342" s="25" t="str">
        <f t="shared" ref="AR342:AR373" si="181">IF(ISNUMBER(W342),W342*$AB$401,"")</f>
        <v/>
      </c>
      <c r="AS342" s="26" t="str">
        <f t="shared" ref="AS342:AS373" si="182">IF(ISNUMBER(X342),X342*$AB$404,"")</f>
        <v/>
      </c>
    </row>
    <row r="343" spans="2:45" hidden="1" x14ac:dyDescent="0.25">
      <c r="B343" s="70">
        <v>98</v>
      </c>
      <c r="C343" s="59" t="str">
        <f t="shared" si="151"/>
        <v/>
      </c>
      <c r="D343" s="55" t="str">
        <f t="shared" si="152"/>
        <v/>
      </c>
      <c r="E343" s="55" t="str">
        <f t="shared" si="153"/>
        <v/>
      </c>
      <c r="F343" s="55" t="str">
        <f t="shared" si="154"/>
        <v/>
      </c>
      <c r="G343" s="55" t="str">
        <f t="shared" si="155"/>
        <v/>
      </c>
      <c r="H343" s="55" t="str">
        <f t="shared" si="156"/>
        <v/>
      </c>
      <c r="I343" s="55" t="str">
        <f t="shared" si="157"/>
        <v/>
      </c>
      <c r="J343" s="60" t="str">
        <f t="shared" si="158"/>
        <v/>
      </c>
      <c r="M343" s="58">
        <v>98</v>
      </c>
      <c r="N343" s="59" t="str">
        <f t="shared" si="159"/>
        <v/>
      </c>
      <c r="O343" s="55" t="str">
        <f t="shared" si="160"/>
        <v/>
      </c>
      <c r="P343" s="55" t="str">
        <f t="shared" si="161"/>
        <v/>
      </c>
      <c r="Q343" s="55" t="str">
        <f t="shared" si="162"/>
        <v/>
      </c>
      <c r="R343" s="55" t="str">
        <f t="shared" si="163"/>
        <v/>
      </c>
      <c r="S343" s="55" t="str">
        <f t="shared" si="164"/>
        <v/>
      </c>
      <c r="T343" s="55"/>
      <c r="U343" s="55"/>
      <c r="V343" s="55"/>
      <c r="W343" s="55" t="str">
        <f t="shared" si="165"/>
        <v/>
      </c>
      <c r="X343" s="60" t="str">
        <f t="shared" si="166"/>
        <v/>
      </c>
      <c r="Z343" s="24" t="str">
        <f t="shared" si="167"/>
        <v/>
      </c>
      <c r="AA343" s="25" t="str">
        <f t="shared" si="168"/>
        <v/>
      </c>
      <c r="AB343" s="25" t="str">
        <f t="shared" si="169"/>
        <v/>
      </c>
      <c r="AC343" s="25" t="str">
        <f t="shared" si="170"/>
        <v/>
      </c>
      <c r="AD343" s="25" t="str">
        <f t="shared" si="171"/>
        <v/>
      </c>
      <c r="AE343" s="25" t="str">
        <f t="shared" si="172"/>
        <v/>
      </c>
      <c r="AF343" s="25" t="str">
        <f t="shared" si="173"/>
        <v/>
      </c>
      <c r="AG343" s="26" t="str">
        <f t="shared" si="174"/>
        <v/>
      </c>
      <c r="AI343" s="24" t="str">
        <f t="shared" si="175"/>
        <v/>
      </c>
      <c r="AJ343" s="25" t="str">
        <f t="shared" si="176"/>
        <v/>
      </c>
      <c r="AK343" s="25" t="str">
        <f t="shared" si="177"/>
        <v/>
      </c>
      <c r="AL343" s="25" t="str">
        <f t="shared" si="178"/>
        <v/>
      </c>
      <c r="AM343" s="25" t="str">
        <f t="shared" si="179"/>
        <v/>
      </c>
      <c r="AN343" s="25" t="str">
        <f t="shared" si="180"/>
        <v/>
      </c>
      <c r="AO343" s="25"/>
      <c r="AP343" s="25"/>
      <c r="AQ343" s="25"/>
      <c r="AR343" s="25" t="str">
        <f t="shared" si="181"/>
        <v/>
      </c>
      <c r="AS343" s="26" t="str">
        <f t="shared" si="182"/>
        <v/>
      </c>
    </row>
    <row r="344" spans="2:45" hidden="1" x14ac:dyDescent="0.25">
      <c r="B344" s="70">
        <v>99</v>
      </c>
      <c r="C344" s="59" t="str">
        <f t="shared" si="151"/>
        <v/>
      </c>
      <c r="D344" s="55" t="str">
        <f t="shared" si="152"/>
        <v/>
      </c>
      <c r="E344" s="55" t="str">
        <f t="shared" si="153"/>
        <v/>
      </c>
      <c r="F344" s="55" t="str">
        <f t="shared" si="154"/>
        <v/>
      </c>
      <c r="G344" s="55" t="str">
        <f t="shared" si="155"/>
        <v/>
      </c>
      <c r="H344" s="55" t="str">
        <f t="shared" si="156"/>
        <v/>
      </c>
      <c r="I344" s="55" t="str">
        <f t="shared" si="157"/>
        <v/>
      </c>
      <c r="J344" s="60" t="str">
        <f t="shared" si="158"/>
        <v/>
      </c>
      <c r="M344" s="58">
        <v>99</v>
      </c>
      <c r="N344" s="59" t="str">
        <f t="shared" si="159"/>
        <v/>
      </c>
      <c r="O344" s="55" t="str">
        <f t="shared" si="160"/>
        <v/>
      </c>
      <c r="P344" s="55" t="str">
        <f t="shared" si="161"/>
        <v/>
      </c>
      <c r="Q344" s="55" t="str">
        <f t="shared" si="162"/>
        <v/>
      </c>
      <c r="R344" s="55" t="str">
        <f t="shared" si="163"/>
        <v/>
      </c>
      <c r="S344" s="55" t="str">
        <f t="shared" si="164"/>
        <v/>
      </c>
      <c r="T344" s="55"/>
      <c r="U344" s="55"/>
      <c r="V344" s="55"/>
      <c r="W344" s="55" t="str">
        <f t="shared" si="165"/>
        <v/>
      </c>
      <c r="X344" s="60" t="str">
        <f t="shared" si="166"/>
        <v/>
      </c>
      <c r="Z344" s="24" t="str">
        <f t="shared" si="167"/>
        <v/>
      </c>
      <c r="AA344" s="25" t="str">
        <f t="shared" si="168"/>
        <v/>
      </c>
      <c r="AB344" s="25" t="str">
        <f t="shared" si="169"/>
        <v/>
      </c>
      <c r="AC344" s="25" t="str">
        <f t="shared" si="170"/>
        <v/>
      </c>
      <c r="AD344" s="25" t="str">
        <f t="shared" si="171"/>
        <v/>
      </c>
      <c r="AE344" s="25" t="str">
        <f t="shared" si="172"/>
        <v/>
      </c>
      <c r="AF344" s="25" t="str">
        <f t="shared" si="173"/>
        <v/>
      </c>
      <c r="AG344" s="26" t="str">
        <f t="shared" si="174"/>
        <v/>
      </c>
      <c r="AI344" s="24" t="str">
        <f t="shared" si="175"/>
        <v/>
      </c>
      <c r="AJ344" s="25" t="str">
        <f t="shared" si="176"/>
        <v/>
      </c>
      <c r="AK344" s="25" t="str">
        <f t="shared" si="177"/>
        <v/>
      </c>
      <c r="AL344" s="25" t="str">
        <f t="shared" si="178"/>
        <v/>
      </c>
      <c r="AM344" s="25" t="str">
        <f t="shared" si="179"/>
        <v/>
      </c>
      <c r="AN344" s="25" t="str">
        <f t="shared" si="180"/>
        <v/>
      </c>
      <c r="AO344" s="25"/>
      <c r="AP344" s="25"/>
      <c r="AQ344" s="25"/>
      <c r="AR344" s="25" t="str">
        <f t="shared" si="181"/>
        <v/>
      </c>
      <c r="AS344" s="26" t="str">
        <f t="shared" si="182"/>
        <v/>
      </c>
    </row>
    <row r="345" spans="2:45" hidden="1" x14ac:dyDescent="0.25">
      <c r="B345" s="70">
        <v>100</v>
      </c>
      <c r="C345" s="59" t="str">
        <f t="shared" si="151"/>
        <v/>
      </c>
      <c r="D345" s="55" t="str">
        <f t="shared" si="152"/>
        <v/>
      </c>
      <c r="E345" s="55" t="str">
        <f t="shared" si="153"/>
        <v/>
      </c>
      <c r="F345" s="55" t="str">
        <f t="shared" si="154"/>
        <v/>
      </c>
      <c r="G345" s="55" t="str">
        <f t="shared" si="155"/>
        <v/>
      </c>
      <c r="H345" s="55" t="str">
        <f t="shared" si="156"/>
        <v/>
      </c>
      <c r="I345" s="55" t="str">
        <f t="shared" si="157"/>
        <v/>
      </c>
      <c r="J345" s="60" t="str">
        <f t="shared" si="158"/>
        <v/>
      </c>
      <c r="M345" s="58">
        <v>100</v>
      </c>
      <c r="N345" s="59" t="str">
        <f t="shared" si="159"/>
        <v/>
      </c>
      <c r="O345" s="55" t="str">
        <f t="shared" si="160"/>
        <v/>
      </c>
      <c r="P345" s="55" t="str">
        <f t="shared" si="161"/>
        <v/>
      </c>
      <c r="Q345" s="55" t="str">
        <f t="shared" si="162"/>
        <v/>
      </c>
      <c r="R345" s="55" t="str">
        <f t="shared" si="163"/>
        <v/>
      </c>
      <c r="S345" s="55" t="str">
        <f t="shared" si="164"/>
        <v/>
      </c>
      <c r="T345" s="55"/>
      <c r="U345" s="55"/>
      <c r="V345" s="55"/>
      <c r="W345" s="55" t="str">
        <f t="shared" si="165"/>
        <v/>
      </c>
      <c r="X345" s="60" t="str">
        <f t="shared" si="166"/>
        <v/>
      </c>
      <c r="Z345" s="24" t="str">
        <f t="shared" si="167"/>
        <v/>
      </c>
      <c r="AA345" s="25" t="str">
        <f t="shared" si="168"/>
        <v/>
      </c>
      <c r="AB345" s="25" t="str">
        <f t="shared" si="169"/>
        <v/>
      </c>
      <c r="AC345" s="25" t="str">
        <f t="shared" si="170"/>
        <v/>
      </c>
      <c r="AD345" s="25" t="str">
        <f t="shared" si="171"/>
        <v/>
      </c>
      <c r="AE345" s="25" t="str">
        <f t="shared" si="172"/>
        <v/>
      </c>
      <c r="AF345" s="25" t="str">
        <f t="shared" si="173"/>
        <v/>
      </c>
      <c r="AG345" s="26" t="str">
        <f t="shared" si="174"/>
        <v/>
      </c>
      <c r="AI345" s="24" t="str">
        <f t="shared" si="175"/>
        <v/>
      </c>
      <c r="AJ345" s="25" t="str">
        <f t="shared" si="176"/>
        <v/>
      </c>
      <c r="AK345" s="25" t="str">
        <f t="shared" si="177"/>
        <v/>
      </c>
      <c r="AL345" s="25" t="str">
        <f t="shared" si="178"/>
        <v/>
      </c>
      <c r="AM345" s="25" t="str">
        <f t="shared" si="179"/>
        <v/>
      </c>
      <c r="AN345" s="25" t="str">
        <f t="shared" si="180"/>
        <v/>
      </c>
      <c r="AO345" s="25"/>
      <c r="AP345" s="25"/>
      <c r="AQ345" s="25"/>
      <c r="AR345" s="25" t="str">
        <f t="shared" si="181"/>
        <v/>
      </c>
      <c r="AS345" s="26" t="str">
        <f t="shared" si="182"/>
        <v/>
      </c>
    </row>
    <row r="346" spans="2:45" hidden="1" x14ac:dyDescent="0.25">
      <c r="B346" s="70">
        <v>101</v>
      </c>
      <c r="C346" s="59" t="str">
        <f t="shared" si="151"/>
        <v/>
      </c>
      <c r="D346" s="55" t="str">
        <f t="shared" si="152"/>
        <v/>
      </c>
      <c r="E346" s="55" t="str">
        <f t="shared" si="153"/>
        <v/>
      </c>
      <c r="F346" s="55" t="str">
        <f t="shared" si="154"/>
        <v/>
      </c>
      <c r="G346" s="55" t="str">
        <f t="shared" si="155"/>
        <v/>
      </c>
      <c r="H346" s="55" t="str">
        <f t="shared" si="156"/>
        <v/>
      </c>
      <c r="I346" s="55" t="str">
        <f t="shared" si="157"/>
        <v/>
      </c>
      <c r="J346" s="60" t="str">
        <f t="shared" si="158"/>
        <v/>
      </c>
      <c r="M346" s="58">
        <v>101</v>
      </c>
      <c r="N346" s="59" t="str">
        <f t="shared" si="159"/>
        <v/>
      </c>
      <c r="O346" s="55" t="str">
        <f t="shared" si="160"/>
        <v/>
      </c>
      <c r="P346" s="55" t="str">
        <f t="shared" si="161"/>
        <v/>
      </c>
      <c r="Q346" s="55" t="str">
        <f t="shared" si="162"/>
        <v/>
      </c>
      <c r="R346" s="55" t="str">
        <f t="shared" si="163"/>
        <v/>
      </c>
      <c r="S346" s="55" t="str">
        <f t="shared" si="164"/>
        <v/>
      </c>
      <c r="T346" s="55"/>
      <c r="U346" s="55"/>
      <c r="V346" s="55"/>
      <c r="W346" s="55" t="str">
        <f t="shared" si="165"/>
        <v/>
      </c>
      <c r="X346" s="60" t="str">
        <f t="shared" si="166"/>
        <v/>
      </c>
      <c r="Z346" s="24" t="str">
        <f t="shared" si="167"/>
        <v/>
      </c>
      <c r="AA346" s="25" t="str">
        <f t="shared" si="168"/>
        <v/>
      </c>
      <c r="AB346" s="25" t="str">
        <f t="shared" si="169"/>
        <v/>
      </c>
      <c r="AC346" s="25" t="str">
        <f t="shared" si="170"/>
        <v/>
      </c>
      <c r="AD346" s="25" t="str">
        <f t="shared" si="171"/>
        <v/>
      </c>
      <c r="AE346" s="25" t="str">
        <f t="shared" si="172"/>
        <v/>
      </c>
      <c r="AF346" s="25" t="str">
        <f t="shared" si="173"/>
        <v/>
      </c>
      <c r="AG346" s="26" t="str">
        <f t="shared" si="174"/>
        <v/>
      </c>
      <c r="AI346" s="24" t="str">
        <f t="shared" si="175"/>
        <v/>
      </c>
      <c r="AJ346" s="25" t="str">
        <f t="shared" si="176"/>
        <v/>
      </c>
      <c r="AK346" s="25" t="str">
        <f t="shared" si="177"/>
        <v/>
      </c>
      <c r="AL346" s="25" t="str">
        <f t="shared" si="178"/>
        <v/>
      </c>
      <c r="AM346" s="25" t="str">
        <f t="shared" si="179"/>
        <v/>
      </c>
      <c r="AN346" s="25" t="str">
        <f t="shared" si="180"/>
        <v/>
      </c>
      <c r="AO346" s="25"/>
      <c r="AP346" s="25"/>
      <c r="AQ346" s="25"/>
      <c r="AR346" s="25" t="str">
        <f t="shared" si="181"/>
        <v/>
      </c>
      <c r="AS346" s="26" t="str">
        <f t="shared" si="182"/>
        <v/>
      </c>
    </row>
    <row r="347" spans="2:45" hidden="1" x14ac:dyDescent="0.25">
      <c r="B347" s="70">
        <v>102</v>
      </c>
      <c r="C347" s="59" t="str">
        <f t="shared" si="151"/>
        <v/>
      </c>
      <c r="D347" s="55" t="str">
        <f t="shared" si="152"/>
        <v/>
      </c>
      <c r="E347" s="55" t="str">
        <f t="shared" si="153"/>
        <v/>
      </c>
      <c r="F347" s="55" t="str">
        <f t="shared" si="154"/>
        <v/>
      </c>
      <c r="G347" s="55" t="str">
        <f t="shared" si="155"/>
        <v/>
      </c>
      <c r="H347" s="55" t="str">
        <f t="shared" si="156"/>
        <v/>
      </c>
      <c r="I347" s="55" t="str">
        <f t="shared" si="157"/>
        <v/>
      </c>
      <c r="J347" s="60" t="str">
        <f t="shared" si="158"/>
        <v/>
      </c>
      <c r="M347" s="58">
        <v>102</v>
      </c>
      <c r="N347" s="59" t="str">
        <f t="shared" si="159"/>
        <v/>
      </c>
      <c r="O347" s="55" t="str">
        <f t="shared" si="160"/>
        <v/>
      </c>
      <c r="P347" s="55" t="str">
        <f t="shared" si="161"/>
        <v/>
      </c>
      <c r="Q347" s="55" t="str">
        <f t="shared" si="162"/>
        <v/>
      </c>
      <c r="R347" s="55" t="str">
        <f t="shared" si="163"/>
        <v/>
      </c>
      <c r="S347" s="55" t="str">
        <f t="shared" si="164"/>
        <v/>
      </c>
      <c r="T347" s="55"/>
      <c r="U347" s="55"/>
      <c r="V347" s="55"/>
      <c r="W347" s="55" t="str">
        <f t="shared" si="165"/>
        <v/>
      </c>
      <c r="X347" s="60" t="str">
        <f t="shared" si="166"/>
        <v/>
      </c>
      <c r="Z347" s="24" t="str">
        <f t="shared" si="167"/>
        <v/>
      </c>
      <c r="AA347" s="25" t="str">
        <f t="shared" si="168"/>
        <v/>
      </c>
      <c r="AB347" s="25" t="str">
        <f t="shared" si="169"/>
        <v/>
      </c>
      <c r="AC347" s="25" t="str">
        <f t="shared" si="170"/>
        <v/>
      </c>
      <c r="AD347" s="25" t="str">
        <f t="shared" si="171"/>
        <v/>
      </c>
      <c r="AE347" s="25" t="str">
        <f t="shared" si="172"/>
        <v/>
      </c>
      <c r="AF347" s="25" t="str">
        <f t="shared" si="173"/>
        <v/>
      </c>
      <c r="AG347" s="26" t="str">
        <f t="shared" si="174"/>
        <v/>
      </c>
      <c r="AI347" s="24" t="str">
        <f t="shared" si="175"/>
        <v/>
      </c>
      <c r="AJ347" s="25" t="str">
        <f t="shared" si="176"/>
        <v/>
      </c>
      <c r="AK347" s="25" t="str">
        <f t="shared" si="177"/>
        <v/>
      </c>
      <c r="AL347" s="25" t="str">
        <f t="shared" si="178"/>
        <v/>
      </c>
      <c r="AM347" s="25" t="str">
        <f t="shared" si="179"/>
        <v/>
      </c>
      <c r="AN347" s="25" t="str">
        <f t="shared" si="180"/>
        <v/>
      </c>
      <c r="AO347" s="25"/>
      <c r="AP347" s="25"/>
      <c r="AQ347" s="25"/>
      <c r="AR347" s="25" t="str">
        <f t="shared" si="181"/>
        <v/>
      </c>
      <c r="AS347" s="26" t="str">
        <f t="shared" si="182"/>
        <v/>
      </c>
    </row>
    <row r="348" spans="2:45" hidden="1" x14ac:dyDescent="0.25">
      <c r="B348" s="70">
        <v>103</v>
      </c>
      <c r="C348" s="59" t="str">
        <f t="shared" si="151"/>
        <v/>
      </c>
      <c r="D348" s="55" t="str">
        <f t="shared" si="152"/>
        <v/>
      </c>
      <c r="E348" s="55" t="str">
        <f t="shared" si="153"/>
        <v/>
      </c>
      <c r="F348" s="55" t="str">
        <f t="shared" si="154"/>
        <v/>
      </c>
      <c r="G348" s="55" t="str">
        <f t="shared" si="155"/>
        <v/>
      </c>
      <c r="H348" s="55" t="str">
        <f t="shared" si="156"/>
        <v/>
      </c>
      <c r="I348" s="55" t="str">
        <f t="shared" si="157"/>
        <v/>
      </c>
      <c r="J348" s="60" t="str">
        <f t="shared" si="158"/>
        <v/>
      </c>
      <c r="M348" s="58">
        <v>103</v>
      </c>
      <c r="N348" s="59" t="str">
        <f t="shared" si="159"/>
        <v/>
      </c>
      <c r="O348" s="55" t="str">
        <f t="shared" si="160"/>
        <v/>
      </c>
      <c r="P348" s="55" t="str">
        <f t="shared" si="161"/>
        <v/>
      </c>
      <c r="Q348" s="55" t="str">
        <f t="shared" si="162"/>
        <v/>
      </c>
      <c r="R348" s="55" t="str">
        <f t="shared" si="163"/>
        <v/>
      </c>
      <c r="S348" s="55" t="str">
        <f t="shared" si="164"/>
        <v/>
      </c>
      <c r="T348" s="55"/>
      <c r="U348" s="55"/>
      <c r="V348" s="55"/>
      <c r="W348" s="55" t="str">
        <f t="shared" si="165"/>
        <v/>
      </c>
      <c r="X348" s="60" t="str">
        <f t="shared" si="166"/>
        <v/>
      </c>
      <c r="Z348" s="24" t="str">
        <f t="shared" si="167"/>
        <v/>
      </c>
      <c r="AA348" s="25" t="str">
        <f t="shared" si="168"/>
        <v/>
      </c>
      <c r="AB348" s="25" t="str">
        <f t="shared" si="169"/>
        <v/>
      </c>
      <c r="AC348" s="25" t="str">
        <f t="shared" si="170"/>
        <v/>
      </c>
      <c r="AD348" s="25" t="str">
        <f t="shared" si="171"/>
        <v/>
      </c>
      <c r="AE348" s="25" t="str">
        <f t="shared" si="172"/>
        <v/>
      </c>
      <c r="AF348" s="25" t="str">
        <f t="shared" si="173"/>
        <v/>
      </c>
      <c r="AG348" s="26" t="str">
        <f t="shared" si="174"/>
        <v/>
      </c>
      <c r="AI348" s="24" t="str">
        <f t="shared" si="175"/>
        <v/>
      </c>
      <c r="AJ348" s="25" t="str">
        <f t="shared" si="176"/>
        <v/>
      </c>
      <c r="AK348" s="25" t="str">
        <f t="shared" si="177"/>
        <v/>
      </c>
      <c r="AL348" s="25" t="str">
        <f t="shared" si="178"/>
        <v/>
      </c>
      <c r="AM348" s="25" t="str">
        <f t="shared" si="179"/>
        <v/>
      </c>
      <c r="AN348" s="25" t="str">
        <f t="shared" si="180"/>
        <v/>
      </c>
      <c r="AO348" s="25"/>
      <c r="AP348" s="25"/>
      <c r="AQ348" s="25"/>
      <c r="AR348" s="25" t="str">
        <f t="shared" si="181"/>
        <v/>
      </c>
      <c r="AS348" s="26" t="str">
        <f t="shared" si="182"/>
        <v/>
      </c>
    </row>
    <row r="349" spans="2:45" hidden="1" x14ac:dyDescent="0.25">
      <c r="B349" s="70">
        <v>104</v>
      </c>
      <c r="C349" s="59" t="str">
        <f t="shared" si="151"/>
        <v/>
      </c>
      <c r="D349" s="55" t="str">
        <f t="shared" si="152"/>
        <v/>
      </c>
      <c r="E349" s="55" t="str">
        <f t="shared" si="153"/>
        <v/>
      </c>
      <c r="F349" s="55" t="str">
        <f t="shared" si="154"/>
        <v/>
      </c>
      <c r="G349" s="55" t="str">
        <f t="shared" si="155"/>
        <v/>
      </c>
      <c r="H349" s="55" t="str">
        <f t="shared" si="156"/>
        <v/>
      </c>
      <c r="I349" s="55" t="str">
        <f t="shared" si="157"/>
        <v/>
      </c>
      <c r="J349" s="60" t="str">
        <f t="shared" si="158"/>
        <v/>
      </c>
      <c r="M349" s="58">
        <v>104</v>
      </c>
      <c r="N349" s="59" t="str">
        <f t="shared" si="159"/>
        <v/>
      </c>
      <c r="O349" s="55" t="str">
        <f t="shared" si="160"/>
        <v/>
      </c>
      <c r="P349" s="55" t="str">
        <f t="shared" si="161"/>
        <v/>
      </c>
      <c r="Q349" s="55" t="str">
        <f t="shared" si="162"/>
        <v/>
      </c>
      <c r="R349" s="55" t="str">
        <f t="shared" si="163"/>
        <v/>
      </c>
      <c r="S349" s="55" t="str">
        <f t="shared" si="164"/>
        <v/>
      </c>
      <c r="T349" s="55"/>
      <c r="U349" s="55"/>
      <c r="V349" s="55"/>
      <c r="W349" s="55" t="str">
        <f t="shared" si="165"/>
        <v/>
      </c>
      <c r="X349" s="60" t="str">
        <f t="shared" si="166"/>
        <v/>
      </c>
      <c r="Z349" s="24" t="str">
        <f t="shared" si="167"/>
        <v/>
      </c>
      <c r="AA349" s="25" t="str">
        <f t="shared" si="168"/>
        <v/>
      </c>
      <c r="AB349" s="25" t="str">
        <f t="shared" si="169"/>
        <v/>
      </c>
      <c r="AC349" s="25" t="str">
        <f t="shared" si="170"/>
        <v/>
      </c>
      <c r="AD349" s="25" t="str">
        <f t="shared" si="171"/>
        <v/>
      </c>
      <c r="AE349" s="25" t="str">
        <f t="shared" si="172"/>
        <v/>
      </c>
      <c r="AF349" s="25" t="str">
        <f t="shared" si="173"/>
        <v/>
      </c>
      <c r="AG349" s="26" t="str">
        <f t="shared" si="174"/>
        <v/>
      </c>
      <c r="AI349" s="24" t="str">
        <f t="shared" si="175"/>
        <v/>
      </c>
      <c r="AJ349" s="25" t="str">
        <f t="shared" si="176"/>
        <v/>
      </c>
      <c r="AK349" s="25" t="str">
        <f t="shared" si="177"/>
        <v/>
      </c>
      <c r="AL349" s="25" t="str">
        <f t="shared" si="178"/>
        <v/>
      </c>
      <c r="AM349" s="25" t="str">
        <f t="shared" si="179"/>
        <v/>
      </c>
      <c r="AN349" s="25" t="str">
        <f t="shared" si="180"/>
        <v/>
      </c>
      <c r="AO349" s="25"/>
      <c r="AP349" s="25"/>
      <c r="AQ349" s="25"/>
      <c r="AR349" s="25" t="str">
        <f t="shared" si="181"/>
        <v/>
      </c>
      <c r="AS349" s="26" t="str">
        <f t="shared" si="182"/>
        <v/>
      </c>
    </row>
    <row r="350" spans="2:45" hidden="1" x14ac:dyDescent="0.25">
      <c r="B350" s="70">
        <v>105</v>
      </c>
      <c r="C350" s="59" t="str">
        <f t="shared" si="151"/>
        <v/>
      </c>
      <c r="D350" s="55" t="str">
        <f t="shared" si="152"/>
        <v/>
      </c>
      <c r="E350" s="55" t="str">
        <f t="shared" si="153"/>
        <v/>
      </c>
      <c r="F350" s="55" t="str">
        <f t="shared" si="154"/>
        <v/>
      </c>
      <c r="G350" s="55" t="str">
        <f t="shared" si="155"/>
        <v/>
      </c>
      <c r="H350" s="55" t="str">
        <f t="shared" si="156"/>
        <v/>
      </c>
      <c r="I350" s="55" t="str">
        <f t="shared" si="157"/>
        <v/>
      </c>
      <c r="J350" s="60" t="str">
        <f t="shared" si="158"/>
        <v/>
      </c>
      <c r="M350" s="58">
        <v>105</v>
      </c>
      <c r="N350" s="59" t="str">
        <f t="shared" si="159"/>
        <v/>
      </c>
      <c r="O350" s="55" t="str">
        <f t="shared" si="160"/>
        <v/>
      </c>
      <c r="P350" s="55" t="str">
        <f t="shared" si="161"/>
        <v/>
      </c>
      <c r="Q350" s="55" t="str">
        <f t="shared" si="162"/>
        <v/>
      </c>
      <c r="R350" s="55" t="str">
        <f t="shared" si="163"/>
        <v/>
      </c>
      <c r="S350" s="55" t="str">
        <f t="shared" si="164"/>
        <v/>
      </c>
      <c r="T350" s="55"/>
      <c r="U350" s="55"/>
      <c r="V350" s="55"/>
      <c r="W350" s="55" t="str">
        <f t="shared" si="165"/>
        <v/>
      </c>
      <c r="X350" s="60" t="str">
        <f t="shared" si="166"/>
        <v/>
      </c>
      <c r="Z350" s="24" t="str">
        <f t="shared" si="167"/>
        <v/>
      </c>
      <c r="AA350" s="25" t="str">
        <f t="shared" si="168"/>
        <v/>
      </c>
      <c r="AB350" s="25" t="str">
        <f t="shared" si="169"/>
        <v/>
      </c>
      <c r="AC350" s="25" t="str">
        <f t="shared" si="170"/>
        <v/>
      </c>
      <c r="AD350" s="25" t="str">
        <f t="shared" si="171"/>
        <v/>
      </c>
      <c r="AE350" s="25" t="str">
        <f t="shared" si="172"/>
        <v/>
      </c>
      <c r="AF350" s="25" t="str">
        <f t="shared" si="173"/>
        <v/>
      </c>
      <c r="AG350" s="26" t="str">
        <f t="shared" si="174"/>
        <v/>
      </c>
      <c r="AI350" s="24" t="str">
        <f t="shared" si="175"/>
        <v/>
      </c>
      <c r="AJ350" s="25" t="str">
        <f t="shared" si="176"/>
        <v/>
      </c>
      <c r="AK350" s="25" t="str">
        <f t="shared" si="177"/>
        <v/>
      </c>
      <c r="AL350" s="25" t="str">
        <f t="shared" si="178"/>
        <v/>
      </c>
      <c r="AM350" s="25" t="str">
        <f t="shared" si="179"/>
        <v/>
      </c>
      <c r="AN350" s="25" t="str">
        <f t="shared" si="180"/>
        <v/>
      </c>
      <c r="AO350" s="25"/>
      <c r="AP350" s="25"/>
      <c r="AQ350" s="25"/>
      <c r="AR350" s="25" t="str">
        <f t="shared" si="181"/>
        <v/>
      </c>
      <c r="AS350" s="26" t="str">
        <f t="shared" si="182"/>
        <v/>
      </c>
    </row>
    <row r="351" spans="2:45" hidden="1" x14ac:dyDescent="0.25">
      <c r="B351" s="70">
        <v>106</v>
      </c>
      <c r="C351" s="59" t="str">
        <f t="shared" si="151"/>
        <v/>
      </c>
      <c r="D351" s="55" t="str">
        <f t="shared" si="152"/>
        <v/>
      </c>
      <c r="E351" s="55" t="str">
        <f t="shared" si="153"/>
        <v/>
      </c>
      <c r="F351" s="55" t="str">
        <f t="shared" si="154"/>
        <v/>
      </c>
      <c r="G351" s="55" t="str">
        <f t="shared" si="155"/>
        <v/>
      </c>
      <c r="H351" s="55" t="str">
        <f t="shared" si="156"/>
        <v/>
      </c>
      <c r="I351" s="55" t="str">
        <f t="shared" si="157"/>
        <v/>
      </c>
      <c r="J351" s="60" t="str">
        <f t="shared" si="158"/>
        <v/>
      </c>
      <c r="M351" s="58">
        <v>106</v>
      </c>
      <c r="N351" s="59" t="str">
        <f t="shared" si="159"/>
        <v/>
      </c>
      <c r="O351" s="55" t="str">
        <f t="shared" si="160"/>
        <v/>
      </c>
      <c r="P351" s="55" t="str">
        <f t="shared" si="161"/>
        <v/>
      </c>
      <c r="Q351" s="55" t="str">
        <f t="shared" si="162"/>
        <v/>
      </c>
      <c r="R351" s="55" t="str">
        <f t="shared" si="163"/>
        <v/>
      </c>
      <c r="S351" s="55" t="str">
        <f t="shared" si="164"/>
        <v/>
      </c>
      <c r="T351" s="55"/>
      <c r="U351" s="55"/>
      <c r="V351" s="55"/>
      <c r="W351" s="55" t="str">
        <f t="shared" si="165"/>
        <v/>
      </c>
      <c r="X351" s="60" t="str">
        <f t="shared" si="166"/>
        <v/>
      </c>
      <c r="Z351" s="24" t="str">
        <f t="shared" si="167"/>
        <v/>
      </c>
      <c r="AA351" s="25" t="str">
        <f t="shared" si="168"/>
        <v/>
      </c>
      <c r="AB351" s="25" t="str">
        <f t="shared" si="169"/>
        <v/>
      </c>
      <c r="AC351" s="25" t="str">
        <f t="shared" si="170"/>
        <v/>
      </c>
      <c r="AD351" s="25" t="str">
        <f t="shared" si="171"/>
        <v/>
      </c>
      <c r="AE351" s="25" t="str">
        <f t="shared" si="172"/>
        <v/>
      </c>
      <c r="AF351" s="25" t="str">
        <f t="shared" si="173"/>
        <v/>
      </c>
      <c r="AG351" s="26" t="str">
        <f t="shared" si="174"/>
        <v/>
      </c>
      <c r="AI351" s="24" t="str">
        <f t="shared" si="175"/>
        <v/>
      </c>
      <c r="AJ351" s="25" t="str">
        <f t="shared" si="176"/>
        <v/>
      </c>
      <c r="AK351" s="25" t="str">
        <f t="shared" si="177"/>
        <v/>
      </c>
      <c r="AL351" s="25" t="str">
        <f t="shared" si="178"/>
        <v/>
      </c>
      <c r="AM351" s="25" t="str">
        <f t="shared" si="179"/>
        <v/>
      </c>
      <c r="AN351" s="25" t="str">
        <f t="shared" si="180"/>
        <v/>
      </c>
      <c r="AO351" s="25"/>
      <c r="AP351" s="25"/>
      <c r="AQ351" s="25"/>
      <c r="AR351" s="25" t="str">
        <f t="shared" si="181"/>
        <v/>
      </c>
      <c r="AS351" s="26" t="str">
        <f t="shared" si="182"/>
        <v/>
      </c>
    </row>
    <row r="352" spans="2:45" hidden="1" x14ac:dyDescent="0.25">
      <c r="B352" s="70">
        <v>107</v>
      </c>
      <c r="C352" s="59" t="str">
        <f t="shared" si="151"/>
        <v/>
      </c>
      <c r="D352" s="55" t="str">
        <f t="shared" si="152"/>
        <v/>
      </c>
      <c r="E352" s="55" t="str">
        <f t="shared" si="153"/>
        <v/>
      </c>
      <c r="F352" s="55" t="str">
        <f t="shared" si="154"/>
        <v/>
      </c>
      <c r="G352" s="55" t="str">
        <f t="shared" si="155"/>
        <v/>
      </c>
      <c r="H352" s="55" t="str">
        <f t="shared" si="156"/>
        <v/>
      </c>
      <c r="I352" s="55" t="str">
        <f t="shared" si="157"/>
        <v/>
      </c>
      <c r="J352" s="60" t="str">
        <f t="shared" si="158"/>
        <v/>
      </c>
      <c r="M352" s="58">
        <v>107</v>
      </c>
      <c r="N352" s="59" t="str">
        <f t="shared" si="159"/>
        <v/>
      </c>
      <c r="O352" s="55" t="str">
        <f t="shared" si="160"/>
        <v/>
      </c>
      <c r="P352" s="55" t="str">
        <f t="shared" si="161"/>
        <v/>
      </c>
      <c r="Q352" s="55" t="str">
        <f t="shared" si="162"/>
        <v/>
      </c>
      <c r="R352" s="55" t="str">
        <f t="shared" si="163"/>
        <v/>
      </c>
      <c r="S352" s="55" t="str">
        <f t="shared" si="164"/>
        <v/>
      </c>
      <c r="T352" s="55"/>
      <c r="U352" s="55"/>
      <c r="V352" s="55"/>
      <c r="W352" s="55" t="str">
        <f t="shared" si="165"/>
        <v/>
      </c>
      <c r="X352" s="60" t="str">
        <f t="shared" si="166"/>
        <v/>
      </c>
      <c r="Z352" s="24" t="str">
        <f t="shared" si="167"/>
        <v/>
      </c>
      <c r="AA352" s="25" t="str">
        <f t="shared" si="168"/>
        <v/>
      </c>
      <c r="AB352" s="25" t="str">
        <f t="shared" si="169"/>
        <v/>
      </c>
      <c r="AC352" s="25" t="str">
        <f t="shared" si="170"/>
        <v/>
      </c>
      <c r="AD352" s="25" t="str">
        <f t="shared" si="171"/>
        <v/>
      </c>
      <c r="AE352" s="25" t="str">
        <f t="shared" si="172"/>
        <v/>
      </c>
      <c r="AF352" s="25" t="str">
        <f t="shared" si="173"/>
        <v/>
      </c>
      <c r="AG352" s="26" t="str">
        <f t="shared" si="174"/>
        <v/>
      </c>
      <c r="AI352" s="24" t="str">
        <f t="shared" si="175"/>
        <v/>
      </c>
      <c r="AJ352" s="25" t="str">
        <f t="shared" si="176"/>
        <v/>
      </c>
      <c r="AK352" s="25" t="str">
        <f t="shared" si="177"/>
        <v/>
      </c>
      <c r="AL352" s="25" t="str">
        <f t="shared" si="178"/>
        <v/>
      </c>
      <c r="AM352" s="25" t="str">
        <f t="shared" si="179"/>
        <v/>
      </c>
      <c r="AN352" s="25" t="str">
        <f t="shared" si="180"/>
        <v/>
      </c>
      <c r="AO352" s="25"/>
      <c r="AP352" s="25"/>
      <c r="AQ352" s="25"/>
      <c r="AR352" s="25" t="str">
        <f t="shared" si="181"/>
        <v/>
      </c>
      <c r="AS352" s="26" t="str">
        <f t="shared" si="182"/>
        <v/>
      </c>
    </row>
    <row r="353" spans="2:45" hidden="1" x14ac:dyDescent="0.25">
      <c r="B353" s="70">
        <v>108</v>
      </c>
      <c r="C353" s="59" t="str">
        <f t="shared" si="151"/>
        <v/>
      </c>
      <c r="D353" s="55" t="str">
        <f t="shared" si="152"/>
        <v/>
      </c>
      <c r="E353" s="55" t="str">
        <f t="shared" si="153"/>
        <v/>
      </c>
      <c r="F353" s="55" t="str">
        <f t="shared" si="154"/>
        <v/>
      </c>
      <c r="G353" s="55" t="str">
        <f t="shared" si="155"/>
        <v/>
      </c>
      <c r="H353" s="55" t="str">
        <f t="shared" si="156"/>
        <v/>
      </c>
      <c r="I353" s="55" t="str">
        <f t="shared" si="157"/>
        <v/>
      </c>
      <c r="J353" s="60" t="str">
        <f t="shared" si="158"/>
        <v/>
      </c>
      <c r="M353" s="58">
        <v>108</v>
      </c>
      <c r="N353" s="59" t="str">
        <f t="shared" si="159"/>
        <v/>
      </c>
      <c r="O353" s="55" t="str">
        <f t="shared" si="160"/>
        <v/>
      </c>
      <c r="P353" s="55" t="str">
        <f t="shared" si="161"/>
        <v/>
      </c>
      <c r="Q353" s="55" t="str">
        <f t="shared" si="162"/>
        <v/>
      </c>
      <c r="R353" s="55" t="str">
        <f t="shared" si="163"/>
        <v/>
      </c>
      <c r="S353" s="55" t="str">
        <f t="shared" si="164"/>
        <v/>
      </c>
      <c r="T353" s="55"/>
      <c r="U353" s="55"/>
      <c r="V353" s="55"/>
      <c r="W353" s="55" t="str">
        <f t="shared" si="165"/>
        <v/>
      </c>
      <c r="X353" s="60" t="str">
        <f t="shared" si="166"/>
        <v/>
      </c>
      <c r="Z353" s="24" t="str">
        <f t="shared" si="167"/>
        <v/>
      </c>
      <c r="AA353" s="25" t="str">
        <f t="shared" si="168"/>
        <v/>
      </c>
      <c r="AB353" s="25" t="str">
        <f t="shared" si="169"/>
        <v/>
      </c>
      <c r="AC353" s="25" t="str">
        <f t="shared" si="170"/>
        <v/>
      </c>
      <c r="AD353" s="25" t="str">
        <f t="shared" si="171"/>
        <v/>
      </c>
      <c r="AE353" s="25" t="str">
        <f t="shared" si="172"/>
        <v/>
      </c>
      <c r="AF353" s="25" t="str">
        <f t="shared" si="173"/>
        <v/>
      </c>
      <c r="AG353" s="26" t="str">
        <f t="shared" si="174"/>
        <v/>
      </c>
      <c r="AI353" s="24" t="str">
        <f t="shared" si="175"/>
        <v/>
      </c>
      <c r="AJ353" s="25" t="str">
        <f t="shared" si="176"/>
        <v/>
      </c>
      <c r="AK353" s="25" t="str">
        <f t="shared" si="177"/>
        <v/>
      </c>
      <c r="AL353" s="25" t="str">
        <f t="shared" si="178"/>
        <v/>
      </c>
      <c r="AM353" s="25" t="str">
        <f t="shared" si="179"/>
        <v/>
      </c>
      <c r="AN353" s="25" t="str">
        <f t="shared" si="180"/>
        <v/>
      </c>
      <c r="AO353" s="25"/>
      <c r="AP353" s="25"/>
      <c r="AQ353" s="25"/>
      <c r="AR353" s="25" t="str">
        <f t="shared" si="181"/>
        <v/>
      </c>
      <c r="AS353" s="26" t="str">
        <f t="shared" si="182"/>
        <v/>
      </c>
    </row>
    <row r="354" spans="2:45" hidden="1" x14ac:dyDescent="0.25">
      <c r="B354" s="70">
        <v>109</v>
      </c>
      <c r="C354" s="59" t="str">
        <f t="shared" si="151"/>
        <v/>
      </c>
      <c r="D354" s="55" t="str">
        <f t="shared" si="152"/>
        <v/>
      </c>
      <c r="E354" s="55" t="str">
        <f t="shared" si="153"/>
        <v/>
      </c>
      <c r="F354" s="55" t="str">
        <f t="shared" si="154"/>
        <v/>
      </c>
      <c r="G354" s="55" t="str">
        <f t="shared" si="155"/>
        <v/>
      </c>
      <c r="H354" s="55" t="str">
        <f t="shared" si="156"/>
        <v/>
      </c>
      <c r="I354" s="55" t="str">
        <f t="shared" si="157"/>
        <v/>
      </c>
      <c r="J354" s="60" t="str">
        <f t="shared" si="158"/>
        <v/>
      </c>
      <c r="M354" s="58">
        <v>109</v>
      </c>
      <c r="N354" s="59" t="str">
        <f t="shared" si="159"/>
        <v/>
      </c>
      <c r="O354" s="55" t="str">
        <f t="shared" si="160"/>
        <v/>
      </c>
      <c r="P354" s="55" t="str">
        <f t="shared" si="161"/>
        <v/>
      </c>
      <c r="Q354" s="55" t="str">
        <f t="shared" si="162"/>
        <v/>
      </c>
      <c r="R354" s="55" t="str">
        <f t="shared" si="163"/>
        <v/>
      </c>
      <c r="S354" s="55" t="str">
        <f t="shared" si="164"/>
        <v/>
      </c>
      <c r="T354" s="55"/>
      <c r="U354" s="55"/>
      <c r="V354" s="55"/>
      <c r="W354" s="55" t="str">
        <f t="shared" si="165"/>
        <v/>
      </c>
      <c r="X354" s="60" t="str">
        <f t="shared" si="166"/>
        <v/>
      </c>
      <c r="Z354" s="24" t="str">
        <f t="shared" si="167"/>
        <v/>
      </c>
      <c r="AA354" s="25" t="str">
        <f t="shared" si="168"/>
        <v/>
      </c>
      <c r="AB354" s="25" t="str">
        <f t="shared" si="169"/>
        <v/>
      </c>
      <c r="AC354" s="25" t="str">
        <f t="shared" si="170"/>
        <v/>
      </c>
      <c r="AD354" s="25" t="str">
        <f t="shared" si="171"/>
        <v/>
      </c>
      <c r="AE354" s="25" t="str">
        <f t="shared" si="172"/>
        <v/>
      </c>
      <c r="AF354" s="25" t="str">
        <f t="shared" si="173"/>
        <v/>
      </c>
      <c r="AG354" s="26" t="str">
        <f t="shared" si="174"/>
        <v/>
      </c>
      <c r="AI354" s="24" t="str">
        <f t="shared" si="175"/>
        <v/>
      </c>
      <c r="AJ354" s="25" t="str">
        <f t="shared" si="176"/>
        <v/>
      </c>
      <c r="AK354" s="25" t="str">
        <f t="shared" si="177"/>
        <v/>
      </c>
      <c r="AL354" s="25" t="str">
        <f t="shared" si="178"/>
        <v/>
      </c>
      <c r="AM354" s="25" t="str">
        <f t="shared" si="179"/>
        <v/>
      </c>
      <c r="AN354" s="25" t="str">
        <f t="shared" si="180"/>
        <v/>
      </c>
      <c r="AO354" s="25"/>
      <c r="AP354" s="25"/>
      <c r="AQ354" s="25"/>
      <c r="AR354" s="25" t="str">
        <f t="shared" si="181"/>
        <v/>
      </c>
      <c r="AS354" s="26" t="str">
        <f t="shared" si="182"/>
        <v/>
      </c>
    </row>
    <row r="355" spans="2:45" hidden="1" x14ac:dyDescent="0.25">
      <c r="B355" s="70">
        <v>110</v>
      </c>
      <c r="C355" s="59" t="str">
        <f t="shared" si="151"/>
        <v/>
      </c>
      <c r="D355" s="55" t="str">
        <f t="shared" si="152"/>
        <v/>
      </c>
      <c r="E355" s="55" t="str">
        <f t="shared" si="153"/>
        <v/>
      </c>
      <c r="F355" s="55" t="str">
        <f t="shared" si="154"/>
        <v/>
      </c>
      <c r="G355" s="55" t="str">
        <f t="shared" si="155"/>
        <v/>
      </c>
      <c r="H355" s="55" t="str">
        <f t="shared" si="156"/>
        <v/>
      </c>
      <c r="I355" s="55" t="str">
        <f t="shared" si="157"/>
        <v/>
      </c>
      <c r="J355" s="60" t="str">
        <f t="shared" si="158"/>
        <v/>
      </c>
      <c r="M355" s="58">
        <v>110</v>
      </c>
      <c r="N355" s="59" t="str">
        <f t="shared" si="159"/>
        <v/>
      </c>
      <c r="O355" s="55" t="str">
        <f t="shared" si="160"/>
        <v/>
      </c>
      <c r="P355" s="55" t="str">
        <f t="shared" si="161"/>
        <v/>
      </c>
      <c r="Q355" s="55" t="str">
        <f t="shared" si="162"/>
        <v/>
      </c>
      <c r="R355" s="55" t="str">
        <f t="shared" si="163"/>
        <v/>
      </c>
      <c r="S355" s="55" t="str">
        <f t="shared" si="164"/>
        <v/>
      </c>
      <c r="T355" s="55"/>
      <c r="U355" s="55"/>
      <c r="V355" s="55"/>
      <c r="W355" s="55" t="str">
        <f t="shared" si="165"/>
        <v/>
      </c>
      <c r="X355" s="60" t="str">
        <f t="shared" si="166"/>
        <v/>
      </c>
      <c r="Z355" s="24" t="str">
        <f t="shared" si="167"/>
        <v/>
      </c>
      <c r="AA355" s="25" t="str">
        <f t="shared" si="168"/>
        <v/>
      </c>
      <c r="AB355" s="25" t="str">
        <f t="shared" si="169"/>
        <v/>
      </c>
      <c r="AC355" s="25" t="str">
        <f t="shared" si="170"/>
        <v/>
      </c>
      <c r="AD355" s="25" t="str">
        <f t="shared" si="171"/>
        <v/>
      </c>
      <c r="AE355" s="25" t="str">
        <f t="shared" si="172"/>
        <v/>
      </c>
      <c r="AF355" s="25" t="str">
        <f t="shared" si="173"/>
        <v/>
      </c>
      <c r="AG355" s="26" t="str">
        <f t="shared" si="174"/>
        <v/>
      </c>
      <c r="AI355" s="24" t="str">
        <f t="shared" si="175"/>
        <v/>
      </c>
      <c r="AJ355" s="25" t="str">
        <f t="shared" si="176"/>
        <v/>
      </c>
      <c r="AK355" s="25" t="str">
        <f t="shared" si="177"/>
        <v/>
      </c>
      <c r="AL355" s="25" t="str">
        <f t="shared" si="178"/>
        <v/>
      </c>
      <c r="AM355" s="25" t="str">
        <f t="shared" si="179"/>
        <v/>
      </c>
      <c r="AN355" s="25" t="str">
        <f t="shared" si="180"/>
        <v/>
      </c>
      <c r="AO355" s="25"/>
      <c r="AP355" s="25"/>
      <c r="AQ355" s="25"/>
      <c r="AR355" s="25" t="str">
        <f t="shared" si="181"/>
        <v/>
      </c>
      <c r="AS355" s="26" t="str">
        <f t="shared" si="182"/>
        <v/>
      </c>
    </row>
    <row r="356" spans="2:45" hidden="1" x14ac:dyDescent="0.25">
      <c r="B356" s="70">
        <v>111</v>
      </c>
      <c r="C356" s="59" t="str">
        <f t="shared" si="151"/>
        <v/>
      </c>
      <c r="D356" s="55" t="str">
        <f t="shared" si="152"/>
        <v/>
      </c>
      <c r="E356" s="55" t="str">
        <f t="shared" si="153"/>
        <v/>
      </c>
      <c r="F356" s="55" t="str">
        <f t="shared" si="154"/>
        <v/>
      </c>
      <c r="G356" s="55" t="str">
        <f t="shared" si="155"/>
        <v/>
      </c>
      <c r="H356" s="55" t="str">
        <f t="shared" si="156"/>
        <v/>
      </c>
      <c r="I356" s="55" t="str">
        <f t="shared" si="157"/>
        <v/>
      </c>
      <c r="J356" s="60" t="str">
        <f t="shared" si="158"/>
        <v/>
      </c>
      <c r="M356" s="58">
        <v>111</v>
      </c>
      <c r="N356" s="59" t="str">
        <f t="shared" si="159"/>
        <v/>
      </c>
      <c r="O356" s="55" t="str">
        <f t="shared" si="160"/>
        <v/>
      </c>
      <c r="P356" s="55" t="str">
        <f t="shared" si="161"/>
        <v/>
      </c>
      <c r="Q356" s="55" t="str">
        <f t="shared" si="162"/>
        <v/>
      </c>
      <c r="R356" s="55" t="str">
        <f t="shared" si="163"/>
        <v/>
      </c>
      <c r="S356" s="55" t="str">
        <f t="shared" si="164"/>
        <v/>
      </c>
      <c r="T356" s="55"/>
      <c r="U356" s="55"/>
      <c r="V356" s="55"/>
      <c r="W356" s="55" t="str">
        <f t="shared" si="165"/>
        <v/>
      </c>
      <c r="X356" s="60" t="str">
        <f t="shared" si="166"/>
        <v/>
      </c>
      <c r="Z356" s="24" t="str">
        <f t="shared" si="167"/>
        <v/>
      </c>
      <c r="AA356" s="25" t="str">
        <f t="shared" si="168"/>
        <v/>
      </c>
      <c r="AB356" s="25" t="str">
        <f t="shared" si="169"/>
        <v/>
      </c>
      <c r="AC356" s="25" t="str">
        <f t="shared" si="170"/>
        <v/>
      </c>
      <c r="AD356" s="25" t="str">
        <f t="shared" si="171"/>
        <v/>
      </c>
      <c r="AE356" s="25" t="str">
        <f t="shared" si="172"/>
        <v/>
      </c>
      <c r="AF356" s="25" t="str">
        <f t="shared" si="173"/>
        <v/>
      </c>
      <c r="AG356" s="26" t="str">
        <f t="shared" si="174"/>
        <v/>
      </c>
      <c r="AI356" s="24" t="str">
        <f t="shared" si="175"/>
        <v/>
      </c>
      <c r="AJ356" s="25" t="str">
        <f t="shared" si="176"/>
        <v/>
      </c>
      <c r="AK356" s="25" t="str">
        <f t="shared" si="177"/>
        <v/>
      </c>
      <c r="AL356" s="25" t="str">
        <f t="shared" si="178"/>
        <v/>
      </c>
      <c r="AM356" s="25" t="str">
        <f t="shared" si="179"/>
        <v/>
      </c>
      <c r="AN356" s="25" t="str">
        <f t="shared" si="180"/>
        <v/>
      </c>
      <c r="AO356" s="25"/>
      <c r="AP356" s="25"/>
      <c r="AQ356" s="25"/>
      <c r="AR356" s="25" t="str">
        <f t="shared" si="181"/>
        <v/>
      </c>
      <c r="AS356" s="26" t="str">
        <f t="shared" si="182"/>
        <v/>
      </c>
    </row>
    <row r="357" spans="2:45" hidden="1" x14ac:dyDescent="0.25">
      <c r="B357" s="70">
        <v>112</v>
      </c>
      <c r="C357" s="59" t="str">
        <f t="shared" si="151"/>
        <v/>
      </c>
      <c r="D357" s="55" t="str">
        <f t="shared" si="152"/>
        <v/>
      </c>
      <c r="E357" s="55" t="str">
        <f t="shared" si="153"/>
        <v/>
      </c>
      <c r="F357" s="55" t="str">
        <f t="shared" si="154"/>
        <v/>
      </c>
      <c r="G357" s="55" t="str">
        <f t="shared" si="155"/>
        <v/>
      </c>
      <c r="H357" s="55" t="str">
        <f t="shared" si="156"/>
        <v/>
      </c>
      <c r="I357" s="55" t="str">
        <f t="shared" si="157"/>
        <v/>
      </c>
      <c r="J357" s="60" t="str">
        <f t="shared" si="158"/>
        <v/>
      </c>
      <c r="M357" s="58">
        <v>112</v>
      </c>
      <c r="N357" s="59" t="str">
        <f t="shared" si="159"/>
        <v/>
      </c>
      <c r="O357" s="55" t="str">
        <f t="shared" si="160"/>
        <v/>
      </c>
      <c r="P357" s="55" t="str">
        <f t="shared" si="161"/>
        <v/>
      </c>
      <c r="Q357" s="55" t="str">
        <f t="shared" si="162"/>
        <v/>
      </c>
      <c r="R357" s="55" t="str">
        <f t="shared" si="163"/>
        <v/>
      </c>
      <c r="S357" s="55" t="str">
        <f t="shared" si="164"/>
        <v/>
      </c>
      <c r="T357" s="55"/>
      <c r="U357" s="55"/>
      <c r="V357" s="55"/>
      <c r="W357" s="55" t="str">
        <f t="shared" si="165"/>
        <v/>
      </c>
      <c r="X357" s="60" t="str">
        <f t="shared" si="166"/>
        <v/>
      </c>
      <c r="Z357" s="24" t="str">
        <f t="shared" si="167"/>
        <v/>
      </c>
      <c r="AA357" s="25" t="str">
        <f t="shared" si="168"/>
        <v/>
      </c>
      <c r="AB357" s="25" t="str">
        <f t="shared" si="169"/>
        <v/>
      </c>
      <c r="AC357" s="25" t="str">
        <f t="shared" si="170"/>
        <v/>
      </c>
      <c r="AD357" s="25" t="str">
        <f t="shared" si="171"/>
        <v/>
      </c>
      <c r="AE357" s="25" t="str">
        <f t="shared" si="172"/>
        <v/>
      </c>
      <c r="AF357" s="25" t="str">
        <f t="shared" si="173"/>
        <v/>
      </c>
      <c r="AG357" s="26" t="str">
        <f t="shared" si="174"/>
        <v/>
      </c>
      <c r="AI357" s="24" t="str">
        <f t="shared" si="175"/>
        <v/>
      </c>
      <c r="AJ357" s="25" t="str">
        <f t="shared" si="176"/>
        <v/>
      </c>
      <c r="AK357" s="25" t="str">
        <f t="shared" si="177"/>
        <v/>
      </c>
      <c r="AL357" s="25" t="str">
        <f t="shared" si="178"/>
        <v/>
      </c>
      <c r="AM357" s="25" t="str">
        <f t="shared" si="179"/>
        <v/>
      </c>
      <c r="AN357" s="25" t="str">
        <f t="shared" si="180"/>
        <v/>
      </c>
      <c r="AO357" s="25"/>
      <c r="AP357" s="25"/>
      <c r="AQ357" s="25"/>
      <c r="AR357" s="25" t="str">
        <f t="shared" si="181"/>
        <v/>
      </c>
      <c r="AS357" s="26" t="str">
        <f t="shared" si="182"/>
        <v/>
      </c>
    </row>
    <row r="358" spans="2:45" hidden="1" x14ac:dyDescent="0.25">
      <c r="B358" s="70">
        <v>113</v>
      </c>
      <c r="C358" s="59" t="str">
        <f t="shared" si="151"/>
        <v/>
      </c>
      <c r="D358" s="55" t="str">
        <f t="shared" si="152"/>
        <v/>
      </c>
      <c r="E358" s="55" t="str">
        <f t="shared" si="153"/>
        <v/>
      </c>
      <c r="F358" s="55" t="str">
        <f t="shared" si="154"/>
        <v/>
      </c>
      <c r="G358" s="55" t="str">
        <f t="shared" si="155"/>
        <v/>
      </c>
      <c r="H358" s="55" t="str">
        <f t="shared" si="156"/>
        <v/>
      </c>
      <c r="I358" s="55" t="str">
        <f t="shared" si="157"/>
        <v/>
      </c>
      <c r="J358" s="60" t="str">
        <f t="shared" si="158"/>
        <v/>
      </c>
      <c r="M358" s="58">
        <v>113</v>
      </c>
      <c r="N358" s="59" t="str">
        <f t="shared" si="159"/>
        <v/>
      </c>
      <c r="O358" s="55" t="str">
        <f t="shared" si="160"/>
        <v/>
      </c>
      <c r="P358" s="55" t="str">
        <f t="shared" si="161"/>
        <v/>
      </c>
      <c r="Q358" s="55" t="str">
        <f t="shared" si="162"/>
        <v/>
      </c>
      <c r="R358" s="55" t="str">
        <f t="shared" si="163"/>
        <v/>
      </c>
      <c r="S358" s="55" t="str">
        <f t="shared" si="164"/>
        <v/>
      </c>
      <c r="T358" s="55"/>
      <c r="U358" s="55"/>
      <c r="V358" s="55"/>
      <c r="W358" s="55" t="str">
        <f t="shared" si="165"/>
        <v/>
      </c>
      <c r="X358" s="60" t="str">
        <f t="shared" si="166"/>
        <v/>
      </c>
      <c r="Z358" s="24" t="str">
        <f t="shared" si="167"/>
        <v/>
      </c>
      <c r="AA358" s="25" t="str">
        <f t="shared" si="168"/>
        <v/>
      </c>
      <c r="AB358" s="25" t="str">
        <f t="shared" si="169"/>
        <v/>
      </c>
      <c r="AC358" s="25" t="str">
        <f t="shared" si="170"/>
        <v/>
      </c>
      <c r="AD358" s="25" t="str">
        <f t="shared" si="171"/>
        <v/>
      </c>
      <c r="AE358" s="25" t="str">
        <f t="shared" si="172"/>
        <v/>
      </c>
      <c r="AF358" s="25" t="str">
        <f t="shared" si="173"/>
        <v/>
      </c>
      <c r="AG358" s="26" t="str">
        <f t="shared" si="174"/>
        <v/>
      </c>
      <c r="AI358" s="24" t="str">
        <f t="shared" si="175"/>
        <v/>
      </c>
      <c r="AJ358" s="25" t="str">
        <f t="shared" si="176"/>
        <v/>
      </c>
      <c r="AK358" s="25" t="str">
        <f t="shared" si="177"/>
        <v/>
      </c>
      <c r="AL358" s="25" t="str">
        <f t="shared" si="178"/>
        <v/>
      </c>
      <c r="AM358" s="25" t="str">
        <f t="shared" si="179"/>
        <v/>
      </c>
      <c r="AN358" s="25" t="str">
        <f t="shared" si="180"/>
        <v/>
      </c>
      <c r="AO358" s="25"/>
      <c r="AP358" s="25"/>
      <c r="AQ358" s="25"/>
      <c r="AR358" s="25" t="str">
        <f t="shared" si="181"/>
        <v/>
      </c>
      <c r="AS358" s="26" t="str">
        <f t="shared" si="182"/>
        <v/>
      </c>
    </row>
    <row r="359" spans="2:45" hidden="1" x14ac:dyDescent="0.25">
      <c r="B359" s="70">
        <v>114</v>
      </c>
      <c r="C359" s="59" t="str">
        <f t="shared" si="151"/>
        <v/>
      </c>
      <c r="D359" s="55" t="str">
        <f t="shared" si="152"/>
        <v/>
      </c>
      <c r="E359" s="55" t="str">
        <f t="shared" si="153"/>
        <v/>
      </c>
      <c r="F359" s="55" t="str">
        <f t="shared" si="154"/>
        <v/>
      </c>
      <c r="G359" s="55" t="str">
        <f t="shared" si="155"/>
        <v/>
      </c>
      <c r="H359" s="55" t="str">
        <f t="shared" si="156"/>
        <v/>
      </c>
      <c r="I359" s="55" t="str">
        <f t="shared" si="157"/>
        <v/>
      </c>
      <c r="J359" s="60" t="str">
        <f t="shared" si="158"/>
        <v/>
      </c>
      <c r="M359" s="58">
        <v>114</v>
      </c>
      <c r="N359" s="59" t="str">
        <f t="shared" si="159"/>
        <v/>
      </c>
      <c r="O359" s="55" t="str">
        <f t="shared" si="160"/>
        <v/>
      </c>
      <c r="P359" s="55" t="str">
        <f t="shared" si="161"/>
        <v/>
      </c>
      <c r="Q359" s="55" t="str">
        <f t="shared" si="162"/>
        <v/>
      </c>
      <c r="R359" s="55" t="str">
        <f t="shared" si="163"/>
        <v/>
      </c>
      <c r="S359" s="55" t="str">
        <f t="shared" si="164"/>
        <v/>
      </c>
      <c r="T359" s="55"/>
      <c r="U359" s="55"/>
      <c r="V359" s="55"/>
      <c r="W359" s="55" t="str">
        <f t="shared" si="165"/>
        <v/>
      </c>
      <c r="X359" s="60" t="str">
        <f t="shared" si="166"/>
        <v/>
      </c>
      <c r="Z359" s="24" t="str">
        <f t="shared" si="167"/>
        <v/>
      </c>
      <c r="AA359" s="25" t="str">
        <f t="shared" si="168"/>
        <v/>
      </c>
      <c r="AB359" s="25" t="str">
        <f t="shared" si="169"/>
        <v/>
      </c>
      <c r="AC359" s="25" t="str">
        <f t="shared" si="170"/>
        <v/>
      </c>
      <c r="AD359" s="25" t="str">
        <f t="shared" si="171"/>
        <v/>
      </c>
      <c r="AE359" s="25" t="str">
        <f t="shared" si="172"/>
        <v/>
      </c>
      <c r="AF359" s="25" t="str">
        <f t="shared" si="173"/>
        <v/>
      </c>
      <c r="AG359" s="26" t="str">
        <f t="shared" si="174"/>
        <v/>
      </c>
      <c r="AI359" s="24" t="str">
        <f t="shared" si="175"/>
        <v/>
      </c>
      <c r="AJ359" s="25" t="str">
        <f t="shared" si="176"/>
        <v/>
      </c>
      <c r="AK359" s="25" t="str">
        <f t="shared" si="177"/>
        <v/>
      </c>
      <c r="AL359" s="25" t="str">
        <f t="shared" si="178"/>
        <v/>
      </c>
      <c r="AM359" s="25" t="str">
        <f t="shared" si="179"/>
        <v/>
      </c>
      <c r="AN359" s="25" t="str">
        <f t="shared" si="180"/>
        <v/>
      </c>
      <c r="AO359" s="25"/>
      <c r="AP359" s="25"/>
      <c r="AQ359" s="25"/>
      <c r="AR359" s="25" t="str">
        <f t="shared" si="181"/>
        <v/>
      </c>
      <c r="AS359" s="26" t="str">
        <f t="shared" si="182"/>
        <v/>
      </c>
    </row>
    <row r="360" spans="2:45" hidden="1" x14ac:dyDescent="0.25">
      <c r="B360" s="70">
        <v>115</v>
      </c>
      <c r="C360" s="59" t="str">
        <f t="shared" si="151"/>
        <v/>
      </c>
      <c r="D360" s="55" t="str">
        <f t="shared" si="152"/>
        <v/>
      </c>
      <c r="E360" s="55" t="str">
        <f t="shared" si="153"/>
        <v/>
      </c>
      <c r="F360" s="55" t="str">
        <f t="shared" si="154"/>
        <v/>
      </c>
      <c r="G360" s="55" t="str">
        <f t="shared" si="155"/>
        <v/>
      </c>
      <c r="H360" s="55" t="str">
        <f t="shared" si="156"/>
        <v/>
      </c>
      <c r="I360" s="55" t="str">
        <f t="shared" si="157"/>
        <v/>
      </c>
      <c r="J360" s="60" t="str">
        <f t="shared" si="158"/>
        <v/>
      </c>
      <c r="M360" s="58">
        <v>115</v>
      </c>
      <c r="N360" s="59" t="str">
        <f t="shared" si="159"/>
        <v/>
      </c>
      <c r="O360" s="55" t="str">
        <f t="shared" si="160"/>
        <v/>
      </c>
      <c r="P360" s="55" t="str">
        <f t="shared" si="161"/>
        <v/>
      </c>
      <c r="Q360" s="55" t="str">
        <f t="shared" si="162"/>
        <v/>
      </c>
      <c r="R360" s="55" t="str">
        <f t="shared" si="163"/>
        <v/>
      </c>
      <c r="S360" s="55" t="str">
        <f t="shared" si="164"/>
        <v/>
      </c>
      <c r="T360" s="55"/>
      <c r="U360" s="55"/>
      <c r="V360" s="55"/>
      <c r="W360" s="55" t="str">
        <f t="shared" si="165"/>
        <v/>
      </c>
      <c r="X360" s="60" t="str">
        <f t="shared" si="166"/>
        <v/>
      </c>
      <c r="Z360" s="24" t="str">
        <f t="shared" si="167"/>
        <v/>
      </c>
      <c r="AA360" s="25" t="str">
        <f t="shared" si="168"/>
        <v/>
      </c>
      <c r="AB360" s="25" t="str">
        <f t="shared" si="169"/>
        <v/>
      </c>
      <c r="AC360" s="25" t="str">
        <f t="shared" si="170"/>
        <v/>
      </c>
      <c r="AD360" s="25" t="str">
        <f t="shared" si="171"/>
        <v/>
      </c>
      <c r="AE360" s="25" t="str">
        <f t="shared" si="172"/>
        <v/>
      </c>
      <c r="AF360" s="25" t="str">
        <f t="shared" si="173"/>
        <v/>
      </c>
      <c r="AG360" s="26" t="str">
        <f t="shared" si="174"/>
        <v/>
      </c>
      <c r="AI360" s="24" t="str">
        <f t="shared" si="175"/>
        <v/>
      </c>
      <c r="AJ360" s="25" t="str">
        <f t="shared" si="176"/>
        <v/>
      </c>
      <c r="AK360" s="25" t="str">
        <f t="shared" si="177"/>
        <v/>
      </c>
      <c r="AL360" s="25" t="str">
        <f t="shared" si="178"/>
        <v/>
      </c>
      <c r="AM360" s="25" t="str">
        <f t="shared" si="179"/>
        <v/>
      </c>
      <c r="AN360" s="25" t="str">
        <f t="shared" si="180"/>
        <v/>
      </c>
      <c r="AO360" s="25"/>
      <c r="AP360" s="25"/>
      <c r="AQ360" s="25"/>
      <c r="AR360" s="25" t="str">
        <f t="shared" si="181"/>
        <v/>
      </c>
      <c r="AS360" s="26" t="str">
        <f t="shared" si="182"/>
        <v/>
      </c>
    </row>
    <row r="361" spans="2:45" hidden="1" x14ac:dyDescent="0.25">
      <c r="B361" s="70">
        <v>116</v>
      </c>
      <c r="C361" s="59" t="str">
        <f t="shared" si="151"/>
        <v/>
      </c>
      <c r="D361" s="55" t="str">
        <f t="shared" si="152"/>
        <v/>
      </c>
      <c r="E361" s="55" t="str">
        <f t="shared" si="153"/>
        <v/>
      </c>
      <c r="F361" s="55" t="str">
        <f t="shared" si="154"/>
        <v/>
      </c>
      <c r="G361" s="55" t="str">
        <f t="shared" si="155"/>
        <v/>
      </c>
      <c r="H361" s="55" t="str">
        <f t="shared" si="156"/>
        <v/>
      </c>
      <c r="I361" s="55" t="str">
        <f t="shared" si="157"/>
        <v/>
      </c>
      <c r="J361" s="60" t="str">
        <f t="shared" si="158"/>
        <v/>
      </c>
      <c r="M361" s="58">
        <v>116</v>
      </c>
      <c r="N361" s="59" t="str">
        <f t="shared" si="159"/>
        <v/>
      </c>
      <c r="O361" s="55" t="str">
        <f t="shared" si="160"/>
        <v/>
      </c>
      <c r="P361" s="55" t="str">
        <f t="shared" si="161"/>
        <v/>
      </c>
      <c r="Q361" s="55" t="str">
        <f t="shared" si="162"/>
        <v/>
      </c>
      <c r="R361" s="55" t="str">
        <f t="shared" si="163"/>
        <v/>
      </c>
      <c r="S361" s="55" t="str">
        <f t="shared" si="164"/>
        <v/>
      </c>
      <c r="T361" s="55"/>
      <c r="U361" s="55"/>
      <c r="V361" s="55"/>
      <c r="W361" s="55" t="str">
        <f t="shared" si="165"/>
        <v/>
      </c>
      <c r="X361" s="60" t="str">
        <f t="shared" si="166"/>
        <v/>
      </c>
      <c r="Z361" s="24" t="str">
        <f t="shared" si="167"/>
        <v/>
      </c>
      <c r="AA361" s="25" t="str">
        <f t="shared" si="168"/>
        <v/>
      </c>
      <c r="AB361" s="25" t="str">
        <f t="shared" si="169"/>
        <v/>
      </c>
      <c r="AC361" s="25" t="str">
        <f t="shared" si="170"/>
        <v/>
      </c>
      <c r="AD361" s="25" t="str">
        <f t="shared" si="171"/>
        <v/>
      </c>
      <c r="AE361" s="25" t="str">
        <f t="shared" si="172"/>
        <v/>
      </c>
      <c r="AF361" s="25" t="str">
        <f t="shared" si="173"/>
        <v/>
      </c>
      <c r="AG361" s="26" t="str">
        <f t="shared" si="174"/>
        <v/>
      </c>
      <c r="AI361" s="24" t="str">
        <f t="shared" si="175"/>
        <v/>
      </c>
      <c r="AJ361" s="25" t="str">
        <f t="shared" si="176"/>
        <v/>
      </c>
      <c r="AK361" s="25" t="str">
        <f t="shared" si="177"/>
        <v/>
      </c>
      <c r="AL361" s="25" t="str">
        <f t="shared" si="178"/>
        <v/>
      </c>
      <c r="AM361" s="25" t="str">
        <f t="shared" si="179"/>
        <v/>
      </c>
      <c r="AN361" s="25" t="str">
        <f t="shared" si="180"/>
        <v/>
      </c>
      <c r="AO361" s="25"/>
      <c r="AP361" s="25"/>
      <c r="AQ361" s="25"/>
      <c r="AR361" s="25" t="str">
        <f t="shared" si="181"/>
        <v/>
      </c>
      <c r="AS361" s="26" t="str">
        <f t="shared" si="182"/>
        <v/>
      </c>
    </row>
    <row r="362" spans="2:45" hidden="1" x14ac:dyDescent="0.25">
      <c r="B362" s="70">
        <v>117</v>
      </c>
      <c r="C362" s="59" t="str">
        <f t="shared" si="151"/>
        <v/>
      </c>
      <c r="D362" s="55" t="str">
        <f t="shared" si="152"/>
        <v/>
      </c>
      <c r="E362" s="55" t="str">
        <f t="shared" si="153"/>
        <v/>
      </c>
      <c r="F362" s="55" t="str">
        <f t="shared" si="154"/>
        <v/>
      </c>
      <c r="G362" s="55" t="str">
        <f t="shared" si="155"/>
        <v/>
      </c>
      <c r="H362" s="55" t="str">
        <f t="shared" si="156"/>
        <v/>
      </c>
      <c r="I362" s="55" t="str">
        <f t="shared" si="157"/>
        <v/>
      </c>
      <c r="J362" s="60" t="str">
        <f t="shared" si="158"/>
        <v/>
      </c>
      <c r="M362" s="58">
        <v>117</v>
      </c>
      <c r="N362" s="59" t="str">
        <f t="shared" si="159"/>
        <v/>
      </c>
      <c r="O362" s="55" t="str">
        <f t="shared" si="160"/>
        <v/>
      </c>
      <c r="P362" s="55" t="str">
        <f t="shared" si="161"/>
        <v/>
      </c>
      <c r="Q362" s="55" t="str">
        <f t="shared" si="162"/>
        <v/>
      </c>
      <c r="R362" s="55" t="str">
        <f t="shared" si="163"/>
        <v/>
      </c>
      <c r="S362" s="55" t="str">
        <f t="shared" si="164"/>
        <v/>
      </c>
      <c r="T362" s="55"/>
      <c r="U362" s="55"/>
      <c r="V362" s="55"/>
      <c r="W362" s="55" t="str">
        <f t="shared" si="165"/>
        <v/>
      </c>
      <c r="X362" s="60" t="str">
        <f t="shared" si="166"/>
        <v/>
      </c>
      <c r="Z362" s="24" t="str">
        <f t="shared" si="167"/>
        <v/>
      </c>
      <c r="AA362" s="25" t="str">
        <f t="shared" si="168"/>
        <v/>
      </c>
      <c r="AB362" s="25" t="str">
        <f t="shared" si="169"/>
        <v/>
      </c>
      <c r="AC362" s="25" t="str">
        <f t="shared" si="170"/>
        <v/>
      </c>
      <c r="AD362" s="25" t="str">
        <f t="shared" si="171"/>
        <v/>
      </c>
      <c r="AE362" s="25" t="str">
        <f t="shared" si="172"/>
        <v/>
      </c>
      <c r="AF362" s="25" t="str">
        <f t="shared" si="173"/>
        <v/>
      </c>
      <c r="AG362" s="26" t="str">
        <f t="shared" si="174"/>
        <v/>
      </c>
      <c r="AI362" s="24" t="str">
        <f t="shared" si="175"/>
        <v/>
      </c>
      <c r="AJ362" s="25" t="str">
        <f t="shared" si="176"/>
        <v/>
      </c>
      <c r="AK362" s="25" t="str">
        <f t="shared" si="177"/>
        <v/>
      </c>
      <c r="AL362" s="25" t="str">
        <f t="shared" si="178"/>
        <v/>
      </c>
      <c r="AM362" s="25" t="str">
        <f t="shared" si="179"/>
        <v/>
      </c>
      <c r="AN362" s="25" t="str">
        <f t="shared" si="180"/>
        <v/>
      </c>
      <c r="AO362" s="25"/>
      <c r="AP362" s="25"/>
      <c r="AQ362" s="25"/>
      <c r="AR362" s="25" t="str">
        <f t="shared" si="181"/>
        <v/>
      </c>
      <c r="AS362" s="26" t="str">
        <f t="shared" si="182"/>
        <v/>
      </c>
    </row>
    <row r="363" spans="2:45" hidden="1" x14ac:dyDescent="0.25">
      <c r="B363" s="70">
        <v>118</v>
      </c>
      <c r="C363" s="59" t="str">
        <f t="shared" si="151"/>
        <v/>
      </c>
      <c r="D363" s="55" t="str">
        <f t="shared" si="152"/>
        <v/>
      </c>
      <c r="E363" s="55" t="str">
        <f t="shared" si="153"/>
        <v/>
      </c>
      <c r="F363" s="55" t="str">
        <f t="shared" si="154"/>
        <v/>
      </c>
      <c r="G363" s="55" t="str">
        <f t="shared" si="155"/>
        <v/>
      </c>
      <c r="H363" s="55" t="str">
        <f t="shared" si="156"/>
        <v/>
      </c>
      <c r="I363" s="55" t="str">
        <f t="shared" si="157"/>
        <v/>
      </c>
      <c r="J363" s="60" t="str">
        <f t="shared" si="158"/>
        <v/>
      </c>
      <c r="M363" s="58">
        <v>118</v>
      </c>
      <c r="N363" s="59" t="str">
        <f t="shared" si="159"/>
        <v/>
      </c>
      <c r="O363" s="55" t="str">
        <f t="shared" si="160"/>
        <v/>
      </c>
      <c r="P363" s="55" t="str">
        <f t="shared" si="161"/>
        <v/>
      </c>
      <c r="Q363" s="55" t="str">
        <f t="shared" si="162"/>
        <v/>
      </c>
      <c r="R363" s="55" t="str">
        <f t="shared" si="163"/>
        <v/>
      </c>
      <c r="S363" s="55" t="str">
        <f t="shared" si="164"/>
        <v/>
      </c>
      <c r="T363" s="55"/>
      <c r="U363" s="55"/>
      <c r="V363" s="55"/>
      <c r="W363" s="55" t="str">
        <f t="shared" si="165"/>
        <v/>
      </c>
      <c r="X363" s="60" t="str">
        <f t="shared" si="166"/>
        <v/>
      </c>
      <c r="Z363" s="24" t="str">
        <f t="shared" si="167"/>
        <v/>
      </c>
      <c r="AA363" s="25" t="str">
        <f t="shared" si="168"/>
        <v/>
      </c>
      <c r="AB363" s="25" t="str">
        <f t="shared" si="169"/>
        <v/>
      </c>
      <c r="AC363" s="25" t="str">
        <f t="shared" si="170"/>
        <v/>
      </c>
      <c r="AD363" s="25" t="str">
        <f t="shared" si="171"/>
        <v/>
      </c>
      <c r="AE363" s="25" t="str">
        <f t="shared" si="172"/>
        <v/>
      </c>
      <c r="AF363" s="25" t="str">
        <f t="shared" si="173"/>
        <v/>
      </c>
      <c r="AG363" s="26" t="str">
        <f t="shared" si="174"/>
        <v/>
      </c>
      <c r="AI363" s="24" t="str">
        <f t="shared" si="175"/>
        <v/>
      </c>
      <c r="AJ363" s="25" t="str">
        <f t="shared" si="176"/>
        <v/>
      </c>
      <c r="AK363" s="25" t="str">
        <f t="shared" si="177"/>
        <v/>
      </c>
      <c r="AL363" s="25" t="str">
        <f t="shared" si="178"/>
        <v/>
      </c>
      <c r="AM363" s="25" t="str">
        <f t="shared" si="179"/>
        <v/>
      </c>
      <c r="AN363" s="25" t="str">
        <f t="shared" si="180"/>
        <v/>
      </c>
      <c r="AO363" s="25"/>
      <c r="AP363" s="25"/>
      <c r="AQ363" s="25"/>
      <c r="AR363" s="25" t="str">
        <f t="shared" si="181"/>
        <v/>
      </c>
      <c r="AS363" s="26" t="str">
        <f t="shared" si="182"/>
        <v/>
      </c>
    </row>
    <row r="364" spans="2:45" hidden="1" x14ac:dyDescent="0.25">
      <c r="B364" s="70">
        <v>119</v>
      </c>
      <c r="C364" s="59" t="str">
        <f t="shared" si="151"/>
        <v/>
      </c>
      <c r="D364" s="55" t="str">
        <f t="shared" si="152"/>
        <v/>
      </c>
      <c r="E364" s="55" t="str">
        <f t="shared" si="153"/>
        <v/>
      </c>
      <c r="F364" s="55" t="str">
        <f t="shared" si="154"/>
        <v/>
      </c>
      <c r="G364" s="55" t="str">
        <f t="shared" si="155"/>
        <v/>
      </c>
      <c r="H364" s="55" t="str">
        <f t="shared" si="156"/>
        <v/>
      </c>
      <c r="I364" s="55" t="str">
        <f t="shared" si="157"/>
        <v/>
      </c>
      <c r="J364" s="60" t="str">
        <f t="shared" si="158"/>
        <v/>
      </c>
      <c r="M364" s="58">
        <v>119</v>
      </c>
      <c r="N364" s="59" t="str">
        <f t="shared" si="159"/>
        <v/>
      </c>
      <c r="O364" s="55" t="str">
        <f t="shared" si="160"/>
        <v/>
      </c>
      <c r="P364" s="55" t="str">
        <f t="shared" si="161"/>
        <v/>
      </c>
      <c r="Q364" s="55" t="str">
        <f t="shared" si="162"/>
        <v/>
      </c>
      <c r="R364" s="55" t="str">
        <f t="shared" si="163"/>
        <v/>
      </c>
      <c r="S364" s="55" t="str">
        <f t="shared" si="164"/>
        <v/>
      </c>
      <c r="T364" s="55"/>
      <c r="U364" s="55"/>
      <c r="V364" s="55"/>
      <c r="W364" s="55" t="str">
        <f t="shared" si="165"/>
        <v/>
      </c>
      <c r="X364" s="60" t="str">
        <f t="shared" si="166"/>
        <v/>
      </c>
      <c r="Z364" s="24" t="str">
        <f t="shared" si="167"/>
        <v/>
      </c>
      <c r="AA364" s="25" t="str">
        <f t="shared" si="168"/>
        <v/>
      </c>
      <c r="AB364" s="25" t="str">
        <f t="shared" si="169"/>
        <v/>
      </c>
      <c r="AC364" s="25" t="str">
        <f t="shared" si="170"/>
        <v/>
      </c>
      <c r="AD364" s="25" t="str">
        <f t="shared" si="171"/>
        <v/>
      </c>
      <c r="AE364" s="25" t="str">
        <f t="shared" si="172"/>
        <v/>
      </c>
      <c r="AF364" s="25" t="str">
        <f t="shared" si="173"/>
        <v/>
      </c>
      <c r="AG364" s="26" t="str">
        <f t="shared" si="174"/>
        <v/>
      </c>
      <c r="AI364" s="24" t="str">
        <f t="shared" si="175"/>
        <v/>
      </c>
      <c r="AJ364" s="25" t="str">
        <f t="shared" si="176"/>
        <v/>
      </c>
      <c r="AK364" s="25" t="str">
        <f t="shared" si="177"/>
        <v/>
      </c>
      <c r="AL364" s="25" t="str">
        <f t="shared" si="178"/>
        <v/>
      </c>
      <c r="AM364" s="25" t="str">
        <f t="shared" si="179"/>
        <v/>
      </c>
      <c r="AN364" s="25" t="str">
        <f t="shared" si="180"/>
        <v/>
      </c>
      <c r="AO364" s="25"/>
      <c r="AP364" s="25"/>
      <c r="AQ364" s="25"/>
      <c r="AR364" s="25" t="str">
        <f t="shared" si="181"/>
        <v/>
      </c>
      <c r="AS364" s="26" t="str">
        <f t="shared" si="182"/>
        <v/>
      </c>
    </row>
    <row r="365" spans="2:45" hidden="1" x14ac:dyDescent="0.25">
      <c r="B365" s="70">
        <v>120</v>
      </c>
      <c r="C365" s="59" t="str">
        <f t="shared" si="151"/>
        <v/>
      </c>
      <c r="D365" s="55" t="str">
        <f t="shared" si="152"/>
        <v/>
      </c>
      <c r="E365" s="55" t="str">
        <f t="shared" si="153"/>
        <v/>
      </c>
      <c r="F365" s="55" t="str">
        <f t="shared" si="154"/>
        <v/>
      </c>
      <c r="G365" s="55" t="str">
        <f t="shared" si="155"/>
        <v/>
      </c>
      <c r="H365" s="55" t="str">
        <f t="shared" si="156"/>
        <v/>
      </c>
      <c r="I365" s="55" t="str">
        <f t="shared" si="157"/>
        <v/>
      </c>
      <c r="J365" s="60" t="str">
        <f t="shared" si="158"/>
        <v/>
      </c>
      <c r="M365" s="58">
        <v>120</v>
      </c>
      <c r="N365" s="59" t="str">
        <f t="shared" si="159"/>
        <v/>
      </c>
      <c r="O365" s="55" t="str">
        <f t="shared" si="160"/>
        <v/>
      </c>
      <c r="P365" s="55" t="str">
        <f t="shared" si="161"/>
        <v/>
      </c>
      <c r="Q365" s="55" t="str">
        <f t="shared" si="162"/>
        <v/>
      </c>
      <c r="R365" s="55" t="str">
        <f t="shared" si="163"/>
        <v/>
      </c>
      <c r="S365" s="55" t="str">
        <f t="shared" si="164"/>
        <v/>
      </c>
      <c r="T365" s="55"/>
      <c r="U365" s="55"/>
      <c r="V365" s="55"/>
      <c r="W365" s="55" t="str">
        <f t="shared" si="165"/>
        <v/>
      </c>
      <c r="X365" s="60" t="str">
        <f t="shared" si="166"/>
        <v/>
      </c>
      <c r="Z365" s="24" t="str">
        <f t="shared" si="167"/>
        <v/>
      </c>
      <c r="AA365" s="25" t="str">
        <f t="shared" si="168"/>
        <v/>
      </c>
      <c r="AB365" s="25" t="str">
        <f t="shared" si="169"/>
        <v/>
      </c>
      <c r="AC365" s="25" t="str">
        <f t="shared" si="170"/>
        <v/>
      </c>
      <c r="AD365" s="25" t="str">
        <f t="shared" si="171"/>
        <v/>
      </c>
      <c r="AE365" s="25" t="str">
        <f t="shared" si="172"/>
        <v/>
      </c>
      <c r="AF365" s="25" t="str">
        <f t="shared" si="173"/>
        <v/>
      </c>
      <c r="AG365" s="26" t="str">
        <f t="shared" si="174"/>
        <v/>
      </c>
      <c r="AI365" s="24" t="str">
        <f t="shared" si="175"/>
        <v/>
      </c>
      <c r="AJ365" s="25" t="str">
        <f t="shared" si="176"/>
        <v/>
      </c>
      <c r="AK365" s="25" t="str">
        <f t="shared" si="177"/>
        <v/>
      </c>
      <c r="AL365" s="25" t="str">
        <f t="shared" si="178"/>
        <v/>
      </c>
      <c r="AM365" s="25" t="str">
        <f t="shared" si="179"/>
        <v/>
      </c>
      <c r="AN365" s="25" t="str">
        <f t="shared" si="180"/>
        <v/>
      </c>
      <c r="AO365" s="25"/>
      <c r="AP365" s="25"/>
      <c r="AQ365" s="25"/>
      <c r="AR365" s="25" t="str">
        <f t="shared" si="181"/>
        <v/>
      </c>
      <c r="AS365" s="26" t="str">
        <f t="shared" si="182"/>
        <v/>
      </c>
    </row>
    <row r="366" spans="2:45" hidden="1" x14ac:dyDescent="0.25">
      <c r="B366" s="70">
        <v>121</v>
      </c>
      <c r="C366" s="59" t="str">
        <f t="shared" si="151"/>
        <v/>
      </c>
      <c r="D366" s="55" t="str">
        <f t="shared" si="152"/>
        <v/>
      </c>
      <c r="E366" s="55" t="str">
        <f t="shared" si="153"/>
        <v/>
      </c>
      <c r="F366" s="55" t="str">
        <f t="shared" si="154"/>
        <v/>
      </c>
      <c r="G366" s="55" t="str">
        <f t="shared" si="155"/>
        <v/>
      </c>
      <c r="H366" s="55" t="str">
        <f t="shared" si="156"/>
        <v/>
      </c>
      <c r="I366" s="55" t="str">
        <f t="shared" si="157"/>
        <v/>
      </c>
      <c r="J366" s="60" t="str">
        <f t="shared" si="158"/>
        <v/>
      </c>
      <c r="M366" s="58">
        <v>121</v>
      </c>
      <c r="N366" s="59" t="str">
        <f t="shared" si="159"/>
        <v/>
      </c>
      <c r="O366" s="55" t="str">
        <f t="shared" si="160"/>
        <v/>
      </c>
      <c r="P366" s="55" t="str">
        <f t="shared" si="161"/>
        <v/>
      </c>
      <c r="Q366" s="55" t="str">
        <f t="shared" si="162"/>
        <v/>
      </c>
      <c r="R366" s="55" t="str">
        <f t="shared" si="163"/>
        <v/>
      </c>
      <c r="S366" s="55" t="str">
        <f t="shared" si="164"/>
        <v/>
      </c>
      <c r="T366" s="55"/>
      <c r="U366" s="55"/>
      <c r="V366" s="55"/>
      <c r="W366" s="55" t="str">
        <f t="shared" si="165"/>
        <v/>
      </c>
      <c r="X366" s="60" t="str">
        <f t="shared" si="166"/>
        <v/>
      </c>
      <c r="Z366" s="24" t="str">
        <f t="shared" si="167"/>
        <v/>
      </c>
      <c r="AA366" s="25" t="str">
        <f t="shared" si="168"/>
        <v/>
      </c>
      <c r="AB366" s="25" t="str">
        <f t="shared" si="169"/>
        <v/>
      </c>
      <c r="AC366" s="25" t="str">
        <f t="shared" si="170"/>
        <v/>
      </c>
      <c r="AD366" s="25" t="str">
        <f t="shared" si="171"/>
        <v/>
      </c>
      <c r="AE366" s="25" t="str">
        <f t="shared" si="172"/>
        <v/>
      </c>
      <c r="AF366" s="25" t="str">
        <f t="shared" si="173"/>
        <v/>
      </c>
      <c r="AG366" s="26" t="str">
        <f t="shared" si="174"/>
        <v/>
      </c>
      <c r="AI366" s="24" t="str">
        <f t="shared" si="175"/>
        <v/>
      </c>
      <c r="AJ366" s="25" t="str">
        <f t="shared" si="176"/>
        <v/>
      </c>
      <c r="AK366" s="25" t="str">
        <f t="shared" si="177"/>
        <v/>
      </c>
      <c r="AL366" s="25" t="str">
        <f t="shared" si="178"/>
        <v/>
      </c>
      <c r="AM366" s="25" t="str">
        <f t="shared" si="179"/>
        <v/>
      </c>
      <c r="AN366" s="25" t="str">
        <f t="shared" si="180"/>
        <v/>
      </c>
      <c r="AO366" s="25"/>
      <c r="AP366" s="25"/>
      <c r="AQ366" s="25"/>
      <c r="AR366" s="25" t="str">
        <f t="shared" si="181"/>
        <v/>
      </c>
      <c r="AS366" s="26" t="str">
        <f t="shared" si="182"/>
        <v/>
      </c>
    </row>
    <row r="367" spans="2:45" hidden="1" x14ac:dyDescent="0.25">
      <c r="B367" s="70">
        <v>122</v>
      </c>
      <c r="C367" s="59" t="str">
        <f t="shared" si="151"/>
        <v/>
      </c>
      <c r="D367" s="55" t="str">
        <f t="shared" si="152"/>
        <v/>
      </c>
      <c r="E367" s="55" t="str">
        <f t="shared" si="153"/>
        <v/>
      </c>
      <c r="F367" s="55" t="str">
        <f t="shared" si="154"/>
        <v/>
      </c>
      <c r="G367" s="55" t="str">
        <f t="shared" si="155"/>
        <v/>
      </c>
      <c r="H367" s="55" t="str">
        <f t="shared" si="156"/>
        <v/>
      </c>
      <c r="I367" s="55" t="str">
        <f t="shared" si="157"/>
        <v/>
      </c>
      <c r="J367" s="60" t="str">
        <f t="shared" si="158"/>
        <v/>
      </c>
      <c r="M367" s="58">
        <v>122</v>
      </c>
      <c r="N367" s="59" t="str">
        <f t="shared" si="159"/>
        <v/>
      </c>
      <c r="O367" s="55" t="str">
        <f t="shared" si="160"/>
        <v/>
      </c>
      <c r="P367" s="55" t="str">
        <f t="shared" si="161"/>
        <v/>
      </c>
      <c r="Q367" s="55" t="str">
        <f t="shared" si="162"/>
        <v/>
      </c>
      <c r="R367" s="55" t="str">
        <f t="shared" si="163"/>
        <v/>
      </c>
      <c r="S367" s="55" t="str">
        <f t="shared" si="164"/>
        <v/>
      </c>
      <c r="T367" s="55"/>
      <c r="U367" s="55"/>
      <c r="V367" s="55"/>
      <c r="W367" s="55" t="str">
        <f t="shared" si="165"/>
        <v/>
      </c>
      <c r="X367" s="60" t="str">
        <f t="shared" si="166"/>
        <v/>
      </c>
      <c r="Z367" s="24" t="str">
        <f t="shared" si="167"/>
        <v/>
      </c>
      <c r="AA367" s="25" t="str">
        <f t="shared" si="168"/>
        <v/>
      </c>
      <c r="AB367" s="25" t="str">
        <f t="shared" si="169"/>
        <v/>
      </c>
      <c r="AC367" s="25" t="str">
        <f t="shared" si="170"/>
        <v/>
      </c>
      <c r="AD367" s="25" t="str">
        <f t="shared" si="171"/>
        <v/>
      </c>
      <c r="AE367" s="25" t="str">
        <f t="shared" si="172"/>
        <v/>
      </c>
      <c r="AF367" s="25" t="str">
        <f t="shared" si="173"/>
        <v/>
      </c>
      <c r="AG367" s="26" t="str">
        <f t="shared" si="174"/>
        <v/>
      </c>
      <c r="AI367" s="24" t="str">
        <f t="shared" si="175"/>
        <v/>
      </c>
      <c r="AJ367" s="25" t="str">
        <f t="shared" si="176"/>
        <v/>
      </c>
      <c r="AK367" s="25" t="str">
        <f t="shared" si="177"/>
        <v/>
      </c>
      <c r="AL367" s="25" t="str">
        <f t="shared" si="178"/>
        <v/>
      </c>
      <c r="AM367" s="25" t="str">
        <f t="shared" si="179"/>
        <v/>
      </c>
      <c r="AN367" s="25" t="str">
        <f t="shared" si="180"/>
        <v/>
      </c>
      <c r="AO367" s="25"/>
      <c r="AP367" s="25"/>
      <c r="AQ367" s="25"/>
      <c r="AR367" s="25" t="str">
        <f t="shared" si="181"/>
        <v/>
      </c>
      <c r="AS367" s="26" t="str">
        <f t="shared" si="182"/>
        <v/>
      </c>
    </row>
    <row r="368" spans="2:45" hidden="1" x14ac:dyDescent="0.25">
      <c r="B368" s="70">
        <v>123</v>
      </c>
      <c r="C368" s="59" t="str">
        <f t="shared" si="151"/>
        <v/>
      </c>
      <c r="D368" s="55" t="str">
        <f t="shared" si="152"/>
        <v/>
      </c>
      <c r="E368" s="55" t="str">
        <f t="shared" si="153"/>
        <v/>
      </c>
      <c r="F368" s="55" t="str">
        <f t="shared" si="154"/>
        <v/>
      </c>
      <c r="G368" s="55" t="str">
        <f t="shared" si="155"/>
        <v/>
      </c>
      <c r="H368" s="55" t="str">
        <f t="shared" si="156"/>
        <v/>
      </c>
      <c r="I368" s="55" t="str">
        <f t="shared" si="157"/>
        <v/>
      </c>
      <c r="J368" s="60" t="str">
        <f t="shared" si="158"/>
        <v/>
      </c>
      <c r="M368" s="58">
        <v>123</v>
      </c>
      <c r="N368" s="59" t="str">
        <f t="shared" si="159"/>
        <v/>
      </c>
      <c r="O368" s="55" t="str">
        <f t="shared" si="160"/>
        <v/>
      </c>
      <c r="P368" s="55" t="str">
        <f t="shared" si="161"/>
        <v/>
      </c>
      <c r="Q368" s="55" t="str">
        <f t="shared" si="162"/>
        <v/>
      </c>
      <c r="R368" s="55" t="str">
        <f t="shared" si="163"/>
        <v/>
      </c>
      <c r="S368" s="55" t="str">
        <f t="shared" si="164"/>
        <v/>
      </c>
      <c r="T368" s="55"/>
      <c r="U368" s="55"/>
      <c r="V368" s="55"/>
      <c r="W368" s="55" t="str">
        <f t="shared" si="165"/>
        <v/>
      </c>
      <c r="X368" s="60" t="str">
        <f t="shared" si="166"/>
        <v/>
      </c>
      <c r="Z368" s="24" t="str">
        <f t="shared" si="167"/>
        <v/>
      </c>
      <c r="AA368" s="25" t="str">
        <f t="shared" si="168"/>
        <v/>
      </c>
      <c r="AB368" s="25" t="str">
        <f t="shared" si="169"/>
        <v/>
      </c>
      <c r="AC368" s="25" t="str">
        <f t="shared" si="170"/>
        <v/>
      </c>
      <c r="AD368" s="25" t="str">
        <f t="shared" si="171"/>
        <v/>
      </c>
      <c r="AE368" s="25" t="str">
        <f t="shared" si="172"/>
        <v/>
      </c>
      <c r="AF368" s="25" t="str">
        <f t="shared" si="173"/>
        <v/>
      </c>
      <c r="AG368" s="26" t="str">
        <f t="shared" si="174"/>
        <v/>
      </c>
      <c r="AI368" s="24" t="str">
        <f t="shared" si="175"/>
        <v/>
      </c>
      <c r="AJ368" s="25" t="str">
        <f t="shared" si="176"/>
        <v/>
      </c>
      <c r="AK368" s="25" t="str">
        <f t="shared" si="177"/>
        <v/>
      </c>
      <c r="AL368" s="25" t="str">
        <f t="shared" si="178"/>
        <v/>
      </c>
      <c r="AM368" s="25" t="str">
        <f t="shared" si="179"/>
        <v/>
      </c>
      <c r="AN368" s="25" t="str">
        <f t="shared" si="180"/>
        <v/>
      </c>
      <c r="AO368" s="25"/>
      <c r="AP368" s="25"/>
      <c r="AQ368" s="25"/>
      <c r="AR368" s="25" t="str">
        <f t="shared" si="181"/>
        <v/>
      </c>
      <c r="AS368" s="26" t="str">
        <f t="shared" si="182"/>
        <v/>
      </c>
    </row>
    <row r="369" spans="2:45" hidden="1" x14ac:dyDescent="0.25">
      <c r="B369" s="70">
        <v>124</v>
      </c>
      <c r="C369" s="59" t="str">
        <f t="shared" si="151"/>
        <v/>
      </c>
      <c r="D369" s="55" t="str">
        <f t="shared" si="152"/>
        <v/>
      </c>
      <c r="E369" s="55" t="str">
        <f t="shared" si="153"/>
        <v/>
      </c>
      <c r="F369" s="55" t="str">
        <f t="shared" si="154"/>
        <v/>
      </c>
      <c r="G369" s="55" t="str">
        <f t="shared" si="155"/>
        <v/>
      </c>
      <c r="H369" s="55" t="str">
        <f t="shared" si="156"/>
        <v/>
      </c>
      <c r="I369" s="55" t="str">
        <f t="shared" si="157"/>
        <v/>
      </c>
      <c r="J369" s="60" t="str">
        <f t="shared" si="158"/>
        <v/>
      </c>
      <c r="M369" s="58">
        <v>124</v>
      </c>
      <c r="N369" s="59" t="str">
        <f t="shared" si="159"/>
        <v/>
      </c>
      <c r="O369" s="55" t="str">
        <f t="shared" si="160"/>
        <v/>
      </c>
      <c r="P369" s="55" t="str">
        <f t="shared" si="161"/>
        <v/>
      </c>
      <c r="Q369" s="55" t="str">
        <f t="shared" si="162"/>
        <v/>
      </c>
      <c r="R369" s="55" t="str">
        <f t="shared" si="163"/>
        <v/>
      </c>
      <c r="S369" s="55" t="str">
        <f t="shared" si="164"/>
        <v/>
      </c>
      <c r="T369" s="55"/>
      <c r="U369" s="55"/>
      <c r="V369" s="55"/>
      <c r="W369" s="55" t="str">
        <f t="shared" si="165"/>
        <v/>
      </c>
      <c r="X369" s="60" t="str">
        <f t="shared" si="166"/>
        <v/>
      </c>
      <c r="Z369" s="24" t="str">
        <f t="shared" si="167"/>
        <v/>
      </c>
      <c r="AA369" s="25" t="str">
        <f t="shared" si="168"/>
        <v/>
      </c>
      <c r="AB369" s="25" t="str">
        <f t="shared" si="169"/>
        <v/>
      </c>
      <c r="AC369" s="25" t="str">
        <f t="shared" si="170"/>
        <v/>
      </c>
      <c r="AD369" s="25" t="str">
        <f t="shared" si="171"/>
        <v/>
      </c>
      <c r="AE369" s="25" t="str">
        <f t="shared" si="172"/>
        <v/>
      </c>
      <c r="AF369" s="25" t="str">
        <f t="shared" si="173"/>
        <v/>
      </c>
      <c r="AG369" s="26" t="str">
        <f t="shared" si="174"/>
        <v/>
      </c>
      <c r="AI369" s="24" t="str">
        <f t="shared" si="175"/>
        <v/>
      </c>
      <c r="AJ369" s="25" t="str">
        <f t="shared" si="176"/>
        <v/>
      </c>
      <c r="AK369" s="25" t="str">
        <f t="shared" si="177"/>
        <v/>
      </c>
      <c r="AL369" s="25" t="str">
        <f t="shared" si="178"/>
        <v/>
      </c>
      <c r="AM369" s="25" t="str">
        <f t="shared" si="179"/>
        <v/>
      </c>
      <c r="AN369" s="25" t="str">
        <f t="shared" si="180"/>
        <v/>
      </c>
      <c r="AO369" s="25"/>
      <c r="AP369" s="25"/>
      <c r="AQ369" s="25"/>
      <c r="AR369" s="25" t="str">
        <f t="shared" si="181"/>
        <v/>
      </c>
      <c r="AS369" s="26" t="str">
        <f t="shared" si="182"/>
        <v/>
      </c>
    </row>
    <row r="370" spans="2:45" hidden="1" x14ac:dyDescent="0.25">
      <c r="B370" s="70">
        <v>125</v>
      </c>
      <c r="C370" s="59" t="str">
        <f t="shared" si="151"/>
        <v/>
      </c>
      <c r="D370" s="55" t="str">
        <f t="shared" si="152"/>
        <v/>
      </c>
      <c r="E370" s="55" t="str">
        <f t="shared" si="153"/>
        <v/>
      </c>
      <c r="F370" s="55" t="str">
        <f t="shared" si="154"/>
        <v/>
      </c>
      <c r="G370" s="55" t="str">
        <f t="shared" si="155"/>
        <v/>
      </c>
      <c r="H370" s="55" t="str">
        <f t="shared" si="156"/>
        <v/>
      </c>
      <c r="I370" s="55" t="str">
        <f t="shared" si="157"/>
        <v/>
      </c>
      <c r="J370" s="60" t="str">
        <f t="shared" si="158"/>
        <v/>
      </c>
      <c r="M370" s="58">
        <v>125</v>
      </c>
      <c r="N370" s="59" t="str">
        <f t="shared" si="159"/>
        <v/>
      </c>
      <c r="O370" s="55" t="str">
        <f t="shared" si="160"/>
        <v/>
      </c>
      <c r="P370" s="55" t="str">
        <f t="shared" si="161"/>
        <v/>
      </c>
      <c r="Q370" s="55" t="str">
        <f t="shared" si="162"/>
        <v/>
      </c>
      <c r="R370" s="55" t="str">
        <f t="shared" si="163"/>
        <v/>
      </c>
      <c r="S370" s="55" t="str">
        <f t="shared" si="164"/>
        <v/>
      </c>
      <c r="T370" s="55"/>
      <c r="U370" s="55"/>
      <c r="V370" s="55"/>
      <c r="W370" s="55" t="str">
        <f t="shared" si="165"/>
        <v/>
      </c>
      <c r="X370" s="60" t="str">
        <f t="shared" si="166"/>
        <v/>
      </c>
      <c r="Z370" s="24" t="str">
        <f t="shared" si="167"/>
        <v/>
      </c>
      <c r="AA370" s="25" t="str">
        <f t="shared" si="168"/>
        <v/>
      </c>
      <c r="AB370" s="25" t="str">
        <f t="shared" si="169"/>
        <v/>
      </c>
      <c r="AC370" s="25" t="str">
        <f t="shared" si="170"/>
        <v/>
      </c>
      <c r="AD370" s="25" t="str">
        <f t="shared" si="171"/>
        <v/>
      </c>
      <c r="AE370" s="25" t="str">
        <f t="shared" si="172"/>
        <v/>
      </c>
      <c r="AF370" s="25" t="str">
        <f t="shared" si="173"/>
        <v/>
      </c>
      <c r="AG370" s="26" t="str">
        <f t="shared" si="174"/>
        <v/>
      </c>
      <c r="AI370" s="24" t="str">
        <f t="shared" si="175"/>
        <v/>
      </c>
      <c r="AJ370" s="25" t="str">
        <f t="shared" si="176"/>
        <v/>
      </c>
      <c r="AK370" s="25" t="str">
        <f t="shared" si="177"/>
        <v/>
      </c>
      <c r="AL370" s="25" t="str">
        <f t="shared" si="178"/>
        <v/>
      </c>
      <c r="AM370" s="25" t="str">
        <f t="shared" si="179"/>
        <v/>
      </c>
      <c r="AN370" s="25" t="str">
        <f t="shared" si="180"/>
        <v/>
      </c>
      <c r="AO370" s="25"/>
      <c r="AP370" s="25"/>
      <c r="AQ370" s="25"/>
      <c r="AR370" s="25" t="str">
        <f t="shared" si="181"/>
        <v/>
      </c>
      <c r="AS370" s="26" t="str">
        <f t="shared" si="182"/>
        <v/>
      </c>
    </row>
    <row r="371" spans="2:45" hidden="1" x14ac:dyDescent="0.25">
      <c r="B371" s="70">
        <v>126</v>
      </c>
      <c r="C371" s="59" t="str">
        <f t="shared" si="151"/>
        <v/>
      </c>
      <c r="D371" s="55" t="str">
        <f t="shared" si="152"/>
        <v/>
      </c>
      <c r="E371" s="55" t="str">
        <f t="shared" si="153"/>
        <v/>
      </c>
      <c r="F371" s="55" t="str">
        <f t="shared" si="154"/>
        <v/>
      </c>
      <c r="G371" s="55" t="str">
        <f t="shared" si="155"/>
        <v/>
      </c>
      <c r="H371" s="55" t="str">
        <f t="shared" si="156"/>
        <v/>
      </c>
      <c r="I371" s="55" t="str">
        <f t="shared" si="157"/>
        <v/>
      </c>
      <c r="J371" s="60" t="str">
        <f t="shared" si="158"/>
        <v/>
      </c>
      <c r="M371" s="58">
        <v>126</v>
      </c>
      <c r="N371" s="59" t="str">
        <f t="shared" si="159"/>
        <v/>
      </c>
      <c r="O371" s="55" t="str">
        <f t="shared" si="160"/>
        <v/>
      </c>
      <c r="P371" s="55" t="str">
        <f t="shared" si="161"/>
        <v/>
      </c>
      <c r="Q371" s="55" t="str">
        <f t="shared" si="162"/>
        <v/>
      </c>
      <c r="R371" s="55" t="str">
        <f t="shared" si="163"/>
        <v/>
      </c>
      <c r="S371" s="55" t="str">
        <f t="shared" si="164"/>
        <v/>
      </c>
      <c r="T371" s="55"/>
      <c r="U371" s="55"/>
      <c r="V371" s="55"/>
      <c r="W371" s="55" t="str">
        <f t="shared" si="165"/>
        <v/>
      </c>
      <c r="X371" s="60" t="str">
        <f t="shared" si="166"/>
        <v/>
      </c>
      <c r="Z371" s="24" t="str">
        <f t="shared" si="167"/>
        <v/>
      </c>
      <c r="AA371" s="25" t="str">
        <f t="shared" si="168"/>
        <v/>
      </c>
      <c r="AB371" s="25" t="str">
        <f t="shared" si="169"/>
        <v/>
      </c>
      <c r="AC371" s="25" t="str">
        <f t="shared" si="170"/>
        <v/>
      </c>
      <c r="AD371" s="25" t="str">
        <f t="shared" si="171"/>
        <v/>
      </c>
      <c r="AE371" s="25" t="str">
        <f t="shared" si="172"/>
        <v/>
      </c>
      <c r="AF371" s="25" t="str">
        <f t="shared" si="173"/>
        <v/>
      </c>
      <c r="AG371" s="26" t="str">
        <f t="shared" si="174"/>
        <v/>
      </c>
      <c r="AI371" s="24" t="str">
        <f t="shared" si="175"/>
        <v/>
      </c>
      <c r="AJ371" s="25" t="str">
        <f t="shared" si="176"/>
        <v/>
      </c>
      <c r="AK371" s="25" t="str">
        <f t="shared" si="177"/>
        <v/>
      </c>
      <c r="AL371" s="25" t="str">
        <f t="shared" si="178"/>
        <v/>
      </c>
      <c r="AM371" s="25" t="str">
        <f t="shared" si="179"/>
        <v/>
      </c>
      <c r="AN371" s="25" t="str">
        <f t="shared" si="180"/>
        <v/>
      </c>
      <c r="AO371" s="25"/>
      <c r="AP371" s="25"/>
      <c r="AQ371" s="25"/>
      <c r="AR371" s="25" t="str">
        <f t="shared" si="181"/>
        <v/>
      </c>
      <c r="AS371" s="26" t="str">
        <f t="shared" si="182"/>
        <v/>
      </c>
    </row>
    <row r="372" spans="2:45" hidden="1" x14ac:dyDescent="0.25">
      <c r="B372" s="70">
        <v>127</v>
      </c>
      <c r="C372" s="59" t="str">
        <f t="shared" si="151"/>
        <v/>
      </c>
      <c r="D372" s="55" t="str">
        <f t="shared" si="152"/>
        <v/>
      </c>
      <c r="E372" s="55" t="str">
        <f t="shared" si="153"/>
        <v/>
      </c>
      <c r="F372" s="55" t="str">
        <f t="shared" si="154"/>
        <v/>
      </c>
      <c r="G372" s="55" t="str">
        <f t="shared" si="155"/>
        <v/>
      </c>
      <c r="H372" s="55" t="str">
        <f t="shared" si="156"/>
        <v/>
      </c>
      <c r="I372" s="55" t="str">
        <f t="shared" si="157"/>
        <v/>
      </c>
      <c r="J372" s="60" t="str">
        <f t="shared" si="158"/>
        <v/>
      </c>
      <c r="M372" s="58">
        <v>127</v>
      </c>
      <c r="N372" s="59" t="str">
        <f t="shared" si="159"/>
        <v/>
      </c>
      <c r="O372" s="55" t="str">
        <f t="shared" si="160"/>
        <v/>
      </c>
      <c r="P372" s="55" t="str">
        <f t="shared" si="161"/>
        <v/>
      </c>
      <c r="Q372" s="55" t="str">
        <f t="shared" si="162"/>
        <v/>
      </c>
      <c r="R372" s="55" t="str">
        <f t="shared" si="163"/>
        <v/>
      </c>
      <c r="S372" s="55" t="str">
        <f t="shared" si="164"/>
        <v/>
      </c>
      <c r="T372" s="55"/>
      <c r="U372" s="55"/>
      <c r="V372" s="55"/>
      <c r="W372" s="55" t="str">
        <f t="shared" si="165"/>
        <v/>
      </c>
      <c r="X372" s="60" t="str">
        <f t="shared" si="166"/>
        <v/>
      </c>
      <c r="Z372" s="24" t="str">
        <f t="shared" si="167"/>
        <v/>
      </c>
      <c r="AA372" s="25" t="str">
        <f t="shared" si="168"/>
        <v/>
      </c>
      <c r="AB372" s="25" t="str">
        <f t="shared" si="169"/>
        <v/>
      </c>
      <c r="AC372" s="25" t="str">
        <f t="shared" si="170"/>
        <v/>
      </c>
      <c r="AD372" s="25" t="str">
        <f t="shared" si="171"/>
        <v/>
      </c>
      <c r="AE372" s="25" t="str">
        <f t="shared" si="172"/>
        <v/>
      </c>
      <c r="AF372" s="25" t="str">
        <f t="shared" si="173"/>
        <v/>
      </c>
      <c r="AG372" s="26" t="str">
        <f t="shared" si="174"/>
        <v/>
      </c>
      <c r="AI372" s="24" t="str">
        <f t="shared" si="175"/>
        <v/>
      </c>
      <c r="AJ372" s="25" t="str">
        <f t="shared" si="176"/>
        <v/>
      </c>
      <c r="AK372" s="25" t="str">
        <f t="shared" si="177"/>
        <v/>
      </c>
      <c r="AL372" s="25" t="str">
        <f t="shared" si="178"/>
        <v/>
      </c>
      <c r="AM372" s="25" t="str">
        <f t="shared" si="179"/>
        <v/>
      </c>
      <c r="AN372" s="25" t="str">
        <f t="shared" si="180"/>
        <v/>
      </c>
      <c r="AO372" s="25"/>
      <c r="AP372" s="25"/>
      <c r="AQ372" s="25"/>
      <c r="AR372" s="25" t="str">
        <f t="shared" si="181"/>
        <v/>
      </c>
      <c r="AS372" s="26" t="str">
        <f t="shared" si="182"/>
        <v/>
      </c>
    </row>
    <row r="373" spans="2:45" hidden="1" x14ac:dyDescent="0.25">
      <c r="B373" s="70">
        <v>128</v>
      </c>
      <c r="C373" s="59" t="str">
        <f t="shared" si="151"/>
        <v/>
      </c>
      <c r="D373" s="55" t="str">
        <f t="shared" si="152"/>
        <v/>
      </c>
      <c r="E373" s="55" t="str">
        <f t="shared" si="153"/>
        <v/>
      </c>
      <c r="F373" s="55" t="str">
        <f t="shared" si="154"/>
        <v/>
      </c>
      <c r="G373" s="55" t="str">
        <f t="shared" si="155"/>
        <v/>
      </c>
      <c r="H373" s="55" t="str">
        <f t="shared" si="156"/>
        <v/>
      </c>
      <c r="I373" s="55" t="str">
        <f t="shared" si="157"/>
        <v/>
      </c>
      <c r="J373" s="60" t="str">
        <f t="shared" si="158"/>
        <v/>
      </c>
      <c r="M373" s="58">
        <v>128</v>
      </c>
      <c r="N373" s="59" t="str">
        <f t="shared" si="159"/>
        <v/>
      </c>
      <c r="O373" s="55" t="str">
        <f t="shared" si="160"/>
        <v/>
      </c>
      <c r="P373" s="55" t="str">
        <f t="shared" si="161"/>
        <v/>
      </c>
      <c r="Q373" s="55" t="str">
        <f t="shared" si="162"/>
        <v/>
      </c>
      <c r="R373" s="55" t="str">
        <f t="shared" si="163"/>
        <v/>
      </c>
      <c r="S373" s="55" t="str">
        <f t="shared" si="164"/>
        <v/>
      </c>
      <c r="T373" s="55"/>
      <c r="U373" s="55"/>
      <c r="V373" s="55"/>
      <c r="W373" s="55" t="str">
        <f t="shared" si="165"/>
        <v/>
      </c>
      <c r="X373" s="60" t="str">
        <f t="shared" si="166"/>
        <v/>
      </c>
      <c r="Z373" s="24" t="str">
        <f t="shared" si="167"/>
        <v/>
      </c>
      <c r="AA373" s="25" t="str">
        <f t="shared" si="168"/>
        <v/>
      </c>
      <c r="AB373" s="25" t="str">
        <f t="shared" si="169"/>
        <v/>
      </c>
      <c r="AC373" s="25" t="str">
        <f t="shared" si="170"/>
        <v/>
      </c>
      <c r="AD373" s="25" t="str">
        <f t="shared" si="171"/>
        <v/>
      </c>
      <c r="AE373" s="25" t="str">
        <f t="shared" si="172"/>
        <v/>
      </c>
      <c r="AF373" s="25" t="str">
        <f t="shared" si="173"/>
        <v/>
      </c>
      <c r="AG373" s="26" t="str">
        <f t="shared" si="174"/>
        <v/>
      </c>
      <c r="AI373" s="24" t="str">
        <f t="shared" si="175"/>
        <v/>
      </c>
      <c r="AJ373" s="25" t="str">
        <f t="shared" si="176"/>
        <v/>
      </c>
      <c r="AK373" s="25" t="str">
        <f t="shared" si="177"/>
        <v/>
      </c>
      <c r="AL373" s="25" t="str">
        <f t="shared" si="178"/>
        <v/>
      </c>
      <c r="AM373" s="25" t="str">
        <f t="shared" si="179"/>
        <v/>
      </c>
      <c r="AN373" s="25" t="str">
        <f t="shared" si="180"/>
        <v/>
      </c>
      <c r="AO373" s="25"/>
      <c r="AP373" s="25"/>
      <c r="AQ373" s="25"/>
      <c r="AR373" s="25" t="str">
        <f t="shared" si="181"/>
        <v/>
      </c>
      <c r="AS373" s="26" t="str">
        <f t="shared" si="182"/>
        <v/>
      </c>
    </row>
    <row r="374" spans="2:45" hidden="1" x14ac:dyDescent="0.25">
      <c r="B374" s="20" t="s">
        <v>511</v>
      </c>
      <c r="C374" s="20">
        <f t="shared" ref="C374:J374" si="183">ABS(SUM(C246:C373))</f>
        <v>0</v>
      </c>
      <c r="D374" s="20">
        <f t="shared" si="183"/>
        <v>0</v>
      </c>
      <c r="E374" s="20">
        <f t="shared" si="183"/>
        <v>0</v>
      </c>
      <c r="F374" s="20">
        <f t="shared" si="183"/>
        <v>0</v>
      </c>
      <c r="G374" s="20">
        <f t="shared" si="183"/>
        <v>0</v>
      </c>
      <c r="H374" s="20">
        <f t="shared" si="183"/>
        <v>0</v>
      </c>
      <c r="I374" s="20">
        <f t="shared" si="183"/>
        <v>0</v>
      </c>
      <c r="J374" s="20">
        <f t="shared" si="183"/>
        <v>0</v>
      </c>
      <c r="M374" s="20" t="s">
        <v>511</v>
      </c>
      <c r="N374" s="20">
        <f t="shared" ref="N374:S374" si="184">ABS(SUM(N246:N373))</f>
        <v>0</v>
      </c>
      <c r="O374" s="20">
        <f t="shared" si="184"/>
        <v>0</v>
      </c>
      <c r="P374" s="20">
        <f t="shared" si="184"/>
        <v>0</v>
      </c>
      <c r="Q374" s="20">
        <f t="shared" si="184"/>
        <v>0</v>
      </c>
      <c r="R374" s="20">
        <f t="shared" si="184"/>
        <v>0</v>
      </c>
      <c r="S374" s="20">
        <f t="shared" si="184"/>
        <v>0</v>
      </c>
      <c r="T374" s="20"/>
      <c r="U374" s="20"/>
      <c r="V374" s="20"/>
      <c r="W374" s="20">
        <f>ABS(SUM(W246:W373))</f>
        <v>0</v>
      </c>
      <c r="X374" s="20">
        <f>ABS(SUM(X246:X373))</f>
        <v>0</v>
      </c>
      <c r="Y374" s="20" t="s">
        <v>511</v>
      </c>
      <c r="Z374" s="20">
        <f t="shared" ref="Z374:AG374" si="185">ABS(SUM(Z246:Z373))</f>
        <v>0</v>
      </c>
      <c r="AA374" s="20">
        <f t="shared" si="185"/>
        <v>0</v>
      </c>
      <c r="AB374" s="20">
        <f t="shared" si="185"/>
        <v>0</v>
      </c>
      <c r="AC374" s="20">
        <f t="shared" si="185"/>
        <v>0</v>
      </c>
      <c r="AD374" s="20">
        <f t="shared" si="185"/>
        <v>0</v>
      </c>
      <c r="AE374" s="20">
        <f t="shared" si="185"/>
        <v>0</v>
      </c>
      <c r="AF374" s="20">
        <f t="shared" si="185"/>
        <v>0</v>
      </c>
      <c r="AG374" s="20">
        <f t="shared" si="185"/>
        <v>0</v>
      </c>
      <c r="AH374" s="20" t="s">
        <v>511</v>
      </c>
      <c r="AI374" s="20">
        <f t="shared" ref="AI374:AN374" si="186">ABS(SUM(AI246:AI373))</f>
        <v>0</v>
      </c>
      <c r="AJ374" s="20">
        <f t="shared" si="186"/>
        <v>0</v>
      </c>
      <c r="AK374" s="20">
        <f t="shared" si="186"/>
        <v>0</v>
      </c>
      <c r="AL374" s="20">
        <f t="shared" si="186"/>
        <v>0</v>
      </c>
      <c r="AM374" s="20">
        <f t="shared" si="186"/>
        <v>0</v>
      </c>
      <c r="AN374" s="20">
        <f t="shared" si="186"/>
        <v>0</v>
      </c>
      <c r="AO374" s="20"/>
      <c r="AP374" s="20"/>
      <c r="AQ374" s="20"/>
      <c r="AR374" s="20">
        <f>ABS(SUM(AR246:AR373))</f>
        <v>0</v>
      </c>
      <c r="AS374" s="20">
        <f>ABS(SUM(AS246:AS373))</f>
        <v>0</v>
      </c>
    </row>
    <row r="378" spans="2:45" ht="15.75" customHeight="1" thickBot="1" x14ac:dyDescent="0.3"/>
    <row r="379" spans="2:45" ht="30.75" customHeight="1" thickBot="1" x14ac:dyDescent="0.3">
      <c r="E379" s="83" t="s">
        <v>505</v>
      </c>
      <c r="F379" s="83" t="s">
        <v>506</v>
      </c>
      <c r="G379" s="83" t="s">
        <v>507</v>
      </c>
      <c r="H379" s="83" t="s">
        <v>508</v>
      </c>
      <c r="I379" s="54" t="s">
        <v>505</v>
      </c>
      <c r="J379" s="54" t="s">
        <v>506</v>
      </c>
      <c r="K379" s="54" t="s">
        <v>507</v>
      </c>
      <c r="L379" s="54" t="s">
        <v>508</v>
      </c>
      <c r="O379" s="602" t="s">
        <v>519</v>
      </c>
      <c r="P379" s="544"/>
      <c r="Q379" s="544"/>
      <c r="R379" s="544"/>
      <c r="S379" s="544"/>
      <c r="T379" s="544"/>
      <c r="U379" s="544"/>
      <c r="V379" s="544"/>
      <c r="W379" s="544"/>
      <c r="X379" s="544"/>
      <c r="Y379" s="544"/>
      <c r="Z379" s="545"/>
      <c r="AA379" s="147" t="s">
        <v>284</v>
      </c>
      <c r="AB379" s="147" t="str">
        <f>Inputs!B33</f>
        <v>XX</v>
      </c>
    </row>
    <row r="380" spans="2:45" x14ac:dyDescent="0.25">
      <c r="D380">
        <v>1</v>
      </c>
      <c r="E380" s="59" t="str">
        <f t="shared" ref="E380:E411" si="187">IF($Z$374&gt;$AA$374,$Z246,$AA246)</f>
        <v/>
      </c>
      <c r="F380" s="55" t="str">
        <f t="shared" ref="F380:F411" si="188">IF($AB$374&gt;$AC$374,$AB246,$AC246)</f>
        <v/>
      </c>
      <c r="G380" s="55" t="str">
        <f t="shared" ref="G380:G411" si="189">IF($AD$374&gt;$AE$374,$AD246,$AE246)</f>
        <v/>
      </c>
      <c r="H380" s="55" t="str">
        <f t="shared" ref="H380:H411" si="190">IF($AF$374&gt;$AG$374,$AF246,$AG246)</f>
        <v/>
      </c>
      <c r="I380" s="55" t="str">
        <f t="shared" ref="I380:I411" si="191">IF($AI$374&gt;$AJ$374,$N246,$O246)</f>
        <v/>
      </c>
      <c r="J380" s="55" t="str">
        <f t="shared" ref="J380:J411" si="192">IF($AK$374&gt;$AL$374,$P246,$Q246)</f>
        <v/>
      </c>
      <c r="K380" s="55" t="str">
        <f t="shared" ref="K380:K411" si="193">IF($AM$374&gt;$AN$374,$R246,$S246)</f>
        <v/>
      </c>
      <c r="L380" s="60" t="str">
        <f t="shared" ref="L380:L411" si="194">IF($AR$374&gt;$AS$374,$W246,$X246)</f>
        <v/>
      </c>
      <c r="O380" s="610" t="s">
        <v>41</v>
      </c>
      <c r="P380" s="598" t="s">
        <v>9</v>
      </c>
      <c r="Q380" s="598" t="s">
        <v>495</v>
      </c>
      <c r="R380" s="598" t="s">
        <v>520</v>
      </c>
      <c r="S380" s="599" t="s">
        <v>370</v>
      </c>
      <c r="T380" s="547"/>
      <c r="U380" s="547"/>
      <c r="V380" s="547"/>
      <c r="W380" s="547"/>
      <c r="X380" s="547"/>
      <c r="Y380" s="547"/>
      <c r="Z380" s="548"/>
    </row>
    <row r="381" spans="2:45" x14ac:dyDescent="0.25">
      <c r="D381">
        <v>2</v>
      </c>
      <c r="E381" s="59" t="str">
        <f t="shared" si="187"/>
        <v/>
      </c>
      <c r="F381" s="55" t="str">
        <f t="shared" si="188"/>
        <v/>
      </c>
      <c r="G381" s="55" t="str">
        <f t="shared" si="189"/>
        <v/>
      </c>
      <c r="H381" s="55" t="str">
        <f t="shared" si="190"/>
        <v/>
      </c>
      <c r="I381" s="55" t="str">
        <f t="shared" si="191"/>
        <v/>
      </c>
      <c r="J381" s="55" t="str">
        <f t="shared" si="192"/>
        <v/>
      </c>
      <c r="K381" s="55" t="str">
        <f t="shared" si="193"/>
        <v/>
      </c>
      <c r="L381" s="60" t="str">
        <f t="shared" si="194"/>
        <v/>
      </c>
      <c r="O381" s="611"/>
      <c r="P381" s="591"/>
      <c r="Q381" s="591"/>
      <c r="R381" s="591"/>
      <c r="S381" s="84">
        <v>0.8</v>
      </c>
      <c r="T381" s="84"/>
      <c r="U381" s="84"/>
      <c r="V381" s="84"/>
      <c r="W381" s="84">
        <v>0.96</v>
      </c>
      <c r="X381" s="84">
        <v>1.1200000000000001</v>
      </c>
      <c r="Y381" s="84">
        <v>1.3</v>
      </c>
      <c r="Z381" s="85">
        <v>1.5</v>
      </c>
      <c r="AB381" s="86" t="e">
        <f>Inputs!B67</f>
        <v>#VALUE!</v>
      </c>
    </row>
    <row r="382" spans="2:45" x14ac:dyDescent="0.25">
      <c r="D382">
        <v>3</v>
      </c>
      <c r="E382" s="59" t="str">
        <f t="shared" si="187"/>
        <v/>
      </c>
      <c r="F382" s="55" t="str">
        <f t="shared" si="188"/>
        <v/>
      </c>
      <c r="G382" s="55" t="str">
        <f t="shared" si="189"/>
        <v/>
      </c>
      <c r="H382" s="55" t="str">
        <f t="shared" si="190"/>
        <v/>
      </c>
      <c r="I382" s="55" t="str">
        <f t="shared" si="191"/>
        <v/>
      </c>
      <c r="J382" s="55" t="str">
        <f t="shared" si="192"/>
        <v/>
      </c>
      <c r="K382" s="55" t="str">
        <f t="shared" si="193"/>
        <v/>
      </c>
      <c r="L382" s="60" t="str">
        <f t="shared" si="194"/>
        <v/>
      </c>
      <c r="O382" s="603" t="str">
        <f>Inputs!B7</f>
        <v>XX</v>
      </c>
      <c r="P382" s="597"/>
      <c r="Q382" s="609" t="s">
        <v>521</v>
      </c>
      <c r="R382" s="87" t="s">
        <v>522</v>
      </c>
      <c r="S382" s="88">
        <f>IF(AND($O$382&gt;=0.25,$O$382&lt;0.35),G513,IF(AND($O$382&gt;=0.35,$O$382&lt;0.45),R513,AF513))</f>
        <v>1</v>
      </c>
      <c r="T382" s="88"/>
      <c r="U382" s="88"/>
      <c r="V382" s="88"/>
      <c r="W382" s="88">
        <f>IF(AND($O$382&gt;=0.25,$O$382&lt;0.35),H513,IF(AND($O$382&gt;=0.35,$O$382&lt;0.45),S513,AG513))</f>
        <v>1.0391296477793051</v>
      </c>
      <c r="X382" s="88">
        <f t="shared" ref="X382:Z384" si="195">IF(AND($O$382&gt;=0.25,$O$382&lt;0.35),I513,IF(AND($O$382&gt;=0.35,$O$382&lt;0.45),W513,AH513))</f>
        <v>1.073405452435789</v>
      </c>
      <c r="Y382" s="88">
        <f t="shared" si="195"/>
        <v>1.1076184521370911</v>
      </c>
      <c r="Z382" s="88">
        <f t="shared" si="195"/>
        <v>1.141494838324278</v>
      </c>
      <c r="AA382" s="89">
        <v>0</v>
      </c>
      <c r="AB382" s="26" t="e">
        <f>IF(VALUE($AB$381)&lt;=0.8,"1",IF(AND(VALUE($AB$381)&gt;0.8,VALUE($AB$381)&lt;=0.96),FORECAST(VALUE($AB$381),S382:W382,$S$381:$W$381),IF(AND(VALUE($AB$381)&gt;0.96,VALUE($AB$381)&lt;=1.12),FORECAST(VALUE($AB$381),W382:X382,$W$381:$X$381),IF(AND(VALUE($AB$381)&gt;1.12,VALUE($AB$381)&lt;=1.3),FORECAST(VALUE($AB$381),X382:Y382,$X$381:$Y$381),FORECAST(VALUE($AB$381),Y382:Z382,$Y$381:$Z$381)))))</f>
        <v>#VALUE!</v>
      </c>
    </row>
    <row r="383" spans="2:45" x14ac:dyDescent="0.25">
      <c r="D383">
        <v>4</v>
      </c>
      <c r="E383" s="59" t="str">
        <f t="shared" si="187"/>
        <v/>
      </c>
      <c r="F383" s="55" t="str">
        <f t="shared" si="188"/>
        <v/>
      </c>
      <c r="G383" s="55" t="str">
        <f t="shared" si="189"/>
        <v/>
      </c>
      <c r="H383" s="55" t="str">
        <f t="shared" si="190"/>
        <v/>
      </c>
      <c r="I383" s="55" t="str">
        <f t="shared" si="191"/>
        <v/>
      </c>
      <c r="J383" s="55" t="str">
        <f t="shared" si="192"/>
        <v/>
      </c>
      <c r="K383" s="55" t="str">
        <f t="shared" si="193"/>
        <v/>
      </c>
      <c r="L383" s="60" t="str">
        <f t="shared" si="194"/>
        <v/>
      </c>
      <c r="O383" s="604"/>
      <c r="P383" s="589"/>
      <c r="Q383" s="589"/>
      <c r="R383" s="90" t="s">
        <v>523</v>
      </c>
      <c r="S383" s="88">
        <f>IF(AND($O$382&gt;=0.25,$O$382&lt;0.35),G514,IF(AND($O$382&gt;=0.35,$O$382&lt;0.45),R514,AF514))</f>
        <v>1</v>
      </c>
      <c r="T383" s="88"/>
      <c r="U383" s="88"/>
      <c r="V383" s="88"/>
      <c r="W383" s="88">
        <f>IF(AND($O$382&gt;=0.25,$O$382&lt;0.35),H514,IF(AND($O$382&gt;=0.35,$O$382&lt;0.45),S514,AG514))</f>
        <v>1.185436663775858</v>
      </c>
      <c r="X383" s="88">
        <f t="shared" si="195"/>
        <v>1.2245384212967301</v>
      </c>
      <c r="Y383" s="88">
        <f t="shared" si="195"/>
        <v>1.263568531072107</v>
      </c>
      <c r="Z383" s="88">
        <f t="shared" si="195"/>
        <v>1.302214632940476</v>
      </c>
      <c r="AA383" s="92"/>
      <c r="AB383" s="145" t="e">
        <f>IF($AB$379=0,AB382,AB384)</f>
        <v>#VALUE!</v>
      </c>
    </row>
    <row r="384" spans="2:45" x14ac:dyDescent="0.25">
      <c r="D384">
        <v>5</v>
      </c>
      <c r="E384" s="59" t="str">
        <f t="shared" si="187"/>
        <v/>
      </c>
      <c r="F384" s="55" t="str">
        <f t="shared" si="188"/>
        <v/>
      </c>
      <c r="G384" s="55" t="str">
        <f t="shared" si="189"/>
        <v/>
      </c>
      <c r="H384" s="55" t="str">
        <f t="shared" si="190"/>
        <v/>
      </c>
      <c r="I384" s="55" t="str">
        <f t="shared" si="191"/>
        <v/>
      </c>
      <c r="J384" s="55" t="str">
        <f t="shared" si="192"/>
        <v/>
      </c>
      <c r="K384" s="55" t="str">
        <f t="shared" si="193"/>
        <v/>
      </c>
      <c r="L384" s="60" t="str">
        <f t="shared" si="194"/>
        <v/>
      </c>
      <c r="O384" s="604"/>
      <c r="P384" s="589"/>
      <c r="Q384" s="589"/>
      <c r="R384" s="90" t="s">
        <v>524</v>
      </c>
      <c r="S384" s="88">
        <f>IF(AND($O$382&gt;=0.25,$O$382&lt;0.35),G515,IF(AND($O$382&gt;=0.35,$O$382&lt;0.45),R515,AF515))</f>
        <v>1</v>
      </c>
      <c r="T384" s="88"/>
      <c r="U384" s="88"/>
      <c r="V384" s="88"/>
      <c r="W384" s="88">
        <f>IF(AND($O$382&gt;=0.25,$O$382&lt;0.35),H515,IF(AND($O$382&gt;=0.35,$O$382&lt;0.45),S515,AG515))</f>
        <v>1.222901973943691</v>
      </c>
      <c r="X384" s="88">
        <f t="shared" si="195"/>
        <v>1.4458039478873841</v>
      </c>
      <c r="Y384" s="88">
        <f t="shared" si="195"/>
        <v>1.491886525467891</v>
      </c>
      <c r="Z384" s="88">
        <f t="shared" si="195"/>
        <v>1.537515707598883</v>
      </c>
      <c r="AA384" s="93">
        <v>55</v>
      </c>
      <c r="AB384" s="26" t="e">
        <f>IF(VALUE($AB$381)&lt;=0.8,"1",IF(AND(VALUE($AB$381)&gt;0.8,VALUE($AB$381)&lt;=0.96),FORECAST(VALUE($AB$381),S384:W384,$S$381:$W$381),IF(AND(VALUE($AB$381)&gt;0.96,VALUE($AB$381)&lt;=1.12),FORECAST(VALUE($AB$381),W384:X384,$W$381:$X$381),IF(AND(VALUE($AB$381)&gt;1.12,VALUE($AB$381)&lt;=1.3),FORECAST(VALUE($AB$381),X384:Y384,$X$381:$Y$381),FORECAST(VALUE($AB$381),Y384:Z384,$Y$381:$Z$381)))))</f>
        <v>#VALUE!</v>
      </c>
    </row>
    <row r="385" spans="4:28" x14ac:dyDescent="0.25">
      <c r="D385">
        <v>6</v>
      </c>
      <c r="E385" s="59" t="str">
        <f t="shared" si="187"/>
        <v/>
      </c>
      <c r="F385" s="55" t="str">
        <f t="shared" si="188"/>
        <v/>
      </c>
      <c r="G385" s="55" t="str">
        <f t="shared" si="189"/>
        <v/>
      </c>
      <c r="H385" s="55" t="str">
        <f t="shared" si="190"/>
        <v/>
      </c>
      <c r="I385" s="55" t="str">
        <f t="shared" si="191"/>
        <v/>
      </c>
      <c r="J385" s="55" t="str">
        <f t="shared" si="192"/>
        <v/>
      </c>
      <c r="K385" s="55" t="str">
        <f t="shared" si="193"/>
        <v/>
      </c>
      <c r="L385" s="60" t="str">
        <f t="shared" si="194"/>
        <v/>
      </c>
      <c r="O385" s="604"/>
      <c r="P385" s="589"/>
      <c r="Q385" s="609" t="s">
        <v>525</v>
      </c>
      <c r="R385" s="87" t="s">
        <v>526</v>
      </c>
      <c r="S385" s="88">
        <v>1</v>
      </c>
      <c r="T385" s="88"/>
      <c r="U385" s="88"/>
      <c r="V385" s="88"/>
      <c r="W385" s="88">
        <v>1</v>
      </c>
      <c r="X385" s="88">
        <v>1</v>
      </c>
      <c r="Y385" s="88">
        <v>1</v>
      </c>
      <c r="Z385" s="88">
        <v>1</v>
      </c>
      <c r="AA385" s="89">
        <v>0</v>
      </c>
      <c r="AB385" s="26" t="e">
        <f>IF(VALUE($AB$381)&lt;=0.8,"1",IF(AND(VALUE($AB$381)&gt;0.8,VALUE($AB$381)&lt;=0.96),FORECAST(VALUE($AB$381),S385:W385,$S$381:$W$381),IF(AND(VALUE($AB$381)&gt;0.96,VALUE($AB$381)&lt;=1.12),FORECAST(VALUE($AB$381),W385:X385,$W$381:$X$381),IF(AND(VALUE($AB$381)&gt;1.12,VALUE($AB$381)&lt;=1.3),FORECAST(VALUE($AB$381),X385:Y385,$X$381:$Y$381),FORECAST(VALUE($AB$381),Y385:Z385,$Y$381:$Z$381)))))</f>
        <v>#VALUE!</v>
      </c>
    </row>
    <row r="386" spans="4:28" x14ac:dyDescent="0.25">
      <c r="D386">
        <v>7</v>
      </c>
      <c r="E386" s="59" t="str">
        <f t="shared" si="187"/>
        <v/>
      </c>
      <c r="F386" s="55" t="str">
        <f t="shared" si="188"/>
        <v/>
      </c>
      <c r="G386" s="55" t="str">
        <f t="shared" si="189"/>
        <v/>
      </c>
      <c r="H386" s="55" t="str">
        <f t="shared" si="190"/>
        <v/>
      </c>
      <c r="I386" s="55" t="str">
        <f t="shared" si="191"/>
        <v/>
      </c>
      <c r="J386" s="55" t="str">
        <f t="shared" si="192"/>
        <v/>
      </c>
      <c r="K386" s="55" t="str">
        <f t="shared" si="193"/>
        <v/>
      </c>
      <c r="L386" s="60" t="str">
        <f t="shared" si="194"/>
        <v/>
      </c>
      <c r="O386" s="604"/>
      <c r="P386" s="589"/>
      <c r="Q386" s="589"/>
      <c r="R386" s="90" t="s">
        <v>523</v>
      </c>
      <c r="S386" s="88">
        <f t="shared" ref="S386:S396" si="196">IF(AND($O$382&gt;=0.25,$O$382&lt;0.35),G517,IF(AND($O$382&gt;=0.35,$O$382&lt;0.45),R517,AF517))</f>
        <v>1</v>
      </c>
      <c r="T386" s="88"/>
      <c r="U386" s="88"/>
      <c r="V386" s="88"/>
      <c r="W386" s="88">
        <f t="shared" ref="W386:W396" si="197">IF(AND($O$382&gt;=0.25,$O$382&lt;0.35),H517,IF(AND($O$382&gt;=0.35,$O$382&lt;0.45),S517,AG517))</f>
        <v>1.1515814687452279</v>
      </c>
      <c r="X386" s="88">
        <f t="shared" ref="X386:X396" si="198">IF(AND($O$382&gt;=0.25,$O$382&lt;0.35),I517,IF(AND($O$382&gt;=0.35,$O$382&lt;0.45),W517,AH517))</f>
        <v>1.189566508969123</v>
      </c>
      <c r="Y386" s="88">
        <f t="shared" ref="Y386:Y396" si="199">IF(AND($O$382&gt;=0.25,$O$382&lt;0.35),J517,IF(AND($O$382&gt;=0.35,$O$382&lt;0.45),X517,AI517))</f>
        <v>1.2274819476541841</v>
      </c>
      <c r="Z386" s="88">
        <f t="shared" ref="Z386:Z396" si="200">IF(AND($O$382&gt;=0.25,$O$382&lt;0.35),K517,IF(AND($O$382&gt;=0.35,$O$382&lt;0.45),Y517,AJ517))</f>
        <v>1.265024345414262</v>
      </c>
      <c r="AA386" s="92"/>
      <c r="AB386" s="145" t="e">
        <f>IF($AB$379=0,AB385,AB387)</f>
        <v>#VALUE!</v>
      </c>
    </row>
    <row r="387" spans="4:28" x14ac:dyDescent="0.25">
      <c r="D387">
        <v>8</v>
      </c>
      <c r="E387" s="59" t="str">
        <f t="shared" si="187"/>
        <v/>
      </c>
      <c r="F387" s="55" t="str">
        <f t="shared" si="188"/>
        <v/>
      </c>
      <c r="G387" s="55" t="str">
        <f t="shared" si="189"/>
        <v/>
      </c>
      <c r="H387" s="55" t="str">
        <f t="shared" si="190"/>
        <v/>
      </c>
      <c r="I387" s="55" t="str">
        <f t="shared" si="191"/>
        <v/>
      </c>
      <c r="J387" s="55" t="str">
        <f t="shared" si="192"/>
        <v/>
      </c>
      <c r="K387" s="55" t="str">
        <f t="shared" si="193"/>
        <v/>
      </c>
      <c r="L387" s="60" t="str">
        <f t="shared" si="194"/>
        <v/>
      </c>
      <c r="O387" s="604"/>
      <c r="P387" s="589"/>
      <c r="Q387" s="589"/>
      <c r="R387" s="90" t="s">
        <v>524</v>
      </c>
      <c r="S387" s="88">
        <f t="shared" si="196"/>
        <v>1</v>
      </c>
      <c r="T387" s="88"/>
      <c r="U387" s="88"/>
      <c r="V387" s="88"/>
      <c r="W387" s="88">
        <f t="shared" si="197"/>
        <v>1.3369113554098071</v>
      </c>
      <c r="X387" s="88">
        <f t="shared" si="198"/>
        <v>1.6738227108196151</v>
      </c>
      <c r="Y387" s="88">
        <f t="shared" si="199"/>
        <v>1.7271730042947899</v>
      </c>
      <c r="Z387" s="88">
        <f t="shared" si="200"/>
        <v>1.7799983970035169</v>
      </c>
      <c r="AA387" s="93">
        <v>55</v>
      </c>
      <c r="AB387" s="26" t="e">
        <f>IF(VALUE($AB$381)&lt;=0.8,"1",IF(AND(VALUE($AB$381)&gt;0.8,VALUE($AB$381)&lt;=0.96),FORECAST(VALUE($AB$381),S387:W387,$S$381:$W$381),IF(AND(VALUE($AB$381)&gt;0.96,VALUE($AB$381)&lt;=1.12),FORECAST(VALUE($AB$381),W387:X387,$W$381:$X$381),IF(AND(VALUE($AB$381)&gt;1.12,VALUE($AB$381)&lt;=1.3),FORECAST(VALUE($AB$381),X387:Y387,$X$381:$Y$381),FORECAST(VALUE($AB$381),Y387:Z387,$Y$381:$Z$381)))))</f>
        <v>#VALUE!</v>
      </c>
    </row>
    <row r="388" spans="4:28" x14ac:dyDescent="0.25">
      <c r="D388">
        <v>9</v>
      </c>
      <c r="E388" s="59" t="str">
        <f t="shared" si="187"/>
        <v/>
      </c>
      <c r="F388" s="55" t="str">
        <f t="shared" si="188"/>
        <v/>
      </c>
      <c r="G388" s="55" t="str">
        <f t="shared" si="189"/>
        <v/>
      </c>
      <c r="H388" s="55" t="str">
        <f t="shared" si="190"/>
        <v/>
      </c>
      <c r="I388" s="55" t="str">
        <f t="shared" si="191"/>
        <v/>
      </c>
      <c r="J388" s="55" t="str">
        <f t="shared" si="192"/>
        <v/>
      </c>
      <c r="K388" s="55" t="str">
        <f t="shared" si="193"/>
        <v/>
      </c>
      <c r="L388" s="60" t="str">
        <f t="shared" si="194"/>
        <v/>
      </c>
      <c r="O388" s="604"/>
      <c r="P388" s="589"/>
      <c r="Q388" s="609" t="s">
        <v>527</v>
      </c>
      <c r="R388" s="87" t="s">
        <v>522</v>
      </c>
      <c r="S388" s="88">
        <f t="shared" si="196"/>
        <v>1</v>
      </c>
      <c r="T388" s="88"/>
      <c r="U388" s="88"/>
      <c r="V388" s="88"/>
      <c r="W388" s="88">
        <f t="shared" si="197"/>
        <v>1.0391296477793051</v>
      </c>
      <c r="X388" s="88">
        <f t="shared" si="198"/>
        <v>1.073405452435789</v>
      </c>
      <c r="Y388" s="88">
        <f t="shared" si="199"/>
        <v>1.1076184521370911</v>
      </c>
      <c r="Z388" s="88">
        <f t="shared" si="200"/>
        <v>1.141494838324278</v>
      </c>
      <c r="AA388" s="89">
        <v>0</v>
      </c>
      <c r="AB388" s="26" t="e">
        <f>IF(VALUE($AB$381)&lt;=0.8,"1",IF(AND(VALUE($AB$381)&gt;0.8,VALUE($AB$381)&lt;=0.96),FORECAST(VALUE($AB$381),S388:W388,$S$381:$W$381),IF(AND(VALUE($AB$381)&gt;0.96,VALUE($AB$381)&lt;=1.12),FORECAST(VALUE($AB$381),W388:X388,$W$381:$X$381),IF(AND(VALUE($AB$381)&gt;1.12,VALUE($AB$381)&lt;=1.3),FORECAST(VALUE($AB$381),X388:Y388,$X$381:$Y$381),FORECAST(VALUE($AB$381),Y388:Z388,$Y$381:$Z$381)))))</f>
        <v>#VALUE!</v>
      </c>
    </row>
    <row r="389" spans="4:28" x14ac:dyDescent="0.25">
      <c r="D389">
        <v>10</v>
      </c>
      <c r="E389" s="59" t="str">
        <f t="shared" si="187"/>
        <v/>
      </c>
      <c r="F389" s="55" t="str">
        <f t="shared" si="188"/>
        <v/>
      </c>
      <c r="G389" s="55" t="str">
        <f t="shared" si="189"/>
        <v/>
      </c>
      <c r="H389" s="55" t="str">
        <f t="shared" si="190"/>
        <v/>
      </c>
      <c r="I389" s="55" t="str">
        <f t="shared" si="191"/>
        <v/>
      </c>
      <c r="J389" s="55" t="str">
        <f t="shared" si="192"/>
        <v/>
      </c>
      <c r="K389" s="55" t="str">
        <f t="shared" si="193"/>
        <v/>
      </c>
      <c r="L389" s="60" t="str">
        <f t="shared" si="194"/>
        <v/>
      </c>
      <c r="O389" s="604"/>
      <c r="P389" s="589"/>
      <c r="Q389" s="589"/>
      <c r="R389" s="90" t="s">
        <v>523</v>
      </c>
      <c r="S389" s="88">
        <f t="shared" si="196"/>
        <v>1</v>
      </c>
      <c r="T389" s="88"/>
      <c r="U389" s="88"/>
      <c r="V389" s="88"/>
      <c r="W389" s="88">
        <f t="shared" si="197"/>
        <v>1.126692844677424</v>
      </c>
      <c r="X389" s="88">
        <f t="shared" si="198"/>
        <v>1.1638569309245561</v>
      </c>
      <c r="Y389" s="88">
        <f t="shared" si="199"/>
        <v>1.2009529199003159</v>
      </c>
      <c r="Z389" s="88">
        <f t="shared" si="200"/>
        <v>1.237683930320624</v>
      </c>
      <c r="AA389" s="92"/>
      <c r="AB389" s="145" t="e">
        <f>IF($AB$379=0,AB388,AB390)</f>
        <v>#VALUE!</v>
      </c>
    </row>
    <row r="390" spans="4:28" x14ac:dyDescent="0.25">
      <c r="D390">
        <v>11</v>
      </c>
      <c r="E390" s="59" t="str">
        <f t="shared" si="187"/>
        <v/>
      </c>
      <c r="F390" s="55" t="str">
        <f t="shared" si="188"/>
        <v/>
      </c>
      <c r="G390" s="55" t="str">
        <f t="shared" si="189"/>
        <v/>
      </c>
      <c r="H390" s="55" t="str">
        <f t="shared" si="190"/>
        <v/>
      </c>
      <c r="I390" s="55" t="str">
        <f t="shared" si="191"/>
        <v/>
      </c>
      <c r="J390" s="55" t="str">
        <f t="shared" si="192"/>
        <v/>
      </c>
      <c r="K390" s="55" t="str">
        <f t="shared" si="193"/>
        <v/>
      </c>
      <c r="L390" s="60" t="str">
        <f t="shared" si="194"/>
        <v/>
      </c>
      <c r="O390" s="604"/>
      <c r="P390" s="589"/>
      <c r="Q390" s="589"/>
      <c r="R390" s="90" t="s">
        <v>524</v>
      </c>
      <c r="S390" s="88">
        <f t="shared" si="196"/>
        <v>1</v>
      </c>
      <c r="T390" s="88"/>
      <c r="U390" s="88"/>
      <c r="V390" s="88"/>
      <c r="W390" s="88">
        <f t="shared" si="197"/>
        <v>1.118591080199371</v>
      </c>
      <c r="X390" s="88">
        <f t="shared" si="198"/>
        <v>1.2371821603987421</v>
      </c>
      <c r="Y390" s="88">
        <f t="shared" si="199"/>
        <v>1.276615268166293</v>
      </c>
      <c r="Z390" s="88">
        <f t="shared" si="200"/>
        <v>1.315660403026061</v>
      </c>
      <c r="AA390" s="93">
        <v>55</v>
      </c>
      <c r="AB390" s="26" t="e">
        <f>IF(VALUE($AB$381)&lt;=0.8,"1",IF(AND(VALUE($AB$381)&gt;0.8,VALUE($AB$381)&lt;=0.96),FORECAST(VALUE($AB$381),S390:W390,$S$381:$W$381),IF(AND(VALUE($AB$381)&gt;0.96,VALUE($AB$381)&lt;=1.12),FORECAST(VALUE($AB$381),W390:X390,$W$381:$X$381),IF(AND(VALUE($AB$381)&gt;1.12,VALUE($AB$381)&lt;=1.3),FORECAST(VALUE($AB$381),X390:Y390,$X$381:$Y$381),FORECAST(VALUE($AB$381),Y390:Z390,$Y$381:$Z$381)))))</f>
        <v>#VALUE!</v>
      </c>
    </row>
    <row r="391" spans="4:28" x14ac:dyDescent="0.25">
      <c r="D391">
        <v>12</v>
      </c>
      <c r="E391" s="59" t="str">
        <f t="shared" si="187"/>
        <v/>
      </c>
      <c r="F391" s="55" t="str">
        <f t="shared" si="188"/>
        <v/>
      </c>
      <c r="G391" s="55" t="str">
        <f t="shared" si="189"/>
        <v/>
      </c>
      <c r="H391" s="55" t="str">
        <f t="shared" si="190"/>
        <v/>
      </c>
      <c r="I391" s="55" t="str">
        <f t="shared" si="191"/>
        <v/>
      </c>
      <c r="J391" s="55" t="str">
        <f t="shared" si="192"/>
        <v/>
      </c>
      <c r="K391" s="55" t="str">
        <f t="shared" si="193"/>
        <v/>
      </c>
      <c r="L391" s="60" t="str">
        <f t="shared" si="194"/>
        <v/>
      </c>
      <c r="O391" s="604"/>
      <c r="P391" s="589"/>
      <c r="Q391" s="609" t="s">
        <v>528</v>
      </c>
      <c r="R391" s="87" t="s">
        <v>526</v>
      </c>
      <c r="S391" s="88">
        <f t="shared" si="196"/>
        <v>1</v>
      </c>
      <c r="T391" s="88"/>
      <c r="U391" s="88"/>
      <c r="V391" s="88"/>
      <c r="W391" s="88">
        <f t="shared" si="197"/>
        <v>1.6191296477793049</v>
      </c>
      <c r="X391" s="88">
        <f t="shared" si="198"/>
        <v>1.6534054524357891</v>
      </c>
      <c r="Y391" s="88">
        <f t="shared" si="199"/>
        <v>1.6876184521370901</v>
      </c>
      <c r="Z391" s="88">
        <f t="shared" si="200"/>
        <v>1.7214948383242781</v>
      </c>
      <c r="AA391" s="89">
        <v>0</v>
      </c>
      <c r="AB391" s="26">
        <v>1</v>
      </c>
    </row>
    <row r="392" spans="4:28" x14ac:dyDescent="0.25">
      <c r="D392">
        <v>13</v>
      </c>
      <c r="E392" s="59" t="str">
        <f t="shared" si="187"/>
        <v/>
      </c>
      <c r="F392" s="55" t="str">
        <f t="shared" si="188"/>
        <v/>
      </c>
      <c r="G392" s="55" t="str">
        <f t="shared" si="189"/>
        <v/>
      </c>
      <c r="H392" s="55" t="str">
        <f t="shared" si="190"/>
        <v/>
      </c>
      <c r="I392" s="55" t="str">
        <f t="shared" si="191"/>
        <v/>
      </c>
      <c r="J392" s="55" t="str">
        <f t="shared" si="192"/>
        <v/>
      </c>
      <c r="K392" s="55" t="str">
        <f t="shared" si="193"/>
        <v/>
      </c>
      <c r="L392" s="60" t="str">
        <f t="shared" si="194"/>
        <v/>
      </c>
      <c r="O392" s="604"/>
      <c r="P392" s="589"/>
      <c r="Q392" s="589"/>
      <c r="R392" s="90" t="s">
        <v>523</v>
      </c>
      <c r="S392" s="88">
        <f t="shared" si="196"/>
        <v>1</v>
      </c>
      <c r="T392" s="88"/>
      <c r="U392" s="88"/>
      <c r="V392" s="88"/>
      <c r="W392" s="88">
        <f t="shared" si="197"/>
        <v>1.2237669699244249</v>
      </c>
      <c r="X392" s="88">
        <f t="shared" si="198"/>
        <v>1.264133056770111</v>
      </c>
      <c r="Y392" s="88">
        <f t="shared" si="199"/>
        <v>1.3044251791881021</v>
      </c>
      <c r="Z392" s="88">
        <f t="shared" si="200"/>
        <v>1.3443208770587951</v>
      </c>
      <c r="AA392" s="92"/>
      <c r="AB392" s="145" t="e">
        <f>IF($AB$379=0,AB391,AB393)</f>
        <v>#VALUE!</v>
      </c>
    </row>
    <row r="393" spans="4:28" x14ac:dyDescent="0.25">
      <c r="D393">
        <v>14</v>
      </c>
      <c r="E393" s="59" t="str">
        <f t="shared" si="187"/>
        <v/>
      </c>
      <c r="F393" s="55" t="str">
        <f t="shared" si="188"/>
        <v/>
      </c>
      <c r="G393" s="55" t="str">
        <f t="shared" si="189"/>
        <v/>
      </c>
      <c r="H393" s="55" t="str">
        <f t="shared" si="190"/>
        <v/>
      </c>
      <c r="I393" s="55" t="str">
        <f t="shared" si="191"/>
        <v/>
      </c>
      <c r="J393" s="55" t="str">
        <f t="shared" si="192"/>
        <v/>
      </c>
      <c r="K393" s="55" t="str">
        <f t="shared" si="193"/>
        <v/>
      </c>
      <c r="L393" s="60" t="str">
        <f t="shared" si="194"/>
        <v/>
      </c>
      <c r="O393" s="604"/>
      <c r="P393" s="591"/>
      <c r="Q393" s="589"/>
      <c r="R393" s="90" t="s">
        <v>524</v>
      </c>
      <c r="S393" s="88">
        <f t="shared" si="196"/>
        <v>1</v>
      </c>
      <c r="T393" s="88"/>
      <c r="U393" s="88"/>
      <c r="V393" s="88"/>
      <c r="W393" s="88">
        <f t="shared" si="197"/>
        <v>1.2218785487533761</v>
      </c>
      <c r="X393" s="88">
        <f t="shared" si="198"/>
        <v>1.280063241551155</v>
      </c>
      <c r="Y393" s="88">
        <f t="shared" si="199"/>
        <v>1.320863111909049</v>
      </c>
      <c r="Z393" s="88">
        <f t="shared" si="200"/>
        <v>1.361261562109211</v>
      </c>
      <c r="AA393" s="93">
        <v>55</v>
      </c>
      <c r="AB393" s="26" t="e">
        <f>IF(VALUE($AB$381)&lt;=0.8,"1",IF(AND(VALUE($AB$381)&gt;0.8,VALUE($AB$381)&lt;=0.96),FORECAST(VALUE($AB$381),S393:W393,$S$381:$W$381),IF(AND(VALUE($AB$381)&gt;0.96,VALUE($AB$381)&lt;=1.12),FORECAST(VALUE($AB$381),W393:X393,$W$381:$X$381),IF(AND(VALUE($AB$381)&gt;1.12,VALUE($AB$381)&lt;=1.3),FORECAST(VALUE($AB$381),X393:Y393,$X$381:$Y$381),FORECAST(VALUE($AB$381),Y393:Z393,$Y$381:$Z$381)))))</f>
        <v>#VALUE!</v>
      </c>
    </row>
    <row r="394" spans="4:28" x14ac:dyDescent="0.25">
      <c r="D394">
        <v>15</v>
      </c>
      <c r="E394" s="59" t="str">
        <f t="shared" si="187"/>
        <v/>
      </c>
      <c r="F394" s="55" t="str">
        <f t="shared" si="188"/>
        <v/>
      </c>
      <c r="G394" s="55" t="str">
        <f t="shared" si="189"/>
        <v/>
      </c>
      <c r="H394" s="55" t="str">
        <f t="shared" si="190"/>
        <v/>
      </c>
      <c r="I394" s="55" t="str">
        <f t="shared" si="191"/>
        <v/>
      </c>
      <c r="J394" s="55" t="str">
        <f t="shared" si="192"/>
        <v/>
      </c>
      <c r="K394" s="55" t="str">
        <f t="shared" si="193"/>
        <v/>
      </c>
      <c r="L394" s="60" t="str">
        <f t="shared" si="194"/>
        <v/>
      </c>
      <c r="O394" s="604"/>
      <c r="P394" s="607"/>
      <c r="Q394" s="609" t="s">
        <v>521</v>
      </c>
      <c r="R394" s="87" t="s">
        <v>522</v>
      </c>
      <c r="S394" s="88">
        <f t="shared" si="196"/>
        <v>1</v>
      </c>
      <c r="T394" s="88"/>
      <c r="U394" s="88"/>
      <c r="V394" s="88"/>
      <c r="W394" s="88">
        <f t="shared" si="197"/>
        <v>1.0391296477793051</v>
      </c>
      <c r="X394" s="88">
        <f t="shared" si="198"/>
        <v>1.073405452435789</v>
      </c>
      <c r="Y394" s="88">
        <f t="shared" si="199"/>
        <v>1.1076184521370911</v>
      </c>
      <c r="Z394" s="88">
        <f t="shared" si="200"/>
        <v>1.141494838324278</v>
      </c>
      <c r="AA394" s="94">
        <v>0</v>
      </c>
      <c r="AB394" s="26" t="e">
        <f>IF(VALUE($AB$381)&lt;=0.8,"1",IF(AND(VALUE($AB$381)&gt;0.8,VALUE($AB$381)&lt;=0.96),FORECAST(VALUE($AB$381),S394:W394,$S$381:$W$381),IF(AND(VALUE($AB$381)&gt;0.96,VALUE($AB$381)&lt;=1.12),FORECAST(VALUE($AB$381),W394:X394,$W$381:$X$381),IF(AND(VALUE($AB$381)&gt;1.12,VALUE($AB$381)&lt;=1.3),FORECAST(VALUE($AB$381),X394:Y394,$X$381:$Y$381),FORECAST(VALUE($AB$381),Y394:Z394,$Y$381:$Z$381)))))</f>
        <v>#VALUE!</v>
      </c>
    </row>
    <row r="395" spans="4:28" x14ac:dyDescent="0.25">
      <c r="D395">
        <v>16</v>
      </c>
      <c r="E395" s="59" t="str">
        <f t="shared" si="187"/>
        <v/>
      </c>
      <c r="F395" s="55" t="str">
        <f t="shared" si="188"/>
        <v/>
      </c>
      <c r="G395" s="55" t="str">
        <f t="shared" si="189"/>
        <v/>
      </c>
      <c r="H395" s="55" t="str">
        <f t="shared" si="190"/>
        <v/>
      </c>
      <c r="I395" s="55" t="str">
        <f t="shared" si="191"/>
        <v/>
      </c>
      <c r="J395" s="55" t="str">
        <f t="shared" si="192"/>
        <v/>
      </c>
      <c r="K395" s="55" t="str">
        <f t="shared" si="193"/>
        <v/>
      </c>
      <c r="L395" s="60" t="str">
        <f t="shared" si="194"/>
        <v/>
      </c>
      <c r="O395" s="604"/>
      <c r="P395" s="589"/>
      <c r="Q395" s="589"/>
      <c r="R395" s="90" t="s">
        <v>523</v>
      </c>
      <c r="S395" s="88">
        <f t="shared" si="196"/>
        <v>1</v>
      </c>
      <c r="T395" s="88"/>
      <c r="U395" s="88"/>
      <c r="V395" s="88"/>
      <c r="W395" s="88">
        <f t="shared" si="197"/>
        <v>1.0945226377984689</v>
      </c>
      <c r="X395" s="88">
        <f t="shared" si="198"/>
        <v>1.1306255862664041</v>
      </c>
      <c r="Y395" s="88">
        <f t="shared" si="199"/>
        <v>1.1666623818290109</v>
      </c>
      <c r="Z395" s="88">
        <f t="shared" si="200"/>
        <v>1.202344619986607</v>
      </c>
      <c r="AA395" s="95"/>
      <c r="AB395" s="145" t="e">
        <f>IF($AB$379=0,AB394,AB396)</f>
        <v>#VALUE!</v>
      </c>
    </row>
    <row r="396" spans="4:28" x14ac:dyDescent="0.25">
      <c r="D396">
        <v>17</v>
      </c>
      <c r="E396" s="59" t="str">
        <f t="shared" si="187"/>
        <v/>
      </c>
      <c r="F396" s="55" t="str">
        <f t="shared" si="188"/>
        <v/>
      </c>
      <c r="G396" s="55" t="str">
        <f t="shared" si="189"/>
        <v/>
      </c>
      <c r="H396" s="55" t="str">
        <f t="shared" si="190"/>
        <v/>
      </c>
      <c r="I396" s="55" t="str">
        <f t="shared" si="191"/>
        <v/>
      </c>
      <c r="J396" s="55" t="str">
        <f t="shared" si="192"/>
        <v/>
      </c>
      <c r="K396" s="55" t="str">
        <f t="shared" si="193"/>
        <v/>
      </c>
      <c r="L396" s="60" t="str">
        <f t="shared" si="194"/>
        <v/>
      </c>
      <c r="O396" s="604"/>
      <c r="P396" s="589"/>
      <c r="Q396" s="589"/>
      <c r="R396" s="90" t="s">
        <v>524</v>
      </c>
      <c r="S396" s="88">
        <f t="shared" si="196"/>
        <v>1</v>
      </c>
      <c r="T396" s="88"/>
      <c r="U396" s="88"/>
      <c r="V396" s="88"/>
      <c r="W396" s="88">
        <f t="shared" si="197"/>
        <v>1.207694210832762</v>
      </c>
      <c r="X396" s="88">
        <f t="shared" si="198"/>
        <v>1.415388421665525</v>
      </c>
      <c r="Y396" s="88">
        <f t="shared" si="199"/>
        <v>1.460501555326047</v>
      </c>
      <c r="Z396" s="88">
        <f t="shared" si="200"/>
        <v>1.5051708316637149</v>
      </c>
      <c r="AA396" s="97">
        <v>55</v>
      </c>
      <c r="AB396" s="26" t="e">
        <f>IF(VALUE($AB$381)&lt;=0.8,"1",IF(AND(VALUE($AB$381)&gt;0.8,VALUE($AB$381)&lt;=0.96),FORECAST(VALUE($AB$381),S396:W396,$S$381:$W$381),IF(AND(VALUE($AB$381)&gt;0.96,VALUE($AB$381)&lt;=1.12),FORECAST(VALUE($AB$381),W396:X396,$W$381:$X$381),IF(AND(VALUE($AB$381)&gt;1.12,VALUE($AB$381)&lt;=1.3),FORECAST(VALUE($AB$381),X396:Y396,$X$381:$Y$381),FORECAST(VALUE($AB$381),Y396:Z396,$Y$381:$Z$381)))))</f>
        <v>#VALUE!</v>
      </c>
    </row>
    <row r="397" spans="4:28" x14ac:dyDescent="0.25">
      <c r="D397">
        <v>18</v>
      </c>
      <c r="E397" s="59" t="str">
        <f t="shared" si="187"/>
        <v/>
      </c>
      <c r="F397" s="55" t="str">
        <f t="shared" si="188"/>
        <v/>
      </c>
      <c r="G397" s="55" t="str">
        <f t="shared" si="189"/>
        <v/>
      </c>
      <c r="H397" s="55" t="str">
        <f t="shared" si="190"/>
        <v/>
      </c>
      <c r="I397" s="55" t="str">
        <f t="shared" si="191"/>
        <v/>
      </c>
      <c r="J397" s="55" t="str">
        <f t="shared" si="192"/>
        <v/>
      </c>
      <c r="K397" s="55" t="str">
        <f t="shared" si="193"/>
        <v/>
      </c>
      <c r="L397" s="60" t="str">
        <f t="shared" si="194"/>
        <v/>
      </c>
      <c r="O397" s="604"/>
      <c r="P397" s="589"/>
      <c r="Q397" s="609" t="s">
        <v>525</v>
      </c>
      <c r="R397" s="87" t="s">
        <v>526</v>
      </c>
      <c r="S397" s="88">
        <v>1</v>
      </c>
      <c r="T397" s="88"/>
      <c r="U397" s="88"/>
      <c r="V397" s="88"/>
      <c r="W397" s="88">
        <v>1</v>
      </c>
      <c r="X397" s="88">
        <v>1</v>
      </c>
      <c r="Y397" s="88">
        <v>1</v>
      </c>
      <c r="Z397" s="88">
        <v>1</v>
      </c>
      <c r="AA397" s="94">
        <v>0</v>
      </c>
      <c r="AB397" s="26" t="e">
        <f>IF(VALUE($AB$381)&lt;=0.8,"1",IF(AND(VALUE($AB$381)&gt;0.8,VALUE($AB$381)&lt;=0.96),FORECAST(VALUE($AB$381),S397:W397,$S$381:$W$381),IF(AND(VALUE($AB$381)&gt;0.96,VALUE($AB$381)&lt;=1.12),FORECAST(VALUE($AB$381),W397:X397,$W$381:$X$381),IF(AND(VALUE($AB$381)&gt;1.12,VALUE($AB$381)&lt;=1.3),FORECAST(VALUE($AB$381),X397:Y397,$X$381:$Y$381),FORECAST(VALUE($AB$381),Y397:Z397,$Y$381:$Z$381)))))</f>
        <v>#VALUE!</v>
      </c>
    </row>
    <row r="398" spans="4:28" x14ac:dyDescent="0.25">
      <c r="D398">
        <v>19</v>
      </c>
      <c r="E398" s="59" t="str">
        <f t="shared" si="187"/>
        <v/>
      </c>
      <c r="F398" s="55" t="str">
        <f t="shared" si="188"/>
        <v/>
      </c>
      <c r="G398" s="55" t="str">
        <f t="shared" si="189"/>
        <v/>
      </c>
      <c r="H398" s="55" t="str">
        <f t="shared" si="190"/>
        <v/>
      </c>
      <c r="I398" s="55" t="str">
        <f t="shared" si="191"/>
        <v/>
      </c>
      <c r="J398" s="55" t="str">
        <f t="shared" si="192"/>
        <v/>
      </c>
      <c r="K398" s="55" t="str">
        <f t="shared" si="193"/>
        <v/>
      </c>
      <c r="L398" s="60" t="str">
        <f t="shared" si="194"/>
        <v/>
      </c>
      <c r="O398" s="604"/>
      <c r="P398" s="589"/>
      <c r="Q398" s="589"/>
      <c r="R398" s="90" t="s">
        <v>523</v>
      </c>
      <c r="S398" s="88">
        <v>1</v>
      </c>
      <c r="T398" s="88"/>
      <c r="U398" s="88"/>
      <c r="V398" s="88"/>
      <c r="W398" s="88">
        <v>1</v>
      </c>
      <c r="X398" s="88">
        <v>1</v>
      </c>
      <c r="Y398" s="88">
        <v>1</v>
      </c>
      <c r="Z398" s="88">
        <v>1</v>
      </c>
      <c r="AA398" s="95"/>
      <c r="AB398" s="145" t="e">
        <f>IF($AB$379=0,AB397,AB399)</f>
        <v>#VALUE!</v>
      </c>
    </row>
    <row r="399" spans="4:28" x14ac:dyDescent="0.25">
      <c r="D399">
        <v>20</v>
      </c>
      <c r="E399" s="59" t="str">
        <f t="shared" si="187"/>
        <v/>
      </c>
      <c r="F399" s="55" t="str">
        <f t="shared" si="188"/>
        <v/>
      </c>
      <c r="G399" s="55" t="str">
        <f t="shared" si="189"/>
        <v/>
      </c>
      <c r="H399" s="55" t="str">
        <f t="shared" si="190"/>
        <v/>
      </c>
      <c r="I399" s="55" t="str">
        <f t="shared" si="191"/>
        <v/>
      </c>
      <c r="J399" s="55" t="str">
        <f t="shared" si="192"/>
        <v/>
      </c>
      <c r="K399" s="55" t="str">
        <f t="shared" si="193"/>
        <v/>
      </c>
      <c r="L399" s="60" t="str">
        <f t="shared" si="194"/>
        <v/>
      </c>
      <c r="O399" s="604"/>
      <c r="P399" s="589"/>
      <c r="Q399" s="589"/>
      <c r="R399" s="90" t="s">
        <v>524</v>
      </c>
      <c r="S399" s="88">
        <v>1</v>
      </c>
      <c r="T399" s="88"/>
      <c r="U399" s="88"/>
      <c r="V399" s="88"/>
      <c r="W399" s="88">
        <v>1</v>
      </c>
      <c r="X399" s="88">
        <v>1</v>
      </c>
      <c r="Y399" s="88">
        <v>1</v>
      </c>
      <c r="Z399" s="88">
        <v>1</v>
      </c>
      <c r="AA399" s="97">
        <v>55</v>
      </c>
      <c r="AB399" s="26" t="e">
        <f>IF(VALUE($AB$381)&lt;=0.8,"1",IF(AND(VALUE($AB$381)&gt;0.8,VALUE($AB$381)&lt;=0.96),FORECAST(VALUE($AB$381),S399:W399,$S$381:$W$381),IF(AND(VALUE($AB$381)&gt;0.96,VALUE($AB$381)&lt;=1.12),FORECAST(VALUE($AB$381),W399:X399,$W$381:$X$381),IF(AND(VALUE($AB$381)&gt;1.12,VALUE($AB$381)&lt;=1.3),FORECAST(VALUE($AB$381),X399:Y399,$X$381:$Y$381),FORECAST(VALUE($AB$381),Y399:Z399,$Y$381:$Z$381)))))</f>
        <v>#VALUE!</v>
      </c>
    </row>
    <row r="400" spans="4:28" x14ac:dyDescent="0.25">
      <c r="D400">
        <v>21</v>
      </c>
      <c r="E400" s="59" t="str">
        <f t="shared" si="187"/>
        <v/>
      </c>
      <c r="F400" s="55" t="str">
        <f t="shared" si="188"/>
        <v/>
      </c>
      <c r="G400" s="55" t="str">
        <f t="shared" si="189"/>
        <v/>
      </c>
      <c r="H400" s="55" t="str">
        <f t="shared" si="190"/>
        <v/>
      </c>
      <c r="I400" s="55" t="str">
        <f t="shared" si="191"/>
        <v/>
      </c>
      <c r="J400" s="55" t="str">
        <f t="shared" si="192"/>
        <v/>
      </c>
      <c r="K400" s="55" t="str">
        <f t="shared" si="193"/>
        <v/>
      </c>
      <c r="L400" s="60" t="str">
        <f t="shared" si="194"/>
        <v/>
      </c>
      <c r="O400" s="604"/>
      <c r="P400" s="589"/>
      <c r="Q400" s="609" t="s">
        <v>527</v>
      </c>
      <c r="R400" s="87" t="s">
        <v>522</v>
      </c>
      <c r="S400" s="88">
        <f t="shared" ref="S400:S405" si="201">IF(AND($O$382&gt;=0.25,$O$382&lt;0.35),G531,IF(AND($O$382&gt;=0.35,$O$382&lt;0.45),R531,AF531))</f>
        <v>1</v>
      </c>
      <c r="T400" s="88"/>
      <c r="U400" s="88"/>
      <c r="V400" s="88"/>
      <c r="W400" s="88">
        <f t="shared" ref="W400:W405" si="202">IF(AND($O$382&gt;=0.25,$O$382&lt;0.35),H531,IF(AND($O$382&gt;=0.35,$O$382&lt;0.45),S531,AG531))</f>
        <v>1.0391296477793051</v>
      </c>
      <c r="X400" s="88">
        <f t="shared" ref="X400:Z405" si="203">IF(AND($O$382&gt;=0.25,$O$382&lt;0.35),I531,IF(AND($O$382&gt;=0.35,$O$382&lt;0.45),W531,AH531))</f>
        <v>1.073405452435789</v>
      </c>
      <c r="Y400" s="88">
        <f t="shared" si="203"/>
        <v>1.1076184521370911</v>
      </c>
      <c r="Z400" s="88">
        <f t="shared" si="203"/>
        <v>1.141494838324278</v>
      </c>
      <c r="AA400" s="94">
        <v>0</v>
      </c>
      <c r="AB400" s="26" t="e">
        <f>IF(VALUE($AB$381)&lt;=0.8,"1",IF(AND(VALUE($AB$381)&gt;0.8,VALUE($AB$381)&lt;=0.96),FORECAST(VALUE($AB$381),S400:W400,$S$381:$W$381),IF(AND(VALUE($AB$381)&gt;0.96,VALUE($AB$381)&lt;=1.12),FORECAST(VALUE($AB$381),W400:X400,$W$381:$X$381),IF(AND(VALUE($AB$381)&gt;1.12,VALUE($AB$381)&lt;=1.3),FORECAST(VALUE($AB$381),X400:Y400,$X$381:$Y$381),FORECAST(VALUE($AB$381),Y400:Z400,$Y$381:$Z$381)))))</f>
        <v>#VALUE!</v>
      </c>
    </row>
    <row r="401" spans="4:28" x14ac:dyDescent="0.25">
      <c r="D401">
        <v>22</v>
      </c>
      <c r="E401" s="59" t="str">
        <f t="shared" si="187"/>
        <v/>
      </c>
      <c r="F401" s="55" t="str">
        <f t="shared" si="188"/>
        <v/>
      </c>
      <c r="G401" s="55" t="str">
        <f t="shared" si="189"/>
        <v/>
      </c>
      <c r="H401" s="55" t="str">
        <f t="shared" si="190"/>
        <v/>
      </c>
      <c r="I401" s="55" t="str">
        <f t="shared" si="191"/>
        <v/>
      </c>
      <c r="J401" s="55" t="str">
        <f t="shared" si="192"/>
        <v/>
      </c>
      <c r="K401" s="55" t="str">
        <f t="shared" si="193"/>
        <v/>
      </c>
      <c r="L401" s="60" t="str">
        <f t="shared" si="194"/>
        <v/>
      </c>
      <c r="O401" s="604"/>
      <c r="P401" s="589"/>
      <c r="Q401" s="589"/>
      <c r="R401" s="90" t="s">
        <v>523</v>
      </c>
      <c r="S401" s="88">
        <f t="shared" si="201"/>
        <v>1</v>
      </c>
      <c r="T401" s="88"/>
      <c r="U401" s="88"/>
      <c r="V401" s="88"/>
      <c r="W401" s="88">
        <f t="shared" si="202"/>
        <v>1.291400297889173</v>
      </c>
      <c r="X401" s="88">
        <f t="shared" si="203"/>
        <v>1.333997277427164</v>
      </c>
      <c r="Y401" s="88">
        <f t="shared" si="203"/>
        <v>1.3765162047817669</v>
      </c>
      <c r="Z401" s="88">
        <f t="shared" si="203"/>
        <v>1.418616798588358</v>
      </c>
      <c r="AA401" s="95"/>
      <c r="AB401" s="145" t="e">
        <f>IF($AB$379=0,AB400,AB402)</f>
        <v>#VALUE!</v>
      </c>
    </row>
    <row r="402" spans="4:28" x14ac:dyDescent="0.25">
      <c r="D402">
        <v>23</v>
      </c>
      <c r="E402" s="59" t="str">
        <f t="shared" si="187"/>
        <v/>
      </c>
      <c r="F402" s="55" t="str">
        <f t="shared" si="188"/>
        <v/>
      </c>
      <c r="G402" s="55" t="str">
        <f t="shared" si="189"/>
        <v/>
      </c>
      <c r="H402" s="55" t="str">
        <f t="shared" si="190"/>
        <v/>
      </c>
      <c r="I402" s="55" t="str">
        <f t="shared" si="191"/>
        <v/>
      </c>
      <c r="J402" s="55" t="str">
        <f t="shared" si="192"/>
        <v/>
      </c>
      <c r="K402" s="55" t="str">
        <f t="shared" si="193"/>
        <v/>
      </c>
      <c r="L402" s="60" t="str">
        <f t="shared" si="194"/>
        <v/>
      </c>
      <c r="O402" s="604"/>
      <c r="P402" s="589"/>
      <c r="Q402" s="589"/>
      <c r="R402" s="90" t="s">
        <v>524</v>
      </c>
      <c r="S402" s="88">
        <f t="shared" si="201"/>
        <v>1</v>
      </c>
      <c r="T402" s="88"/>
      <c r="U402" s="88"/>
      <c r="V402" s="88"/>
      <c r="W402" s="88">
        <f t="shared" si="202"/>
        <v>1.3054728489855181</v>
      </c>
      <c r="X402" s="88">
        <f t="shared" si="203"/>
        <v>1.610945697971037</v>
      </c>
      <c r="Y402" s="88">
        <f t="shared" si="203"/>
        <v>1.6622918920474949</v>
      </c>
      <c r="Z402" s="88">
        <f t="shared" si="203"/>
        <v>1.7131329032117439</v>
      </c>
      <c r="AA402" s="97">
        <v>55</v>
      </c>
      <c r="AB402" s="26" t="e">
        <f>IF(VALUE($AB$381)&lt;=0.8,"1",IF(AND(VALUE($AB$381)&gt;0.8,VALUE($AB$381)&lt;=0.96),FORECAST(VALUE($AB$381),S402:W402,$S$381:$W$381),IF(AND(VALUE($AB$381)&gt;0.96,VALUE($AB$381)&lt;=1.12),FORECAST(VALUE($AB$381),W402:X402,$W$381:$X$381),IF(AND(VALUE($AB$381)&gt;1.12,VALUE($AB$381)&lt;=1.3),FORECAST(VALUE($AB$381),X402:Y402,$X$381:$Y$381),FORECAST(VALUE($AB$381),Y402:Z402,$Y$381:$Z$381)))))</f>
        <v>#VALUE!</v>
      </c>
    </row>
    <row r="403" spans="4:28" x14ac:dyDescent="0.25">
      <c r="D403">
        <v>24</v>
      </c>
      <c r="E403" s="59" t="str">
        <f t="shared" si="187"/>
        <v/>
      </c>
      <c r="F403" s="55" t="str">
        <f t="shared" si="188"/>
        <v/>
      </c>
      <c r="G403" s="55" t="str">
        <f t="shared" si="189"/>
        <v/>
      </c>
      <c r="H403" s="55" t="str">
        <f t="shared" si="190"/>
        <v/>
      </c>
      <c r="I403" s="55" t="str">
        <f t="shared" si="191"/>
        <v/>
      </c>
      <c r="J403" s="55" t="str">
        <f t="shared" si="192"/>
        <v/>
      </c>
      <c r="K403" s="55" t="str">
        <f t="shared" si="193"/>
        <v/>
      </c>
      <c r="L403" s="60" t="str">
        <f t="shared" si="194"/>
        <v/>
      </c>
      <c r="O403" s="604"/>
      <c r="P403" s="589"/>
      <c r="Q403" s="614" t="s">
        <v>528</v>
      </c>
      <c r="R403" s="87" t="s">
        <v>526</v>
      </c>
      <c r="S403" s="88">
        <f t="shared" si="201"/>
        <v>1</v>
      </c>
      <c r="T403" s="88"/>
      <c r="U403" s="88"/>
      <c r="V403" s="88"/>
      <c r="W403" s="88">
        <f t="shared" si="202"/>
        <v>1.5491296477793051</v>
      </c>
      <c r="X403" s="88">
        <f t="shared" si="203"/>
        <v>1.583405452435789</v>
      </c>
      <c r="Y403" s="88">
        <f t="shared" si="203"/>
        <v>1.6176184521370911</v>
      </c>
      <c r="Z403" s="88">
        <f t="shared" si="203"/>
        <v>1.651494838324278</v>
      </c>
      <c r="AA403" s="94">
        <v>0</v>
      </c>
      <c r="AB403" s="26">
        <v>1</v>
      </c>
    </row>
    <row r="404" spans="4:28" x14ac:dyDescent="0.25">
      <c r="D404">
        <v>25</v>
      </c>
      <c r="E404" s="59" t="str">
        <f t="shared" si="187"/>
        <v/>
      </c>
      <c r="F404" s="55" t="str">
        <f t="shared" si="188"/>
        <v/>
      </c>
      <c r="G404" s="55" t="str">
        <f t="shared" si="189"/>
        <v/>
      </c>
      <c r="H404" s="55" t="str">
        <f t="shared" si="190"/>
        <v/>
      </c>
      <c r="I404" s="55" t="str">
        <f t="shared" si="191"/>
        <v/>
      </c>
      <c r="J404" s="55" t="str">
        <f t="shared" si="192"/>
        <v/>
      </c>
      <c r="K404" s="55" t="str">
        <f t="shared" si="193"/>
        <v/>
      </c>
      <c r="L404" s="60" t="str">
        <f t="shared" si="194"/>
        <v/>
      </c>
      <c r="O404" s="604"/>
      <c r="P404" s="589"/>
      <c r="Q404" s="589"/>
      <c r="R404" s="90" t="s">
        <v>523</v>
      </c>
      <c r="S404" s="88">
        <f t="shared" si="201"/>
        <v>1</v>
      </c>
      <c r="T404" s="88"/>
      <c r="U404" s="88"/>
      <c r="V404" s="88"/>
      <c r="W404" s="88">
        <f t="shared" si="202"/>
        <v>1.3700315971048409</v>
      </c>
      <c r="X404" s="88">
        <f t="shared" si="203"/>
        <v>1.415222238615196</v>
      </c>
      <c r="Y404" s="88">
        <f t="shared" si="203"/>
        <v>1.460330075469521</v>
      </c>
      <c r="Z404" s="88">
        <f t="shared" si="203"/>
        <v>1.5049941071150019</v>
      </c>
      <c r="AA404" s="95"/>
      <c r="AB404" s="145" t="e">
        <f>IF($AB$379=0,AB403,AB405)</f>
        <v>#VALUE!</v>
      </c>
    </row>
    <row r="405" spans="4:28" ht="15.75" customHeight="1" thickBot="1" x14ac:dyDescent="0.3">
      <c r="D405">
        <v>26</v>
      </c>
      <c r="E405" s="59" t="str">
        <f t="shared" si="187"/>
        <v/>
      </c>
      <c r="F405" s="55" t="str">
        <f t="shared" si="188"/>
        <v/>
      </c>
      <c r="G405" s="55" t="str">
        <f t="shared" si="189"/>
        <v/>
      </c>
      <c r="H405" s="55" t="str">
        <f t="shared" si="190"/>
        <v/>
      </c>
      <c r="I405" s="55" t="str">
        <f t="shared" si="191"/>
        <v/>
      </c>
      <c r="J405" s="55" t="str">
        <f t="shared" si="192"/>
        <v/>
      </c>
      <c r="K405" s="55" t="str">
        <f t="shared" si="193"/>
        <v/>
      </c>
      <c r="L405" s="60" t="str">
        <f t="shared" si="194"/>
        <v/>
      </c>
      <c r="O405" s="605"/>
      <c r="P405" s="608"/>
      <c r="Q405" s="608"/>
      <c r="R405" s="98" t="s">
        <v>524</v>
      </c>
      <c r="S405" s="88">
        <f t="shared" si="201"/>
        <v>1</v>
      </c>
      <c r="T405" s="88"/>
      <c r="U405" s="88"/>
      <c r="V405" s="88"/>
      <c r="W405" s="88">
        <f t="shared" si="202"/>
        <v>1.2641160195441781</v>
      </c>
      <c r="X405" s="88">
        <f t="shared" si="203"/>
        <v>1.3243120204748531</v>
      </c>
      <c r="Y405" s="88">
        <f t="shared" si="203"/>
        <v>1.366522246497202</v>
      </c>
      <c r="Z405" s="88">
        <f t="shared" si="203"/>
        <v>1.4083171762100479</v>
      </c>
      <c r="AA405" s="97">
        <v>55</v>
      </c>
      <c r="AB405" s="26" t="e">
        <f>IF(VALUE($AB$381)&lt;=0.8,"1",IF(AND(VALUE($AB$381)&gt;0.8,VALUE($AB$381)&lt;=0.96),FORECAST(VALUE($AB$381),S405:W405,$S$381:$W$381),IF(AND(VALUE($AB$381)&gt;0.96,VALUE($AB$381)&lt;=1.12),FORECAST(VALUE($AB$381),W405:X405,$W$381:$X$381),IF(AND(VALUE($AB$381)&gt;1.12,VALUE($AB$381)&lt;=1.3),FORECAST(VALUE($AB$381),X405:Y405,$X$381:$Y$381),FORECAST(VALUE($AB$381),Y405:Z405,$Y$381:$Z$381)))))</f>
        <v>#VALUE!</v>
      </c>
    </row>
    <row r="406" spans="4:28" x14ac:dyDescent="0.25">
      <c r="D406">
        <v>27</v>
      </c>
      <c r="E406" s="59" t="str">
        <f t="shared" si="187"/>
        <v/>
      </c>
      <c r="F406" s="55" t="str">
        <f t="shared" si="188"/>
        <v/>
      </c>
      <c r="G406" s="55" t="str">
        <f t="shared" si="189"/>
        <v/>
      </c>
      <c r="H406" s="55" t="str">
        <f t="shared" si="190"/>
        <v/>
      </c>
      <c r="I406" s="55" t="str">
        <f t="shared" si="191"/>
        <v/>
      </c>
      <c r="J406" s="55" t="str">
        <f t="shared" si="192"/>
        <v/>
      </c>
      <c r="K406" s="55" t="str">
        <f t="shared" si="193"/>
        <v/>
      </c>
      <c r="L406" s="60" t="str">
        <f t="shared" si="194"/>
        <v/>
      </c>
    </row>
    <row r="407" spans="4:28" x14ac:dyDescent="0.25">
      <c r="D407">
        <v>28</v>
      </c>
      <c r="E407" s="59" t="str">
        <f t="shared" si="187"/>
        <v/>
      </c>
      <c r="F407" s="55" t="str">
        <f t="shared" si="188"/>
        <v/>
      </c>
      <c r="G407" s="55" t="str">
        <f t="shared" si="189"/>
        <v/>
      </c>
      <c r="H407" s="55" t="str">
        <f t="shared" si="190"/>
        <v/>
      </c>
      <c r="I407" s="55" t="str">
        <f t="shared" si="191"/>
        <v/>
      </c>
      <c r="J407" s="55" t="str">
        <f t="shared" si="192"/>
        <v/>
      </c>
      <c r="K407" s="55" t="str">
        <f t="shared" si="193"/>
        <v/>
      </c>
      <c r="L407" s="60" t="str">
        <f t="shared" si="194"/>
        <v/>
      </c>
      <c r="W407" s="2"/>
    </row>
    <row r="408" spans="4:28" x14ac:dyDescent="0.25">
      <c r="D408">
        <v>29</v>
      </c>
      <c r="E408" s="59" t="str">
        <f t="shared" si="187"/>
        <v/>
      </c>
      <c r="F408" s="55" t="str">
        <f t="shared" si="188"/>
        <v/>
      </c>
      <c r="G408" s="55" t="str">
        <f t="shared" si="189"/>
        <v/>
      </c>
      <c r="H408" s="55" t="str">
        <f t="shared" si="190"/>
        <v/>
      </c>
      <c r="I408" s="55" t="str">
        <f t="shared" si="191"/>
        <v/>
      </c>
      <c r="J408" s="55" t="str">
        <f t="shared" si="192"/>
        <v/>
      </c>
      <c r="K408" s="55" t="str">
        <f t="shared" si="193"/>
        <v/>
      </c>
      <c r="L408" s="60" t="str">
        <f t="shared" si="194"/>
        <v/>
      </c>
    </row>
    <row r="409" spans="4:28" x14ac:dyDescent="0.25">
      <c r="D409">
        <v>30</v>
      </c>
      <c r="E409" s="59" t="str">
        <f t="shared" si="187"/>
        <v/>
      </c>
      <c r="F409" s="55" t="str">
        <f t="shared" si="188"/>
        <v/>
      </c>
      <c r="G409" s="55" t="str">
        <f t="shared" si="189"/>
        <v/>
      </c>
      <c r="H409" s="55" t="str">
        <f t="shared" si="190"/>
        <v/>
      </c>
      <c r="I409" s="55" t="str">
        <f t="shared" si="191"/>
        <v/>
      </c>
      <c r="J409" s="55" t="str">
        <f t="shared" si="192"/>
        <v/>
      </c>
      <c r="K409" s="55" t="str">
        <f t="shared" si="193"/>
        <v/>
      </c>
      <c r="L409" s="60" t="str">
        <f t="shared" si="194"/>
        <v/>
      </c>
    </row>
    <row r="410" spans="4:28" ht="15" customHeight="1" x14ac:dyDescent="0.25">
      <c r="D410">
        <v>31</v>
      </c>
      <c r="E410" s="59" t="str">
        <f t="shared" si="187"/>
        <v/>
      </c>
      <c r="F410" s="55" t="str">
        <f t="shared" si="188"/>
        <v/>
      </c>
      <c r="G410" s="55" t="str">
        <f t="shared" si="189"/>
        <v/>
      </c>
      <c r="H410" s="55" t="str">
        <f t="shared" si="190"/>
        <v/>
      </c>
      <c r="I410" s="55" t="str">
        <f t="shared" si="191"/>
        <v/>
      </c>
      <c r="J410" s="55" t="str">
        <f t="shared" si="192"/>
        <v/>
      </c>
      <c r="K410" s="55" t="str">
        <f t="shared" si="193"/>
        <v/>
      </c>
      <c r="L410" s="60" t="str">
        <f t="shared" si="194"/>
        <v/>
      </c>
    </row>
    <row r="411" spans="4:28" x14ac:dyDescent="0.25">
      <c r="D411">
        <v>32</v>
      </c>
      <c r="E411" s="59" t="str">
        <f t="shared" si="187"/>
        <v/>
      </c>
      <c r="F411" s="55" t="str">
        <f t="shared" si="188"/>
        <v/>
      </c>
      <c r="G411" s="55" t="str">
        <f t="shared" si="189"/>
        <v/>
      </c>
      <c r="H411" s="55" t="str">
        <f t="shared" si="190"/>
        <v/>
      </c>
      <c r="I411" s="55" t="str">
        <f t="shared" si="191"/>
        <v/>
      </c>
      <c r="J411" s="55" t="str">
        <f t="shared" si="192"/>
        <v/>
      </c>
      <c r="K411" s="55" t="str">
        <f t="shared" si="193"/>
        <v/>
      </c>
      <c r="L411" s="60" t="str">
        <f t="shared" si="194"/>
        <v/>
      </c>
    </row>
    <row r="412" spans="4:28" x14ac:dyDescent="0.25">
      <c r="D412">
        <v>33</v>
      </c>
      <c r="E412" s="59" t="str">
        <f t="shared" ref="E412:E443" si="204">IF($Z$374&gt;$AA$374,$Z278,$AA278)</f>
        <v/>
      </c>
      <c r="F412" s="55" t="str">
        <f t="shared" ref="F412:F443" si="205">IF($AB$374&gt;$AC$374,$AB278,$AC278)</f>
        <v/>
      </c>
      <c r="G412" s="55" t="str">
        <f t="shared" ref="G412:G443" si="206">IF($AD$374&gt;$AE$374,$AD278,$AE278)</f>
        <v/>
      </c>
      <c r="H412" s="55" t="str">
        <f t="shared" ref="H412:H443" si="207">IF($AF$374&gt;$AG$374,$AF278,$AG278)</f>
        <v/>
      </c>
      <c r="I412" s="55" t="str">
        <f t="shared" ref="I412:I443" si="208">IF($AI$374&gt;$AJ$374,$N278,$O278)</f>
        <v/>
      </c>
      <c r="J412" s="55" t="str">
        <f t="shared" ref="J412:J443" si="209">IF($AK$374&gt;$AL$374,$P278,$Q278)</f>
        <v/>
      </c>
      <c r="K412" s="55" t="str">
        <f t="shared" ref="K412:K443" si="210">IF($AM$374&gt;$AN$374,$R278,$S278)</f>
        <v/>
      </c>
      <c r="L412" s="60" t="str">
        <f t="shared" ref="L412:L443" si="211">IF($AR$374&gt;$AS$374,$W278,$X278)</f>
        <v/>
      </c>
    </row>
    <row r="413" spans="4:28" x14ac:dyDescent="0.25">
      <c r="D413">
        <v>34</v>
      </c>
      <c r="E413" s="59" t="str">
        <f t="shared" si="204"/>
        <v/>
      </c>
      <c r="F413" s="55" t="str">
        <f t="shared" si="205"/>
        <v/>
      </c>
      <c r="G413" s="55" t="str">
        <f t="shared" si="206"/>
        <v/>
      </c>
      <c r="H413" s="55" t="str">
        <f t="shared" si="207"/>
        <v/>
      </c>
      <c r="I413" s="55" t="str">
        <f t="shared" si="208"/>
        <v/>
      </c>
      <c r="J413" s="55" t="str">
        <f t="shared" si="209"/>
        <v/>
      </c>
      <c r="K413" s="55" t="str">
        <f t="shared" si="210"/>
        <v/>
      </c>
      <c r="L413" s="60" t="str">
        <f t="shared" si="211"/>
        <v/>
      </c>
    </row>
    <row r="414" spans="4:28" x14ac:dyDescent="0.25">
      <c r="D414">
        <v>35</v>
      </c>
      <c r="E414" s="59" t="str">
        <f t="shared" si="204"/>
        <v/>
      </c>
      <c r="F414" s="55" t="str">
        <f t="shared" si="205"/>
        <v/>
      </c>
      <c r="G414" s="55" t="str">
        <f t="shared" si="206"/>
        <v/>
      </c>
      <c r="H414" s="55" t="str">
        <f t="shared" si="207"/>
        <v/>
      </c>
      <c r="I414" s="55" t="str">
        <f t="shared" si="208"/>
        <v/>
      </c>
      <c r="J414" s="55" t="str">
        <f t="shared" si="209"/>
        <v/>
      </c>
      <c r="K414" s="55" t="str">
        <f t="shared" si="210"/>
        <v/>
      </c>
      <c r="L414" s="60" t="str">
        <f t="shared" si="211"/>
        <v/>
      </c>
    </row>
    <row r="415" spans="4:28" ht="15" customHeight="1" x14ac:dyDescent="0.25">
      <c r="D415">
        <v>36</v>
      </c>
      <c r="E415" s="59" t="str">
        <f t="shared" si="204"/>
        <v/>
      </c>
      <c r="F415" s="55" t="str">
        <f t="shared" si="205"/>
        <v/>
      </c>
      <c r="G415" s="55" t="str">
        <f t="shared" si="206"/>
        <v/>
      </c>
      <c r="H415" s="55" t="str">
        <f t="shared" si="207"/>
        <v/>
      </c>
      <c r="I415" s="55" t="str">
        <f t="shared" si="208"/>
        <v/>
      </c>
      <c r="J415" s="55" t="str">
        <f t="shared" si="209"/>
        <v/>
      </c>
      <c r="K415" s="55" t="str">
        <f t="shared" si="210"/>
        <v/>
      </c>
      <c r="L415" s="60" t="str">
        <f t="shared" si="211"/>
        <v/>
      </c>
    </row>
    <row r="416" spans="4:28" x14ac:dyDescent="0.25">
      <c r="D416">
        <v>37</v>
      </c>
      <c r="E416" s="59" t="str">
        <f t="shared" si="204"/>
        <v/>
      </c>
      <c r="F416" s="55" t="str">
        <f t="shared" si="205"/>
        <v/>
      </c>
      <c r="G416" s="55" t="str">
        <f t="shared" si="206"/>
        <v/>
      </c>
      <c r="H416" s="55" t="str">
        <f t="shared" si="207"/>
        <v/>
      </c>
      <c r="I416" s="55" t="str">
        <f t="shared" si="208"/>
        <v/>
      </c>
      <c r="J416" s="55" t="str">
        <f t="shared" si="209"/>
        <v/>
      </c>
      <c r="K416" s="55" t="str">
        <f t="shared" si="210"/>
        <v/>
      </c>
      <c r="L416" s="60" t="str">
        <f t="shared" si="211"/>
        <v/>
      </c>
    </row>
    <row r="417" spans="4:12" x14ac:dyDescent="0.25">
      <c r="D417">
        <v>38</v>
      </c>
      <c r="E417" s="59" t="str">
        <f t="shared" si="204"/>
        <v/>
      </c>
      <c r="F417" s="55" t="str">
        <f t="shared" si="205"/>
        <v/>
      </c>
      <c r="G417" s="55" t="str">
        <f t="shared" si="206"/>
        <v/>
      </c>
      <c r="H417" s="55" t="str">
        <f t="shared" si="207"/>
        <v/>
      </c>
      <c r="I417" s="55" t="str">
        <f t="shared" si="208"/>
        <v/>
      </c>
      <c r="J417" s="55" t="str">
        <f t="shared" si="209"/>
        <v/>
      </c>
      <c r="K417" s="55" t="str">
        <f t="shared" si="210"/>
        <v/>
      </c>
      <c r="L417" s="60" t="str">
        <f t="shared" si="211"/>
        <v/>
      </c>
    </row>
    <row r="418" spans="4:12" ht="15" customHeight="1" x14ac:dyDescent="0.25">
      <c r="D418">
        <v>39</v>
      </c>
      <c r="E418" s="59" t="str">
        <f t="shared" si="204"/>
        <v/>
      </c>
      <c r="F418" s="55" t="str">
        <f t="shared" si="205"/>
        <v/>
      </c>
      <c r="G418" s="55" t="str">
        <f t="shared" si="206"/>
        <v/>
      </c>
      <c r="H418" s="55" t="str">
        <f t="shared" si="207"/>
        <v/>
      </c>
      <c r="I418" s="55" t="str">
        <f t="shared" si="208"/>
        <v/>
      </c>
      <c r="J418" s="55" t="str">
        <f t="shared" si="209"/>
        <v/>
      </c>
      <c r="K418" s="55" t="str">
        <f t="shared" si="210"/>
        <v/>
      </c>
      <c r="L418" s="60" t="str">
        <f t="shared" si="211"/>
        <v/>
      </c>
    </row>
    <row r="419" spans="4:12" x14ac:dyDescent="0.25">
      <c r="D419">
        <v>40</v>
      </c>
      <c r="E419" s="59" t="str">
        <f t="shared" si="204"/>
        <v/>
      </c>
      <c r="F419" s="55" t="str">
        <f t="shared" si="205"/>
        <v/>
      </c>
      <c r="G419" s="55" t="str">
        <f t="shared" si="206"/>
        <v/>
      </c>
      <c r="H419" s="55" t="str">
        <f t="shared" si="207"/>
        <v/>
      </c>
      <c r="I419" s="55" t="str">
        <f t="shared" si="208"/>
        <v/>
      </c>
      <c r="J419" s="55" t="str">
        <f t="shared" si="209"/>
        <v/>
      </c>
      <c r="K419" s="55" t="str">
        <f t="shared" si="210"/>
        <v/>
      </c>
      <c r="L419" s="60" t="str">
        <f t="shared" si="211"/>
        <v/>
      </c>
    </row>
    <row r="420" spans="4:12" x14ac:dyDescent="0.25">
      <c r="D420">
        <v>41</v>
      </c>
      <c r="E420" s="59" t="str">
        <f t="shared" si="204"/>
        <v/>
      </c>
      <c r="F420" s="55" t="str">
        <f t="shared" si="205"/>
        <v/>
      </c>
      <c r="G420" s="55" t="str">
        <f t="shared" si="206"/>
        <v/>
      </c>
      <c r="H420" s="55" t="str">
        <f t="shared" si="207"/>
        <v/>
      </c>
      <c r="I420" s="55" t="str">
        <f t="shared" si="208"/>
        <v/>
      </c>
      <c r="J420" s="55" t="str">
        <f t="shared" si="209"/>
        <v/>
      </c>
      <c r="K420" s="55" t="str">
        <f t="shared" si="210"/>
        <v/>
      </c>
      <c r="L420" s="60" t="str">
        <f t="shared" si="211"/>
        <v/>
      </c>
    </row>
    <row r="421" spans="4:12" ht="15" customHeight="1" x14ac:dyDescent="0.25">
      <c r="D421">
        <v>42</v>
      </c>
      <c r="E421" s="59" t="str">
        <f t="shared" si="204"/>
        <v/>
      </c>
      <c r="F421" s="55" t="str">
        <f t="shared" si="205"/>
        <v/>
      </c>
      <c r="G421" s="55" t="str">
        <f t="shared" si="206"/>
        <v/>
      </c>
      <c r="H421" s="55" t="str">
        <f t="shared" si="207"/>
        <v/>
      </c>
      <c r="I421" s="55" t="str">
        <f t="shared" si="208"/>
        <v/>
      </c>
      <c r="J421" s="55" t="str">
        <f t="shared" si="209"/>
        <v/>
      </c>
      <c r="K421" s="55" t="str">
        <f t="shared" si="210"/>
        <v/>
      </c>
      <c r="L421" s="60" t="str">
        <f t="shared" si="211"/>
        <v/>
      </c>
    </row>
    <row r="422" spans="4:12" x14ac:dyDescent="0.25">
      <c r="D422">
        <v>43</v>
      </c>
      <c r="E422" s="59" t="str">
        <f t="shared" si="204"/>
        <v/>
      </c>
      <c r="F422" s="55" t="str">
        <f t="shared" si="205"/>
        <v/>
      </c>
      <c r="G422" s="55" t="str">
        <f t="shared" si="206"/>
        <v/>
      </c>
      <c r="H422" s="55" t="str">
        <f t="shared" si="207"/>
        <v/>
      </c>
      <c r="I422" s="55" t="str">
        <f t="shared" si="208"/>
        <v/>
      </c>
      <c r="J422" s="55" t="str">
        <f t="shared" si="209"/>
        <v/>
      </c>
      <c r="K422" s="55" t="str">
        <f t="shared" si="210"/>
        <v/>
      </c>
      <c r="L422" s="60" t="str">
        <f t="shared" si="211"/>
        <v/>
      </c>
    </row>
    <row r="423" spans="4:12" x14ac:dyDescent="0.25">
      <c r="D423">
        <v>44</v>
      </c>
      <c r="E423" s="59" t="str">
        <f t="shared" si="204"/>
        <v/>
      </c>
      <c r="F423" s="55" t="str">
        <f t="shared" si="205"/>
        <v/>
      </c>
      <c r="G423" s="55" t="str">
        <f t="shared" si="206"/>
        <v/>
      </c>
      <c r="H423" s="55" t="str">
        <f t="shared" si="207"/>
        <v/>
      </c>
      <c r="I423" s="55" t="str">
        <f t="shared" si="208"/>
        <v/>
      </c>
      <c r="J423" s="55" t="str">
        <f t="shared" si="209"/>
        <v/>
      </c>
      <c r="K423" s="55" t="str">
        <f t="shared" si="210"/>
        <v/>
      </c>
      <c r="L423" s="60" t="str">
        <f t="shared" si="211"/>
        <v/>
      </c>
    </row>
    <row r="424" spans="4:12" x14ac:dyDescent="0.25">
      <c r="D424">
        <v>45</v>
      </c>
      <c r="E424" s="59" t="str">
        <f t="shared" si="204"/>
        <v/>
      </c>
      <c r="F424" s="55" t="str">
        <f t="shared" si="205"/>
        <v/>
      </c>
      <c r="G424" s="55" t="str">
        <f t="shared" si="206"/>
        <v/>
      </c>
      <c r="H424" s="55" t="str">
        <f t="shared" si="207"/>
        <v/>
      </c>
      <c r="I424" s="55" t="str">
        <f t="shared" si="208"/>
        <v/>
      </c>
      <c r="J424" s="55" t="str">
        <f t="shared" si="209"/>
        <v/>
      </c>
      <c r="K424" s="55" t="str">
        <f t="shared" si="210"/>
        <v/>
      </c>
      <c r="L424" s="60" t="str">
        <f t="shared" si="211"/>
        <v/>
      </c>
    </row>
    <row r="425" spans="4:12" x14ac:dyDescent="0.25">
      <c r="D425">
        <v>46</v>
      </c>
      <c r="E425" s="59" t="str">
        <f t="shared" si="204"/>
        <v/>
      </c>
      <c r="F425" s="55" t="str">
        <f t="shared" si="205"/>
        <v/>
      </c>
      <c r="G425" s="55" t="str">
        <f t="shared" si="206"/>
        <v/>
      </c>
      <c r="H425" s="55" t="str">
        <f t="shared" si="207"/>
        <v/>
      </c>
      <c r="I425" s="55" t="str">
        <f t="shared" si="208"/>
        <v/>
      </c>
      <c r="J425" s="55" t="str">
        <f t="shared" si="209"/>
        <v/>
      </c>
      <c r="K425" s="55" t="str">
        <f t="shared" si="210"/>
        <v/>
      </c>
      <c r="L425" s="60" t="str">
        <f t="shared" si="211"/>
        <v/>
      </c>
    </row>
    <row r="426" spans="4:12" x14ac:dyDescent="0.25">
      <c r="D426">
        <v>47</v>
      </c>
      <c r="E426" s="59" t="str">
        <f t="shared" si="204"/>
        <v/>
      </c>
      <c r="F426" s="55" t="str">
        <f t="shared" si="205"/>
        <v/>
      </c>
      <c r="G426" s="55" t="str">
        <f t="shared" si="206"/>
        <v/>
      </c>
      <c r="H426" s="55" t="str">
        <f t="shared" si="207"/>
        <v/>
      </c>
      <c r="I426" s="55" t="str">
        <f t="shared" si="208"/>
        <v/>
      </c>
      <c r="J426" s="55" t="str">
        <f t="shared" si="209"/>
        <v/>
      </c>
      <c r="K426" s="55" t="str">
        <f t="shared" si="210"/>
        <v/>
      </c>
      <c r="L426" s="60" t="str">
        <f t="shared" si="211"/>
        <v/>
      </c>
    </row>
    <row r="427" spans="4:12" ht="15" customHeight="1" x14ac:dyDescent="0.25">
      <c r="D427">
        <v>48</v>
      </c>
      <c r="E427" s="59" t="str">
        <f t="shared" si="204"/>
        <v/>
      </c>
      <c r="F427" s="55" t="str">
        <f t="shared" si="205"/>
        <v/>
      </c>
      <c r="G427" s="55" t="str">
        <f t="shared" si="206"/>
        <v/>
      </c>
      <c r="H427" s="55" t="str">
        <f t="shared" si="207"/>
        <v/>
      </c>
      <c r="I427" s="55" t="str">
        <f t="shared" si="208"/>
        <v/>
      </c>
      <c r="J427" s="55" t="str">
        <f t="shared" si="209"/>
        <v/>
      </c>
      <c r="K427" s="55" t="str">
        <f t="shared" si="210"/>
        <v/>
      </c>
      <c r="L427" s="60" t="str">
        <f t="shared" si="211"/>
        <v/>
      </c>
    </row>
    <row r="428" spans="4:12" x14ac:dyDescent="0.25">
      <c r="D428">
        <v>49</v>
      </c>
      <c r="E428" s="59" t="str">
        <f t="shared" si="204"/>
        <v/>
      </c>
      <c r="F428" s="55" t="str">
        <f t="shared" si="205"/>
        <v/>
      </c>
      <c r="G428" s="55" t="str">
        <f t="shared" si="206"/>
        <v/>
      </c>
      <c r="H428" s="55" t="str">
        <f t="shared" si="207"/>
        <v/>
      </c>
      <c r="I428" s="55" t="str">
        <f t="shared" si="208"/>
        <v/>
      </c>
      <c r="J428" s="55" t="str">
        <f t="shared" si="209"/>
        <v/>
      </c>
      <c r="K428" s="55" t="str">
        <f t="shared" si="210"/>
        <v/>
      </c>
      <c r="L428" s="60" t="str">
        <f t="shared" si="211"/>
        <v/>
      </c>
    </row>
    <row r="429" spans="4:12" x14ac:dyDescent="0.25">
      <c r="D429">
        <v>50</v>
      </c>
      <c r="E429" s="59" t="str">
        <f t="shared" si="204"/>
        <v/>
      </c>
      <c r="F429" s="55" t="str">
        <f t="shared" si="205"/>
        <v/>
      </c>
      <c r="G429" s="55" t="str">
        <f t="shared" si="206"/>
        <v/>
      </c>
      <c r="H429" s="55" t="str">
        <f t="shared" si="207"/>
        <v/>
      </c>
      <c r="I429" s="55" t="str">
        <f t="shared" si="208"/>
        <v/>
      </c>
      <c r="J429" s="55" t="str">
        <f t="shared" si="209"/>
        <v/>
      </c>
      <c r="K429" s="55" t="str">
        <f t="shared" si="210"/>
        <v/>
      </c>
      <c r="L429" s="60" t="str">
        <f t="shared" si="211"/>
        <v/>
      </c>
    </row>
    <row r="430" spans="4:12" ht="15" customHeight="1" x14ac:dyDescent="0.25">
      <c r="D430">
        <v>51</v>
      </c>
      <c r="E430" s="59" t="str">
        <f t="shared" si="204"/>
        <v/>
      </c>
      <c r="F430" s="55" t="str">
        <f t="shared" si="205"/>
        <v/>
      </c>
      <c r="G430" s="55" t="str">
        <f t="shared" si="206"/>
        <v/>
      </c>
      <c r="H430" s="55" t="str">
        <f t="shared" si="207"/>
        <v/>
      </c>
      <c r="I430" s="55" t="str">
        <f t="shared" si="208"/>
        <v/>
      </c>
      <c r="J430" s="55" t="str">
        <f t="shared" si="209"/>
        <v/>
      </c>
      <c r="K430" s="55" t="str">
        <f t="shared" si="210"/>
        <v/>
      </c>
      <c r="L430" s="60" t="str">
        <f t="shared" si="211"/>
        <v/>
      </c>
    </row>
    <row r="431" spans="4:12" x14ac:dyDescent="0.25">
      <c r="D431">
        <v>52</v>
      </c>
      <c r="E431" s="59" t="str">
        <f t="shared" si="204"/>
        <v/>
      </c>
      <c r="F431" s="55" t="str">
        <f t="shared" si="205"/>
        <v/>
      </c>
      <c r="G431" s="55" t="str">
        <f t="shared" si="206"/>
        <v/>
      </c>
      <c r="H431" s="55" t="str">
        <f t="shared" si="207"/>
        <v/>
      </c>
      <c r="I431" s="55" t="str">
        <f t="shared" si="208"/>
        <v/>
      </c>
      <c r="J431" s="55" t="str">
        <f t="shared" si="209"/>
        <v/>
      </c>
      <c r="K431" s="55" t="str">
        <f t="shared" si="210"/>
        <v/>
      </c>
      <c r="L431" s="60" t="str">
        <f t="shared" si="211"/>
        <v/>
      </c>
    </row>
    <row r="432" spans="4:12" x14ac:dyDescent="0.25">
      <c r="D432">
        <v>53</v>
      </c>
      <c r="E432" s="59" t="str">
        <f t="shared" si="204"/>
        <v/>
      </c>
      <c r="F432" s="55" t="str">
        <f t="shared" si="205"/>
        <v/>
      </c>
      <c r="G432" s="55" t="str">
        <f t="shared" si="206"/>
        <v/>
      </c>
      <c r="H432" s="55" t="str">
        <f t="shared" si="207"/>
        <v/>
      </c>
      <c r="I432" s="55" t="str">
        <f t="shared" si="208"/>
        <v/>
      </c>
      <c r="J432" s="55" t="str">
        <f t="shared" si="209"/>
        <v/>
      </c>
      <c r="K432" s="55" t="str">
        <f t="shared" si="210"/>
        <v/>
      </c>
      <c r="L432" s="60" t="str">
        <f t="shared" si="211"/>
        <v/>
      </c>
    </row>
    <row r="433" spans="4:12" ht="15" customHeight="1" x14ac:dyDescent="0.25">
      <c r="D433">
        <v>54</v>
      </c>
      <c r="E433" s="59" t="str">
        <f t="shared" si="204"/>
        <v/>
      </c>
      <c r="F433" s="55" t="str">
        <f t="shared" si="205"/>
        <v/>
      </c>
      <c r="G433" s="55" t="str">
        <f t="shared" si="206"/>
        <v/>
      </c>
      <c r="H433" s="55" t="str">
        <f t="shared" si="207"/>
        <v/>
      </c>
      <c r="I433" s="55" t="str">
        <f t="shared" si="208"/>
        <v/>
      </c>
      <c r="J433" s="55" t="str">
        <f t="shared" si="209"/>
        <v/>
      </c>
      <c r="K433" s="55" t="str">
        <f t="shared" si="210"/>
        <v/>
      </c>
      <c r="L433" s="60" t="str">
        <f t="shared" si="211"/>
        <v/>
      </c>
    </row>
    <row r="434" spans="4:12" x14ac:dyDescent="0.25">
      <c r="D434">
        <v>55</v>
      </c>
      <c r="E434" s="59" t="str">
        <f t="shared" si="204"/>
        <v/>
      </c>
      <c r="F434" s="55" t="str">
        <f t="shared" si="205"/>
        <v/>
      </c>
      <c r="G434" s="55" t="str">
        <f t="shared" si="206"/>
        <v/>
      </c>
      <c r="H434" s="55" t="str">
        <f t="shared" si="207"/>
        <v/>
      </c>
      <c r="I434" s="55" t="str">
        <f t="shared" si="208"/>
        <v/>
      </c>
      <c r="J434" s="55" t="str">
        <f t="shared" si="209"/>
        <v/>
      </c>
      <c r="K434" s="55" t="str">
        <f t="shared" si="210"/>
        <v/>
      </c>
      <c r="L434" s="60" t="str">
        <f t="shared" si="211"/>
        <v/>
      </c>
    </row>
    <row r="435" spans="4:12" x14ac:dyDescent="0.25">
      <c r="D435">
        <v>56</v>
      </c>
      <c r="E435" s="59" t="str">
        <f t="shared" si="204"/>
        <v/>
      </c>
      <c r="F435" s="55" t="str">
        <f t="shared" si="205"/>
        <v/>
      </c>
      <c r="G435" s="55" t="str">
        <f t="shared" si="206"/>
        <v/>
      </c>
      <c r="H435" s="55" t="str">
        <f t="shared" si="207"/>
        <v/>
      </c>
      <c r="I435" s="55" t="str">
        <f t="shared" si="208"/>
        <v/>
      </c>
      <c r="J435" s="55" t="str">
        <f t="shared" si="209"/>
        <v/>
      </c>
      <c r="K435" s="55" t="str">
        <f t="shared" si="210"/>
        <v/>
      </c>
      <c r="L435" s="60" t="str">
        <f t="shared" si="211"/>
        <v/>
      </c>
    </row>
    <row r="436" spans="4:12" x14ac:dyDescent="0.25">
      <c r="D436">
        <v>57</v>
      </c>
      <c r="E436" s="59" t="str">
        <f t="shared" si="204"/>
        <v/>
      </c>
      <c r="F436" s="55" t="str">
        <f t="shared" si="205"/>
        <v/>
      </c>
      <c r="G436" s="55" t="str">
        <f t="shared" si="206"/>
        <v/>
      </c>
      <c r="H436" s="55" t="str">
        <f t="shared" si="207"/>
        <v/>
      </c>
      <c r="I436" s="55" t="str">
        <f t="shared" si="208"/>
        <v/>
      </c>
      <c r="J436" s="55" t="str">
        <f t="shared" si="209"/>
        <v/>
      </c>
      <c r="K436" s="55" t="str">
        <f t="shared" si="210"/>
        <v/>
      </c>
      <c r="L436" s="60" t="str">
        <f t="shared" si="211"/>
        <v/>
      </c>
    </row>
    <row r="437" spans="4:12" x14ac:dyDescent="0.25">
      <c r="D437">
        <v>58</v>
      </c>
      <c r="E437" s="59" t="str">
        <f t="shared" si="204"/>
        <v/>
      </c>
      <c r="F437" s="55" t="str">
        <f t="shared" si="205"/>
        <v/>
      </c>
      <c r="G437" s="55" t="str">
        <f t="shared" si="206"/>
        <v/>
      </c>
      <c r="H437" s="55" t="str">
        <f t="shared" si="207"/>
        <v/>
      </c>
      <c r="I437" s="55" t="str">
        <f t="shared" si="208"/>
        <v/>
      </c>
      <c r="J437" s="55" t="str">
        <f t="shared" si="209"/>
        <v/>
      </c>
      <c r="K437" s="55" t="str">
        <f t="shared" si="210"/>
        <v/>
      </c>
      <c r="L437" s="60" t="str">
        <f t="shared" si="211"/>
        <v/>
      </c>
    </row>
    <row r="438" spans="4:12" x14ac:dyDescent="0.25">
      <c r="D438">
        <v>59</v>
      </c>
      <c r="E438" s="59" t="str">
        <f t="shared" si="204"/>
        <v/>
      </c>
      <c r="F438" s="55" t="str">
        <f t="shared" si="205"/>
        <v/>
      </c>
      <c r="G438" s="55" t="str">
        <f t="shared" si="206"/>
        <v/>
      </c>
      <c r="H438" s="55" t="str">
        <f t="shared" si="207"/>
        <v/>
      </c>
      <c r="I438" s="55" t="str">
        <f t="shared" si="208"/>
        <v/>
      </c>
      <c r="J438" s="55" t="str">
        <f t="shared" si="209"/>
        <v/>
      </c>
      <c r="K438" s="55" t="str">
        <f t="shared" si="210"/>
        <v/>
      </c>
      <c r="L438" s="60" t="str">
        <f t="shared" si="211"/>
        <v/>
      </c>
    </row>
    <row r="439" spans="4:12" x14ac:dyDescent="0.25">
      <c r="D439">
        <v>60</v>
      </c>
      <c r="E439" s="59" t="str">
        <f t="shared" si="204"/>
        <v/>
      </c>
      <c r="F439" s="55" t="str">
        <f t="shared" si="205"/>
        <v/>
      </c>
      <c r="G439" s="55" t="str">
        <f t="shared" si="206"/>
        <v/>
      </c>
      <c r="H439" s="55" t="str">
        <f t="shared" si="207"/>
        <v/>
      </c>
      <c r="I439" s="55" t="str">
        <f t="shared" si="208"/>
        <v/>
      </c>
      <c r="J439" s="55" t="str">
        <f t="shared" si="209"/>
        <v/>
      </c>
      <c r="K439" s="55" t="str">
        <f t="shared" si="210"/>
        <v/>
      </c>
      <c r="L439" s="60" t="str">
        <f t="shared" si="211"/>
        <v/>
      </c>
    </row>
    <row r="440" spans="4:12" x14ac:dyDescent="0.25">
      <c r="D440">
        <v>61</v>
      </c>
      <c r="E440" s="59" t="str">
        <f t="shared" si="204"/>
        <v/>
      </c>
      <c r="F440" s="55" t="str">
        <f t="shared" si="205"/>
        <v/>
      </c>
      <c r="G440" s="55" t="str">
        <f t="shared" si="206"/>
        <v/>
      </c>
      <c r="H440" s="55" t="str">
        <f t="shared" si="207"/>
        <v/>
      </c>
      <c r="I440" s="55" t="str">
        <f t="shared" si="208"/>
        <v/>
      </c>
      <c r="J440" s="55" t="str">
        <f t="shared" si="209"/>
        <v/>
      </c>
      <c r="K440" s="55" t="str">
        <f t="shared" si="210"/>
        <v/>
      </c>
      <c r="L440" s="60" t="str">
        <f t="shared" si="211"/>
        <v/>
      </c>
    </row>
    <row r="441" spans="4:12" x14ac:dyDescent="0.25">
      <c r="D441">
        <v>62</v>
      </c>
      <c r="E441" s="59" t="str">
        <f t="shared" si="204"/>
        <v/>
      </c>
      <c r="F441" s="55" t="str">
        <f t="shared" si="205"/>
        <v/>
      </c>
      <c r="G441" s="55" t="str">
        <f t="shared" si="206"/>
        <v/>
      </c>
      <c r="H441" s="55" t="str">
        <f t="shared" si="207"/>
        <v/>
      </c>
      <c r="I441" s="55" t="str">
        <f t="shared" si="208"/>
        <v/>
      </c>
      <c r="J441" s="55" t="str">
        <f t="shared" si="209"/>
        <v/>
      </c>
      <c r="K441" s="55" t="str">
        <f t="shared" si="210"/>
        <v/>
      </c>
      <c r="L441" s="60" t="str">
        <f t="shared" si="211"/>
        <v/>
      </c>
    </row>
    <row r="442" spans="4:12" x14ac:dyDescent="0.25">
      <c r="D442">
        <v>63</v>
      </c>
      <c r="E442" s="59" t="str">
        <f t="shared" si="204"/>
        <v/>
      </c>
      <c r="F442" s="55" t="str">
        <f t="shared" si="205"/>
        <v/>
      </c>
      <c r="G442" s="55" t="str">
        <f t="shared" si="206"/>
        <v/>
      </c>
      <c r="H442" s="55" t="str">
        <f t="shared" si="207"/>
        <v/>
      </c>
      <c r="I442" s="55" t="str">
        <f t="shared" si="208"/>
        <v/>
      </c>
      <c r="J442" s="55" t="str">
        <f t="shared" si="209"/>
        <v/>
      </c>
      <c r="K442" s="55" t="str">
        <f t="shared" si="210"/>
        <v/>
      </c>
      <c r="L442" s="60" t="str">
        <f t="shared" si="211"/>
        <v/>
      </c>
    </row>
    <row r="443" spans="4:12" x14ac:dyDescent="0.25">
      <c r="D443">
        <v>64</v>
      </c>
      <c r="E443" s="59" t="str">
        <f t="shared" si="204"/>
        <v/>
      </c>
      <c r="F443" s="55" t="str">
        <f t="shared" si="205"/>
        <v/>
      </c>
      <c r="G443" s="55" t="str">
        <f t="shared" si="206"/>
        <v/>
      </c>
      <c r="H443" s="55" t="str">
        <f t="shared" si="207"/>
        <v/>
      </c>
      <c r="I443" s="55" t="str">
        <f t="shared" si="208"/>
        <v/>
      </c>
      <c r="J443" s="55" t="str">
        <f t="shared" si="209"/>
        <v/>
      </c>
      <c r="K443" s="55" t="str">
        <f t="shared" si="210"/>
        <v/>
      </c>
      <c r="L443" s="60" t="str">
        <f t="shared" si="211"/>
        <v/>
      </c>
    </row>
    <row r="444" spans="4:12" x14ac:dyDescent="0.25">
      <c r="D444">
        <v>65</v>
      </c>
      <c r="E444" s="59" t="str">
        <f t="shared" ref="E444:E475" si="212">IF($Z$374&gt;$AA$374,$Z310,$AA310)</f>
        <v/>
      </c>
      <c r="F444" s="55" t="str">
        <f t="shared" ref="F444:F475" si="213">IF($AB$374&gt;$AC$374,$AB310,$AC310)</f>
        <v/>
      </c>
      <c r="G444" s="55" t="str">
        <f t="shared" ref="G444:G475" si="214">IF($AD$374&gt;$AE$374,$AD310,$AE310)</f>
        <v/>
      </c>
      <c r="H444" s="55" t="str">
        <f t="shared" ref="H444:H475" si="215">IF($AF$374&gt;$AG$374,$AF310,$AG310)</f>
        <v/>
      </c>
      <c r="I444" s="55" t="str">
        <f t="shared" ref="I444:I475" si="216">IF($AI$374&gt;$AJ$374,$N310,$O310)</f>
        <v/>
      </c>
      <c r="J444" s="55" t="str">
        <f t="shared" ref="J444:J475" si="217">IF($AK$374&gt;$AL$374,$P310,$Q310)</f>
        <v/>
      </c>
      <c r="K444" s="55" t="str">
        <f t="shared" ref="K444:K475" si="218">IF($AM$374&gt;$AN$374,$R310,$S310)</f>
        <v/>
      </c>
      <c r="L444" s="60" t="str">
        <f t="shared" ref="L444:L475" si="219">IF($AR$374&gt;$AS$374,$W310,$X310)</f>
        <v/>
      </c>
    </row>
    <row r="445" spans="4:12" x14ac:dyDescent="0.25">
      <c r="D445">
        <v>66</v>
      </c>
      <c r="E445" s="59" t="str">
        <f t="shared" si="212"/>
        <v/>
      </c>
      <c r="F445" s="55" t="str">
        <f t="shared" si="213"/>
        <v/>
      </c>
      <c r="G445" s="55" t="str">
        <f t="shared" si="214"/>
        <v/>
      </c>
      <c r="H445" s="55" t="str">
        <f t="shared" si="215"/>
        <v/>
      </c>
      <c r="I445" s="55" t="str">
        <f t="shared" si="216"/>
        <v/>
      </c>
      <c r="J445" s="55" t="str">
        <f t="shared" si="217"/>
        <v/>
      </c>
      <c r="K445" s="55" t="str">
        <f t="shared" si="218"/>
        <v/>
      </c>
      <c r="L445" s="60" t="str">
        <f t="shared" si="219"/>
        <v/>
      </c>
    </row>
    <row r="446" spans="4:12" x14ac:dyDescent="0.25">
      <c r="D446">
        <v>67</v>
      </c>
      <c r="E446" s="59" t="str">
        <f t="shared" si="212"/>
        <v/>
      </c>
      <c r="F446" s="55" t="str">
        <f t="shared" si="213"/>
        <v/>
      </c>
      <c r="G446" s="55" t="str">
        <f t="shared" si="214"/>
        <v/>
      </c>
      <c r="H446" s="55" t="str">
        <f t="shared" si="215"/>
        <v/>
      </c>
      <c r="I446" s="55" t="str">
        <f t="shared" si="216"/>
        <v/>
      </c>
      <c r="J446" s="55" t="str">
        <f t="shared" si="217"/>
        <v/>
      </c>
      <c r="K446" s="55" t="str">
        <f t="shared" si="218"/>
        <v/>
      </c>
      <c r="L446" s="60" t="str">
        <f t="shared" si="219"/>
        <v/>
      </c>
    </row>
    <row r="447" spans="4:12" x14ac:dyDescent="0.25">
      <c r="D447">
        <v>68</v>
      </c>
      <c r="E447" s="59" t="str">
        <f t="shared" si="212"/>
        <v/>
      </c>
      <c r="F447" s="55" t="str">
        <f t="shared" si="213"/>
        <v/>
      </c>
      <c r="G447" s="55" t="str">
        <f t="shared" si="214"/>
        <v/>
      </c>
      <c r="H447" s="55" t="str">
        <f t="shared" si="215"/>
        <v/>
      </c>
      <c r="I447" s="55" t="str">
        <f t="shared" si="216"/>
        <v/>
      </c>
      <c r="J447" s="55" t="str">
        <f t="shared" si="217"/>
        <v/>
      </c>
      <c r="K447" s="55" t="str">
        <f t="shared" si="218"/>
        <v/>
      </c>
      <c r="L447" s="60" t="str">
        <f t="shared" si="219"/>
        <v/>
      </c>
    </row>
    <row r="448" spans="4:12" x14ac:dyDescent="0.25">
      <c r="D448">
        <v>69</v>
      </c>
      <c r="E448" s="59" t="str">
        <f t="shared" si="212"/>
        <v/>
      </c>
      <c r="F448" s="55" t="str">
        <f t="shared" si="213"/>
        <v/>
      </c>
      <c r="G448" s="55" t="str">
        <f t="shared" si="214"/>
        <v/>
      </c>
      <c r="H448" s="55" t="str">
        <f t="shared" si="215"/>
        <v/>
      </c>
      <c r="I448" s="55" t="str">
        <f t="shared" si="216"/>
        <v/>
      </c>
      <c r="J448" s="55" t="str">
        <f t="shared" si="217"/>
        <v/>
      </c>
      <c r="K448" s="55" t="str">
        <f t="shared" si="218"/>
        <v/>
      </c>
      <c r="L448" s="60" t="str">
        <f t="shared" si="219"/>
        <v/>
      </c>
    </row>
    <row r="449" spans="4:12" x14ac:dyDescent="0.25">
      <c r="D449">
        <v>70</v>
      </c>
      <c r="E449" s="59" t="str">
        <f t="shared" si="212"/>
        <v/>
      </c>
      <c r="F449" s="55" t="str">
        <f t="shared" si="213"/>
        <v/>
      </c>
      <c r="G449" s="55" t="str">
        <f t="shared" si="214"/>
        <v/>
      </c>
      <c r="H449" s="55" t="str">
        <f t="shared" si="215"/>
        <v/>
      </c>
      <c r="I449" s="55" t="str">
        <f t="shared" si="216"/>
        <v/>
      </c>
      <c r="J449" s="55" t="str">
        <f t="shared" si="217"/>
        <v/>
      </c>
      <c r="K449" s="55" t="str">
        <f t="shared" si="218"/>
        <v/>
      </c>
      <c r="L449" s="60" t="str">
        <f t="shared" si="219"/>
        <v/>
      </c>
    </row>
    <row r="450" spans="4:12" x14ac:dyDescent="0.25">
      <c r="D450">
        <v>71</v>
      </c>
      <c r="E450" s="59" t="str">
        <f t="shared" si="212"/>
        <v/>
      </c>
      <c r="F450" s="55" t="str">
        <f t="shared" si="213"/>
        <v/>
      </c>
      <c r="G450" s="55" t="str">
        <f t="shared" si="214"/>
        <v/>
      </c>
      <c r="H450" s="55" t="str">
        <f t="shared" si="215"/>
        <v/>
      </c>
      <c r="I450" s="55" t="str">
        <f t="shared" si="216"/>
        <v/>
      </c>
      <c r="J450" s="55" t="str">
        <f t="shared" si="217"/>
        <v/>
      </c>
      <c r="K450" s="55" t="str">
        <f t="shared" si="218"/>
        <v/>
      </c>
      <c r="L450" s="60" t="str">
        <f t="shared" si="219"/>
        <v/>
      </c>
    </row>
    <row r="451" spans="4:12" x14ac:dyDescent="0.25">
      <c r="D451">
        <v>72</v>
      </c>
      <c r="E451" s="59" t="str">
        <f t="shared" si="212"/>
        <v/>
      </c>
      <c r="F451" s="55" t="str">
        <f t="shared" si="213"/>
        <v/>
      </c>
      <c r="G451" s="55" t="str">
        <f t="shared" si="214"/>
        <v/>
      </c>
      <c r="H451" s="55" t="str">
        <f t="shared" si="215"/>
        <v/>
      </c>
      <c r="I451" s="55" t="str">
        <f t="shared" si="216"/>
        <v/>
      </c>
      <c r="J451" s="55" t="str">
        <f t="shared" si="217"/>
        <v/>
      </c>
      <c r="K451" s="55" t="str">
        <f t="shared" si="218"/>
        <v/>
      </c>
      <c r="L451" s="60" t="str">
        <f t="shared" si="219"/>
        <v/>
      </c>
    </row>
    <row r="452" spans="4:12" x14ac:dyDescent="0.25">
      <c r="D452">
        <v>73</v>
      </c>
      <c r="E452" s="59" t="str">
        <f t="shared" si="212"/>
        <v/>
      </c>
      <c r="F452" s="55" t="str">
        <f t="shared" si="213"/>
        <v/>
      </c>
      <c r="G452" s="55" t="str">
        <f t="shared" si="214"/>
        <v/>
      </c>
      <c r="H452" s="55" t="str">
        <f t="shared" si="215"/>
        <v/>
      </c>
      <c r="I452" s="55" t="str">
        <f t="shared" si="216"/>
        <v/>
      </c>
      <c r="J452" s="55" t="str">
        <f t="shared" si="217"/>
        <v/>
      </c>
      <c r="K452" s="55" t="str">
        <f t="shared" si="218"/>
        <v/>
      </c>
      <c r="L452" s="60" t="str">
        <f t="shared" si="219"/>
        <v/>
      </c>
    </row>
    <row r="453" spans="4:12" x14ac:dyDescent="0.25">
      <c r="D453">
        <v>74</v>
      </c>
      <c r="E453" s="59" t="str">
        <f t="shared" si="212"/>
        <v/>
      </c>
      <c r="F453" s="55" t="str">
        <f t="shared" si="213"/>
        <v/>
      </c>
      <c r="G453" s="55" t="str">
        <f t="shared" si="214"/>
        <v/>
      </c>
      <c r="H453" s="55" t="str">
        <f t="shared" si="215"/>
        <v/>
      </c>
      <c r="I453" s="55" t="str">
        <f t="shared" si="216"/>
        <v/>
      </c>
      <c r="J453" s="55" t="str">
        <f t="shared" si="217"/>
        <v/>
      </c>
      <c r="K453" s="55" t="str">
        <f t="shared" si="218"/>
        <v/>
      </c>
      <c r="L453" s="60" t="str">
        <f t="shared" si="219"/>
        <v/>
      </c>
    </row>
    <row r="454" spans="4:12" x14ac:dyDescent="0.25">
      <c r="D454">
        <v>75</v>
      </c>
      <c r="E454" s="59" t="str">
        <f t="shared" si="212"/>
        <v/>
      </c>
      <c r="F454" s="55" t="str">
        <f t="shared" si="213"/>
        <v/>
      </c>
      <c r="G454" s="55" t="str">
        <f t="shared" si="214"/>
        <v/>
      </c>
      <c r="H454" s="55" t="str">
        <f t="shared" si="215"/>
        <v/>
      </c>
      <c r="I454" s="55" t="str">
        <f t="shared" si="216"/>
        <v/>
      </c>
      <c r="J454" s="55" t="str">
        <f t="shared" si="217"/>
        <v/>
      </c>
      <c r="K454" s="55" t="str">
        <f t="shared" si="218"/>
        <v/>
      </c>
      <c r="L454" s="60" t="str">
        <f t="shared" si="219"/>
        <v/>
      </c>
    </row>
    <row r="455" spans="4:12" x14ac:dyDescent="0.25">
      <c r="D455">
        <v>76</v>
      </c>
      <c r="E455" s="59" t="str">
        <f t="shared" si="212"/>
        <v/>
      </c>
      <c r="F455" s="55" t="str">
        <f t="shared" si="213"/>
        <v/>
      </c>
      <c r="G455" s="55" t="str">
        <f t="shared" si="214"/>
        <v/>
      </c>
      <c r="H455" s="55" t="str">
        <f t="shared" si="215"/>
        <v/>
      </c>
      <c r="I455" s="55" t="str">
        <f t="shared" si="216"/>
        <v/>
      </c>
      <c r="J455" s="55" t="str">
        <f t="shared" si="217"/>
        <v/>
      </c>
      <c r="K455" s="55" t="str">
        <f t="shared" si="218"/>
        <v/>
      </c>
      <c r="L455" s="60" t="str">
        <f t="shared" si="219"/>
        <v/>
      </c>
    </row>
    <row r="456" spans="4:12" x14ac:dyDescent="0.25">
      <c r="D456">
        <v>77</v>
      </c>
      <c r="E456" s="59" t="str">
        <f t="shared" si="212"/>
        <v/>
      </c>
      <c r="F456" s="55" t="str">
        <f t="shared" si="213"/>
        <v/>
      </c>
      <c r="G456" s="55" t="str">
        <f t="shared" si="214"/>
        <v/>
      </c>
      <c r="H456" s="55" t="str">
        <f t="shared" si="215"/>
        <v/>
      </c>
      <c r="I456" s="55" t="str">
        <f t="shared" si="216"/>
        <v/>
      </c>
      <c r="J456" s="55" t="str">
        <f t="shared" si="217"/>
        <v/>
      </c>
      <c r="K456" s="55" t="str">
        <f t="shared" si="218"/>
        <v/>
      </c>
      <c r="L456" s="60" t="str">
        <f t="shared" si="219"/>
        <v/>
      </c>
    </row>
    <row r="457" spans="4:12" x14ac:dyDescent="0.25">
      <c r="D457">
        <v>78</v>
      </c>
      <c r="E457" s="59" t="str">
        <f t="shared" si="212"/>
        <v/>
      </c>
      <c r="F457" s="55" t="str">
        <f t="shared" si="213"/>
        <v/>
      </c>
      <c r="G457" s="55" t="str">
        <f t="shared" si="214"/>
        <v/>
      </c>
      <c r="H457" s="55" t="str">
        <f t="shared" si="215"/>
        <v/>
      </c>
      <c r="I457" s="55" t="str">
        <f t="shared" si="216"/>
        <v/>
      </c>
      <c r="J457" s="55" t="str">
        <f t="shared" si="217"/>
        <v/>
      </c>
      <c r="K457" s="55" t="str">
        <f t="shared" si="218"/>
        <v/>
      </c>
      <c r="L457" s="60" t="str">
        <f t="shared" si="219"/>
        <v/>
      </c>
    </row>
    <row r="458" spans="4:12" x14ac:dyDescent="0.25">
      <c r="D458">
        <v>79</v>
      </c>
      <c r="E458" s="59" t="str">
        <f t="shared" si="212"/>
        <v/>
      </c>
      <c r="F458" s="55" t="str">
        <f t="shared" si="213"/>
        <v/>
      </c>
      <c r="G458" s="55" t="str">
        <f t="shared" si="214"/>
        <v/>
      </c>
      <c r="H458" s="55" t="str">
        <f t="shared" si="215"/>
        <v/>
      </c>
      <c r="I458" s="55" t="str">
        <f t="shared" si="216"/>
        <v/>
      </c>
      <c r="J458" s="55" t="str">
        <f t="shared" si="217"/>
        <v/>
      </c>
      <c r="K458" s="55" t="str">
        <f t="shared" si="218"/>
        <v/>
      </c>
      <c r="L458" s="60" t="str">
        <f t="shared" si="219"/>
        <v/>
      </c>
    </row>
    <row r="459" spans="4:12" x14ac:dyDescent="0.25">
      <c r="D459">
        <v>80</v>
      </c>
      <c r="E459" s="59" t="str">
        <f t="shared" si="212"/>
        <v/>
      </c>
      <c r="F459" s="55" t="str">
        <f t="shared" si="213"/>
        <v/>
      </c>
      <c r="G459" s="55" t="str">
        <f t="shared" si="214"/>
        <v/>
      </c>
      <c r="H459" s="55" t="str">
        <f t="shared" si="215"/>
        <v/>
      </c>
      <c r="I459" s="55" t="str">
        <f t="shared" si="216"/>
        <v/>
      </c>
      <c r="J459" s="55" t="str">
        <f t="shared" si="217"/>
        <v/>
      </c>
      <c r="K459" s="55" t="str">
        <f t="shared" si="218"/>
        <v/>
      </c>
      <c r="L459" s="60" t="str">
        <f t="shared" si="219"/>
        <v/>
      </c>
    </row>
    <row r="460" spans="4:12" x14ac:dyDescent="0.25">
      <c r="D460">
        <v>81</v>
      </c>
      <c r="E460" s="59" t="str">
        <f t="shared" si="212"/>
        <v/>
      </c>
      <c r="F460" s="55" t="str">
        <f t="shared" si="213"/>
        <v/>
      </c>
      <c r="G460" s="55" t="str">
        <f t="shared" si="214"/>
        <v/>
      </c>
      <c r="H460" s="55" t="str">
        <f t="shared" si="215"/>
        <v/>
      </c>
      <c r="I460" s="55" t="str">
        <f t="shared" si="216"/>
        <v/>
      </c>
      <c r="J460" s="55" t="str">
        <f t="shared" si="217"/>
        <v/>
      </c>
      <c r="K460" s="55" t="str">
        <f t="shared" si="218"/>
        <v/>
      </c>
      <c r="L460" s="60" t="str">
        <f t="shared" si="219"/>
        <v/>
      </c>
    </row>
    <row r="461" spans="4:12" x14ac:dyDescent="0.25">
      <c r="D461">
        <v>82</v>
      </c>
      <c r="E461" s="59" t="str">
        <f t="shared" si="212"/>
        <v/>
      </c>
      <c r="F461" s="55" t="str">
        <f t="shared" si="213"/>
        <v/>
      </c>
      <c r="G461" s="55" t="str">
        <f t="shared" si="214"/>
        <v/>
      </c>
      <c r="H461" s="55" t="str">
        <f t="shared" si="215"/>
        <v/>
      </c>
      <c r="I461" s="55" t="str">
        <f t="shared" si="216"/>
        <v/>
      </c>
      <c r="J461" s="55" t="str">
        <f t="shared" si="217"/>
        <v/>
      </c>
      <c r="K461" s="55" t="str">
        <f t="shared" si="218"/>
        <v/>
      </c>
      <c r="L461" s="60" t="str">
        <f t="shared" si="219"/>
        <v/>
      </c>
    </row>
    <row r="462" spans="4:12" x14ac:dyDescent="0.25">
      <c r="D462">
        <v>83</v>
      </c>
      <c r="E462" s="59" t="str">
        <f t="shared" si="212"/>
        <v/>
      </c>
      <c r="F462" s="55" t="str">
        <f t="shared" si="213"/>
        <v/>
      </c>
      <c r="G462" s="55" t="str">
        <f t="shared" si="214"/>
        <v/>
      </c>
      <c r="H462" s="55" t="str">
        <f t="shared" si="215"/>
        <v/>
      </c>
      <c r="I462" s="55" t="str">
        <f t="shared" si="216"/>
        <v/>
      </c>
      <c r="J462" s="55" t="str">
        <f t="shared" si="217"/>
        <v/>
      </c>
      <c r="K462" s="55" t="str">
        <f t="shared" si="218"/>
        <v/>
      </c>
      <c r="L462" s="60" t="str">
        <f t="shared" si="219"/>
        <v/>
      </c>
    </row>
    <row r="463" spans="4:12" x14ac:dyDescent="0.25">
      <c r="D463">
        <v>84</v>
      </c>
      <c r="E463" s="59" t="str">
        <f t="shared" si="212"/>
        <v/>
      </c>
      <c r="F463" s="55" t="str">
        <f t="shared" si="213"/>
        <v/>
      </c>
      <c r="G463" s="55" t="str">
        <f t="shared" si="214"/>
        <v/>
      </c>
      <c r="H463" s="55" t="str">
        <f t="shared" si="215"/>
        <v/>
      </c>
      <c r="I463" s="55" t="str">
        <f t="shared" si="216"/>
        <v/>
      </c>
      <c r="J463" s="55" t="str">
        <f t="shared" si="217"/>
        <v/>
      </c>
      <c r="K463" s="55" t="str">
        <f t="shared" si="218"/>
        <v/>
      </c>
      <c r="L463" s="60" t="str">
        <f t="shared" si="219"/>
        <v/>
      </c>
    </row>
    <row r="464" spans="4:12" x14ac:dyDescent="0.25">
      <c r="D464">
        <v>85</v>
      </c>
      <c r="E464" s="59" t="str">
        <f t="shared" si="212"/>
        <v/>
      </c>
      <c r="F464" s="55" t="str">
        <f t="shared" si="213"/>
        <v/>
      </c>
      <c r="G464" s="55" t="str">
        <f t="shared" si="214"/>
        <v/>
      </c>
      <c r="H464" s="55" t="str">
        <f t="shared" si="215"/>
        <v/>
      </c>
      <c r="I464" s="55" t="str">
        <f t="shared" si="216"/>
        <v/>
      </c>
      <c r="J464" s="55" t="str">
        <f t="shared" si="217"/>
        <v/>
      </c>
      <c r="K464" s="55" t="str">
        <f t="shared" si="218"/>
        <v/>
      </c>
      <c r="L464" s="60" t="str">
        <f t="shared" si="219"/>
        <v/>
      </c>
    </row>
    <row r="465" spans="4:12" x14ac:dyDescent="0.25">
      <c r="D465">
        <v>86</v>
      </c>
      <c r="E465" s="59" t="str">
        <f t="shared" si="212"/>
        <v/>
      </c>
      <c r="F465" s="55" t="str">
        <f t="shared" si="213"/>
        <v/>
      </c>
      <c r="G465" s="55" t="str">
        <f t="shared" si="214"/>
        <v/>
      </c>
      <c r="H465" s="55" t="str">
        <f t="shared" si="215"/>
        <v/>
      </c>
      <c r="I465" s="55" t="str">
        <f t="shared" si="216"/>
        <v/>
      </c>
      <c r="J465" s="55" t="str">
        <f t="shared" si="217"/>
        <v/>
      </c>
      <c r="K465" s="55" t="str">
        <f t="shared" si="218"/>
        <v/>
      </c>
      <c r="L465" s="60" t="str">
        <f t="shared" si="219"/>
        <v/>
      </c>
    </row>
    <row r="466" spans="4:12" x14ac:dyDescent="0.25">
      <c r="D466">
        <v>87</v>
      </c>
      <c r="E466" s="59" t="str">
        <f t="shared" si="212"/>
        <v/>
      </c>
      <c r="F466" s="55" t="str">
        <f t="shared" si="213"/>
        <v/>
      </c>
      <c r="G466" s="55" t="str">
        <f t="shared" si="214"/>
        <v/>
      </c>
      <c r="H466" s="55" t="str">
        <f t="shared" si="215"/>
        <v/>
      </c>
      <c r="I466" s="55" t="str">
        <f t="shared" si="216"/>
        <v/>
      </c>
      <c r="J466" s="55" t="str">
        <f t="shared" si="217"/>
        <v/>
      </c>
      <c r="K466" s="55" t="str">
        <f t="shared" si="218"/>
        <v/>
      </c>
      <c r="L466" s="60" t="str">
        <f t="shared" si="219"/>
        <v/>
      </c>
    </row>
    <row r="467" spans="4:12" x14ac:dyDescent="0.25">
      <c r="D467">
        <v>88</v>
      </c>
      <c r="E467" s="59" t="str">
        <f t="shared" si="212"/>
        <v/>
      </c>
      <c r="F467" s="55" t="str">
        <f t="shared" si="213"/>
        <v/>
      </c>
      <c r="G467" s="55" t="str">
        <f t="shared" si="214"/>
        <v/>
      </c>
      <c r="H467" s="55" t="str">
        <f t="shared" si="215"/>
        <v/>
      </c>
      <c r="I467" s="55" t="str">
        <f t="shared" si="216"/>
        <v/>
      </c>
      <c r="J467" s="55" t="str">
        <f t="shared" si="217"/>
        <v/>
      </c>
      <c r="K467" s="55" t="str">
        <f t="shared" si="218"/>
        <v/>
      </c>
      <c r="L467" s="60" t="str">
        <f t="shared" si="219"/>
        <v/>
      </c>
    </row>
    <row r="468" spans="4:12" x14ac:dyDescent="0.25">
      <c r="D468">
        <v>89</v>
      </c>
      <c r="E468" s="59" t="str">
        <f t="shared" si="212"/>
        <v/>
      </c>
      <c r="F468" s="55" t="str">
        <f t="shared" si="213"/>
        <v/>
      </c>
      <c r="G468" s="55" t="str">
        <f t="shared" si="214"/>
        <v/>
      </c>
      <c r="H468" s="55" t="str">
        <f t="shared" si="215"/>
        <v/>
      </c>
      <c r="I468" s="55" t="str">
        <f t="shared" si="216"/>
        <v/>
      </c>
      <c r="J468" s="55" t="str">
        <f t="shared" si="217"/>
        <v/>
      </c>
      <c r="K468" s="55" t="str">
        <f t="shared" si="218"/>
        <v/>
      </c>
      <c r="L468" s="60" t="str">
        <f t="shared" si="219"/>
        <v/>
      </c>
    </row>
    <row r="469" spans="4:12" x14ac:dyDescent="0.25">
      <c r="D469">
        <v>90</v>
      </c>
      <c r="E469" s="59" t="str">
        <f t="shared" si="212"/>
        <v/>
      </c>
      <c r="F469" s="55" t="str">
        <f t="shared" si="213"/>
        <v/>
      </c>
      <c r="G469" s="55" t="str">
        <f t="shared" si="214"/>
        <v/>
      </c>
      <c r="H469" s="55" t="str">
        <f t="shared" si="215"/>
        <v/>
      </c>
      <c r="I469" s="55" t="str">
        <f t="shared" si="216"/>
        <v/>
      </c>
      <c r="J469" s="55" t="str">
        <f t="shared" si="217"/>
        <v/>
      </c>
      <c r="K469" s="55" t="str">
        <f t="shared" si="218"/>
        <v/>
      </c>
      <c r="L469" s="60" t="str">
        <f t="shared" si="219"/>
        <v/>
      </c>
    </row>
    <row r="470" spans="4:12" x14ac:dyDescent="0.25">
      <c r="D470">
        <v>91</v>
      </c>
      <c r="E470" s="59" t="str">
        <f t="shared" si="212"/>
        <v/>
      </c>
      <c r="F470" s="55" t="str">
        <f t="shared" si="213"/>
        <v/>
      </c>
      <c r="G470" s="55" t="str">
        <f t="shared" si="214"/>
        <v/>
      </c>
      <c r="H470" s="55" t="str">
        <f t="shared" si="215"/>
        <v/>
      </c>
      <c r="I470" s="55" t="str">
        <f t="shared" si="216"/>
        <v/>
      </c>
      <c r="J470" s="55" t="str">
        <f t="shared" si="217"/>
        <v/>
      </c>
      <c r="K470" s="55" t="str">
        <f t="shared" si="218"/>
        <v/>
      </c>
      <c r="L470" s="60" t="str">
        <f t="shared" si="219"/>
        <v/>
      </c>
    </row>
    <row r="471" spans="4:12" x14ac:dyDescent="0.25">
      <c r="D471">
        <v>92</v>
      </c>
      <c r="E471" s="59" t="str">
        <f t="shared" si="212"/>
        <v/>
      </c>
      <c r="F471" s="55" t="str">
        <f t="shared" si="213"/>
        <v/>
      </c>
      <c r="G471" s="55" t="str">
        <f t="shared" si="214"/>
        <v/>
      </c>
      <c r="H471" s="55" t="str">
        <f t="shared" si="215"/>
        <v/>
      </c>
      <c r="I471" s="55" t="str">
        <f t="shared" si="216"/>
        <v/>
      </c>
      <c r="J471" s="55" t="str">
        <f t="shared" si="217"/>
        <v/>
      </c>
      <c r="K471" s="55" t="str">
        <f t="shared" si="218"/>
        <v/>
      </c>
      <c r="L471" s="60" t="str">
        <f t="shared" si="219"/>
        <v/>
      </c>
    </row>
    <row r="472" spans="4:12" x14ac:dyDescent="0.25">
      <c r="D472">
        <v>93</v>
      </c>
      <c r="E472" s="59" t="str">
        <f t="shared" si="212"/>
        <v/>
      </c>
      <c r="F472" s="55" t="str">
        <f t="shared" si="213"/>
        <v/>
      </c>
      <c r="G472" s="55" t="str">
        <f t="shared" si="214"/>
        <v/>
      </c>
      <c r="H472" s="55" t="str">
        <f t="shared" si="215"/>
        <v/>
      </c>
      <c r="I472" s="55" t="str">
        <f t="shared" si="216"/>
        <v/>
      </c>
      <c r="J472" s="55" t="str">
        <f t="shared" si="217"/>
        <v/>
      </c>
      <c r="K472" s="55" t="str">
        <f t="shared" si="218"/>
        <v/>
      </c>
      <c r="L472" s="60" t="str">
        <f t="shared" si="219"/>
        <v/>
      </c>
    </row>
    <row r="473" spans="4:12" x14ac:dyDescent="0.25">
      <c r="D473">
        <v>94</v>
      </c>
      <c r="E473" s="59" t="str">
        <f t="shared" si="212"/>
        <v/>
      </c>
      <c r="F473" s="55" t="str">
        <f t="shared" si="213"/>
        <v/>
      </c>
      <c r="G473" s="55" t="str">
        <f t="shared" si="214"/>
        <v/>
      </c>
      <c r="H473" s="55" t="str">
        <f t="shared" si="215"/>
        <v/>
      </c>
      <c r="I473" s="55" t="str">
        <f t="shared" si="216"/>
        <v/>
      </c>
      <c r="J473" s="55" t="str">
        <f t="shared" si="217"/>
        <v/>
      </c>
      <c r="K473" s="55" t="str">
        <f t="shared" si="218"/>
        <v/>
      </c>
      <c r="L473" s="60" t="str">
        <f t="shared" si="219"/>
        <v/>
      </c>
    </row>
    <row r="474" spans="4:12" x14ac:dyDescent="0.25">
      <c r="D474">
        <v>95</v>
      </c>
      <c r="E474" s="59" t="str">
        <f t="shared" si="212"/>
        <v/>
      </c>
      <c r="F474" s="55" t="str">
        <f t="shared" si="213"/>
        <v/>
      </c>
      <c r="G474" s="55" t="str">
        <f t="shared" si="214"/>
        <v/>
      </c>
      <c r="H474" s="55" t="str">
        <f t="shared" si="215"/>
        <v/>
      </c>
      <c r="I474" s="55" t="str">
        <f t="shared" si="216"/>
        <v/>
      </c>
      <c r="J474" s="55" t="str">
        <f t="shared" si="217"/>
        <v/>
      </c>
      <c r="K474" s="55" t="str">
        <f t="shared" si="218"/>
        <v/>
      </c>
      <c r="L474" s="60" t="str">
        <f t="shared" si="219"/>
        <v/>
      </c>
    </row>
    <row r="475" spans="4:12" x14ac:dyDescent="0.25">
      <c r="D475">
        <v>96</v>
      </c>
      <c r="E475" s="59" t="str">
        <f t="shared" si="212"/>
        <v/>
      </c>
      <c r="F475" s="55" t="str">
        <f t="shared" si="213"/>
        <v/>
      </c>
      <c r="G475" s="55" t="str">
        <f t="shared" si="214"/>
        <v/>
      </c>
      <c r="H475" s="55" t="str">
        <f t="shared" si="215"/>
        <v/>
      </c>
      <c r="I475" s="55" t="str">
        <f t="shared" si="216"/>
        <v/>
      </c>
      <c r="J475" s="55" t="str">
        <f t="shared" si="217"/>
        <v/>
      </c>
      <c r="K475" s="55" t="str">
        <f t="shared" si="218"/>
        <v/>
      </c>
      <c r="L475" s="60" t="str">
        <f t="shared" si="219"/>
        <v/>
      </c>
    </row>
    <row r="476" spans="4:12" x14ac:dyDescent="0.25">
      <c r="D476">
        <v>97</v>
      </c>
      <c r="E476" s="59" t="str">
        <f t="shared" ref="E476:E507" si="220">IF($Z$374&gt;$AA$374,$Z342,$AA342)</f>
        <v/>
      </c>
      <c r="F476" s="55" t="str">
        <f t="shared" ref="F476:F507" si="221">IF($AB$374&gt;$AC$374,$AB342,$AC342)</f>
        <v/>
      </c>
      <c r="G476" s="55" t="str">
        <f t="shared" ref="G476:G507" si="222">IF($AD$374&gt;$AE$374,$AD342,$AE342)</f>
        <v/>
      </c>
      <c r="H476" s="55" t="str">
        <f t="shared" ref="H476:H507" si="223">IF($AF$374&gt;$AG$374,$AF342,$AG342)</f>
        <v/>
      </c>
      <c r="I476" s="55" t="str">
        <f t="shared" ref="I476:I507" si="224">IF($AI$374&gt;$AJ$374,$N342,$O342)</f>
        <v/>
      </c>
      <c r="J476" s="55" t="str">
        <f t="shared" ref="J476:J507" si="225">IF($AK$374&gt;$AL$374,$P342,$Q342)</f>
        <v/>
      </c>
      <c r="K476" s="55" t="str">
        <f t="shared" ref="K476:K507" si="226">IF($AM$374&gt;$AN$374,$R342,$S342)</f>
        <v/>
      </c>
      <c r="L476" s="60" t="str">
        <f t="shared" ref="L476:L507" si="227">IF($AR$374&gt;$AS$374,$W342,$X342)</f>
        <v/>
      </c>
    </row>
    <row r="477" spans="4:12" x14ac:dyDescent="0.25">
      <c r="D477">
        <v>98</v>
      </c>
      <c r="E477" s="59" t="str">
        <f t="shared" si="220"/>
        <v/>
      </c>
      <c r="F477" s="55" t="str">
        <f t="shared" si="221"/>
        <v/>
      </c>
      <c r="G477" s="55" t="str">
        <f t="shared" si="222"/>
        <v/>
      </c>
      <c r="H477" s="55" t="str">
        <f t="shared" si="223"/>
        <v/>
      </c>
      <c r="I477" s="55" t="str">
        <f t="shared" si="224"/>
        <v/>
      </c>
      <c r="J477" s="55" t="str">
        <f t="shared" si="225"/>
        <v/>
      </c>
      <c r="K477" s="55" t="str">
        <f t="shared" si="226"/>
        <v/>
      </c>
      <c r="L477" s="60" t="str">
        <f t="shared" si="227"/>
        <v/>
      </c>
    </row>
    <row r="478" spans="4:12" x14ac:dyDescent="0.25">
      <c r="D478">
        <v>99</v>
      </c>
      <c r="E478" s="59" t="str">
        <f t="shared" si="220"/>
        <v/>
      </c>
      <c r="F478" s="55" t="str">
        <f t="shared" si="221"/>
        <v/>
      </c>
      <c r="G478" s="55" t="str">
        <f t="shared" si="222"/>
        <v/>
      </c>
      <c r="H478" s="55" t="str">
        <f t="shared" si="223"/>
        <v/>
      </c>
      <c r="I478" s="55" t="str">
        <f t="shared" si="224"/>
        <v/>
      </c>
      <c r="J478" s="55" t="str">
        <f t="shared" si="225"/>
        <v/>
      </c>
      <c r="K478" s="55" t="str">
        <f t="shared" si="226"/>
        <v/>
      </c>
      <c r="L478" s="60" t="str">
        <f t="shared" si="227"/>
        <v/>
      </c>
    </row>
    <row r="479" spans="4:12" x14ac:dyDescent="0.25">
      <c r="D479">
        <v>100</v>
      </c>
      <c r="E479" s="59" t="str">
        <f t="shared" si="220"/>
        <v/>
      </c>
      <c r="F479" s="55" t="str">
        <f t="shared" si="221"/>
        <v/>
      </c>
      <c r="G479" s="55" t="str">
        <f t="shared" si="222"/>
        <v/>
      </c>
      <c r="H479" s="55" t="str">
        <f t="shared" si="223"/>
        <v/>
      </c>
      <c r="I479" s="55" t="str">
        <f t="shared" si="224"/>
        <v/>
      </c>
      <c r="J479" s="55" t="str">
        <f t="shared" si="225"/>
        <v/>
      </c>
      <c r="K479" s="55" t="str">
        <f t="shared" si="226"/>
        <v/>
      </c>
      <c r="L479" s="60" t="str">
        <f t="shared" si="227"/>
        <v/>
      </c>
    </row>
    <row r="480" spans="4:12" x14ac:dyDescent="0.25">
      <c r="D480">
        <v>101</v>
      </c>
      <c r="E480" s="59" t="str">
        <f t="shared" si="220"/>
        <v/>
      </c>
      <c r="F480" s="55" t="str">
        <f t="shared" si="221"/>
        <v/>
      </c>
      <c r="G480" s="55" t="str">
        <f t="shared" si="222"/>
        <v/>
      </c>
      <c r="H480" s="55" t="str">
        <f t="shared" si="223"/>
        <v/>
      </c>
      <c r="I480" s="55" t="str">
        <f t="shared" si="224"/>
        <v/>
      </c>
      <c r="J480" s="55" t="str">
        <f t="shared" si="225"/>
        <v/>
      </c>
      <c r="K480" s="55" t="str">
        <f t="shared" si="226"/>
        <v/>
      </c>
      <c r="L480" s="60" t="str">
        <f t="shared" si="227"/>
        <v/>
      </c>
    </row>
    <row r="481" spans="4:12" x14ac:dyDescent="0.25">
      <c r="D481">
        <v>102</v>
      </c>
      <c r="E481" s="59" t="str">
        <f t="shared" si="220"/>
        <v/>
      </c>
      <c r="F481" s="55" t="str">
        <f t="shared" si="221"/>
        <v/>
      </c>
      <c r="G481" s="55" t="str">
        <f t="shared" si="222"/>
        <v/>
      </c>
      <c r="H481" s="55" t="str">
        <f t="shared" si="223"/>
        <v/>
      </c>
      <c r="I481" s="55" t="str">
        <f t="shared" si="224"/>
        <v/>
      </c>
      <c r="J481" s="55" t="str">
        <f t="shared" si="225"/>
        <v/>
      </c>
      <c r="K481" s="55" t="str">
        <f t="shared" si="226"/>
        <v/>
      </c>
      <c r="L481" s="60" t="str">
        <f t="shared" si="227"/>
        <v/>
      </c>
    </row>
    <row r="482" spans="4:12" x14ac:dyDescent="0.25">
      <c r="D482">
        <v>103</v>
      </c>
      <c r="E482" s="59" t="str">
        <f t="shared" si="220"/>
        <v/>
      </c>
      <c r="F482" s="55" t="str">
        <f t="shared" si="221"/>
        <v/>
      </c>
      <c r="G482" s="55" t="str">
        <f t="shared" si="222"/>
        <v/>
      </c>
      <c r="H482" s="55" t="str">
        <f t="shared" si="223"/>
        <v/>
      </c>
      <c r="I482" s="55" t="str">
        <f t="shared" si="224"/>
        <v/>
      </c>
      <c r="J482" s="55" t="str">
        <f t="shared" si="225"/>
        <v/>
      </c>
      <c r="K482" s="55" t="str">
        <f t="shared" si="226"/>
        <v/>
      </c>
      <c r="L482" s="60" t="str">
        <f t="shared" si="227"/>
        <v/>
      </c>
    </row>
    <row r="483" spans="4:12" x14ac:dyDescent="0.25">
      <c r="D483">
        <v>104</v>
      </c>
      <c r="E483" s="59" t="str">
        <f t="shared" si="220"/>
        <v/>
      </c>
      <c r="F483" s="55" t="str">
        <f t="shared" si="221"/>
        <v/>
      </c>
      <c r="G483" s="55" t="str">
        <f t="shared" si="222"/>
        <v/>
      </c>
      <c r="H483" s="55" t="str">
        <f t="shared" si="223"/>
        <v/>
      </c>
      <c r="I483" s="55" t="str">
        <f t="shared" si="224"/>
        <v/>
      </c>
      <c r="J483" s="55" t="str">
        <f t="shared" si="225"/>
        <v/>
      </c>
      <c r="K483" s="55" t="str">
        <f t="shared" si="226"/>
        <v/>
      </c>
      <c r="L483" s="60" t="str">
        <f t="shared" si="227"/>
        <v/>
      </c>
    </row>
    <row r="484" spans="4:12" x14ac:dyDescent="0.25">
      <c r="D484">
        <v>105</v>
      </c>
      <c r="E484" s="59" t="str">
        <f t="shared" si="220"/>
        <v/>
      </c>
      <c r="F484" s="55" t="str">
        <f t="shared" si="221"/>
        <v/>
      </c>
      <c r="G484" s="55" t="str">
        <f t="shared" si="222"/>
        <v/>
      </c>
      <c r="H484" s="55" t="str">
        <f t="shared" si="223"/>
        <v/>
      </c>
      <c r="I484" s="55" t="str">
        <f t="shared" si="224"/>
        <v/>
      </c>
      <c r="J484" s="55" t="str">
        <f t="shared" si="225"/>
        <v/>
      </c>
      <c r="K484" s="55" t="str">
        <f t="shared" si="226"/>
        <v/>
      </c>
      <c r="L484" s="60" t="str">
        <f t="shared" si="227"/>
        <v/>
      </c>
    </row>
    <row r="485" spans="4:12" x14ac:dyDescent="0.25">
      <c r="D485">
        <v>106</v>
      </c>
      <c r="E485" s="59" t="str">
        <f t="shared" si="220"/>
        <v/>
      </c>
      <c r="F485" s="55" t="str">
        <f t="shared" si="221"/>
        <v/>
      </c>
      <c r="G485" s="55" t="str">
        <f t="shared" si="222"/>
        <v/>
      </c>
      <c r="H485" s="55" t="str">
        <f t="shared" si="223"/>
        <v/>
      </c>
      <c r="I485" s="55" t="str">
        <f t="shared" si="224"/>
        <v/>
      </c>
      <c r="J485" s="55" t="str">
        <f t="shared" si="225"/>
        <v/>
      </c>
      <c r="K485" s="55" t="str">
        <f t="shared" si="226"/>
        <v/>
      </c>
      <c r="L485" s="60" t="str">
        <f t="shared" si="227"/>
        <v/>
      </c>
    </row>
    <row r="486" spans="4:12" x14ac:dyDescent="0.25">
      <c r="D486">
        <v>107</v>
      </c>
      <c r="E486" s="59" t="str">
        <f t="shared" si="220"/>
        <v/>
      </c>
      <c r="F486" s="55" t="str">
        <f t="shared" si="221"/>
        <v/>
      </c>
      <c r="G486" s="55" t="str">
        <f t="shared" si="222"/>
        <v/>
      </c>
      <c r="H486" s="55" t="str">
        <f t="shared" si="223"/>
        <v/>
      </c>
      <c r="I486" s="55" t="str">
        <f t="shared" si="224"/>
        <v/>
      </c>
      <c r="J486" s="55" t="str">
        <f t="shared" si="225"/>
        <v/>
      </c>
      <c r="K486" s="55" t="str">
        <f t="shared" si="226"/>
        <v/>
      </c>
      <c r="L486" s="60" t="str">
        <f t="shared" si="227"/>
        <v/>
      </c>
    </row>
    <row r="487" spans="4:12" x14ac:dyDescent="0.25">
      <c r="D487">
        <v>108</v>
      </c>
      <c r="E487" s="59" t="str">
        <f t="shared" si="220"/>
        <v/>
      </c>
      <c r="F487" s="55" t="str">
        <f t="shared" si="221"/>
        <v/>
      </c>
      <c r="G487" s="55" t="str">
        <f t="shared" si="222"/>
        <v/>
      </c>
      <c r="H487" s="55" t="str">
        <f t="shared" si="223"/>
        <v/>
      </c>
      <c r="I487" s="55" t="str">
        <f t="shared" si="224"/>
        <v/>
      </c>
      <c r="J487" s="55" t="str">
        <f t="shared" si="225"/>
        <v/>
      </c>
      <c r="K487" s="55" t="str">
        <f t="shared" si="226"/>
        <v/>
      </c>
      <c r="L487" s="60" t="str">
        <f t="shared" si="227"/>
        <v/>
      </c>
    </row>
    <row r="488" spans="4:12" x14ac:dyDescent="0.25">
      <c r="D488">
        <v>109</v>
      </c>
      <c r="E488" s="59" t="str">
        <f t="shared" si="220"/>
        <v/>
      </c>
      <c r="F488" s="55" t="str">
        <f t="shared" si="221"/>
        <v/>
      </c>
      <c r="G488" s="55" t="str">
        <f t="shared" si="222"/>
        <v/>
      </c>
      <c r="H488" s="55" t="str">
        <f t="shared" si="223"/>
        <v/>
      </c>
      <c r="I488" s="55" t="str">
        <f t="shared" si="224"/>
        <v/>
      </c>
      <c r="J488" s="55" t="str">
        <f t="shared" si="225"/>
        <v/>
      </c>
      <c r="K488" s="55" t="str">
        <f t="shared" si="226"/>
        <v/>
      </c>
      <c r="L488" s="60" t="str">
        <f t="shared" si="227"/>
        <v/>
      </c>
    </row>
    <row r="489" spans="4:12" x14ac:dyDescent="0.25">
      <c r="D489">
        <v>110</v>
      </c>
      <c r="E489" s="59" t="str">
        <f t="shared" si="220"/>
        <v/>
      </c>
      <c r="F489" s="55" t="str">
        <f t="shared" si="221"/>
        <v/>
      </c>
      <c r="G489" s="55" t="str">
        <f t="shared" si="222"/>
        <v/>
      </c>
      <c r="H489" s="55" t="str">
        <f t="shared" si="223"/>
        <v/>
      </c>
      <c r="I489" s="55" t="str">
        <f t="shared" si="224"/>
        <v/>
      </c>
      <c r="J489" s="55" t="str">
        <f t="shared" si="225"/>
        <v/>
      </c>
      <c r="K489" s="55" t="str">
        <f t="shared" si="226"/>
        <v/>
      </c>
      <c r="L489" s="60" t="str">
        <f t="shared" si="227"/>
        <v/>
      </c>
    </row>
    <row r="490" spans="4:12" x14ac:dyDescent="0.25">
      <c r="D490">
        <v>111</v>
      </c>
      <c r="E490" s="59" t="str">
        <f t="shared" si="220"/>
        <v/>
      </c>
      <c r="F490" s="55" t="str">
        <f t="shared" si="221"/>
        <v/>
      </c>
      <c r="G490" s="55" t="str">
        <f t="shared" si="222"/>
        <v/>
      </c>
      <c r="H490" s="55" t="str">
        <f t="shared" si="223"/>
        <v/>
      </c>
      <c r="I490" s="55" t="str">
        <f t="shared" si="224"/>
        <v/>
      </c>
      <c r="J490" s="55" t="str">
        <f t="shared" si="225"/>
        <v/>
      </c>
      <c r="K490" s="55" t="str">
        <f t="shared" si="226"/>
        <v/>
      </c>
      <c r="L490" s="60" t="str">
        <f t="shared" si="227"/>
        <v/>
      </c>
    </row>
    <row r="491" spans="4:12" x14ac:dyDescent="0.25">
      <c r="D491">
        <v>112</v>
      </c>
      <c r="E491" s="59" t="str">
        <f t="shared" si="220"/>
        <v/>
      </c>
      <c r="F491" s="55" t="str">
        <f t="shared" si="221"/>
        <v/>
      </c>
      <c r="G491" s="55" t="str">
        <f t="shared" si="222"/>
        <v/>
      </c>
      <c r="H491" s="55" t="str">
        <f t="shared" si="223"/>
        <v/>
      </c>
      <c r="I491" s="55" t="str">
        <f t="shared" si="224"/>
        <v/>
      </c>
      <c r="J491" s="55" t="str">
        <f t="shared" si="225"/>
        <v/>
      </c>
      <c r="K491" s="55" t="str">
        <f t="shared" si="226"/>
        <v/>
      </c>
      <c r="L491" s="60" t="str">
        <f t="shared" si="227"/>
        <v/>
      </c>
    </row>
    <row r="492" spans="4:12" x14ac:dyDescent="0.25">
      <c r="D492">
        <v>113</v>
      </c>
      <c r="E492" s="59" t="str">
        <f t="shared" si="220"/>
        <v/>
      </c>
      <c r="F492" s="55" t="str">
        <f t="shared" si="221"/>
        <v/>
      </c>
      <c r="G492" s="55" t="str">
        <f t="shared" si="222"/>
        <v/>
      </c>
      <c r="H492" s="55" t="str">
        <f t="shared" si="223"/>
        <v/>
      </c>
      <c r="I492" s="55" t="str">
        <f t="shared" si="224"/>
        <v/>
      </c>
      <c r="J492" s="55" t="str">
        <f t="shared" si="225"/>
        <v/>
      </c>
      <c r="K492" s="55" t="str">
        <f t="shared" si="226"/>
        <v/>
      </c>
      <c r="L492" s="60" t="str">
        <f t="shared" si="227"/>
        <v/>
      </c>
    </row>
    <row r="493" spans="4:12" x14ac:dyDescent="0.25">
      <c r="D493">
        <v>114</v>
      </c>
      <c r="E493" s="59" t="str">
        <f t="shared" si="220"/>
        <v/>
      </c>
      <c r="F493" s="55" t="str">
        <f t="shared" si="221"/>
        <v/>
      </c>
      <c r="G493" s="55" t="str">
        <f t="shared" si="222"/>
        <v/>
      </c>
      <c r="H493" s="55" t="str">
        <f t="shared" si="223"/>
        <v/>
      </c>
      <c r="I493" s="55" t="str">
        <f t="shared" si="224"/>
        <v/>
      </c>
      <c r="J493" s="55" t="str">
        <f t="shared" si="225"/>
        <v/>
      </c>
      <c r="K493" s="55" t="str">
        <f t="shared" si="226"/>
        <v/>
      </c>
      <c r="L493" s="60" t="str">
        <f t="shared" si="227"/>
        <v/>
      </c>
    </row>
    <row r="494" spans="4:12" x14ac:dyDescent="0.25">
      <c r="D494">
        <v>115</v>
      </c>
      <c r="E494" s="59" t="str">
        <f t="shared" si="220"/>
        <v/>
      </c>
      <c r="F494" s="55" t="str">
        <f t="shared" si="221"/>
        <v/>
      </c>
      <c r="G494" s="55" t="str">
        <f t="shared" si="222"/>
        <v/>
      </c>
      <c r="H494" s="55" t="str">
        <f t="shared" si="223"/>
        <v/>
      </c>
      <c r="I494" s="55" t="str">
        <f t="shared" si="224"/>
        <v/>
      </c>
      <c r="J494" s="55" t="str">
        <f t="shared" si="225"/>
        <v/>
      </c>
      <c r="K494" s="55" t="str">
        <f t="shared" si="226"/>
        <v/>
      </c>
      <c r="L494" s="60" t="str">
        <f t="shared" si="227"/>
        <v/>
      </c>
    </row>
    <row r="495" spans="4:12" x14ac:dyDescent="0.25">
      <c r="D495">
        <v>116</v>
      </c>
      <c r="E495" s="59" t="str">
        <f t="shared" si="220"/>
        <v/>
      </c>
      <c r="F495" s="55" t="str">
        <f t="shared" si="221"/>
        <v/>
      </c>
      <c r="G495" s="55" t="str">
        <f t="shared" si="222"/>
        <v/>
      </c>
      <c r="H495" s="55" t="str">
        <f t="shared" si="223"/>
        <v/>
      </c>
      <c r="I495" s="55" t="str">
        <f t="shared" si="224"/>
        <v/>
      </c>
      <c r="J495" s="55" t="str">
        <f t="shared" si="225"/>
        <v/>
      </c>
      <c r="K495" s="55" t="str">
        <f t="shared" si="226"/>
        <v/>
      </c>
      <c r="L495" s="60" t="str">
        <f t="shared" si="227"/>
        <v/>
      </c>
    </row>
    <row r="496" spans="4:12" x14ac:dyDescent="0.25">
      <c r="D496">
        <v>117</v>
      </c>
      <c r="E496" s="59" t="str">
        <f t="shared" si="220"/>
        <v/>
      </c>
      <c r="F496" s="55" t="str">
        <f t="shared" si="221"/>
        <v/>
      </c>
      <c r="G496" s="55" t="str">
        <f t="shared" si="222"/>
        <v/>
      </c>
      <c r="H496" s="55" t="str">
        <f t="shared" si="223"/>
        <v/>
      </c>
      <c r="I496" s="55" t="str">
        <f t="shared" si="224"/>
        <v/>
      </c>
      <c r="J496" s="55" t="str">
        <f t="shared" si="225"/>
        <v/>
      </c>
      <c r="K496" s="55" t="str">
        <f t="shared" si="226"/>
        <v/>
      </c>
      <c r="L496" s="60" t="str">
        <f t="shared" si="227"/>
        <v/>
      </c>
    </row>
    <row r="497" spans="3:36" x14ac:dyDescent="0.25">
      <c r="D497">
        <v>118</v>
      </c>
      <c r="E497" s="59" t="str">
        <f t="shared" si="220"/>
        <v/>
      </c>
      <c r="F497" s="55" t="str">
        <f t="shared" si="221"/>
        <v/>
      </c>
      <c r="G497" s="55" t="str">
        <f t="shared" si="222"/>
        <v/>
      </c>
      <c r="H497" s="55" t="str">
        <f t="shared" si="223"/>
        <v/>
      </c>
      <c r="I497" s="55" t="str">
        <f t="shared" si="224"/>
        <v/>
      </c>
      <c r="J497" s="55" t="str">
        <f t="shared" si="225"/>
        <v/>
      </c>
      <c r="K497" s="55" t="str">
        <f t="shared" si="226"/>
        <v/>
      </c>
      <c r="L497" s="60" t="str">
        <f t="shared" si="227"/>
        <v/>
      </c>
    </row>
    <row r="498" spans="3:36" x14ac:dyDescent="0.25">
      <c r="D498">
        <v>119</v>
      </c>
      <c r="E498" s="59" t="str">
        <f t="shared" si="220"/>
        <v/>
      </c>
      <c r="F498" s="55" t="str">
        <f t="shared" si="221"/>
        <v/>
      </c>
      <c r="G498" s="55" t="str">
        <f t="shared" si="222"/>
        <v/>
      </c>
      <c r="H498" s="55" t="str">
        <f t="shared" si="223"/>
        <v/>
      </c>
      <c r="I498" s="55" t="str">
        <f t="shared" si="224"/>
        <v/>
      </c>
      <c r="J498" s="55" t="str">
        <f t="shared" si="225"/>
        <v/>
      </c>
      <c r="K498" s="55" t="str">
        <f t="shared" si="226"/>
        <v/>
      </c>
      <c r="L498" s="60" t="str">
        <f t="shared" si="227"/>
        <v/>
      </c>
    </row>
    <row r="499" spans="3:36" x14ac:dyDescent="0.25">
      <c r="D499">
        <v>120</v>
      </c>
      <c r="E499" s="59" t="str">
        <f t="shared" si="220"/>
        <v/>
      </c>
      <c r="F499" s="55" t="str">
        <f t="shared" si="221"/>
        <v/>
      </c>
      <c r="G499" s="55" t="str">
        <f t="shared" si="222"/>
        <v/>
      </c>
      <c r="H499" s="55" t="str">
        <f t="shared" si="223"/>
        <v/>
      </c>
      <c r="I499" s="55" t="str">
        <f t="shared" si="224"/>
        <v/>
      </c>
      <c r="J499" s="55" t="str">
        <f t="shared" si="225"/>
        <v/>
      </c>
      <c r="K499" s="55" t="str">
        <f t="shared" si="226"/>
        <v/>
      </c>
      <c r="L499" s="60" t="str">
        <f t="shared" si="227"/>
        <v/>
      </c>
    </row>
    <row r="500" spans="3:36" x14ac:dyDescent="0.25">
      <c r="D500">
        <v>121</v>
      </c>
      <c r="E500" s="59" t="str">
        <f t="shared" si="220"/>
        <v/>
      </c>
      <c r="F500" s="55" t="str">
        <f t="shared" si="221"/>
        <v/>
      </c>
      <c r="G500" s="55" t="str">
        <f t="shared" si="222"/>
        <v/>
      </c>
      <c r="H500" s="55" t="str">
        <f t="shared" si="223"/>
        <v/>
      </c>
      <c r="I500" s="55" t="str">
        <f t="shared" si="224"/>
        <v/>
      </c>
      <c r="J500" s="55" t="str">
        <f t="shared" si="225"/>
        <v/>
      </c>
      <c r="K500" s="55" t="str">
        <f t="shared" si="226"/>
        <v/>
      </c>
      <c r="L500" s="60" t="str">
        <f t="shared" si="227"/>
        <v/>
      </c>
    </row>
    <row r="501" spans="3:36" x14ac:dyDescent="0.25">
      <c r="D501">
        <v>122</v>
      </c>
      <c r="E501" s="59" t="str">
        <f t="shared" si="220"/>
        <v/>
      </c>
      <c r="F501" s="55" t="str">
        <f t="shared" si="221"/>
        <v/>
      </c>
      <c r="G501" s="55" t="str">
        <f t="shared" si="222"/>
        <v/>
      </c>
      <c r="H501" s="55" t="str">
        <f t="shared" si="223"/>
        <v/>
      </c>
      <c r="I501" s="55" t="str">
        <f t="shared" si="224"/>
        <v/>
      </c>
      <c r="J501" s="55" t="str">
        <f t="shared" si="225"/>
        <v/>
      </c>
      <c r="K501" s="55" t="str">
        <f t="shared" si="226"/>
        <v/>
      </c>
      <c r="L501" s="60" t="str">
        <f t="shared" si="227"/>
        <v/>
      </c>
    </row>
    <row r="502" spans="3:36" x14ac:dyDescent="0.25">
      <c r="D502">
        <v>123</v>
      </c>
      <c r="E502" s="59" t="str">
        <f t="shared" si="220"/>
        <v/>
      </c>
      <c r="F502" s="55" t="str">
        <f t="shared" si="221"/>
        <v/>
      </c>
      <c r="G502" s="55" t="str">
        <f t="shared" si="222"/>
        <v/>
      </c>
      <c r="H502" s="55" t="str">
        <f t="shared" si="223"/>
        <v/>
      </c>
      <c r="I502" s="55" t="str">
        <f t="shared" si="224"/>
        <v/>
      </c>
      <c r="J502" s="55" t="str">
        <f t="shared" si="225"/>
        <v/>
      </c>
      <c r="K502" s="55" t="str">
        <f t="shared" si="226"/>
        <v/>
      </c>
      <c r="L502" s="60" t="str">
        <f t="shared" si="227"/>
        <v/>
      </c>
    </row>
    <row r="503" spans="3:36" x14ac:dyDescent="0.25">
      <c r="D503">
        <v>124</v>
      </c>
      <c r="E503" s="59" t="str">
        <f t="shared" si="220"/>
        <v/>
      </c>
      <c r="F503" s="55" t="str">
        <f t="shared" si="221"/>
        <v/>
      </c>
      <c r="G503" s="55" t="str">
        <f t="shared" si="222"/>
        <v/>
      </c>
      <c r="H503" s="55" t="str">
        <f t="shared" si="223"/>
        <v/>
      </c>
      <c r="I503" s="55" t="str">
        <f t="shared" si="224"/>
        <v/>
      </c>
      <c r="J503" s="55" t="str">
        <f t="shared" si="225"/>
        <v/>
      </c>
      <c r="K503" s="55" t="str">
        <f t="shared" si="226"/>
        <v/>
      </c>
      <c r="L503" s="60" t="str">
        <f t="shared" si="227"/>
        <v/>
      </c>
    </row>
    <row r="504" spans="3:36" x14ac:dyDescent="0.25">
      <c r="D504">
        <v>125</v>
      </c>
      <c r="E504" s="59" t="str">
        <f t="shared" si="220"/>
        <v/>
      </c>
      <c r="F504" s="55" t="str">
        <f t="shared" si="221"/>
        <v/>
      </c>
      <c r="G504" s="55" t="str">
        <f t="shared" si="222"/>
        <v/>
      </c>
      <c r="H504" s="55" t="str">
        <f t="shared" si="223"/>
        <v/>
      </c>
      <c r="I504" s="55" t="str">
        <f t="shared" si="224"/>
        <v/>
      </c>
      <c r="J504" s="55" t="str">
        <f t="shared" si="225"/>
        <v/>
      </c>
      <c r="K504" s="55" t="str">
        <f t="shared" si="226"/>
        <v/>
      </c>
      <c r="L504" s="60" t="str">
        <f t="shared" si="227"/>
        <v/>
      </c>
    </row>
    <row r="505" spans="3:36" x14ac:dyDescent="0.25">
      <c r="D505">
        <v>126</v>
      </c>
      <c r="E505" s="59" t="str">
        <f t="shared" si="220"/>
        <v/>
      </c>
      <c r="F505" s="55" t="str">
        <f t="shared" si="221"/>
        <v/>
      </c>
      <c r="G505" s="55" t="str">
        <f t="shared" si="222"/>
        <v/>
      </c>
      <c r="H505" s="55" t="str">
        <f t="shared" si="223"/>
        <v/>
      </c>
      <c r="I505" s="55" t="str">
        <f t="shared" si="224"/>
        <v/>
      </c>
      <c r="J505" s="55" t="str">
        <f t="shared" si="225"/>
        <v/>
      </c>
      <c r="K505" s="55" t="str">
        <f t="shared" si="226"/>
        <v/>
      </c>
      <c r="L505" s="60" t="str">
        <f t="shared" si="227"/>
        <v/>
      </c>
    </row>
    <row r="506" spans="3:36" x14ac:dyDescent="0.25">
      <c r="D506">
        <v>127</v>
      </c>
      <c r="E506" s="59" t="str">
        <f t="shared" si="220"/>
        <v/>
      </c>
      <c r="F506" s="55" t="str">
        <f t="shared" si="221"/>
        <v/>
      </c>
      <c r="G506" s="55" t="str">
        <f t="shared" si="222"/>
        <v/>
      </c>
      <c r="H506" s="55" t="str">
        <f t="shared" si="223"/>
        <v/>
      </c>
      <c r="I506" s="55" t="str">
        <f t="shared" si="224"/>
        <v/>
      </c>
      <c r="J506" s="55" t="str">
        <f t="shared" si="225"/>
        <v/>
      </c>
      <c r="K506" s="55" t="str">
        <f t="shared" si="226"/>
        <v/>
      </c>
      <c r="L506" s="60" t="str">
        <f t="shared" si="227"/>
        <v/>
      </c>
    </row>
    <row r="507" spans="3:36" x14ac:dyDescent="0.25">
      <c r="D507">
        <v>128</v>
      </c>
      <c r="E507" s="59" t="str">
        <f t="shared" si="220"/>
        <v/>
      </c>
      <c r="F507" s="55" t="str">
        <f t="shared" si="221"/>
        <v/>
      </c>
      <c r="G507" s="55" t="str">
        <f t="shared" si="222"/>
        <v/>
      </c>
      <c r="H507" s="55" t="str">
        <f t="shared" si="223"/>
        <v/>
      </c>
      <c r="I507" s="55" t="str">
        <f t="shared" si="224"/>
        <v/>
      </c>
      <c r="J507" s="55" t="str">
        <f t="shared" si="225"/>
        <v/>
      </c>
      <c r="K507" s="55" t="str">
        <f t="shared" si="226"/>
        <v/>
      </c>
      <c r="L507" s="60" t="str">
        <f t="shared" si="227"/>
        <v/>
      </c>
    </row>
    <row r="509" spans="3:36" ht="15.75" customHeight="1" thickBot="1" x14ac:dyDescent="0.3"/>
    <row r="510" spans="3:36" ht="18.75" customHeight="1" thickBot="1" x14ac:dyDescent="0.3">
      <c r="C510" s="602" t="s">
        <v>519</v>
      </c>
      <c r="D510" s="544"/>
      <c r="E510" s="544"/>
      <c r="F510" s="544"/>
      <c r="G510" s="544"/>
      <c r="H510" s="544"/>
      <c r="I510" s="544"/>
      <c r="J510" s="544"/>
      <c r="K510" s="545"/>
      <c r="N510" s="602" t="s">
        <v>519</v>
      </c>
      <c r="O510" s="544"/>
      <c r="P510" s="544"/>
      <c r="Q510" s="544"/>
      <c r="R510" s="544"/>
      <c r="S510" s="544"/>
      <c r="T510" s="544"/>
      <c r="U510" s="544"/>
      <c r="V510" s="544"/>
      <c r="W510" s="544"/>
      <c r="X510" s="544"/>
      <c r="Y510" s="545"/>
      <c r="AB510" s="602" t="s">
        <v>519</v>
      </c>
      <c r="AC510" s="544"/>
      <c r="AD510" s="544"/>
      <c r="AE510" s="544"/>
      <c r="AF510" s="544"/>
      <c r="AG510" s="544"/>
      <c r="AH510" s="544"/>
      <c r="AI510" s="544"/>
      <c r="AJ510" s="545"/>
    </row>
    <row r="511" spans="3:36" x14ac:dyDescent="0.25">
      <c r="C511" s="610" t="s">
        <v>41</v>
      </c>
      <c r="D511" s="598" t="s">
        <v>9</v>
      </c>
      <c r="E511" s="598" t="s">
        <v>495</v>
      </c>
      <c r="F511" s="598" t="s">
        <v>376</v>
      </c>
      <c r="G511" s="599" t="s">
        <v>529</v>
      </c>
      <c r="H511" s="547"/>
      <c r="I511" s="547"/>
      <c r="J511" s="547"/>
      <c r="K511" s="548"/>
      <c r="N511" s="610" t="s">
        <v>41</v>
      </c>
      <c r="O511" s="598" t="s">
        <v>9</v>
      </c>
      <c r="P511" s="598" t="s">
        <v>495</v>
      </c>
      <c r="Q511" s="598" t="s">
        <v>520</v>
      </c>
      <c r="R511" s="599" t="s">
        <v>370</v>
      </c>
      <c r="S511" s="547"/>
      <c r="T511" s="547"/>
      <c r="U511" s="547"/>
      <c r="V511" s="547"/>
      <c r="W511" s="547"/>
      <c r="X511" s="547"/>
      <c r="Y511" s="548"/>
      <c r="AB511" s="610" t="s">
        <v>41</v>
      </c>
      <c r="AC511" s="598" t="s">
        <v>9</v>
      </c>
      <c r="AD511" s="598" t="s">
        <v>495</v>
      </c>
      <c r="AE511" s="598" t="s">
        <v>520</v>
      </c>
      <c r="AF511" s="599" t="s">
        <v>370</v>
      </c>
      <c r="AG511" s="547"/>
      <c r="AH511" s="547"/>
      <c r="AI511" s="547"/>
      <c r="AJ511" s="548"/>
    </row>
    <row r="512" spans="3:36" x14ac:dyDescent="0.25">
      <c r="C512" s="611"/>
      <c r="D512" s="591"/>
      <c r="E512" s="591"/>
      <c r="F512" s="591"/>
      <c r="G512" s="84">
        <v>0.8</v>
      </c>
      <c r="H512" s="84">
        <v>0.96</v>
      </c>
      <c r="I512" s="84">
        <v>1.1200000000000001</v>
      </c>
      <c r="J512" s="84">
        <v>1.3</v>
      </c>
      <c r="K512" s="100">
        <v>1.5</v>
      </c>
      <c r="N512" s="611"/>
      <c r="O512" s="591"/>
      <c r="P512" s="591"/>
      <c r="Q512" s="591"/>
      <c r="R512" s="84">
        <v>0.8</v>
      </c>
      <c r="S512" s="84">
        <v>0.96</v>
      </c>
      <c r="T512" s="84"/>
      <c r="U512" s="84"/>
      <c r="V512" s="84"/>
      <c r="W512" s="84">
        <v>1.1200000000000001</v>
      </c>
      <c r="X512" s="84">
        <v>1.3</v>
      </c>
      <c r="Y512" s="100">
        <v>1.5</v>
      </c>
      <c r="AB512" s="611"/>
      <c r="AC512" s="591"/>
      <c r="AD512" s="591"/>
      <c r="AE512" s="591"/>
      <c r="AF512" s="84">
        <v>0.8</v>
      </c>
      <c r="AG512" s="84">
        <v>0.96</v>
      </c>
      <c r="AH512" s="84">
        <v>1.1200000000000001</v>
      </c>
      <c r="AI512" s="84">
        <v>1.3</v>
      </c>
      <c r="AJ512" s="100">
        <v>1.5</v>
      </c>
    </row>
    <row r="513" spans="3:36" x14ac:dyDescent="0.25">
      <c r="C513" s="603">
        <v>0.25</v>
      </c>
      <c r="D513" s="597"/>
      <c r="E513" s="609" t="s">
        <v>521</v>
      </c>
      <c r="F513" s="87" t="s">
        <v>522</v>
      </c>
      <c r="G513" s="88">
        <v>1</v>
      </c>
      <c r="H513" s="88">
        <v>1.0391296477793051</v>
      </c>
      <c r="I513" s="88">
        <v>1.073405452435789</v>
      </c>
      <c r="J513" s="88">
        <v>1.1076184521370911</v>
      </c>
      <c r="K513" s="101">
        <v>1.141494838324278</v>
      </c>
      <c r="N513" s="603">
        <v>0.35</v>
      </c>
      <c r="O513" s="597"/>
      <c r="P513" s="609" t="s">
        <v>521</v>
      </c>
      <c r="Q513" s="87" t="s">
        <v>522</v>
      </c>
      <c r="R513" s="88">
        <v>1</v>
      </c>
      <c r="S513" s="88">
        <v>1.0391296477793051</v>
      </c>
      <c r="T513" s="88"/>
      <c r="U513" s="88"/>
      <c r="V513" s="88"/>
      <c r="W513" s="88">
        <v>1.073405452435789</v>
      </c>
      <c r="X513" s="88">
        <v>1.1076184521370911</v>
      </c>
      <c r="Y513" s="101">
        <v>1.141494838324278</v>
      </c>
      <c r="AB513" s="603">
        <v>0.45</v>
      </c>
      <c r="AC513" s="597"/>
      <c r="AD513" s="609" t="s">
        <v>521</v>
      </c>
      <c r="AE513" s="87" t="s">
        <v>522</v>
      </c>
      <c r="AF513" s="88">
        <v>1</v>
      </c>
      <c r="AG513" s="88">
        <v>1.0391296477793051</v>
      </c>
      <c r="AH513" s="88">
        <v>1.073405452435789</v>
      </c>
      <c r="AI513" s="88">
        <v>1.1076184521370911</v>
      </c>
      <c r="AJ513" s="101">
        <v>1.141494838324278</v>
      </c>
    </row>
    <row r="514" spans="3:36" x14ac:dyDescent="0.25">
      <c r="C514" s="604"/>
      <c r="D514" s="589"/>
      <c r="E514" s="589"/>
      <c r="F514" s="90" t="s">
        <v>523</v>
      </c>
      <c r="G514" s="91">
        <v>1</v>
      </c>
      <c r="H514" s="91">
        <v>1.1613113025028781</v>
      </c>
      <c r="I514" s="91">
        <v>1.1996172823534399</v>
      </c>
      <c r="J514" s="91">
        <v>1.237853072594397</v>
      </c>
      <c r="K514" s="103">
        <v>1.2757126700481001</v>
      </c>
      <c r="N514" s="604"/>
      <c r="O514" s="589"/>
      <c r="P514" s="589"/>
      <c r="Q514" s="90" t="s">
        <v>523</v>
      </c>
      <c r="R514" s="91">
        <v>1</v>
      </c>
      <c r="S514" s="91">
        <v>1.144222416425007</v>
      </c>
      <c r="T514" s="91"/>
      <c r="U514" s="91"/>
      <c r="V514" s="91"/>
      <c r="W514" s="91">
        <v>1.18196471750627</v>
      </c>
      <c r="X514" s="91">
        <v>1.2196378618295329</v>
      </c>
      <c r="Y514" s="103">
        <v>1.2569403491040401</v>
      </c>
      <c r="AB514" s="604"/>
      <c r="AC514" s="589"/>
      <c r="AD514" s="589"/>
      <c r="AE514" s="90" t="s">
        <v>523</v>
      </c>
      <c r="AF514" s="91">
        <v>1</v>
      </c>
      <c r="AG514" s="91">
        <v>1.185436663775858</v>
      </c>
      <c r="AH514" s="91">
        <v>1.2245384212967301</v>
      </c>
      <c r="AI514" s="91">
        <v>1.263568531072107</v>
      </c>
      <c r="AJ514" s="103">
        <v>1.302214632940476</v>
      </c>
    </row>
    <row r="515" spans="3:36" x14ac:dyDescent="0.25">
      <c r="C515" s="604"/>
      <c r="D515" s="589"/>
      <c r="E515" s="589"/>
      <c r="F515" s="90" t="s">
        <v>524</v>
      </c>
      <c r="G515" s="91">
        <v>1</v>
      </c>
      <c r="H515" s="91">
        <v>1.1998157149649631</v>
      </c>
      <c r="I515" s="91">
        <v>1.399631429929926</v>
      </c>
      <c r="J515" s="91">
        <v>1.444242335888585</v>
      </c>
      <c r="K515" s="103">
        <v>1.488414325822526</v>
      </c>
      <c r="N515" s="604"/>
      <c r="O515" s="589"/>
      <c r="P515" s="589"/>
      <c r="Q515" s="90" t="s">
        <v>524</v>
      </c>
      <c r="R515" s="91">
        <v>1</v>
      </c>
      <c r="S515" s="91">
        <v>1.2209308645771011</v>
      </c>
      <c r="T515" s="91"/>
      <c r="U515" s="91"/>
      <c r="V515" s="91"/>
      <c r="W515" s="91">
        <v>1.441861729154202</v>
      </c>
      <c r="X515" s="91">
        <v>1.4878186551199959</v>
      </c>
      <c r="Y515" s="103">
        <v>1.533323421892433</v>
      </c>
      <c r="AB515" s="604"/>
      <c r="AC515" s="589"/>
      <c r="AD515" s="589"/>
      <c r="AE515" s="90" t="s">
        <v>524</v>
      </c>
      <c r="AF515" s="91">
        <v>1</v>
      </c>
      <c r="AG515" s="91">
        <v>1.222901973943691</v>
      </c>
      <c r="AH515" s="91">
        <v>1.4458039478873841</v>
      </c>
      <c r="AI515" s="91">
        <v>1.491886525467891</v>
      </c>
      <c r="AJ515" s="103">
        <v>1.537515707598883</v>
      </c>
    </row>
    <row r="516" spans="3:36" x14ac:dyDescent="0.25">
      <c r="C516" s="604"/>
      <c r="D516" s="589"/>
      <c r="E516" s="609" t="s">
        <v>525</v>
      </c>
      <c r="F516" s="87" t="s">
        <v>526</v>
      </c>
      <c r="G516" s="88"/>
      <c r="H516" s="88"/>
      <c r="I516" s="88"/>
      <c r="J516" s="88"/>
      <c r="K516" s="101"/>
      <c r="N516" s="604"/>
      <c r="O516" s="589"/>
      <c r="P516" s="609" t="s">
        <v>525</v>
      </c>
      <c r="Q516" s="87" t="s">
        <v>526</v>
      </c>
      <c r="R516" s="88"/>
      <c r="S516" s="88"/>
      <c r="T516" s="88"/>
      <c r="U516" s="88"/>
      <c r="V516" s="88"/>
      <c r="W516" s="88"/>
      <c r="X516" s="88"/>
      <c r="Y516" s="101"/>
      <c r="AB516" s="604"/>
      <c r="AC516" s="589"/>
      <c r="AD516" s="609" t="s">
        <v>525</v>
      </c>
      <c r="AE516" s="87" t="s">
        <v>526</v>
      </c>
      <c r="AF516" s="88"/>
      <c r="AG516" s="88"/>
      <c r="AH516" s="88"/>
      <c r="AI516" s="88"/>
      <c r="AJ516" s="101"/>
    </row>
    <row r="517" spans="3:36" x14ac:dyDescent="0.25">
      <c r="C517" s="604"/>
      <c r="D517" s="589"/>
      <c r="E517" s="589"/>
      <c r="F517" s="90" t="s">
        <v>523</v>
      </c>
      <c r="G517" s="91">
        <v>1</v>
      </c>
      <c r="H517" s="91">
        <v>1.2505609867104761</v>
      </c>
      <c r="I517" s="91">
        <v>1.2918108771193499</v>
      </c>
      <c r="J517" s="91">
        <v>1.332985183671203</v>
      </c>
      <c r="K517" s="103">
        <v>1.373754386077245</v>
      </c>
      <c r="N517" s="604"/>
      <c r="O517" s="589"/>
      <c r="P517" s="589"/>
      <c r="Q517" s="90" t="s">
        <v>523</v>
      </c>
      <c r="R517" s="91">
        <v>1</v>
      </c>
      <c r="S517" s="91">
        <v>1.296473242643382</v>
      </c>
      <c r="T517" s="91"/>
      <c r="U517" s="91"/>
      <c r="V517" s="91"/>
      <c r="W517" s="91">
        <v>1.339237553816844</v>
      </c>
      <c r="X517" s="91">
        <v>1.381923506198335</v>
      </c>
      <c r="Y517" s="103">
        <v>1.424189481712556</v>
      </c>
      <c r="AB517" s="604"/>
      <c r="AC517" s="589"/>
      <c r="AD517" s="589"/>
      <c r="AE517" s="90" t="s">
        <v>523</v>
      </c>
      <c r="AF517" s="91">
        <v>1</v>
      </c>
      <c r="AG517" s="91">
        <v>1.1515814687452279</v>
      </c>
      <c r="AH517" s="91">
        <v>1.189566508969123</v>
      </c>
      <c r="AI517" s="91">
        <v>1.2274819476541841</v>
      </c>
      <c r="AJ517" s="103">
        <v>1.265024345414262</v>
      </c>
    </row>
    <row r="518" spans="3:36" x14ac:dyDescent="0.25">
      <c r="C518" s="604"/>
      <c r="D518" s="589"/>
      <c r="E518" s="589"/>
      <c r="F518" s="90" t="s">
        <v>524</v>
      </c>
      <c r="G518" s="91">
        <v>1</v>
      </c>
      <c r="H518" s="91">
        <v>1.192826889382836</v>
      </c>
      <c r="I518" s="91">
        <v>1.385653778765672</v>
      </c>
      <c r="J518" s="91">
        <v>1.4298191705208929</v>
      </c>
      <c r="K518" s="103">
        <v>1.4735500295589961</v>
      </c>
      <c r="N518" s="604"/>
      <c r="O518" s="589"/>
      <c r="P518" s="589"/>
      <c r="Q518" s="90" t="s">
        <v>524</v>
      </c>
      <c r="R518" s="91">
        <v>1</v>
      </c>
      <c r="S518" s="91">
        <v>1.411417337442068</v>
      </c>
      <c r="T518" s="91"/>
      <c r="U518" s="91"/>
      <c r="V518" s="91"/>
      <c r="W518" s="91">
        <v>1.822834674884136</v>
      </c>
      <c r="X518" s="91">
        <v>1.8809344749604391</v>
      </c>
      <c r="Y518" s="103">
        <v>1.938462645011787</v>
      </c>
      <c r="AB518" s="604"/>
      <c r="AC518" s="589"/>
      <c r="AD518" s="589"/>
      <c r="AE518" s="90" t="s">
        <v>524</v>
      </c>
      <c r="AF518" s="91">
        <v>1</v>
      </c>
      <c r="AG518" s="91">
        <v>1.3369113554098071</v>
      </c>
      <c r="AH518" s="91">
        <v>1.6738227108196151</v>
      </c>
      <c r="AI518" s="91">
        <v>1.7271730042947899</v>
      </c>
      <c r="AJ518" s="103">
        <v>1.7799983970035169</v>
      </c>
    </row>
    <row r="519" spans="3:36" x14ac:dyDescent="0.25">
      <c r="C519" s="604"/>
      <c r="D519" s="589"/>
      <c r="E519" s="609" t="s">
        <v>527</v>
      </c>
      <c r="F519" s="87" t="s">
        <v>522</v>
      </c>
      <c r="G519" s="88">
        <v>1</v>
      </c>
      <c r="H519" s="88">
        <v>1.0391296477793051</v>
      </c>
      <c r="I519" s="88">
        <v>1.073405452435789</v>
      </c>
      <c r="J519" s="88">
        <v>1.1076184521370911</v>
      </c>
      <c r="K519" s="101">
        <v>1.141494838324278</v>
      </c>
      <c r="N519" s="604"/>
      <c r="O519" s="589"/>
      <c r="P519" s="609" t="s">
        <v>527</v>
      </c>
      <c r="Q519" s="87" t="s">
        <v>522</v>
      </c>
      <c r="R519" s="88">
        <v>1</v>
      </c>
      <c r="S519" s="88">
        <v>1.0391296477793051</v>
      </c>
      <c r="T519" s="88"/>
      <c r="U519" s="88"/>
      <c r="V519" s="88"/>
      <c r="W519" s="88">
        <v>1.073405452435789</v>
      </c>
      <c r="X519" s="88">
        <v>1.1076184521370911</v>
      </c>
      <c r="Y519" s="101">
        <v>1.141494838324278</v>
      </c>
      <c r="AB519" s="604"/>
      <c r="AC519" s="589"/>
      <c r="AD519" s="609" t="s">
        <v>527</v>
      </c>
      <c r="AE519" s="87" t="s">
        <v>522</v>
      </c>
      <c r="AF519" s="88">
        <v>1</v>
      </c>
      <c r="AG519" s="88">
        <v>1.0391296477793051</v>
      </c>
      <c r="AH519" s="88">
        <v>1.073405452435789</v>
      </c>
      <c r="AI519" s="88">
        <v>1.1076184521370911</v>
      </c>
      <c r="AJ519" s="101">
        <v>1.141494838324278</v>
      </c>
    </row>
    <row r="520" spans="3:36" x14ac:dyDescent="0.25">
      <c r="C520" s="604"/>
      <c r="D520" s="589"/>
      <c r="E520" s="589"/>
      <c r="F520" s="90" t="s">
        <v>523</v>
      </c>
      <c r="G520" s="91">
        <v>1</v>
      </c>
      <c r="H520" s="91">
        <v>1.1209316947078101</v>
      </c>
      <c r="I520" s="91">
        <v>1.157905748795454</v>
      </c>
      <c r="J520" s="91">
        <v>1.194812053815405</v>
      </c>
      <c r="K520" s="103">
        <v>1.231355246534938</v>
      </c>
      <c r="N520" s="604"/>
      <c r="O520" s="589"/>
      <c r="P520" s="589"/>
      <c r="Q520" s="90" t="s">
        <v>523</v>
      </c>
      <c r="R520" s="91">
        <v>1</v>
      </c>
      <c r="S520" s="91">
        <v>1.144809510484492</v>
      </c>
      <c r="T520" s="91"/>
      <c r="U520" s="91"/>
      <c r="V520" s="91"/>
      <c r="W520" s="91">
        <v>1.182571176927278</v>
      </c>
      <c r="X520" s="91">
        <v>1.220263651128122</v>
      </c>
      <c r="Y520" s="103">
        <v>1.25758527809817</v>
      </c>
      <c r="AB520" s="604"/>
      <c r="AC520" s="589"/>
      <c r="AD520" s="589"/>
      <c r="AE520" s="90" t="s">
        <v>523</v>
      </c>
      <c r="AF520" s="91">
        <v>1</v>
      </c>
      <c r="AG520" s="91">
        <v>1.126692844677424</v>
      </c>
      <c r="AH520" s="91">
        <v>1.1638569309245561</v>
      </c>
      <c r="AI520" s="91">
        <v>1.2009529199003159</v>
      </c>
      <c r="AJ520" s="103">
        <v>1.237683930320624</v>
      </c>
    </row>
    <row r="521" spans="3:36" x14ac:dyDescent="0.25">
      <c r="C521" s="604"/>
      <c r="D521" s="589"/>
      <c r="E521" s="589"/>
      <c r="F521" s="90" t="s">
        <v>524</v>
      </c>
      <c r="G521" s="91">
        <v>1</v>
      </c>
      <c r="H521" s="91">
        <v>1.1304835169012259</v>
      </c>
      <c r="I521" s="91">
        <v>1.260967033802453</v>
      </c>
      <c r="J521" s="91">
        <v>1.301158244544802</v>
      </c>
      <c r="K521" s="103">
        <v>1.3409540235856761</v>
      </c>
      <c r="N521" s="604"/>
      <c r="O521" s="589"/>
      <c r="P521" s="589"/>
      <c r="Q521" s="90" t="s">
        <v>524</v>
      </c>
      <c r="R521" s="91">
        <v>1</v>
      </c>
      <c r="S521" s="91">
        <v>1.1464622567740019</v>
      </c>
      <c r="T521" s="91"/>
      <c r="U521" s="91"/>
      <c r="V521" s="91"/>
      <c r="W521" s="91">
        <v>1.2929245135480041</v>
      </c>
      <c r="X521" s="91">
        <v>1.334134315394496</v>
      </c>
      <c r="Y521" s="103">
        <v>1.3749386638654699</v>
      </c>
      <c r="AB521" s="604"/>
      <c r="AC521" s="589"/>
      <c r="AD521" s="589"/>
      <c r="AE521" s="90" t="s">
        <v>524</v>
      </c>
      <c r="AF521" s="91">
        <v>1</v>
      </c>
      <c r="AG521" s="91">
        <v>1.118591080199371</v>
      </c>
      <c r="AH521" s="91">
        <v>1.2371821603987421</v>
      </c>
      <c r="AI521" s="91">
        <v>1.276615268166293</v>
      </c>
      <c r="AJ521" s="103">
        <v>1.315660403026061</v>
      </c>
    </row>
    <row r="522" spans="3:36" x14ac:dyDescent="0.25">
      <c r="C522" s="604"/>
      <c r="D522" s="589"/>
      <c r="E522" s="609" t="s">
        <v>528</v>
      </c>
      <c r="F522" s="87" t="s">
        <v>526</v>
      </c>
      <c r="G522" s="88">
        <v>1</v>
      </c>
      <c r="H522" s="88">
        <v>1.6191296477793049</v>
      </c>
      <c r="I522" s="88">
        <v>1.6534054524357891</v>
      </c>
      <c r="J522" s="88">
        <v>1.6876184521370901</v>
      </c>
      <c r="K522" s="101">
        <v>1.7214948383242781</v>
      </c>
      <c r="N522" s="604"/>
      <c r="O522" s="589"/>
      <c r="P522" s="609" t="s">
        <v>528</v>
      </c>
      <c r="Q522" s="87" t="s">
        <v>526</v>
      </c>
      <c r="R522" s="88">
        <v>1</v>
      </c>
      <c r="S522" s="88">
        <v>1.6191296477793049</v>
      </c>
      <c r="T522" s="88"/>
      <c r="U522" s="88"/>
      <c r="V522" s="88"/>
      <c r="W522" s="88">
        <v>1.6534054524357891</v>
      </c>
      <c r="X522" s="88">
        <v>1.6876184521370901</v>
      </c>
      <c r="Y522" s="101">
        <v>1.7214948383242781</v>
      </c>
      <c r="AB522" s="604"/>
      <c r="AC522" s="589"/>
      <c r="AD522" s="609" t="s">
        <v>528</v>
      </c>
      <c r="AE522" s="87" t="s">
        <v>526</v>
      </c>
      <c r="AF522" s="88">
        <v>1</v>
      </c>
      <c r="AG522" s="88">
        <v>1.6191296477793049</v>
      </c>
      <c r="AH522" s="88">
        <v>1.6534054524357891</v>
      </c>
      <c r="AI522" s="88">
        <v>1.6876184521370901</v>
      </c>
      <c r="AJ522" s="101">
        <v>1.7214948383242781</v>
      </c>
    </row>
    <row r="523" spans="3:36" x14ac:dyDescent="0.25">
      <c r="C523" s="604"/>
      <c r="D523" s="589"/>
      <c r="E523" s="589"/>
      <c r="F523" s="90" t="s">
        <v>523</v>
      </c>
      <c r="G523" s="91">
        <v>1</v>
      </c>
      <c r="H523" s="91">
        <v>1.2876454111500719</v>
      </c>
      <c r="I523" s="91">
        <v>1.3301185353398379</v>
      </c>
      <c r="J523" s="91">
        <v>1.372513834291424</v>
      </c>
      <c r="K523" s="103">
        <v>1.414492016045259</v>
      </c>
      <c r="N523" s="604"/>
      <c r="O523" s="589"/>
      <c r="P523" s="589"/>
      <c r="Q523" s="90" t="s">
        <v>523</v>
      </c>
      <c r="R523" s="91">
        <v>1</v>
      </c>
      <c r="S523" s="91">
        <v>1.339613640346786</v>
      </c>
      <c r="T523" s="91"/>
      <c r="U523" s="91"/>
      <c r="V523" s="91"/>
      <c r="W523" s="91">
        <v>1.38380094223911</v>
      </c>
      <c r="X523" s="91">
        <v>1.427907277935518</v>
      </c>
      <c r="Y523" s="103">
        <v>1.4715796619532331</v>
      </c>
      <c r="AB523" s="604"/>
      <c r="AC523" s="589"/>
      <c r="AD523" s="589"/>
      <c r="AE523" s="90" t="s">
        <v>523</v>
      </c>
      <c r="AF523" s="91">
        <v>1</v>
      </c>
      <c r="AG523" s="91">
        <v>1.2237669699244249</v>
      </c>
      <c r="AH523" s="91">
        <v>1.264133056770111</v>
      </c>
      <c r="AI523" s="91">
        <v>1.3044251791881021</v>
      </c>
      <c r="AJ523" s="103">
        <v>1.3443208770587951</v>
      </c>
    </row>
    <row r="524" spans="3:36" x14ac:dyDescent="0.25">
      <c r="C524" s="604"/>
      <c r="D524" s="591"/>
      <c r="E524" s="589"/>
      <c r="F524" s="90" t="s">
        <v>524</v>
      </c>
      <c r="G524" s="91">
        <v>1</v>
      </c>
      <c r="H524" s="91">
        <v>1.289303877529332</v>
      </c>
      <c r="I524" s="91">
        <v>1.3506993002688239</v>
      </c>
      <c r="J524" s="91">
        <v>1.3937505766078639</v>
      </c>
      <c r="K524" s="103">
        <v>1.4363782817446671</v>
      </c>
      <c r="N524" s="604"/>
      <c r="O524" s="591"/>
      <c r="P524" s="589"/>
      <c r="Q524" s="90" t="s">
        <v>524</v>
      </c>
      <c r="R524" s="91">
        <v>1</v>
      </c>
      <c r="S524" s="91">
        <v>1.1921260003395979</v>
      </c>
      <c r="T524" s="91"/>
      <c r="U524" s="91"/>
      <c r="V524" s="91"/>
      <c r="W524" s="91">
        <v>1.248893905117674</v>
      </c>
      <c r="X524" s="91">
        <v>1.2887003051185211</v>
      </c>
      <c r="Y524" s="103">
        <v>1.328115059478659</v>
      </c>
      <c r="AB524" s="604"/>
      <c r="AC524" s="591"/>
      <c r="AD524" s="589"/>
      <c r="AE524" s="90" t="s">
        <v>524</v>
      </c>
      <c r="AF524" s="91">
        <v>1</v>
      </c>
      <c r="AG524" s="91">
        <v>1.2218785487533761</v>
      </c>
      <c r="AH524" s="91">
        <v>1.280063241551155</v>
      </c>
      <c r="AI524" s="91">
        <v>1.320863111909049</v>
      </c>
      <c r="AJ524" s="103">
        <v>1.361261562109211</v>
      </c>
    </row>
    <row r="525" spans="3:36" x14ac:dyDescent="0.25">
      <c r="C525" s="604"/>
      <c r="D525" s="607"/>
      <c r="E525" s="609" t="s">
        <v>521</v>
      </c>
      <c r="F525" s="87" t="s">
        <v>522</v>
      </c>
      <c r="G525" s="88">
        <v>1</v>
      </c>
      <c r="H525" s="88">
        <v>1.0391296477793051</v>
      </c>
      <c r="I525" s="88">
        <v>1.073405452435789</v>
      </c>
      <c r="J525" s="88">
        <v>1.1076184521370911</v>
      </c>
      <c r="K525" s="101">
        <v>1.141494838324278</v>
      </c>
      <c r="N525" s="604"/>
      <c r="O525" s="607"/>
      <c r="P525" s="609" t="s">
        <v>521</v>
      </c>
      <c r="Q525" s="87" t="s">
        <v>522</v>
      </c>
      <c r="R525" s="88">
        <v>1</v>
      </c>
      <c r="S525" s="88">
        <v>1.0391296477793051</v>
      </c>
      <c r="T525" s="88"/>
      <c r="U525" s="88"/>
      <c r="V525" s="88"/>
      <c r="W525" s="88">
        <v>1.073405452435789</v>
      </c>
      <c r="X525" s="88">
        <v>1.1076184521370911</v>
      </c>
      <c r="Y525" s="101">
        <v>1.141494838324278</v>
      </c>
      <c r="AB525" s="604"/>
      <c r="AC525" s="607"/>
      <c r="AD525" s="609" t="s">
        <v>521</v>
      </c>
      <c r="AE525" s="87" t="s">
        <v>522</v>
      </c>
      <c r="AF525" s="88">
        <v>1</v>
      </c>
      <c r="AG525" s="88">
        <v>1.0391296477793051</v>
      </c>
      <c r="AH525" s="88">
        <v>1.073405452435789</v>
      </c>
      <c r="AI525" s="88">
        <v>1.1076184521370911</v>
      </c>
      <c r="AJ525" s="101">
        <v>1.141494838324278</v>
      </c>
    </row>
    <row r="526" spans="3:36" x14ac:dyDescent="0.25">
      <c r="C526" s="604"/>
      <c r="D526" s="589"/>
      <c r="E526" s="589"/>
      <c r="F526" s="90" t="s">
        <v>523</v>
      </c>
      <c r="G526" s="91">
        <v>1</v>
      </c>
      <c r="H526" s="91">
        <v>1.133048102169274</v>
      </c>
      <c r="I526" s="91">
        <v>1.1704218172772489</v>
      </c>
      <c r="J526" s="91">
        <v>1.207727051002339</v>
      </c>
      <c r="K526" s="103">
        <v>1.2446652474629769</v>
      </c>
      <c r="N526" s="604"/>
      <c r="O526" s="589"/>
      <c r="P526" s="589"/>
      <c r="Q526" s="90" t="s">
        <v>523</v>
      </c>
      <c r="R526" s="91">
        <v>1</v>
      </c>
      <c r="S526" s="91">
        <v>1.124631145670248</v>
      </c>
      <c r="T526" s="91"/>
      <c r="U526" s="91"/>
      <c r="V526" s="91"/>
      <c r="W526" s="91">
        <v>1.1617272265509839</v>
      </c>
      <c r="X526" s="91">
        <v>1.1987553347693549</v>
      </c>
      <c r="Y526" s="103">
        <v>1.2354191322947969</v>
      </c>
      <c r="AB526" s="604"/>
      <c r="AC526" s="589"/>
      <c r="AD526" s="589"/>
      <c r="AE526" s="90" t="s">
        <v>523</v>
      </c>
      <c r="AF526" s="91">
        <v>1</v>
      </c>
      <c r="AG526" s="91">
        <v>1.0945226377984689</v>
      </c>
      <c r="AH526" s="91">
        <v>1.1306255862664041</v>
      </c>
      <c r="AI526" s="91">
        <v>1.1666623818290109</v>
      </c>
      <c r="AJ526" s="103">
        <v>1.202344619986607</v>
      </c>
    </row>
    <row r="527" spans="3:36" x14ac:dyDescent="0.25">
      <c r="C527" s="604"/>
      <c r="D527" s="589"/>
      <c r="E527" s="589"/>
      <c r="F527" s="90" t="s">
        <v>524</v>
      </c>
      <c r="G527" s="96">
        <v>1</v>
      </c>
      <c r="H527" s="96">
        <v>1.2303620256971459</v>
      </c>
      <c r="I527" s="96">
        <v>1.4607240513942921</v>
      </c>
      <c r="J527" s="96">
        <v>1.507282182267049</v>
      </c>
      <c r="K527" s="110">
        <v>1.5533822388352869</v>
      </c>
      <c r="N527" s="604"/>
      <c r="O527" s="589"/>
      <c r="P527" s="589"/>
      <c r="Q527" s="90" t="s">
        <v>524</v>
      </c>
      <c r="R527" s="96">
        <v>1</v>
      </c>
      <c r="S527" s="96">
        <v>1.2101462266229559</v>
      </c>
      <c r="T527" s="96"/>
      <c r="U527" s="96"/>
      <c r="V527" s="96"/>
      <c r="W527" s="96">
        <v>1.4202924532459129</v>
      </c>
      <c r="X527" s="96">
        <v>1.4655618946935931</v>
      </c>
      <c r="Y527" s="110">
        <v>1.5103859409435201</v>
      </c>
      <c r="AB527" s="604"/>
      <c r="AC527" s="589"/>
      <c r="AD527" s="589"/>
      <c r="AE527" s="90" t="s">
        <v>524</v>
      </c>
      <c r="AF527" s="96">
        <v>1</v>
      </c>
      <c r="AG527" s="96">
        <v>1.207694210832762</v>
      </c>
      <c r="AH527" s="96">
        <v>1.415388421665525</v>
      </c>
      <c r="AI527" s="96">
        <v>1.460501555326047</v>
      </c>
      <c r="AJ527" s="110">
        <v>1.5051708316637149</v>
      </c>
    </row>
    <row r="528" spans="3:36" x14ac:dyDescent="0.25">
      <c r="C528" s="604"/>
      <c r="D528" s="589"/>
      <c r="E528" s="609" t="s">
        <v>525</v>
      </c>
      <c r="F528" s="87" t="s">
        <v>526</v>
      </c>
      <c r="G528" s="91"/>
      <c r="H528" s="91"/>
      <c r="I528" s="91"/>
      <c r="J528" s="91"/>
      <c r="K528" s="103"/>
      <c r="N528" s="604"/>
      <c r="O528" s="589"/>
      <c r="P528" s="609" t="s">
        <v>525</v>
      </c>
      <c r="Q528" s="87" t="s">
        <v>526</v>
      </c>
      <c r="R528" s="91"/>
      <c r="S528" s="91"/>
      <c r="T528" s="91"/>
      <c r="U528" s="91"/>
      <c r="V528" s="91"/>
      <c r="W528" s="91"/>
      <c r="X528" s="91"/>
      <c r="Y528" s="103"/>
      <c r="AB528" s="604"/>
      <c r="AC528" s="589"/>
      <c r="AD528" s="609" t="s">
        <v>525</v>
      </c>
      <c r="AE528" s="87" t="s">
        <v>526</v>
      </c>
      <c r="AF528" s="91"/>
      <c r="AG528" s="91"/>
      <c r="AH528" s="91"/>
      <c r="AI528" s="91"/>
      <c r="AJ528" s="103"/>
    </row>
    <row r="529" spans="3:36" x14ac:dyDescent="0.25">
      <c r="C529" s="604"/>
      <c r="D529" s="589"/>
      <c r="E529" s="589"/>
      <c r="F529" s="90" t="s">
        <v>523</v>
      </c>
      <c r="G529" s="91"/>
      <c r="H529" s="91"/>
      <c r="I529" s="91"/>
      <c r="J529" s="91"/>
      <c r="K529" s="103"/>
      <c r="N529" s="604"/>
      <c r="O529" s="589"/>
      <c r="P529" s="589"/>
      <c r="Q529" s="90" t="s">
        <v>523</v>
      </c>
      <c r="R529" s="91"/>
      <c r="S529" s="91"/>
      <c r="T529" s="91"/>
      <c r="U529" s="91"/>
      <c r="V529" s="91"/>
      <c r="W529" s="91"/>
      <c r="X529" s="91"/>
      <c r="Y529" s="103"/>
      <c r="AB529" s="604"/>
      <c r="AC529" s="589"/>
      <c r="AD529" s="589"/>
      <c r="AE529" s="90" t="s">
        <v>523</v>
      </c>
      <c r="AF529" s="91"/>
      <c r="AG529" s="91"/>
      <c r="AH529" s="91"/>
      <c r="AI529" s="91"/>
      <c r="AJ529" s="103"/>
    </row>
    <row r="530" spans="3:36" x14ac:dyDescent="0.25">
      <c r="C530" s="604"/>
      <c r="D530" s="589"/>
      <c r="E530" s="589"/>
      <c r="F530" s="90" t="s">
        <v>524</v>
      </c>
      <c r="G530" s="91"/>
      <c r="H530" s="91"/>
      <c r="I530" s="91"/>
      <c r="J530" s="91"/>
      <c r="K530" s="103"/>
      <c r="N530" s="604"/>
      <c r="O530" s="589"/>
      <c r="P530" s="589"/>
      <c r="Q530" s="90" t="s">
        <v>524</v>
      </c>
      <c r="R530" s="91"/>
      <c r="S530" s="91"/>
      <c r="T530" s="91"/>
      <c r="U530" s="91"/>
      <c r="V530" s="91"/>
      <c r="W530" s="91"/>
      <c r="X530" s="91"/>
      <c r="Y530" s="103"/>
      <c r="AB530" s="604"/>
      <c r="AC530" s="589"/>
      <c r="AD530" s="589"/>
      <c r="AE530" s="90" t="s">
        <v>524</v>
      </c>
      <c r="AF530" s="91"/>
      <c r="AG530" s="91"/>
      <c r="AH530" s="91"/>
      <c r="AI530" s="91"/>
      <c r="AJ530" s="103"/>
    </row>
    <row r="531" spans="3:36" x14ac:dyDescent="0.25">
      <c r="C531" s="604"/>
      <c r="D531" s="589"/>
      <c r="E531" s="609" t="s">
        <v>527</v>
      </c>
      <c r="F531" s="87" t="s">
        <v>522</v>
      </c>
      <c r="G531" s="88">
        <v>1</v>
      </c>
      <c r="H531" s="88">
        <v>1.0391296477793051</v>
      </c>
      <c r="I531" s="88">
        <v>1.073405452435789</v>
      </c>
      <c r="J531" s="88">
        <v>1.1076184521370911</v>
      </c>
      <c r="K531" s="101">
        <v>1.141494838324278</v>
      </c>
      <c r="N531" s="604"/>
      <c r="O531" s="589"/>
      <c r="P531" s="609" t="s">
        <v>527</v>
      </c>
      <c r="Q531" s="87" t="s">
        <v>522</v>
      </c>
      <c r="R531" s="88">
        <v>1</v>
      </c>
      <c r="S531" s="88">
        <v>1.0391296477793051</v>
      </c>
      <c r="T531" s="88"/>
      <c r="U531" s="88"/>
      <c r="V531" s="88"/>
      <c r="W531" s="88">
        <v>1.073405452435789</v>
      </c>
      <c r="X531" s="88">
        <v>1.1076184521370911</v>
      </c>
      <c r="Y531" s="101">
        <v>1.141494838324278</v>
      </c>
      <c r="AB531" s="604"/>
      <c r="AC531" s="589"/>
      <c r="AD531" s="609" t="s">
        <v>527</v>
      </c>
      <c r="AE531" s="87" t="s">
        <v>522</v>
      </c>
      <c r="AF531" s="88">
        <v>1</v>
      </c>
      <c r="AG531" s="88">
        <v>1.0391296477793051</v>
      </c>
      <c r="AH531" s="88">
        <v>1.073405452435789</v>
      </c>
      <c r="AI531" s="88">
        <v>1.1076184521370911</v>
      </c>
      <c r="AJ531" s="101">
        <v>1.141494838324278</v>
      </c>
    </row>
    <row r="532" spans="3:36" x14ac:dyDescent="0.25">
      <c r="C532" s="604"/>
      <c r="D532" s="589"/>
      <c r="E532" s="589"/>
      <c r="F532" s="90" t="s">
        <v>523</v>
      </c>
      <c r="G532" s="91">
        <v>1</v>
      </c>
      <c r="H532" s="91">
        <v>1.1318445750427599</v>
      </c>
      <c r="I532" s="91">
        <v>1.169178591677329</v>
      </c>
      <c r="J532" s="91">
        <v>1.206444199670146</v>
      </c>
      <c r="K532" s="103">
        <v>1.243343160266605</v>
      </c>
      <c r="N532" s="604"/>
      <c r="O532" s="589"/>
      <c r="P532" s="589"/>
      <c r="Q532" s="90" t="s">
        <v>523</v>
      </c>
      <c r="R532" s="91">
        <v>1</v>
      </c>
      <c r="S532" s="91">
        <v>1.193691067943556</v>
      </c>
      <c r="T532" s="91"/>
      <c r="U532" s="91"/>
      <c r="V532" s="91"/>
      <c r="W532" s="91">
        <v>1.233065097885307</v>
      </c>
      <c r="X532" s="91">
        <v>1.2723669811856979</v>
      </c>
      <c r="Y532" s="103">
        <v>1.3112821826644261</v>
      </c>
      <c r="AB532" s="604"/>
      <c r="AC532" s="589"/>
      <c r="AD532" s="589"/>
      <c r="AE532" s="90" t="s">
        <v>523</v>
      </c>
      <c r="AF532" s="91">
        <v>1</v>
      </c>
      <c r="AG532" s="91">
        <v>1.291400297889173</v>
      </c>
      <c r="AH532" s="91">
        <v>1.333997277427164</v>
      </c>
      <c r="AI532" s="91">
        <v>1.3765162047817669</v>
      </c>
      <c r="AJ532" s="103">
        <v>1.418616798588358</v>
      </c>
    </row>
    <row r="533" spans="3:36" x14ac:dyDescent="0.25">
      <c r="C533" s="604"/>
      <c r="D533" s="589"/>
      <c r="E533" s="589"/>
      <c r="F533" s="90" t="s">
        <v>524</v>
      </c>
      <c r="G533" s="91">
        <v>1</v>
      </c>
      <c r="H533" s="91">
        <v>1.1656919861577539</v>
      </c>
      <c r="I533" s="91">
        <v>1.331383972315509</v>
      </c>
      <c r="J533" s="91">
        <v>1.373819604949742</v>
      </c>
      <c r="K533" s="103">
        <v>1.415837723552777</v>
      </c>
      <c r="N533" s="604"/>
      <c r="O533" s="589"/>
      <c r="P533" s="589"/>
      <c r="Q533" s="90" t="s">
        <v>524</v>
      </c>
      <c r="R533" s="91">
        <v>1</v>
      </c>
      <c r="S533" s="91">
        <v>1.228089499021499</v>
      </c>
      <c r="T533" s="91"/>
      <c r="U533" s="91"/>
      <c r="V533" s="91"/>
      <c r="W533" s="91">
        <v>1.4561789980429991</v>
      </c>
      <c r="X533" s="91">
        <v>1.50259226295798</v>
      </c>
      <c r="Y533" s="103">
        <v>1.5485488788699211</v>
      </c>
      <c r="AB533" s="604"/>
      <c r="AC533" s="589"/>
      <c r="AD533" s="589"/>
      <c r="AE533" s="90" t="s">
        <v>524</v>
      </c>
      <c r="AF533" s="91">
        <v>1</v>
      </c>
      <c r="AG533" s="91">
        <v>1.3054728489855181</v>
      </c>
      <c r="AH533" s="91">
        <v>1.610945697971037</v>
      </c>
      <c r="AI533" s="91">
        <v>1.6622918920474949</v>
      </c>
      <c r="AJ533" s="103">
        <v>1.7131329032117439</v>
      </c>
    </row>
    <row r="534" spans="3:36" x14ac:dyDescent="0.25">
      <c r="C534" s="604"/>
      <c r="D534" s="589"/>
      <c r="E534" s="614" t="s">
        <v>528</v>
      </c>
      <c r="F534" s="87" t="s">
        <v>526</v>
      </c>
      <c r="G534" s="88">
        <v>1</v>
      </c>
      <c r="H534" s="88">
        <v>1.5491296477793051</v>
      </c>
      <c r="I534" s="88">
        <v>1.583405452435789</v>
      </c>
      <c r="J534" s="88">
        <v>1.6176184521370911</v>
      </c>
      <c r="K534" s="101">
        <v>1.651494838324278</v>
      </c>
      <c r="N534" s="604"/>
      <c r="O534" s="589"/>
      <c r="P534" s="614" t="s">
        <v>528</v>
      </c>
      <c r="Q534" s="87" t="s">
        <v>526</v>
      </c>
      <c r="R534" s="88">
        <v>1</v>
      </c>
      <c r="S534" s="88">
        <v>1.5491296477793051</v>
      </c>
      <c r="T534" s="88"/>
      <c r="U534" s="88"/>
      <c r="V534" s="88"/>
      <c r="W534" s="88">
        <v>1.583405452435789</v>
      </c>
      <c r="X534" s="88">
        <v>1.6176184521370911</v>
      </c>
      <c r="Y534" s="101">
        <v>1.651494838324278</v>
      </c>
      <c r="AB534" s="604"/>
      <c r="AC534" s="589"/>
      <c r="AD534" s="614" t="s">
        <v>528</v>
      </c>
      <c r="AE534" s="87" t="s">
        <v>526</v>
      </c>
      <c r="AF534" s="88">
        <v>1</v>
      </c>
      <c r="AG534" s="88">
        <v>1.5491296477793051</v>
      </c>
      <c r="AH534" s="88">
        <v>1.583405452435789</v>
      </c>
      <c r="AI534" s="88">
        <v>1.6176184521370911</v>
      </c>
      <c r="AJ534" s="101">
        <v>1.651494838324278</v>
      </c>
    </row>
    <row r="535" spans="3:36" x14ac:dyDescent="0.25">
      <c r="C535" s="604"/>
      <c r="D535" s="589"/>
      <c r="E535" s="589"/>
      <c r="F535" s="90" t="s">
        <v>523</v>
      </c>
      <c r="G535" s="91">
        <v>1</v>
      </c>
      <c r="H535" s="91">
        <v>1.3902437190550789</v>
      </c>
      <c r="I535" s="91">
        <v>1.436101059610293</v>
      </c>
      <c r="J535" s="91">
        <v>1.4818743738896201</v>
      </c>
      <c r="K535" s="103">
        <v>1.527197335487019</v>
      </c>
      <c r="N535" s="604"/>
      <c r="O535" s="589"/>
      <c r="P535" s="589"/>
      <c r="Q535" s="90" t="s">
        <v>523</v>
      </c>
      <c r="R535" s="91">
        <v>1</v>
      </c>
      <c r="S535" s="91">
        <v>1.3427169119877389</v>
      </c>
      <c r="T535" s="91"/>
      <c r="U535" s="91"/>
      <c r="V535" s="91"/>
      <c r="W535" s="91">
        <v>1.3870065756332739</v>
      </c>
      <c r="X535" s="91">
        <v>1.431215085521278</v>
      </c>
      <c r="Y535" s="103">
        <v>1.4749886384631761</v>
      </c>
      <c r="AB535" s="604"/>
      <c r="AC535" s="589"/>
      <c r="AD535" s="589"/>
      <c r="AE535" s="90" t="s">
        <v>523</v>
      </c>
      <c r="AF535" s="91">
        <v>1</v>
      </c>
      <c r="AG535" s="91">
        <v>1.3700315971048409</v>
      </c>
      <c r="AH535" s="91">
        <v>1.415222238615196</v>
      </c>
      <c r="AI535" s="91">
        <v>1.460330075469521</v>
      </c>
      <c r="AJ535" s="103">
        <v>1.5049941071150019</v>
      </c>
    </row>
    <row r="536" spans="3:36" ht="15.75" customHeight="1" thickBot="1" x14ac:dyDescent="0.3">
      <c r="C536" s="605"/>
      <c r="D536" s="608"/>
      <c r="E536" s="608"/>
      <c r="F536" s="90" t="s">
        <v>524</v>
      </c>
      <c r="G536" s="99">
        <v>1</v>
      </c>
      <c r="H536" s="99">
        <v>1.284847225936421</v>
      </c>
      <c r="I536" s="99">
        <v>1.3460304271714889</v>
      </c>
      <c r="J536" s="99">
        <v>1.3889328910058769</v>
      </c>
      <c r="K536" s="119">
        <v>1.4314132477686381</v>
      </c>
      <c r="N536" s="605"/>
      <c r="O536" s="608"/>
      <c r="P536" s="608"/>
      <c r="Q536" s="90" t="s">
        <v>524</v>
      </c>
      <c r="R536" s="99">
        <v>1</v>
      </c>
      <c r="S536" s="99">
        <v>1.2697705608106911</v>
      </c>
      <c r="T536" s="99"/>
      <c r="U536" s="99"/>
      <c r="V536" s="99"/>
      <c r="W536" s="99">
        <v>1.3302358256111999</v>
      </c>
      <c r="X536" s="99">
        <v>1.3726348629936</v>
      </c>
      <c r="Y536" s="119">
        <v>1.414616746396723</v>
      </c>
      <c r="AB536" s="605"/>
      <c r="AC536" s="608"/>
      <c r="AD536" s="608"/>
      <c r="AE536" s="90" t="s">
        <v>524</v>
      </c>
      <c r="AF536" s="99">
        <v>1</v>
      </c>
      <c r="AG536" s="99">
        <v>1.2641160195441781</v>
      </c>
      <c r="AH536" s="99">
        <v>1.3243120204748531</v>
      </c>
      <c r="AI536" s="99">
        <v>1.366522246497202</v>
      </c>
      <c r="AJ536" s="119">
        <v>1.4083171762100479</v>
      </c>
    </row>
  </sheetData>
  <mergeCells count="144">
    <mergeCell ref="AT31:AT38"/>
    <mergeCell ref="AF244:AG244"/>
    <mergeCell ref="Y31:Y38"/>
    <mergeCell ref="D511:D512"/>
    <mergeCell ref="AR244:AS244"/>
    <mergeCell ref="E534:E536"/>
    <mergeCell ref="E525:E527"/>
    <mergeCell ref="C511:C512"/>
    <mergeCell ref="Q382:Q384"/>
    <mergeCell ref="E43:F43"/>
    <mergeCell ref="G43:H43"/>
    <mergeCell ref="AI244:AJ244"/>
    <mergeCell ref="Q388:Q390"/>
    <mergeCell ref="AD513:AD515"/>
    <mergeCell ref="O513:O524"/>
    <mergeCell ref="R380:R381"/>
    <mergeCell ref="AB244:AC244"/>
    <mergeCell ref="AB510:AJ510"/>
    <mergeCell ref="F511:F512"/>
    <mergeCell ref="N510:Y510"/>
    <mergeCell ref="O525:O536"/>
    <mergeCell ref="AD519:AD521"/>
    <mergeCell ref="AC525:AC536"/>
    <mergeCell ref="AD528:AD530"/>
    <mergeCell ref="X2:AN2"/>
    <mergeCell ref="P519:P521"/>
    <mergeCell ref="P534:P536"/>
    <mergeCell ref="P528:P530"/>
    <mergeCell ref="P382:P393"/>
    <mergeCell ref="AS35:AS38"/>
    <mergeCell ref="D31:D38"/>
    <mergeCell ref="P531:P533"/>
    <mergeCell ref="N43:O43"/>
    <mergeCell ref="E522:E524"/>
    <mergeCell ref="E516:E518"/>
    <mergeCell ref="AD525:AD527"/>
    <mergeCell ref="AD534:AD536"/>
    <mergeCell ref="AS21:BI21"/>
    <mergeCell ref="AS12:AS15"/>
    <mergeCell ref="Q391:Q393"/>
    <mergeCell ref="N244:O244"/>
    <mergeCell ref="Z244:AA244"/>
    <mergeCell ref="AT4:AT11"/>
    <mergeCell ref="W244:X244"/>
    <mergeCell ref="AS2:BI2"/>
    <mergeCell ref="O380:O381"/>
    <mergeCell ref="R244:S244"/>
    <mergeCell ref="D4:D11"/>
    <mergeCell ref="AT23:AT30"/>
    <mergeCell ref="I43:J43"/>
    <mergeCell ref="Q511:Q512"/>
    <mergeCell ref="AW22:BK22"/>
    <mergeCell ref="K43:L43"/>
    <mergeCell ref="AS23:AS26"/>
    <mergeCell ref="C244:D244"/>
    <mergeCell ref="O379:Z379"/>
    <mergeCell ref="AS16:AS19"/>
    <mergeCell ref="Q380:Q381"/>
    <mergeCell ref="I244:J244"/>
    <mergeCell ref="X35:X38"/>
    <mergeCell ref="Y12:Y19"/>
    <mergeCell ref="AC511:AC512"/>
    <mergeCell ref="X12:X15"/>
    <mergeCell ref="AB511:AB512"/>
    <mergeCell ref="AK244:AL244"/>
    <mergeCell ref="AM244:AN244"/>
    <mergeCell ref="R511:Y511"/>
    <mergeCell ref="Q397:Q399"/>
    <mergeCell ref="E35:E38"/>
    <mergeCell ref="AB22:AP22"/>
    <mergeCell ref="AT12:AT19"/>
    <mergeCell ref="C23:C26"/>
    <mergeCell ref="AS4:AS7"/>
    <mergeCell ref="P516:P518"/>
    <mergeCell ref="X16:X19"/>
    <mergeCell ref="P525:P527"/>
    <mergeCell ref="Q400:Q402"/>
    <mergeCell ref="C35:C38"/>
    <mergeCell ref="C4:C7"/>
    <mergeCell ref="E4:E7"/>
    <mergeCell ref="E531:E533"/>
    <mergeCell ref="E31:E34"/>
    <mergeCell ref="C12:C15"/>
    <mergeCell ref="E519:E521"/>
    <mergeCell ref="E511:E512"/>
    <mergeCell ref="P522:P524"/>
    <mergeCell ref="C513:C536"/>
    <mergeCell ref="P513:P515"/>
    <mergeCell ref="D525:D536"/>
    <mergeCell ref="AE511:AE512"/>
    <mergeCell ref="AD244:AE244"/>
    <mergeCell ref="E8:E11"/>
    <mergeCell ref="Y4:Y11"/>
    <mergeCell ref="AS27:AS30"/>
    <mergeCell ref="C27:C30"/>
    <mergeCell ref="E27:E30"/>
    <mergeCell ref="AD531:AD533"/>
    <mergeCell ref="O382:O405"/>
    <mergeCell ref="T43:U43"/>
    <mergeCell ref="X31:X34"/>
    <mergeCell ref="P380:P381"/>
    <mergeCell ref="Y23:Y30"/>
    <mergeCell ref="P244:Q244"/>
    <mergeCell ref="D23:D30"/>
    <mergeCell ref="X23:X26"/>
    <mergeCell ref="Q394:Q396"/>
    <mergeCell ref="Q403:Q405"/>
    <mergeCell ref="Q385:Q387"/>
    <mergeCell ref="X27:X30"/>
    <mergeCell ref="AB3:AP3"/>
    <mergeCell ref="N511:N512"/>
    <mergeCell ref="E513:E515"/>
    <mergeCell ref="P43:Q43"/>
    <mergeCell ref="R43:S43"/>
    <mergeCell ref="AD522:AD524"/>
    <mergeCell ref="D12:D19"/>
    <mergeCell ref="AC513:AC524"/>
    <mergeCell ref="AD516:AD518"/>
    <mergeCell ref="X8:X11"/>
    <mergeCell ref="E12:E15"/>
    <mergeCell ref="D513:D524"/>
    <mergeCell ref="P511:P512"/>
    <mergeCell ref="S380:Z380"/>
    <mergeCell ref="E23:E26"/>
    <mergeCell ref="AW3:BK3"/>
    <mergeCell ref="C510:K510"/>
    <mergeCell ref="G244:H244"/>
    <mergeCell ref="N513:N536"/>
    <mergeCell ref="X21:AN21"/>
    <mergeCell ref="AD511:AD512"/>
    <mergeCell ref="O511:O512"/>
    <mergeCell ref="E244:F244"/>
    <mergeCell ref="P394:P405"/>
    <mergeCell ref="AB513:AB536"/>
    <mergeCell ref="AF511:AJ511"/>
    <mergeCell ref="C16:C19"/>
    <mergeCell ref="E528:E530"/>
    <mergeCell ref="AS31:AS34"/>
    <mergeCell ref="C31:C34"/>
    <mergeCell ref="AS8:AS11"/>
    <mergeCell ref="C8:C11"/>
    <mergeCell ref="X4:X7"/>
    <mergeCell ref="E16:E19"/>
    <mergeCell ref="G511:K511"/>
  </mergeCells>
  <conditionalFormatting sqref="S382:Z405">
    <cfRule type="colorScale" priority="50">
      <colorScale>
        <cfvo type="num" val="1"/>
        <cfvo type="max"/>
        <color theme="0"/>
        <color rgb="FF00B050"/>
      </colorScale>
    </cfRule>
  </conditionalFormatting>
  <conditionalFormatting sqref="G513:K536 R513:Y536 AF513:AJ536">
    <cfRule type="colorScale" priority="49">
      <colorScale>
        <cfvo type="num" val="1"/>
        <cfvo type="max"/>
        <color theme="0"/>
        <color rgb="FF00B050"/>
      </colorScale>
    </cfRule>
  </conditionalFormatting>
  <conditionalFormatting sqref="U4:V19">
    <cfRule type="colorScale" priority="9">
      <colorScale>
        <cfvo type="num" val="-4"/>
        <cfvo type="num" val="0"/>
        <cfvo type="num" val="4"/>
        <color indexed="10"/>
        <color indexed="9"/>
        <color indexed="40"/>
      </colorScale>
    </cfRule>
    <cfRule type="colorScale" priority="10">
      <colorScale>
        <cfvo type="num" val="-4"/>
        <cfvo type="num" val="0"/>
        <cfvo type="num" val="4"/>
        <color indexed="10"/>
        <color indexed="9"/>
        <color indexed="40"/>
      </colorScale>
    </cfRule>
  </conditionalFormatting>
  <conditionalFormatting sqref="R23:V38">
    <cfRule type="colorScale" priority="7">
      <colorScale>
        <cfvo type="num" val="-4"/>
        <cfvo type="num" val="0"/>
        <cfvo type="num" val="4"/>
        <color indexed="10"/>
        <color indexed="9"/>
        <color indexed="40"/>
      </colorScale>
    </cfRule>
    <cfRule type="colorScale" priority="8">
      <colorScale>
        <cfvo type="num" val="-4"/>
        <cfvo type="num" val="0"/>
        <cfvo type="num" val="4"/>
        <color indexed="10"/>
        <color indexed="9"/>
        <color indexed="40"/>
      </colorScale>
    </cfRule>
  </conditionalFormatting>
  <conditionalFormatting sqref="R4:T19">
    <cfRule type="colorScale" priority="5">
      <colorScale>
        <cfvo type="num" val="-4"/>
        <cfvo type="num" val="0"/>
        <cfvo type="num" val="4"/>
        <color indexed="10"/>
        <color indexed="9"/>
        <color indexed="40"/>
      </colorScale>
    </cfRule>
    <cfRule type="colorScale" priority="6">
      <colorScale>
        <cfvo type="num" val="-4"/>
        <cfvo type="num" val="0"/>
        <cfvo type="num" val="4"/>
        <color indexed="10"/>
        <color indexed="9"/>
        <color indexed="40"/>
      </colorScale>
    </cfRule>
  </conditionalFormatting>
  <conditionalFormatting sqref="G4:Q19">
    <cfRule type="colorScale" priority="3">
      <colorScale>
        <cfvo type="num" val="-4"/>
        <cfvo type="num" val="0"/>
        <cfvo type="num" val="4"/>
        <color indexed="10"/>
        <color indexed="9"/>
        <color indexed="40"/>
      </colorScale>
    </cfRule>
    <cfRule type="colorScale" priority="4">
      <colorScale>
        <cfvo type="num" val="-4"/>
        <cfvo type="num" val="0"/>
        <cfvo type="num" val="4"/>
        <color indexed="10"/>
        <color indexed="9"/>
        <color indexed="40"/>
      </colorScale>
    </cfRule>
  </conditionalFormatting>
  <conditionalFormatting sqref="G23:Q38">
    <cfRule type="colorScale" priority="1">
      <colorScale>
        <cfvo type="num" val="-4"/>
        <cfvo type="num" val="0"/>
        <cfvo type="num" val="4"/>
        <color indexed="10"/>
        <color indexed="9"/>
        <color indexed="40"/>
      </colorScale>
    </cfRule>
    <cfRule type="colorScale" priority="2">
      <colorScale>
        <cfvo type="num" val="-4"/>
        <cfvo type="num" val="0"/>
        <cfvo type="num" val="4"/>
        <color indexed="10"/>
        <color indexed="9"/>
        <color indexed="40"/>
      </colorScale>
    </cfRule>
  </conditionalFormatting>
  <pageMargins left="0.7" right="0.7" top="0.75" bottom="0.75" header="0.3" footer="0.3"/>
  <pageSetup scale="44" orientation="landscape"/>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X2"/>
  <sheetViews>
    <sheetView workbookViewId="0">
      <selection activeCell="B3" sqref="B3"/>
    </sheetView>
  </sheetViews>
  <sheetFormatPr defaultRowHeight="15" x14ac:dyDescent="0.25"/>
  <cols>
    <col min="1" max="1" width="4.28515625" customWidth="1"/>
    <col min="2" max="2" width="7.140625" bestFit="1" customWidth="1"/>
    <col min="3" max="4" width="12" bestFit="1" customWidth="1"/>
    <col min="6" max="6" width="0" hidden="1"/>
    <col min="7" max="7" width="7.140625" bestFit="1" customWidth="1"/>
    <col min="8" max="9" width="12" bestFit="1" customWidth="1"/>
  </cols>
  <sheetData>
    <row r="1" spans="2:24" x14ac:dyDescent="0.25">
      <c r="B1" s="571" t="s">
        <v>0</v>
      </c>
      <c r="C1" s="572"/>
      <c r="D1" s="554"/>
      <c r="G1" s="571" t="s">
        <v>1</v>
      </c>
      <c r="H1" s="572"/>
      <c r="I1" s="554"/>
      <c r="L1" s="618"/>
      <c r="M1" s="565"/>
      <c r="N1" s="565"/>
      <c r="Q1" s="618"/>
      <c r="R1" s="565"/>
      <c r="S1" s="565"/>
      <c r="V1" s="618"/>
      <c r="W1" s="565"/>
      <c r="X1" s="565"/>
    </row>
    <row r="2" spans="2:24" x14ac:dyDescent="0.25">
      <c r="B2" s="27" t="s">
        <v>5</v>
      </c>
      <c r="C2" t="s">
        <v>6</v>
      </c>
      <c r="D2" s="28" t="s">
        <v>7</v>
      </c>
      <c r="G2" s="27" t="s">
        <v>5</v>
      </c>
      <c r="H2" t="s">
        <v>6</v>
      </c>
      <c r="I2" s="28" t="s">
        <v>7</v>
      </c>
    </row>
  </sheetData>
  <mergeCells count="5">
    <mergeCell ref="L1:N1"/>
    <mergeCell ref="B1:D1"/>
    <mergeCell ref="Q1:S1"/>
    <mergeCell ref="G1:I1"/>
    <mergeCell ref="V1:X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2:CU458"/>
  <sheetViews>
    <sheetView zoomScale="70" zoomScaleNormal="70" workbookViewId="0">
      <selection activeCell="M29" sqref="M29"/>
    </sheetView>
  </sheetViews>
  <sheetFormatPr defaultRowHeight="15" x14ac:dyDescent="0.25"/>
  <cols>
    <col min="2" max="21" width="15.7109375" customWidth="1"/>
    <col min="22" max="22" width="16.7109375" customWidth="1"/>
    <col min="23" max="25" width="16.7109375" hidden="1" customWidth="1"/>
    <col min="26" max="26" width="23.28515625" hidden="1" customWidth="1"/>
    <col min="27" max="42" width="16.85546875" hidden="1" customWidth="1"/>
    <col min="43" max="43" width="15.85546875" hidden="1" customWidth="1"/>
    <col min="44" max="44" width="9.140625" hidden="1" customWidth="1"/>
    <col min="45" max="45" width="21.5703125" hidden="1" customWidth="1"/>
    <col min="46" max="46" width="12.7109375" hidden="1" customWidth="1"/>
    <col min="47" max="47" width="15.85546875" hidden="1" customWidth="1"/>
    <col min="48" max="63" width="16.85546875" hidden="1" customWidth="1"/>
    <col min="64" max="65" width="9.140625" hidden="1" customWidth="1"/>
    <col min="66" max="66" width="12.5703125" hidden="1" customWidth="1"/>
    <col min="67" max="68" width="12.5703125" customWidth="1"/>
    <col min="69" max="79" width="13.140625" customWidth="1"/>
    <col min="81" max="83" width="19.85546875" customWidth="1"/>
  </cols>
  <sheetData>
    <row r="2" spans="1:99" ht="15" customHeight="1" x14ac:dyDescent="0.25">
      <c r="A2" t="str">
        <f>"Tilt ="&amp;Inputs!B33</f>
        <v>Tilt =XX</v>
      </c>
      <c r="B2" s="632" t="s">
        <v>530</v>
      </c>
      <c r="C2" s="572"/>
      <c r="D2" s="572"/>
      <c r="E2" s="572"/>
      <c r="F2" s="572"/>
      <c r="G2" s="572"/>
      <c r="H2" s="572"/>
      <c r="I2" s="572"/>
      <c r="J2" s="572"/>
      <c r="K2" s="572"/>
      <c r="L2" s="572"/>
      <c r="M2" s="572"/>
      <c r="N2" s="572"/>
      <c r="O2" s="572"/>
      <c r="P2" s="572"/>
      <c r="Q2" s="572"/>
      <c r="R2" s="572"/>
      <c r="S2" s="572"/>
      <c r="T2" s="554"/>
      <c r="U2" s="215"/>
      <c r="W2" s="632" t="s">
        <v>531</v>
      </c>
      <c r="X2" s="572"/>
      <c r="Y2" s="572"/>
      <c r="Z2" s="572"/>
      <c r="AA2" s="572"/>
      <c r="AB2" s="572"/>
      <c r="AC2" s="572"/>
      <c r="AD2" s="572"/>
      <c r="AE2" s="572"/>
      <c r="AF2" s="572"/>
      <c r="AG2" s="572"/>
      <c r="AH2" s="572"/>
      <c r="AI2" s="572"/>
      <c r="AJ2" s="572"/>
      <c r="AK2" s="572"/>
      <c r="AL2" s="572"/>
      <c r="AM2" s="572"/>
      <c r="AN2" s="572"/>
      <c r="AO2" s="572"/>
      <c r="AP2" s="554"/>
      <c r="AR2" s="632" t="s">
        <v>532</v>
      </c>
      <c r="AS2" s="572"/>
      <c r="AT2" s="572"/>
      <c r="AU2" s="572"/>
      <c r="AV2" s="572"/>
      <c r="AW2" s="572"/>
      <c r="AX2" s="572"/>
      <c r="AY2" s="572"/>
      <c r="AZ2" s="572"/>
      <c r="BA2" s="572"/>
      <c r="BB2" s="572"/>
      <c r="BC2" s="572"/>
      <c r="BD2" s="572"/>
      <c r="BE2" s="572"/>
      <c r="BF2" s="572"/>
      <c r="BG2" s="572"/>
      <c r="BH2" s="554"/>
      <c r="BI2" s="215"/>
      <c r="BJ2" s="215"/>
      <c r="BK2" s="215"/>
      <c r="BO2" s="606" t="s">
        <v>533</v>
      </c>
      <c r="BP2" s="574"/>
      <c r="BQ2" s="574"/>
      <c r="BR2" s="574"/>
      <c r="BS2" s="574"/>
      <c r="BT2" s="574"/>
      <c r="BU2" s="574"/>
      <c r="BV2" s="574"/>
      <c r="BW2" s="574"/>
      <c r="BX2" s="574"/>
      <c r="BY2" s="574"/>
      <c r="BZ2" s="574"/>
      <c r="CA2" s="563"/>
      <c r="CC2" s="606" t="s">
        <v>530</v>
      </c>
      <c r="CD2" s="574"/>
      <c r="CE2" s="563"/>
      <c r="CF2" s="448"/>
      <c r="CG2" s="448"/>
      <c r="CH2" s="448"/>
      <c r="CI2" s="448"/>
      <c r="CJ2" s="448"/>
      <c r="CK2" s="448"/>
      <c r="CL2" s="448"/>
      <c r="CM2" s="448"/>
      <c r="CN2" s="448"/>
      <c r="CO2" s="448"/>
      <c r="CP2" s="448"/>
      <c r="CQ2" s="448"/>
      <c r="CR2" s="448"/>
      <c r="CS2" s="448"/>
      <c r="CT2" s="448"/>
      <c r="CU2" s="448"/>
    </row>
    <row r="3" spans="1:99" ht="15" customHeight="1" x14ac:dyDescent="0.25">
      <c r="B3" s="34" t="s">
        <v>9</v>
      </c>
      <c r="C3" s="34" t="s">
        <v>495</v>
      </c>
      <c r="D3" s="41" t="s">
        <v>515</v>
      </c>
      <c r="E3" s="218" t="s">
        <v>496</v>
      </c>
      <c r="F3" s="529"/>
      <c r="G3" s="530"/>
      <c r="H3" s="530"/>
      <c r="I3" s="530"/>
      <c r="J3" s="530"/>
      <c r="K3" s="531" t="s">
        <v>497</v>
      </c>
      <c r="L3" s="530"/>
      <c r="M3" s="530"/>
      <c r="N3" s="530"/>
      <c r="O3" s="530"/>
      <c r="P3" s="530"/>
      <c r="Q3" s="530"/>
      <c r="R3" s="530"/>
      <c r="S3" s="530"/>
      <c r="T3" s="530"/>
      <c r="U3" s="532"/>
      <c r="W3" s="34" t="s">
        <v>9</v>
      </c>
      <c r="X3" s="34" t="s">
        <v>495</v>
      </c>
      <c r="Y3" s="41" t="s">
        <v>515</v>
      </c>
      <c r="Z3" s="41" t="s">
        <v>496</v>
      </c>
      <c r="AA3" s="613" t="s">
        <v>497</v>
      </c>
      <c r="AB3" s="572"/>
      <c r="AC3" s="572"/>
      <c r="AD3" s="572"/>
      <c r="AE3" s="572"/>
      <c r="AF3" s="572"/>
      <c r="AG3" s="572"/>
      <c r="AH3" s="572"/>
      <c r="AI3" s="572"/>
      <c r="AJ3" s="572"/>
      <c r="AK3" s="572"/>
      <c r="AL3" s="572"/>
      <c r="AM3" s="572"/>
      <c r="AN3" s="572"/>
      <c r="AO3" s="572"/>
      <c r="AP3" s="554"/>
      <c r="AR3" s="34" t="s">
        <v>9</v>
      </c>
      <c r="AS3" s="34" t="s">
        <v>495</v>
      </c>
      <c r="AT3" s="41" t="s">
        <v>515</v>
      </c>
      <c r="AU3" s="41" t="s">
        <v>496</v>
      </c>
      <c r="AV3" s="600" t="s">
        <v>497</v>
      </c>
      <c r="AW3" s="601"/>
      <c r="AX3" s="601"/>
      <c r="AY3" s="601"/>
      <c r="AZ3" s="601"/>
      <c r="BA3" s="601"/>
      <c r="BB3" s="601"/>
      <c r="BC3" s="601"/>
      <c r="BD3" s="601"/>
      <c r="BE3" s="601"/>
      <c r="BF3" s="601"/>
      <c r="BG3" s="601"/>
      <c r="BH3" s="601"/>
      <c r="BI3" s="601"/>
      <c r="BJ3" s="601"/>
      <c r="BK3" s="601"/>
      <c r="BO3" s="209" t="s">
        <v>9</v>
      </c>
      <c r="BP3" s="209" t="s">
        <v>495</v>
      </c>
      <c r="BQ3" s="594" t="s">
        <v>497</v>
      </c>
      <c r="BR3" s="572"/>
      <c r="BS3" s="572"/>
      <c r="BT3" s="572"/>
      <c r="BU3" s="572"/>
      <c r="BV3" s="572"/>
      <c r="BW3" s="572"/>
      <c r="BX3" s="572"/>
      <c r="BY3" s="572"/>
      <c r="BZ3" s="572"/>
      <c r="CA3" s="554"/>
      <c r="CC3" s="35" t="s">
        <v>9</v>
      </c>
      <c r="CD3" s="35" t="s">
        <v>495</v>
      </c>
      <c r="CE3" s="35" t="s">
        <v>515</v>
      </c>
    </row>
    <row r="4" spans="1:99" ht="18.75" customHeight="1" x14ac:dyDescent="0.25">
      <c r="B4" s="638"/>
      <c r="C4" s="637" t="s">
        <v>6</v>
      </c>
      <c r="D4" s="588"/>
      <c r="E4" s="150"/>
      <c r="F4" s="152"/>
      <c r="G4" s="152"/>
      <c r="H4" s="152"/>
      <c r="I4" s="152"/>
      <c r="J4" s="152"/>
      <c r="K4" s="152"/>
      <c r="L4" s="152"/>
      <c r="M4" s="152"/>
      <c r="N4" s="152"/>
      <c r="O4" s="152"/>
      <c r="P4" s="152"/>
      <c r="Q4" s="244"/>
      <c r="R4" s="244"/>
      <c r="S4" s="244"/>
      <c r="T4" s="244"/>
      <c r="U4" s="152"/>
      <c r="V4" s="33"/>
      <c r="W4" s="638"/>
      <c r="X4" s="637" t="s">
        <v>6</v>
      </c>
      <c r="Y4" s="50"/>
      <c r="Z4" s="24" t="s">
        <v>498</v>
      </c>
      <c r="AA4" s="50" t="str">
        <f>IF(F4=""," ",F4*Inputs!$B$39)</f>
        <v xml:space="preserve"> </v>
      </c>
      <c r="AB4" s="50" t="str">
        <f>IF(G4=""," ",G4*Inputs!$B$39)</f>
        <v xml:space="preserve"> </v>
      </c>
      <c r="AC4" s="50" t="str">
        <f>IF(H4=""," ",H4*Inputs!$B$39)</f>
        <v xml:space="preserve"> </v>
      </c>
      <c r="AD4" s="50" t="str">
        <f>IF(I4=""," ",I4*Inputs!$B$39)</f>
        <v xml:space="preserve"> </v>
      </c>
      <c r="AE4" s="50" t="str">
        <f>IF(J4=""," ",J4*Inputs!$B$39)</f>
        <v xml:space="preserve"> </v>
      </c>
      <c r="AF4" s="50" t="str">
        <f>IF(K4=""," ",K4*Inputs!$B$39)</f>
        <v xml:space="preserve"> </v>
      </c>
      <c r="AG4" s="50" t="str">
        <f>IF(L4=""," ",L4*Inputs!$B$39)</f>
        <v xml:space="preserve"> </v>
      </c>
      <c r="AH4" s="50" t="str">
        <f>IF(M4=""," ",M4*Inputs!$B$39)</f>
        <v xml:space="preserve"> </v>
      </c>
      <c r="AI4" s="50" t="str">
        <f>IF(N4=""," ",N4*Inputs!$B$39)</f>
        <v xml:space="preserve"> </v>
      </c>
      <c r="AJ4" s="50" t="str">
        <f>IF(O4=""," ",O4*Inputs!$B$39)</f>
        <v xml:space="preserve"> </v>
      </c>
      <c r="AK4" s="50" t="str">
        <f>IF(P4=""," ",P4*Inputs!$B$39)</f>
        <v xml:space="preserve"> </v>
      </c>
      <c r="AL4" s="50" t="str">
        <f>IF(Q4=""," ",Q4*Inputs!$B$39)</f>
        <v xml:space="preserve"> </v>
      </c>
      <c r="AM4" s="50" t="str">
        <f>IF(R4=""," ",R4*Inputs!$B$39)</f>
        <v xml:space="preserve"> </v>
      </c>
      <c r="AN4" s="50" t="str">
        <f>IF(S4=""," ",S4*Inputs!$B$39)</f>
        <v xml:space="preserve"> </v>
      </c>
      <c r="AO4" s="50" t="str">
        <f>IF(T4=""," ",T4*Inputs!$B$39)</f>
        <v xml:space="preserve"> </v>
      </c>
      <c r="AP4" s="50" t="str">
        <f>IF(U4=""," ",U4*Inputs!$B$39)</f>
        <v xml:space="preserve"> </v>
      </c>
      <c r="AR4" s="638"/>
      <c r="AS4" s="637" t="s">
        <v>6</v>
      </c>
      <c r="AT4" s="50"/>
      <c r="AU4" s="24" t="s">
        <v>498</v>
      </c>
      <c r="AV4" s="50" t="str">
        <f>IF(AA4=" "," ",AA4*Inputs!$B$55)</f>
        <v xml:space="preserve"> </v>
      </c>
      <c r="AW4" s="50" t="str">
        <f>IF(AB4=" "," ",AB4*Inputs!$B$55)</f>
        <v xml:space="preserve"> </v>
      </c>
      <c r="AX4" s="50" t="str">
        <f>IF(AC4=" "," ",AC4*Inputs!$B$55)</f>
        <v xml:space="preserve"> </v>
      </c>
      <c r="AY4" s="50" t="str">
        <f>IF(AD4=" "," ",AD4*Inputs!$B$55)</f>
        <v xml:space="preserve"> </v>
      </c>
      <c r="AZ4" s="50" t="str">
        <f>IF(AE4=" "," ",AE4*Inputs!$B$55)</f>
        <v xml:space="preserve"> </v>
      </c>
      <c r="BA4" s="50" t="str">
        <f>IF(AF4=" "," ",AF4*Inputs!$B$55)</f>
        <v xml:space="preserve"> </v>
      </c>
      <c r="BB4" s="50" t="str">
        <f>IF(AG4=" "," ",AG4*Inputs!$B$55)</f>
        <v xml:space="preserve"> </v>
      </c>
      <c r="BC4" s="50" t="str">
        <f>IF(AH4=" "," ",AH4*Inputs!$B$55)</f>
        <v xml:space="preserve"> </v>
      </c>
      <c r="BD4" s="50" t="str">
        <f>IF(AI4=" "," ",AI4*Inputs!$B$55)</f>
        <v xml:space="preserve"> </v>
      </c>
      <c r="BE4" s="50" t="str">
        <f>IF(AJ4=" "," ",AJ4*Inputs!$B$55)</f>
        <v xml:space="preserve"> </v>
      </c>
      <c r="BF4" s="50" t="str">
        <f>IF(AK4=" "," ",AK4*Inputs!$B$55)</f>
        <v xml:space="preserve"> </v>
      </c>
      <c r="BG4" s="50" t="str">
        <f>IF(AL4=" "," ",AL4*Inputs!$B$55)</f>
        <v xml:space="preserve"> </v>
      </c>
      <c r="BH4" s="50" t="str">
        <f>IF(AM4=" "," ",AM4*Inputs!$B$55)</f>
        <v xml:space="preserve"> </v>
      </c>
      <c r="BI4" s="50" t="str">
        <f>IF(AN4=" "," ",AN4*Inputs!$B$55)</f>
        <v xml:space="preserve"> </v>
      </c>
      <c r="BJ4" s="50" t="str">
        <f>IF(AO4=" "," ",AO4*Inputs!$B$55)</f>
        <v xml:space="preserve"> </v>
      </c>
      <c r="BK4" s="50" t="str">
        <f>IF(AP4=" "," ",AP4*Inputs!$B$55)</f>
        <v xml:space="preserve"> </v>
      </c>
      <c r="BO4" s="636"/>
      <c r="BP4" s="627" t="s">
        <v>6</v>
      </c>
      <c r="BQ4" s="497" t="str">
        <f t="shared" ref="BQ4:CA4" si="0">IF(F4=""," ",AVERAGE(F4:F7)*$CD$16)</f>
        <v xml:space="preserve"> </v>
      </c>
      <c r="BR4" s="497" t="str">
        <f t="shared" si="0"/>
        <v xml:space="preserve"> </v>
      </c>
      <c r="BS4" s="497" t="str">
        <f t="shared" si="0"/>
        <v xml:space="preserve"> </v>
      </c>
      <c r="BT4" s="497" t="str">
        <f t="shared" si="0"/>
        <v xml:space="preserve"> </v>
      </c>
      <c r="BU4" s="497" t="str">
        <f t="shared" si="0"/>
        <v xml:space="preserve"> </v>
      </c>
      <c r="BV4" s="497" t="str">
        <f t="shared" si="0"/>
        <v xml:space="preserve"> </v>
      </c>
      <c r="BW4" s="497" t="str">
        <f t="shared" si="0"/>
        <v xml:space="preserve"> </v>
      </c>
      <c r="BX4" s="497" t="str">
        <f t="shared" si="0"/>
        <v xml:space="preserve"> </v>
      </c>
      <c r="BY4" s="497" t="str">
        <f t="shared" si="0"/>
        <v xml:space="preserve"> </v>
      </c>
      <c r="BZ4" s="497" t="str">
        <f t="shared" si="0"/>
        <v xml:space="preserve"> </v>
      </c>
      <c r="CA4" s="497" t="str">
        <f t="shared" si="0"/>
        <v xml:space="preserve"> </v>
      </c>
      <c r="CB4" s="2" t="str">
        <f>IF(T4="","",AVERAGE(T4:T5))</f>
        <v/>
      </c>
      <c r="CC4" s="449" t="str">
        <f>IF(U4="","",AVERAGE(U4:U5))</f>
        <v/>
      </c>
      <c r="CD4" s="634" t="s">
        <v>6</v>
      </c>
      <c r="CE4" s="200">
        <f>MIN(BQ4:CA5)</f>
        <v>0</v>
      </c>
      <c r="CF4" s="2"/>
      <c r="CG4" s="2"/>
      <c r="CH4" s="2"/>
      <c r="CI4" s="2"/>
      <c r="CJ4" s="2"/>
    </row>
    <row r="5" spans="1:99" ht="18.75" customHeight="1" x14ac:dyDescent="0.25">
      <c r="B5" s="589"/>
      <c r="C5" s="555"/>
      <c r="D5" s="589"/>
      <c r="E5" s="21"/>
      <c r="F5" s="152"/>
      <c r="G5" s="152"/>
      <c r="H5" s="152"/>
      <c r="I5" s="152"/>
      <c r="J5" s="152"/>
      <c r="K5" s="152"/>
      <c r="L5" s="152"/>
      <c r="M5" s="152"/>
      <c r="N5" s="152"/>
      <c r="O5" s="152"/>
      <c r="P5" s="152"/>
      <c r="Q5" s="244"/>
      <c r="R5" s="244"/>
      <c r="S5" s="244"/>
      <c r="T5" s="244"/>
      <c r="U5" s="152"/>
      <c r="W5" s="589"/>
      <c r="X5" s="555"/>
      <c r="Y5" s="51"/>
      <c r="Z5" s="27" t="s">
        <v>499</v>
      </c>
      <c r="AA5" s="50" t="str">
        <f>IF(F5=""," ",F5*Inputs!$B$39)</f>
        <v xml:space="preserve"> </v>
      </c>
      <c r="AB5" s="50" t="str">
        <f>IF(G5=""," ",G5*Inputs!$B$39)</f>
        <v xml:space="preserve"> </v>
      </c>
      <c r="AC5" s="50" t="str">
        <f>IF(H5=""," ",H5*Inputs!$B$39)</f>
        <v xml:space="preserve"> </v>
      </c>
      <c r="AD5" s="50" t="str">
        <f>IF(I5=""," ",I5*Inputs!$B$39)</f>
        <v xml:space="preserve"> </v>
      </c>
      <c r="AE5" s="50" t="str">
        <f>IF(J5=""," ",J5*Inputs!$B$39)</f>
        <v xml:space="preserve"> </v>
      </c>
      <c r="AF5" s="50" t="str">
        <f>IF(K5=""," ",K5*Inputs!$B$39)</f>
        <v xml:space="preserve"> </v>
      </c>
      <c r="AG5" s="50" t="str">
        <f>IF(L5=""," ",L5*Inputs!$B$39)</f>
        <v xml:space="preserve"> </v>
      </c>
      <c r="AH5" s="50" t="str">
        <f>IF(M5=""," ",M5*Inputs!$B$39)</f>
        <v xml:space="preserve"> </v>
      </c>
      <c r="AI5" s="50" t="str">
        <f>IF(N5=""," ",N5*Inputs!$B$39)</f>
        <v xml:space="preserve"> </v>
      </c>
      <c r="AJ5" s="50" t="str">
        <f>IF(O5=""," ",O5*Inputs!$B$39)</f>
        <v xml:space="preserve"> </v>
      </c>
      <c r="AK5" s="50" t="str">
        <f>IF(P5=""," ",P5*Inputs!$B$39)</f>
        <v xml:space="preserve"> </v>
      </c>
      <c r="AL5" s="50" t="str">
        <f>IF(Q5=""," ",Q5*Inputs!$B$39)</f>
        <v xml:space="preserve"> </v>
      </c>
      <c r="AM5" s="50" t="str">
        <f>IF(R5=""," ",R5*Inputs!$B$39)</f>
        <v xml:space="preserve"> </v>
      </c>
      <c r="AN5" s="50" t="str">
        <f>IF(S5=""," ",S5*Inputs!$B$39)</f>
        <v xml:space="preserve"> </v>
      </c>
      <c r="AO5" s="50" t="str">
        <f>IF(T5=""," ",T5*Inputs!$B$39)</f>
        <v xml:space="preserve"> </v>
      </c>
      <c r="AP5" s="50" t="str">
        <f>IF(U5=""," ",U5*Inputs!$B$39)</f>
        <v xml:space="preserve"> </v>
      </c>
      <c r="AR5" s="589"/>
      <c r="AS5" s="555"/>
      <c r="AT5" s="51"/>
      <c r="AU5" s="27" t="s">
        <v>499</v>
      </c>
      <c r="AV5" s="50" t="str">
        <f>IF(AA5=" "," ",AA5*Inputs!$B$55)</f>
        <v xml:space="preserve"> </v>
      </c>
      <c r="AW5" s="50" t="str">
        <f>IF(AB5=" "," ",AB5*Inputs!$B$55)</f>
        <v xml:space="preserve"> </v>
      </c>
      <c r="AX5" s="50" t="str">
        <f>IF(AC5=" "," ",AC5*Inputs!$B$55)</f>
        <v xml:space="preserve"> </v>
      </c>
      <c r="AY5" s="50" t="str">
        <f>IF(AD5=" "," ",AD5*Inputs!$B$55)</f>
        <v xml:space="preserve"> </v>
      </c>
      <c r="AZ5" s="50" t="str">
        <f>IF(AE5=" "," ",AE5*Inputs!$B$55)</f>
        <v xml:space="preserve"> </v>
      </c>
      <c r="BA5" s="50" t="str">
        <f>IF(AF5=" "," ",AF5*Inputs!$B$55)</f>
        <v xml:space="preserve"> </v>
      </c>
      <c r="BB5" s="50" t="str">
        <f>IF(AG5=" "," ",AG5*Inputs!$B$55)</f>
        <v xml:space="preserve"> </v>
      </c>
      <c r="BC5" s="50" t="str">
        <f>IF(AH5=" "," ",AH5*Inputs!$B$55)</f>
        <v xml:space="preserve"> </v>
      </c>
      <c r="BD5" s="50" t="str">
        <f>IF(AI5=" "," ",AI5*Inputs!$B$55)</f>
        <v xml:space="preserve"> </v>
      </c>
      <c r="BE5" s="50" t="str">
        <f>IF(AJ5=" "," ",AJ5*Inputs!$B$55)</f>
        <v xml:space="preserve"> </v>
      </c>
      <c r="BF5" s="50" t="str">
        <f>IF(AK5=" "," ",AK5*Inputs!$B$55)</f>
        <v xml:space="preserve"> </v>
      </c>
      <c r="BG5" s="50" t="str">
        <f>IF(AL5=" "," ",AL5*Inputs!$B$55)</f>
        <v xml:space="preserve"> </v>
      </c>
      <c r="BH5" s="50" t="str">
        <f>IF(AM5=" "," ",AM5*Inputs!$B$55)</f>
        <v xml:space="preserve"> </v>
      </c>
      <c r="BI5" s="50" t="str">
        <f>IF(AN5=" "," ",AN5*Inputs!$B$55)</f>
        <v xml:space="preserve"> </v>
      </c>
      <c r="BJ5" s="50" t="str">
        <f>IF(AO5=" "," ",AO5*Inputs!$B$55)</f>
        <v xml:space="preserve"> </v>
      </c>
      <c r="BK5" s="50" t="str">
        <f>IF(AP5=" "," ",AP5*Inputs!$B$55)</f>
        <v xml:space="preserve"> </v>
      </c>
      <c r="BO5" s="591"/>
      <c r="BP5" s="628"/>
      <c r="BQ5" s="497"/>
      <c r="BR5" s="497"/>
      <c r="BS5" s="497"/>
      <c r="BT5" s="497"/>
      <c r="BU5" s="497"/>
      <c r="BV5" s="497"/>
      <c r="BW5" s="497"/>
      <c r="BX5" s="497"/>
      <c r="BY5" s="497"/>
      <c r="BZ5" s="497"/>
      <c r="CA5" s="497"/>
      <c r="CB5" s="2"/>
      <c r="CC5" s="450"/>
      <c r="CD5" s="589"/>
      <c r="CE5" s="200">
        <f>MIN(BQ6:CA7)</f>
        <v>0</v>
      </c>
      <c r="CF5" s="2"/>
      <c r="CG5" s="2"/>
      <c r="CH5" s="2"/>
      <c r="CI5" s="2"/>
      <c r="CJ5" s="2"/>
    </row>
    <row r="6" spans="1:99" ht="18.75" customHeight="1" x14ac:dyDescent="0.25">
      <c r="B6" s="589"/>
      <c r="C6" s="555"/>
      <c r="D6" s="589"/>
      <c r="E6" s="21"/>
      <c r="F6" s="152"/>
      <c r="G6" s="152"/>
      <c r="H6" s="152"/>
      <c r="I6" s="152"/>
      <c r="J6" s="152"/>
      <c r="K6" s="152"/>
      <c r="L6" s="152"/>
      <c r="M6" s="152"/>
      <c r="N6" s="152"/>
      <c r="O6" s="152"/>
      <c r="P6" s="152"/>
      <c r="Q6" s="244"/>
      <c r="R6" s="244"/>
      <c r="S6" s="244"/>
      <c r="T6" s="244"/>
      <c r="U6" s="152"/>
      <c r="W6" s="589"/>
      <c r="X6" s="555"/>
      <c r="Y6" s="51"/>
      <c r="Z6" s="27" t="s">
        <v>500</v>
      </c>
      <c r="AA6" s="50" t="str">
        <f>IF(F6=""," ",F6*Inputs!$B$39)</f>
        <v xml:space="preserve"> </v>
      </c>
      <c r="AB6" s="50" t="str">
        <f>IF(G6=""," ",G6*Inputs!$B$39)</f>
        <v xml:space="preserve"> </v>
      </c>
      <c r="AC6" s="50" t="str">
        <f>IF(H6=""," ",H6*Inputs!$B$39)</f>
        <v xml:space="preserve"> </v>
      </c>
      <c r="AD6" s="50" t="str">
        <f>IF(I6=""," ",I6*Inputs!$B$39)</f>
        <v xml:space="preserve"> </v>
      </c>
      <c r="AE6" s="50" t="str">
        <f>IF(J6=""," ",J6*Inputs!$B$39)</f>
        <v xml:space="preserve"> </v>
      </c>
      <c r="AF6" s="50" t="str">
        <f>IF(K6=""," ",K6*Inputs!$B$39)</f>
        <v xml:space="preserve"> </v>
      </c>
      <c r="AG6" s="50" t="str">
        <f>IF(L6=""," ",L6*Inputs!$B$39)</f>
        <v xml:space="preserve"> </v>
      </c>
      <c r="AH6" s="50" t="str">
        <f>IF(M6=""," ",M6*Inputs!$B$39)</f>
        <v xml:space="preserve"> </v>
      </c>
      <c r="AI6" s="50" t="str">
        <f>IF(N6=""," ",N6*Inputs!$B$39)</f>
        <v xml:space="preserve"> </v>
      </c>
      <c r="AJ6" s="50" t="str">
        <f>IF(O6=""," ",O6*Inputs!$B$39)</f>
        <v xml:space="preserve"> </v>
      </c>
      <c r="AK6" s="50" t="str">
        <f>IF(P6=""," ",P6*Inputs!$B$39)</f>
        <v xml:space="preserve"> </v>
      </c>
      <c r="AL6" s="50" t="str">
        <f>IF(Q6=""," ",Q6*Inputs!$B$39)</f>
        <v xml:space="preserve"> </v>
      </c>
      <c r="AM6" s="50" t="str">
        <f>IF(R6=""," ",R6*Inputs!$B$39)</f>
        <v xml:space="preserve"> </v>
      </c>
      <c r="AN6" s="50" t="str">
        <f>IF(S6=""," ",S6*Inputs!$B$39)</f>
        <v xml:space="preserve"> </v>
      </c>
      <c r="AO6" s="50" t="str">
        <f>IF(T6=""," ",T6*Inputs!$B$39)</f>
        <v xml:space="preserve"> </v>
      </c>
      <c r="AP6" s="50" t="str">
        <f>IF(U6=""," ",U6*Inputs!$B$39)</f>
        <v xml:space="preserve"> </v>
      </c>
      <c r="AR6" s="589"/>
      <c r="AS6" s="555"/>
      <c r="AT6" s="51"/>
      <c r="AU6" s="27" t="s">
        <v>500</v>
      </c>
      <c r="AV6" s="50" t="str">
        <f>IF(AA6=" "," ",AA6*Inputs!$B$55)</f>
        <v xml:space="preserve"> </v>
      </c>
      <c r="AW6" s="50" t="str">
        <f>IF(AB6=" "," ",AB6*Inputs!$B$55)</f>
        <v xml:space="preserve"> </v>
      </c>
      <c r="AX6" s="50" t="str">
        <f>IF(AC6=" "," ",AC6*Inputs!$B$55)</f>
        <v xml:space="preserve"> </v>
      </c>
      <c r="AY6" s="50" t="str">
        <f>IF(AD6=" "," ",AD6*Inputs!$B$55)</f>
        <v xml:space="preserve"> </v>
      </c>
      <c r="AZ6" s="50" t="str">
        <f>IF(AE6=" "," ",AE6*Inputs!$B$55)</f>
        <v xml:space="preserve"> </v>
      </c>
      <c r="BA6" s="50" t="str">
        <f>IF(AF6=" "," ",AF6*Inputs!$B$55)</f>
        <v xml:space="preserve"> </v>
      </c>
      <c r="BB6" s="50" t="str">
        <f>IF(AG6=" "," ",AG6*Inputs!$B$55)</f>
        <v xml:space="preserve"> </v>
      </c>
      <c r="BC6" s="50" t="str">
        <f>IF(AH6=" "," ",AH6*Inputs!$B$55)</f>
        <v xml:space="preserve"> </v>
      </c>
      <c r="BD6" s="50" t="str">
        <f>IF(AI6=" "," ",AI6*Inputs!$B$55)</f>
        <v xml:space="preserve"> </v>
      </c>
      <c r="BE6" s="50" t="str">
        <f>IF(AJ6=" "," ",AJ6*Inputs!$B$55)</f>
        <v xml:space="preserve"> </v>
      </c>
      <c r="BF6" s="50" t="str">
        <f>IF(AK6=" "," ",AK6*Inputs!$B$55)</f>
        <v xml:space="preserve"> </v>
      </c>
      <c r="BG6" s="50" t="str">
        <f>IF(AL6=" "," ",AL6*Inputs!$B$55)</f>
        <v xml:space="preserve"> </v>
      </c>
      <c r="BH6" s="50" t="str">
        <f>IF(AM6=" "," ",AM6*Inputs!$B$55)</f>
        <v xml:space="preserve"> </v>
      </c>
      <c r="BI6" s="50" t="str">
        <f>IF(AN6=" "," ",AN6*Inputs!$B$55)</f>
        <v xml:space="preserve"> </v>
      </c>
      <c r="BJ6" s="50" t="str">
        <f>IF(AO6=" "," ",AO6*Inputs!$B$55)</f>
        <v xml:space="preserve"> </v>
      </c>
      <c r="BK6" s="50" t="str">
        <f>IF(AP6=" "," ",AP6*Inputs!$B$55)</f>
        <v xml:space="preserve"> </v>
      </c>
      <c r="BO6" s="639"/>
      <c r="BP6" s="628"/>
      <c r="BQ6" s="497" t="str">
        <f t="shared" ref="BQ6:CA6" si="1">IF(F8=""," ",AVERAGE(F8:F11)*$CD$16)</f>
        <v xml:space="preserve"> </v>
      </c>
      <c r="BR6" s="497" t="str">
        <f t="shared" si="1"/>
        <v xml:space="preserve"> </v>
      </c>
      <c r="BS6" s="497" t="str">
        <f t="shared" si="1"/>
        <v xml:space="preserve"> </v>
      </c>
      <c r="BT6" s="497" t="str">
        <f t="shared" si="1"/>
        <v xml:space="preserve"> </v>
      </c>
      <c r="BU6" s="497" t="str">
        <f t="shared" si="1"/>
        <v xml:space="preserve"> </v>
      </c>
      <c r="BV6" s="497" t="str">
        <f t="shared" si="1"/>
        <v xml:space="preserve"> </v>
      </c>
      <c r="BW6" s="497" t="str">
        <f t="shared" si="1"/>
        <v xml:space="preserve"> </v>
      </c>
      <c r="BX6" s="497" t="str">
        <f t="shared" si="1"/>
        <v xml:space="preserve"> </v>
      </c>
      <c r="BY6" s="497" t="str">
        <f t="shared" si="1"/>
        <v xml:space="preserve"> </v>
      </c>
      <c r="BZ6" s="497" t="str">
        <f t="shared" si="1"/>
        <v xml:space="preserve"> </v>
      </c>
      <c r="CA6" s="497" t="str">
        <f t="shared" si="1"/>
        <v xml:space="preserve"> </v>
      </c>
      <c r="CC6" s="447"/>
      <c r="CD6" s="589"/>
      <c r="CE6" s="200">
        <f>MIN(BQ8:CA9)</f>
        <v>0</v>
      </c>
    </row>
    <row r="7" spans="1:99" ht="18.75" customHeight="1" x14ac:dyDescent="0.25">
      <c r="B7" s="589"/>
      <c r="C7" s="555"/>
      <c r="D7" s="589"/>
      <c r="E7" s="21"/>
      <c r="F7" s="152"/>
      <c r="G7" s="152"/>
      <c r="H7" s="152"/>
      <c r="I7" s="152"/>
      <c r="J7" s="152"/>
      <c r="K7" s="152"/>
      <c r="L7" s="152"/>
      <c r="M7" s="152"/>
      <c r="N7" s="152"/>
      <c r="O7" s="152"/>
      <c r="P7" s="152"/>
      <c r="Q7" s="244"/>
      <c r="R7" s="244"/>
      <c r="S7" s="244"/>
      <c r="T7" s="244"/>
      <c r="U7" s="152"/>
      <c r="W7" s="589"/>
      <c r="X7" s="555"/>
      <c r="Y7" s="52"/>
      <c r="Z7" s="29" t="s">
        <v>501</v>
      </c>
      <c r="AA7" s="50" t="str">
        <f>IF(F7=""," ",F7*Inputs!$B$39)</f>
        <v xml:space="preserve"> </v>
      </c>
      <c r="AB7" s="50" t="str">
        <f>IF(G7=""," ",G7*Inputs!$B$39)</f>
        <v xml:space="preserve"> </v>
      </c>
      <c r="AC7" s="50" t="str">
        <f>IF(H7=""," ",H7*Inputs!$B$39)</f>
        <v xml:space="preserve"> </v>
      </c>
      <c r="AD7" s="50" t="str">
        <f>IF(I7=""," ",I7*Inputs!$B$39)</f>
        <v xml:space="preserve"> </v>
      </c>
      <c r="AE7" s="50" t="str">
        <f>IF(J7=""," ",J7*Inputs!$B$39)</f>
        <v xml:space="preserve"> </v>
      </c>
      <c r="AF7" s="50" t="str">
        <f>IF(K7=""," ",K7*Inputs!$B$39)</f>
        <v xml:space="preserve"> </v>
      </c>
      <c r="AG7" s="50" t="str">
        <f>IF(L7=""," ",L7*Inputs!$B$39)</f>
        <v xml:space="preserve"> </v>
      </c>
      <c r="AH7" s="50" t="str">
        <f>IF(M7=""," ",M7*Inputs!$B$39)</f>
        <v xml:space="preserve"> </v>
      </c>
      <c r="AI7" s="50" t="str">
        <f>IF(N7=""," ",N7*Inputs!$B$39)</f>
        <v xml:space="preserve"> </v>
      </c>
      <c r="AJ7" s="50" t="str">
        <f>IF(O7=""," ",O7*Inputs!$B$39)</f>
        <v xml:space="preserve"> </v>
      </c>
      <c r="AK7" s="50" t="str">
        <f>IF(P7=""," ",P7*Inputs!$B$39)</f>
        <v xml:space="preserve"> </v>
      </c>
      <c r="AL7" s="50" t="str">
        <f>IF(Q7=""," ",Q7*Inputs!$B$39)</f>
        <v xml:space="preserve"> </v>
      </c>
      <c r="AM7" s="50" t="str">
        <f>IF(R7=""," ",R7*Inputs!$B$39)</f>
        <v xml:space="preserve"> </v>
      </c>
      <c r="AN7" s="50" t="str">
        <f>IF(S7=""," ",S7*Inputs!$B$39)</f>
        <v xml:space="preserve"> </v>
      </c>
      <c r="AO7" s="50" t="str">
        <f>IF(T7=""," ",T7*Inputs!$B$39)</f>
        <v xml:space="preserve"> </v>
      </c>
      <c r="AP7" s="50" t="str">
        <f>IF(U7=""," ",U7*Inputs!$B$39)</f>
        <v xml:space="preserve"> </v>
      </c>
      <c r="AR7" s="589"/>
      <c r="AS7" s="555"/>
      <c r="AT7" s="52"/>
      <c r="AU7" s="29" t="s">
        <v>501</v>
      </c>
      <c r="AV7" s="50" t="str">
        <f>IF(AA7=" "," ",AA7*Inputs!$B$55)</f>
        <v xml:space="preserve"> </v>
      </c>
      <c r="AW7" s="50" t="str">
        <f>IF(AB7=" "," ",AB7*Inputs!$B$55)</f>
        <v xml:space="preserve"> </v>
      </c>
      <c r="AX7" s="50" t="str">
        <f>IF(AC7=" "," ",AC7*Inputs!$B$55)</f>
        <v xml:space="preserve"> </v>
      </c>
      <c r="AY7" s="50" t="str">
        <f>IF(AD7=" "," ",AD7*Inputs!$B$55)</f>
        <v xml:space="preserve"> </v>
      </c>
      <c r="AZ7" s="50" t="str">
        <f>IF(AE7=" "," ",AE7*Inputs!$B$55)</f>
        <v xml:space="preserve"> </v>
      </c>
      <c r="BA7" s="50" t="str">
        <f>IF(AF7=" "," ",AF7*Inputs!$B$55)</f>
        <v xml:space="preserve"> </v>
      </c>
      <c r="BB7" s="50" t="str">
        <f>IF(AG7=" "," ",AG7*Inputs!$B$55)</f>
        <v xml:space="preserve"> </v>
      </c>
      <c r="BC7" s="50" t="str">
        <f>IF(AH7=" "," ",AH7*Inputs!$B$55)</f>
        <v xml:space="preserve"> </v>
      </c>
      <c r="BD7" s="50" t="str">
        <f>IF(AI7=" "," ",AI7*Inputs!$B$55)</f>
        <v xml:space="preserve"> </v>
      </c>
      <c r="BE7" s="50" t="str">
        <f>IF(AJ7=" "," ",AJ7*Inputs!$B$55)</f>
        <v xml:space="preserve"> </v>
      </c>
      <c r="BF7" s="50" t="str">
        <f>IF(AK7=" "," ",AK7*Inputs!$B$55)</f>
        <v xml:space="preserve"> </v>
      </c>
      <c r="BG7" s="50" t="str">
        <f>IF(AL7=" "," ",AL7*Inputs!$B$55)</f>
        <v xml:space="preserve"> </v>
      </c>
      <c r="BH7" s="50" t="str">
        <f>IF(AM7=" "," ",AM7*Inputs!$B$55)</f>
        <v xml:space="preserve"> </v>
      </c>
      <c r="BI7" s="50" t="str">
        <f>IF(AN7=" "," ",AN7*Inputs!$B$55)</f>
        <v xml:space="preserve"> </v>
      </c>
      <c r="BJ7" s="50" t="str">
        <f>IF(AO7=" "," ",AO7*Inputs!$B$55)</f>
        <v xml:space="preserve"> </v>
      </c>
      <c r="BK7" s="50" t="str">
        <f>IF(AP7=" "," ",AP7*Inputs!$B$55)</f>
        <v xml:space="preserve"> </v>
      </c>
      <c r="BO7" s="591"/>
      <c r="BP7" s="628"/>
      <c r="BQ7" s="497"/>
      <c r="BR7" s="497"/>
      <c r="BS7" s="497"/>
      <c r="BT7" s="497"/>
      <c r="BU7" s="497"/>
      <c r="BV7" s="497"/>
      <c r="BW7" s="497"/>
      <c r="BX7" s="497"/>
      <c r="BY7" s="497"/>
      <c r="BZ7" s="497"/>
      <c r="CA7" s="497"/>
      <c r="CC7" s="38"/>
      <c r="CD7" s="589"/>
      <c r="CE7" s="200">
        <f>MIN(BQ10:CA11)</f>
        <v>0</v>
      </c>
    </row>
    <row r="8" spans="1:99" ht="18.75" customHeight="1" x14ac:dyDescent="0.25">
      <c r="B8" s="596"/>
      <c r="C8" s="555"/>
      <c r="D8" s="588"/>
      <c r="E8" s="150"/>
      <c r="F8" s="151"/>
      <c r="G8" s="151"/>
      <c r="H8" s="151"/>
      <c r="I8" s="151"/>
      <c r="J8" s="151"/>
      <c r="K8" s="151"/>
      <c r="L8" s="151"/>
      <c r="M8" s="151"/>
      <c r="N8" s="151"/>
      <c r="O8" s="151"/>
      <c r="P8" s="151"/>
      <c r="Q8" s="243"/>
      <c r="R8" s="243"/>
      <c r="S8" s="243"/>
      <c r="T8" s="243"/>
      <c r="U8" s="151"/>
      <c r="W8" s="596"/>
      <c r="X8" s="555"/>
      <c r="Y8" s="50"/>
      <c r="Z8" s="24" t="s">
        <v>498</v>
      </c>
      <c r="AA8" s="50" t="str">
        <f>IF(F8=""," ",F8*Inputs!$B$39)</f>
        <v xml:space="preserve"> </v>
      </c>
      <c r="AB8" s="50" t="str">
        <f>IF(G8=""," ",G8*Inputs!$B$39)</f>
        <v xml:space="preserve"> </v>
      </c>
      <c r="AC8" s="50" t="str">
        <f>IF(H8=""," ",H8*Inputs!$B$39)</f>
        <v xml:space="preserve"> </v>
      </c>
      <c r="AD8" s="50" t="str">
        <f>IF(I8=""," ",I8*Inputs!$B$39)</f>
        <v xml:space="preserve"> </v>
      </c>
      <c r="AE8" s="50" t="str">
        <f>IF(J8=""," ",J8*Inputs!$B$39)</f>
        <v xml:space="preserve"> </v>
      </c>
      <c r="AF8" s="50" t="str">
        <f>IF(K8=""," ",K8*Inputs!$B$39)</f>
        <v xml:space="preserve"> </v>
      </c>
      <c r="AG8" s="50" t="str">
        <f>IF(L8=""," ",L8*Inputs!$B$39)</f>
        <v xml:space="preserve"> </v>
      </c>
      <c r="AH8" s="50" t="str">
        <f>IF(M8=""," ",M8*Inputs!$B$39)</f>
        <v xml:space="preserve"> </v>
      </c>
      <c r="AI8" s="50" t="str">
        <f>IF(N8=""," ",N8*Inputs!$B$39)</f>
        <v xml:space="preserve"> </v>
      </c>
      <c r="AJ8" s="50" t="str">
        <f>IF(O8=""," ",O8*Inputs!$B$39)</f>
        <v xml:space="preserve"> </v>
      </c>
      <c r="AK8" s="50" t="str">
        <f>IF(P8=""," ",P8*Inputs!$B$39)</f>
        <v xml:space="preserve"> </v>
      </c>
      <c r="AL8" s="50" t="str">
        <f>IF(Q8=""," ",Q8*Inputs!$B$39)</f>
        <v xml:space="preserve"> </v>
      </c>
      <c r="AM8" s="50" t="str">
        <f>IF(R8=""," ",R8*Inputs!$B$39)</f>
        <v xml:space="preserve"> </v>
      </c>
      <c r="AN8" s="50" t="str">
        <f>IF(S8=""," ",S8*Inputs!$B$39)</f>
        <v xml:space="preserve"> </v>
      </c>
      <c r="AO8" s="50" t="str">
        <f>IF(T8=""," ",T8*Inputs!$B$39)</f>
        <v xml:space="preserve"> </v>
      </c>
      <c r="AP8" s="50" t="str">
        <f>IF(U8=""," ",U8*Inputs!$B$39)</f>
        <v xml:space="preserve"> </v>
      </c>
      <c r="AR8" s="596"/>
      <c r="AS8" s="555"/>
      <c r="AT8" s="50"/>
      <c r="AU8" s="24" t="s">
        <v>498</v>
      </c>
      <c r="AV8" s="50" t="str">
        <f>IF(AA8=" "," ",AA8*Inputs!$B$55)</f>
        <v xml:space="preserve"> </v>
      </c>
      <c r="AW8" s="50" t="str">
        <f>IF(AB8=" "," ",AB8*Inputs!$B$55)</f>
        <v xml:space="preserve"> </v>
      </c>
      <c r="AX8" s="50" t="str">
        <f>IF(AC8=" "," ",AC8*Inputs!$B$55)</f>
        <v xml:space="preserve"> </v>
      </c>
      <c r="AY8" s="50" t="str">
        <f>IF(AD8=" "," ",AD8*Inputs!$B$55)</f>
        <v xml:space="preserve"> </v>
      </c>
      <c r="AZ8" s="50" t="str">
        <f>IF(AE8=" "," ",AE8*Inputs!$B$55)</f>
        <v xml:space="preserve"> </v>
      </c>
      <c r="BA8" s="50" t="str">
        <f>IF(AF8=" "," ",AF8*Inputs!$B$55)</f>
        <v xml:space="preserve"> </v>
      </c>
      <c r="BB8" s="50" t="str">
        <f>IF(AG8=" "," ",AG8*Inputs!$B$55)</f>
        <v xml:space="preserve"> </v>
      </c>
      <c r="BC8" s="50" t="str">
        <f>IF(AH8=" "," ",AH8*Inputs!$B$55)</f>
        <v xml:space="preserve"> </v>
      </c>
      <c r="BD8" s="50" t="str">
        <f>IF(AI8=" "," ",AI8*Inputs!$B$55)</f>
        <v xml:space="preserve"> </v>
      </c>
      <c r="BE8" s="50" t="str">
        <f>IF(AJ8=" "," ",AJ8*Inputs!$B$55)</f>
        <v xml:space="preserve"> </v>
      </c>
      <c r="BF8" s="50" t="str">
        <f>IF(AK8=" "," ",AK8*Inputs!$B$55)</f>
        <v xml:space="preserve"> </v>
      </c>
      <c r="BG8" s="50" t="str">
        <f>IF(AL8=" "," ",AL8*Inputs!$B$55)</f>
        <v xml:space="preserve"> </v>
      </c>
      <c r="BH8" s="50" t="str">
        <f>IF(AM8=" "," ",AM8*Inputs!$B$55)</f>
        <v xml:space="preserve"> </v>
      </c>
      <c r="BI8" s="50" t="str">
        <f>IF(AN8=" "," ",AN8*Inputs!$B$55)</f>
        <v xml:space="preserve"> </v>
      </c>
      <c r="BJ8" s="50" t="str">
        <f>IF(AO8=" "," ",AO8*Inputs!$B$55)</f>
        <v xml:space="preserve"> </v>
      </c>
      <c r="BK8" s="50" t="str">
        <f>IF(AP8=" "," ",AP8*Inputs!$B$55)</f>
        <v xml:space="preserve"> </v>
      </c>
      <c r="BO8" s="635"/>
      <c r="BP8" s="628"/>
      <c r="BQ8" s="497" t="str">
        <f t="shared" ref="BQ8:CA8" si="2">IF(F12=""," ",AVERAGE(F12:F15)*$CD$16)</f>
        <v xml:space="preserve"> </v>
      </c>
      <c r="BR8" s="497" t="str">
        <f t="shared" si="2"/>
        <v xml:space="preserve"> </v>
      </c>
      <c r="BS8" s="497" t="str">
        <f t="shared" si="2"/>
        <v xml:space="preserve"> </v>
      </c>
      <c r="BT8" s="497" t="str">
        <f t="shared" si="2"/>
        <v xml:space="preserve"> </v>
      </c>
      <c r="BU8" s="497" t="str">
        <f t="shared" si="2"/>
        <v xml:space="preserve"> </v>
      </c>
      <c r="BV8" s="497" t="str">
        <f t="shared" si="2"/>
        <v xml:space="preserve"> </v>
      </c>
      <c r="BW8" s="497" t="str">
        <f t="shared" si="2"/>
        <v xml:space="preserve"> </v>
      </c>
      <c r="BX8" s="497" t="str">
        <f t="shared" si="2"/>
        <v xml:space="preserve"> </v>
      </c>
      <c r="BY8" s="497" t="str">
        <f t="shared" si="2"/>
        <v xml:space="preserve"> </v>
      </c>
      <c r="BZ8" s="497" t="str">
        <f t="shared" si="2"/>
        <v xml:space="preserve"> </v>
      </c>
      <c r="CA8" s="497" t="str">
        <f t="shared" si="2"/>
        <v xml:space="preserve"> </v>
      </c>
      <c r="CC8" s="451"/>
      <c r="CD8" s="591"/>
      <c r="CE8" s="200">
        <f>MIN(BQ12:CA13)</f>
        <v>0</v>
      </c>
    </row>
    <row r="9" spans="1:99" ht="18.75" customHeight="1" x14ac:dyDescent="0.25">
      <c r="B9" s="589"/>
      <c r="C9" s="555"/>
      <c r="D9" s="589"/>
      <c r="E9" s="21"/>
      <c r="F9" s="152"/>
      <c r="G9" s="152"/>
      <c r="H9" s="152"/>
      <c r="I9" s="152"/>
      <c r="J9" s="152"/>
      <c r="K9" s="152"/>
      <c r="L9" s="152"/>
      <c r="M9" s="152"/>
      <c r="N9" s="152"/>
      <c r="O9" s="152"/>
      <c r="P9" s="152"/>
      <c r="Q9" s="244"/>
      <c r="R9" s="244"/>
      <c r="S9" s="244"/>
      <c r="T9" s="244"/>
      <c r="U9" s="152"/>
      <c r="W9" s="589"/>
      <c r="X9" s="555"/>
      <c r="Y9" s="51"/>
      <c r="Z9" s="27" t="s">
        <v>499</v>
      </c>
      <c r="AA9" s="50" t="str">
        <f>IF(F9=""," ",F9*Inputs!$B$39)</f>
        <v xml:space="preserve"> </v>
      </c>
      <c r="AB9" s="50" t="str">
        <f>IF(G9=""," ",G9*Inputs!$B$39)</f>
        <v xml:space="preserve"> </v>
      </c>
      <c r="AC9" s="50" t="str">
        <f>IF(H9=""," ",H9*Inputs!$B$39)</f>
        <v xml:space="preserve"> </v>
      </c>
      <c r="AD9" s="50" t="str">
        <f>IF(I9=""," ",I9*Inputs!$B$39)</f>
        <v xml:space="preserve"> </v>
      </c>
      <c r="AE9" s="50" t="str">
        <f>IF(J9=""," ",J9*Inputs!$B$39)</f>
        <v xml:space="preserve"> </v>
      </c>
      <c r="AF9" s="50" t="str">
        <f>IF(K9=""," ",K9*Inputs!$B$39)</f>
        <v xml:space="preserve"> </v>
      </c>
      <c r="AG9" s="50" t="str">
        <f>IF(L9=""," ",L9*Inputs!$B$39)</f>
        <v xml:space="preserve"> </v>
      </c>
      <c r="AH9" s="50" t="str">
        <f>IF(M9=""," ",M9*Inputs!$B$39)</f>
        <v xml:space="preserve"> </v>
      </c>
      <c r="AI9" s="50" t="str">
        <f>IF(N9=""," ",N9*Inputs!$B$39)</f>
        <v xml:space="preserve"> </v>
      </c>
      <c r="AJ9" s="50" t="str">
        <f>IF(O9=""," ",O9*Inputs!$B$39)</f>
        <v xml:space="preserve"> </v>
      </c>
      <c r="AK9" s="50" t="str">
        <f>IF(P9=""," ",P9*Inputs!$B$39)</f>
        <v xml:space="preserve"> </v>
      </c>
      <c r="AL9" s="50" t="str">
        <f>IF(Q9=""," ",Q9*Inputs!$B$39)</f>
        <v xml:space="preserve"> </v>
      </c>
      <c r="AM9" s="50" t="str">
        <f>IF(R9=""," ",R9*Inputs!$B$39)</f>
        <v xml:space="preserve"> </v>
      </c>
      <c r="AN9" s="50" t="str">
        <f>IF(S9=""," ",S9*Inputs!$B$39)</f>
        <v xml:space="preserve"> </v>
      </c>
      <c r="AO9" s="50" t="str">
        <f>IF(T9=""," ",T9*Inputs!$B$39)</f>
        <v xml:space="preserve"> </v>
      </c>
      <c r="AP9" s="50" t="str">
        <f>IF(U9=""," ",U9*Inputs!$B$39)</f>
        <v xml:space="preserve"> </v>
      </c>
      <c r="AR9" s="589"/>
      <c r="AS9" s="555"/>
      <c r="AT9" s="51"/>
      <c r="AU9" s="27" t="s">
        <v>499</v>
      </c>
      <c r="AV9" s="50" t="str">
        <f>IF(AA9=" "," ",AA9*Inputs!$B$55)</f>
        <v xml:space="preserve"> </v>
      </c>
      <c r="AW9" s="50" t="str">
        <f>IF(AB9=" "," ",AB9*Inputs!$B$55)</f>
        <v xml:space="preserve"> </v>
      </c>
      <c r="AX9" s="50" t="str">
        <f>IF(AC9=" "," ",AC9*Inputs!$B$55)</f>
        <v xml:space="preserve"> </v>
      </c>
      <c r="AY9" s="50" t="str">
        <f>IF(AD9=" "," ",AD9*Inputs!$B$55)</f>
        <v xml:space="preserve"> </v>
      </c>
      <c r="AZ9" s="50" t="str">
        <f>IF(AE9=" "," ",AE9*Inputs!$B$55)</f>
        <v xml:space="preserve"> </v>
      </c>
      <c r="BA9" s="50" t="str">
        <f>IF(AF9=" "," ",AF9*Inputs!$B$55)</f>
        <v xml:space="preserve"> </v>
      </c>
      <c r="BB9" s="50" t="str">
        <f>IF(AG9=" "," ",AG9*Inputs!$B$55)</f>
        <v xml:space="preserve"> </v>
      </c>
      <c r="BC9" s="50" t="str">
        <f>IF(AH9=" "," ",AH9*Inputs!$B$55)</f>
        <v xml:space="preserve"> </v>
      </c>
      <c r="BD9" s="50" t="str">
        <f>IF(AI9=" "," ",AI9*Inputs!$B$55)</f>
        <v xml:space="preserve"> </v>
      </c>
      <c r="BE9" s="50" t="str">
        <f>IF(AJ9=" "," ",AJ9*Inputs!$B$55)</f>
        <v xml:space="preserve"> </v>
      </c>
      <c r="BF9" s="50" t="str">
        <f>IF(AK9=" "," ",AK9*Inputs!$B$55)</f>
        <v xml:space="preserve"> </v>
      </c>
      <c r="BG9" s="50" t="str">
        <f>IF(AL9=" "," ",AL9*Inputs!$B$55)</f>
        <v xml:space="preserve"> </v>
      </c>
      <c r="BH9" s="50" t="str">
        <f>IF(AM9=" "," ",AM9*Inputs!$B$55)</f>
        <v xml:space="preserve"> </v>
      </c>
      <c r="BI9" s="50" t="str">
        <f>IF(AN9=" "," ",AN9*Inputs!$B$55)</f>
        <v xml:space="preserve"> </v>
      </c>
      <c r="BJ9" s="50" t="str">
        <f>IF(AO9=" "," ",AO9*Inputs!$B$55)</f>
        <v xml:space="preserve"> </v>
      </c>
      <c r="BK9" s="50" t="str">
        <f>IF(AP9=" "," ",AP9*Inputs!$B$55)</f>
        <v xml:space="preserve"> </v>
      </c>
      <c r="BO9" s="591"/>
      <c r="BP9" s="628"/>
      <c r="BQ9" s="497"/>
      <c r="BR9" s="497"/>
      <c r="BS9" s="497"/>
      <c r="BT9" s="497"/>
      <c r="BU9" s="497"/>
      <c r="BV9" s="497"/>
      <c r="BW9" s="497"/>
      <c r="BX9" s="497"/>
      <c r="BY9" s="497"/>
      <c r="BZ9" s="497"/>
      <c r="CA9" s="497"/>
      <c r="CC9" s="449" t="str">
        <f>IF(U9="","",AVERAGE(U9:U10))</f>
        <v/>
      </c>
      <c r="CD9" s="592" t="s">
        <v>7</v>
      </c>
      <c r="CE9" s="200">
        <f>MAX(BQ14:CA15)</f>
        <v>0</v>
      </c>
    </row>
    <row r="10" spans="1:99" ht="18.75" customHeight="1" x14ac:dyDescent="0.25">
      <c r="B10" s="589"/>
      <c r="C10" s="555"/>
      <c r="D10" s="589"/>
      <c r="E10" s="21"/>
      <c r="F10" s="152"/>
      <c r="G10" s="152"/>
      <c r="H10" s="152"/>
      <c r="I10" s="152"/>
      <c r="J10" s="152"/>
      <c r="K10" s="152"/>
      <c r="L10" s="152"/>
      <c r="M10" s="152"/>
      <c r="N10" s="152"/>
      <c r="O10" s="152"/>
      <c r="P10" s="152"/>
      <c r="Q10" s="244"/>
      <c r="R10" s="244"/>
      <c r="S10" s="244"/>
      <c r="T10" s="244"/>
      <c r="U10" s="152"/>
      <c r="W10" s="589"/>
      <c r="X10" s="555"/>
      <c r="Y10" s="51"/>
      <c r="Z10" s="27" t="s">
        <v>500</v>
      </c>
      <c r="AA10" s="50" t="str">
        <f>IF(F10=""," ",F10*Inputs!$B$39)</f>
        <v xml:space="preserve"> </v>
      </c>
      <c r="AB10" s="50" t="str">
        <f>IF(G10=""," ",G10*Inputs!$B$39)</f>
        <v xml:space="preserve"> </v>
      </c>
      <c r="AC10" s="50" t="str">
        <f>IF(H10=""," ",H10*Inputs!$B$39)</f>
        <v xml:space="preserve"> </v>
      </c>
      <c r="AD10" s="50" t="str">
        <f>IF(I10=""," ",I10*Inputs!$B$39)</f>
        <v xml:space="preserve"> </v>
      </c>
      <c r="AE10" s="50" t="str">
        <f>IF(J10=""," ",J10*Inputs!$B$39)</f>
        <v xml:space="preserve"> </v>
      </c>
      <c r="AF10" s="50" t="str">
        <f>IF(K10=""," ",K10*Inputs!$B$39)</f>
        <v xml:space="preserve"> </v>
      </c>
      <c r="AG10" s="50" t="str">
        <f>IF(L10=""," ",L10*Inputs!$B$39)</f>
        <v xml:space="preserve"> </v>
      </c>
      <c r="AH10" s="50" t="str">
        <f>IF(M10=""," ",M10*Inputs!$B$39)</f>
        <v xml:space="preserve"> </v>
      </c>
      <c r="AI10" s="50" t="str">
        <f>IF(N10=""," ",N10*Inputs!$B$39)</f>
        <v xml:space="preserve"> </v>
      </c>
      <c r="AJ10" s="50" t="str">
        <f>IF(O10=""," ",O10*Inputs!$B$39)</f>
        <v xml:space="preserve"> </v>
      </c>
      <c r="AK10" s="50" t="str">
        <f>IF(P10=""," ",P10*Inputs!$B$39)</f>
        <v xml:space="preserve"> </v>
      </c>
      <c r="AL10" s="50" t="str">
        <f>IF(Q10=""," ",Q10*Inputs!$B$39)</f>
        <v xml:space="preserve"> </v>
      </c>
      <c r="AM10" s="50" t="str">
        <f>IF(R10=""," ",R10*Inputs!$B$39)</f>
        <v xml:space="preserve"> </v>
      </c>
      <c r="AN10" s="50" t="str">
        <f>IF(S10=""," ",S10*Inputs!$B$39)</f>
        <v xml:space="preserve"> </v>
      </c>
      <c r="AO10" s="50" t="str">
        <f>IF(T10=""," ",T10*Inputs!$B$39)</f>
        <v xml:space="preserve"> </v>
      </c>
      <c r="AP10" s="50" t="str">
        <f>IF(U10=""," ",U10*Inputs!$B$39)</f>
        <v xml:space="preserve"> </v>
      </c>
      <c r="AR10" s="589"/>
      <c r="AS10" s="555"/>
      <c r="AT10" s="51"/>
      <c r="AU10" s="27" t="s">
        <v>500</v>
      </c>
      <c r="AV10" s="50" t="str">
        <f>IF(AA10=" "," ",AA10*Inputs!$B$55)</f>
        <v xml:space="preserve"> </v>
      </c>
      <c r="AW10" s="50" t="str">
        <f>IF(AB10=" "," ",AB10*Inputs!$B$55)</f>
        <v xml:space="preserve"> </v>
      </c>
      <c r="AX10" s="50" t="str">
        <f>IF(AC10=" "," ",AC10*Inputs!$B$55)</f>
        <v xml:space="preserve"> </v>
      </c>
      <c r="AY10" s="50" t="str">
        <f>IF(AD10=" "," ",AD10*Inputs!$B$55)</f>
        <v xml:space="preserve"> </v>
      </c>
      <c r="AZ10" s="50" t="str">
        <f>IF(AE10=" "," ",AE10*Inputs!$B$55)</f>
        <v xml:space="preserve"> </v>
      </c>
      <c r="BA10" s="50" t="str">
        <f>IF(AF10=" "," ",AF10*Inputs!$B$55)</f>
        <v xml:space="preserve"> </v>
      </c>
      <c r="BB10" s="50" t="str">
        <f>IF(AG10=" "," ",AG10*Inputs!$B$55)</f>
        <v xml:space="preserve"> </v>
      </c>
      <c r="BC10" s="50" t="str">
        <f>IF(AH10=" "," ",AH10*Inputs!$B$55)</f>
        <v xml:space="preserve"> </v>
      </c>
      <c r="BD10" s="50" t="str">
        <f>IF(AI10=" "," ",AI10*Inputs!$B$55)</f>
        <v xml:space="preserve"> </v>
      </c>
      <c r="BE10" s="50" t="str">
        <f>IF(AJ10=" "," ",AJ10*Inputs!$B$55)</f>
        <v xml:space="preserve"> </v>
      </c>
      <c r="BF10" s="50" t="str">
        <f>IF(AK10=" "," ",AK10*Inputs!$B$55)</f>
        <v xml:space="preserve"> </v>
      </c>
      <c r="BG10" s="50" t="str">
        <f>IF(AL10=" "," ",AL10*Inputs!$B$55)</f>
        <v xml:space="preserve"> </v>
      </c>
      <c r="BH10" s="50" t="str">
        <f>IF(AM10=" "," ",AM10*Inputs!$B$55)</f>
        <v xml:space="preserve"> </v>
      </c>
      <c r="BI10" s="50" t="str">
        <f>IF(AN10=" "," ",AN10*Inputs!$B$55)</f>
        <v xml:space="preserve"> </v>
      </c>
      <c r="BJ10" s="50" t="str">
        <f>IF(AO10=" "," ",AO10*Inputs!$B$55)</f>
        <v xml:space="preserve"> </v>
      </c>
      <c r="BK10" s="50" t="str">
        <f>IF(AP10=" "," ",AP10*Inputs!$B$55)</f>
        <v xml:space="preserve"> </v>
      </c>
      <c r="BO10" s="631"/>
      <c r="BP10" s="628"/>
      <c r="BQ10" s="497" t="str">
        <f t="shared" ref="BQ10:CA10" si="3">IF(F16=""," ",AVERAGE(F16:F19)*$CD$16)</f>
        <v xml:space="preserve"> </v>
      </c>
      <c r="BR10" s="497" t="str">
        <f t="shared" si="3"/>
        <v xml:space="preserve"> </v>
      </c>
      <c r="BS10" s="497" t="str">
        <f t="shared" si="3"/>
        <v xml:space="preserve"> </v>
      </c>
      <c r="BT10" s="497" t="str">
        <f t="shared" si="3"/>
        <v xml:space="preserve"> </v>
      </c>
      <c r="BU10" s="497" t="str">
        <f t="shared" si="3"/>
        <v xml:space="preserve"> </v>
      </c>
      <c r="BV10" s="497" t="str">
        <f t="shared" si="3"/>
        <v xml:space="preserve"> </v>
      </c>
      <c r="BW10" s="497" t="str">
        <f t="shared" si="3"/>
        <v xml:space="preserve"> </v>
      </c>
      <c r="BX10" s="497" t="str">
        <f t="shared" si="3"/>
        <v xml:space="preserve"> </v>
      </c>
      <c r="BY10" s="497" t="str">
        <f t="shared" si="3"/>
        <v xml:space="preserve"> </v>
      </c>
      <c r="BZ10" s="497" t="str">
        <f t="shared" si="3"/>
        <v xml:space="preserve"> </v>
      </c>
      <c r="CA10" s="497" t="str">
        <f t="shared" si="3"/>
        <v xml:space="preserve"> </v>
      </c>
      <c r="CC10" s="450"/>
      <c r="CD10" s="589"/>
      <c r="CE10" s="200">
        <f>MAX(BQ16:CA17)</f>
        <v>0</v>
      </c>
    </row>
    <row r="11" spans="1:99" ht="18.75" customHeight="1" x14ac:dyDescent="0.25">
      <c r="B11" s="589"/>
      <c r="C11" s="555"/>
      <c r="D11" s="589"/>
      <c r="E11" s="21"/>
      <c r="F11" s="152"/>
      <c r="G11" s="152"/>
      <c r="H11" s="152"/>
      <c r="I11" s="152"/>
      <c r="J11" s="152"/>
      <c r="K11" s="152"/>
      <c r="L11" s="152"/>
      <c r="M11" s="152"/>
      <c r="N11" s="152"/>
      <c r="O11" s="152"/>
      <c r="P11" s="152"/>
      <c r="Q11" s="244"/>
      <c r="R11" s="244"/>
      <c r="S11" s="244"/>
      <c r="T11" s="244"/>
      <c r="U11" s="152"/>
      <c r="W11" s="589"/>
      <c r="X11" s="555"/>
      <c r="Y11" s="52"/>
      <c r="Z11" s="29" t="s">
        <v>501</v>
      </c>
      <c r="AA11" s="50" t="str">
        <f>IF(F11=""," ",F11*Inputs!$B$39)</f>
        <v xml:space="preserve"> </v>
      </c>
      <c r="AB11" s="50" t="str">
        <f>IF(G11=""," ",G11*Inputs!$B$39)</f>
        <v xml:space="preserve"> </v>
      </c>
      <c r="AC11" s="50" t="str">
        <f>IF(H11=""," ",H11*Inputs!$B$39)</f>
        <v xml:space="preserve"> </v>
      </c>
      <c r="AD11" s="50" t="str">
        <f>IF(I11=""," ",I11*Inputs!$B$39)</f>
        <v xml:space="preserve"> </v>
      </c>
      <c r="AE11" s="50" t="str">
        <f>IF(J11=""," ",J11*Inputs!$B$39)</f>
        <v xml:space="preserve"> </v>
      </c>
      <c r="AF11" s="50" t="str">
        <f>IF(K11=""," ",K11*Inputs!$B$39)</f>
        <v xml:space="preserve"> </v>
      </c>
      <c r="AG11" s="50" t="str">
        <f>IF(L11=""," ",L11*Inputs!$B$39)</f>
        <v xml:space="preserve"> </v>
      </c>
      <c r="AH11" s="50" t="str">
        <f>IF(M11=""," ",M11*Inputs!$B$39)</f>
        <v xml:space="preserve"> </v>
      </c>
      <c r="AI11" s="50" t="str">
        <f>IF(N11=""," ",N11*Inputs!$B$39)</f>
        <v xml:space="preserve"> </v>
      </c>
      <c r="AJ11" s="50" t="str">
        <f>IF(O11=""," ",O11*Inputs!$B$39)</f>
        <v xml:space="preserve"> </v>
      </c>
      <c r="AK11" s="50" t="str">
        <f>IF(P11=""," ",P11*Inputs!$B$39)</f>
        <v xml:space="preserve"> </v>
      </c>
      <c r="AL11" s="50" t="str">
        <f>IF(Q11=""," ",Q11*Inputs!$B$39)</f>
        <v xml:space="preserve"> </v>
      </c>
      <c r="AM11" s="50" t="str">
        <f>IF(R11=""," ",R11*Inputs!$B$39)</f>
        <v xml:space="preserve"> </v>
      </c>
      <c r="AN11" s="50" t="str">
        <f>IF(S11=""," ",S11*Inputs!$B$39)</f>
        <v xml:space="preserve"> </v>
      </c>
      <c r="AO11" s="50" t="str">
        <f>IF(T11=""," ",T11*Inputs!$B$39)</f>
        <v xml:space="preserve"> </v>
      </c>
      <c r="AP11" s="50" t="str">
        <f>IF(U11=""," ",U11*Inputs!$B$39)</f>
        <v xml:space="preserve"> </v>
      </c>
      <c r="AR11" s="589"/>
      <c r="AS11" s="555"/>
      <c r="AT11" s="52"/>
      <c r="AU11" s="29" t="s">
        <v>501</v>
      </c>
      <c r="AV11" s="50" t="str">
        <f>IF(AA11=" "," ",AA11*Inputs!$B$55)</f>
        <v xml:space="preserve"> </v>
      </c>
      <c r="AW11" s="50" t="str">
        <f>IF(AB11=" "," ",AB11*Inputs!$B$55)</f>
        <v xml:space="preserve"> </v>
      </c>
      <c r="AX11" s="50" t="str">
        <f>IF(AC11=" "," ",AC11*Inputs!$B$55)</f>
        <v xml:space="preserve"> </v>
      </c>
      <c r="AY11" s="50" t="str">
        <f>IF(AD11=" "," ",AD11*Inputs!$B$55)</f>
        <v xml:space="preserve"> </v>
      </c>
      <c r="AZ11" s="50" t="str">
        <f>IF(AE11=" "," ",AE11*Inputs!$B$55)</f>
        <v xml:space="preserve"> </v>
      </c>
      <c r="BA11" s="50" t="str">
        <f>IF(AF11=" "," ",AF11*Inputs!$B$55)</f>
        <v xml:space="preserve"> </v>
      </c>
      <c r="BB11" s="50" t="str">
        <f>IF(AG11=" "," ",AG11*Inputs!$B$55)</f>
        <v xml:space="preserve"> </v>
      </c>
      <c r="BC11" s="50" t="str">
        <f>IF(AH11=" "," ",AH11*Inputs!$B$55)</f>
        <v xml:space="preserve"> </v>
      </c>
      <c r="BD11" s="50" t="str">
        <f>IF(AI11=" "," ",AI11*Inputs!$B$55)</f>
        <v xml:space="preserve"> </v>
      </c>
      <c r="BE11" s="50" t="str">
        <f>IF(AJ11=" "," ",AJ11*Inputs!$B$55)</f>
        <v xml:space="preserve"> </v>
      </c>
      <c r="BF11" s="50" t="str">
        <f>IF(AK11=" "," ",AK11*Inputs!$B$55)</f>
        <v xml:space="preserve"> </v>
      </c>
      <c r="BG11" s="50" t="str">
        <f>IF(AL11=" "," ",AL11*Inputs!$B$55)</f>
        <v xml:space="preserve"> </v>
      </c>
      <c r="BH11" s="50" t="str">
        <f>IF(AM11=" "," ",AM11*Inputs!$B$55)</f>
        <v xml:space="preserve"> </v>
      </c>
      <c r="BI11" s="50" t="str">
        <f>IF(AN11=" "," ",AN11*Inputs!$B$55)</f>
        <v xml:space="preserve"> </v>
      </c>
      <c r="BJ11" s="50" t="str">
        <f>IF(AO11=" "," ",AO11*Inputs!$B$55)</f>
        <v xml:space="preserve"> </v>
      </c>
      <c r="BK11" s="50" t="str">
        <f>IF(AP11=" "," ",AP11*Inputs!$B$55)</f>
        <v xml:space="preserve"> </v>
      </c>
      <c r="BO11" s="591"/>
      <c r="BP11" s="628"/>
      <c r="BQ11" s="497"/>
      <c r="BR11" s="497"/>
      <c r="BS11" s="497"/>
      <c r="BT11" s="497"/>
      <c r="BU11" s="497"/>
      <c r="BV11" s="497"/>
      <c r="BW11" s="497"/>
      <c r="BX11" s="497"/>
      <c r="BY11" s="497"/>
      <c r="BZ11" s="497"/>
      <c r="CA11" s="497"/>
      <c r="CC11" s="447"/>
      <c r="CD11" s="589"/>
      <c r="CE11" s="200">
        <f>MAX(BQ18:CA19)</f>
        <v>0</v>
      </c>
    </row>
    <row r="12" spans="1:99" ht="18.75" customHeight="1" x14ac:dyDescent="0.25">
      <c r="B12" s="630"/>
      <c r="C12" s="555"/>
      <c r="D12" s="588"/>
      <c r="E12" s="150"/>
      <c r="F12" s="151"/>
      <c r="G12" s="151"/>
      <c r="H12" s="151"/>
      <c r="I12" s="151"/>
      <c r="J12" s="151"/>
      <c r="K12" s="151"/>
      <c r="L12" s="151"/>
      <c r="M12" s="151"/>
      <c r="N12" s="151"/>
      <c r="O12" s="151"/>
      <c r="P12" s="151"/>
      <c r="Q12" s="243"/>
      <c r="R12" s="243"/>
      <c r="S12" s="243"/>
      <c r="T12" s="243"/>
      <c r="U12" s="151"/>
      <c r="W12" s="630"/>
      <c r="X12" s="555"/>
      <c r="Y12" s="50"/>
      <c r="Z12" s="24" t="s">
        <v>498</v>
      </c>
      <c r="AA12" s="50" t="str">
        <f>IF(F12=""," ",F12*Inputs!$B$39)</f>
        <v xml:space="preserve"> </v>
      </c>
      <c r="AB12" s="50" t="str">
        <f>IF(G12=""," ",G12*Inputs!$B$39)</f>
        <v xml:space="preserve"> </v>
      </c>
      <c r="AC12" s="50" t="str">
        <f>IF(H12=""," ",H12*Inputs!$B$39)</f>
        <v xml:space="preserve"> </v>
      </c>
      <c r="AD12" s="50" t="str">
        <f>IF(I12=""," ",I12*Inputs!$B$39)</f>
        <v xml:space="preserve"> </v>
      </c>
      <c r="AE12" s="50" t="str">
        <f>IF(J12=""," ",J12*Inputs!$B$39)</f>
        <v xml:space="preserve"> </v>
      </c>
      <c r="AF12" s="50" t="str">
        <f>IF(K12=""," ",K12*Inputs!$B$39)</f>
        <v xml:space="preserve"> </v>
      </c>
      <c r="AG12" s="50" t="str">
        <f>IF(L12=""," ",L12*Inputs!$B$39)</f>
        <v xml:space="preserve"> </v>
      </c>
      <c r="AH12" s="50" t="str">
        <f>IF(M12=""," ",M12*Inputs!$B$39)</f>
        <v xml:space="preserve"> </v>
      </c>
      <c r="AI12" s="50" t="str">
        <f>IF(N12=""," ",N12*Inputs!$B$39)</f>
        <v xml:space="preserve"> </v>
      </c>
      <c r="AJ12" s="50" t="str">
        <f>IF(O12=""," ",O12*Inputs!$B$39)</f>
        <v xml:space="preserve"> </v>
      </c>
      <c r="AK12" s="50" t="str">
        <f>IF(P12=""," ",P12*Inputs!$B$39)</f>
        <v xml:space="preserve"> </v>
      </c>
      <c r="AL12" s="50" t="str">
        <f>IF(Q12=""," ",Q12*Inputs!$B$39)</f>
        <v xml:space="preserve"> </v>
      </c>
      <c r="AM12" s="50" t="str">
        <f>IF(R12=""," ",R12*Inputs!$B$39)</f>
        <v xml:space="preserve"> </v>
      </c>
      <c r="AN12" s="50" t="str">
        <f>IF(S12=""," ",S12*Inputs!$B$39)</f>
        <v xml:space="preserve"> </v>
      </c>
      <c r="AO12" s="50" t="str">
        <f>IF(T12=""," ",T12*Inputs!$B$39)</f>
        <v xml:space="preserve"> </v>
      </c>
      <c r="AP12" s="50" t="str">
        <f>IF(U12=""," ",U12*Inputs!$B$39)</f>
        <v xml:space="preserve"> </v>
      </c>
      <c r="AR12" s="630"/>
      <c r="AS12" s="555"/>
      <c r="AT12" s="50"/>
      <c r="AU12" s="24" t="s">
        <v>498</v>
      </c>
      <c r="AV12" s="50" t="str">
        <f>IF(AA12=" "," ",AA12*Inputs!$B$55)</f>
        <v xml:space="preserve"> </v>
      </c>
      <c r="AW12" s="50" t="str">
        <f>IF(AB12=" "," ",AB12*Inputs!$B$55)</f>
        <v xml:space="preserve"> </v>
      </c>
      <c r="AX12" s="50" t="str">
        <f>IF(AC12=" "," ",AC12*Inputs!$B$55)</f>
        <v xml:space="preserve"> </v>
      </c>
      <c r="AY12" s="50" t="str">
        <f>IF(AD12=" "," ",AD12*Inputs!$B$55)</f>
        <v xml:space="preserve"> </v>
      </c>
      <c r="AZ12" s="50" t="str">
        <f>IF(AE12=" "," ",AE12*Inputs!$B$55)</f>
        <v xml:space="preserve"> </v>
      </c>
      <c r="BA12" s="50" t="str">
        <f>IF(AF12=" "," ",AF12*Inputs!$B$55)</f>
        <v xml:space="preserve"> </v>
      </c>
      <c r="BB12" s="50" t="str">
        <f>IF(AG12=" "," ",AG12*Inputs!$B$55)</f>
        <v xml:space="preserve"> </v>
      </c>
      <c r="BC12" s="50" t="str">
        <f>IF(AH12=" "," ",AH12*Inputs!$B$55)</f>
        <v xml:space="preserve"> </v>
      </c>
      <c r="BD12" s="50" t="str">
        <f>IF(AI12=" "," ",AI12*Inputs!$B$55)</f>
        <v xml:space="preserve"> </v>
      </c>
      <c r="BE12" s="50" t="str">
        <f>IF(AJ12=" "," ",AJ12*Inputs!$B$55)</f>
        <v xml:space="preserve"> </v>
      </c>
      <c r="BF12" s="50" t="str">
        <f>IF(AK12=" "," ",AK12*Inputs!$B$55)</f>
        <v xml:space="preserve"> </v>
      </c>
      <c r="BG12" s="50" t="str">
        <f>IF(AL12=" "," ",AL12*Inputs!$B$55)</f>
        <v xml:space="preserve"> </v>
      </c>
      <c r="BH12" s="50" t="str">
        <f>IF(AM12=" "," ",AM12*Inputs!$B$55)</f>
        <v xml:space="preserve"> </v>
      </c>
      <c r="BI12" s="50" t="str">
        <f>IF(AN12=" "," ",AN12*Inputs!$B$55)</f>
        <v xml:space="preserve"> </v>
      </c>
      <c r="BJ12" s="50" t="str">
        <f>IF(AO12=" "," ",AO12*Inputs!$B$55)</f>
        <v xml:space="preserve"> </v>
      </c>
      <c r="BK12" s="50" t="str">
        <f>IF(AP12=" "," ",AP12*Inputs!$B$55)</f>
        <v xml:space="preserve"> </v>
      </c>
      <c r="BO12" s="620"/>
      <c r="BP12" s="628"/>
      <c r="BQ12" s="497" t="str">
        <f t="shared" ref="BQ12:CA12" si="4">IF(F20=""," ",AVERAGE(F20:F23)*$CD$16)</f>
        <v xml:space="preserve"> </v>
      </c>
      <c r="BR12" s="497" t="str">
        <f t="shared" si="4"/>
        <v xml:space="preserve"> </v>
      </c>
      <c r="BS12" s="497" t="str">
        <f t="shared" si="4"/>
        <v xml:space="preserve"> </v>
      </c>
      <c r="BT12" s="497" t="str">
        <f t="shared" si="4"/>
        <v xml:space="preserve"> </v>
      </c>
      <c r="BU12" s="497" t="str">
        <f t="shared" si="4"/>
        <v xml:space="preserve"> </v>
      </c>
      <c r="BV12" s="497" t="str">
        <f t="shared" si="4"/>
        <v xml:space="preserve"> </v>
      </c>
      <c r="BW12" s="497" t="str">
        <f t="shared" si="4"/>
        <v xml:space="preserve"> </v>
      </c>
      <c r="BX12" s="497" t="str">
        <f t="shared" si="4"/>
        <v xml:space="preserve"> </v>
      </c>
      <c r="BY12" s="497" t="str">
        <f t="shared" si="4"/>
        <v xml:space="preserve"> </v>
      </c>
      <c r="BZ12" s="497" t="str">
        <f t="shared" si="4"/>
        <v xml:space="preserve"> </v>
      </c>
      <c r="CA12" s="497" t="str">
        <f t="shared" si="4"/>
        <v xml:space="preserve"> </v>
      </c>
      <c r="CC12" s="38"/>
      <c r="CD12" s="589"/>
      <c r="CE12" s="200">
        <f>MAX(BQ20:CA21)</f>
        <v>0</v>
      </c>
    </row>
    <row r="13" spans="1:99" ht="18.75" customHeight="1" x14ac:dyDescent="0.25">
      <c r="B13" s="589"/>
      <c r="C13" s="555"/>
      <c r="D13" s="589"/>
      <c r="E13" s="21"/>
      <c r="F13" s="152"/>
      <c r="G13" s="152"/>
      <c r="H13" s="152"/>
      <c r="I13" s="152"/>
      <c r="J13" s="152"/>
      <c r="K13" s="152"/>
      <c r="L13" s="152"/>
      <c r="M13" s="152"/>
      <c r="N13" s="152"/>
      <c r="O13" s="152"/>
      <c r="P13" s="152"/>
      <c r="Q13" s="244"/>
      <c r="R13" s="244"/>
      <c r="S13" s="244"/>
      <c r="T13" s="244"/>
      <c r="U13" s="152"/>
      <c r="W13" s="589"/>
      <c r="X13" s="555"/>
      <c r="Y13" s="51"/>
      <c r="Z13" s="27" t="s">
        <v>499</v>
      </c>
      <c r="AA13" s="50" t="str">
        <f>IF(F13=""," ",F13*Inputs!$B$39)</f>
        <v xml:space="preserve"> </v>
      </c>
      <c r="AB13" s="50" t="str">
        <f>IF(G13=""," ",G13*Inputs!$B$39)</f>
        <v xml:space="preserve"> </v>
      </c>
      <c r="AC13" s="50" t="str">
        <f>IF(H13=""," ",H13*Inputs!$B$39)</f>
        <v xml:space="preserve"> </v>
      </c>
      <c r="AD13" s="50" t="str">
        <f>IF(I13=""," ",I13*Inputs!$B$39)</f>
        <v xml:space="preserve"> </v>
      </c>
      <c r="AE13" s="50" t="str">
        <f>IF(J13=""," ",J13*Inputs!$B$39)</f>
        <v xml:space="preserve"> </v>
      </c>
      <c r="AF13" s="50" t="str">
        <f>IF(K13=""," ",K13*Inputs!$B$39)</f>
        <v xml:space="preserve"> </v>
      </c>
      <c r="AG13" s="50" t="str">
        <f>IF(L13=""," ",L13*Inputs!$B$39)</f>
        <v xml:space="preserve"> </v>
      </c>
      <c r="AH13" s="50" t="str">
        <f>IF(M13=""," ",M13*Inputs!$B$39)</f>
        <v xml:space="preserve"> </v>
      </c>
      <c r="AI13" s="50" t="str">
        <f>IF(N13=""," ",N13*Inputs!$B$39)</f>
        <v xml:space="preserve"> </v>
      </c>
      <c r="AJ13" s="50" t="str">
        <f>IF(O13=""," ",O13*Inputs!$B$39)</f>
        <v xml:space="preserve"> </v>
      </c>
      <c r="AK13" s="50" t="str">
        <f>IF(P13=""," ",P13*Inputs!$B$39)</f>
        <v xml:space="preserve"> </v>
      </c>
      <c r="AL13" s="50" t="str">
        <f>IF(Q13=""," ",Q13*Inputs!$B$39)</f>
        <v xml:space="preserve"> </v>
      </c>
      <c r="AM13" s="50" t="str">
        <f>IF(R13=""," ",R13*Inputs!$B$39)</f>
        <v xml:space="preserve"> </v>
      </c>
      <c r="AN13" s="50" t="str">
        <f>IF(S13=""," ",S13*Inputs!$B$39)</f>
        <v xml:space="preserve"> </v>
      </c>
      <c r="AO13" s="50" t="str">
        <f>IF(T13=""," ",T13*Inputs!$B$39)</f>
        <v xml:space="preserve"> </v>
      </c>
      <c r="AP13" s="50" t="str">
        <f>IF(U13=""," ",U13*Inputs!$B$39)</f>
        <v xml:space="preserve"> </v>
      </c>
      <c r="AR13" s="589"/>
      <c r="AS13" s="555"/>
      <c r="AT13" s="51"/>
      <c r="AU13" s="27" t="s">
        <v>499</v>
      </c>
      <c r="AV13" s="50" t="str">
        <f>IF(AA13=" "," ",AA13*Inputs!$B$55)</f>
        <v xml:space="preserve"> </v>
      </c>
      <c r="AW13" s="50" t="str">
        <f>IF(AB13=" "," ",AB13*Inputs!$B$55)</f>
        <v xml:space="preserve"> </v>
      </c>
      <c r="AX13" s="50" t="str">
        <f>IF(AC13=" "," ",AC13*Inputs!$B$55)</f>
        <v xml:space="preserve"> </v>
      </c>
      <c r="AY13" s="50" t="str">
        <f>IF(AD13=" "," ",AD13*Inputs!$B$55)</f>
        <v xml:space="preserve"> </v>
      </c>
      <c r="AZ13" s="50" t="str">
        <f>IF(AE13=" "," ",AE13*Inputs!$B$55)</f>
        <v xml:space="preserve"> </v>
      </c>
      <c r="BA13" s="50" t="str">
        <f>IF(AF13=" "," ",AF13*Inputs!$B$55)</f>
        <v xml:space="preserve"> </v>
      </c>
      <c r="BB13" s="50" t="str">
        <f>IF(AG13=" "," ",AG13*Inputs!$B$55)</f>
        <v xml:space="preserve"> </v>
      </c>
      <c r="BC13" s="50" t="str">
        <f>IF(AH13=" "," ",AH13*Inputs!$B$55)</f>
        <v xml:space="preserve"> </v>
      </c>
      <c r="BD13" s="50" t="str">
        <f>IF(AI13=" "," ",AI13*Inputs!$B$55)</f>
        <v xml:space="preserve"> </v>
      </c>
      <c r="BE13" s="50" t="str">
        <f>IF(AJ13=" "," ",AJ13*Inputs!$B$55)</f>
        <v xml:space="preserve"> </v>
      </c>
      <c r="BF13" s="50" t="str">
        <f>IF(AK13=" "," ",AK13*Inputs!$B$55)</f>
        <v xml:space="preserve"> </v>
      </c>
      <c r="BG13" s="50" t="str">
        <f>IF(AL13=" "," ",AL13*Inputs!$B$55)</f>
        <v xml:space="preserve"> </v>
      </c>
      <c r="BH13" s="50" t="str">
        <f>IF(AM13=" "," ",AM13*Inputs!$B$55)</f>
        <v xml:space="preserve"> </v>
      </c>
      <c r="BI13" s="50" t="str">
        <f>IF(AN13=" "," ",AN13*Inputs!$B$55)</f>
        <v xml:space="preserve"> </v>
      </c>
      <c r="BJ13" s="50" t="str">
        <f>IF(AO13=" "," ",AO13*Inputs!$B$55)</f>
        <v xml:space="preserve"> </v>
      </c>
      <c r="BK13" s="50" t="str">
        <f>IF(AP13=" "," ",AP13*Inputs!$B$55)</f>
        <v xml:space="preserve"> </v>
      </c>
      <c r="BO13" s="591"/>
      <c r="BP13" s="629"/>
      <c r="BQ13" s="497"/>
      <c r="BR13" s="497"/>
      <c r="BS13" s="497"/>
      <c r="BT13" s="497"/>
      <c r="BU13" s="497"/>
      <c r="BV13" s="497"/>
      <c r="BW13" s="497"/>
      <c r="BX13" s="497"/>
      <c r="BY13" s="497"/>
      <c r="BZ13" s="497"/>
      <c r="CA13" s="497"/>
      <c r="CC13" s="451"/>
      <c r="CD13" s="591"/>
      <c r="CE13" s="200">
        <f>MAX(BQ22:CA23)</f>
        <v>0</v>
      </c>
    </row>
    <row r="14" spans="1:99" ht="18.75" customHeight="1" x14ac:dyDescent="0.25">
      <c r="B14" s="589"/>
      <c r="C14" s="555"/>
      <c r="D14" s="589"/>
      <c r="E14" s="21"/>
      <c r="F14" s="152"/>
      <c r="G14" s="152"/>
      <c r="H14" s="152"/>
      <c r="I14" s="152"/>
      <c r="J14" s="152"/>
      <c r="K14" s="152"/>
      <c r="L14" s="152"/>
      <c r="M14" s="152"/>
      <c r="N14" s="152"/>
      <c r="O14" s="152"/>
      <c r="P14" s="152"/>
      <c r="Q14" s="244"/>
      <c r="R14" s="244"/>
      <c r="S14" s="244"/>
      <c r="T14" s="244"/>
      <c r="U14" s="152"/>
      <c r="W14" s="589"/>
      <c r="X14" s="555"/>
      <c r="Y14" s="51"/>
      <c r="Z14" s="27" t="s">
        <v>500</v>
      </c>
      <c r="AA14" s="50" t="str">
        <f>IF(F14=""," ",F14*Inputs!$B$39)</f>
        <v xml:space="preserve"> </v>
      </c>
      <c r="AB14" s="50" t="str">
        <f>IF(G14=""," ",G14*Inputs!$B$39)</f>
        <v xml:space="preserve"> </v>
      </c>
      <c r="AC14" s="50" t="str">
        <f>IF(H14=""," ",H14*Inputs!$B$39)</f>
        <v xml:space="preserve"> </v>
      </c>
      <c r="AD14" s="50" t="str">
        <f>IF(I14=""," ",I14*Inputs!$B$39)</f>
        <v xml:space="preserve"> </v>
      </c>
      <c r="AE14" s="50" t="str">
        <f>IF(J14=""," ",J14*Inputs!$B$39)</f>
        <v xml:space="preserve"> </v>
      </c>
      <c r="AF14" s="50" t="str">
        <f>IF(K14=""," ",K14*Inputs!$B$39)</f>
        <v xml:space="preserve"> </v>
      </c>
      <c r="AG14" s="50" t="str">
        <f>IF(L14=""," ",L14*Inputs!$B$39)</f>
        <v xml:space="preserve"> </v>
      </c>
      <c r="AH14" s="50" t="str">
        <f>IF(M14=""," ",M14*Inputs!$B$39)</f>
        <v xml:space="preserve"> </v>
      </c>
      <c r="AI14" s="50" t="str">
        <f>IF(N14=""," ",N14*Inputs!$B$39)</f>
        <v xml:space="preserve"> </v>
      </c>
      <c r="AJ14" s="50" t="str">
        <f>IF(O14=""," ",O14*Inputs!$B$39)</f>
        <v xml:space="preserve"> </v>
      </c>
      <c r="AK14" s="50" t="str">
        <f>IF(P14=""," ",P14*Inputs!$B$39)</f>
        <v xml:space="preserve"> </v>
      </c>
      <c r="AL14" s="50" t="str">
        <f>IF(Q14=""," ",Q14*Inputs!$B$39)</f>
        <v xml:space="preserve"> </v>
      </c>
      <c r="AM14" s="50" t="str">
        <f>IF(R14=""," ",R14*Inputs!$B$39)</f>
        <v xml:space="preserve"> </v>
      </c>
      <c r="AN14" s="50" t="str">
        <f>IF(S14=""," ",S14*Inputs!$B$39)</f>
        <v xml:space="preserve"> </v>
      </c>
      <c r="AO14" s="50" t="str">
        <f>IF(T14=""," ",T14*Inputs!$B$39)</f>
        <v xml:space="preserve"> </v>
      </c>
      <c r="AP14" s="50" t="str">
        <f>IF(U14=""," ",U14*Inputs!$B$39)</f>
        <v xml:space="preserve"> </v>
      </c>
      <c r="AR14" s="589"/>
      <c r="AS14" s="555"/>
      <c r="AT14" s="51"/>
      <c r="AU14" s="27" t="s">
        <v>500</v>
      </c>
      <c r="AV14" s="50" t="str">
        <f>IF(AA14=" "," ",AA14*Inputs!$B$55)</f>
        <v xml:space="preserve"> </v>
      </c>
      <c r="AW14" s="50" t="str">
        <f>IF(AB14=" "," ",AB14*Inputs!$B$55)</f>
        <v xml:space="preserve"> </v>
      </c>
      <c r="AX14" s="50" t="str">
        <f>IF(AC14=" "," ",AC14*Inputs!$B$55)</f>
        <v xml:space="preserve"> </v>
      </c>
      <c r="AY14" s="50" t="str">
        <f>IF(AD14=" "," ",AD14*Inputs!$B$55)</f>
        <v xml:space="preserve"> </v>
      </c>
      <c r="AZ14" s="50" t="str">
        <f>IF(AE14=" "," ",AE14*Inputs!$B$55)</f>
        <v xml:space="preserve"> </v>
      </c>
      <c r="BA14" s="50" t="str">
        <f>IF(AF14=" "," ",AF14*Inputs!$B$55)</f>
        <v xml:space="preserve"> </v>
      </c>
      <c r="BB14" s="50" t="str">
        <f>IF(AG14=" "," ",AG14*Inputs!$B$55)</f>
        <v xml:space="preserve"> </v>
      </c>
      <c r="BC14" s="50" t="str">
        <f>IF(AH14=" "," ",AH14*Inputs!$B$55)</f>
        <v xml:space="preserve"> </v>
      </c>
      <c r="BD14" s="50" t="str">
        <f>IF(AI14=" "," ",AI14*Inputs!$B$55)</f>
        <v xml:space="preserve"> </v>
      </c>
      <c r="BE14" s="50" t="str">
        <f>IF(AJ14=" "," ",AJ14*Inputs!$B$55)</f>
        <v xml:space="preserve"> </v>
      </c>
      <c r="BF14" s="50" t="str">
        <f>IF(AK14=" "," ",AK14*Inputs!$B$55)</f>
        <v xml:space="preserve"> </v>
      </c>
      <c r="BG14" s="50" t="str">
        <f>IF(AL14=" "," ",AL14*Inputs!$B$55)</f>
        <v xml:space="preserve"> </v>
      </c>
      <c r="BH14" s="50" t="str">
        <f>IF(AM14=" "," ",AM14*Inputs!$B$55)</f>
        <v xml:space="preserve"> </v>
      </c>
      <c r="BI14" s="50" t="str">
        <f>IF(AN14=" "," ",AN14*Inputs!$B$55)</f>
        <v xml:space="preserve"> </v>
      </c>
      <c r="BJ14" s="50" t="str">
        <f>IF(AO14=" "," ",AO14*Inputs!$B$55)</f>
        <v xml:space="preserve"> </v>
      </c>
      <c r="BK14" s="50" t="str">
        <f>IF(AP14=" "," ",AP14*Inputs!$B$55)</f>
        <v xml:space="preserve"> </v>
      </c>
      <c r="BO14" s="636"/>
      <c r="BP14" s="627" t="s">
        <v>7</v>
      </c>
      <c r="BQ14" s="497" t="str">
        <f t="shared" ref="BQ14:CA14" si="5">IF(F24=""," ",AVERAGE(F24:F27)*$CD$16)</f>
        <v xml:space="preserve"> </v>
      </c>
      <c r="BR14" s="497" t="str">
        <f t="shared" si="5"/>
        <v xml:space="preserve"> </v>
      </c>
      <c r="BS14" s="497" t="str">
        <f t="shared" si="5"/>
        <v xml:space="preserve"> </v>
      </c>
      <c r="BT14" s="497" t="str">
        <f t="shared" si="5"/>
        <v xml:space="preserve"> </v>
      </c>
      <c r="BU14" s="497" t="str">
        <f t="shared" si="5"/>
        <v xml:space="preserve"> </v>
      </c>
      <c r="BV14" s="497" t="str">
        <f t="shared" si="5"/>
        <v xml:space="preserve"> </v>
      </c>
      <c r="BW14" s="497" t="str">
        <f t="shared" si="5"/>
        <v xml:space="preserve"> </v>
      </c>
      <c r="BX14" s="497" t="str">
        <f t="shared" si="5"/>
        <v xml:space="preserve"> </v>
      </c>
      <c r="BY14" s="497" t="str">
        <f t="shared" si="5"/>
        <v xml:space="preserve"> </v>
      </c>
      <c r="BZ14" s="497" t="str">
        <f t="shared" si="5"/>
        <v xml:space="preserve"> </v>
      </c>
      <c r="CA14" s="497" t="str">
        <f t="shared" si="5"/>
        <v xml:space="preserve"> </v>
      </c>
      <c r="CC14" s="260"/>
    </row>
    <row r="15" spans="1:99" ht="19.5" customHeight="1" thickBot="1" x14ac:dyDescent="0.3">
      <c r="B15" s="589"/>
      <c r="C15" s="555"/>
      <c r="D15" s="589"/>
      <c r="E15" s="21"/>
      <c r="F15" s="152"/>
      <c r="G15" s="152"/>
      <c r="H15" s="152"/>
      <c r="I15" s="152"/>
      <c r="J15" s="152"/>
      <c r="K15" s="152"/>
      <c r="L15" s="152"/>
      <c r="M15" s="152"/>
      <c r="N15" s="152"/>
      <c r="O15" s="152"/>
      <c r="P15" s="152"/>
      <c r="Q15" s="244"/>
      <c r="R15" s="244"/>
      <c r="S15" s="244"/>
      <c r="T15" s="244"/>
      <c r="U15" s="152"/>
      <c r="W15" s="589"/>
      <c r="X15" s="555"/>
      <c r="Y15" s="52"/>
      <c r="Z15" s="29" t="s">
        <v>501</v>
      </c>
      <c r="AA15" s="50" t="str">
        <f>IF(F15=""," ",F15*Inputs!$B$39)</f>
        <v xml:space="preserve"> </v>
      </c>
      <c r="AB15" s="50" t="str">
        <f>IF(G15=""," ",G15*Inputs!$B$39)</f>
        <v xml:space="preserve"> </v>
      </c>
      <c r="AC15" s="50" t="str">
        <f>IF(H15=""," ",H15*Inputs!$B$39)</f>
        <v xml:space="preserve"> </v>
      </c>
      <c r="AD15" s="50" t="str">
        <f>IF(I15=""," ",I15*Inputs!$B$39)</f>
        <v xml:space="preserve"> </v>
      </c>
      <c r="AE15" s="50" t="str">
        <f>IF(J15=""," ",J15*Inputs!$B$39)</f>
        <v xml:space="preserve"> </v>
      </c>
      <c r="AF15" s="50" t="str">
        <f>IF(K15=""," ",K15*Inputs!$B$39)</f>
        <v xml:space="preserve"> </v>
      </c>
      <c r="AG15" s="50" t="str">
        <f>IF(L15=""," ",L15*Inputs!$B$39)</f>
        <v xml:space="preserve"> </v>
      </c>
      <c r="AH15" s="50" t="str">
        <f>IF(M15=""," ",M15*Inputs!$B$39)</f>
        <v xml:space="preserve"> </v>
      </c>
      <c r="AI15" s="50" t="str">
        <f>IF(N15=""," ",N15*Inputs!$B$39)</f>
        <v xml:space="preserve"> </v>
      </c>
      <c r="AJ15" s="50" t="str">
        <f>IF(O15=""," ",O15*Inputs!$B$39)</f>
        <v xml:space="preserve"> </v>
      </c>
      <c r="AK15" s="50" t="str">
        <f>IF(P15=""," ",P15*Inputs!$B$39)</f>
        <v xml:space="preserve"> </v>
      </c>
      <c r="AL15" s="50" t="str">
        <f>IF(Q15=""," ",Q15*Inputs!$B$39)</f>
        <v xml:space="preserve"> </v>
      </c>
      <c r="AM15" s="50" t="str">
        <f>IF(R15=""," ",R15*Inputs!$B$39)</f>
        <v xml:space="preserve"> </v>
      </c>
      <c r="AN15" s="50" t="str">
        <f>IF(S15=""," ",S15*Inputs!$B$39)</f>
        <v xml:space="preserve"> </v>
      </c>
      <c r="AO15" s="50" t="str">
        <f>IF(T15=""," ",T15*Inputs!$B$39)</f>
        <v xml:space="preserve"> </v>
      </c>
      <c r="AP15" s="50" t="str">
        <f>IF(U15=""," ",U15*Inputs!$B$39)</f>
        <v xml:space="preserve"> </v>
      </c>
      <c r="AR15" s="589"/>
      <c r="AS15" s="555"/>
      <c r="AT15" s="52"/>
      <c r="AU15" s="29" t="s">
        <v>501</v>
      </c>
      <c r="AV15" s="50" t="str">
        <f>IF(AA15=" "," ",AA15*Inputs!$B$55)</f>
        <v xml:space="preserve"> </v>
      </c>
      <c r="AW15" s="50" t="str">
        <f>IF(AB15=" "," ",AB15*Inputs!$B$55)</f>
        <v xml:space="preserve"> </v>
      </c>
      <c r="AX15" s="50" t="str">
        <f>IF(AC15=" "," ",AC15*Inputs!$B$55)</f>
        <v xml:space="preserve"> </v>
      </c>
      <c r="AY15" s="50" t="str">
        <f>IF(AD15=" "," ",AD15*Inputs!$B$55)</f>
        <v xml:space="preserve"> </v>
      </c>
      <c r="AZ15" s="50" t="str">
        <f>IF(AE15=" "," ",AE15*Inputs!$B$55)</f>
        <v xml:space="preserve"> </v>
      </c>
      <c r="BA15" s="50" t="str">
        <f>IF(AF15=" "," ",AF15*Inputs!$B$55)</f>
        <v xml:space="preserve"> </v>
      </c>
      <c r="BB15" s="50" t="str">
        <f>IF(AG15=" "," ",AG15*Inputs!$B$55)</f>
        <v xml:space="preserve"> </v>
      </c>
      <c r="BC15" s="50" t="str">
        <f>IF(AH15=" "," ",AH15*Inputs!$B$55)</f>
        <v xml:space="preserve"> </v>
      </c>
      <c r="BD15" s="50" t="str">
        <f>IF(AI15=" "," ",AI15*Inputs!$B$55)</f>
        <v xml:space="preserve"> </v>
      </c>
      <c r="BE15" s="50" t="str">
        <f>IF(AJ15=" "," ",AJ15*Inputs!$B$55)</f>
        <v xml:space="preserve"> </v>
      </c>
      <c r="BF15" s="50" t="str">
        <f>IF(AK15=" "," ",AK15*Inputs!$B$55)</f>
        <v xml:space="preserve"> </v>
      </c>
      <c r="BG15" s="50" t="str">
        <f>IF(AL15=" "," ",AL15*Inputs!$B$55)</f>
        <v xml:space="preserve"> </v>
      </c>
      <c r="BH15" s="50" t="str">
        <f>IF(AM15=" "," ",AM15*Inputs!$B$55)</f>
        <v xml:space="preserve"> </v>
      </c>
      <c r="BI15" s="50" t="str">
        <f>IF(AN15=" "," ",AN15*Inputs!$B$55)</f>
        <v xml:space="preserve"> </v>
      </c>
      <c r="BJ15" s="50" t="str">
        <f>IF(AO15=" "," ",AO15*Inputs!$B$55)</f>
        <v xml:space="preserve"> </v>
      </c>
      <c r="BK15" s="50" t="str">
        <f>IF(AP15=" "," ",AP15*Inputs!$B$55)</f>
        <v xml:space="preserve"> </v>
      </c>
      <c r="BO15" s="591"/>
      <c r="BP15" s="628"/>
      <c r="BQ15" s="497"/>
      <c r="BR15" s="497"/>
      <c r="BS15" s="497"/>
      <c r="BT15" s="497"/>
      <c r="BU15" s="497"/>
      <c r="BV15" s="497"/>
      <c r="BW15" s="497"/>
      <c r="BX15" s="497"/>
      <c r="BY15" s="497"/>
      <c r="BZ15" s="497"/>
      <c r="CA15" s="497"/>
      <c r="CC15" s="260"/>
    </row>
    <row r="16" spans="1:99" ht="19.5" customHeight="1" thickBot="1" x14ac:dyDescent="0.3">
      <c r="B16" s="626"/>
      <c r="C16" s="555"/>
      <c r="D16" s="588"/>
      <c r="E16" s="150"/>
      <c r="F16" s="151"/>
      <c r="G16" s="151"/>
      <c r="H16" s="151"/>
      <c r="I16" s="151"/>
      <c r="J16" s="151"/>
      <c r="K16" s="151"/>
      <c r="L16" s="151"/>
      <c r="M16" s="151"/>
      <c r="N16" s="151"/>
      <c r="O16" s="151"/>
      <c r="P16" s="151"/>
      <c r="Q16" s="243"/>
      <c r="R16" s="243"/>
      <c r="S16" s="243"/>
      <c r="T16" s="243"/>
      <c r="U16" s="151"/>
      <c r="W16" s="626"/>
      <c r="X16" s="555"/>
      <c r="Y16" s="50"/>
      <c r="Z16" s="24" t="s">
        <v>498</v>
      </c>
      <c r="AA16" s="50" t="str">
        <f>IF(F16=""," ",F16*Inputs!$B$39)</f>
        <v xml:space="preserve"> </v>
      </c>
      <c r="AB16" s="50" t="str">
        <f>IF(G16=""," ",G16*Inputs!$B$39)</f>
        <v xml:space="preserve"> </v>
      </c>
      <c r="AC16" s="50" t="str">
        <f>IF(H16=""," ",H16*Inputs!$B$39)</f>
        <v xml:space="preserve"> </v>
      </c>
      <c r="AD16" s="50" t="str">
        <f>IF(I16=""," ",I16*Inputs!$B$39)</f>
        <v xml:space="preserve"> </v>
      </c>
      <c r="AE16" s="50" t="str">
        <f>IF(J16=""," ",J16*Inputs!$B$39)</f>
        <v xml:space="preserve"> </v>
      </c>
      <c r="AF16" s="50" t="str">
        <f>IF(K16=""," ",K16*Inputs!$B$39)</f>
        <v xml:space="preserve"> </v>
      </c>
      <c r="AG16" s="50" t="str">
        <f>IF(L16=""," ",L16*Inputs!$B$39)</f>
        <v xml:space="preserve"> </v>
      </c>
      <c r="AH16" s="50" t="str">
        <f>IF(M16=""," ",M16*Inputs!$B$39)</f>
        <v xml:space="preserve"> </v>
      </c>
      <c r="AI16" s="50" t="str">
        <f>IF(N16=""," ",N16*Inputs!$B$39)</f>
        <v xml:space="preserve"> </v>
      </c>
      <c r="AJ16" s="50" t="str">
        <f>IF(O16=""," ",O16*Inputs!$B$39)</f>
        <v xml:space="preserve"> </v>
      </c>
      <c r="AK16" s="50" t="str">
        <f>IF(P16=""," ",P16*Inputs!$B$39)</f>
        <v xml:space="preserve"> </v>
      </c>
      <c r="AL16" s="50" t="str">
        <f>IF(Q16=""," ",Q16*Inputs!$B$39)</f>
        <v xml:space="preserve"> </v>
      </c>
      <c r="AM16" s="50" t="str">
        <f>IF(R16=""," ",R16*Inputs!$B$39)</f>
        <v xml:space="preserve"> </v>
      </c>
      <c r="AN16" s="50" t="str">
        <f>IF(S16=""," ",S16*Inputs!$B$39)</f>
        <v xml:space="preserve"> </v>
      </c>
      <c r="AO16" s="50" t="str">
        <f>IF(T16=""," ",T16*Inputs!$B$39)</f>
        <v xml:space="preserve"> </v>
      </c>
      <c r="AP16" s="50" t="str">
        <f>IF(U16=""," ",U16*Inputs!$B$39)</f>
        <v xml:space="preserve"> </v>
      </c>
      <c r="AR16" s="626"/>
      <c r="AS16" s="555"/>
      <c r="AT16" s="50"/>
      <c r="AU16" s="24" t="s">
        <v>498</v>
      </c>
      <c r="AV16" s="50" t="str">
        <f>IF(AA16=" "," ",AA16*Inputs!$B$55)</f>
        <v xml:space="preserve"> </v>
      </c>
      <c r="AW16" s="50" t="str">
        <f>IF(AB16=" "," ",AB16*Inputs!$B$55)</f>
        <v xml:space="preserve"> </v>
      </c>
      <c r="AX16" s="50" t="str">
        <f>IF(AC16=" "," ",AC16*Inputs!$B$55)</f>
        <v xml:space="preserve"> </v>
      </c>
      <c r="AY16" s="50" t="str">
        <f>IF(AD16=" "," ",AD16*Inputs!$B$55)</f>
        <v xml:space="preserve"> </v>
      </c>
      <c r="AZ16" s="50" t="str">
        <f>IF(AE16=" "," ",AE16*Inputs!$B$55)</f>
        <v xml:space="preserve"> </v>
      </c>
      <c r="BA16" s="50" t="str">
        <f>IF(AF16=" "," ",AF16*Inputs!$B$55)</f>
        <v xml:space="preserve"> </v>
      </c>
      <c r="BB16" s="50" t="str">
        <f>IF(AG16=" "," ",AG16*Inputs!$B$55)</f>
        <v xml:space="preserve"> </v>
      </c>
      <c r="BC16" s="50" t="str">
        <f>IF(AH16=" "," ",AH16*Inputs!$B$55)</f>
        <v xml:space="preserve"> </v>
      </c>
      <c r="BD16" s="50" t="str">
        <f>IF(AI16=" "," ",AI16*Inputs!$B$55)</f>
        <v xml:space="preserve"> </v>
      </c>
      <c r="BE16" s="50" t="str">
        <f>IF(AJ16=" "," ",AJ16*Inputs!$B$55)</f>
        <v xml:space="preserve"> </v>
      </c>
      <c r="BF16" s="50" t="str">
        <f>IF(AK16=" "," ",AK16*Inputs!$B$55)</f>
        <v xml:space="preserve"> </v>
      </c>
      <c r="BG16" s="50" t="str">
        <f>IF(AL16=" "," ",AL16*Inputs!$B$55)</f>
        <v xml:space="preserve"> </v>
      </c>
      <c r="BH16" s="50" t="str">
        <f>IF(AM16=" "," ",AM16*Inputs!$B$55)</f>
        <v xml:space="preserve"> </v>
      </c>
      <c r="BI16" s="50" t="str">
        <f>IF(AN16=" "," ",AN16*Inputs!$B$55)</f>
        <v xml:space="preserve"> </v>
      </c>
      <c r="BJ16" s="50" t="str">
        <f>IF(AO16=" "," ",AO16*Inputs!$B$55)</f>
        <v xml:space="preserve"> </v>
      </c>
      <c r="BK16" s="50" t="str">
        <f>IF(AP16=" "," ",AP16*Inputs!$B$55)</f>
        <v xml:space="preserve"> </v>
      </c>
      <c r="BO16" s="639"/>
      <c r="BP16" s="628"/>
      <c r="BQ16" s="497" t="str">
        <f t="shared" ref="BQ16:CA16" si="6">IF(F28=""," ",AVERAGE(F28:F31)*$CD$16)</f>
        <v xml:space="preserve"> </v>
      </c>
      <c r="BR16" s="497" t="str">
        <f t="shared" si="6"/>
        <v xml:space="preserve"> </v>
      </c>
      <c r="BS16" s="497" t="str">
        <f t="shared" si="6"/>
        <v xml:space="preserve"> </v>
      </c>
      <c r="BT16" s="497" t="str">
        <f t="shared" si="6"/>
        <v xml:space="preserve"> </v>
      </c>
      <c r="BU16" s="497" t="str">
        <f t="shared" si="6"/>
        <v xml:space="preserve"> </v>
      </c>
      <c r="BV16" s="497" t="str">
        <f t="shared" si="6"/>
        <v xml:space="preserve"> </v>
      </c>
      <c r="BW16" s="497" t="str">
        <f t="shared" si="6"/>
        <v xml:space="preserve"> </v>
      </c>
      <c r="BX16" s="497" t="str">
        <f t="shared" si="6"/>
        <v xml:space="preserve"> </v>
      </c>
      <c r="BY16" s="497" t="str">
        <f t="shared" si="6"/>
        <v xml:space="preserve"> </v>
      </c>
      <c r="BZ16" s="497" t="str">
        <f t="shared" si="6"/>
        <v xml:space="preserve"> </v>
      </c>
      <c r="CA16" s="497" t="str">
        <f t="shared" si="6"/>
        <v xml:space="preserve"> </v>
      </c>
      <c r="CC16" s="526" t="s">
        <v>534</v>
      </c>
      <c r="CD16" s="527">
        <v>1.1000000000000001</v>
      </c>
    </row>
    <row r="17" spans="2:79" ht="18.75" customHeight="1" x14ac:dyDescent="0.25">
      <c r="B17" s="589"/>
      <c r="C17" s="555"/>
      <c r="D17" s="589"/>
      <c r="E17" s="21"/>
      <c r="F17" s="152"/>
      <c r="G17" s="152"/>
      <c r="H17" s="152"/>
      <c r="I17" s="152"/>
      <c r="J17" s="152"/>
      <c r="K17" s="152"/>
      <c r="L17" s="152"/>
      <c r="M17" s="152"/>
      <c r="N17" s="152"/>
      <c r="O17" s="152"/>
      <c r="P17" s="152"/>
      <c r="Q17" s="244"/>
      <c r="R17" s="244"/>
      <c r="S17" s="244"/>
      <c r="T17" s="244"/>
      <c r="U17" s="152"/>
      <c r="W17" s="589"/>
      <c r="X17" s="555"/>
      <c r="Y17" s="51"/>
      <c r="Z17" s="27" t="s">
        <v>499</v>
      </c>
      <c r="AA17" s="50" t="str">
        <f>IF(F17=""," ",F17*Inputs!$B$39)</f>
        <v xml:space="preserve"> </v>
      </c>
      <c r="AB17" s="50" t="str">
        <f>IF(G17=""," ",G17*Inputs!$B$39)</f>
        <v xml:space="preserve"> </v>
      </c>
      <c r="AC17" s="50" t="str">
        <f>IF(H17=""," ",H17*Inputs!$B$39)</f>
        <v xml:space="preserve"> </v>
      </c>
      <c r="AD17" s="50" t="str">
        <f>IF(I17=""," ",I17*Inputs!$B$39)</f>
        <v xml:space="preserve"> </v>
      </c>
      <c r="AE17" s="50" t="str">
        <f>IF(J17=""," ",J17*Inputs!$B$39)</f>
        <v xml:space="preserve"> </v>
      </c>
      <c r="AF17" s="50" t="str">
        <f>IF(K17=""," ",K17*Inputs!$B$39)</f>
        <v xml:space="preserve"> </v>
      </c>
      <c r="AG17" s="50" t="str">
        <f>IF(L17=""," ",L17*Inputs!$B$39)</f>
        <v xml:space="preserve"> </v>
      </c>
      <c r="AH17" s="50" t="str">
        <f>IF(M17=""," ",M17*Inputs!$B$39)</f>
        <v xml:space="preserve"> </v>
      </c>
      <c r="AI17" s="50" t="str">
        <f>IF(N17=""," ",N17*Inputs!$B$39)</f>
        <v xml:space="preserve"> </v>
      </c>
      <c r="AJ17" s="50" t="str">
        <f>IF(O17=""," ",O17*Inputs!$B$39)</f>
        <v xml:space="preserve"> </v>
      </c>
      <c r="AK17" s="50" t="str">
        <f>IF(P17=""," ",P17*Inputs!$B$39)</f>
        <v xml:space="preserve"> </v>
      </c>
      <c r="AL17" s="50" t="str">
        <f>IF(Q17=""," ",Q17*Inputs!$B$39)</f>
        <v xml:space="preserve"> </v>
      </c>
      <c r="AM17" s="50" t="str">
        <f>IF(R17=""," ",R17*Inputs!$B$39)</f>
        <v xml:space="preserve"> </v>
      </c>
      <c r="AN17" s="50" t="str">
        <f>IF(S17=""," ",S17*Inputs!$B$39)</f>
        <v xml:space="preserve"> </v>
      </c>
      <c r="AO17" s="50" t="str">
        <f>IF(T17=""," ",T17*Inputs!$B$39)</f>
        <v xml:space="preserve"> </v>
      </c>
      <c r="AP17" s="50" t="str">
        <f>IF(U17=""," ",U17*Inputs!$B$39)</f>
        <v xml:space="preserve"> </v>
      </c>
      <c r="AR17" s="589"/>
      <c r="AS17" s="555"/>
      <c r="AT17" s="51"/>
      <c r="AU17" s="27" t="s">
        <v>499</v>
      </c>
      <c r="AV17" s="50" t="str">
        <f>IF(AA17=" "," ",AA17*Inputs!$B$55)</f>
        <v xml:space="preserve"> </v>
      </c>
      <c r="AW17" s="50" t="str">
        <f>IF(AB17=" "," ",AB17*Inputs!$B$55)</f>
        <v xml:space="preserve"> </v>
      </c>
      <c r="AX17" s="50" t="str">
        <f>IF(AC17=" "," ",AC17*Inputs!$B$55)</f>
        <v xml:space="preserve"> </v>
      </c>
      <c r="AY17" s="50" t="str">
        <f>IF(AD17=" "," ",AD17*Inputs!$B$55)</f>
        <v xml:space="preserve"> </v>
      </c>
      <c r="AZ17" s="50" t="str">
        <f>IF(AE17=" "," ",AE17*Inputs!$B$55)</f>
        <v xml:space="preserve"> </v>
      </c>
      <c r="BA17" s="50" t="str">
        <f>IF(AF17=" "," ",AF17*Inputs!$B$55)</f>
        <v xml:space="preserve"> </v>
      </c>
      <c r="BB17" s="50" t="str">
        <f>IF(AG17=" "," ",AG17*Inputs!$B$55)</f>
        <v xml:space="preserve"> </v>
      </c>
      <c r="BC17" s="50" t="str">
        <f>IF(AH17=" "," ",AH17*Inputs!$B$55)</f>
        <v xml:space="preserve"> </v>
      </c>
      <c r="BD17" s="50" t="str">
        <f>IF(AI17=" "," ",AI17*Inputs!$B$55)</f>
        <v xml:space="preserve"> </v>
      </c>
      <c r="BE17" s="50" t="str">
        <f>IF(AJ17=" "," ",AJ17*Inputs!$B$55)</f>
        <v xml:space="preserve"> </v>
      </c>
      <c r="BF17" s="50" t="str">
        <f>IF(AK17=" "," ",AK17*Inputs!$B$55)</f>
        <v xml:space="preserve"> </v>
      </c>
      <c r="BG17" s="50" t="str">
        <f>IF(AL17=" "," ",AL17*Inputs!$B$55)</f>
        <v xml:space="preserve"> </v>
      </c>
      <c r="BH17" s="50" t="str">
        <f>IF(AM17=" "," ",AM17*Inputs!$B$55)</f>
        <v xml:space="preserve"> </v>
      </c>
      <c r="BI17" s="50" t="str">
        <f>IF(AN17=" "," ",AN17*Inputs!$B$55)</f>
        <v xml:space="preserve"> </v>
      </c>
      <c r="BJ17" s="50" t="str">
        <f>IF(AO17=" "," ",AO17*Inputs!$B$55)</f>
        <v xml:space="preserve"> </v>
      </c>
      <c r="BK17" s="50" t="str">
        <f>IF(AP17=" "," ",AP17*Inputs!$B$55)</f>
        <v xml:space="preserve"> </v>
      </c>
      <c r="BO17" s="591"/>
      <c r="BP17" s="628"/>
      <c r="BQ17" s="497"/>
      <c r="BR17" s="497"/>
      <c r="BS17" s="497"/>
      <c r="BT17" s="497"/>
      <c r="BU17" s="497"/>
      <c r="BV17" s="497"/>
      <c r="BW17" s="497"/>
      <c r="BX17" s="497"/>
      <c r="BY17" s="497"/>
      <c r="BZ17" s="497"/>
      <c r="CA17" s="497"/>
    </row>
    <row r="18" spans="2:79" ht="18.75" customHeight="1" x14ac:dyDescent="0.25">
      <c r="B18" s="589"/>
      <c r="C18" s="555"/>
      <c r="D18" s="589"/>
      <c r="E18" s="21"/>
      <c r="F18" s="152"/>
      <c r="G18" s="152"/>
      <c r="H18" s="152"/>
      <c r="I18" s="152"/>
      <c r="J18" s="152"/>
      <c r="K18" s="152"/>
      <c r="L18" s="152"/>
      <c r="M18" s="152"/>
      <c r="N18" s="152"/>
      <c r="O18" s="152"/>
      <c r="P18" s="152"/>
      <c r="Q18" s="244"/>
      <c r="R18" s="244"/>
      <c r="S18" s="244"/>
      <c r="T18" s="244"/>
      <c r="U18" s="152"/>
      <c r="W18" s="589"/>
      <c r="X18" s="555"/>
      <c r="Y18" s="51"/>
      <c r="Z18" s="27" t="s">
        <v>500</v>
      </c>
      <c r="AA18" s="50" t="str">
        <f>IF(F18=""," ",F18*Inputs!$B$39)</f>
        <v xml:space="preserve"> </v>
      </c>
      <c r="AB18" s="50" t="str">
        <f>IF(G18=""," ",G18*Inputs!$B$39)</f>
        <v xml:space="preserve"> </v>
      </c>
      <c r="AC18" s="50" t="str">
        <f>IF(H18=""," ",H18*Inputs!$B$39)</f>
        <v xml:space="preserve"> </v>
      </c>
      <c r="AD18" s="50" t="str">
        <f>IF(I18=""," ",I18*Inputs!$B$39)</f>
        <v xml:space="preserve"> </v>
      </c>
      <c r="AE18" s="50" t="str">
        <f>IF(J18=""," ",J18*Inputs!$B$39)</f>
        <v xml:space="preserve"> </v>
      </c>
      <c r="AF18" s="50" t="str">
        <f>IF(K18=""," ",K18*Inputs!$B$39)</f>
        <v xml:space="preserve"> </v>
      </c>
      <c r="AG18" s="50" t="str">
        <f>IF(L18=""," ",L18*Inputs!$B$39)</f>
        <v xml:space="preserve"> </v>
      </c>
      <c r="AH18" s="50" t="str">
        <f>IF(M18=""," ",M18*Inputs!$B$39)</f>
        <v xml:space="preserve"> </v>
      </c>
      <c r="AI18" s="50" t="str">
        <f>IF(N18=""," ",N18*Inputs!$B$39)</f>
        <v xml:space="preserve"> </v>
      </c>
      <c r="AJ18" s="50" t="str">
        <f>IF(O18=""," ",O18*Inputs!$B$39)</f>
        <v xml:space="preserve"> </v>
      </c>
      <c r="AK18" s="50" t="str">
        <f>IF(P18=""," ",P18*Inputs!$B$39)</f>
        <v xml:space="preserve"> </v>
      </c>
      <c r="AL18" s="50" t="str">
        <f>IF(Q18=""," ",Q18*Inputs!$B$39)</f>
        <v xml:space="preserve"> </v>
      </c>
      <c r="AM18" s="50" t="str">
        <f>IF(R18=""," ",R18*Inputs!$B$39)</f>
        <v xml:space="preserve"> </v>
      </c>
      <c r="AN18" s="50" t="str">
        <f>IF(S18=""," ",S18*Inputs!$B$39)</f>
        <v xml:space="preserve"> </v>
      </c>
      <c r="AO18" s="50" t="str">
        <f>IF(T18=""," ",T18*Inputs!$B$39)</f>
        <v xml:space="preserve"> </v>
      </c>
      <c r="AP18" s="50" t="str">
        <f>IF(U18=""," ",U18*Inputs!$B$39)</f>
        <v xml:space="preserve"> </v>
      </c>
      <c r="AR18" s="589"/>
      <c r="AS18" s="555"/>
      <c r="AT18" s="51"/>
      <c r="AU18" s="27" t="s">
        <v>500</v>
      </c>
      <c r="AV18" s="50" t="str">
        <f>IF(AA18=" "," ",AA18*Inputs!$B$55)</f>
        <v xml:space="preserve"> </v>
      </c>
      <c r="AW18" s="50" t="str">
        <f>IF(AB18=" "," ",AB18*Inputs!$B$55)</f>
        <v xml:space="preserve"> </v>
      </c>
      <c r="AX18" s="50" t="str">
        <f>IF(AC18=" "," ",AC18*Inputs!$B$55)</f>
        <v xml:space="preserve"> </v>
      </c>
      <c r="AY18" s="50" t="str">
        <f>IF(AD18=" "," ",AD18*Inputs!$B$55)</f>
        <v xml:space="preserve"> </v>
      </c>
      <c r="AZ18" s="50" t="str">
        <f>IF(AE18=" "," ",AE18*Inputs!$B$55)</f>
        <v xml:space="preserve"> </v>
      </c>
      <c r="BA18" s="50" t="str">
        <f>IF(AF18=" "," ",AF18*Inputs!$B$55)</f>
        <v xml:space="preserve"> </v>
      </c>
      <c r="BB18" s="50" t="str">
        <f>IF(AG18=" "," ",AG18*Inputs!$B$55)</f>
        <v xml:space="preserve"> </v>
      </c>
      <c r="BC18" s="50" t="str">
        <f>IF(AH18=" "," ",AH18*Inputs!$B$55)</f>
        <v xml:space="preserve"> </v>
      </c>
      <c r="BD18" s="50" t="str">
        <f>IF(AI18=" "," ",AI18*Inputs!$B$55)</f>
        <v xml:space="preserve"> </v>
      </c>
      <c r="BE18" s="50" t="str">
        <f>IF(AJ18=" "," ",AJ18*Inputs!$B$55)</f>
        <v xml:space="preserve"> </v>
      </c>
      <c r="BF18" s="50" t="str">
        <f>IF(AK18=" "," ",AK18*Inputs!$B$55)</f>
        <v xml:space="preserve"> </v>
      </c>
      <c r="BG18" s="50" t="str">
        <f>IF(AL18=" "," ",AL18*Inputs!$B$55)</f>
        <v xml:space="preserve"> </v>
      </c>
      <c r="BH18" s="50" t="str">
        <f>IF(AM18=" "," ",AM18*Inputs!$B$55)</f>
        <v xml:space="preserve"> </v>
      </c>
      <c r="BI18" s="50" t="str">
        <f>IF(AN18=" "," ",AN18*Inputs!$B$55)</f>
        <v xml:space="preserve"> </v>
      </c>
      <c r="BJ18" s="50" t="str">
        <f>IF(AO18=" "," ",AO18*Inputs!$B$55)</f>
        <v xml:space="preserve"> </v>
      </c>
      <c r="BK18" s="50" t="str">
        <f>IF(AP18=" "," ",AP18*Inputs!$B$55)</f>
        <v xml:space="preserve"> </v>
      </c>
      <c r="BO18" s="635"/>
      <c r="BP18" s="628"/>
      <c r="BQ18" s="497" t="str">
        <f t="shared" ref="BQ18:CA18" si="7">IF(F32=""," ",AVERAGE(F32:F35)*$CD$16)</f>
        <v xml:space="preserve"> </v>
      </c>
      <c r="BR18" s="497" t="str">
        <f t="shared" si="7"/>
        <v xml:space="preserve"> </v>
      </c>
      <c r="BS18" s="497" t="str">
        <f t="shared" si="7"/>
        <v xml:space="preserve"> </v>
      </c>
      <c r="BT18" s="497" t="str">
        <f t="shared" si="7"/>
        <v xml:space="preserve"> </v>
      </c>
      <c r="BU18" s="497" t="str">
        <f t="shared" si="7"/>
        <v xml:space="preserve"> </v>
      </c>
      <c r="BV18" s="497" t="str">
        <f t="shared" si="7"/>
        <v xml:space="preserve"> </v>
      </c>
      <c r="BW18" s="497" t="str">
        <f t="shared" si="7"/>
        <v xml:space="preserve"> </v>
      </c>
      <c r="BX18" s="497" t="str">
        <f t="shared" si="7"/>
        <v xml:space="preserve"> </v>
      </c>
      <c r="BY18" s="497" t="str">
        <f t="shared" si="7"/>
        <v xml:space="preserve"> </v>
      </c>
      <c r="BZ18" s="497" t="str">
        <f t="shared" si="7"/>
        <v xml:space="preserve"> </v>
      </c>
      <c r="CA18" s="497" t="str">
        <f t="shared" si="7"/>
        <v xml:space="preserve"> </v>
      </c>
    </row>
    <row r="19" spans="2:79" ht="18.75" customHeight="1" x14ac:dyDescent="0.25">
      <c r="B19" s="589"/>
      <c r="C19" s="555"/>
      <c r="D19" s="589"/>
      <c r="E19" s="21"/>
      <c r="F19" s="152"/>
      <c r="G19" s="152"/>
      <c r="H19" s="152"/>
      <c r="I19" s="152"/>
      <c r="J19" s="152"/>
      <c r="K19" s="152"/>
      <c r="L19" s="152"/>
      <c r="M19" s="152"/>
      <c r="N19" s="152"/>
      <c r="O19" s="152"/>
      <c r="P19" s="152"/>
      <c r="Q19" s="244"/>
      <c r="R19" s="244"/>
      <c r="S19" s="244"/>
      <c r="T19" s="244"/>
      <c r="U19" s="152"/>
      <c r="W19" s="589"/>
      <c r="X19" s="555"/>
      <c r="Y19" s="52"/>
      <c r="Z19" s="29" t="s">
        <v>501</v>
      </c>
      <c r="AA19" s="50" t="str">
        <f>IF(F19=""," ",F19*Inputs!$B$39)</f>
        <v xml:space="preserve"> </v>
      </c>
      <c r="AB19" s="50" t="str">
        <f>IF(G19=""," ",G19*Inputs!$B$39)</f>
        <v xml:space="preserve"> </v>
      </c>
      <c r="AC19" s="50" t="str">
        <f>IF(H19=""," ",H19*Inputs!$B$39)</f>
        <v xml:space="preserve"> </v>
      </c>
      <c r="AD19" s="50" t="str">
        <f>IF(I19=""," ",I19*Inputs!$B$39)</f>
        <v xml:space="preserve"> </v>
      </c>
      <c r="AE19" s="50" t="str">
        <f>IF(J19=""," ",J19*Inputs!$B$39)</f>
        <v xml:space="preserve"> </v>
      </c>
      <c r="AF19" s="50" t="str">
        <f>IF(K19=""," ",K19*Inputs!$B$39)</f>
        <v xml:space="preserve"> </v>
      </c>
      <c r="AG19" s="50" t="str">
        <f>IF(L19=""," ",L19*Inputs!$B$39)</f>
        <v xml:space="preserve"> </v>
      </c>
      <c r="AH19" s="50" t="str">
        <f>IF(M19=""," ",M19*Inputs!$B$39)</f>
        <v xml:space="preserve"> </v>
      </c>
      <c r="AI19" s="50" t="str">
        <f>IF(N19=""," ",N19*Inputs!$B$39)</f>
        <v xml:space="preserve"> </v>
      </c>
      <c r="AJ19" s="50" t="str">
        <f>IF(O19=""," ",O19*Inputs!$B$39)</f>
        <v xml:space="preserve"> </v>
      </c>
      <c r="AK19" s="50" t="str">
        <f>IF(P19=""," ",P19*Inputs!$B$39)</f>
        <v xml:space="preserve"> </v>
      </c>
      <c r="AL19" s="50" t="str">
        <f>IF(Q19=""," ",Q19*Inputs!$B$39)</f>
        <v xml:space="preserve"> </v>
      </c>
      <c r="AM19" s="50" t="str">
        <f>IF(R19=""," ",R19*Inputs!$B$39)</f>
        <v xml:space="preserve"> </v>
      </c>
      <c r="AN19" s="50" t="str">
        <f>IF(S19=""," ",S19*Inputs!$B$39)</f>
        <v xml:space="preserve"> </v>
      </c>
      <c r="AO19" s="50" t="str">
        <f>IF(T19=""," ",T19*Inputs!$B$39)</f>
        <v xml:space="preserve"> </v>
      </c>
      <c r="AP19" s="50" t="str">
        <f>IF(U19=""," ",U19*Inputs!$B$39)</f>
        <v xml:space="preserve"> </v>
      </c>
      <c r="AR19" s="589"/>
      <c r="AS19" s="555"/>
      <c r="AT19" s="52"/>
      <c r="AU19" s="29" t="s">
        <v>501</v>
      </c>
      <c r="AV19" s="50" t="str">
        <f>IF(AA19=" "," ",AA19*Inputs!$B$55)</f>
        <v xml:space="preserve"> </v>
      </c>
      <c r="AW19" s="50" t="str">
        <f>IF(AB19=" "," ",AB19*Inputs!$B$55)</f>
        <v xml:space="preserve"> </v>
      </c>
      <c r="AX19" s="50" t="str">
        <f>IF(AC19=" "," ",AC19*Inputs!$B$55)</f>
        <v xml:space="preserve"> </v>
      </c>
      <c r="AY19" s="50" t="str">
        <f>IF(AD19=" "," ",AD19*Inputs!$B$55)</f>
        <v xml:space="preserve"> </v>
      </c>
      <c r="AZ19" s="50" t="str">
        <f>IF(AE19=" "," ",AE19*Inputs!$B$55)</f>
        <v xml:space="preserve"> </v>
      </c>
      <c r="BA19" s="50" t="str">
        <f>IF(AF19=" "," ",AF19*Inputs!$B$55)</f>
        <v xml:space="preserve"> </v>
      </c>
      <c r="BB19" s="50" t="str">
        <f>IF(AG19=" "," ",AG19*Inputs!$B$55)</f>
        <v xml:space="preserve"> </v>
      </c>
      <c r="BC19" s="50" t="str">
        <f>IF(AH19=" "," ",AH19*Inputs!$B$55)</f>
        <v xml:space="preserve"> </v>
      </c>
      <c r="BD19" s="50" t="str">
        <f>IF(AI19=" "," ",AI19*Inputs!$B$55)</f>
        <v xml:space="preserve"> </v>
      </c>
      <c r="BE19" s="50" t="str">
        <f>IF(AJ19=" "," ",AJ19*Inputs!$B$55)</f>
        <v xml:space="preserve"> </v>
      </c>
      <c r="BF19" s="50" t="str">
        <f>IF(AK19=" "," ",AK19*Inputs!$B$55)</f>
        <v xml:space="preserve"> </v>
      </c>
      <c r="BG19" s="50" t="str">
        <f>IF(AL19=" "," ",AL19*Inputs!$B$55)</f>
        <v xml:space="preserve"> </v>
      </c>
      <c r="BH19" s="50" t="str">
        <f>IF(AM19=" "," ",AM19*Inputs!$B$55)</f>
        <v xml:space="preserve"> </v>
      </c>
      <c r="BI19" s="50" t="str">
        <f>IF(AN19=" "," ",AN19*Inputs!$B$55)</f>
        <v xml:space="preserve"> </v>
      </c>
      <c r="BJ19" s="50" t="str">
        <f>IF(AO19=" "," ",AO19*Inputs!$B$55)</f>
        <v xml:space="preserve"> </v>
      </c>
      <c r="BK19" s="50" t="str">
        <f>IF(AP19=" "," ",AP19*Inputs!$B$55)</f>
        <v xml:space="preserve"> </v>
      </c>
      <c r="BO19" s="591"/>
      <c r="BP19" s="628"/>
      <c r="BQ19" s="497"/>
      <c r="BR19" s="497"/>
      <c r="BS19" s="497"/>
      <c r="BT19" s="497"/>
      <c r="BU19" s="497"/>
      <c r="BV19" s="497"/>
      <c r="BW19" s="497"/>
      <c r="BX19" s="497"/>
      <c r="BY19" s="497"/>
      <c r="BZ19" s="497"/>
      <c r="CA19" s="497"/>
    </row>
    <row r="20" spans="2:79" ht="18.75" customHeight="1" x14ac:dyDescent="0.25">
      <c r="B20" s="620"/>
      <c r="C20" s="555"/>
      <c r="D20" s="595"/>
      <c r="E20" s="150"/>
      <c r="F20" s="151"/>
      <c r="G20" s="151"/>
      <c r="H20" s="151"/>
      <c r="I20" s="151"/>
      <c r="J20" s="151"/>
      <c r="K20" s="151"/>
      <c r="L20" s="151"/>
      <c r="M20" s="151"/>
      <c r="N20" s="151"/>
      <c r="O20" s="151"/>
      <c r="P20" s="151"/>
      <c r="Q20" s="243"/>
      <c r="R20" s="243"/>
      <c r="S20" s="243"/>
      <c r="T20" s="243"/>
      <c r="U20" s="151"/>
      <c r="W20" s="620"/>
      <c r="X20" s="555"/>
      <c r="Y20" s="50"/>
      <c r="Z20" s="24" t="s">
        <v>498</v>
      </c>
      <c r="AA20" s="50" t="str">
        <f>IF(F20=""," ",F20*Inputs!$B$39)</f>
        <v xml:space="preserve"> </v>
      </c>
      <c r="AB20" s="50" t="str">
        <f>IF(G20=""," ",G20*Inputs!$B$39)</f>
        <v xml:space="preserve"> </v>
      </c>
      <c r="AC20" s="50" t="str">
        <f>IF(H20=""," ",H20*Inputs!$B$39)</f>
        <v xml:space="preserve"> </v>
      </c>
      <c r="AD20" s="50" t="str">
        <f>IF(I20=""," ",I20*Inputs!$B$39)</f>
        <v xml:space="preserve"> </v>
      </c>
      <c r="AE20" s="50" t="str">
        <f>IF(J20=""," ",J20*Inputs!$B$39)</f>
        <v xml:space="preserve"> </v>
      </c>
      <c r="AF20" s="50" t="str">
        <f>IF(K20=""," ",K20*Inputs!$B$39)</f>
        <v xml:space="preserve"> </v>
      </c>
      <c r="AG20" s="50" t="str">
        <f>IF(L20=""," ",L20*Inputs!$B$39)</f>
        <v xml:space="preserve"> </v>
      </c>
      <c r="AH20" s="50" t="str">
        <f>IF(M20=""," ",M20*Inputs!$B$39)</f>
        <v xml:space="preserve"> </v>
      </c>
      <c r="AI20" s="50" t="str">
        <f>IF(N20=""," ",N20*Inputs!$B$39)</f>
        <v xml:space="preserve"> </v>
      </c>
      <c r="AJ20" s="50" t="str">
        <f>IF(O20=""," ",O20*Inputs!$B$39)</f>
        <v xml:space="preserve"> </v>
      </c>
      <c r="AK20" s="50" t="str">
        <f>IF(P20=""," ",P20*Inputs!$B$39)</f>
        <v xml:space="preserve"> </v>
      </c>
      <c r="AL20" s="50" t="str">
        <f>IF(Q20=""," ",Q20*Inputs!$B$39)</f>
        <v xml:space="preserve"> </v>
      </c>
      <c r="AM20" s="50" t="str">
        <f>IF(R20=""," ",R20*Inputs!$B$39)</f>
        <v xml:space="preserve"> </v>
      </c>
      <c r="AN20" s="50" t="str">
        <f>IF(S20=""," ",S20*Inputs!$B$39)</f>
        <v xml:space="preserve"> </v>
      </c>
      <c r="AO20" s="50" t="str">
        <f>IF(T20=""," ",T20*Inputs!$B$39)</f>
        <v xml:space="preserve"> </v>
      </c>
      <c r="AP20" s="50" t="str">
        <f>IF(U20=""," ",U20*Inputs!$B$39)</f>
        <v xml:space="preserve"> </v>
      </c>
      <c r="AR20" s="620"/>
      <c r="AS20" s="555"/>
      <c r="AT20" s="50"/>
      <c r="AU20" s="24" t="s">
        <v>498</v>
      </c>
      <c r="AV20" s="50" t="str">
        <f>IF(AA20=" "," ",AA20*Inputs!$B$55)</f>
        <v xml:space="preserve"> </v>
      </c>
      <c r="AW20" s="50" t="str">
        <f>IF(AB20=" "," ",AB20*Inputs!$B$55)</f>
        <v xml:space="preserve"> </v>
      </c>
      <c r="AX20" s="50" t="str">
        <f>IF(AC20=" "," ",AC20*Inputs!$B$55)</f>
        <v xml:space="preserve"> </v>
      </c>
      <c r="AY20" s="50" t="str">
        <f>IF(AD20=" "," ",AD20*Inputs!$B$55)</f>
        <v xml:space="preserve"> </v>
      </c>
      <c r="AZ20" s="50" t="str">
        <f>IF(AE20=" "," ",AE20*Inputs!$B$55)</f>
        <v xml:space="preserve"> </v>
      </c>
      <c r="BA20" s="50" t="str">
        <f>IF(AF20=" "," ",AF20*Inputs!$B$55)</f>
        <v xml:space="preserve"> </v>
      </c>
      <c r="BB20" s="50" t="str">
        <f>IF(AG20=" "," ",AG20*Inputs!$B$55)</f>
        <v xml:space="preserve"> </v>
      </c>
      <c r="BC20" s="50" t="str">
        <f>IF(AH20=" "," ",AH20*Inputs!$B$55)</f>
        <v xml:space="preserve"> </v>
      </c>
      <c r="BD20" s="50" t="str">
        <f>IF(AI20=" "," ",AI20*Inputs!$B$55)</f>
        <v xml:space="preserve"> </v>
      </c>
      <c r="BE20" s="50" t="str">
        <f>IF(AJ20=" "," ",AJ20*Inputs!$B$55)</f>
        <v xml:space="preserve"> </v>
      </c>
      <c r="BF20" s="50" t="str">
        <f>IF(AK20=" "," ",AK20*Inputs!$B$55)</f>
        <v xml:space="preserve"> </v>
      </c>
      <c r="BG20" s="50" t="str">
        <f>IF(AL20=" "," ",AL20*Inputs!$B$55)</f>
        <v xml:space="preserve"> </v>
      </c>
      <c r="BH20" s="50" t="str">
        <f>IF(AM20=" "," ",AM20*Inputs!$B$55)</f>
        <v xml:space="preserve"> </v>
      </c>
      <c r="BI20" s="50" t="str">
        <f>IF(AN20=" "," ",AN20*Inputs!$B$55)</f>
        <v xml:space="preserve"> </v>
      </c>
      <c r="BJ20" s="50" t="str">
        <f>IF(AO20=" "," ",AO20*Inputs!$B$55)</f>
        <v xml:space="preserve"> </v>
      </c>
      <c r="BK20" s="50" t="str">
        <f>IF(AP20=" "," ",AP20*Inputs!$B$55)</f>
        <v xml:space="preserve"> </v>
      </c>
      <c r="BO20" s="631"/>
      <c r="BP20" s="628"/>
      <c r="BQ20" s="497" t="str">
        <f t="shared" ref="BQ20:CA20" si="8">IF(F36=""," ",AVERAGE(F36:F39)*$CD$16)</f>
        <v xml:space="preserve"> </v>
      </c>
      <c r="BR20" s="497" t="str">
        <f t="shared" si="8"/>
        <v xml:space="preserve"> </v>
      </c>
      <c r="BS20" s="497" t="str">
        <f t="shared" si="8"/>
        <v xml:space="preserve"> </v>
      </c>
      <c r="BT20" s="497" t="str">
        <f t="shared" si="8"/>
        <v xml:space="preserve"> </v>
      </c>
      <c r="BU20" s="497" t="str">
        <f t="shared" si="8"/>
        <v xml:space="preserve"> </v>
      </c>
      <c r="BV20" s="497" t="str">
        <f t="shared" si="8"/>
        <v xml:space="preserve"> </v>
      </c>
      <c r="BW20" s="497" t="str">
        <f t="shared" si="8"/>
        <v xml:space="preserve"> </v>
      </c>
      <c r="BX20" s="497" t="str">
        <f t="shared" si="8"/>
        <v xml:space="preserve"> </v>
      </c>
      <c r="BY20" s="497" t="str">
        <f t="shared" si="8"/>
        <v xml:space="preserve"> </v>
      </c>
      <c r="BZ20" s="497" t="str">
        <f t="shared" si="8"/>
        <v xml:space="preserve"> </v>
      </c>
      <c r="CA20" s="497" t="str">
        <f t="shared" si="8"/>
        <v xml:space="preserve"> </v>
      </c>
    </row>
    <row r="21" spans="2:79" ht="18.75" customHeight="1" x14ac:dyDescent="0.25">
      <c r="B21" s="589"/>
      <c r="C21" s="555"/>
      <c r="D21" s="589"/>
      <c r="E21" s="21"/>
      <c r="F21" s="152"/>
      <c r="G21" s="152"/>
      <c r="H21" s="152"/>
      <c r="I21" s="152"/>
      <c r="J21" s="152"/>
      <c r="K21" s="152"/>
      <c r="L21" s="152"/>
      <c r="M21" s="152"/>
      <c r="N21" s="152"/>
      <c r="O21" s="152"/>
      <c r="P21" s="152"/>
      <c r="Q21" s="244"/>
      <c r="R21" s="244"/>
      <c r="S21" s="244"/>
      <c r="T21" s="244"/>
      <c r="U21" s="152"/>
      <c r="W21" s="589"/>
      <c r="X21" s="555"/>
      <c r="Y21" s="51"/>
      <c r="Z21" s="27" t="s">
        <v>499</v>
      </c>
      <c r="AA21" s="50" t="str">
        <f>IF(F21=""," ",F21*Inputs!$B$39)</f>
        <v xml:space="preserve"> </v>
      </c>
      <c r="AB21" s="50" t="str">
        <f>IF(G21=""," ",G21*Inputs!$B$39)</f>
        <v xml:space="preserve"> </v>
      </c>
      <c r="AC21" s="50" t="str">
        <f>IF(H21=""," ",H21*Inputs!$B$39)</f>
        <v xml:space="preserve"> </v>
      </c>
      <c r="AD21" s="50" t="str">
        <f>IF(I21=""," ",I21*Inputs!$B$39)</f>
        <v xml:space="preserve"> </v>
      </c>
      <c r="AE21" s="50" t="str">
        <f>IF(J21=""," ",J21*Inputs!$B$39)</f>
        <v xml:space="preserve"> </v>
      </c>
      <c r="AF21" s="50" t="str">
        <f>IF(K21=""," ",K21*Inputs!$B$39)</f>
        <v xml:space="preserve"> </v>
      </c>
      <c r="AG21" s="50" t="str">
        <f>IF(L21=""," ",L21*Inputs!$B$39)</f>
        <v xml:space="preserve"> </v>
      </c>
      <c r="AH21" s="50" t="str">
        <f>IF(M21=""," ",M21*Inputs!$B$39)</f>
        <v xml:space="preserve"> </v>
      </c>
      <c r="AI21" s="50" t="str">
        <f>IF(N21=""," ",N21*Inputs!$B$39)</f>
        <v xml:space="preserve"> </v>
      </c>
      <c r="AJ21" s="50" t="str">
        <f>IF(O21=""," ",O21*Inputs!$B$39)</f>
        <v xml:space="preserve"> </v>
      </c>
      <c r="AK21" s="50" t="str">
        <f>IF(P21=""," ",P21*Inputs!$B$39)</f>
        <v xml:space="preserve"> </v>
      </c>
      <c r="AL21" s="50" t="str">
        <f>IF(Q21=""," ",Q21*Inputs!$B$39)</f>
        <v xml:space="preserve"> </v>
      </c>
      <c r="AM21" s="50" t="str">
        <f>IF(R21=""," ",R21*Inputs!$B$39)</f>
        <v xml:space="preserve"> </v>
      </c>
      <c r="AN21" s="50" t="str">
        <f>IF(S21=""," ",S21*Inputs!$B$39)</f>
        <v xml:space="preserve"> </v>
      </c>
      <c r="AO21" s="50" t="str">
        <f>IF(T21=""," ",T21*Inputs!$B$39)</f>
        <v xml:space="preserve"> </v>
      </c>
      <c r="AP21" s="50" t="str">
        <f>IF(U21=""," ",U21*Inputs!$B$39)</f>
        <v xml:space="preserve"> </v>
      </c>
      <c r="AR21" s="589"/>
      <c r="AS21" s="555"/>
      <c r="AT21" s="51"/>
      <c r="AU21" s="27" t="s">
        <v>499</v>
      </c>
      <c r="AV21" s="50" t="str">
        <f>IF(AA21=" "," ",AA21*Inputs!$B$55)</f>
        <v xml:space="preserve"> </v>
      </c>
      <c r="AW21" s="50" t="str">
        <f>IF(AB21=" "," ",AB21*Inputs!$B$55)</f>
        <v xml:space="preserve"> </v>
      </c>
      <c r="AX21" s="50" t="str">
        <f>IF(AC21=" "," ",AC21*Inputs!$B$55)</f>
        <v xml:space="preserve"> </v>
      </c>
      <c r="AY21" s="50" t="str">
        <f>IF(AD21=" "," ",AD21*Inputs!$B$55)</f>
        <v xml:space="preserve"> </v>
      </c>
      <c r="AZ21" s="50" t="str">
        <f>IF(AE21=" "," ",AE21*Inputs!$B$55)</f>
        <v xml:space="preserve"> </v>
      </c>
      <c r="BA21" s="50" t="str">
        <f>IF(AF21=" "," ",AF21*Inputs!$B$55)</f>
        <v xml:space="preserve"> </v>
      </c>
      <c r="BB21" s="50" t="str">
        <f>IF(AG21=" "," ",AG21*Inputs!$B$55)</f>
        <v xml:space="preserve"> </v>
      </c>
      <c r="BC21" s="50" t="str">
        <f>IF(AH21=" "," ",AH21*Inputs!$B$55)</f>
        <v xml:space="preserve"> </v>
      </c>
      <c r="BD21" s="50" t="str">
        <f>IF(AI21=" "," ",AI21*Inputs!$B$55)</f>
        <v xml:space="preserve"> </v>
      </c>
      <c r="BE21" s="50" t="str">
        <f>IF(AJ21=" "," ",AJ21*Inputs!$B$55)</f>
        <v xml:space="preserve"> </v>
      </c>
      <c r="BF21" s="50" t="str">
        <f>IF(AK21=" "," ",AK21*Inputs!$B$55)</f>
        <v xml:space="preserve"> </v>
      </c>
      <c r="BG21" s="50" t="str">
        <f>IF(AL21=" "," ",AL21*Inputs!$B$55)</f>
        <v xml:space="preserve"> </v>
      </c>
      <c r="BH21" s="50" t="str">
        <f>IF(AM21=" "," ",AM21*Inputs!$B$55)</f>
        <v xml:space="preserve"> </v>
      </c>
      <c r="BI21" s="50" t="str">
        <f>IF(AN21=" "," ",AN21*Inputs!$B$55)</f>
        <v xml:space="preserve"> </v>
      </c>
      <c r="BJ21" s="50" t="str">
        <f>IF(AO21=" "," ",AO21*Inputs!$B$55)</f>
        <v xml:space="preserve"> </v>
      </c>
      <c r="BK21" s="50" t="str">
        <f>IF(AP21=" "," ",AP21*Inputs!$B$55)</f>
        <v xml:space="preserve"> </v>
      </c>
      <c r="BO21" s="591"/>
      <c r="BP21" s="628"/>
      <c r="BQ21" s="497"/>
      <c r="BR21" s="497"/>
      <c r="BS21" s="497"/>
      <c r="BT21" s="497"/>
      <c r="BU21" s="497"/>
      <c r="BV21" s="497"/>
      <c r="BW21" s="497"/>
      <c r="BX21" s="497"/>
      <c r="BY21" s="497"/>
      <c r="BZ21" s="497"/>
      <c r="CA21" s="497"/>
    </row>
    <row r="22" spans="2:79" ht="18.75" customHeight="1" x14ac:dyDescent="0.25">
      <c r="B22" s="589"/>
      <c r="C22" s="555"/>
      <c r="D22" s="589"/>
      <c r="E22" s="21"/>
      <c r="F22" s="152"/>
      <c r="G22" s="152"/>
      <c r="H22" s="152"/>
      <c r="I22" s="152"/>
      <c r="J22" s="152"/>
      <c r="K22" s="152"/>
      <c r="L22" s="152"/>
      <c r="M22" s="152"/>
      <c r="N22" s="152"/>
      <c r="O22" s="152"/>
      <c r="P22" s="152"/>
      <c r="Q22" s="244"/>
      <c r="R22" s="244"/>
      <c r="S22" s="244"/>
      <c r="T22" s="244"/>
      <c r="U22" s="152"/>
      <c r="W22" s="589"/>
      <c r="X22" s="555"/>
      <c r="Y22" s="51"/>
      <c r="Z22" s="27" t="s">
        <v>500</v>
      </c>
      <c r="AA22" s="50" t="str">
        <f>IF(F22=""," ",F22*Inputs!$B$39)</f>
        <v xml:space="preserve"> </v>
      </c>
      <c r="AB22" s="50" t="str">
        <f>IF(G22=""," ",G22*Inputs!$B$39)</f>
        <v xml:space="preserve"> </v>
      </c>
      <c r="AC22" s="50" t="str">
        <f>IF(H22=""," ",H22*Inputs!$B$39)</f>
        <v xml:space="preserve"> </v>
      </c>
      <c r="AD22" s="50" t="str">
        <f>IF(I22=""," ",I22*Inputs!$B$39)</f>
        <v xml:space="preserve"> </v>
      </c>
      <c r="AE22" s="50" t="str">
        <f>IF(J22=""," ",J22*Inputs!$B$39)</f>
        <v xml:space="preserve"> </v>
      </c>
      <c r="AF22" s="50" t="str">
        <f>IF(K22=""," ",K22*Inputs!$B$39)</f>
        <v xml:space="preserve"> </v>
      </c>
      <c r="AG22" s="50" t="str">
        <f>IF(L22=""," ",L22*Inputs!$B$39)</f>
        <v xml:space="preserve"> </v>
      </c>
      <c r="AH22" s="50" t="str">
        <f>IF(M22=""," ",M22*Inputs!$B$39)</f>
        <v xml:space="preserve"> </v>
      </c>
      <c r="AI22" s="50" t="str">
        <f>IF(N22=""," ",N22*Inputs!$B$39)</f>
        <v xml:space="preserve"> </v>
      </c>
      <c r="AJ22" s="50" t="str">
        <f>IF(O22=""," ",O22*Inputs!$B$39)</f>
        <v xml:space="preserve"> </v>
      </c>
      <c r="AK22" s="50" t="str">
        <f>IF(P22=""," ",P22*Inputs!$B$39)</f>
        <v xml:space="preserve"> </v>
      </c>
      <c r="AL22" s="50" t="str">
        <f>IF(Q22=""," ",Q22*Inputs!$B$39)</f>
        <v xml:space="preserve"> </v>
      </c>
      <c r="AM22" s="50" t="str">
        <f>IF(R22=""," ",R22*Inputs!$B$39)</f>
        <v xml:space="preserve"> </v>
      </c>
      <c r="AN22" s="50" t="str">
        <f>IF(S22=""," ",S22*Inputs!$B$39)</f>
        <v xml:space="preserve"> </v>
      </c>
      <c r="AO22" s="50" t="str">
        <f>IF(T22=""," ",T22*Inputs!$B$39)</f>
        <v xml:space="preserve"> </v>
      </c>
      <c r="AP22" s="50" t="str">
        <f>IF(U22=""," ",U22*Inputs!$B$39)</f>
        <v xml:space="preserve"> </v>
      </c>
      <c r="AR22" s="589"/>
      <c r="AS22" s="555"/>
      <c r="AT22" s="51"/>
      <c r="AU22" s="27" t="s">
        <v>500</v>
      </c>
      <c r="AV22" s="50" t="str">
        <f>IF(AA22=" "," ",AA22*Inputs!$B$55)</f>
        <v xml:space="preserve"> </v>
      </c>
      <c r="AW22" s="50" t="str">
        <f>IF(AB22=" "," ",AB22*Inputs!$B$55)</f>
        <v xml:space="preserve"> </v>
      </c>
      <c r="AX22" s="50" t="str">
        <f>IF(AC22=" "," ",AC22*Inputs!$B$55)</f>
        <v xml:space="preserve"> </v>
      </c>
      <c r="AY22" s="50" t="str">
        <f>IF(AD22=" "," ",AD22*Inputs!$B$55)</f>
        <v xml:space="preserve"> </v>
      </c>
      <c r="AZ22" s="50" t="str">
        <f>IF(AE22=" "," ",AE22*Inputs!$B$55)</f>
        <v xml:space="preserve"> </v>
      </c>
      <c r="BA22" s="50" t="str">
        <f>IF(AF22=" "," ",AF22*Inputs!$B$55)</f>
        <v xml:space="preserve"> </v>
      </c>
      <c r="BB22" s="50" t="str">
        <f>IF(AG22=" "," ",AG22*Inputs!$B$55)</f>
        <v xml:space="preserve"> </v>
      </c>
      <c r="BC22" s="50" t="str">
        <f>IF(AH22=" "," ",AH22*Inputs!$B$55)</f>
        <v xml:space="preserve"> </v>
      </c>
      <c r="BD22" s="50" t="str">
        <f>IF(AI22=" "," ",AI22*Inputs!$B$55)</f>
        <v xml:space="preserve"> </v>
      </c>
      <c r="BE22" s="50" t="str">
        <f>IF(AJ22=" "," ",AJ22*Inputs!$B$55)</f>
        <v xml:space="preserve"> </v>
      </c>
      <c r="BF22" s="50" t="str">
        <f>IF(AK22=" "," ",AK22*Inputs!$B$55)</f>
        <v xml:space="preserve"> </v>
      </c>
      <c r="BG22" s="50" t="str">
        <f>IF(AL22=" "," ",AL22*Inputs!$B$55)</f>
        <v xml:space="preserve"> </v>
      </c>
      <c r="BH22" s="50" t="str">
        <f>IF(AM22=" "," ",AM22*Inputs!$B$55)</f>
        <v xml:space="preserve"> </v>
      </c>
      <c r="BI22" s="50" t="str">
        <f>IF(AN22=" "," ",AN22*Inputs!$B$55)</f>
        <v xml:space="preserve"> </v>
      </c>
      <c r="BJ22" s="50" t="str">
        <f>IF(AO22=" "," ",AO22*Inputs!$B$55)</f>
        <v xml:space="preserve"> </v>
      </c>
      <c r="BK22" s="50" t="str">
        <f>IF(AP22=" "," ",AP22*Inputs!$B$55)</f>
        <v xml:space="preserve"> </v>
      </c>
      <c r="BO22" s="620"/>
      <c r="BP22" s="628"/>
      <c r="BQ22" s="497" t="str">
        <f t="shared" ref="BQ22:CA22" si="9">IF(F40=""," ",AVERAGE(F40:F43)*$CD$16)</f>
        <v xml:space="preserve"> </v>
      </c>
      <c r="BR22" s="497" t="str">
        <f t="shared" si="9"/>
        <v xml:space="preserve"> </v>
      </c>
      <c r="BS22" s="497" t="str">
        <f t="shared" si="9"/>
        <v xml:space="preserve"> </v>
      </c>
      <c r="BT22" s="497" t="str">
        <f t="shared" si="9"/>
        <v xml:space="preserve"> </v>
      </c>
      <c r="BU22" s="497" t="str">
        <f t="shared" si="9"/>
        <v xml:space="preserve"> </v>
      </c>
      <c r="BV22" s="497" t="str">
        <f t="shared" si="9"/>
        <v xml:space="preserve"> </v>
      </c>
      <c r="BW22" s="497" t="str">
        <f t="shared" si="9"/>
        <v xml:space="preserve"> </v>
      </c>
      <c r="BX22" s="497" t="str">
        <f t="shared" si="9"/>
        <v xml:space="preserve"> </v>
      </c>
      <c r="BY22" s="497" t="str">
        <f t="shared" si="9"/>
        <v xml:space="preserve"> </v>
      </c>
      <c r="BZ22" s="497" t="str">
        <f t="shared" si="9"/>
        <v xml:space="preserve"> </v>
      </c>
      <c r="CA22" s="497" t="str">
        <f t="shared" si="9"/>
        <v xml:space="preserve"> </v>
      </c>
    </row>
    <row r="23" spans="2:79" ht="18.75" customHeight="1" x14ac:dyDescent="0.25">
      <c r="B23" s="591"/>
      <c r="C23" s="555"/>
      <c r="D23" s="591"/>
      <c r="E23" s="21"/>
      <c r="F23" s="152"/>
      <c r="G23" s="152"/>
      <c r="H23" s="152"/>
      <c r="I23" s="152"/>
      <c r="J23" s="152"/>
      <c r="K23" s="152"/>
      <c r="L23" s="152"/>
      <c r="M23" s="152"/>
      <c r="N23" s="152"/>
      <c r="O23" s="152"/>
      <c r="P23" s="152"/>
      <c r="Q23" s="244"/>
      <c r="R23" s="244"/>
      <c r="S23" s="244"/>
      <c r="T23" s="244"/>
      <c r="U23" s="152"/>
      <c r="W23" s="591"/>
      <c r="X23" s="555"/>
      <c r="Y23" s="52"/>
      <c r="Z23" s="29" t="s">
        <v>501</v>
      </c>
      <c r="AA23" s="50" t="str">
        <f>IF(F23=""," ",F23*Inputs!$B$39)</f>
        <v xml:space="preserve"> </v>
      </c>
      <c r="AB23" s="50" t="str">
        <f>IF(G23=""," ",G23*Inputs!$B$39)</f>
        <v xml:space="preserve"> </v>
      </c>
      <c r="AC23" s="50" t="str">
        <f>IF(H23=""," ",H23*Inputs!$B$39)</f>
        <v xml:space="preserve"> </v>
      </c>
      <c r="AD23" s="50" t="str">
        <f>IF(I23=""," ",I23*Inputs!$B$39)</f>
        <v xml:space="preserve"> </v>
      </c>
      <c r="AE23" s="50" t="str">
        <f>IF(J23=""," ",J23*Inputs!$B$39)</f>
        <v xml:space="preserve"> </v>
      </c>
      <c r="AF23" s="50" t="str">
        <f>IF(K23=""," ",K23*Inputs!$B$39)</f>
        <v xml:space="preserve"> </v>
      </c>
      <c r="AG23" s="50" t="str">
        <f>IF(L23=""," ",L23*Inputs!$B$39)</f>
        <v xml:space="preserve"> </v>
      </c>
      <c r="AH23" s="50" t="str">
        <f>IF(M23=""," ",M23*Inputs!$B$39)</f>
        <v xml:space="preserve"> </v>
      </c>
      <c r="AI23" s="50" t="str">
        <f>IF(N23=""," ",N23*Inputs!$B$39)</f>
        <v xml:space="preserve"> </v>
      </c>
      <c r="AJ23" s="50" t="str">
        <f>IF(O23=""," ",O23*Inputs!$B$39)</f>
        <v xml:space="preserve"> </v>
      </c>
      <c r="AK23" s="50" t="str">
        <f>IF(P23=""," ",P23*Inputs!$B$39)</f>
        <v xml:space="preserve"> </v>
      </c>
      <c r="AL23" s="50" t="str">
        <f>IF(Q23=""," ",Q23*Inputs!$B$39)</f>
        <v xml:space="preserve"> </v>
      </c>
      <c r="AM23" s="50" t="str">
        <f>IF(R23=""," ",R23*Inputs!$B$39)</f>
        <v xml:space="preserve"> </v>
      </c>
      <c r="AN23" s="50" t="str">
        <f>IF(S23=""," ",S23*Inputs!$B$39)</f>
        <v xml:space="preserve"> </v>
      </c>
      <c r="AO23" s="50" t="str">
        <f>IF(T23=""," ",T23*Inputs!$B$39)</f>
        <v xml:space="preserve"> </v>
      </c>
      <c r="AP23" s="50" t="str">
        <f>IF(U23=""," ",U23*Inputs!$B$39)</f>
        <v xml:space="preserve"> </v>
      </c>
      <c r="AR23" s="591"/>
      <c r="AS23" s="555"/>
      <c r="AT23" s="52"/>
      <c r="AU23" s="29" t="s">
        <v>501</v>
      </c>
      <c r="AV23" s="50" t="str">
        <f>IF(AA23=" "," ",AA23*Inputs!$B$55)</f>
        <v xml:space="preserve"> </v>
      </c>
      <c r="AW23" s="50" t="str">
        <f>IF(AB23=" "," ",AB23*Inputs!$B$55)</f>
        <v xml:space="preserve"> </v>
      </c>
      <c r="AX23" s="50" t="str">
        <f>IF(AC23=" "," ",AC23*Inputs!$B$55)</f>
        <v xml:space="preserve"> </v>
      </c>
      <c r="AY23" s="50" t="str">
        <f>IF(AD23=" "," ",AD23*Inputs!$B$55)</f>
        <v xml:space="preserve"> </v>
      </c>
      <c r="AZ23" s="50" t="str">
        <f>IF(AE23=" "," ",AE23*Inputs!$B$55)</f>
        <v xml:space="preserve"> </v>
      </c>
      <c r="BA23" s="50" t="str">
        <f>IF(AF23=" "," ",AF23*Inputs!$B$55)</f>
        <v xml:space="preserve"> </v>
      </c>
      <c r="BB23" s="50" t="str">
        <f>IF(AG23=" "," ",AG23*Inputs!$B$55)</f>
        <v xml:space="preserve"> </v>
      </c>
      <c r="BC23" s="50" t="str">
        <f>IF(AH23=" "," ",AH23*Inputs!$B$55)</f>
        <v xml:space="preserve"> </v>
      </c>
      <c r="BD23" s="50" t="str">
        <f>IF(AI23=" "," ",AI23*Inputs!$B$55)</f>
        <v xml:space="preserve"> </v>
      </c>
      <c r="BE23" s="50" t="str">
        <f>IF(AJ23=" "," ",AJ23*Inputs!$B$55)</f>
        <v xml:space="preserve"> </v>
      </c>
      <c r="BF23" s="50" t="str">
        <f>IF(AK23=" "," ",AK23*Inputs!$B$55)</f>
        <v xml:space="preserve"> </v>
      </c>
      <c r="BG23" s="50" t="str">
        <f>IF(AL23=" "," ",AL23*Inputs!$B$55)</f>
        <v xml:space="preserve"> </v>
      </c>
      <c r="BH23" s="50" t="str">
        <f>IF(AM23=" "," ",AM23*Inputs!$B$55)</f>
        <v xml:space="preserve"> </v>
      </c>
      <c r="BI23" s="50" t="str">
        <f>IF(AN23=" "," ",AN23*Inputs!$B$55)</f>
        <v xml:space="preserve"> </v>
      </c>
      <c r="BJ23" s="50" t="str">
        <f>IF(AO23=" "," ",AO23*Inputs!$B$55)</f>
        <v xml:space="preserve"> </v>
      </c>
      <c r="BK23" s="50" t="str">
        <f>IF(AP23=" "," ",AP23*Inputs!$B$55)</f>
        <v xml:space="preserve"> </v>
      </c>
      <c r="BO23" s="591"/>
      <c r="BP23" s="629"/>
      <c r="BQ23" s="497"/>
      <c r="BR23" s="497"/>
      <c r="BS23" s="497"/>
      <c r="BT23" s="497"/>
      <c r="BU23" s="497"/>
      <c r="BV23" s="497"/>
      <c r="BW23" s="497"/>
      <c r="BX23" s="497"/>
      <c r="BY23" s="497"/>
      <c r="BZ23" s="497"/>
      <c r="CA23" s="497"/>
    </row>
    <row r="24" spans="2:79" ht="15" customHeight="1" x14ac:dyDescent="0.25">
      <c r="B24" s="590"/>
      <c r="C24" s="622" t="s">
        <v>7</v>
      </c>
      <c r="D24" s="595"/>
      <c r="E24" s="150"/>
      <c r="F24" s="151"/>
      <c r="G24" s="151"/>
      <c r="H24" s="151"/>
      <c r="I24" s="151"/>
      <c r="J24" s="151"/>
      <c r="K24" s="151"/>
      <c r="L24" s="151"/>
      <c r="M24" s="151"/>
      <c r="N24" s="151"/>
      <c r="O24" s="151"/>
      <c r="P24" s="151"/>
      <c r="Q24" s="243"/>
      <c r="R24" s="243"/>
      <c r="S24" s="243"/>
      <c r="T24" s="243"/>
      <c r="U24" s="151"/>
      <c r="W24" s="590"/>
      <c r="X24" s="622" t="s">
        <v>7</v>
      </c>
      <c r="Y24" s="50"/>
      <c r="Z24" s="24" t="s">
        <v>498</v>
      </c>
      <c r="AA24" s="50" t="str">
        <f>IF(F24=""," ",F24*Inputs!$B$39)</f>
        <v xml:space="preserve"> </v>
      </c>
      <c r="AB24" s="50" t="str">
        <f>IF(G24=""," ",G24*Inputs!$B$39)</f>
        <v xml:space="preserve"> </v>
      </c>
      <c r="AC24" s="50" t="str">
        <f>IF(H24=""," ",H24*Inputs!$B$39)</f>
        <v xml:space="preserve"> </v>
      </c>
      <c r="AD24" s="50" t="str">
        <f>IF(I24=""," ",I24*Inputs!$B$39)</f>
        <v xml:space="preserve"> </v>
      </c>
      <c r="AE24" s="50" t="str">
        <f>IF(J24=""," ",J24*Inputs!$B$39)</f>
        <v xml:space="preserve"> </v>
      </c>
      <c r="AF24" s="50" t="str">
        <f>IF(K24=""," ",K24*Inputs!$B$39)</f>
        <v xml:space="preserve"> </v>
      </c>
      <c r="AG24" s="50" t="str">
        <f>IF(L24=""," ",L24*Inputs!$B$39)</f>
        <v xml:space="preserve"> </v>
      </c>
      <c r="AH24" s="50" t="str">
        <f>IF(M24=""," ",M24*Inputs!$B$39)</f>
        <v xml:space="preserve"> </v>
      </c>
      <c r="AI24" s="50" t="str">
        <f>IF(N24=""," ",N24*Inputs!$B$39)</f>
        <v xml:space="preserve"> </v>
      </c>
      <c r="AJ24" s="50" t="str">
        <f>IF(O24=""," ",O24*Inputs!$B$39)</f>
        <v xml:space="preserve"> </v>
      </c>
      <c r="AK24" s="50" t="str">
        <f>IF(P24=""," ",P24*Inputs!$B$39)</f>
        <v xml:space="preserve"> </v>
      </c>
      <c r="AL24" s="50" t="str">
        <f>IF(Q24=""," ",Q24*Inputs!$B$39)</f>
        <v xml:space="preserve"> </v>
      </c>
      <c r="AM24" s="50" t="str">
        <f>IF(R24=""," ",R24*Inputs!$B$39)</f>
        <v xml:space="preserve"> </v>
      </c>
      <c r="AN24" s="50" t="str">
        <f>IF(S24=""," ",S24*Inputs!$B$39)</f>
        <v xml:space="preserve"> </v>
      </c>
      <c r="AO24" s="50" t="str">
        <f>IF(T24=""," ",T24*Inputs!$B$39)</f>
        <v xml:space="preserve"> </v>
      </c>
      <c r="AP24" s="50" t="str">
        <f>IF(U24=""," ",U24*Inputs!$B$39)</f>
        <v xml:space="preserve"> </v>
      </c>
      <c r="AR24" s="590"/>
      <c r="AS24" s="622" t="s">
        <v>7</v>
      </c>
      <c r="AT24" s="50"/>
      <c r="AU24" s="24" t="s">
        <v>498</v>
      </c>
      <c r="AV24" s="50" t="str">
        <f>IF(AA24=" "," ",AA24*Inputs!$B$55)</f>
        <v xml:space="preserve"> </v>
      </c>
      <c r="AW24" s="50" t="str">
        <f>IF(AB24=" "," ",AB24*Inputs!$B$55)</f>
        <v xml:space="preserve"> </v>
      </c>
      <c r="AX24" s="50" t="str">
        <f>IF(AC24=" "," ",AC24*Inputs!$B$55)</f>
        <v xml:space="preserve"> </v>
      </c>
      <c r="AY24" s="50" t="str">
        <f>IF(AD24=" "," ",AD24*Inputs!$B$55)</f>
        <v xml:space="preserve"> </v>
      </c>
      <c r="AZ24" s="50" t="str">
        <f>IF(AE24=" "," ",AE24*Inputs!$B$55)</f>
        <v xml:space="preserve"> </v>
      </c>
      <c r="BA24" s="50" t="str">
        <f>IF(AF24=" "," ",AF24*Inputs!$B$55)</f>
        <v xml:space="preserve"> </v>
      </c>
      <c r="BB24" s="50" t="str">
        <f>IF(AG24=" "," ",AG24*Inputs!$B$55)</f>
        <v xml:space="preserve"> </v>
      </c>
      <c r="BC24" s="50" t="str">
        <f>IF(AH24=" "," ",AH24*Inputs!$B$55)</f>
        <v xml:space="preserve"> </v>
      </c>
      <c r="BD24" s="50" t="str">
        <f>IF(AI24=" "," ",AI24*Inputs!$B$55)</f>
        <v xml:space="preserve"> </v>
      </c>
      <c r="BE24" s="50" t="str">
        <f>IF(AJ24=" "," ",AJ24*Inputs!$B$55)</f>
        <v xml:space="preserve"> </v>
      </c>
      <c r="BF24" s="50" t="str">
        <f>IF(AK24=" "," ",AK24*Inputs!$B$55)</f>
        <v xml:space="preserve"> </v>
      </c>
      <c r="BG24" s="50" t="str">
        <f>IF(AL24=" "," ",AL24*Inputs!$B$55)</f>
        <v xml:space="preserve"> </v>
      </c>
      <c r="BH24" s="50" t="str">
        <f>IF(AM24=" "," ",AM24*Inputs!$B$55)</f>
        <v xml:space="preserve"> </v>
      </c>
      <c r="BI24" s="50" t="str">
        <f>IF(AN24=" "," ",AN24*Inputs!$B$55)</f>
        <v xml:space="preserve"> </v>
      </c>
      <c r="BJ24" s="50" t="str">
        <f>IF(AO24=" "," ",AO24*Inputs!$B$55)</f>
        <v xml:space="preserve"> </v>
      </c>
      <c r="BK24" s="50" t="str">
        <f>IF(AP24=" "," ",AP24*Inputs!$B$55)</f>
        <v xml:space="preserve"> </v>
      </c>
    </row>
    <row r="25" spans="2:79" ht="18.75" customHeight="1" x14ac:dyDescent="0.25">
      <c r="B25" s="589"/>
      <c r="C25" s="555"/>
      <c r="D25" s="589"/>
      <c r="E25" s="21"/>
      <c r="F25" s="152"/>
      <c r="G25" s="152"/>
      <c r="H25" s="152"/>
      <c r="I25" s="152"/>
      <c r="J25" s="152"/>
      <c r="K25" s="152"/>
      <c r="L25" s="152"/>
      <c r="M25" s="152"/>
      <c r="N25" s="152"/>
      <c r="O25" s="152"/>
      <c r="P25" s="152"/>
      <c r="Q25" s="244"/>
      <c r="R25" s="244"/>
      <c r="S25" s="244"/>
      <c r="T25" s="244"/>
      <c r="U25" s="152"/>
      <c r="W25" s="589"/>
      <c r="X25" s="555"/>
      <c r="Y25" s="51"/>
      <c r="Z25" s="27" t="s">
        <v>499</v>
      </c>
      <c r="AA25" s="50" t="str">
        <f>IF(F25=""," ",F25*Inputs!$B$39)</f>
        <v xml:space="preserve"> </v>
      </c>
      <c r="AB25" s="50" t="str">
        <f>IF(G25=""," ",G25*Inputs!$B$39)</f>
        <v xml:space="preserve"> </v>
      </c>
      <c r="AC25" s="50" t="str">
        <f>IF(H25=""," ",H25*Inputs!$B$39)</f>
        <v xml:space="preserve"> </v>
      </c>
      <c r="AD25" s="50" t="str">
        <f>IF(I25=""," ",I25*Inputs!$B$39)</f>
        <v xml:space="preserve"> </v>
      </c>
      <c r="AE25" s="50" t="str">
        <f>IF(J25=""," ",J25*Inputs!$B$39)</f>
        <v xml:space="preserve"> </v>
      </c>
      <c r="AF25" s="50" t="str">
        <f>IF(K25=""," ",K25*Inputs!$B$39)</f>
        <v xml:space="preserve"> </v>
      </c>
      <c r="AG25" s="50" t="str">
        <f>IF(L25=""," ",L25*Inputs!$B$39)</f>
        <v xml:space="preserve"> </v>
      </c>
      <c r="AH25" s="50" t="str">
        <f>IF(M25=""," ",M25*Inputs!$B$39)</f>
        <v xml:space="preserve"> </v>
      </c>
      <c r="AI25" s="50" t="str">
        <f>IF(N25=""," ",N25*Inputs!$B$39)</f>
        <v xml:space="preserve"> </v>
      </c>
      <c r="AJ25" s="50" t="str">
        <f>IF(O25=""," ",O25*Inputs!$B$39)</f>
        <v xml:space="preserve"> </v>
      </c>
      <c r="AK25" s="50" t="str">
        <f>IF(P25=""," ",P25*Inputs!$B$39)</f>
        <v xml:space="preserve"> </v>
      </c>
      <c r="AL25" s="50" t="str">
        <f>IF(Q25=""," ",Q25*Inputs!$B$39)</f>
        <v xml:space="preserve"> </v>
      </c>
      <c r="AM25" s="50" t="str">
        <f>IF(R25=""," ",R25*Inputs!$B$39)</f>
        <v xml:space="preserve"> </v>
      </c>
      <c r="AN25" s="50" t="str">
        <f>IF(S25=""," ",S25*Inputs!$B$39)</f>
        <v xml:space="preserve"> </v>
      </c>
      <c r="AO25" s="50" t="str">
        <f>IF(T25=""," ",T25*Inputs!$B$39)</f>
        <v xml:space="preserve"> </v>
      </c>
      <c r="AP25" s="50" t="str">
        <f>IF(U25=""," ",U25*Inputs!$B$39)</f>
        <v xml:space="preserve"> </v>
      </c>
      <c r="AR25" s="589"/>
      <c r="AS25" s="555"/>
      <c r="AT25" s="51"/>
      <c r="AU25" s="27" t="s">
        <v>499</v>
      </c>
      <c r="AV25" s="50" t="str">
        <f>IF(AA25=" "," ",AA25*Inputs!$B$55)</f>
        <v xml:space="preserve"> </v>
      </c>
      <c r="AW25" s="50" t="str">
        <f>IF(AB25=" "," ",AB25*Inputs!$B$55)</f>
        <v xml:space="preserve"> </v>
      </c>
      <c r="AX25" s="50" t="str">
        <f>IF(AC25=" "," ",AC25*Inputs!$B$55)</f>
        <v xml:space="preserve"> </v>
      </c>
      <c r="AY25" s="50" t="str">
        <f>IF(AD25=" "," ",AD25*Inputs!$B$55)</f>
        <v xml:space="preserve"> </v>
      </c>
      <c r="AZ25" s="50" t="str">
        <f>IF(AE25=" "," ",AE25*Inputs!$B$55)</f>
        <v xml:space="preserve"> </v>
      </c>
      <c r="BA25" s="50" t="str">
        <f>IF(AF25=" "," ",AF25*Inputs!$B$55)</f>
        <v xml:space="preserve"> </v>
      </c>
      <c r="BB25" s="50" t="str">
        <f>IF(AG25=" "," ",AG25*Inputs!$B$55)</f>
        <v xml:space="preserve"> </v>
      </c>
      <c r="BC25" s="50" t="str">
        <f>IF(AH25=" "," ",AH25*Inputs!$B$55)</f>
        <v xml:space="preserve"> </v>
      </c>
      <c r="BD25" s="50" t="str">
        <f>IF(AI25=" "," ",AI25*Inputs!$B$55)</f>
        <v xml:space="preserve"> </v>
      </c>
      <c r="BE25" s="50" t="str">
        <f>IF(AJ25=" "," ",AJ25*Inputs!$B$55)</f>
        <v xml:space="preserve"> </v>
      </c>
      <c r="BF25" s="50" t="str">
        <f>IF(AK25=" "," ",AK25*Inputs!$B$55)</f>
        <v xml:space="preserve"> </v>
      </c>
      <c r="BG25" s="50" t="str">
        <f>IF(AL25=" "," ",AL25*Inputs!$B$55)</f>
        <v xml:space="preserve"> </v>
      </c>
      <c r="BH25" s="50" t="str">
        <f>IF(AM25=" "," ",AM25*Inputs!$B$55)</f>
        <v xml:space="preserve"> </v>
      </c>
      <c r="BI25" s="50" t="str">
        <f>IF(AN25=" "," ",AN25*Inputs!$B$55)</f>
        <v xml:space="preserve"> </v>
      </c>
      <c r="BJ25" s="50" t="str">
        <f>IF(AO25=" "," ",AO25*Inputs!$B$55)</f>
        <v xml:space="preserve"> </v>
      </c>
      <c r="BK25" s="50" t="str">
        <f>IF(AP25=" "," ",AP25*Inputs!$B$55)</f>
        <v xml:space="preserve"> </v>
      </c>
    </row>
    <row r="26" spans="2:79" ht="18.75" customHeight="1" x14ac:dyDescent="0.25">
      <c r="B26" s="589"/>
      <c r="C26" s="555"/>
      <c r="D26" s="589"/>
      <c r="E26" s="21"/>
      <c r="F26" s="152"/>
      <c r="G26" s="152"/>
      <c r="H26" s="152"/>
      <c r="I26" s="152"/>
      <c r="J26" s="152"/>
      <c r="K26" s="152"/>
      <c r="L26" s="152"/>
      <c r="M26" s="152"/>
      <c r="N26" s="152"/>
      <c r="O26" s="152"/>
      <c r="P26" s="152"/>
      <c r="Q26" s="244"/>
      <c r="R26" s="244"/>
      <c r="S26" s="244"/>
      <c r="T26" s="244"/>
      <c r="U26" s="152"/>
      <c r="W26" s="589"/>
      <c r="X26" s="555"/>
      <c r="Y26" s="51"/>
      <c r="Z26" s="27" t="s">
        <v>500</v>
      </c>
      <c r="AA26" s="50" t="str">
        <f>IF(F26=""," ",F26*Inputs!$B$39)</f>
        <v xml:space="preserve"> </v>
      </c>
      <c r="AB26" s="50" t="str">
        <f>IF(G26=""," ",G26*Inputs!$B$39)</f>
        <v xml:space="preserve"> </v>
      </c>
      <c r="AC26" s="50" t="str">
        <f>IF(H26=""," ",H26*Inputs!$B$39)</f>
        <v xml:space="preserve"> </v>
      </c>
      <c r="AD26" s="50" t="str">
        <f>IF(I26=""," ",I26*Inputs!$B$39)</f>
        <v xml:space="preserve"> </v>
      </c>
      <c r="AE26" s="50" t="str">
        <f>IF(J26=""," ",J26*Inputs!$B$39)</f>
        <v xml:space="preserve"> </v>
      </c>
      <c r="AF26" s="50" t="str">
        <f>IF(K26=""," ",K26*Inputs!$B$39)</f>
        <v xml:space="preserve"> </v>
      </c>
      <c r="AG26" s="50" t="str">
        <f>IF(L26=""," ",L26*Inputs!$B$39)</f>
        <v xml:space="preserve"> </v>
      </c>
      <c r="AH26" s="50" t="str">
        <f>IF(M26=""," ",M26*Inputs!$B$39)</f>
        <v xml:space="preserve"> </v>
      </c>
      <c r="AI26" s="50" t="str">
        <f>IF(N26=""," ",N26*Inputs!$B$39)</f>
        <v xml:space="preserve"> </v>
      </c>
      <c r="AJ26" s="50" t="str">
        <f>IF(O26=""," ",O26*Inputs!$B$39)</f>
        <v xml:space="preserve"> </v>
      </c>
      <c r="AK26" s="50" t="str">
        <f>IF(P26=""," ",P26*Inputs!$B$39)</f>
        <v xml:space="preserve"> </v>
      </c>
      <c r="AL26" s="50" t="str">
        <f>IF(Q26=""," ",Q26*Inputs!$B$39)</f>
        <v xml:space="preserve"> </v>
      </c>
      <c r="AM26" s="50" t="str">
        <f>IF(R26=""," ",R26*Inputs!$B$39)</f>
        <v xml:space="preserve"> </v>
      </c>
      <c r="AN26" s="50" t="str">
        <f>IF(S26=""," ",S26*Inputs!$B$39)</f>
        <v xml:space="preserve"> </v>
      </c>
      <c r="AO26" s="50" t="str">
        <f>IF(T26=""," ",T26*Inputs!$B$39)</f>
        <v xml:space="preserve"> </v>
      </c>
      <c r="AP26" s="50" t="str">
        <f>IF(U26=""," ",U26*Inputs!$B$39)</f>
        <v xml:space="preserve"> </v>
      </c>
      <c r="AR26" s="589"/>
      <c r="AS26" s="555"/>
      <c r="AT26" s="51"/>
      <c r="AU26" s="27" t="s">
        <v>500</v>
      </c>
      <c r="AV26" s="50" t="str">
        <f>IF(AA26=" "," ",AA26*Inputs!$B$55)</f>
        <v xml:space="preserve"> </v>
      </c>
      <c r="AW26" s="50" t="str">
        <f>IF(AB26=" "," ",AB26*Inputs!$B$55)</f>
        <v xml:space="preserve"> </v>
      </c>
      <c r="AX26" s="50" t="str">
        <f>IF(AC26=" "," ",AC26*Inputs!$B$55)</f>
        <v xml:space="preserve"> </v>
      </c>
      <c r="AY26" s="50" t="str">
        <f>IF(AD26=" "," ",AD26*Inputs!$B$55)</f>
        <v xml:space="preserve"> </v>
      </c>
      <c r="AZ26" s="50" t="str">
        <f>IF(AE26=" "," ",AE26*Inputs!$B$55)</f>
        <v xml:space="preserve"> </v>
      </c>
      <c r="BA26" s="50" t="str">
        <f>IF(AF26=" "," ",AF26*Inputs!$B$55)</f>
        <v xml:space="preserve"> </v>
      </c>
      <c r="BB26" s="50" t="str">
        <f>IF(AG26=" "," ",AG26*Inputs!$B$55)</f>
        <v xml:space="preserve"> </v>
      </c>
      <c r="BC26" s="50" t="str">
        <f>IF(AH26=" "," ",AH26*Inputs!$B$55)</f>
        <v xml:space="preserve"> </v>
      </c>
      <c r="BD26" s="50" t="str">
        <f>IF(AI26=" "," ",AI26*Inputs!$B$55)</f>
        <v xml:space="preserve"> </v>
      </c>
      <c r="BE26" s="50" t="str">
        <f>IF(AJ26=" "," ",AJ26*Inputs!$B$55)</f>
        <v xml:space="preserve"> </v>
      </c>
      <c r="BF26" s="50" t="str">
        <f>IF(AK26=" "," ",AK26*Inputs!$B$55)</f>
        <v xml:space="preserve"> </v>
      </c>
      <c r="BG26" s="50" t="str">
        <f>IF(AL26=" "," ",AL26*Inputs!$B$55)</f>
        <v xml:space="preserve"> </v>
      </c>
      <c r="BH26" s="50" t="str">
        <f>IF(AM26=" "," ",AM26*Inputs!$B$55)</f>
        <v xml:space="preserve"> </v>
      </c>
      <c r="BI26" s="50" t="str">
        <f>IF(AN26=" "," ",AN26*Inputs!$B$55)</f>
        <v xml:space="preserve"> </v>
      </c>
      <c r="BJ26" s="50" t="str">
        <f>IF(AO26=" "," ",AO26*Inputs!$B$55)</f>
        <v xml:space="preserve"> </v>
      </c>
      <c r="BK26" s="50" t="str">
        <f>IF(AP26=" "," ",AP26*Inputs!$B$55)</f>
        <v xml:space="preserve"> </v>
      </c>
    </row>
    <row r="27" spans="2:79" ht="18.75" customHeight="1" x14ac:dyDescent="0.25">
      <c r="B27" s="591"/>
      <c r="C27" s="555"/>
      <c r="D27" s="591"/>
      <c r="E27" s="149"/>
      <c r="F27" s="153"/>
      <c r="G27" s="153"/>
      <c r="H27" s="153"/>
      <c r="I27" s="153"/>
      <c r="J27" s="153"/>
      <c r="K27" s="153"/>
      <c r="L27" s="153"/>
      <c r="M27" s="153"/>
      <c r="N27" s="153"/>
      <c r="O27" s="153"/>
      <c r="P27" s="153"/>
      <c r="Q27" s="245"/>
      <c r="R27" s="245"/>
      <c r="S27" s="245"/>
      <c r="T27" s="245"/>
      <c r="U27" s="153"/>
      <c r="W27" s="591"/>
      <c r="X27" s="555"/>
      <c r="Y27" s="52"/>
      <c r="Z27" s="29" t="s">
        <v>501</v>
      </c>
      <c r="AA27" s="50" t="str">
        <f>IF(F27=""," ",F27*Inputs!$B$39)</f>
        <v xml:space="preserve"> </v>
      </c>
      <c r="AB27" s="50" t="str">
        <f>IF(G27=""," ",G27*Inputs!$B$39)</f>
        <v xml:space="preserve"> </v>
      </c>
      <c r="AC27" s="50" t="str">
        <f>IF(H27=""," ",H27*Inputs!$B$39)</f>
        <v xml:space="preserve"> </v>
      </c>
      <c r="AD27" s="50" t="str">
        <f>IF(I27=""," ",I27*Inputs!$B$39)</f>
        <v xml:space="preserve"> </v>
      </c>
      <c r="AE27" s="50" t="str">
        <f>IF(J27=""," ",J27*Inputs!$B$39)</f>
        <v xml:space="preserve"> </v>
      </c>
      <c r="AF27" s="50" t="str">
        <f>IF(K27=""," ",K27*Inputs!$B$39)</f>
        <v xml:space="preserve"> </v>
      </c>
      <c r="AG27" s="50" t="str">
        <f>IF(L27=""," ",L27*Inputs!$B$39)</f>
        <v xml:space="preserve"> </v>
      </c>
      <c r="AH27" s="50" t="str">
        <f>IF(M27=""," ",M27*Inputs!$B$39)</f>
        <v xml:space="preserve"> </v>
      </c>
      <c r="AI27" s="50" t="str">
        <f>IF(N27=""," ",N27*Inputs!$B$39)</f>
        <v xml:space="preserve"> </v>
      </c>
      <c r="AJ27" s="50" t="str">
        <f>IF(O27=""," ",O27*Inputs!$B$39)</f>
        <v xml:space="preserve"> </v>
      </c>
      <c r="AK27" s="50" t="str">
        <f>IF(P27=""," ",P27*Inputs!$B$39)</f>
        <v xml:space="preserve"> </v>
      </c>
      <c r="AL27" s="50" t="str">
        <f>IF(Q27=""," ",Q27*Inputs!$B$39)</f>
        <v xml:space="preserve"> </v>
      </c>
      <c r="AM27" s="50" t="str">
        <f>IF(R27=""," ",R27*Inputs!$B$39)</f>
        <v xml:space="preserve"> </v>
      </c>
      <c r="AN27" s="50" t="str">
        <f>IF(S27=""," ",S27*Inputs!$B$39)</f>
        <v xml:space="preserve"> </v>
      </c>
      <c r="AO27" s="50" t="str">
        <f>IF(T27=""," ",T27*Inputs!$B$39)</f>
        <v xml:space="preserve"> </v>
      </c>
      <c r="AP27" s="50" t="str">
        <f>IF(U27=""," ",U27*Inputs!$B$39)</f>
        <v xml:space="preserve"> </v>
      </c>
      <c r="AR27" s="591"/>
      <c r="AS27" s="555"/>
      <c r="AT27" s="52"/>
      <c r="AU27" s="29" t="s">
        <v>501</v>
      </c>
      <c r="AV27" s="50" t="str">
        <f>IF(AA27=" "," ",AA27*Inputs!$B$55)</f>
        <v xml:space="preserve"> </v>
      </c>
      <c r="AW27" s="50" t="str">
        <f>IF(AB27=" "," ",AB27*Inputs!$B$55)</f>
        <v xml:space="preserve"> </v>
      </c>
      <c r="AX27" s="50" t="str">
        <f>IF(AC27=" "," ",AC27*Inputs!$B$55)</f>
        <v xml:space="preserve"> </v>
      </c>
      <c r="AY27" s="50" t="str">
        <f>IF(AD27=" "," ",AD27*Inputs!$B$55)</f>
        <v xml:space="preserve"> </v>
      </c>
      <c r="AZ27" s="50" t="str">
        <f>IF(AE27=" "," ",AE27*Inputs!$B$55)</f>
        <v xml:space="preserve"> </v>
      </c>
      <c r="BA27" s="50" t="str">
        <f>IF(AF27=" "," ",AF27*Inputs!$B$55)</f>
        <v xml:space="preserve"> </v>
      </c>
      <c r="BB27" s="50" t="str">
        <f>IF(AG27=" "," ",AG27*Inputs!$B$55)</f>
        <v xml:space="preserve"> </v>
      </c>
      <c r="BC27" s="50" t="str">
        <f>IF(AH27=" "," ",AH27*Inputs!$B$55)</f>
        <v xml:space="preserve"> </v>
      </c>
      <c r="BD27" s="50" t="str">
        <f>IF(AI27=" "," ",AI27*Inputs!$B$55)</f>
        <v xml:space="preserve"> </v>
      </c>
      <c r="BE27" s="50" t="str">
        <f>IF(AJ27=" "," ",AJ27*Inputs!$B$55)</f>
        <v xml:space="preserve"> </v>
      </c>
      <c r="BF27" s="50" t="str">
        <f>IF(AK27=" "," ",AK27*Inputs!$B$55)</f>
        <v xml:space="preserve"> </v>
      </c>
      <c r="BG27" s="50" t="str">
        <f>IF(AL27=" "," ",AL27*Inputs!$B$55)</f>
        <v xml:space="preserve"> </v>
      </c>
      <c r="BH27" s="50" t="str">
        <f>IF(AM27=" "," ",AM27*Inputs!$B$55)</f>
        <v xml:space="preserve"> </v>
      </c>
      <c r="BI27" s="50" t="str">
        <f>IF(AN27=" "," ",AN27*Inputs!$B$55)</f>
        <v xml:space="preserve"> </v>
      </c>
      <c r="BJ27" s="50" t="str">
        <f>IF(AO27=" "," ",AO27*Inputs!$B$55)</f>
        <v xml:space="preserve"> </v>
      </c>
      <c r="BK27" s="50" t="str">
        <f>IF(AP27=" "," ",AP27*Inputs!$B$55)</f>
        <v xml:space="preserve"> </v>
      </c>
    </row>
    <row r="28" spans="2:79" ht="18.75" customHeight="1" x14ac:dyDescent="0.25">
      <c r="B28" s="593"/>
      <c r="C28" s="555"/>
      <c r="D28" s="595"/>
      <c r="E28" s="21"/>
      <c r="F28" s="152"/>
      <c r="G28" s="152"/>
      <c r="H28" s="152"/>
      <c r="I28" s="152"/>
      <c r="J28" s="152"/>
      <c r="K28" s="152"/>
      <c r="L28" s="152"/>
      <c r="M28" s="152"/>
      <c r="N28" s="152"/>
      <c r="O28" s="152"/>
      <c r="P28" s="152"/>
      <c r="Q28" s="244"/>
      <c r="R28" s="244"/>
      <c r="S28" s="244"/>
      <c r="T28" s="244"/>
      <c r="U28" s="152"/>
      <c r="W28" s="593"/>
      <c r="X28" s="555"/>
      <c r="Y28" s="50"/>
      <c r="Z28" s="24" t="s">
        <v>498</v>
      </c>
      <c r="AA28" s="50" t="str">
        <f>IF(F28=""," ",F28*Inputs!$B$39)</f>
        <v xml:space="preserve"> </v>
      </c>
      <c r="AB28" s="50" t="str">
        <f>IF(G28=""," ",G28*Inputs!$B$39)</f>
        <v xml:space="preserve"> </v>
      </c>
      <c r="AC28" s="50" t="str">
        <f>IF(H28=""," ",H28*Inputs!$B$39)</f>
        <v xml:space="preserve"> </v>
      </c>
      <c r="AD28" s="50" t="str">
        <f>IF(I28=""," ",I28*Inputs!$B$39)</f>
        <v xml:space="preserve"> </v>
      </c>
      <c r="AE28" s="50" t="str">
        <f>IF(J28=""," ",J28*Inputs!$B$39)</f>
        <v xml:space="preserve"> </v>
      </c>
      <c r="AF28" s="50" t="str">
        <f>IF(K28=""," ",K28*Inputs!$B$39)</f>
        <v xml:space="preserve"> </v>
      </c>
      <c r="AG28" s="50" t="str">
        <f>IF(L28=""," ",L28*Inputs!$B$39)</f>
        <v xml:space="preserve"> </v>
      </c>
      <c r="AH28" s="50" t="str">
        <f>IF(M28=""," ",M28*Inputs!$B$39)</f>
        <v xml:space="preserve"> </v>
      </c>
      <c r="AI28" s="50" t="str">
        <f>IF(N28=""," ",N28*Inputs!$B$39)</f>
        <v xml:space="preserve"> </v>
      </c>
      <c r="AJ28" s="50" t="str">
        <f>IF(O28=""," ",O28*Inputs!$B$39)</f>
        <v xml:space="preserve"> </v>
      </c>
      <c r="AK28" s="50" t="str">
        <f>IF(P28=""," ",P28*Inputs!$B$39)</f>
        <v xml:space="preserve"> </v>
      </c>
      <c r="AL28" s="50" t="str">
        <f>IF(Q28=""," ",Q28*Inputs!$B$39)</f>
        <v xml:space="preserve"> </v>
      </c>
      <c r="AM28" s="50" t="str">
        <f>IF(R28=""," ",R28*Inputs!$B$39)</f>
        <v xml:space="preserve"> </v>
      </c>
      <c r="AN28" s="50" t="str">
        <f>IF(S28=""," ",S28*Inputs!$B$39)</f>
        <v xml:space="preserve"> </v>
      </c>
      <c r="AO28" s="50" t="str">
        <f>IF(T28=""," ",T28*Inputs!$B$39)</f>
        <v xml:space="preserve"> </v>
      </c>
      <c r="AP28" s="50" t="str">
        <f>IF(U28=""," ",U28*Inputs!$B$39)</f>
        <v xml:space="preserve"> </v>
      </c>
      <c r="AR28" s="593"/>
      <c r="AS28" s="555"/>
      <c r="AT28" s="50"/>
      <c r="AU28" s="24" t="s">
        <v>498</v>
      </c>
      <c r="AV28" s="50" t="str">
        <f>IF(AA28=" "," ",AA28*Inputs!$B$55)</f>
        <v xml:space="preserve"> </v>
      </c>
      <c r="AW28" s="50" t="str">
        <f>IF(AB28=" "," ",AB28*Inputs!$B$55)</f>
        <v xml:space="preserve"> </v>
      </c>
      <c r="AX28" s="50" t="str">
        <f>IF(AC28=" "," ",AC28*Inputs!$B$55)</f>
        <v xml:space="preserve"> </v>
      </c>
      <c r="AY28" s="50" t="str">
        <f>IF(AD28=" "," ",AD28*Inputs!$B$55)</f>
        <v xml:space="preserve"> </v>
      </c>
      <c r="AZ28" s="50" t="str">
        <f>IF(AE28=" "," ",AE28*Inputs!$B$55)</f>
        <v xml:space="preserve"> </v>
      </c>
      <c r="BA28" s="50" t="str">
        <f>IF(AF28=" "," ",AF28*Inputs!$B$55)</f>
        <v xml:space="preserve"> </v>
      </c>
      <c r="BB28" s="50" t="str">
        <f>IF(AG28=" "," ",AG28*Inputs!$B$55)</f>
        <v xml:space="preserve"> </v>
      </c>
      <c r="BC28" s="50" t="str">
        <f>IF(AH28=" "," ",AH28*Inputs!$B$55)</f>
        <v xml:space="preserve"> </v>
      </c>
      <c r="BD28" s="50" t="str">
        <f>IF(AI28=" "," ",AI28*Inputs!$B$55)</f>
        <v xml:space="preserve"> </v>
      </c>
      <c r="BE28" s="50" t="str">
        <f>IF(AJ28=" "," ",AJ28*Inputs!$B$55)</f>
        <v xml:space="preserve"> </v>
      </c>
      <c r="BF28" s="50" t="str">
        <f>IF(AK28=" "," ",AK28*Inputs!$B$55)</f>
        <v xml:space="preserve"> </v>
      </c>
      <c r="BG28" s="50" t="str">
        <f>IF(AL28=" "," ",AL28*Inputs!$B$55)</f>
        <v xml:space="preserve"> </v>
      </c>
      <c r="BH28" s="50" t="str">
        <f>IF(AM28=" "," ",AM28*Inputs!$B$55)</f>
        <v xml:space="preserve"> </v>
      </c>
      <c r="BI28" s="50" t="str">
        <f>IF(AN28=" "," ",AN28*Inputs!$B$55)</f>
        <v xml:space="preserve"> </v>
      </c>
      <c r="BJ28" s="50" t="str">
        <f>IF(AO28=" "," ",AO28*Inputs!$B$55)</f>
        <v xml:space="preserve"> </v>
      </c>
      <c r="BK28" s="50" t="str">
        <f>IF(AP28=" "," ",AP28*Inputs!$B$55)</f>
        <v xml:space="preserve"> </v>
      </c>
    </row>
    <row r="29" spans="2:79" ht="18.75" customHeight="1" x14ac:dyDescent="0.25">
      <c r="B29" s="589"/>
      <c r="C29" s="555"/>
      <c r="D29" s="589"/>
      <c r="E29" s="21"/>
      <c r="F29" s="152"/>
      <c r="G29" s="152"/>
      <c r="H29" s="152"/>
      <c r="I29" s="152"/>
      <c r="J29" s="152"/>
      <c r="K29" s="152"/>
      <c r="L29" s="152"/>
      <c r="M29" s="152"/>
      <c r="N29" s="152"/>
      <c r="O29" s="152"/>
      <c r="P29" s="152"/>
      <c r="Q29" s="244"/>
      <c r="R29" s="244"/>
      <c r="S29" s="244"/>
      <c r="T29" s="244"/>
      <c r="U29" s="152"/>
      <c r="W29" s="589"/>
      <c r="X29" s="555"/>
      <c r="Y29" s="51"/>
      <c r="Z29" s="27" t="s">
        <v>499</v>
      </c>
      <c r="AA29" s="50" t="str">
        <f>IF(F29=""," ",F29*Inputs!$B$39)</f>
        <v xml:space="preserve"> </v>
      </c>
      <c r="AB29" s="50" t="str">
        <f>IF(G29=""," ",G29*Inputs!$B$39)</f>
        <v xml:space="preserve"> </v>
      </c>
      <c r="AC29" s="50" t="str">
        <f>IF(H29=""," ",H29*Inputs!$B$39)</f>
        <v xml:space="preserve"> </v>
      </c>
      <c r="AD29" s="50" t="str">
        <f>IF(I29=""," ",I29*Inputs!$B$39)</f>
        <v xml:space="preserve"> </v>
      </c>
      <c r="AE29" s="50" t="str">
        <f>IF(J29=""," ",J29*Inputs!$B$39)</f>
        <v xml:space="preserve"> </v>
      </c>
      <c r="AF29" s="50" t="str">
        <f>IF(K29=""," ",K29*Inputs!$B$39)</f>
        <v xml:space="preserve"> </v>
      </c>
      <c r="AG29" s="50" t="str">
        <f>IF(L29=""," ",L29*Inputs!$B$39)</f>
        <v xml:space="preserve"> </v>
      </c>
      <c r="AH29" s="50" t="str">
        <f>IF(M29=""," ",M29*Inputs!$B$39)</f>
        <v xml:space="preserve"> </v>
      </c>
      <c r="AI29" s="50" t="str">
        <f>IF(N29=""," ",N29*Inputs!$B$39)</f>
        <v xml:space="preserve"> </v>
      </c>
      <c r="AJ29" s="50" t="str">
        <f>IF(O29=""," ",O29*Inputs!$B$39)</f>
        <v xml:space="preserve"> </v>
      </c>
      <c r="AK29" s="50" t="str">
        <f>IF(P29=""," ",P29*Inputs!$B$39)</f>
        <v xml:space="preserve"> </v>
      </c>
      <c r="AL29" s="50" t="str">
        <f>IF(Q29=""," ",Q29*Inputs!$B$39)</f>
        <v xml:space="preserve"> </v>
      </c>
      <c r="AM29" s="50" t="str">
        <f>IF(R29=""," ",R29*Inputs!$B$39)</f>
        <v xml:space="preserve"> </v>
      </c>
      <c r="AN29" s="50" t="str">
        <f>IF(S29=""," ",S29*Inputs!$B$39)</f>
        <v xml:space="preserve"> </v>
      </c>
      <c r="AO29" s="50" t="str">
        <f>IF(T29=""," ",T29*Inputs!$B$39)</f>
        <v xml:space="preserve"> </v>
      </c>
      <c r="AP29" s="50" t="str">
        <f>IF(U29=""," ",U29*Inputs!$B$39)</f>
        <v xml:space="preserve"> </v>
      </c>
      <c r="AR29" s="589"/>
      <c r="AS29" s="555"/>
      <c r="AT29" s="51"/>
      <c r="AU29" s="27" t="s">
        <v>499</v>
      </c>
      <c r="AV29" s="50" t="str">
        <f>IF(AA29=" "," ",AA29*Inputs!$B$55)</f>
        <v xml:space="preserve"> </v>
      </c>
      <c r="AW29" s="50" t="str">
        <f>IF(AB29=" "," ",AB29*Inputs!$B$55)</f>
        <v xml:space="preserve"> </v>
      </c>
      <c r="AX29" s="50" t="str">
        <f>IF(AC29=" "," ",AC29*Inputs!$B$55)</f>
        <v xml:space="preserve"> </v>
      </c>
      <c r="AY29" s="50" t="str">
        <f>IF(AD29=" "," ",AD29*Inputs!$B$55)</f>
        <v xml:space="preserve"> </v>
      </c>
      <c r="AZ29" s="50" t="str">
        <f>IF(AE29=" "," ",AE29*Inputs!$B$55)</f>
        <v xml:space="preserve"> </v>
      </c>
      <c r="BA29" s="50" t="str">
        <f>IF(AF29=" "," ",AF29*Inputs!$B$55)</f>
        <v xml:space="preserve"> </v>
      </c>
      <c r="BB29" s="50" t="str">
        <f>IF(AG29=" "," ",AG29*Inputs!$B$55)</f>
        <v xml:space="preserve"> </v>
      </c>
      <c r="BC29" s="50" t="str">
        <f>IF(AH29=" "," ",AH29*Inputs!$B$55)</f>
        <v xml:space="preserve"> </v>
      </c>
      <c r="BD29" s="50" t="str">
        <f>IF(AI29=" "," ",AI29*Inputs!$B$55)</f>
        <v xml:space="preserve"> </v>
      </c>
      <c r="BE29" s="50" t="str">
        <f>IF(AJ29=" "," ",AJ29*Inputs!$B$55)</f>
        <v xml:space="preserve"> </v>
      </c>
      <c r="BF29" s="50" t="str">
        <f>IF(AK29=" "," ",AK29*Inputs!$B$55)</f>
        <v xml:space="preserve"> </v>
      </c>
      <c r="BG29" s="50" t="str">
        <f>IF(AL29=" "," ",AL29*Inputs!$B$55)</f>
        <v xml:space="preserve"> </v>
      </c>
      <c r="BH29" s="50" t="str">
        <f>IF(AM29=" "," ",AM29*Inputs!$B$55)</f>
        <v xml:space="preserve"> </v>
      </c>
      <c r="BI29" s="50" t="str">
        <f>IF(AN29=" "," ",AN29*Inputs!$B$55)</f>
        <v xml:space="preserve"> </v>
      </c>
      <c r="BJ29" s="50" t="str">
        <f>IF(AO29=" "," ",AO29*Inputs!$B$55)</f>
        <v xml:space="preserve"> </v>
      </c>
      <c r="BK29" s="50" t="str">
        <f>IF(AP29=" "," ",AP29*Inputs!$B$55)</f>
        <v xml:space="preserve"> </v>
      </c>
    </row>
    <row r="30" spans="2:79" ht="18.75" customHeight="1" x14ac:dyDescent="0.25">
      <c r="B30" s="589"/>
      <c r="C30" s="555"/>
      <c r="D30" s="589"/>
      <c r="E30" s="21"/>
      <c r="F30" s="152"/>
      <c r="G30" s="152"/>
      <c r="H30" s="152"/>
      <c r="I30" s="152"/>
      <c r="J30" s="152"/>
      <c r="K30" s="152"/>
      <c r="L30" s="152"/>
      <c r="M30" s="152"/>
      <c r="N30" s="152"/>
      <c r="O30" s="152"/>
      <c r="P30" s="152"/>
      <c r="Q30" s="244"/>
      <c r="R30" s="244"/>
      <c r="S30" s="244"/>
      <c r="T30" s="244"/>
      <c r="U30" s="152"/>
      <c r="W30" s="589"/>
      <c r="X30" s="555"/>
      <c r="Y30" s="51"/>
      <c r="Z30" s="27" t="s">
        <v>500</v>
      </c>
      <c r="AA30" s="50" t="str">
        <f>IF(F30=""," ",F30*Inputs!$B$39)</f>
        <v xml:space="preserve"> </v>
      </c>
      <c r="AB30" s="50" t="str">
        <f>IF(G30=""," ",G30*Inputs!$B$39)</f>
        <v xml:space="preserve"> </v>
      </c>
      <c r="AC30" s="50" t="str">
        <f>IF(H30=""," ",H30*Inputs!$B$39)</f>
        <v xml:space="preserve"> </v>
      </c>
      <c r="AD30" s="50" t="str">
        <f>IF(I30=""," ",I30*Inputs!$B$39)</f>
        <v xml:space="preserve"> </v>
      </c>
      <c r="AE30" s="50" t="str">
        <f>IF(J30=""," ",J30*Inputs!$B$39)</f>
        <v xml:space="preserve"> </v>
      </c>
      <c r="AF30" s="50" t="str">
        <f>IF(K30=""," ",K30*Inputs!$B$39)</f>
        <v xml:space="preserve"> </v>
      </c>
      <c r="AG30" s="50" t="str">
        <f>IF(L30=""," ",L30*Inputs!$B$39)</f>
        <v xml:space="preserve"> </v>
      </c>
      <c r="AH30" s="50" t="str">
        <f>IF(M30=""," ",M30*Inputs!$B$39)</f>
        <v xml:space="preserve"> </v>
      </c>
      <c r="AI30" s="50" t="str">
        <f>IF(N30=""," ",N30*Inputs!$B$39)</f>
        <v xml:space="preserve"> </v>
      </c>
      <c r="AJ30" s="50" t="str">
        <f>IF(O30=""," ",O30*Inputs!$B$39)</f>
        <v xml:space="preserve"> </v>
      </c>
      <c r="AK30" s="50" t="str">
        <f>IF(P30=""," ",P30*Inputs!$B$39)</f>
        <v xml:space="preserve"> </v>
      </c>
      <c r="AL30" s="50" t="str">
        <f>IF(Q30=""," ",Q30*Inputs!$B$39)</f>
        <v xml:space="preserve"> </v>
      </c>
      <c r="AM30" s="50" t="str">
        <f>IF(R30=""," ",R30*Inputs!$B$39)</f>
        <v xml:space="preserve"> </v>
      </c>
      <c r="AN30" s="50" t="str">
        <f>IF(S30=""," ",S30*Inputs!$B$39)</f>
        <v xml:space="preserve"> </v>
      </c>
      <c r="AO30" s="50" t="str">
        <f>IF(T30=""," ",T30*Inputs!$B$39)</f>
        <v xml:space="preserve"> </v>
      </c>
      <c r="AP30" s="50" t="str">
        <f>IF(U30=""," ",U30*Inputs!$B$39)</f>
        <v xml:space="preserve"> </v>
      </c>
      <c r="AR30" s="589"/>
      <c r="AS30" s="555"/>
      <c r="AT30" s="51"/>
      <c r="AU30" s="27" t="s">
        <v>500</v>
      </c>
      <c r="AV30" s="50" t="str">
        <f>IF(AA30=" "," ",AA30*Inputs!$B$55)</f>
        <v xml:space="preserve"> </v>
      </c>
      <c r="AW30" s="50" t="str">
        <f>IF(AB30=" "," ",AB30*Inputs!$B$55)</f>
        <v xml:space="preserve"> </v>
      </c>
      <c r="AX30" s="50" t="str">
        <f>IF(AC30=" "," ",AC30*Inputs!$B$55)</f>
        <v xml:space="preserve"> </v>
      </c>
      <c r="AY30" s="50" t="str">
        <f>IF(AD30=" "," ",AD30*Inputs!$B$55)</f>
        <v xml:space="preserve"> </v>
      </c>
      <c r="AZ30" s="50" t="str">
        <f>IF(AE30=" "," ",AE30*Inputs!$B$55)</f>
        <v xml:space="preserve"> </v>
      </c>
      <c r="BA30" s="50" t="str">
        <f>IF(AF30=" "," ",AF30*Inputs!$B$55)</f>
        <v xml:space="preserve"> </v>
      </c>
      <c r="BB30" s="50" t="str">
        <f>IF(AG30=" "," ",AG30*Inputs!$B$55)</f>
        <v xml:space="preserve"> </v>
      </c>
      <c r="BC30" s="50" t="str">
        <f>IF(AH30=" "," ",AH30*Inputs!$B$55)</f>
        <v xml:space="preserve"> </v>
      </c>
      <c r="BD30" s="50" t="str">
        <f>IF(AI30=" "," ",AI30*Inputs!$B$55)</f>
        <v xml:space="preserve"> </v>
      </c>
      <c r="BE30" s="50" t="str">
        <f>IF(AJ30=" "," ",AJ30*Inputs!$B$55)</f>
        <v xml:space="preserve"> </v>
      </c>
      <c r="BF30" s="50" t="str">
        <f>IF(AK30=" "," ",AK30*Inputs!$B$55)</f>
        <v xml:space="preserve"> </v>
      </c>
      <c r="BG30" s="50" t="str">
        <f>IF(AL30=" "," ",AL30*Inputs!$B$55)</f>
        <v xml:space="preserve"> </v>
      </c>
      <c r="BH30" s="50" t="str">
        <f>IF(AM30=" "," ",AM30*Inputs!$B$55)</f>
        <v xml:space="preserve"> </v>
      </c>
      <c r="BI30" s="50" t="str">
        <f>IF(AN30=" "," ",AN30*Inputs!$B$55)</f>
        <v xml:space="preserve"> </v>
      </c>
      <c r="BJ30" s="50" t="str">
        <f>IF(AO30=" "," ",AO30*Inputs!$B$55)</f>
        <v xml:space="preserve"> </v>
      </c>
      <c r="BK30" s="50" t="str">
        <f>IF(AP30=" "," ",AP30*Inputs!$B$55)</f>
        <v xml:space="preserve"> </v>
      </c>
    </row>
    <row r="31" spans="2:79" ht="18.75" customHeight="1" x14ac:dyDescent="0.25">
      <c r="B31" s="591"/>
      <c r="C31" s="555"/>
      <c r="D31" s="591"/>
      <c r="E31" s="149"/>
      <c r="F31" s="153"/>
      <c r="G31" s="153"/>
      <c r="H31" s="153"/>
      <c r="I31" s="153"/>
      <c r="J31" s="153"/>
      <c r="K31" s="153"/>
      <c r="L31" s="153"/>
      <c r="M31" s="153"/>
      <c r="N31" s="153"/>
      <c r="O31" s="153"/>
      <c r="P31" s="153"/>
      <c r="Q31" s="245"/>
      <c r="R31" s="245"/>
      <c r="S31" s="245"/>
      <c r="T31" s="245"/>
      <c r="U31" s="153"/>
      <c r="W31" s="591"/>
      <c r="X31" s="555"/>
      <c r="Y31" s="52"/>
      <c r="Z31" s="29" t="s">
        <v>501</v>
      </c>
      <c r="AA31" s="50" t="str">
        <f>IF(F31=""," ",F31*Inputs!$B$39)</f>
        <v xml:space="preserve"> </v>
      </c>
      <c r="AB31" s="50" t="str">
        <f>IF(G31=""," ",G31*Inputs!$B$39)</f>
        <v xml:space="preserve"> </v>
      </c>
      <c r="AC31" s="50" t="str">
        <f>IF(H31=""," ",H31*Inputs!$B$39)</f>
        <v xml:space="preserve"> </v>
      </c>
      <c r="AD31" s="50" t="str">
        <f>IF(I31=""," ",I31*Inputs!$B$39)</f>
        <v xml:space="preserve"> </v>
      </c>
      <c r="AE31" s="50" t="str">
        <f>IF(J31=""," ",J31*Inputs!$B$39)</f>
        <v xml:space="preserve"> </v>
      </c>
      <c r="AF31" s="50" t="str">
        <f>IF(K31=""," ",K31*Inputs!$B$39)</f>
        <v xml:space="preserve"> </v>
      </c>
      <c r="AG31" s="50" t="str">
        <f>IF(L31=""," ",L31*Inputs!$B$39)</f>
        <v xml:space="preserve"> </v>
      </c>
      <c r="AH31" s="50" t="str">
        <f>IF(M31=""," ",M31*Inputs!$B$39)</f>
        <v xml:space="preserve"> </v>
      </c>
      <c r="AI31" s="50" t="str">
        <f>IF(N31=""," ",N31*Inputs!$B$39)</f>
        <v xml:space="preserve"> </v>
      </c>
      <c r="AJ31" s="50" t="str">
        <f>IF(O31=""," ",O31*Inputs!$B$39)</f>
        <v xml:space="preserve"> </v>
      </c>
      <c r="AK31" s="50" t="str">
        <f>IF(P31=""," ",P31*Inputs!$B$39)</f>
        <v xml:space="preserve"> </v>
      </c>
      <c r="AL31" s="50" t="str">
        <f>IF(Q31=""," ",Q31*Inputs!$B$39)</f>
        <v xml:space="preserve"> </v>
      </c>
      <c r="AM31" s="50" t="str">
        <f>IF(R31=""," ",R31*Inputs!$B$39)</f>
        <v xml:space="preserve"> </v>
      </c>
      <c r="AN31" s="50" t="str">
        <f>IF(S31=""," ",S31*Inputs!$B$39)</f>
        <v xml:space="preserve"> </v>
      </c>
      <c r="AO31" s="50" t="str">
        <f>IF(T31=""," ",T31*Inputs!$B$39)</f>
        <v xml:space="preserve"> </v>
      </c>
      <c r="AP31" s="50" t="str">
        <f>IF(U31=""," ",U31*Inputs!$B$39)</f>
        <v xml:space="preserve"> </v>
      </c>
      <c r="AR31" s="591"/>
      <c r="AS31" s="555"/>
      <c r="AT31" s="52"/>
      <c r="AU31" s="29" t="s">
        <v>501</v>
      </c>
      <c r="AV31" s="50" t="str">
        <f>IF(AA31=" "," ",AA31*Inputs!$B$55)</f>
        <v xml:space="preserve"> </v>
      </c>
      <c r="AW31" s="50" t="str">
        <f>IF(AB31=" "," ",AB31*Inputs!$B$55)</f>
        <v xml:space="preserve"> </v>
      </c>
      <c r="AX31" s="50" t="str">
        <f>IF(AC31=" "," ",AC31*Inputs!$B$55)</f>
        <v xml:space="preserve"> </v>
      </c>
      <c r="AY31" s="50" t="str">
        <f>IF(AD31=" "," ",AD31*Inputs!$B$55)</f>
        <v xml:space="preserve"> </v>
      </c>
      <c r="AZ31" s="50" t="str">
        <f>IF(AE31=" "," ",AE31*Inputs!$B$55)</f>
        <v xml:space="preserve"> </v>
      </c>
      <c r="BA31" s="50" t="str">
        <f>IF(AF31=" "," ",AF31*Inputs!$B$55)</f>
        <v xml:space="preserve"> </v>
      </c>
      <c r="BB31" s="50" t="str">
        <f>IF(AG31=" "," ",AG31*Inputs!$B$55)</f>
        <v xml:space="preserve"> </v>
      </c>
      <c r="BC31" s="50" t="str">
        <f>IF(AH31=" "," ",AH31*Inputs!$B$55)</f>
        <v xml:space="preserve"> </v>
      </c>
      <c r="BD31" s="50" t="str">
        <f>IF(AI31=" "," ",AI31*Inputs!$B$55)</f>
        <v xml:space="preserve"> </v>
      </c>
      <c r="BE31" s="50" t="str">
        <f>IF(AJ31=" "," ",AJ31*Inputs!$B$55)</f>
        <v xml:space="preserve"> </v>
      </c>
      <c r="BF31" s="50" t="str">
        <f>IF(AK31=" "," ",AK31*Inputs!$B$55)</f>
        <v xml:space="preserve"> </v>
      </c>
      <c r="BG31" s="50" t="str">
        <f>IF(AL31=" "," ",AL31*Inputs!$B$55)</f>
        <v xml:space="preserve"> </v>
      </c>
      <c r="BH31" s="50" t="str">
        <f>IF(AM31=" "," ",AM31*Inputs!$B$55)</f>
        <v xml:space="preserve"> </v>
      </c>
      <c r="BI31" s="50" t="str">
        <f>IF(AN31=" "," ",AN31*Inputs!$B$55)</f>
        <v xml:space="preserve"> </v>
      </c>
      <c r="BJ31" s="50" t="str">
        <f>IF(AO31=" "," ",AO31*Inputs!$B$55)</f>
        <v xml:space="preserve"> </v>
      </c>
      <c r="BK31" s="50" t="str">
        <f>IF(AP31=" "," ",AP31*Inputs!$B$55)</f>
        <v xml:space="preserve"> </v>
      </c>
    </row>
    <row r="32" spans="2:79" ht="18.75" customHeight="1" x14ac:dyDescent="0.25">
      <c r="B32" s="624"/>
      <c r="C32" s="555"/>
      <c r="D32" s="595"/>
      <c r="E32" s="21"/>
      <c r="F32" s="152"/>
      <c r="G32" s="152"/>
      <c r="H32" s="152"/>
      <c r="I32" s="152"/>
      <c r="J32" s="152"/>
      <c r="K32" s="152"/>
      <c r="L32" s="152"/>
      <c r="M32" s="152"/>
      <c r="N32" s="152"/>
      <c r="O32" s="152"/>
      <c r="P32" s="152"/>
      <c r="Q32" s="244"/>
      <c r="R32" s="244"/>
      <c r="S32" s="244"/>
      <c r="T32" s="244"/>
      <c r="U32" s="152"/>
      <c r="W32" s="624"/>
      <c r="X32" s="555"/>
      <c r="Y32" s="50"/>
      <c r="Z32" s="24" t="s">
        <v>498</v>
      </c>
      <c r="AA32" s="50" t="str">
        <f>IF(F32=""," ",F32*Inputs!$B$39)</f>
        <v xml:space="preserve"> </v>
      </c>
      <c r="AB32" s="50" t="str">
        <f>IF(G32=""," ",G32*Inputs!$B$39)</f>
        <v xml:space="preserve"> </v>
      </c>
      <c r="AC32" s="50" t="str">
        <f>IF(H32=""," ",H32*Inputs!$B$39)</f>
        <v xml:space="preserve"> </v>
      </c>
      <c r="AD32" s="50" t="str">
        <f>IF(I32=""," ",I32*Inputs!$B$39)</f>
        <v xml:space="preserve"> </v>
      </c>
      <c r="AE32" s="50" t="str">
        <f>IF(J32=""," ",J32*Inputs!$B$39)</f>
        <v xml:space="preserve"> </v>
      </c>
      <c r="AF32" s="50" t="str">
        <f>IF(K32=""," ",K32*Inputs!$B$39)</f>
        <v xml:space="preserve"> </v>
      </c>
      <c r="AG32" s="50" t="str">
        <f>IF(L32=""," ",L32*Inputs!$B$39)</f>
        <v xml:space="preserve"> </v>
      </c>
      <c r="AH32" s="50" t="str">
        <f>IF(M32=""," ",M32*Inputs!$B$39)</f>
        <v xml:space="preserve"> </v>
      </c>
      <c r="AI32" s="50" t="str">
        <f>IF(N32=""," ",N32*Inputs!$B$39)</f>
        <v xml:space="preserve"> </v>
      </c>
      <c r="AJ32" s="50" t="str">
        <f>IF(O32=""," ",O32*Inputs!$B$39)</f>
        <v xml:space="preserve"> </v>
      </c>
      <c r="AK32" s="50" t="str">
        <f>IF(P32=""," ",P32*Inputs!$B$39)</f>
        <v xml:space="preserve"> </v>
      </c>
      <c r="AL32" s="50" t="str">
        <f>IF(Q32=""," ",Q32*Inputs!$B$39)</f>
        <v xml:space="preserve"> </v>
      </c>
      <c r="AM32" s="50" t="str">
        <f>IF(R32=""," ",R32*Inputs!$B$39)</f>
        <v xml:space="preserve"> </v>
      </c>
      <c r="AN32" s="50" t="str">
        <f>IF(S32=""," ",S32*Inputs!$B$39)</f>
        <v xml:space="preserve"> </v>
      </c>
      <c r="AO32" s="50" t="str">
        <f>IF(T32=""," ",T32*Inputs!$B$39)</f>
        <v xml:space="preserve"> </v>
      </c>
      <c r="AP32" s="50" t="str">
        <f>IF(U32=""," ",U32*Inputs!$B$39)</f>
        <v xml:space="preserve"> </v>
      </c>
      <c r="AR32" s="624"/>
      <c r="AS32" s="555"/>
      <c r="AT32" s="50"/>
      <c r="AU32" s="24" t="s">
        <v>498</v>
      </c>
      <c r="AV32" s="50" t="str">
        <f>IF(AA32=" "," ",AA32*Inputs!$B$55)</f>
        <v xml:space="preserve"> </v>
      </c>
      <c r="AW32" s="50" t="str">
        <f>IF(AB32=" "," ",AB32*Inputs!$B$55)</f>
        <v xml:space="preserve"> </v>
      </c>
      <c r="AX32" s="50" t="str">
        <f>IF(AC32=" "," ",AC32*Inputs!$B$55)</f>
        <v xml:space="preserve"> </v>
      </c>
      <c r="AY32" s="50" t="str">
        <f>IF(AD32=" "," ",AD32*Inputs!$B$55)</f>
        <v xml:space="preserve"> </v>
      </c>
      <c r="AZ32" s="50" t="str">
        <f>IF(AE32=" "," ",AE32*Inputs!$B$55)</f>
        <v xml:space="preserve"> </v>
      </c>
      <c r="BA32" s="50" t="str">
        <f>IF(AF32=" "," ",AF32*Inputs!$B$55)</f>
        <v xml:space="preserve"> </v>
      </c>
      <c r="BB32" s="50" t="str">
        <f>IF(AG32=" "," ",AG32*Inputs!$B$55)</f>
        <v xml:space="preserve"> </v>
      </c>
      <c r="BC32" s="50" t="str">
        <f>IF(AH32=" "," ",AH32*Inputs!$B$55)</f>
        <v xml:space="preserve"> </v>
      </c>
      <c r="BD32" s="50" t="str">
        <f>IF(AI32=" "," ",AI32*Inputs!$B$55)</f>
        <v xml:space="preserve"> </v>
      </c>
      <c r="BE32" s="50" t="str">
        <f>IF(AJ32=" "," ",AJ32*Inputs!$B$55)</f>
        <v xml:space="preserve"> </v>
      </c>
      <c r="BF32" s="50" t="str">
        <f>IF(AK32=" "," ",AK32*Inputs!$B$55)</f>
        <v xml:space="preserve"> </v>
      </c>
      <c r="BG32" s="50" t="str">
        <f>IF(AL32=" "," ",AL32*Inputs!$B$55)</f>
        <v xml:space="preserve"> </v>
      </c>
      <c r="BH32" s="50" t="str">
        <f>IF(AM32=" "," ",AM32*Inputs!$B$55)</f>
        <v xml:space="preserve"> </v>
      </c>
      <c r="BI32" s="50" t="str">
        <f>IF(AN32=" "," ",AN32*Inputs!$B$55)</f>
        <v xml:space="preserve"> </v>
      </c>
      <c r="BJ32" s="50" t="str">
        <f>IF(AO32=" "," ",AO32*Inputs!$B$55)</f>
        <v xml:space="preserve"> </v>
      </c>
      <c r="BK32" s="50" t="str">
        <f>IF(AP32=" "," ",AP32*Inputs!$B$55)</f>
        <v xml:space="preserve"> </v>
      </c>
    </row>
    <row r="33" spans="2:63" ht="18.75" customHeight="1" x14ac:dyDescent="0.25">
      <c r="B33" s="589"/>
      <c r="C33" s="555"/>
      <c r="D33" s="589"/>
      <c r="E33" s="21"/>
      <c r="F33" s="152"/>
      <c r="G33" s="152"/>
      <c r="H33" s="152"/>
      <c r="I33" s="152"/>
      <c r="J33" s="152"/>
      <c r="K33" s="152"/>
      <c r="L33" s="152"/>
      <c r="M33" s="152"/>
      <c r="N33" s="152"/>
      <c r="O33" s="152"/>
      <c r="P33" s="152"/>
      <c r="Q33" s="244"/>
      <c r="R33" s="244"/>
      <c r="S33" s="244"/>
      <c r="T33" s="244"/>
      <c r="U33" s="152"/>
      <c r="W33" s="589"/>
      <c r="X33" s="555"/>
      <c r="Y33" s="51"/>
      <c r="Z33" s="27" t="s">
        <v>499</v>
      </c>
      <c r="AA33" s="50" t="str">
        <f>IF(F33=""," ",F33*Inputs!$B$39)</f>
        <v xml:space="preserve"> </v>
      </c>
      <c r="AB33" s="50" t="str">
        <f>IF(G33=""," ",G33*Inputs!$B$39)</f>
        <v xml:space="preserve"> </v>
      </c>
      <c r="AC33" s="50" t="str">
        <f>IF(H33=""," ",H33*Inputs!$B$39)</f>
        <v xml:space="preserve"> </v>
      </c>
      <c r="AD33" s="50" t="str">
        <f>IF(I33=""," ",I33*Inputs!$B$39)</f>
        <v xml:space="preserve"> </v>
      </c>
      <c r="AE33" s="50" t="str">
        <f>IF(J33=""," ",J33*Inputs!$B$39)</f>
        <v xml:space="preserve"> </v>
      </c>
      <c r="AF33" s="50" t="str">
        <f>IF(K33=""," ",K33*Inputs!$B$39)</f>
        <v xml:space="preserve"> </v>
      </c>
      <c r="AG33" s="50" t="str">
        <f>IF(L33=""," ",L33*Inputs!$B$39)</f>
        <v xml:space="preserve"> </v>
      </c>
      <c r="AH33" s="50" t="str">
        <f>IF(M33=""," ",M33*Inputs!$B$39)</f>
        <v xml:space="preserve"> </v>
      </c>
      <c r="AI33" s="50" t="str">
        <f>IF(N33=""," ",N33*Inputs!$B$39)</f>
        <v xml:space="preserve"> </v>
      </c>
      <c r="AJ33" s="50" t="str">
        <f>IF(O33=""," ",O33*Inputs!$B$39)</f>
        <v xml:space="preserve"> </v>
      </c>
      <c r="AK33" s="50" t="str">
        <f>IF(P33=""," ",P33*Inputs!$B$39)</f>
        <v xml:space="preserve"> </v>
      </c>
      <c r="AL33" s="50" t="str">
        <f>IF(Q33=""," ",Q33*Inputs!$B$39)</f>
        <v xml:space="preserve"> </v>
      </c>
      <c r="AM33" s="50" t="str">
        <f>IF(R33=""," ",R33*Inputs!$B$39)</f>
        <v xml:space="preserve"> </v>
      </c>
      <c r="AN33" s="50" t="str">
        <f>IF(S33=""," ",S33*Inputs!$B$39)</f>
        <v xml:space="preserve"> </v>
      </c>
      <c r="AO33" s="50" t="str">
        <f>IF(T33=""," ",T33*Inputs!$B$39)</f>
        <v xml:space="preserve"> </v>
      </c>
      <c r="AP33" s="50" t="str">
        <f>IF(U33=""," ",U33*Inputs!$B$39)</f>
        <v xml:space="preserve"> </v>
      </c>
      <c r="AR33" s="589"/>
      <c r="AS33" s="555"/>
      <c r="AT33" s="51"/>
      <c r="AU33" s="27" t="s">
        <v>499</v>
      </c>
      <c r="AV33" s="50" t="str">
        <f>IF(AA33=" "," ",AA33*Inputs!$B$55)</f>
        <v xml:space="preserve"> </v>
      </c>
      <c r="AW33" s="50" t="str">
        <f>IF(AB33=" "," ",AB33*Inputs!$B$55)</f>
        <v xml:space="preserve"> </v>
      </c>
      <c r="AX33" s="50" t="str">
        <f>IF(AC33=" "," ",AC33*Inputs!$B$55)</f>
        <v xml:space="preserve"> </v>
      </c>
      <c r="AY33" s="50" t="str">
        <f>IF(AD33=" "," ",AD33*Inputs!$B$55)</f>
        <v xml:space="preserve"> </v>
      </c>
      <c r="AZ33" s="50" t="str">
        <f>IF(AE33=" "," ",AE33*Inputs!$B$55)</f>
        <v xml:space="preserve"> </v>
      </c>
      <c r="BA33" s="50" t="str">
        <f>IF(AF33=" "," ",AF33*Inputs!$B$55)</f>
        <v xml:space="preserve"> </v>
      </c>
      <c r="BB33" s="50" t="str">
        <f>IF(AG33=" "," ",AG33*Inputs!$B$55)</f>
        <v xml:space="preserve"> </v>
      </c>
      <c r="BC33" s="50" t="str">
        <f>IF(AH33=" "," ",AH33*Inputs!$B$55)</f>
        <v xml:space="preserve"> </v>
      </c>
      <c r="BD33" s="50" t="str">
        <f>IF(AI33=" "," ",AI33*Inputs!$B$55)</f>
        <v xml:space="preserve"> </v>
      </c>
      <c r="BE33" s="50" t="str">
        <f>IF(AJ33=" "," ",AJ33*Inputs!$B$55)</f>
        <v xml:space="preserve"> </v>
      </c>
      <c r="BF33" s="50" t="str">
        <f>IF(AK33=" "," ",AK33*Inputs!$B$55)</f>
        <v xml:space="preserve"> </v>
      </c>
      <c r="BG33" s="50" t="str">
        <f>IF(AL33=" "," ",AL33*Inputs!$B$55)</f>
        <v xml:space="preserve"> </v>
      </c>
      <c r="BH33" s="50" t="str">
        <f>IF(AM33=" "," ",AM33*Inputs!$B$55)</f>
        <v xml:space="preserve"> </v>
      </c>
      <c r="BI33" s="50" t="str">
        <f>IF(AN33=" "," ",AN33*Inputs!$B$55)</f>
        <v xml:space="preserve"> </v>
      </c>
      <c r="BJ33" s="50" t="str">
        <f>IF(AO33=" "," ",AO33*Inputs!$B$55)</f>
        <v xml:space="preserve"> </v>
      </c>
      <c r="BK33" s="50" t="str">
        <f>IF(AP33=" "," ",AP33*Inputs!$B$55)</f>
        <v xml:space="preserve"> </v>
      </c>
    </row>
    <row r="34" spans="2:63" ht="18.75" customHeight="1" x14ac:dyDescent="0.25">
      <c r="B34" s="589"/>
      <c r="C34" s="555"/>
      <c r="D34" s="589"/>
      <c r="E34" s="21"/>
      <c r="F34" s="152"/>
      <c r="G34" s="152"/>
      <c r="H34" s="152"/>
      <c r="I34" s="152"/>
      <c r="J34" s="152"/>
      <c r="K34" s="152"/>
      <c r="L34" s="152"/>
      <c r="M34" s="152"/>
      <c r="N34" s="152"/>
      <c r="O34" s="152"/>
      <c r="P34" s="152"/>
      <c r="Q34" s="244"/>
      <c r="R34" s="244"/>
      <c r="S34" s="244"/>
      <c r="T34" s="244"/>
      <c r="U34" s="152"/>
      <c r="W34" s="589"/>
      <c r="X34" s="555"/>
      <c r="Y34" s="51"/>
      <c r="Z34" s="27" t="s">
        <v>500</v>
      </c>
      <c r="AA34" s="50" t="str">
        <f>IF(F34=""," ",F34*Inputs!$B$39)</f>
        <v xml:space="preserve"> </v>
      </c>
      <c r="AB34" s="50" t="str">
        <f>IF(G34=""," ",G34*Inputs!$B$39)</f>
        <v xml:space="preserve"> </v>
      </c>
      <c r="AC34" s="50" t="str">
        <f>IF(H34=""," ",H34*Inputs!$B$39)</f>
        <v xml:space="preserve"> </v>
      </c>
      <c r="AD34" s="50" t="str">
        <f>IF(I34=""," ",I34*Inputs!$B$39)</f>
        <v xml:space="preserve"> </v>
      </c>
      <c r="AE34" s="50" t="str">
        <f>IF(J34=""," ",J34*Inputs!$B$39)</f>
        <v xml:space="preserve"> </v>
      </c>
      <c r="AF34" s="50" t="str">
        <f>IF(K34=""," ",K34*Inputs!$B$39)</f>
        <v xml:space="preserve"> </v>
      </c>
      <c r="AG34" s="50" t="str">
        <f>IF(L34=""," ",L34*Inputs!$B$39)</f>
        <v xml:space="preserve"> </v>
      </c>
      <c r="AH34" s="50" t="str">
        <f>IF(M34=""," ",M34*Inputs!$B$39)</f>
        <v xml:space="preserve"> </v>
      </c>
      <c r="AI34" s="50" t="str">
        <f>IF(N34=""," ",N34*Inputs!$B$39)</f>
        <v xml:space="preserve"> </v>
      </c>
      <c r="AJ34" s="50" t="str">
        <f>IF(O34=""," ",O34*Inputs!$B$39)</f>
        <v xml:space="preserve"> </v>
      </c>
      <c r="AK34" s="50" t="str">
        <f>IF(P34=""," ",P34*Inputs!$B$39)</f>
        <v xml:space="preserve"> </v>
      </c>
      <c r="AL34" s="50" t="str">
        <f>IF(Q34=""," ",Q34*Inputs!$B$39)</f>
        <v xml:space="preserve"> </v>
      </c>
      <c r="AM34" s="50" t="str">
        <f>IF(R34=""," ",R34*Inputs!$B$39)</f>
        <v xml:space="preserve"> </v>
      </c>
      <c r="AN34" s="50" t="str">
        <f>IF(S34=""," ",S34*Inputs!$B$39)</f>
        <v xml:space="preserve"> </v>
      </c>
      <c r="AO34" s="50" t="str">
        <f>IF(T34=""," ",T34*Inputs!$B$39)</f>
        <v xml:space="preserve"> </v>
      </c>
      <c r="AP34" s="50" t="str">
        <f>IF(U34=""," ",U34*Inputs!$B$39)</f>
        <v xml:space="preserve"> </v>
      </c>
      <c r="AR34" s="589"/>
      <c r="AS34" s="555"/>
      <c r="AT34" s="51"/>
      <c r="AU34" s="27" t="s">
        <v>500</v>
      </c>
      <c r="AV34" s="50" t="str">
        <f>IF(AA34=" "," ",AA34*Inputs!$B$55)</f>
        <v xml:space="preserve"> </v>
      </c>
      <c r="AW34" s="50" t="str">
        <f>IF(AB34=" "," ",AB34*Inputs!$B$55)</f>
        <v xml:space="preserve"> </v>
      </c>
      <c r="AX34" s="50" t="str">
        <f>IF(AC34=" "," ",AC34*Inputs!$B$55)</f>
        <v xml:space="preserve"> </v>
      </c>
      <c r="AY34" s="50" t="str">
        <f>IF(AD34=" "," ",AD34*Inputs!$B$55)</f>
        <v xml:space="preserve"> </v>
      </c>
      <c r="AZ34" s="50" t="str">
        <f>IF(AE34=" "," ",AE34*Inputs!$B$55)</f>
        <v xml:space="preserve"> </v>
      </c>
      <c r="BA34" s="50" t="str">
        <f>IF(AF34=" "," ",AF34*Inputs!$B$55)</f>
        <v xml:space="preserve"> </v>
      </c>
      <c r="BB34" s="50" t="str">
        <f>IF(AG34=" "," ",AG34*Inputs!$B$55)</f>
        <v xml:space="preserve"> </v>
      </c>
      <c r="BC34" s="50" t="str">
        <f>IF(AH34=" "," ",AH34*Inputs!$B$55)</f>
        <v xml:space="preserve"> </v>
      </c>
      <c r="BD34" s="50" t="str">
        <f>IF(AI34=" "," ",AI34*Inputs!$B$55)</f>
        <v xml:space="preserve"> </v>
      </c>
      <c r="BE34" s="50" t="str">
        <f>IF(AJ34=" "," ",AJ34*Inputs!$B$55)</f>
        <v xml:space="preserve"> </v>
      </c>
      <c r="BF34" s="50" t="str">
        <f>IF(AK34=" "," ",AK34*Inputs!$B$55)</f>
        <v xml:space="preserve"> </v>
      </c>
      <c r="BG34" s="50" t="str">
        <f>IF(AL34=" "," ",AL34*Inputs!$B$55)</f>
        <v xml:space="preserve"> </v>
      </c>
      <c r="BH34" s="50" t="str">
        <f>IF(AM34=" "," ",AM34*Inputs!$B$55)</f>
        <v xml:space="preserve"> </v>
      </c>
      <c r="BI34" s="50" t="str">
        <f>IF(AN34=" "," ",AN34*Inputs!$B$55)</f>
        <v xml:space="preserve"> </v>
      </c>
      <c r="BJ34" s="50" t="str">
        <f>IF(AO34=" "," ",AO34*Inputs!$B$55)</f>
        <v xml:space="preserve"> </v>
      </c>
      <c r="BK34" s="50" t="str">
        <f>IF(AP34=" "," ",AP34*Inputs!$B$55)</f>
        <v xml:space="preserve"> </v>
      </c>
    </row>
    <row r="35" spans="2:63" ht="18.75" customHeight="1" x14ac:dyDescent="0.25">
      <c r="B35" s="591"/>
      <c r="C35" s="555"/>
      <c r="D35" s="591"/>
      <c r="E35" s="149"/>
      <c r="F35" s="153"/>
      <c r="G35" s="153"/>
      <c r="H35" s="153"/>
      <c r="I35" s="153"/>
      <c r="J35" s="153"/>
      <c r="K35" s="153"/>
      <c r="L35" s="153"/>
      <c r="M35" s="153"/>
      <c r="N35" s="153"/>
      <c r="O35" s="153"/>
      <c r="P35" s="153"/>
      <c r="Q35" s="245"/>
      <c r="R35" s="245"/>
      <c r="S35" s="245"/>
      <c r="T35" s="245"/>
      <c r="U35" s="153"/>
      <c r="W35" s="591"/>
      <c r="X35" s="555"/>
      <c r="Y35" s="52"/>
      <c r="Z35" s="29" t="s">
        <v>501</v>
      </c>
      <c r="AA35" s="50" t="str">
        <f>IF(F35=""," ",F35*Inputs!$B$39)</f>
        <v xml:space="preserve"> </v>
      </c>
      <c r="AB35" s="50" t="str">
        <f>IF(G35=""," ",G35*Inputs!$B$39)</f>
        <v xml:space="preserve"> </v>
      </c>
      <c r="AC35" s="50" t="str">
        <f>IF(H35=""," ",H35*Inputs!$B$39)</f>
        <v xml:space="preserve"> </v>
      </c>
      <c r="AD35" s="50" t="str">
        <f>IF(I35=""," ",I35*Inputs!$B$39)</f>
        <v xml:space="preserve"> </v>
      </c>
      <c r="AE35" s="50" t="str">
        <f>IF(J35=""," ",J35*Inputs!$B$39)</f>
        <v xml:space="preserve"> </v>
      </c>
      <c r="AF35" s="50" t="str">
        <f>IF(K35=""," ",K35*Inputs!$B$39)</f>
        <v xml:space="preserve"> </v>
      </c>
      <c r="AG35" s="50" t="str">
        <f>IF(L35=""," ",L35*Inputs!$B$39)</f>
        <v xml:space="preserve"> </v>
      </c>
      <c r="AH35" s="50" t="str">
        <f>IF(M35=""," ",M35*Inputs!$B$39)</f>
        <v xml:space="preserve"> </v>
      </c>
      <c r="AI35" s="50" t="str">
        <f>IF(N35=""," ",N35*Inputs!$B$39)</f>
        <v xml:space="preserve"> </v>
      </c>
      <c r="AJ35" s="50" t="str">
        <f>IF(O35=""," ",O35*Inputs!$B$39)</f>
        <v xml:space="preserve"> </v>
      </c>
      <c r="AK35" s="50" t="str">
        <f>IF(P35=""," ",P35*Inputs!$B$39)</f>
        <v xml:space="preserve"> </v>
      </c>
      <c r="AL35" s="50" t="str">
        <f>IF(Q35=""," ",Q35*Inputs!$B$39)</f>
        <v xml:space="preserve"> </v>
      </c>
      <c r="AM35" s="50" t="str">
        <f>IF(R35=""," ",R35*Inputs!$B$39)</f>
        <v xml:space="preserve"> </v>
      </c>
      <c r="AN35" s="50" t="str">
        <f>IF(S35=""," ",S35*Inputs!$B$39)</f>
        <v xml:space="preserve"> </v>
      </c>
      <c r="AO35" s="50" t="str">
        <f>IF(T35=""," ",T35*Inputs!$B$39)</f>
        <v xml:space="preserve"> </v>
      </c>
      <c r="AP35" s="50" t="str">
        <f>IF(U35=""," ",U35*Inputs!$B$39)</f>
        <v xml:space="preserve"> </v>
      </c>
      <c r="AR35" s="591"/>
      <c r="AS35" s="555"/>
      <c r="AT35" s="52"/>
      <c r="AU35" s="29" t="s">
        <v>501</v>
      </c>
      <c r="AV35" s="50" t="str">
        <f>IF(AA35=" "," ",AA35*Inputs!$B$55)</f>
        <v xml:space="preserve"> </v>
      </c>
      <c r="AW35" s="50" t="str">
        <f>IF(AB35=" "," ",AB35*Inputs!$B$55)</f>
        <v xml:space="preserve"> </v>
      </c>
      <c r="AX35" s="50" t="str">
        <f>IF(AC35=" "," ",AC35*Inputs!$B$55)</f>
        <v xml:space="preserve"> </v>
      </c>
      <c r="AY35" s="50" t="str">
        <f>IF(AD35=" "," ",AD35*Inputs!$B$55)</f>
        <v xml:space="preserve"> </v>
      </c>
      <c r="AZ35" s="50" t="str">
        <f>IF(AE35=" "," ",AE35*Inputs!$B$55)</f>
        <v xml:space="preserve"> </v>
      </c>
      <c r="BA35" s="50" t="str">
        <f>IF(AF35=" "," ",AF35*Inputs!$B$55)</f>
        <v xml:space="preserve"> </v>
      </c>
      <c r="BB35" s="50" t="str">
        <f>IF(AG35=" "," ",AG35*Inputs!$B$55)</f>
        <v xml:space="preserve"> </v>
      </c>
      <c r="BC35" s="50" t="str">
        <f>IF(AH35=" "," ",AH35*Inputs!$B$55)</f>
        <v xml:space="preserve"> </v>
      </c>
      <c r="BD35" s="50" t="str">
        <f>IF(AI35=" "," ",AI35*Inputs!$B$55)</f>
        <v xml:space="preserve"> </v>
      </c>
      <c r="BE35" s="50" t="str">
        <f>IF(AJ35=" "," ",AJ35*Inputs!$B$55)</f>
        <v xml:space="preserve"> </v>
      </c>
      <c r="BF35" s="50" t="str">
        <f>IF(AK35=" "," ",AK35*Inputs!$B$55)</f>
        <v xml:space="preserve"> </v>
      </c>
      <c r="BG35" s="50" t="str">
        <f>IF(AL35=" "," ",AL35*Inputs!$B$55)</f>
        <v xml:space="preserve"> </v>
      </c>
      <c r="BH35" s="50" t="str">
        <f>IF(AM35=" "," ",AM35*Inputs!$B$55)</f>
        <v xml:space="preserve"> </v>
      </c>
      <c r="BI35" s="50" t="str">
        <f>IF(AN35=" "," ",AN35*Inputs!$B$55)</f>
        <v xml:space="preserve"> </v>
      </c>
      <c r="BJ35" s="50" t="str">
        <f>IF(AO35=" "," ",AO35*Inputs!$B$55)</f>
        <v xml:space="preserve"> </v>
      </c>
      <c r="BK35" s="50" t="str">
        <f>IF(AP35=" "," ",AP35*Inputs!$B$55)</f>
        <v xml:space="preserve"> </v>
      </c>
    </row>
    <row r="36" spans="2:63" ht="18.75" customHeight="1" x14ac:dyDescent="0.25">
      <c r="B36" s="631"/>
      <c r="C36" s="555"/>
      <c r="D36" s="595"/>
      <c r="E36" s="21"/>
      <c r="F36" s="152"/>
      <c r="G36" s="152"/>
      <c r="H36" s="152"/>
      <c r="I36" s="152"/>
      <c r="J36" s="152"/>
      <c r="K36" s="152"/>
      <c r="L36" s="152"/>
      <c r="M36" s="152"/>
      <c r="N36" s="152"/>
      <c r="O36" s="152"/>
      <c r="P36" s="152"/>
      <c r="Q36" s="244"/>
      <c r="R36" s="244"/>
      <c r="S36" s="244"/>
      <c r="T36" s="244"/>
      <c r="U36" s="152"/>
      <c r="W36" s="631"/>
      <c r="X36" s="555"/>
      <c r="Y36" s="50"/>
      <c r="Z36" s="24" t="s">
        <v>498</v>
      </c>
      <c r="AA36" s="50" t="str">
        <f>IF(F36=""," ",F36*Inputs!$B$39)</f>
        <v xml:space="preserve"> </v>
      </c>
      <c r="AB36" s="50" t="str">
        <f>IF(G36=""," ",G36*Inputs!$B$39)</f>
        <v xml:space="preserve"> </v>
      </c>
      <c r="AC36" s="50" t="str">
        <f>IF(H36=""," ",H36*Inputs!$B$39)</f>
        <v xml:space="preserve"> </v>
      </c>
      <c r="AD36" s="50" t="str">
        <f>IF(I36=""," ",I36*Inputs!$B$39)</f>
        <v xml:space="preserve"> </v>
      </c>
      <c r="AE36" s="50" t="str">
        <f>IF(J36=""," ",J36*Inputs!$B$39)</f>
        <v xml:space="preserve"> </v>
      </c>
      <c r="AF36" s="50" t="str">
        <f>IF(K36=""," ",K36*Inputs!$B$39)</f>
        <v xml:space="preserve"> </v>
      </c>
      <c r="AG36" s="50" t="str">
        <f>IF(L36=""," ",L36*Inputs!$B$39)</f>
        <v xml:space="preserve"> </v>
      </c>
      <c r="AH36" s="50" t="str">
        <f>IF(M36=""," ",M36*Inputs!$B$39)</f>
        <v xml:space="preserve"> </v>
      </c>
      <c r="AI36" s="50" t="str">
        <f>IF(N36=""," ",N36*Inputs!$B$39)</f>
        <v xml:space="preserve"> </v>
      </c>
      <c r="AJ36" s="50" t="str">
        <f>IF(O36=""," ",O36*Inputs!$B$39)</f>
        <v xml:space="preserve"> </v>
      </c>
      <c r="AK36" s="50" t="str">
        <f>IF(P36=""," ",P36*Inputs!$B$39)</f>
        <v xml:space="preserve"> </v>
      </c>
      <c r="AL36" s="50" t="str">
        <f>IF(Q36=""," ",Q36*Inputs!$B$39)</f>
        <v xml:space="preserve"> </v>
      </c>
      <c r="AM36" s="50" t="str">
        <f>IF(R36=""," ",R36*Inputs!$B$39)</f>
        <v xml:space="preserve"> </v>
      </c>
      <c r="AN36" s="50" t="str">
        <f>IF(S36=""," ",S36*Inputs!$B$39)</f>
        <v xml:space="preserve"> </v>
      </c>
      <c r="AO36" s="50" t="str">
        <f>IF(T36=""," ",T36*Inputs!$B$39)</f>
        <v xml:space="preserve"> </v>
      </c>
      <c r="AP36" s="50" t="str">
        <f>IF(U36=""," ",U36*Inputs!$B$39)</f>
        <v xml:space="preserve"> </v>
      </c>
      <c r="AR36" s="631"/>
      <c r="AS36" s="555"/>
      <c r="AT36" s="50"/>
      <c r="AU36" s="24" t="s">
        <v>498</v>
      </c>
      <c r="AV36" s="50" t="str">
        <f>IF(AA36=" "," ",AA36*Inputs!$B$55)</f>
        <v xml:space="preserve"> </v>
      </c>
      <c r="AW36" s="50" t="str">
        <f>IF(AB36=" "," ",AB36*Inputs!$B$55)</f>
        <v xml:space="preserve"> </v>
      </c>
      <c r="AX36" s="50" t="str">
        <f>IF(AC36=" "," ",AC36*Inputs!$B$55)</f>
        <v xml:space="preserve"> </v>
      </c>
      <c r="AY36" s="50" t="str">
        <f>IF(AD36=" "," ",AD36*Inputs!$B$55)</f>
        <v xml:space="preserve"> </v>
      </c>
      <c r="AZ36" s="50" t="str">
        <f>IF(AE36=" "," ",AE36*Inputs!$B$55)</f>
        <v xml:space="preserve"> </v>
      </c>
      <c r="BA36" s="50" t="str">
        <f>IF(AF36=" "," ",AF36*Inputs!$B$55)</f>
        <v xml:space="preserve"> </v>
      </c>
      <c r="BB36" s="50" t="str">
        <f>IF(AG36=" "," ",AG36*Inputs!$B$55)</f>
        <v xml:space="preserve"> </v>
      </c>
      <c r="BC36" s="50" t="str">
        <f>IF(AH36=" "," ",AH36*Inputs!$B$55)</f>
        <v xml:space="preserve"> </v>
      </c>
      <c r="BD36" s="50" t="str">
        <f>IF(AI36=" "," ",AI36*Inputs!$B$55)</f>
        <v xml:space="preserve"> </v>
      </c>
      <c r="BE36" s="50" t="str">
        <f>IF(AJ36=" "," ",AJ36*Inputs!$B$55)</f>
        <v xml:space="preserve"> </v>
      </c>
      <c r="BF36" s="50" t="str">
        <f>IF(AK36=" "," ",AK36*Inputs!$B$55)</f>
        <v xml:space="preserve"> </v>
      </c>
      <c r="BG36" s="50" t="str">
        <f>IF(AL36=" "," ",AL36*Inputs!$B$55)</f>
        <v xml:space="preserve"> </v>
      </c>
      <c r="BH36" s="50" t="str">
        <f>IF(AM36=" "," ",AM36*Inputs!$B$55)</f>
        <v xml:space="preserve"> </v>
      </c>
      <c r="BI36" s="50" t="str">
        <f>IF(AN36=" "," ",AN36*Inputs!$B$55)</f>
        <v xml:space="preserve"> </v>
      </c>
      <c r="BJ36" s="50" t="str">
        <f>IF(AO36=" "," ",AO36*Inputs!$B$55)</f>
        <v xml:space="preserve"> </v>
      </c>
      <c r="BK36" s="50" t="str">
        <f>IF(AP36=" "," ",AP36*Inputs!$B$55)</f>
        <v xml:space="preserve"> </v>
      </c>
    </row>
    <row r="37" spans="2:63" ht="18.75" customHeight="1" x14ac:dyDescent="0.25">
      <c r="B37" s="589"/>
      <c r="C37" s="555"/>
      <c r="D37" s="589"/>
      <c r="E37" s="21"/>
      <c r="F37" s="152"/>
      <c r="G37" s="152"/>
      <c r="H37" s="152"/>
      <c r="I37" s="152"/>
      <c r="J37" s="152"/>
      <c r="K37" s="152"/>
      <c r="L37" s="152"/>
      <c r="M37" s="152"/>
      <c r="N37" s="152"/>
      <c r="O37" s="152"/>
      <c r="P37" s="152"/>
      <c r="Q37" s="244"/>
      <c r="R37" s="244"/>
      <c r="S37" s="244"/>
      <c r="T37" s="244"/>
      <c r="U37" s="152"/>
      <c r="W37" s="589"/>
      <c r="X37" s="555"/>
      <c r="Y37" s="51"/>
      <c r="Z37" s="27" t="s">
        <v>499</v>
      </c>
      <c r="AA37" s="50" t="str">
        <f>IF(F37=""," ",F37*Inputs!$B$39)</f>
        <v xml:space="preserve"> </v>
      </c>
      <c r="AB37" s="50" t="str">
        <f>IF(G37=""," ",G37*Inputs!$B$39)</f>
        <v xml:space="preserve"> </v>
      </c>
      <c r="AC37" s="50" t="str">
        <f>IF(H37=""," ",H37*Inputs!$B$39)</f>
        <v xml:space="preserve"> </v>
      </c>
      <c r="AD37" s="50" t="str">
        <f>IF(I37=""," ",I37*Inputs!$B$39)</f>
        <v xml:space="preserve"> </v>
      </c>
      <c r="AE37" s="50" t="str">
        <f>IF(J37=""," ",J37*Inputs!$B$39)</f>
        <v xml:space="preserve"> </v>
      </c>
      <c r="AF37" s="50" t="str">
        <f>IF(K37=""," ",K37*Inputs!$B$39)</f>
        <v xml:space="preserve"> </v>
      </c>
      <c r="AG37" s="50" t="str">
        <f>IF(L37=""," ",L37*Inputs!$B$39)</f>
        <v xml:space="preserve"> </v>
      </c>
      <c r="AH37" s="50" t="str">
        <f>IF(M37=""," ",M37*Inputs!$B$39)</f>
        <v xml:space="preserve"> </v>
      </c>
      <c r="AI37" s="50" t="str">
        <f>IF(N37=""," ",N37*Inputs!$B$39)</f>
        <v xml:space="preserve"> </v>
      </c>
      <c r="AJ37" s="50" t="str">
        <f>IF(O37=""," ",O37*Inputs!$B$39)</f>
        <v xml:space="preserve"> </v>
      </c>
      <c r="AK37" s="50" t="str">
        <f>IF(P37=""," ",P37*Inputs!$B$39)</f>
        <v xml:space="preserve"> </v>
      </c>
      <c r="AL37" s="50" t="str">
        <f>IF(Q37=""," ",Q37*Inputs!$B$39)</f>
        <v xml:space="preserve"> </v>
      </c>
      <c r="AM37" s="50" t="str">
        <f>IF(R37=""," ",R37*Inputs!$B$39)</f>
        <v xml:space="preserve"> </v>
      </c>
      <c r="AN37" s="50" t="str">
        <f>IF(S37=""," ",S37*Inputs!$B$39)</f>
        <v xml:space="preserve"> </v>
      </c>
      <c r="AO37" s="50" t="str">
        <f>IF(T37=""," ",T37*Inputs!$B$39)</f>
        <v xml:space="preserve"> </v>
      </c>
      <c r="AP37" s="50" t="str">
        <f>IF(U37=""," ",U37*Inputs!$B$39)</f>
        <v xml:space="preserve"> </v>
      </c>
      <c r="AR37" s="589"/>
      <c r="AS37" s="555"/>
      <c r="AT37" s="51"/>
      <c r="AU37" s="27" t="s">
        <v>499</v>
      </c>
      <c r="AV37" s="50" t="str">
        <f>IF(AA37=" "," ",AA37*Inputs!$B$55)</f>
        <v xml:space="preserve"> </v>
      </c>
      <c r="AW37" s="50" t="str">
        <f>IF(AB37=" "," ",AB37*Inputs!$B$55)</f>
        <v xml:space="preserve"> </v>
      </c>
      <c r="AX37" s="50" t="str">
        <f>IF(AC37=" "," ",AC37*Inputs!$B$55)</f>
        <v xml:space="preserve"> </v>
      </c>
      <c r="AY37" s="50" t="str">
        <f>IF(AD37=" "," ",AD37*Inputs!$B$55)</f>
        <v xml:space="preserve"> </v>
      </c>
      <c r="AZ37" s="50" t="str">
        <f>IF(AE37=" "," ",AE37*Inputs!$B$55)</f>
        <v xml:space="preserve"> </v>
      </c>
      <c r="BA37" s="50" t="str">
        <f>IF(AF37=" "," ",AF37*Inputs!$B$55)</f>
        <v xml:space="preserve"> </v>
      </c>
      <c r="BB37" s="50" t="str">
        <f>IF(AG37=" "," ",AG37*Inputs!$B$55)</f>
        <v xml:space="preserve"> </v>
      </c>
      <c r="BC37" s="50" t="str">
        <f>IF(AH37=" "," ",AH37*Inputs!$B$55)</f>
        <v xml:space="preserve"> </v>
      </c>
      <c r="BD37" s="50" t="str">
        <f>IF(AI37=" "," ",AI37*Inputs!$B$55)</f>
        <v xml:space="preserve"> </v>
      </c>
      <c r="BE37" s="50" t="str">
        <f>IF(AJ37=" "," ",AJ37*Inputs!$B$55)</f>
        <v xml:space="preserve"> </v>
      </c>
      <c r="BF37" s="50" t="str">
        <f>IF(AK37=" "," ",AK37*Inputs!$B$55)</f>
        <v xml:space="preserve"> </v>
      </c>
      <c r="BG37" s="50" t="str">
        <f>IF(AL37=" "," ",AL37*Inputs!$B$55)</f>
        <v xml:space="preserve"> </v>
      </c>
      <c r="BH37" s="50" t="str">
        <f>IF(AM37=" "," ",AM37*Inputs!$B$55)</f>
        <v xml:space="preserve"> </v>
      </c>
      <c r="BI37" s="50" t="str">
        <f>IF(AN37=" "," ",AN37*Inputs!$B$55)</f>
        <v xml:space="preserve"> </v>
      </c>
      <c r="BJ37" s="50" t="str">
        <f>IF(AO37=" "," ",AO37*Inputs!$B$55)</f>
        <v xml:space="preserve"> </v>
      </c>
      <c r="BK37" s="50" t="str">
        <f>IF(AP37=" "," ",AP37*Inputs!$B$55)</f>
        <v xml:space="preserve"> </v>
      </c>
    </row>
    <row r="38" spans="2:63" ht="18.75" customHeight="1" x14ac:dyDescent="0.25">
      <c r="B38" s="589"/>
      <c r="C38" s="555"/>
      <c r="D38" s="589"/>
      <c r="E38" s="21"/>
      <c r="F38" s="152"/>
      <c r="G38" s="152"/>
      <c r="H38" s="152"/>
      <c r="I38" s="152"/>
      <c r="J38" s="152"/>
      <c r="K38" s="152"/>
      <c r="L38" s="152"/>
      <c r="M38" s="152"/>
      <c r="N38" s="152"/>
      <c r="O38" s="152"/>
      <c r="P38" s="152"/>
      <c r="Q38" s="244"/>
      <c r="R38" s="244"/>
      <c r="S38" s="244"/>
      <c r="T38" s="244"/>
      <c r="U38" s="152"/>
      <c r="W38" s="589"/>
      <c r="X38" s="555"/>
      <c r="Y38" s="51"/>
      <c r="Z38" s="27" t="s">
        <v>500</v>
      </c>
      <c r="AA38" s="50" t="str">
        <f>IF(F38=""," ",F38*Inputs!$B$39)</f>
        <v xml:space="preserve"> </v>
      </c>
      <c r="AB38" s="50" t="str">
        <f>IF(G38=""," ",G38*Inputs!$B$39)</f>
        <v xml:space="preserve"> </v>
      </c>
      <c r="AC38" s="50" t="str">
        <f>IF(H38=""," ",H38*Inputs!$B$39)</f>
        <v xml:space="preserve"> </v>
      </c>
      <c r="AD38" s="50" t="str">
        <f>IF(I38=""," ",I38*Inputs!$B$39)</f>
        <v xml:space="preserve"> </v>
      </c>
      <c r="AE38" s="50" t="str">
        <f>IF(J38=""," ",J38*Inputs!$B$39)</f>
        <v xml:space="preserve"> </v>
      </c>
      <c r="AF38" s="50" t="str">
        <f>IF(K38=""," ",K38*Inputs!$B$39)</f>
        <v xml:space="preserve"> </v>
      </c>
      <c r="AG38" s="50" t="str">
        <f>IF(L38=""," ",L38*Inputs!$B$39)</f>
        <v xml:space="preserve"> </v>
      </c>
      <c r="AH38" s="50" t="str">
        <f>IF(M38=""," ",M38*Inputs!$B$39)</f>
        <v xml:space="preserve"> </v>
      </c>
      <c r="AI38" s="50" t="str">
        <f>IF(N38=""," ",N38*Inputs!$B$39)</f>
        <v xml:space="preserve"> </v>
      </c>
      <c r="AJ38" s="50" t="str">
        <f>IF(O38=""," ",O38*Inputs!$B$39)</f>
        <v xml:space="preserve"> </v>
      </c>
      <c r="AK38" s="50" t="str">
        <f>IF(P38=""," ",P38*Inputs!$B$39)</f>
        <v xml:space="preserve"> </v>
      </c>
      <c r="AL38" s="50" t="str">
        <f>IF(Q38=""," ",Q38*Inputs!$B$39)</f>
        <v xml:space="preserve"> </v>
      </c>
      <c r="AM38" s="50" t="str">
        <f>IF(R38=""," ",R38*Inputs!$B$39)</f>
        <v xml:space="preserve"> </v>
      </c>
      <c r="AN38" s="50" t="str">
        <f>IF(S38=""," ",S38*Inputs!$B$39)</f>
        <v xml:space="preserve"> </v>
      </c>
      <c r="AO38" s="50" t="str">
        <f>IF(T38=""," ",T38*Inputs!$B$39)</f>
        <v xml:space="preserve"> </v>
      </c>
      <c r="AP38" s="50" t="str">
        <f>IF(U38=""," ",U38*Inputs!$B$39)</f>
        <v xml:space="preserve"> </v>
      </c>
      <c r="AR38" s="589"/>
      <c r="AS38" s="555"/>
      <c r="AT38" s="51"/>
      <c r="AU38" s="27" t="s">
        <v>500</v>
      </c>
      <c r="AV38" s="50" t="str">
        <f>IF(AA38=" "," ",AA38*Inputs!$B$55)</f>
        <v xml:space="preserve"> </v>
      </c>
      <c r="AW38" s="50" t="str">
        <f>IF(AB38=" "," ",AB38*Inputs!$B$55)</f>
        <v xml:space="preserve"> </v>
      </c>
      <c r="AX38" s="50" t="str">
        <f>IF(AC38=" "," ",AC38*Inputs!$B$55)</f>
        <v xml:space="preserve"> </v>
      </c>
      <c r="AY38" s="50" t="str">
        <f>IF(AD38=" "," ",AD38*Inputs!$B$55)</f>
        <v xml:space="preserve"> </v>
      </c>
      <c r="AZ38" s="50" t="str">
        <f>IF(AE38=" "," ",AE38*Inputs!$B$55)</f>
        <v xml:space="preserve"> </v>
      </c>
      <c r="BA38" s="50" t="str">
        <f>IF(AF38=" "," ",AF38*Inputs!$B$55)</f>
        <v xml:space="preserve"> </v>
      </c>
      <c r="BB38" s="50" t="str">
        <f>IF(AG38=" "," ",AG38*Inputs!$B$55)</f>
        <v xml:space="preserve"> </v>
      </c>
      <c r="BC38" s="50" t="str">
        <f>IF(AH38=" "," ",AH38*Inputs!$B$55)</f>
        <v xml:space="preserve"> </v>
      </c>
      <c r="BD38" s="50" t="str">
        <f>IF(AI38=" "," ",AI38*Inputs!$B$55)</f>
        <v xml:space="preserve"> </v>
      </c>
      <c r="BE38" s="50" t="str">
        <f>IF(AJ38=" "," ",AJ38*Inputs!$B$55)</f>
        <v xml:space="preserve"> </v>
      </c>
      <c r="BF38" s="50" t="str">
        <f>IF(AK38=" "," ",AK38*Inputs!$B$55)</f>
        <v xml:space="preserve"> </v>
      </c>
      <c r="BG38" s="50" t="str">
        <f>IF(AL38=" "," ",AL38*Inputs!$B$55)</f>
        <v xml:space="preserve"> </v>
      </c>
      <c r="BH38" s="50" t="str">
        <f>IF(AM38=" "," ",AM38*Inputs!$B$55)</f>
        <v xml:space="preserve"> </v>
      </c>
      <c r="BI38" s="50" t="str">
        <f>IF(AN38=" "," ",AN38*Inputs!$B$55)</f>
        <v xml:space="preserve"> </v>
      </c>
      <c r="BJ38" s="50" t="str">
        <f>IF(AO38=" "," ",AO38*Inputs!$B$55)</f>
        <v xml:space="preserve"> </v>
      </c>
      <c r="BK38" s="50" t="str">
        <f>IF(AP38=" "," ",AP38*Inputs!$B$55)</f>
        <v xml:space="preserve"> </v>
      </c>
    </row>
    <row r="39" spans="2:63" ht="18.75" customHeight="1" x14ac:dyDescent="0.25">
      <c r="B39" s="591"/>
      <c r="C39" s="555"/>
      <c r="D39" s="591"/>
      <c r="E39" s="149"/>
      <c r="F39" s="153"/>
      <c r="G39" s="153"/>
      <c r="H39" s="153"/>
      <c r="I39" s="153"/>
      <c r="J39" s="153"/>
      <c r="K39" s="153"/>
      <c r="L39" s="153"/>
      <c r="M39" s="153"/>
      <c r="N39" s="153"/>
      <c r="O39" s="153"/>
      <c r="P39" s="153"/>
      <c r="Q39" s="245"/>
      <c r="R39" s="245"/>
      <c r="S39" s="245"/>
      <c r="T39" s="245"/>
      <c r="U39" s="153"/>
      <c r="W39" s="591"/>
      <c r="X39" s="555"/>
      <c r="Y39" s="52"/>
      <c r="Z39" s="29" t="s">
        <v>501</v>
      </c>
      <c r="AA39" s="50" t="str">
        <f>IF(F39=""," ",F39*Inputs!$B$39)</f>
        <v xml:space="preserve"> </v>
      </c>
      <c r="AB39" s="50" t="str">
        <f>IF(G39=""," ",G39*Inputs!$B$39)</f>
        <v xml:space="preserve"> </v>
      </c>
      <c r="AC39" s="50" t="str">
        <f>IF(H39=""," ",H39*Inputs!$B$39)</f>
        <v xml:space="preserve"> </v>
      </c>
      <c r="AD39" s="50" t="str">
        <f>IF(I39=""," ",I39*Inputs!$B$39)</f>
        <v xml:space="preserve"> </v>
      </c>
      <c r="AE39" s="50" t="str">
        <f>IF(J39=""," ",J39*Inputs!$B$39)</f>
        <v xml:space="preserve"> </v>
      </c>
      <c r="AF39" s="50" t="str">
        <f>IF(K39=""," ",K39*Inputs!$B$39)</f>
        <v xml:space="preserve"> </v>
      </c>
      <c r="AG39" s="50" t="str">
        <f>IF(L39=""," ",L39*Inputs!$B$39)</f>
        <v xml:space="preserve"> </v>
      </c>
      <c r="AH39" s="50" t="str">
        <f>IF(M39=""," ",M39*Inputs!$B$39)</f>
        <v xml:space="preserve"> </v>
      </c>
      <c r="AI39" s="50" t="str">
        <f>IF(N39=""," ",N39*Inputs!$B$39)</f>
        <v xml:space="preserve"> </v>
      </c>
      <c r="AJ39" s="50" t="str">
        <f>IF(O39=""," ",O39*Inputs!$B$39)</f>
        <v xml:space="preserve"> </v>
      </c>
      <c r="AK39" s="50" t="str">
        <f>IF(P39=""," ",P39*Inputs!$B$39)</f>
        <v xml:space="preserve"> </v>
      </c>
      <c r="AL39" s="50" t="str">
        <f>IF(Q39=""," ",Q39*Inputs!$B$39)</f>
        <v xml:space="preserve"> </v>
      </c>
      <c r="AM39" s="50" t="str">
        <f>IF(R39=""," ",R39*Inputs!$B$39)</f>
        <v xml:space="preserve"> </v>
      </c>
      <c r="AN39" s="50" t="str">
        <f>IF(S39=""," ",S39*Inputs!$B$39)</f>
        <v xml:space="preserve"> </v>
      </c>
      <c r="AO39" s="50" t="str">
        <f>IF(T39=""," ",T39*Inputs!$B$39)</f>
        <v xml:space="preserve"> </v>
      </c>
      <c r="AP39" s="50" t="str">
        <f>IF(U39=""," ",U39*Inputs!$B$39)</f>
        <v xml:space="preserve"> </v>
      </c>
      <c r="AR39" s="591"/>
      <c r="AS39" s="555"/>
      <c r="AT39" s="52"/>
      <c r="AU39" s="29" t="s">
        <v>501</v>
      </c>
      <c r="AV39" s="50" t="str">
        <f>IF(AA39=" "," ",AA39*Inputs!$B$55)</f>
        <v xml:space="preserve"> </v>
      </c>
      <c r="AW39" s="50" t="str">
        <f>IF(AB39=" "," ",AB39*Inputs!$B$55)</f>
        <v xml:space="preserve"> </v>
      </c>
      <c r="AX39" s="50" t="str">
        <f>IF(AC39=" "," ",AC39*Inputs!$B$55)</f>
        <v xml:space="preserve"> </v>
      </c>
      <c r="AY39" s="50" t="str">
        <f>IF(AD39=" "," ",AD39*Inputs!$B$55)</f>
        <v xml:space="preserve"> </v>
      </c>
      <c r="AZ39" s="50" t="str">
        <f>IF(AE39=" "," ",AE39*Inputs!$B$55)</f>
        <v xml:space="preserve"> </v>
      </c>
      <c r="BA39" s="50" t="str">
        <f>IF(AF39=" "," ",AF39*Inputs!$B$55)</f>
        <v xml:space="preserve"> </v>
      </c>
      <c r="BB39" s="50" t="str">
        <f>IF(AG39=" "," ",AG39*Inputs!$B$55)</f>
        <v xml:space="preserve"> </v>
      </c>
      <c r="BC39" s="50" t="str">
        <f>IF(AH39=" "," ",AH39*Inputs!$B$55)</f>
        <v xml:space="preserve"> </v>
      </c>
      <c r="BD39" s="50" t="str">
        <f>IF(AI39=" "," ",AI39*Inputs!$B$55)</f>
        <v xml:space="preserve"> </v>
      </c>
      <c r="BE39" s="50" t="str">
        <f>IF(AJ39=" "," ",AJ39*Inputs!$B$55)</f>
        <v xml:space="preserve"> </v>
      </c>
      <c r="BF39" s="50" t="str">
        <f>IF(AK39=" "," ",AK39*Inputs!$B$55)</f>
        <v xml:space="preserve"> </v>
      </c>
      <c r="BG39" s="50" t="str">
        <f>IF(AL39=" "," ",AL39*Inputs!$B$55)</f>
        <v xml:space="preserve"> </v>
      </c>
      <c r="BH39" s="50" t="str">
        <f>IF(AM39=" "," ",AM39*Inputs!$B$55)</f>
        <v xml:space="preserve"> </v>
      </c>
      <c r="BI39" s="50" t="str">
        <f>IF(AN39=" "," ",AN39*Inputs!$B$55)</f>
        <v xml:space="preserve"> </v>
      </c>
      <c r="BJ39" s="50" t="str">
        <f>IF(AO39=" "," ",AO39*Inputs!$B$55)</f>
        <v xml:space="preserve"> </v>
      </c>
      <c r="BK39" s="50" t="str">
        <f>IF(AP39=" "," ",AP39*Inputs!$B$55)</f>
        <v xml:space="preserve"> </v>
      </c>
    </row>
    <row r="40" spans="2:63" ht="18.75" customHeight="1" x14ac:dyDescent="0.25">
      <c r="B40" s="620"/>
      <c r="C40" s="555"/>
      <c r="D40" s="595"/>
      <c r="E40" s="21"/>
      <c r="F40" s="152"/>
      <c r="G40" s="152"/>
      <c r="H40" s="152"/>
      <c r="I40" s="152"/>
      <c r="J40" s="152"/>
      <c r="K40" s="152"/>
      <c r="L40" s="152"/>
      <c r="M40" s="152"/>
      <c r="N40" s="152"/>
      <c r="O40" s="152"/>
      <c r="P40" s="152"/>
      <c r="Q40" s="244"/>
      <c r="R40" s="244"/>
      <c r="S40" s="244"/>
      <c r="T40" s="244"/>
      <c r="U40" s="152"/>
      <c r="W40" s="620"/>
      <c r="X40" s="555"/>
      <c r="Y40" s="50"/>
      <c r="Z40" s="27" t="s">
        <v>498</v>
      </c>
      <c r="AA40" s="50" t="str">
        <f>IF(F40=""," ",F40*Inputs!$B$39)</f>
        <v xml:space="preserve"> </v>
      </c>
      <c r="AB40" s="50" t="str">
        <f>IF(G40=""," ",G40*Inputs!$B$39)</f>
        <v xml:space="preserve"> </v>
      </c>
      <c r="AC40" s="50" t="str">
        <f>IF(H40=""," ",H40*Inputs!$B$39)</f>
        <v xml:space="preserve"> </v>
      </c>
      <c r="AD40" s="50" t="str">
        <f>IF(I40=""," ",I40*Inputs!$B$39)</f>
        <v xml:space="preserve"> </v>
      </c>
      <c r="AE40" s="50" t="str">
        <f>IF(J40=""," ",J40*Inputs!$B$39)</f>
        <v xml:space="preserve"> </v>
      </c>
      <c r="AF40" s="50" t="str">
        <f>IF(K40=""," ",K40*Inputs!$B$39)</f>
        <v xml:space="preserve"> </v>
      </c>
      <c r="AG40" s="50" t="str">
        <f>IF(L40=""," ",L40*Inputs!$B$39)</f>
        <v xml:space="preserve"> </v>
      </c>
      <c r="AH40" s="50" t="str">
        <f>IF(M40=""," ",M40*Inputs!$B$39)</f>
        <v xml:space="preserve"> </v>
      </c>
      <c r="AI40" s="50" t="str">
        <f>IF(N40=""," ",N40*Inputs!$B$39)</f>
        <v xml:space="preserve"> </v>
      </c>
      <c r="AJ40" s="50" t="str">
        <f>IF(O40=""," ",O40*Inputs!$B$39)</f>
        <v xml:space="preserve"> </v>
      </c>
      <c r="AK40" s="50" t="str">
        <f>IF(P40=""," ",P40*Inputs!$B$39)</f>
        <v xml:space="preserve"> </v>
      </c>
      <c r="AL40" s="50" t="str">
        <f>IF(Q40=""," ",Q40*Inputs!$B$39)</f>
        <v xml:space="preserve"> </v>
      </c>
      <c r="AM40" s="50" t="str">
        <f>IF(R40=""," ",R40*Inputs!$B$39)</f>
        <v xml:space="preserve"> </v>
      </c>
      <c r="AN40" s="50" t="str">
        <f>IF(S40=""," ",S40*Inputs!$B$39)</f>
        <v xml:space="preserve"> </v>
      </c>
      <c r="AO40" s="50" t="str">
        <f>IF(T40=""," ",T40*Inputs!$B$39)</f>
        <v xml:space="preserve"> </v>
      </c>
      <c r="AP40" s="50" t="str">
        <f>IF(U40=""," ",U40*Inputs!$B$39)</f>
        <v xml:space="preserve"> </v>
      </c>
      <c r="AR40" s="620"/>
      <c r="AS40" s="555"/>
      <c r="AT40" s="51"/>
      <c r="AU40" s="33" t="s">
        <v>498</v>
      </c>
      <c r="AV40" s="50" t="str">
        <f>IF(AA40=" "," ",AA40*Inputs!$B$55)</f>
        <v xml:space="preserve"> </v>
      </c>
      <c r="AW40" s="50" t="str">
        <f>IF(AB40=" "," ",AB40*Inputs!$B$55)</f>
        <v xml:space="preserve"> </v>
      </c>
      <c r="AX40" s="50" t="str">
        <f>IF(AC40=" "," ",AC40*Inputs!$B$55)</f>
        <v xml:space="preserve"> </v>
      </c>
      <c r="AY40" s="50" t="str">
        <f>IF(AD40=" "," ",AD40*Inputs!$B$55)</f>
        <v xml:space="preserve"> </v>
      </c>
      <c r="AZ40" s="50" t="str">
        <f>IF(AE40=" "," ",AE40*Inputs!$B$55)</f>
        <v xml:space="preserve"> </v>
      </c>
      <c r="BA40" s="50" t="str">
        <f>IF(AF40=" "," ",AF40*Inputs!$B$55)</f>
        <v xml:space="preserve"> </v>
      </c>
      <c r="BB40" s="50" t="str">
        <f>IF(AG40=" "," ",AG40*Inputs!$B$55)</f>
        <v xml:space="preserve"> </v>
      </c>
      <c r="BC40" s="50" t="str">
        <f>IF(AH40=" "," ",AH40*Inputs!$B$55)</f>
        <v xml:space="preserve"> </v>
      </c>
      <c r="BD40" s="50" t="str">
        <f>IF(AI40=" "," ",AI40*Inputs!$B$55)</f>
        <v xml:space="preserve"> </v>
      </c>
      <c r="BE40" s="50" t="str">
        <f>IF(AJ40=" "," ",AJ40*Inputs!$B$55)</f>
        <v xml:space="preserve"> </v>
      </c>
      <c r="BF40" s="50" t="str">
        <f>IF(AK40=" "," ",AK40*Inputs!$B$55)</f>
        <v xml:space="preserve"> </v>
      </c>
      <c r="BG40" s="50" t="str">
        <f>IF(AL40=" "," ",AL40*Inputs!$B$55)</f>
        <v xml:space="preserve"> </v>
      </c>
      <c r="BH40" s="50" t="str">
        <f>IF(AM40=" "," ",AM40*Inputs!$B$55)</f>
        <v xml:space="preserve"> </v>
      </c>
      <c r="BI40" s="50" t="str">
        <f>IF(AN40=" "," ",AN40*Inputs!$B$55)</f>
        <v xml:space="preserve"> </v>
      </c>
      <c r="BJ40" s="50" t="str">
        <f>IF(AO40=" "," ",AO40*Inputs!$B$55)</f>
        <v xml:space="preserve"> </v>
      </c>
      <c r="BK40" s="50" t="str">
        <f>IF(AP40=" "," ",AP40*Inputs!$B$55)</f>
        <v xml:space="preserve"> </v>
      </c>
    </row>
    <row r="41" spans="2:63" ht="18.75" customHeight="1" x14ac:dyDescent="0.25">
      <c r="B41" s="589"/>
      <c r="C41" s="555"/>
      <c r="D41" s="589"/>
      <c r="E41" s="21"/>
      <c r="F41" s="152"/>
      <c r="G41" s="152"/>
      <c r="H41" s="152"/>
      <c r="I41" s="152"/>
      <c r="J41" s="152"/>
      <c r="K41" s="152"/>
      <c r="L41" s="152"/>
      <c r="M41" s="152"/>
      <c r="N41" s="152"/>
      <c r="O41" s="152"/>
      <c r="P41" s="152"/>
      <c r="Q41" s="244"/>
      <c r="R41" s="244"/>
      <c r="S41" s="244"/>
      <c r="T41" s="244"/>
      <c r="U41" s="152"/>
      <c r="W41" s="589"/>
      <c r="X41" s="555"/>
      <c r="Y41" s="51"/>
      <c r="Z41" s="27" t="s">
        <v>499</v>
      </c>
      <c r="AA41" s="50" t="str">
        <f>IF(F41=""," ",F41*Inputs!$B$39)</f>
        <v xml:space="preserve"> </v>
      </c>
      <c r="AB41" s="50" t="str">
        <f>IF(G41=""," ",G41*Inputs!$B$39)</f>
        <v xml:space="preserve"> </v>
      </c>
      <c r="AC41" s="50" t="str">
        <f>IF(H41=""," ",H41*Inputs!$B$39)</f>
        <v xml:space="preserve"> </v>
      </c>
      <c r="AD41" s="50" t="str">
        <f>IF(I41=""," ",I41*Inputs!$B$39)</f>
        <v xml:space="preserve"> </v>
      </c>
      <c r="AE41" s="50" t="str">
        <f>IF(J41=""," ",J41*Inputs!$B$39)</f>
        <v xml:space="preserve"> </v>
      </c>
      <c r="AF41" s="50" t="str">
        <f>IF(K41=""," ",K41*Inputs!$B$39)</f>
        <v xml:space="preserve"> </v>
      </c>
      <c r="AG41" s="50" t="str">
        <f>IF(L41=""," ",L41*Inputs!$B$39)</f>
        <v xml:space="preserve"> </v>
      </c>
      <c r="AH41" s="50" t="str">
        <f>IF(M41=""," ",M41*Inputs!$B$39)</f>
        <v xml:space="preserve"> </v>
      </c>
      <c r="AI41" s="50" t="str">
        <f>IF(N41=""," ",N41*Inputs!$B$39)</f>
        <v xml:space="preserve"> </v>
      </c>
      <c r="AJ41" s="50" t="str">
        <f>IF(O41=""," ",O41*Inputs!$B$39)</f>
        <v xml:space="preserve"> </v>
      </c>
      <c r="AK41" s="50" t="str">
        <f>IF(P41=""," ",P41*Inputs!$B$39)</f>
        <v xml:space="preserve"> </v>
      </c>
      <c r="AL41" s="50" t="str">
        <f>IF(Q41=""," ",Q41*Inputs!$B$39)</f>
        <v xml:space="preserve"> </v>
      </c>
      <c r="AM41" s="50" t="str">
        <f>IF(R41=""," ",R41*Inputs!$B$39)</f>
        <v xml:space="preserve"> </v>
      </c>
      <c r="AN41" s="50" t="str">
        <f>IF(S41=""," ",S41*Inputs!$B$39)</f>
        <v xml:space="preserve"> </v>
      </c>
      <c r="AO41" s="50" t="str">
        <f>IF(T41=""," ",T41*Inputs!$B$39)</f>
        <v xml:space="preserve"> </v>
      </c>
      <c r="AP41" s="50" t="str">
        <f>IF(U41=""," ",U41*Inputs!$B$39)</f>
        <v xml:space="preserve"> </v>
      </c>
      <c r="AR41" s="589"/>
      <c r="AS41" s="555"/>
      <c r="AT41" s="51"/>
      <c r="AU41" s="33" t="s">
        <v>499</v>
      </c>
      <c r="AV41" s="50" t="str">
        <f>IF(AA41=" "," ",AA41*Inputs!$B$55)</f>
        <v xml:space="preserve"> </v>
      </c>
      <c r="AW41" s="50" t="str">
        <f>IF(AB41=" "," ",AB41*Inputs!$B$55)</f>
        <v xml:space="preserve"> </v>
      </c>
      <c r="AX41" s="50" t="str">
        <f>IF(AC41=" "," ",AC41*Inputs!$B$55)</f>
        <v xml:space="preserve"> </v>
      </c>
      <c r="AY41" s="50" t="str">
        <f>IF(AD41=" "," ",AD41*Inputs!$B$55)</f>
        <v xml:space="preserve"> </v>
      </c>
      <c r="AZ41" s="50" t="str">
        <f>IF(AE41=" "," ",AE41*Inputs!$B$55)</f>
        <v xml:space="preserve"> </v>
      </c>
      <c r="BA41" s="50" t="str">
        <f>IF(AF41=" "," ",AF41*Inputs!$B$55)</f>
        <v xml:space="preserve"> </v>
      </c>
      <c r="BB41" s="50" t="str">
        <f>IF(AG41=" "," ",AG41*Inputs!$B$55)</f>
        <v xml:space="preserve"> </v>
      </c>
      <c r="BC41" s="50" t="str">
        <f>IF(AH41=" "," ",AH41*Inputs!$B$55)</f>
        <v xml:space="preserve"> </v>
      </c>
      <c r="BD41" s="50" t="str">
        <f>IF(AI41=" "," ",AI41*Inputs!$B$55)</f>
        <v xml:space="preserve"> </v>
      </c>
      <c r="BE41" s="50" t="str">
        <f>IF(AJ41=" "," ",AJ41*Inputs!$B$55)</f>
        <v xml:space="preserve"> </v>
      </c>
      <c r="BF41" s="50" t="str">
        <f>IF(AK41=" "," ",AK41*Inputs!$B$55)</f>
        <v xml:space="preserve"> </v>
      </c>
      <c r="BG41" s="50" t="str">
        <f>IF(AL41=" "," ",AL41*Inputs!$B$55)</f>
        <v xml:space="preserve"> </v>
      </c>
      <c r="BH41" s="50" t="str">
        <f>IF(AM41=" "," ",AM41*Inputs!$B$55)</f>
        <v xml:space="preserve"> </v>
      </c>
      <c r="BI41" s="50" t="str">
        <f>IF(AN41=" "," ",AN41*Inputs!$B$55)</f>
        <v xml:space="preserve"> </v>
      </c>
      <c r="BJ41" s="50" t="str">
        <f>IF(AO41=" "," ",AO41*Inputs!$B$55)</f>
        <v xml:space="preserve"> </v>
      </c>
      <c r="BK41" s="50" t="str">
        <f>IF(AP41=" "," ",AP41*Inputs!$B$55)</f>
        <v xml:space="preserve"> </v>
      </c>
    </row>
    <row r="42" spans="2:63" ht="18.75" customHeight="1" x14ac:dyDescent="0.25">
      <c r="B42" s="589"/>
      <c r="C42" s="555"/>
      <c r="D42" s="589"/>
      <c r="E42" s="21"/>
      <c r="F42" s="152"/>
      <c r="G42" s="152"/>
      <c r="H42" s="152"/>
      <c r="I42" s="152"/>
      <c r="J42" s="152"/>
      <c r="K42" s="152"/>
      <c r="L42" s="152"/>
      <c r="M42" s="152"/>
      <c r="N42" s="152"/>
      <c r="O42" s="152"/>
      <c r="P42" s="152"/>
      <c r="Q42" s="244"/>
      <c r="R42" s="244"/>
      <c r="S42" s="244"/>
      <c r="T42" s="244"/>
      <c r="U42" s="152"/>
      <c r="W42" s="589"/>
      <c r="X42" s="555"/>
      <c r="Y42" s="51"/>
      <c r="Z42" s="27" t="s">
        <v>500</v>
      </c>
      <c r="AA42" s="50" t="str">
        <f>IF(F42=""," ",F42*Inputs!$B$39)</f>
        <v xml:space="preserve"> </v>
      </c>
      <c r="AB42" s="50" t="str">
        <f>IF(G42=""," ",G42*Inputs!$B$39)</f>
        <v xml:space="preserve"> </v>
      </c>
      <c r="AC42" s="50" t="str">
        <f>IF(H42=""," ",H42*Inputs!$B$39)</f>
        <v xml:space="preserve"> </v>
      </c>
      <c r="AD42" s="50" t="str">
        <f>IF(I42=""," ",I42*Inputs!$B$39)</f>
        <v xml:space="preserve"> </v>
      </c>
      <c r="AE42" s="50" t="str">
        <f>IF(J42=""," ",J42*Inputs!$B$39)</f>
        <v xml:space="preserve"> </v>
      </c>
      <c r="AF42" s="50" t="str">
        <f>IF(K42=""," ",K42*Inputs!$B$39)</f>
        <v xml:space="preserve"> </v>
      </c>
      <c r="AG42" s="50" t="str">
        <f>IF(L42=""," ",L42*Inputs!$B$39)</f>
        <v xml:space="preserve"> </v>
      </c>
      <c r="AH42" s="50" t="str">
        <f>IF(M42=""," ",M42*Inputs!$B$39)</f>
        <v xml:space="preserve"> </v>
      </c>
      <c r="AI42" s="50" t="str">
        <f>IF(N42=""," ",N42*Inputs!$B$39)</f>
        <v xml:space="preserve"> </v>
      </c>
      <c r="AJ42" s="50" t="str">
        <f>IF(O42=""," ",O42*Inputs!$B$39)</f>
        <v xml:space="preserve"> </v>
      </c>
      <c r="AK42" s="50" t="str">
        <f>IF(P42=""," ",P42*Inputs!$B$39)</f>
        <v xml:space="preserve"> </v>
      </c>
      <c r="AL42" s="50" t="str">
        <f>IF(Q42=""," ",Q42*Inputs!$B$39)</f>
        <v xml:space="preserve"> </v>
      </c>
      <c r="AM42" s="50" t="str">
        <f>IF(R42=""," ",R42*Inputs!$B$39)</f>
        <v xml:space="preserve"> </v>
      </c>
      <c r="AN42" s="50" t="str">
        <f>IF(S42=""," ",S42*Inputs!$B$39)</f>
        <v xml:space="preserve"> </v>
      </c>
      <c r="AO42" s="50" t="str">
        <f>IF(T42=""," ",T42*Inputs!$B$39)</f>
        <v xml:space="preserve"> </v>
      </c>
      <c r="AP42" s="50" t="str">
        <f>IF(U42=""," ",U42*Inputs!$B$39)</f>
        <v xml:space="preserve"> </v>
      </c>
      <c r="AR42" s="589"/>
      <c r="AS42" s="555"/>
      <c r="AT42" s="51"/>
      <c r="AU42" s="33" t="s">
        <v>500</v>
      </c>
      <c r="AV42" s="50" t="str">
        <f>IF(AA42=" "," ",AA42*Inputs!$B$55)</f>
        <v xml:space="preserve"> </v>
      </c>
      <c r="AW42" s="50" t="str">
        <f>IF(AB42=" "," ",AB42*Inputs!$B$55)</f>
        <v xml:space="preserve"> </v>
      </c>
      <c r="AX42" s="50" t="str">
        <f>IF(AC42=" "," ",AC42*Inputs!$B$55)</f>
        <v xml:space="preserve"> </v>
      </c>
      <c r="AY42" s="50" t="str">
        <f>IF(AD42=" "," ",AD42*Inputs!$B$55)</f>
        <v xml:space="preserve"> </v>
      </c>
      <c r="AZ42" s="50" t="str">
        <f>IF(AE42=" "," ",AE42*Inputs!$B$55)</f>
        <v xml:space="preserve"> </v>
      </c>
      <c r="BA42" s="50" t="str">
        <f>IF(AF42=" "," ",AF42*Inputs!$B$55)</f>
        <v xml:space="preserve"> </v>
      </c>
      <c r="BB42" s="50" t="str">
        <f>IF(AG42=" "," ",AG42*Inputs!$B$55)</f>
        <v xml:space="preserve"> </v>
      </c>
      <c r="BC42" s="50" t="str">
        <f>IF(AH42=" "," ",AH42*Inputs!$B$55)</f>
        <v xml:space="preserve"> </v>
      </c>
      <c r="BD42" s="50" t="str">
        <f>IF(AI42=" "," ",AI42*Inputs!$B$55)</f>
        <v xml:space="preserve"> </v>
      </c>
      <c r="BE42" s="50" t="str">
        <f>IF(AJ42=" "," ",AJ42*Inputs!$B$55)</f>
        <v xml:space="preserve"> </v>
      </c>
      <c r="BF42" s="50" t="str">
        <f>IF(AK42=" "," ",AK42*Inputs!$B$55)</f>
        <v xml:space="preserve"> </v>
      </c>
      <c r="BG42" s="50" t="str">
        <f>IF(AL42=" "," ",AL42*Inputs!$B$55)</f>
        <v xml:space="preserve"> </v>
      </c>
      <c r="BH42" s="50" t="str">
        <f>IF(AM42=" "," ",AM42*Inputs!$B$55)</f>
        <v xml:space="preserve"> </v>
      </c>
      <c r="BI42" s="50" t="str">
        <f>IF(AN42=" "," ",AN42*Inputs!$B$55)</f>
        <v xml:space="preserve"> </v>
      </c>
      <c r="BJ42" s="50" t="str">
        <f>IF(AO42=" "," ",AO42*Inputs!$B$55)</f>
        <v xml:space="preserve"> </v>
      </c>
      <c r="BK42" s="50" t="str">
        <f>IF(AP42=" "," ",AP42*Inputs!$B$55)</f>
        <v xml:space="preserve"> </v>
      </c>
    </row>
    <row r="43" spans="2:63" ht="18.75" customHeight="1" x14ac:dyDescent="0.25">
      <c r="B43" s="591"/>
      <c r="C43" s="560"/>
      <c r="D43" s="591"/>
      <c r="E43" s="149"/>
      <c r="F43" s="153"/>
      <c r="G43" s="153"/>
      <c r="H43" s="153"/>
      <c r="I43" s="153"/>
      <c r="J43" s="153"/>
      <c r="K43" s="153"/>
      <c r="L43" s="153"/>
      <c r="M43" s="153"/>
      <c r="N43" s="153"/>
      <c r="O43" s="153"/>
      <c r="P43" s="153"/>
      <c r="Q43" s="245"/>
      <c r="R43" s="245"/>
      <c r="S43" s="245"/>
      <c r="T43" s="245"/>
      <c r="U43" s="153"/>
      <c r="W43" s="591"/>
      <c r="X43" s="560"/>
      <c r="Y43" s="52"/>
      <c r="Z43" s="29" t="s">
        <v>501</v>
      </c>
      <c r="AA43" s="50" t="str">
        <f>IF(F43=""," ",F43*Inputs!$B$39)</f>
        <v xml:space="preserve"> </v>
      </c>
      <c r="AB43" s="50" t="str">
        <f>IF(G43=""," ",G43*Inputs!$B$39)</f>
        <v xml:space="preserve"> </v>
      </c>
      <c r="AC43" s="50" t="str">
        <f>IF(H43=""," ",H43*Inputs!$B$39)</f>
        <v xml:space="preserve"> </v>
      </c>
      <c r="AD43" s="50" t="str">
        <f>IF(I43=""," ",I43*Inputs!$B$39)</f>
        <v xml:space="preserve"> </v>
      </c>
      <c r="AE43" s="50" t="str">
        <f>IF(J43=""," ",J43*Inputs!$B$39)</f>
        <v xml:space="preserve"> </v>
      </c>
      <c r="AF43" s="50" t="str">
        <f>IF(K43=""," ",K43*Inputs!$B$39)</f>
        <v xml:space="preserve"> </v>
      </c>
      <c r="AG43" s="50" t="str">
        <f>IF(L43=""," ",L43*Inputs!$B$39)</f>
        <v xml:space="preserve"> </v>
      </c>
      <c r="AH43" s="50" t="str">
        <f>IF(M43=""," ",M43*Inputs!$B$39)</f>
        <v xml:space="preserve"> </v>
      </c>
      <c r="AI43" s="50" t="str">
        <f>IF(N43=""," ",N43*Inputs!$B$39)</f>
        <v xml:space="preserve"> </v>
      </c>
      <c r="AJ43" s="50" t="str">
        <f>IF(O43=""," ",O43*Inputs!$B$39)</f>
        <v xml:space="preserve"> </v>
      </c>
      <c r="AK43" s="50" t="str">
        <f>IF(P43=""," ",P43*Inputs!$B$39)</f>
        <v xml:space="preserve"> </v>
      </c>
      <c r="AL43" s="50" t="str">
        <f>IF(Q43=""," ",Q43*Inputs!$B$39)</f>
        <v xml:space="preserve"> </v>
      </c>
      <c r="AM43" s="50" t="str">
        <f>IF(R43=""," ",R43*Inputs!$B$39)</f>
        <v xml:space="preserve"> </v>
      </c>
      <c r="AN43" s="50" t="str">
        <f>IF(S43=""," ",S43*Inputs!$B$39)</f>
        <v xml:space="preserve"> </v>
      </c>
      <c r="AO43" s="50" t="str">
        <f>IF(T43=""," ",T43*Inputs!$B$39)</f>
        <v xml:space="preserve"> </v>
      </c>
      <c r="AP43" s="50" t="str">
        <f>IF(U43=""," ",U43*Inputs!$B$39)</f>
        <v xml:space="preserve"> </v>
      </c>
      <c r="AR43" s="591"/>
      <c r="AS43" s="560"/>
      <c r="AT43" s="52"/>
      <c r="AU43" s="6" t="s">
        <v>501</v>
      </c>
      <c r="AV43" s="50" t="str">
        <f>IF(AA43=" "," ",AA43*Inputs!$B$55)</f>
        <v xml:space="preserve"> </v>
      </c>
      <c r="AW43" s="50" t="str">
        <f>IF(AB43=" "," ",AB43*Inputs!$B$55)</f>
        <v xml:space="preserve"> </v>
      </c>
      <c r="AX43" s="50" t="str">
        <f>IF(AC43=" "," ",AC43*Inputs!$B$55)</f>
        <v xml:space="preserve"> </v>
      </c>
      <c r="AY43" s="50" t="str">
        <f>IF(AD43=" "," ",AD43*Inputs!$B$55)</f>
        <v xml:space="preserve"> </v>
      </c>
      <c r="AZ43" s="50" t="str">
        <f>IF(AE43=" "," ",AE43*Inputs!$B$55)</f>
        <v xml:space="preserve"> </v>
      </c>
      <c r="BA43" s="50" t="str">
        <f>IF(AF43=" "," ",AF43*Inputs!$B$55)</f>
        <v xml:space="preserve"> </v>
      </c>
      <c r="BB43" s="50" t="str">
        <f>IF(AG43=" "," ",AG43*Inputs!$B$55)</f>
        <v xml:space="preserve"> </v>
      </c>
      <c r="BC43" s="50" t="str">
        <f>IF(AH43=" "," ",AH43*Inputs!$B$55)</f>
        <v xml:space="preserve"> </v>
      </c>
      <c r="BD43" s="50" t="str">
        <f>IF(AI43=" "," ",AI43*Inputs!$B$55)</f>
        <v xml:space="preserve"> </v>
      </c>
      <c r="BE43" s="50" t="str">
        <f>IF(AJ43=" "," ",AJ43*Inputs!$B$55)</f>
        <v xml:space="preserve"> </v>
      </c>
      <c r="BF43" s="50" t="str">
        <f>IF(AK43=" "," ",AK43*Inputs!$B$55)</f>
        <v xml:space="preserve"> </v>
      </c>
      <c r="BG43" s="50" t="str">
        <f>IF(AL43=" "," ",AL43*Inputs!$B$55)</f>
        <v xml:space="preserve"> </v>
      </c>
      <c r="BH43" s="50" t="str">
        <f>IF(AM43=" "," ",AM43*Inputs!$B$55)</f>
        <v xml:space="preserve"> </v>
      </c>
      <c r="BI43" s="50" t="str">
        <f>IF(AN43=" "," ",AN43*Inputs!$B$55)</f>
        <v xml:space="preserve"> </v>
      </c>
      <c r="BJ43" s="50" t="str">
        <f>IF(AO43=" "," ",AO43*Inputs!$B$55)</f>
        <v xml:space="preserve"> </v>
      </c>
      <c r="BK43" s="50" t="str">
        <f>IF(AP43=" "," ",AP43*Inputs!$B$55)</f>
        <v xml:space="preserve"> </v>
      </c>
    </row>
    <row r="47" spans="2:63" ht="15.75" customHeight="1" thickBot="1" x14ac:dyDescent="0.3">
      <c r="B47" s="565"/>
      <c r="C47" s="565"/>
      <c r="D47" s="565"/>
      <c r="E47" s="565"/>
      <c r="F47" s="565"/>
      <c r="G47" s="565"/>
      <c r="H47" s="565"/>
      <c r="I47" s="565"/>
      <c r="J47" s="565"/>
    </row>
    <row r="48" spans="2:63" ht="18.75" customHeight="1" thickBot="1" x14ac:dyDescent="0.3">
      <c r="B48" s="565"/>
      <c r="C48" s="565"/>
      <c r="D48" s="565"/>
      <c r="E48" s="602" t="s">
        <v>535</v>
      </c>
      <c r="F48" s="544"/>
      <c r="G48" s="544"/>
      <c r="H48" s="544"/>
      <c r="I48" s="544"/>
      <c r="J48" s="544"/>
      <c r="K48" s="544"/>
      <c r="L48" s="544"/>
      <c r="M48" s="544"/>
      <c r="N48" s="544"/>
      <c r="O48" s="545"/>
      <c r="P48" s="146" t="s">
        <v>284</v>
      </c>
      <c r="Q48" s="146" t="str">
        <f>Inputs!B33</f>
        <v>XX</v>
      </c>
    </row>
    <row r="49" spans="2:17" x14ac:dyDescent="0.25">
      <c r="B49" s="565"/>
      <c r="C49" s="565"/>
      <c r="D49" s="565"/>
      <c r="E49" s="610" t="s">
        <v>41</v>
      </c>
      <c r="F49" s="598" t="s">
        <v>9</v>
      </c>
      <c r="G49" s="598" t="s">
        <v>495</v>
      </c>
      <c r="H49" s="598" t="s">
        <v>520</v>
      </c>
      <c r="I49" s="599" t="s">
        <v>370</v>
      </c>
      <c r="J49" s="547"/>
      <c r="K49" s="547"/>
      <c r="L49" s="547"/>
      <c r="M49" s="547"/>
      <c r="N49" s="547"/>
      <c r="O49" s="548"/>
    </row>
    <row r="50" spans="2:17" x14ac:dyDescent="0.25">
      <c r="B50" s="565"/>
      <c r="C50" s="565"/>
      <c r="D50" s="565"/>
      <c r="E50" s="611"/>
      <c r="F50" s="591"/>
      <c r="G50" s="591"/>
      <c r="H50" s="591"/>
      <c r="I50" s="84">
        <v>0.8</v>
      </c>
      <c r="J50" s="84">
        <v>0.96</v>
      </c>
      <c r="K50" s="84">
        <v>1.1200000000000001</v>
      </c>
      <c r="L50" s="84"/>
      <c r="M50" s="84"/>
      <c r="N50" s="84">
        <v>1.3</v>
      </c>
      <c r="O50" s="100">
        <v>1.5</v>
      </c>
      <c r="Q50" s="86" t="e">
        <f>Inputs!B67</f>
        <v>#VALUE!</v>
      </c>
    </row>
    <row r="51" spans="2:17" x14ac:dyDescent="0.25">
      <c r="B51" s="565"/>
      <c r="C51" s="565"/>
      <c r="D51" s="565"/>
      <c r="E51" s="603" t="str">
        <f>Inputs!B7</f>
        <v>XX</v>
      </c>
      <c r="F51" s="633"/>
      <c r="G51" s="609" t="s">
        <v>471</v>
      </c>
      <c r="H51" s="87" t="s">
        <v>522</v>
      </c>
      <c r="I51" s="88">
        <f t="shared" ref="I51:I80" si="10">IF(AND($E$51&gt;=0.25,$E$51&lt;0.35),I429,IF(AND($E$51&gt;=0.35,$E$51&lt;0.45),W429,AH429))</f>
        <v>1</v>
      </c>
      <c r="J51" s="88">
        <f t="shared" ref="J51:J80" si="11">IF(AND($E$51&gt;=0.25,$E$51&lt;0.35),J429,IF(AND($E$51&gt;=0.35,$E$51&lt;0.45),X429,AI429))</f>
        <v>1</v>
      </c>
      <c r="K51" s="88">
        <f t="shared" ref="K51:K80" si="12">IF(AND($E$51&gt;=0.25,$E$51&lt;0.35),K429,IF(AND($E$51&gt;=0.35,$E$51&lt;0.45),Y429,AJ429))</f>
        <v>1</v>
      </c>
      <c r="L51" s="88"/>
      <c r="M51" s="88"/>
      <c r="N51" s="88">
        <f t="shared" ref="N51:N80" si="13">IF(AND($E$51&gt;=0.25,$E$51&lt;0.35),N429,IF(AND($E$51&gt;=0.35,$E$51&lt;0.45),Z429,AK429))</f>
        <v>1</v>
      </c>
      <c r="O51" s="88">
        <f t="shared" ref="O51:O80" si="14">IF(AND($E$51&gt;=0.25,$E$51&lt;0.35),O429,IF(AND($E$51&gt;=0.35,$E$51&lt;0.45),AA429,AL429))</f>
        <v>1</v>
      </c>
      <c r="P51" s="102">
        <v>0</v>
      </c>
      <c r="Q51" s="26" t="e">
        <f>IF(VALUE($Q$50)&lt;=0.8,"1",IF(AND(VALUE($Q$50)&gt;0.8,VALUE($Q$50)&lt;=0.96),FORECAST(VALUE($Q$50),I51:J51,$I$50:$J$50),IF(AND(VALUE($Q$50)&gt;0.96,VALUE($Q$50)&lt;=1.12),FORECAST(VALUE($Q$50),J51:K51,$J$50:$K$50),IF(AND(VALUE($Q$50)&gt;1.12,VALUE($Q$50)&lt;=1.3),FORECAST(VALUE($Q$50),K51:N51,$K$50:$N$50),FORECAST(VALUE($Q$50),N51:O51,$N$50:$O$50)))))</f>
        <v>#VALUE!</v>
      </c>
    </row>
    <row r="52" spans="2:17" x14ac:dyDescent="0.25">
      <c r="B52" s="565"/>
      <c r="C52" s="565"/>
      <c r="D52" s="565"/>
      <c r="E52" s="604"/>
      <c r="F52" s="589"/>
      <c r="G52" s="589"/>
      <c r="H52" s="90" t="s">
        <v>523</v>
      </c>
      <c r="I52" s="88">
        <f t="shared" si="10"/>
        <v>1</v>
      </c>
      <c r="J52" s="88">
        <f t="shared" si="11"/>
        <v>1</v>
      </c>
      <c r="K52" s="88">
        <f t="shared" si="12"/>
        <v>1</v>
      </c>
      <c r="L52" s="88"/>
      <c r="M52" s="88"/>
      <c r="N52" s="88">
        <f t="shared" si="13"/>
        <v>1</v>
      </c>
      <c r="O52" s="88">
        <f t="shared" si="14"/>
        <v>1</v>
      </c>
      <c r="P52" s="104"/>
      <c r="Q52" s="145" t="e">
        <f>IF($Q$48=0,Q51,Q53)</f>
        <v>#VALUE!</v>
      </c>
    </row>
    <row r="53" spans="2:17" x14ac:dyDescent="0.25">
      <c r="B53" s="565"/>
      <c r="C53" s="565"/>
      <c r="D53" s="565"/>
      <c r="E53" s="604"/>
      <c r="F53" s="589"/>
      <c r="G53" s="589"/>
      <c r="H53" s="90" t="s">
        <v>524</v>
      </c>
      <c r="I53" s="88">
        <f t="shared" si="10"/>
        <v>1</v>
      </c>
      <c r="J53" s="88">
        <f t="shared" si="11"/>
        <v>1</v>
      </c>
      <c r="K53" s="88">
        <f t="shared" si="12"/>
        <v>1</v>
      </c>
      <c r="L53" s="88"/>
      <c r="M53" s="88"/>
      <c r="N53" s="88">
        <f t="shared" si="13"/>
        <v>1</v>
      </c>
      <c r="O53" s="88">
        <f t="shared" si="14"/>
        <v>1</v>
      </c>
      <c r="P53" s="105">
        <v>55</v>
      </c>
      <c r="Q53" s="26" t="e">
        <f>IF(VALUE($Q$50)&lt;=0.8,"1",IF(AND(VALUE($Q$50)&gt;0.8,VALUE($Q$50)&lt;=0.96),FORECAST(VALUE($Q$50),I53:J53,$I$50:$J$50),IF(AND(VALUE($Q$50)&gt;0.96,VALUE($Q$50)&lt;=1.12),FORECAST(VALUE($Q$50),J53:K53,$J$50:$K$50),IF(AND(VALUE($Q$50)&gt;1.12,VALUE($Q$50)&lt;=1.3),FORECAST(VALUE($Q$50),K53:N53,$K$50:$N$50),FORECAST(VALUE($Q$50),N53:O53,$N$50:$O$50)))))</f>
        <v>#VALUE!</v>
      </c>
    </row>
    <row r="54" spans="2:17" x14ac:dyDescent="0.25">
      <c r="B54" s="565"/>
      <c r="C54" s="565"/>
      <c r="D54" s="565"/>
      <c r="E54" s="604"/>
      <c r="F54" s="589"/>
      <c r="G54" s="609" t="s">
        <v>7</v>
      </c>
      <c r="H54" s="87" t="s">
        <v>522</v>
      </c>
      <c r="I54" s="88">
        <f t="shared" si="10"/>
        <v>1</v>
      </c>
      <c r="J54" s="88">
        <f t="shared" si="11"/>
        <v>1</v>
      </c>
      <c r="K54" s="88">
        <f t="shared" si="12"/>
        <v>1</v>
      </c>
      <c r="L54" s="88"/>
      <c r="M54" s="88"/>
      <c r="N54" s="88">
        <f t="shared" si="13"/>
        <v>1</v>
      </c>
      <c r="O54" s="88">
        <f t="shared" si="14"/>
        <v>1</v>
      </c>
      <c r="P54" s="102">
        <v>0</v>
      </c>
      <c r="Q54" s="26" t="e">
        <f>IF(VALUE($Q$50)&lt;=0.8,"1",IF(AND(VALUE($Q$50)&gt;0.8,VALUE($Q$50)&lt;=0.96),FORECAST(VALUE($Q$50),I54:J54,$I$50:$J$50),IF(AND(VALUE($Q$50)&gt;0.96,VALUE($Q$50)&lt;=1.12),FORECAST(VALUE($Q$50),J54:K54,$J$50:$K$50),IF(AND(VALUE($Q$50)&gt;1.12,VALUE($Q$50)&lt;=1.3),FORECAST(VALUE($Q$50),K54:N54,$K$50:$N$50),FORECAST(VALUE($Q$50),N54:O54,$N$50:$O$50)))))</f>
        <v>#VALUE!</v>
      </c>
    </row>
    <row r="55" spans="2:17" x14ac:dyDescent="0.25">
      <c r="B55" s="565"/>
      <c r="C55" s="565"/>
      <c r="D55" s="565"/>
      <c r="E55" s="604"/>
      <c r="F55" s="589"/>
      <c r="G55" s="589"/>
      <c r="H55" s="90" t="s">
        <v>523</v>
      </c>
      <c r="I55" s="88">
        <f t="shared" si="10"/>
        <v>1</v>
      </c>
      <c r="J55" s="88">
        <f t="shared" si="11"/>
        <v>1</v>
      </c>
      <c r="K55" s="88">
        <f t="shared" si="12"/>
        <v>1</v>
      </c>
      <c r="L55" s="88"/>
      <c r="M55" s="88"/>
      <c r="N55" s="88">
        <f t="shared" si="13"/>
        <v>1</v>
      </c>
      <c r="O55" s="88">
        <f t="shared" si="14"/>
        <v>1</v>
      </c>
      <c r="P55" s="104"/>
      <c r="Q55" s="145" t="e">
        <f>IF($Q$48=0,Q54,Q56)</f>
        <v>#VALUE!</v>
      </c>
    </row>
    <row r="56" spans="2:17" x14ac:dyDescent="0.25">
      <c r="B56" s="565"/>
      <c r="C56" s="565"/>
      <c r="D56" s="565"/>
      <c r="E56" s="604"/>
      <c r="F56" s="589"/>
      <c r="G56" s="589"/>
      <c r="H56" s="90" t="s">
        <v>524</v>
      </c>
      <c r="I56" s="88">
        <f t="shared" si="10"/>
        <v>1</v>
      </c>
      <c r="J56" s="88">
        <f t="shared" si="11"/>
        <v>1</v>
      </c>
      <c r="K56" s="88">
        <f t="shared" si="12"/>
        <v>1</v>
      </c>
      <c r="L56" s="88"/>
      <c r="M56" s="88"/>
      <c r="N56" s="88">
        <f t="shared" si="13"/>
        <v>1</v>
      </c>
      <c r="O56" s="88">
        <f t="shared" si="14"/>
        <v>1</v>
      </c>
      <c r="P56" s="105">
        <v>55</v>
      </c>
      <c r="Q56" s="26" t="e">
        <f>IF(VALUE($Q$50)&lt;=0.8,"1",IF(AND(VALUE($Q$50)&gt;0.8,VALUE($Q$50)&lt;=0.96),FORECAST(VALUE($Q$50),I56:J56,$I$50:$J$50),IF(AND(VALUE($Q$50)&gt;0.96,VALUE($Q$50)&lt;=1.12),FORECAST(VALUE($Q$50),J56:K56,$J$50:$K$50),IF(AND(VALUE($Q$50)&gt;1.12,VALUE($Q$50)&lt;=1.3),FORECAST(VALUE($Q$50),K56:N56,$K$50:$N$50),FORECAST(VALUE($Q$50),N56:O56,$N$50:$O$50)))))</f>
        <v>#VALUE!</v>
      </c>
    </row>
    <row r="57" spans="2:17" x14ac:dyDescent="0.25">
      <c r="B57" s="565"/>
      <c r="C57" s="565"/>
      <c r="D57" s="565"/>
      <c r="E57" s="604"/>
      <c r="F57" s="619"/>
      <c r="G57" s="609" t="s">
        <v>471</v>
      </c>
      <c r="H57" s="87" t="s">
        <v>522</v>
      </c>
      <c r="I57" s="88">
        <f t="shared" si="10"/>
        <v>1</v>
      </c>
      <c r="J57" s="88">
        <f t="shared" si="11"/>
        <v>1</v>
      </c>
      <c r="K57" s="88">
        <f t="shared" si="12"/>
        <v>1</v>
      </c>
      <c r="L57" s="88"/>
      <c r="M57" s="88"/>
      <c r="N57" s="88">
        <f t="shared" si="13"/>
        <v>1</v>
      </c>
      <c r="O57" s="88">
        <f t="shared" si="14"/>
        <v>1</v>
      </c>
      <c r="P57" s="106">
        <v>0</v>
      </c>
      <c r="Q57" s="26" t="e">
        <f>IF(VALUE($Q$50)&lt;=0.8,"1",IF(AND(VALUE($Q$50)&gt;0.8,VALUE($Q$50)&lt;=0.96),FORECAST(VALUE($Q$50),I57:J57,$I$50:$J$50),IF(AND(VALUE($Q$50)&gt;0.96,VALUE($Q$50)&lt;=1.12),FORECAST(VALUE($Q$50),J57:K57,$J$50:$K$50),IF(AND(VALUE($Q$50)&gt;1.12,VALUE($Q$50)&lt;=1.3),FORECAST(VALUE($Q$50),K57:N57,$K$50:$N$50),FORECAST(VALUE($Q$50),N57:O57,$N$50:$O$50)))))</f>
        <v>#VALUE!</v>
      </c>
    </row>
    <row r="58" spans="2:17" x14ac:dyDescent="0.25">
      <c r="B58" s="565"/>
      <c r="C58" s="565"/>
      <c r="D58" s="565"/>
      <c r="E58" s="604"/>
      <c r="F58" s="589"/>
      <c r="G58" s="589"/>
      <c r="H58" s="90" t="s">
        <v>523</v>
      </c>
      <c r="I58" s="88">
        <f t="shared" si="10"/>
        <v>1</v>
      </c>
      <c r="J58" s="88">
        <f t="shared" si="11"/>
        <v>1</v>
      </c>
      <c r="K58" s="88">
        <f t="shared" si="12"/>
        <v>1</v>
      </c>
      <c r="L58" s="88"/>
      <c r="M58" s="88"/>
      <c r="N58" s="88">
        <f t="shared" si="13"/>
        <v>1</v>
      </c>
      <c r="O58" s="88">
        <f t="shared" si="14"/>
        <v>1</v>
      </c>
      <c r="P58" s="107"/>
      <c r="Q58" s="145" t="e">
        <f>IF($Q$48=0,Q57,Q59)</f>
        <v>#VALUE!</v>
      </c>
    </row>
    <row r="59" spans="2:17" x14ac:dyDescent="0.25">
      <c r="B59" s="565"/>
      <c r="C59" s="565"/>
      <c r="D59" s="565"/>
      <c r="E59" s="604"/>
      <c r="F59" s="589"/>
      <c r="G59" s="589"/>
      <c r="H59" s="90" t="s">
        <v>524</v>
      </c>
      <c r="I59" s="88">
        <f t="shared" si="10"/>
        <v>1</v>
      </c>
      <c r="J59" s="88">
        <f t="shared" si="11"/>
        <v>1</v>
      </c>
      <c r="K59" s="88">
        <f t="shared" si="12"/>
        <v>1</v>
      </c>
      <c r="L59" s="88"/>
      <c r="M59" s="88"/>
      <c r="N59" s="88">
        <f t="shared" si="13"/>
        <v>1</v>
      </c>
      <c r="O59" s="88">
        <f t="shared" si="14"/>
        <v>1</v>
      </c>
      <c r="P59" s="108">
        <v>55</v>
      </c>
      <c r="Q59" s="26" t="e">
        <f>IF(VALUE($Q$50)&lt;=0.8,"1",IF(AND(VALUE($Q$50)&gt;0.8,VALUE($Q$50)&lt;=0.96),FORECAST(VALUE($Q$50),I59:J59,$I$50:$J$50),IF(AND(VALUE($Q$50)&gt;0.96,VALUE($Q$50)&lt;=1.12),FORECAST(VALUE($Q$50),J59:K59,$J$50:$K$50),IF(AND(VALUE($Q$50)&gt;1.12,VALUE($Q$50)&lt;=1.3),FORECAST(VALUE($Q$50),K59:N59,$K$50:$N$50),FORECAST(VALUE($Q$50),N59:O59,$N$50:$O$50)))))</f>
        <v>#VALUE!</v>
      </c>
    </row>
    <row r="60" spans="2:17" x14ac:dyDescent="0.25">
      <c r="B60" s="565"/>
      <c r="C60" s="565"/>
      <c r="D60" s="565"/>
      <c r="E60" s="604"/>
      <c r="F60" s="589"/>
      <c r="G60" s="609" t="s">
        <v>7</v>
      </c>
      <c r="H60" s="87" t="s">
        <v>522</v>
      </c>
      <c r="I60" s="88">
        <f t="shared" si="10"/>
        <v>1</v>
      </c>
      <c r="J60" s="88">
        <f t="shared" si="11"/>
        <v>1</v>
      </c>
      <c r="K60" s="88">
        <f t="shared" si="12"/>
        <v>1</v>
      </c>
      <c r="L60" s="88"/>
      <c r="M60" s="88"/>
      <c r="N60" s="88">
        <f t="shared" si="13"/>
        <v>1</v>
      </c>
      <c r="O60" s="88">
        <f t="shared" si="14"/>
        <v>1</v>
      </c>
      <c r="P60" s="106">
        <v>0</v>
      </c>
      <c r="Q60" s="26" t="e">
        <f>IF(VALUE($Q$50)&lt;=0.8,"1",IF(AND(VALUE($Q$50)&gt;0.8,VALUE($Q$50)&lt;=0.96),FORECAST(VALUE($Q$50),I60:J60,$I$50:$J$50),IF(AND(VALUE($Q$50)&gt;0.96,VALUE($Q$50)&lt;=1.12),FORECAST(VALUE($Q$50),J60:K60,$J$50:$K$50),IF(AND(VALUE($Q$50)&gt;1.12,VALUE($Q$50)&lt;=1.3),FORECAST(VALUE($Q$50),K60:N60,$K$50:$N$50),FORECAST(VALUE($Q$50),N60:O60,$N$50:$O$50)))))</f>
        <v>#VALUE!</v>
      </c>
    </row>
    <row r="61" spans="2:17" x14ac:dyDescent="0.25">
      <c r="B61" s="565"/>
      <c r="C61" s="565"/>
      <c r="D61" s="565"/>
      <c r="E61" s="604"/>
      <c r="F61" s="589"/>
      <c r="G61" s="589"/>
      <c r="H61" s="90" t="s">
        <v>523</v>
      </c>
      <c r="I61" s="88">
        <f t="shared" si="10"/>
        <v>1</v>
      </c>
      <c r="J61" s="88">
        <f t="shared" si="11"/>
        <v>1</v>
      </c>
      <c r="K61" s="88">
        <f t="shared" si="12"/>
        <v>1</v>
      </c>
      <c r="L61" s="88"/>
      <c r="M61" s="88"/>
      <c r="N61" s="88">
        <f t="shared" si="13"/>
        <v>1</v>
      </c>
      <c r="O61" s="88">
        <f t="shared" si="14"/>
        <v>1</v>
      </c>
      <c r="P61" s="107"/>
      <c r="Q61" s="145" t="e">
        <f>IF($Q$48=0,Q60,Q62)</f>
        <v>#VALUE!</v>
      </c>
    </row>
    <row r="62" spans="2:17" x14ac:dyDescent="0.25">
      <c r="B62" s="565"/>
      <c r="C62" s="565"/>
      <c r="D62" s="565"/>
      <c r="E62" s="604"/>
      <c r="F62" s="589"/>
      <c r="G62" s="589"/>
      <c r="H62" s="90" t="s">
        <v>524</v>
      </c>
      <c r="I62" s="88">
        <f t="shared" si="10"/>
        <v>1</v>
      </c>
      <c r="J62" s="88">
        <f t="shared" si="11"/>
        <v>1</v>
      </c>
      <c r="K62" s="88">
        <f t="shared" si="12"/>
        <v>1</v>
      </c>
      <c r="L62" s="88"/>
      <c r="M62" s="88"/>
      <c r="N62" s="88">
        <f t="shared" si="13"/>
        <v>1</v>
      </c>
      <c r="O62" s="88">
        <f t="shared" si="14"/>
        <v>1</v>
      </c>
      <c r="P62" s="108">
        <v>55</v>
      </c>
      <c r="Q62" s="26" t="e">
        <f>IF(VALUE($Q$50)&lt;=0.8,"1",IF(AND(VALUE($Q$50)&gt;0.8,VALUE($Q$50)&lt;=0.96),FORECAST(VALUE($Q$50),I62:J62,$I$50:$J$50),IF(AND(VALUE($Q$50)&gt;0.96,VALUE($Q$50)&lt;=1.12),FORECAST(VALUE($Q$50),J62:K62,$J$50:$K$50),IF(AND(VALUE($Q$50)&gt;1.12,VALUE($Q$50)&lt;=1.3),FORECAST(VALUE($Q$50),K62:N62,$K$50:$N$50),FORECAST(VALUE($Q$50),N62:O62,$N$50:$O$50)))))</f>
        <v>#VALUE!</v>
      </c>
    </row>
    <row r="63" spans="2:17" x14ac:dyDescent="0.25">
      <c r="B63" s="565"/>
      <c r="C63" s="565"/>
      <c r="D63" s="565"/>
      <c r="E63" s="604"/>
      <c r="F63" s="621"/>
      <c r="G63" s="609" t="s">
        <v>471</v>
      </c>
      <c r="H63" s="87" t="s">
        <v>522</v>
      </c>
      <c r="I63" s="88">
        <f t="shared" si="10"/>
        <v>1</v>
      </c>
      <c r="J63" s="88">
        <f t="shared" si="11"/>
        <v>1</v>
      </c>
      <c r="K63" s="88">
        <f t="shared" si="12"/>
        <v>1</v>
      </c>
      <c r="L63" s="88"/>
      <c r="M63" s="88"/>
      <c r="N63" s="88">
        <f t="shared" si="13"/>
        <v>1</v>
      </c>
      <c r="O63" s="88">
        <f t="shared" si="14"/>
        <v>1</v>
      </c>
      <c r="P63" s="89">
        <v>0</v>
      </c>
      <c r="Q63" s="26" t="e">
        <f>IF(VALUE($Q$50)&lt;=0.8,"1",IF(AND(VALUE($Q$50)&gt;0.8,VALUE($Q$50)&lt;=0.96),FORECAST(VALUE($Q$50),I63:J63,$I$50:$J$50),IF(AND(VALUE($Q$50)&gt;0.96,VALUE($Q$50)&lt;=1.12),FORECAST(VALUE($Q$50),J63:K63,$J$50:$K$50),IF(AND(VALUE($Q$50)&gt;1.12,VALUE($Q$50)&lt;=1.3),FORECAST(VALUE($Q$50),K63:N63,$K$50:$N$50),FORECAST(VALUE($Q$50),N63:O63,$N$50:$O$50)))))</f>
        <v>#VALUE!</v>
      </c>
    </row>
    <row r="64" spans="2:17" x14ac:dyDescent="0.25">
      <c r="B64" s="565"/>
      <c r="C64" s="565"/>
      <c r="D64" s="565"/>
      <c r="E64" s="604"/>
      <c r="F64" s="589"/>
      <c r="G64" s="589"/>
      <c r="H64" s="90" t="s">
        <v>523</v>
      </c>
      <c r="I64" s="88">
        <f t="shared" si="10"/>
        <v>1</v>
      </c>
      <c r="J64" s="88">
        <f t="shared" si="11"/>
        <v>1</v>
      </c>
      <c r="K64" s="88">
        <f t="shared" si="12"/>
        <v>1</v>
      </c>
      <c r="L64" s="88"/>
      <c r="M64" s="88"/>
      <c r="N64" s="88">
        <f t="shared" si="13"/>
        <v>1</v>
      </c>
      <c r="O64" s="88">
        <f t="shared" si="14"/>
        <v>1</v>
      </c>
      <c r="P64" s="92"/>
      <c r="Q64" s="145" t="e">
        <f>IF($Q$48=0,Q63,Q65)</f>
        <v>#VALUE!</v>
      </c>
    </row>
    <row r="65" spans="2:17" x14ac:dyDescent="0.25">
      <c r="B65" s="565"/>
      <c r="C65" s="565"/>
      <c r="D65" s="565"/>
      <c r="E65" s="604"/>
      <c r="F65" s="589"/>
      <c r="G65" s="589"/>
      <c r="H65" s="109" t="s">
        <v>524</v>
      </c>
      <c r="I65" s="88">
        <f t="shared" si="10"/>
        <v>1</v>
      </c>
      <c r="J65" s="88">
        <f t="shared" si="11"/>
        <v>1</v>
      </c>
      <c r="K65" s="88">
        <f t="shared" si="12"/>
        <v>1</v>
      </c>
      <c r="L65" s="88"/>
      <c r="M65" s="88"/>
      <c r="N65" s="88">
        <f t="shared" si="13"/>
        <v>1</v>
      </c>
      <c r="O65" s="88">
        <f t="shared" si="14"/>
        <v>1</v>
      </c>
      <c r="P65" s="93">
        <v>55</v>
      </c>
      <c r="Q65" s="26" t="e">
        <f>IF(VALUE($Q$50)&lt;=0.8,"1",IF(AND(VALUE($Q$50)&gt;0.8,VALUE($Q$50)&lt;=0.96),FORECAST(VALUE($Q$50),I65:J65,$I$50:$J$50),IF(AND(VALUE($Q$50)&gt;0.96,VALUE($Q$50)&lt;=1.12),FORECAST(VALUE($Q$50),J65:K65,$J$50:$K$50),IF(AND(VALUE($Q$50)&gt;1.12,VALUE($Q$50)&lt;=1.3),FORECAST(VALUE($Q$50),K65:N65,$K$50:$N$50),FORECAST(VALUE($Q$50),N65:O65,$N$50:$O$50)))))</f>
        <v>#VALUE!</v>
      </c>
    </row>
    <row r="66" spans="2:17" x14ac:dyDescent="0.25">
      <c r="B66" s="565"/>
      <c r="C66" s="565"/>
      <c r="D66" s="565"/>
      <c r="E66" s="604"/>
      <c r="F66" s="589"/>
      <c r="G66" s="609" t="s">
        <v>7</v>
      </c>
      <c r="H66" s="111" t="s">
        <v>522</v>
      </c>
      <c r="I66" s="88">
        <f t="shared" si="10"/>
        <v>1</v>
      </c>
      <c r="J66" s="88">
        <f t="shared" si="11"/>
        <v>1</v>
      </c>
      <c r="K66" s="88">
        <f t="shared" si="12"/>
        <v>1</v>
      </c>
      <c r="L66" s="88"/>
      <c r="M66" s="88"/>
      <c r="N66" s="88">
        <f t="shared" si="13"/>
        <v>1</v>
      </c>
      <c r="O66" s="88">
        <f t="shared" si="14"/>
        <v>1</v>
      </c>
      <c r="P66" s="89">
        <v>0</v>
      </c>
      <c r="Q66" s="26" t="e">
        <f>IF(VALUE($Q$50)&lt;=0.8,"1",IF(AND(VALUE($Q$50)&gt;0.8,VALUE($Q$50)&lt;=0.96),FORECAST(VALUE($Q$50),I66:J66,$I$50:$J$50),IF(AND(VALUE($Q$50)&gt;0.96,VALUE($Q$50)&lt;=1.12),FORECAST(VALUE($Q$50),J66:K66,$J$50:$K$50),IF(AND(VALUE($Q$50)&gt;1.12,VALUE($Q$50)&lt;=1.3),FORECAST(VALUE($Q$50),K66:N66,$K$50:$N$50),FORECAST(VALUE($Q$50),N66:O66,$N$50:$O$50)))))</f>
        <v>#VALUE!</v>
      </c>
    </row>
    <row r="67" spans="2:17" x14ac:dyDescent="0.25">
      <c r="B67" s="565"/>
      <c r="C67" s="565"/>
      <c r="D67" s="565"/>
      <c r="E67" s="604"/>
      <c r="F67" s="589"/>
      <c r="G67" s="589"/>
      <c r="H67" s="90" t="s">
        <v>523</v>
      </c>
      <c r="I67" s="88">
        <f t="shared" si="10"/>
        <v>1</v>
      </c>
      <c r="J67" s="88">
        <f t="shared" si="11"/>
        <v>1</v>
      </c>
      <c r="K67" s="88">
        <f t="shared" si="12"/>
        <v>1</v>
      </c>
      <c r="L67" s="88"/>
      <c r="M67" s="88"/>
      <c r="N67" s="88">
        <f t="shared" si="13"/>
        <v>1</v>
      </c>
      <c r="O67" s="88">
        <f t="shared" si="14"/>
        <v>1</v>
      </c>
      <c r="P67" s="92"/>
      <c r="Q67" s="145" t="e">
        <f>IF($Q$48=0,Q66,Q68)</f>
        <v>#VALUE!</v>
      </c>
    </row>
    <row r="68" spans="2:17" x14ac:dyDescent="0.25">
      <c r="B68" s="565"/>
      <c r="C68" s="565"/>
      <c r="D68" s="565"/>
      <c r="E68" s="604"/>
      <c r="F68" s="589"/>
      <c r="G68" s="589"/>
      <c r="H68" s="112" t="s">
        <v>524</v>
      </c>
      <c r="I68" s="88">
        <f t="shared" si="10"/>
        <v>1</v>
      </c>
      <c r="J68" s="88">
        <f t="shared" si="11"/>
        <v>1</v>
      </c>
      <c r="K68" s="88">
        <f t="shared" si="12"/>
        <v>1</v>
      </c>
      <c r="L68" s="88"/>
      <c r="M68" s="88"/>
      <c r="N68" s="88">
        <f t="shared" si="13"/>
        <v>1</v>
      </c>
      <c r="O68" s="88">
        <f t="shared" si="14"/>
        <v>1</v>
      </c>
      <c r="P68" s="93">
        <v>55</v>
      </c>
      <c r="Q68" s="26" t="e">
        <f>IF(VALUE($Q$50)&lt;=0.8,"1",IF(AND(VALUE($Q$50)&gt;0.8,VALUE($Q$50)&lt;=0.96),FORECAST(VALUE($Q$50),I68:J68,$I$50:$J$50),IF(AND(VALUE($Q$50)&gt;0.96,VALUE($Q$50)&lt;=1.12),FORECAST(VALUE($Q$50),J68:K68,$J$50:$K$50),IF(AND(VALUE($Q$50)&gt;1.12,VALUE($Q$50)&lt;=1.3),FORECAST(VALUE($Q$50),K68:N68,$K$50:$N$50),FORECAST(VALUE($Q$50),N68:O68,$N$50:$O$50)))))</f>
        <v>#VALUE!</v>
      </c>
    </row>
    <row r="69" spans="2:17" x14ac:dyDescent="0.25">
      <c r="B69" s="565"/>
      <c r="C69" s="565"/>
      <c r="D69" s="565"/>
      <c r="E69" s="604"/>
      <c r="F69" s="625"/>
      <c r="G69" s="609" t="s">
        <v>471</v>
      </c>
      <c r="H69" s="87" t="s">
        <v>522</v>
      </c>
      <c r="I69" s="88">
        <f t="shared" si="10"/>
        <v>1</v>
      </c>
      <c r="J69" s="88">
        <f t="shared" si="11"/>
        <v>1</v>
      </c>
      <c r="K69" s="88">
        <f t="shared" si="12"/>
        <v>1</v>
      </c>
      <c r="L69" s="88"/>
      <c r="M69" s="88"/>
      <c r="N69" s="88">
        <f t="shared" si="13"/>
        <v>1</v>
      </c>
      <c r="O69" s="88">
        <f t="shared" si="14"/>
        <v>1</v>
      </c>
      <c r="P69" s="113">
        <v>0</v>
      </c>
      <c r="Q69" s="26" t="e">
        <f>IF(VALUE($Q$50)&lt;=0.8,"1",IF(AND(VALUE($Q$50)&gt;0.8,VALUE($Q$50)&lt;=0.96),FORECAST(VALUE($Q$50),I69:J69,$I$50:$J$50),IF(AND(VALUE($Q$50)&gt;0.96,VALUE($Q$50)&lt;=1.12),FORECAST(VALUE($Q$50),J69:K69,$J$50:$K$50),IF(AND(VALUE($Q$50)&gt;1.12,VALUE($Q$50)&lt;=1.3),FORECAST(VALUE($Q$50),K69:N69,$K$50:$N$50),FORECAST(VALUE($Q$50),N69:O69,$N$50:$O$50)))))</f>
        <v>#VALUE!</v>
      </c>
    </row>
    <row r="70" spans="2:17" x14ac:dyDescent="0.25">
      <c r="B70" s="565"/>
      <c r="C70" s="565"/>
      <c r="D70" s="565"/>
      <c r="E70" s="604"/>
      <c r="F70" s="589"/>
      <c r="G70" s="589"/>
      <c r="H70" s="90" t="s">
        <v>523</v>
      </c>
      <c r="I70" s="88">
        <f t="shared" si="10"/>
        <v>1</v>
      </c>
      <c r="J70" s="88">
        <f t="shared" si="11"/>
        <v>1</v>
      </c>
      <c r="K70" s="88">
        <f t="shared" si="12"/>
        <v>1</v>
      </c>
      <c r="L70" s="88"/>
      <c r="M70" s="88"/>
      <c r="N70" s="88">
        <f t="shared" si="13"/>
        <v>1</v>
      </c>
      <c r="O70" s="88">
        <f t="shared" si="14"/>
        <v>1</v>
      </c>
      <c r="P70" s="114"/>
      <c r="Q70" s="145" t="e">
        <f>IF($Q$48=0,Q69,Q71)</f>
        <v>#VALUE!</v>
      </c>
    </row>
    <row r="71" spans="2:17" x14ac:dyDescent="0.25">
      <c r="B71" s="565"/>
      <c r="C71" s="565"/>
      <c r="D71" s="565"/>
      <c r="E71" s="604"/>
      <c r="F71" s="589"/>
      <c r="G71" s="589"/>
      <c r="H71" s="109" t="s">
        <v>524</v>
      </c>
      <c r="I71" s="88">
        <f t="shared" si="10"/>
        <v>1</v>
      </c>
      <c r="J71" s="88">
        <f t="shared" si="11"/>
        <v>1</v>
      </c>
      <c r="K71" s="88">
        <f t="shared" si="12"/>
        <v>1</v>
      </c>
      <c r="L71" s="88"/>
      <c r="M71" s="88"/>
      <c r="N71" s="88">
        <f t="shared" si="13"/>
        <v>1</v>
      </c>
      <c r="O71" s="88">
        <f t="shared" si="14"/>
        <v>1</v>
      </c>
      <c r="P71" s="115">
        <v>55</v>
      </c>
      <c r="Q71" s="26" t="e">
        <f>IF(VALUE($Q$50)&lt;=0.8,"1",IF(AND(VALUE($Q$50)&gt;0.8,VALUE($Q$50)&lt;=0.96),FORECAST(VALUE($Q$50),I71:J71,$I$50:$J$50),IF(AND(VALUE($Q$50)&gt;0.96,VALUE($Q$50)&lt;=1.12),FORECAST(VALUE($Q$50),J71:K71,$J$50:$K$50),IF(AND(VALUE($Q$50)&gt;1.12,VALUE($Q$50)&lt;=1.3),FORECAST(VALUE($Q$50),K71:N71,$K$50:$N$50),FORECAST(VALUE($Q$50),N71:O71,$N$50:$O$50)))))</f>
        <v>#VALUE!</v>
      </c>
    </row>
    <row r="72" spans="2:17" x14ac:dyDescent="0.25">
      <c r="B72" s="565"/>
      <c r="C72" s="565"/>
      <c r="D72" s="565"/>
      <c r="E72" s="604"/>
      <c r="F72" s="589"/>
      <c r="G72" s="609" t="s">
        <v>7</v>
      </c>
      <c r="H72" s="111" t="s">
        <v>522</v>
      </c>
      <c r="I72" s="88">
        <f t="shared" si="10"/>
        <v>1</v>
      </c>
      <c r="J72" s="88">
        <f t="shared" si="11"/>
        <v>1</v>
      </c>
      <c r="K72" s="88">
        <f t="shared" si="12"/>
        <v>1</v>
      </c>
      <c r="L72" s="88"/>
      <c r="M72" s="88"/>
      <c r="N72" s="88">
        <f t="shared" si="13"/>
        <v>1</v>
      </c>
      <c r="O72" s="88">
        <f t="shared" si="14"/>
        <v>1</v>
      </c>
      <c r="P72" s="113">
        <v>0</v>
      </c>
      <c r="Q72" s="26" t="e">
        <f>IF(VALUE($Q$50)&lt;=0.8,"1",IF(AND(VALUE($Q$50)&gt;0.8,VALUE($Q$50)&lt;=0.96),FORECAST(VALUE($Q$50),I72:J72,$I$50:$J$50),IF(AND(VALUE($Q$50)&gt;0.96,VALUE($Q$50)&lt;=1.12),FORECAST(VALUE($Q$50),J72:K72,$J$50:$K$50),IF(AND(VALUE($Q$50)&gt;1.12,VALUE($Q$50)&lt;=1.3),FORECAST(VALUE($Q$50),K72:N72,$K$50:$N$50),FORECAST(VALUE($Q$50),N72:O72,$N$50:$O$50)))))</f>
        <v>#VALUE!</v>
      </c>
    </row>
    <row r="73" spans="2:17" x14ac:dyDescent="0.25">
      <c r="B73" s="565"/>
      <c r="C73" s="565"/>
      <c r="D73" s="565"/>
      <c r="E73" s="604"/>
      <c r="F73" s="589"/>
      <c r="G73" s="589"/>
      <c r="H73" s="90" t="s">
        <v>523</v>
      </c>
      <c r="I73" s="88">
        <f t="shared" si="10"/>
        <v>1</v>
      </c>
      <c r="J73" s="88">
        <f t="shared" si="11"/>
        <v>1</v>
      </c>
      <c r="K73" s="88">
        <f t="shared" si="12"/>
        <v>1</v>
      </c>
      <c r="L73" s="88"/>
      <c r="M73" s="88"/>
      <c r="N73" s="88">
        <f t="shared" si="13"/>
        <v>1</v>
      </c>
      <c r="O73" s="88">
        <f t="shared" si="14"/>
        <v>1</v>
      </c>
      <c r="P73" s="114"/>
      <c r="Q73" s="145" t="e">
        <f>IF($Q$48=0,Q72,Q74)</f>
        <v>#VALUE!</v>
      </c>
    </row>
    <row r="74" spans="2:17" x14ac:dyDescent="0.25">
      <c r="B74" s="565"/>
      <c r="C74" s="565"/>
      <c r="D74" s="565"/>
      <c r="E74" s="604"/>
      <c r="F74" s="589"/>
      <c r="G74" s="589"/>
      <c r="H74" s="90" t="s">
        <v>524</v>
      </c>
      <c r="I74" s="88">
        <f t="shared" si="10"/>
        <v>1</v>
      </c>
      <c r="J74" s="88">
        <f t="shared" si="11"/>
        <v>1</v>
      </c>
      <c r="K74" s="88">
        <f t="shared" si="12"/>
        <v>1</v>
      </c>
      <c r="L74" s="88"/>
      <c r="M74" s="88"/>
      <c r="N74" s="88">
        <f t="shared" si="13"/>
        <v>1</v>
      </c>
      <c r="O74" s="88">
        <f t="shared" si="14"/>
        <v>1</v>
      </c>
      <c r="P74" s="115">
        <v>55</v>
      </c>
      <c r="Q74" s="26" t="e">
        <f>IF(VALUE($Q$50)&lt;=0.8,"1",IF(AND(VALUE($Q$50)&gt;0.8,VALUE($Q$50)&lt;=0.96),FORECAST(VALUE($Q$50),I74:J74,$I$50:$J$50),IF(AND(VALUE($Q$50)&gt;0.96,VALUE($Q$50)&lt;=1.12),FORECAST(VALUE($Q$50),J74:K74,$J$50:$K$50),IF(AND(VALUE($Q$50)&gt;1.12,VALUE($Q$50)&lt;=1.3),FORECAST(VALUE($Q$50),K74:N74,$K$50:$N$50),FORECAST(VALUE($Q$50),N74:O74,$N$50:$O$50)))))</f>
        <v>#VALUE!</v>
      </c>
    </row>
    <row r="75" spans="2:17" x14ac:dyDescent="0.25">
      <c r="B75" s="565"/>
      <c r="C75" s="565"/>
      <c r="D75" s="565"/>
      <c r="E75" s="604"/>
      <c r="F75" s="623"/>
      <c r="G75" s="609" t="s">
        <v>471</v>
      </c>
      <c r="H75" s="87" t="s">
        <v>522</v>
      </c>
      <c r="I75" s="88">
        <f t="shared" si="10"/>
        <v>1</v>
      </c>
      <c r="J75" s="88">
        <f t="shared" si="11"/>
        <v>1</v>
      </c>
      <c r="K75" s="88">
        <f t="shared" si="12"/>
        <v>1</v>
      </c>
      <c r="L75" s="88"/>
      <c r="M75" s="88"/>
      <c r="N75" s="88">
        <f t="shared" si="13"/>
        <v>1</v>
      </c>
      <c r="O75" s="88">
        <f t="shared" si="14"/>
        <v>1</v>
      </c>
      <c r="P75" s="116">
        <v>0</v>
      </c>
      <c r="Q75" s="26" t="e">
        <f>IF(VALUE($Q$50)&lt;=0.8,"1",IF(AND(VALUE($Q$50)&gt;0.8,VALUE($Q$50)&lt;=0.96),FORECAST(VALUE($Q$50),I75:J75,$I$50:$J$50),IF(AND(VALUE($Q$50)&gt;0.96,VALUE($Q$50)&lt;=1.12),FORECAST(VALUE($Q$50),J75:K75,$J$50:$K$50),IF(AND(VALUE($Q$50)&gt;1.12,VALUE($Q$50)&lt;=1.3),FORECAST(VALUE($Q$50),K75:N75,$K$50:$N$50),FORECAST(VALUE($Q$50),N75:O75,$N$50:$O$50)))))</f>
        <v>#VALUE!</v>
      </c>
    </row>
    <row r="76" spans="2:17" x14ac:dyDescent="0.25">
      <c r="B76" s="565"/>
      <c r="C76" s="565"/>
      <c r="D76" s="565"/>
      <c r="E76" s="604"/>
      <c r="F76" s="589"/>
      <c r="G76" s="589"/>
      <c r="H76" s="90" t="s">
        <v>523</v>
      </c>
      <c r="I76" s="88">
        <f t="shared" si="10"/>
        <v>1</v>
      </c>
      <c r="J76" s="88">
        <f t="shared" si="11"/>
        <v>1</v>
      </c>
      <c r="K76" s="88">
        <f t="shared" si="12"/>
        <v>1</v>
      </c>
      <c r="L76" s="88"/>
      <c r="M76" s="88"/>
      <c r="N76" s="88">
        <f t="shared" si="13"/>
        <v>1</v>
      </c>
      <c r="O76" s="88">
        <f t="shared" si="14"/>
        <v>1</v>
      </c>
      <c r="P76" s="117"/>
      <c r="Q76" s="145" t="e">
        <f>IF($Q$48=0,Q75,Q77)</f>
        <v>#VALUE!</v>
      </c>
    </row>
    <row r="77" spans="2:17" x14ac:dyDescent="0.25">
      <c r="B77" s="565"/>
      <c r="C77" s="565"/>
      <c r="D77" s="565"/>
      <c r="E77" s="604"/>
      <c r="F77" s="589"/>
      <c r="G77" s="589"/>
      <c r="H77" s="90" t="s">
        <v>524</v>
      </c>
      <c r="I77" s="88">
        <f t="shared" si="10"/>
        <v>1</v>
      </c>
      <c r="J77" s="88">
        <f t="shared" si="11"/>
        <v>1</v>
      </c>
      <c r="K77" s="88">
        <f t="shared" si="12"/>
        <v>1</v>
      </c>
      <c r="L77" s="88"/>
      <c r="M77" s="88"/>
      <c r="N77" s="88">
        <f t="shared" si="13"/>
        <v>1</v>
      </c>
      <c r="O77" s="88">
        <f t="shared" si="14"/>
        <v>1</v>
      </c>
      <c r="P77" s="118">
        <v>55</v>
      </c>
      <c r="Q77" s="26" t="e">
        <f>IF(VALUE($Q$50)&lt;=0.8,"1",IF(AND(VALUE($Q$50)&gt;0.8,VALUE($Q$50)&lt;=0.96),FORECAST(VALUE($Q$50),I77:J77,$I$50:$J$50),IF(AND(VALUE($Q$50)&gt;0.96,VALUE($Q$50)&lt;=1.12),FORECAST(VALUE($Q$50),J77:K77,$J$50:$K$50),IF(AND(VALUE($Q$50)&gt;1.12,VALUE($Q$50)&lt;=1.3),FORECAST(VALUE($Q$50),K77:N77,$K$50:$N$50),FORECAST(VALUE($Q$50),N77:O77,$N$50:$O$50)))))</f>
        <v>#VALUE!</v>
      </c>
    </row>
    <row r="78" spans="2:17" x14ac:dyDescent="0.25">
      <c r="B78" s="565"/>
      <c r="C78" s="565"/>
      <c r="D78" s="565"/>
      <c r="E78" s="604"/>
      <c r="F78" s="589"/>
      <c r="G78" s="614" t="s">
        <v>7</v>
      </c>
      <c r="H78" s="87" t="s">
        <v>522</v>
      </c>
      <c r="I78" s="88">
        <f t="shared" si="10"/>
        <v>1</v>
      </c>
      <c r="J78" s="88">
        <f t="shared" si="11"/>
        <v>1</v>
      </c>
      <c r="K78" s="88">
        <f t="shared" si="12"/>
        <v>1</v>
      </c>
      <c r="L78" s="88"/>
      <c r="M78" s="88"/>
      <c r="N78" s="88">
        <f t="shared" si="13"/>
        <v>1</v>
      </c>
      <c r="O78" s="88">
        <f t="shared" si="14"/>
        <v>1</v>
      </c>
      <c r="P78" s="116">
        <v>0</v>
      </c>
      <c r="Q78" s="26" t="e">
        <f>IF(VALUE($Q$50)&lt;=0.8,"1",IF(AND(VALUE($Q$50)&gt;0.8,VALUE($Q$50)&lt;=0.96),FORECAST(VALUE($Q$50),I78:J78,$I$50:$J$50),IF(AND(VALUE($Q$50)&gt;0.96,VALUE($Q$50)&lt;=1.12),FORECAST(VALUE($Q$50),J78:K78,$J$50:$K$50),IF(AND(VALUE($Q$50)&gt;1.12,VALUE($Q$50)&lt;=1.3),FORECAST(VALUE($Q$50),K78:N78,$K$50:$N$50),FORECAST(VALUE($Q$50),N78:O78,$N$50:$O$50)))))</f>
        <v>#VALUE!</v>
      </c>
    </row>
    <row r="79" spans="2:17" x14ac:dyDescent="0.25">
      <c r="B79" s="565"/>
      <c r="C79" s="565"/>
      <c r="D79" s="565"/>
      <c r="E79" s="604"/>
      <c r="F79" s="589"/>
      <c r="G79" s="589"/>
      <c r="H79" s="90" t="s">
        <v>523</v>
      </c>
      <c r="I79" s="88">
        <f t="shared" si="10"/>
        <v>1</v>
      </c>
      <c r="J79" s="88">
        <f t="shared" si="11"/>
        <v>1</v>
      </c>
      <c r="K79" s="88">
        <f t="shared" si="12"/>
        <v>1</v>
      </c>
      <c r="L79" s="88"/>
      <c r="M79" s="88"/>
      <c r="N79" s="88">
        <f t="shared" si="13"/>
        <v>1</v>
      </c>
      <c r="O79" s="88">
        <f t="shared" si="14"/>
        <v>1</v>
      </c>
      <c r="P79" s="117"/>
      <c r="Q79" s="145" t="e">
        <f>IF($Q$48=0,Q78,Q80)</f>
        <v>#VALUE!</v>
      </c>
    </row>
    <row r="80" spans="2:17" ht="15.75" customHeight="1" thickBot="1" x14ac:dyDescent="0.3">
      <c r="E80" s="605"/>
      <c r="F80" s="608"/>
      <c r="G80" s="608"/>
      <c r="H80" s="98" t="s">
        <v>524</v>
      </c>
      <c r="I80" s="88">
        <f t="shared" si="10"/>
        <v>1</v>
      </c>
      <c r="J80" s="88">
        <f t="shared" si="11"/>
        <v>1</v>
      </c>
      <c r="K80" s="88">
        <f t="shared" si="12"/>
        <v>1</v>
      </c>
      <c r="L80" s="88"/>
      <c r="M80" s="88"/>
      <c r="N80" s="88">
        <f t="shared" si="13"/>
        <v>1</v>
      </c>
      <c r="O80" s="88">
        <f t="shared" si="14"/>
        <v>1</v>
      </c>
      <c r="P80" s="118">
        <v>55</v>
      </c>
      <c r="Q80" s="26" t="e">
        <f>IF(VALUE($Q$50)&lt;=0.8,"1",IF(AND(VALUE($Q$50)&gt;0.8,VALUE($Q$50)&lt;=0.96),FORECAST(VALUE($Q$50),I80:J80,$I$50:$J$50),IF(AND(VALUE($Q$50)&gt;0.96,VALUE($Q$50)&lt;=1.12),FORECAST(VALUE($Q$50),J80:K80,$J$50:$K$50),IF(AND(VALUE($Q$50)&gt;1.12,VALUE($Q$50)&lt;=1.3),FORECAST(VALUE($Q$50),K80:N80,$K$50:$N$50),FORECAST(VALUE($Q$50),N80:O80,$N$50:$O$50)))))</f>
        <v>#VALUE!</v>
      </c>
    </row>
    <row r="83" spans="4:49" ht="21.75" customHeight="1" x14ac:dyDescent="0.25"/>
    <row r="89" spans="4:49" x14ac:dyDescent="0.25">
      <c r="D89">
        <v>1</v>
      </c>
      <c r="E89">
        <v>2</v>
      </c>
      <c r="F89">
        <v>3</v>
      </c>
      <c r="G89">
        <v>4</v>
      </c>
      <c r="H89">
        <v>5</v>
      </c>
      <c r="I89">
        <v>6</v>
      </c>
      <c r="J89">
        <v>7</v>
      </c>
      <c r="K89">
        <v>8</v>
      </c>
      <c r="L89">
        <v>9</v>
      </c>
      <c r="M89">
        <v>10</v>
      </c>
      <c r="N89">
        <v>11</v>
      </c>
      <c r="O89">
        <v>12</v>
      </c>
      <c r="P89">
        <v>13</v>
      </c>
      <c r="Q89">
        <v>14</v>
      </c>
      <c r="R89">
        <v>15</v>
      </c>
      <c r="S89">
        <v>16</v>
      </c>
      <c r="T89">
        <v>17</v>
      </c>
      <c r="U89">
        <v>18</v>
      </c>
      <c r="V89">
        <v>19</v>
      </c>
      <c r="W89">
        <v>20</v>
      </c>
      <c r="X89">
        <v>21</v>
      </c>
      <c r="Y89">
        <v>22</v>
      </c>
      <c r="Z89">
        <v>23</v>
      </c>
      <c r="AA89">
        <v>24</v>
      </c>
      <c r="AB89">
        <v>25</v>
      </c>
      <c r="AC89">
        <v>26</v>
      </c>
      <c r="AD89">
        <v>27</v>
      </c>
      <c r="AE89">
        <v>28</v>
      </c>
      <c r="AF89">
        <v>29</v>
      </c>
      <c r="AG89">
        <v>30</v>
      </c>
      <c r="AH89">
        <v>31</v>
      </c>
      <c r="AI89">
        <v>32</v>
      </c>
      <c r="AJ89">
        <v>33</v>
      </c>
      <c r="AK89">
        <v>34</v>
      </c>
      <c r="AL89">
        <v>35</v>
      </c>
      <c r="AM89">
        <v>36</v>
      </c>
      <c r="AN89">
        <v>37</v>
      </c>
      <c r="AO89">
        <v>38</v>
      </c>
      <c r="AP89">
        <v>39</v>
      </c>
      <c r="AQ89">
        <v>40</v>
      </c>
      <c r="AR89">
        <v>41</v>
      </c>
      <c r="AS89">
        <v>42</v>
      </c>
      <c r="AT89">
        <v>43</v>
      </c>
      <c r="AU89">
        <v>44</v>
      </c>
      <c r="AV89">
        <v>45</v>
      </c>
      <c r="AW89">
        <v>46</v>
      </c>
    </row>
    <row r="90" spans="4:49" ht="38.25" customHeight="1" x14ac:dyDescent="0.25">
      <c r="E90" s="65" t="s">
        <v>505</v>
      </c>
      <c r="F90" s="25"/>
      <c r="G90" s="65" t="s">
        <v>506</v>
      </c>
      <c r="H90" s="25"/>
      <c r="I90" s="65" t="s">
        <v>507</v>
      </c>
      <c r="J90" s="25"/>
      <c r="K90" s="65" t="s">
        <v>508</v>
      </c>
      <c r="L90" s="228"/>
      <c r="M90" s="228"/>
      <c r="O90" s="66" t="s">
        <v>505</v>
      </c>
      <c r="P90" s="25"/>
      <c r="Q90" s="66" t="s">
        <v>506</v>
      </c>
      <c r="R90" s="25"/>
      <c r="S90" s="66" t="s">
        <v>507</v>
      </c>
      <c r="T90" s="25"/>
      <c r="U90" s="25"/>
      <c r="V90" s="66" t="s">
        <v>508</v>
      </c>
      <c r="X90" s="67" t="s">
        <v>505</v>
      </c>
      <c r="Y90" s="25"/>
      <c r="Z90" s="67" t="s">
        <v>506</v>
      </c>
      <c r="AA90" s="25"/>
      <c r="AB90" s="67" t="s">
        <v>507</v>
      </c>
      <c r="AC90" s="25"/>
      <c r="AD90" s="67" t="s">
        <v>508</v>
      </c>
      <c r="AF90" s="68" t="s">
        <v>505</v>
      </c>
      <c r="AG90" s="25"/>
      <c r="AH90" s="68" t="s">
        <v>506</v>
      </c>
      <c r="AI90" s="25"/>
      <c r="AJ90" s="68" t="s">
        <v>507</v>
      </c>
      <c r="AK90" s="25"/>
      <c r="AL90" s="68" t="s">
        <v>508</v>
      </c>
      <c r="AM90" s="229"/>
      <c r="AN90" s="229"/>
      <c r="AO90" s="229"/>
      <c r="AQ90" s="69" t="s">
        <v>505</v>
      </c>
      <c r="AR90" s="25"/>
      <c r="AS90" s="69" t="s">
        <v>506</v>
      </c>
      <c r="AT90" s="25"/>
      <c r="AU90" s="69" t="s">
        <v>507</v>
      </c>
      <c r="AV90" s="25"/>
      <c r="AW90" s="69" t="s">
        <v>508</v>
      </c>
    </row>
    <row r="91" spans="4:49" x14ac:dyDescent="0.25">
      <c r="E91" s="53"/>
      <c r="G91" s="53"/>
      <c r="I91" s="53"/>
      <c r="K91" s="53"/>
      <c r="L91" s="228"/>
      <c r="M91" s="228"/>
      <c r="O91" s="54"/>
      <c r="Q91" s="54"/>
      <c r="S91" s="54"/>
      <c r="V91" s="54"/>
      <c r="X91" s="219"/>
      <c r="Z91" s="219"/>
      <c r="AB91" s="219"/>
      <c r="AD91" s="230"/>
      <c r="AF91" s="231"/>
      <c r="AH91" s="220"/>
      <c r="AJ91" s="220"/>
      <c r="AL91" s="220"/>
      <c r="AM91" s="229"/>
      <c r="AN91" s="229"/>
      <c r="AO91" s="229"/>
      <c r="AQ91" s="221"/>
      <c r="AS91" s="221"/>
      <c r="AU91" s="221"/>
      <c r="AW91" s="221"/>
    </row>
    <row r="92" spans="4:49" s="25" customFormat="1" x14ac:dyDescent="0.25">
      <c r="E92" s="232" t="str">
        <f>AA4</f>
        <v xml:space="preserve"> </v>
      </c>
      <c r="G92" s="25" t="str">
        <f>AA24</f>
        <v xml:space="preserve"> </v>
      </c>
      <c r="I92" s="25" t="str">
        <f>AV4</f>
        <v xml:space="preserve"> </v>
      </c>
      <c r="K92" s="25" t="str">
        <f>AV24</f>
        <v xml:space="preserve"> </v>
      </c>
      <c r="O92" s="25" t="str">
        <f>AA8</f>
        <v xml:space="preserve"> </v>
      </c>
      <c r="Q92" s="25" t="str">
        <f>AA28</f>
        <v xml:space="preserve"> </v>
      </c>
      <c r="S92" s="25" t="str">
        <f>AV8</f>
        <v xml:space="preserve"> </v>
      </c>
      <c r="V92" s="25" t="str">
        <f>AV28</f>
        <v xml:space="preserve"> </v>
      </c>
      <c r="X92" s="25" t="str">
        <f>AA12</f>
        <v xml:space="preserve"> </v>
      </c>
      <c r="Z92" s="25" t="str">
        <f>AA32</f>
        <v xml:space="preserve"> </v>
      </c>
      <c r="AB92" s="25" t="str">
        <f>AV12</f>
        <v xml:space="preserve"> </v>
      </c>
      <c r="AD92" s="232" t="str">
        <f>AV32</f>
        <v xml:space="preserve"> </v>
      </c>
      <c r="AF92" s="232" t="str">
        <f>AA16</f>
        <v xml:space="preserve"> </v>
      </c>
      <c r="AH92" s="25" t="str">
        <f>AA36</f>
        <v xml:space="preserve"> </v>
      </c>
      <c r="AJ92" s="25" t="str">
        <f>AV16</f>
        <v xml:space="preserve"> </v>
      </c>
      <c r="AL92" s="232" t="str">
        <f>AV36</f>
        <v xml:space="preserve"> </v>
      </c>
      <c r="AQ92" s="25" t="str">
        <f>AA20</f>
        <v xml:space="preserve"> </v>
      </c>
      <c r="AS92" s="25" t="str">
        <f>AA40</f>
        <v xml:space="preserve"> </v>
      </c>
      <c r="AU92" s="25" t="str">
        <f>AV20</f>
        <v xml:space="preserve"> </v>
      </c>
      <c r="AW92" s="25" t="str">
        <f>AV40</f>
        <v xml:space="preserve"> </v>
      </c>
    </row>
    <row r="93" spans="4:49" x14ac:dyDescent="0.25">
      <c r="E93" s="227" t="str">
        <f>AA5</f>
        <v xml:space="preserve"> </v>
      </c>
      <c r="G93" t="str">
        <f>AA25</f>
        <v xml:space="preserve"> </v>
      </c>
      <c r="I93" t="str">
        <f>AV5</f>
        <v xml:space="preserve"> </v>
      </c>
      <c r="K93" t="str">
        <f>AV25</f>
        <v xml:space="preserve"> </v>
      </c>
      <c r="O93" t="str">
        <f>AA9</f>
        <v xml:space="preserve"> </v>
      </c>
      <c r="Q93" t="str">
        <f>AA29</f>
        <v xml:space="preserve"> </v>
      </c>
      <c r="S93" t="str">
        <f>AV9</f>
        <v xml:space="preserve"> </v>
      </c>
      <c r="V93" t="str">
        <f>AV29</f>
        <v xml:space="preserve"> </v>
      </c>
      <c r="X93" t="str">
        <f>AA13</f>
        <v xml:space="preserve"> </v>
      </c>
      <c r="Z93" t="str">
        <f>AA33</f>
        <v xml:space="preserve"> </v>
      </c>
      <c r="AB93" t="str">
        <f>AV13</f>
        <v xml:space="preserve"> </v>
      </c>
      <c r="AD93" t="str">
        <f>AV33</f>
        <v xml:space="preserve"> </v>
      </c>
      <c r="AF93" t="str">
        <f>AA17</f>
        <v xml:space="preserve"> </v>
      </c>
      <c r="AH93" t="str">
        <f>AA37</f>
        <v xml:space="preserve"> </v>
      </c>
      <c r="AJ93" t="str">
        <f>AV17</f>
        <v xml:space="preserve"> </v>
      </c>
      <c r="AL93" t="str">
        <f>AV37</f>
        <v xml:space="preserve"> </v>
      </c>
      <c r="AQ93" t="str">
        <f>AA21</f>
        <v xml:space="preserve"> </v>
      </c>
      <c r="AS93" t="str">
        <f>AA41</f>
        <v xml:space="preserve"> </v>
      </c>
      <c r="AU93" t="str">
        <f>AV21</f>
        <v xml:space="preserve"> </v>
      </c>
      <c r="AW93" t="str">
        <f>AV41</f>
        <v xml:space="preserve"> </v>
      </c>
    </row>
    <row r="94" spans="4:49" x14ac:dyDescent="0.25">
      <c r="E94" t="str">
        <f>AA6</f>
        <v xml:space="preserve"> </v>
      </c>
      <c r="G94" t="str">
        <f>AA26</f>
        <v xml:space="preserve"> </v>
      </c>
      <c r="I94" t="str">
        <f>AV6</f>
        <v xml:space="preserve"> </v>
      </c>
      <c r="K94" t="str">
        <f>AV26</f>
        <v xml:space="preserve"> </v>
      </c>
      <c r="O94" t="str">
        <f>AA10</f>
        <v xml:space="preserve"> </v>
      </c>
      <c r="Q94" t="str">
        <f>AA30</f>
        <v xml:space="preserve"> </v>
      </c>
      <c r="S94" t="str">
        <f>AV10</f>
        <v xml:space="preserve"> </v>
      </c>
      <c r="V94" t="str">
        <f>AV30</f>
        <v xml:space="preserve"> </v>
      </c>
      <c r="X94" t="str">
        <f>AA14</f>
        <v xml:space="preserve"> </v>
      </c>
      <c r="Z94" t="str">
        <f>AA34</f>
        <v xml:space="preserve"> </v>
      </c>
      <c r="AB94" t="str">
        <f>AV14</f>
        <v xml:space="preserve"> </v>
      </c>
      <c r="AD94" t="str">
        <f>AV34</f>
        <v xml:space="preserve"> </v>
      </c>
      <c r="AF94" t="str">
        <f>AA18</f>
        <v xml:space="preserve"> </v>
      </c>
      <c r="AH94" t="str">
        <f>AA38</f>
        <v xml:space="preserve"> </v>
      </c>
      <c r="AJ94" t="str">
        <f>AV18</f>
        <v xml:space="preserve"> </v>
      </c>
      <c r="AL94" t="str">
        <f>AV38</f>
        <v xml:space="preserve"> </v>
      </c>
      <c r="AQ94" t="str">
        <f>AA22</f>
        <v xml:space="preserve"> </v>
      </c>
      <c r="AS94" t="str">
        <f>AA42</f>
        <v xml:space="preserve"> </v>
      </c>
      <c r="AU94" t="str">
        <f>AV22</f>
        <v xml:space="preserve"> </v>
      </c>
      <c r="AW94" t="str">
        <f>AV42</f>
        <v xml:space="preserve"> </v>
      </c>
    </row>
    <row r="95" spans="4:49" s="30" customFormat="1" x14ac:dyDescent="0.25">
      <c r="E95" s="30" t="str">
        <f>AA7</f>
        <v xml:space="preserve"> </v>
      </c>
      <c r="G95" s="30" t="str">
        <f>AA27</f>
        <v xml:space="preserve"> </v>
      </c>
      <c r="I95" s="30" t="str">
        <f>AV7</f>
        <v xml:space="preserve"> </v>
      </c>
      <c r="K95" s="30" t="str">
        <f>AV27</f>
        <v xml:space="preserve"> </v>
      </c>
      <c r="O95" s="30" t="str">
        <f>AA11</f>
        <v xml:space="preserve"> </v>
      </c>
      <c r="Q95" s="30" t="str">
        <f>AA31</f>
        <v xml:space="preserve"> </v>
      </c>
      <c r="S95" s="30" t="str">
        <f>AV11</f>
        <v xml:space="preserve"> </v>
      </c>
      <c r="V95" s="30" t="str">
        <f>AV31</f>
        <v xml:space="preserve"> </v>
      </c>
      <c r="X95" s="30" t="str">
        <f>AA15</f>
        <v xml:space="preserve"> </v>
      </c>
      <c r="Z95" s="30" t="str">
        <f>AA35</f>
        <v xml:space="preserve"> </v>
      </c>
      <c r="AB95" s="30" t="str">
        <f>AV15</f>
        <v xml:space="preserve"> </v>
      </c>
      <c r="AD95" s="30" t="str">
        <f>AV35</f>
        <v xml:space="preserve"> </v>
      </c>
      <c r="AF95" s="30" t="str">
        <f>AA19</f>
        <v xml:space="preserve"> </v>
      </c>
      <c r="AH95" s="30" t="str">
        <f>AA39</f>
        <v xml:space="preserve"> </v>
      </c>
      <c r="AJ95" s="30" t="str">
        <f>AV19</f>
        <v xml:space="preserve"> </v>
      </c>
      <c r="AL95" s="30" t="str">
        <f>AV39</f>
        <v xml:space="preserve"> </v>
      </c>
      <c r="AQ95" s="30" t="str">
        <f>AA23</f>
        <v xml:space="preserve"> </v>
      </c>
      <c r="AS95" s="30" t="str">
        <f>AA43</f>
        <v xml:space="preserve"> </v>
      </c>
      <c r="AU95" s="30" t="str">
        <f>AV23</f>
        <v xml:space="preserve"> </v>
      </c>
      <c r="AW95" s="30" t="str">
        <f>AV43</f>
        <v xml:space="preserve"> </v>
      </c>
    </row>
    <row r="96" spans="4:49" s="25" customFormat="1" x14ac:dyDescent="0.25">
      <c r="E96" s="25" t="str">
        <f>AB4</f>
        <v xml:space="preserve"> </v>
      </c>
      <c r="G96" s="25" t="str">
        <f>AB24</f>
        <v xml:space="preserve"> </v>
      </c>
      <c r="I96" s="25" t="str">
        <f>AW4</f>
        <v xml:space="preserve"> </v>
      </c>
      <c r="K96" s="25" t="str">
        <f>AW24</f>
        <v xml:space="preserve"> </v>
      </c>
      <c r="O96" s="25" t="str">
        <f>AB8</f>
        <v xml:space="preserve"> </v>
      </c>
      <c r="Q96" s="25" t="str">
        <f>AB28</f>
        <v xml:space="preserve"> </v>
      </c>
      <c r="S96" s="25" t="str">
        <f>AW8</f>
        <v xml:space="preserve"> </v>
      </c>
      <c r="V96" s="25" t="str">
        <f>AW28</f>
        <v xml:space="preserve"> </v>
      </c>
      <c r="X96" s="25" t="str">
        <f>AB12</f>
        <v xml:space="preserve"> </v>
      </c>
      <c r="Z96" s="25" t="str">
        <f>AB32</f>
        <v xml:space="preserve"> </v>
      </c>
      <c r="AB96" s="25" t="str">
        <f>AW12</f>
        <v xml:space="preserve"> </v>
      </c>
      <c r="AD96" s="25" t="str">
        <f>AW32</f>
        <v xml:space="preserve"> </v>
      </c>
      <c r="AF96" s="25" t="str">
        <f>AB16</f>
        <v xml:space="preserve"> </v>
      </c>
      <c r="AH96" s="25" t="str">
        <f>AB36</f>
        <v xml:space="preserve"> </v>
      </c>
      <c r="AJ96" s="25" t="str">
        <f>AW16</f>
        <v xml:space="preserve"> </v>
      </c>
      <c r="AL96" s="25" t="str">
        <f>AW36</f>
        <v xml:space="preserve"> </v>
      </c>
      <c r="AQ96" s="25" t="str">
        <f>AB20</f>
        <v xml:space="preserve"> </v>
      </c>
      <c r="AS96" s="25" t="str">
        <f>AB40</f>
        <v xml:space="preserve"> </v>
      </c>
      <c r="AU96" s="25" t="str">
        <f>AW20</f>
        <v xml:space="preserve"> </v>
      </c>
      <c r="AW96" s="25" t="str">
        <f>AW40</f>
        <v xml:space="preserve"> </v>
      </c>
    </row>
    <row r="97" spans="5:49" x14ac:dyDescent="0.25">
      <c r="E97" t="str">
        <f>AB5</f>
        <v xml:space="preserve"> </v>
      </c>
      <c r="G97" t="str">
        <f>AB25</f>
        <v xml:space="preserve"> </v>
      </c>
      <c r="I97" t="str">
        <f>AW5</f>
        <v xml:space="preserve"> </v>
      </c>
      <c r="K97" t="str">
        <f>AW25</f>
        <v xml:space="preserve"> </v>
      </c>
      <c r="O97" t="str">
        <f>AB9</f>
        <v xml:space="preserve"> </v>
      </c>
      <c r="Q97" t="str">
        <f>AB29</f>
        <v xml:space="preserve"> </v>
      </c>
      <c r="S97" t="str">
        <f>AW9</f>
        <v xml:space="preserve"> </v>
      </c>
      <c r="V97" t="str">
        <f>AW29</f>
        <v xml:space="preserve"> </v>
      </c>
      <c r="X97" t="str">
        <f>AB13</f>
        <v xml:space="preserve"> </v>
      </c>
      <c r="Z97" t="str">
        <f>AB33</f>
        <v xml:space="preserve"> </v>
      </c>
      <c r="AB97" t="str">
        <f>AW13</f>
        <v xml:space="preserve"> </v>
      </c>
      <c r="AD97" t="str">
        <f>AW33</f>
        <v xml:space="preserve"> </v>
      </c>
      <c r="AF97" t="str">
        <f>AB17</f>
        <v xml:space="preserve"> </v>
      </c>
      <c r="AH97" t="str">
        <f>AB37</f>
        <v xml:space="preserve"> </v>
      </c>
      <c r="AJ97" t="str">
        <f>AW17</f>
        <v xml:space="preserve"> </v>
      </c>
      <c r="AL97" t="str">
        <f>AW37</f>
        <v xml:space="preserve"> </v>
      </c>
      <c r="AQ97" t="str">
        <f>AB21</f>
        <v xml:space="preserve"> </v>
      </c>
      <c r="AS97" t="str">
        <f>AB41</f>
        <v xml:space="preserve"> </v>
      </c>
      <c r="AU97" t="str">
        <f>AW21</f>
        <v xml:space="preserve"> </v>
      </c>
      <c r="AW97" t="str">
        <f>AW41</f>
        <v xml:space="preserve"> </v>
      </c>
    </row>
    <row r="98" spans="5:49" x14ac:dyDescent="0.25">
      <c r="E98" t="str">
        <f>AB6</f>
        <v xml:space="preserve"> </v>
      </c>
      <c r="G98" t="str">
        <f>AB26</f>
        <v xml:space="preserve"> </v>
      </c>
      <c r="I98" t="str">
        <f>AW6</f>
        <v xml:space="preserve"> </v>
      </c>
      <c r="K98" t="str">
        <f>AW26</f>
        <v xml:space="preserve"> </v>
      </c>
      <c r="O98" t="str">
        <f>AB10</f>
        <v xml:space="preserve"> </v>
      </c>
      <c r="Q98" t="str">
        <f>AB30</f>
        <v xml:space="preserve"> </v>
      </c>
      <c r="S98" t="str">
        <f>AW10</f>
        <v xml:space="preserve"> </v>
      </c>
      <c r="V98" t="str">
        <f>AW30</f>
        <v xml:space="preserve"> </v>
      </c>
      <c r="X98" t="str">
        <f>AB14</f>
        <v xml:space="preserve"> </v>
      </c>
      <c r="Z98" t="str">
        <f>AB34</f>
        <v xml:space="preserve"> </v>
      </c>
      <c r="AB98" t="str">
        <f>AW14</f>
        <v xml:space="preserve"> </v>
      </c>
      <c r="AD98" t="str">
        <f>AW34</f>
        <v xml:space="preserve"> </v>
      </c>
      <c r="AF98" t="str">
        <f>AB18</f>
        <v xml:space="preserve"> </v>
      </c>
      <c r="AH98" t="str">
        <f>AB38</f>
        <v xml:space="preserve"> </v>
      </c>
      <c r="AJ98" t="str">
        <f>AW18</f>
        <v xml:space="preserve"> </v>
      </c>
      <c r="AL98" t="str">
        <f>AW38</f>
        <v xml:space="preserve"> </v>
      </c>
      <c r="AQ98" t="str">
        <f>AB22</f>
        <v xml:space="preserve"> </v>
      </c>
      <c r="AS98" t="str">
        <f>AB42</f>
        <v xml:space="preserve"> </v>
      </c>
      <c r="AU98" t="str">
        <f>AW22</f>
        <v xml:space="preserve"> </v>
      </c>
      <c r="AW98" t="str">
        <f>AW42</f>
        <v xml:space="preserve"> </v>
      </c>
    </row>
    <row r="99" spans="5:49" s="30" customFormat="1" x14ac:dyDescent="0.25">
      <c r="E99" s="30" t="str">
        <f>AB7</f>
        <v xml:space="preserve"> </v>
      </c>
      <c r="G99" s="30" t="str">
        <f>AB27</f>
        <v xml:space="preserve"> </v>
      </c>
      <c r="I99" s="30" t="str">
        <f>AW7</f>
        <v xml:space="preserve"> </v>
      </c>
      <c r="K99" s="30" t="str">
        <f>AW27</f>
        <v xml:space="preserve"> </v>
      </c>
      <c r="O99" s="30" t="str">
        <f>AB11</f>
        <v xml:space="preserve"> </v>
      </c>
      <c r="Q99" s="30" t="str">
        <f>AB31</f>
        <v xml:space="preserve"> </v>
      </c>
      <c r="S99" s="30" t="str">
        <f>AW11</f>
        <v xml:space="preserve"> </v>
      </c>
      <c r="V99" s="30" t="str">
        <f>AW31</f>
        <v xml:space="preserve"> </v>
      </c>
      <c r="X99" s="30" t="str">
        <f>AB15</f>
        <v xml:space="preserve"> </v>
      </c>
      <c r="Z99" s="30" t="str">
        <f>AB35</f>
        <v xml:space="preserve"> </v>
      </c>
      <c r="AB99" s="30" t="str">
        <f>AW15</f>
        <v xml:space="preserve"> </v>
      </c>
      <c r="AD99" s="30" t="str">
        <f>AW35</f>
        <v xml:space="preserve"> </v>
      </c>
      <c r="AF99" s="30" t="str">
        <f>AB19</f>
        <v xml:space="preserve"> </v>
      </c>
      <c r="AH99" s="30" t="str">
        <f>AB39</f>
        <v xml:space="preserve"> </v>
      </c>
      <c r="AJ99" s="30" t="str">
        <f>AW19</f>
        <v xml:space="preserve"> </v>
      </c>
      <c r="AL99" s="30" t="str">
        <f>AW39</f>
        <v xml:space="preserve"> </v>
      </c>
      <c r="AQ99" s="30" t="str">
        <f>AB23</f>
        <v xml:space="preserve"> </v>
      </c>
      <c r="AS99" s="30" t="str">
        <f>AB43</f>
        <v xml:space="preserve"> </v>
      </c>
      <c r="AU99" s="30" t="str">
        <f>AW23</f>
        <v xml:space="preserve"> </v>
      </c>
      <c r="AW99" s="30" t="str">
        <f>AW43</f>
        <v xml:space="preserve"> </v>
      </c>
    </row>
    <row r="100" spans="5:49" s="25" customFormat="1" x14ac:dyDescent="0.25">
      <c r="E100" s="25" t="str">
        <f>AC4</f>
        <v xml:space="preserve"> </v>
      </c>
      <c r="G100" s="25" t="str">
        <f>AC24</f>
        <v xml:space="preserve"> </v>
      </c>
      <c r="I100" s="25" t="str">
        <f>AX4</f>
        <v xml:space="preserve"> </v>
      </c>
      <c r="K100" s="25" t="str">
        <f>AX24</f>
        <v xml:space="preserve"> </v>
      </c>
      <c r="O100" s="25" t="str">
        <f>AC8</f>
        <v xml:space="preserve"> </v>
      </c>
      <c r="Q100" s="25" t="str">
        <f>AC28</f>
        <v xml:space="preserve"> </v>
      </c>
      <c r="S100" s="25" t="str">
        <f>AX8</f>
        <v xml:space="preserve"> </v>
      </c>
      <c r="V100" s="25" t="str">
        <f>AX28</f>
        <v xml:space="preserve"> </v>
      </c>
      <c r="X100" s="25" t="str">
        <f>AC12</f>
        <v xml:space="preserve"> </v>
      </c>
      <c r="Z100" s="25" t="str">
        <f>AC32</f>
        <v xml:space="preserve"> </v>
      </c>
      <c r="AB100" s="25" t="str">
        <f>AX12</f>
        <v xml:space="preserve"> </v>
      </c>
      <c r="AD100" s="25" t="str">
        <f>AX32</f>
        <v xml:space="preserve"> </v>
      </c>
      <c r="AF100" s="25" t="str">
        <f>AC16</f>
        <v xml:space="preserve"> </v>
      </c>
      <c r="AH100" s="25" t="str">
        <f>AC36</f>
        <v xml:space="preserve"> </v>
      </c>
      <c r="AJ100" s="25" t="str">
        <f>AX16</f>
        <v xml:space="preserve"> </v>
      </c>
      <c r="AL100" s="25" t="str">
        <f>AX36</f>
        <v xml:space="preserve"> </v>
      </c>
      <c r="AQ100" s="25" t="str">
        <f>AC20</f>
        <v xml:space="preserve"> </v>
      </c>
      <c r="AS100" s="25" t="str">
        <f>AC40</f>
        <v xml:space="preserve"> </v>
      </c>
      <c r="AU100" s="25" t="str">
        <f>AX20</f>
        <v xml:space="preserve"> </v>
      </c>
      <c r="AW100" s="25" t="str">
        <f>AX40</f>
        <v xml:space="preserve"> </v>
      </c>
    </row>
    <row r="101" spans="5:49" x14ac:dyDescent="0.25">
      <c r="E101" t="str">
        <f>AC5</f>
        <v xml:space="preserve"> </v>
      </c>
      <c r="G101" t="str">
        <f>AC25</f>
        <v xml:space="preserve"> </v>
      </c>
      <c r="I101" t="str">
        <f>AX5</f>
        <v xml:space="preserve"> </v>
      </c>
      <c r="K101" t="str">
        <f>AX25</f>
        <v xml:space="preserve"> </v>
      </c>
      <c r="O101" t="str">
        <f>AC9</f>
        <v xml:space="preserve"> </v>
      </c>
      <c r="Q101" t="str">
        <f>AC29</f>
        <v xml:space="preserve"> </v>
      </c>
      <c r="S101" t="str">
        <f>AX9</f>
        <v xml:space="preserve"> </v>
      </c>
      <c r="V101" t="str">
        <f>AX29</f>
        <v xml:space="preserve"> </v>
      </c>
      <c r="X101" t="str">
        <f>AC13</f>
        <v xml:space="preserve"> </v>
      </c>
      <c r="Z101" t="str">
        <f>AC33</f>
        <v xml:space="preserve"> </v>
      </c>
      <c r="AB101" t="str">
        <f>AX13</f>
        <v xml:space="preserve"> </v>
      </c>
      <c r="AD101" t="str">
        <f>AX33</f>
        <v xml:space="preserve"> </v>
      </c>
      <c r="AF101" t="str">
        <f>AC17</f>
        <v xml:space="preserve"> </v>
      </c>
      <c r="AH101" t="str">
        <f>AC37</f>
        <v xml:space="preserve"> </v>
      </c>
      <c r="AJ101" t="str">
        <f>AX17</f>
        <v xml:space="preserve"> </v>
      </c>
      <c r="AL101" t="str">
        <f>AX37</f>
        <v xml:space="preserve"> </v>
      </c>
      <c r="AQ101" t="str">
        <f>AC21</f>
        <v xml:space="preserve"> </v>
      </c>
      <c r="AS101" t="str">
        <f>AC41</f>
        <v xml:space="preserve"> </v>
      </c>
      <c r="AU101" t="str">
        <f>AX21</f>
        <v xml:space="preserve"> </v>
      </c>
      <c r="AW101" t="str">
        <f>AX41</f>
        <v xml:space="preserve"> </v>
      </c>
    </row>
    <row r="102" spans="5:49" x14ac:dyDescent="0.25">
      <c r="E102" t="str">
        <f>AC6</f>
        <v xml:space="preserve"> </v>
      </c>
      <c r="G102" t="str">
        <f>AC26</f>
        <v xml:space="preserve"> </v>
      </c>
      <c r="I102" t="str">
        <f>AX6</f>
        <v xml:space="preserve"> </v>
      </c>
      <c r="K102" t="str">
        <f>AX26</f>
        <v xml:space="preserve"> </v>
      </c>
      <c r="O102" t="str">
        <f>AC10</f>
        <v xml:space="preserve"> </v>
      </c>
      <c r="Q102" t="str">
        <f>AC30</f>
        <v xml:space="preserve"> </v>
      </c>
      <c r="S102" t="str">
        <f>AX10</f>
        <v xml:space="preserve"> </v>
      </c>
      <c r="V102" t="str">
        <f>AX30</f>
        <v xml:space="preserve"> </v>
      </c>
      <c r="X102" t="str">
        <f>AC14</f>
        <v xml:space="preserve"> </v>
      </c>
      <c r="Z102" t="str">
        <f>AC34</f>
        <v xml:space="preserve"> </v>
      </c>
      <c r="AB102" t="str">
        <f>AX14</f>
        <v xml:space="preserve"> </v>
      </c>
      <c r="AD102" t="str">
        <f>AX34</f>
        <v xml:space="preserve"> </v>
      </c>
      <c r="AF102" t="str">
        <f>AC18</f>
        <v xml:space="preserve"> </v>
      </c>
      <c r="AH102" t="str">
        <f>AC38</f>
        <v xml:space="preserve"> </v>
      </c>
      <c r="AJ102" t="str">
        <f>AX18</f>
        <v xml:space="preserve"> </v>
      </c>
      <c r="AL102" t="str">
        <f>AX38</f>
        <v xml:space="preserve"> </v>
      </c>
      <c r="AQ102" t="str">
        <f>AC22</f>
        <v xml:space="preserve"> </v>
      </c>
      <c r="AS102" t="str">
        <f>AC42</f>
        <v xml:space="preserve"> </v>
      </c>
      <c r="AU102" t="str">
        <f>AX22</f>
        <v xml:space="preserve"> </v>
      </c>
      <c r="AW102" t="str">
        <f>AX42</f>
        <v xml:space="preserve"> </v>
      </c>
    </row>
    <row r="103" spans="5:49" s="30" customFormat="1" x14ac:dyDescent="0.25">
      <c r="E103" s="30" t="str">
        <f>AC7</f>
        <v xml:space="preserve"> </v>
      </c>
      <c r="G103" s="30" t="str">
        <f>AC27</f>
        <v xml:space="preserve"> </v>
      </c>
      <c r="I103" s="30" t="str">
        <f>AX7</f>
        <v xml:space="preserve"> </v>
      </c>
      <c r="K103" s="30" t="str">
        <f>AX27</f>
        <v xml:space="preserve"> </v>
      </c>
      <c r="O103" s="30" t="str">
        <f>AC11</f>
        <v xml:space="preserve"> </v>
      </c>
      <c r="Q103" s="30" t="str">
        <f>AC31</f>
        <v xml:space="preserve"> </v>
      </c>
      <c r="S103" s="30" t="str">
        <f>AX11</f>
        <v xml:space="preserve"> </v>
      </c>
      <c r="V103" s="30" t="str">
        <f>AX31</f>
        <v xml:space="preserve"> </v>
      </c>
      <c r="X103" s="30" t="str">
        <f>AC15</f>
        <v xml:space="preserve"> </v>
      </c>
      <c r="Z103" s="30" t="str">
        <f>AC35</f>
        <v xml:space="preserve"> </v>
      </c>
      <c r="AB103" s="30" t="str">
        <f>AX15</f>
        <v xml:space="preserve"> </v>
      </c>
      <c r="AD103" s="30" t="str">
        <f>AX35</f>
        <v xml:space="preserve"> </v>
      </c>
      <c r="AF103" s="30" t="str">
        <f>AC19</f>
        <v xml:space="preserve"> </v>
      </c>
      <c r="AH103" s="30" t="str">
        <f>AC39</f>
        <v xml:space="preserve"> </v>
      </c>
      <c r="AJ103" s="30" t="str">
        <f>AX19</f>
        <v xml:space="preserve"> </v>
      </c>
      <c r="AL103" s="30" t="str">
        <f>AX39</f>
        <v xml:space="preserve"> </v>
      </c>
      <c r="AQ103" s="30" t="str">
        <f>AC23</f>
        <v xml:space="preserve"> </v>
      </c>
      <c r="AS103" s="30" t="str">
        <f>AC43</f>
        <v xml:space="preserve"> </v>
      </c>
      <c r="AU103" s="30" t="str">
        <f>AX23</f>
        <v xml:space="preserve"> </v>
      </c>
      <c r="AW103" s="30" t="str">
        <f>AX43</f>
        <v xml:space="preserve"> </v>
      </c>
    </row>
    <row r="104" spans="5:49" s="25" customFormat="1" x14ac:dyDescent="0.25">
      <c r="E104" s="25" t="str">
        <f>AD4</f>
        <v xml:space="preserve"> </v>
      </c>
      <c r="G104" s="25" t="str">
        <f>AD24</f>
        <v xml:space="preserve"> </v>
      </c>
      <c r="I104" s="25" t="str">
        <f>AY4</f>
        <v xml:space="preserve"> </v>
      </c>
      <c r="K104" s="25" t="str">
        <f>AY24</f>
        <v xml:space="preserve"> </v>
      </c>
      <c r="O104" s="25" t="str">
        <f>AD8</f>
        <v xml:space="preserve"> </v>
      </c>
      <c r="Q104" s="25" t="str">
        <f>AD28</f>
        <v xml:space="preserve"> </v>
      </c>
      <c r="S104" s="25" t="str">
        <f>AY8</f>
        <v xml:space="preserve"> </v>
      </c>
      <c r="V104" s="25" t="str">
        <f>AY28</f>
        <v xml:space="preserve"> </v>
      </c>
      <c r="X104" s="25" t="str">
        <f>AD12</f>
        <v xml:space="preserve"> </v>
      </c>
      <c r="Z104" s="25" t="str">
        <f>AD32</f>
        <v xml:space="preserve"> </v>
      </c>
      <c r="AB104" s="25" t="str">
        <f>AY12</f>
        <v xml:space="preserve"> </v>
      </c>
      <c r="AD104" s="25" t="str">
        <f>AY32</f>
        <v xml:space="preserve"> </v>
      </c>
      <c r="AF104" s="25" t="str">
        <f>AD16</f>
        <v xml:space="preserve"> </v>
      </c>
      <c r="AH104" s="25" t="str">
        <f>AD36</f>
        <v xml:space="preserve"> </v>
      </c>
      <c r="AJ104" s="25" t="str">
        <f>AY16</f>
        <v xml:space="preserve"> </v>
      </c>
      <c r="AL104" s="25" t="str">
        <f>AY36</f>
        <v xml:space="preserve"> </v>
      </c>
      <c r="AQ104" s="25" t="str">
        <f>AD20</f>
        <v xml:space="preserve"> </v>
      </c>
      <c r="AS104" s="25" t="str">
        <f>AD40</f>
        <v xml:space="preserve"> </v>
      </c>
      <c r="AU104" s="25" t="str">
        <f>AY20</f>
        <v xml:space="preserve"> </v>
      </c>
      <c r="AW104" s="25" t="str">
        <f>AY40</f>
        <v xml:space="preserve"> </v>
      </c>
    </row>
    <row r="105" spans="5:49" x14ac:dyDescent="0.25">
      <c r="E105" t="str">
        <f>AD5</f>
        <v xml:space="preserve"> </v>
      </c>
      <c r="G105" t="str">
        <f>AD25</f>
        <v xml:space="preserve"> </v>
      </c>
      <c r="I105" t="str">
        <f>AY5</f>
        <v xml:space="preserve"> </v>
      </c>
      <c r="K105" t="str">
        <f>AY25</f>
        <v xml:space="preserve"> </v>
      </c>
      <c r="O105" t="str">
        <f>AD9</f>
        <v xml:space="preserve"> </v>
      </c>
      <c r="Q105" t="str">
        <f>AD29</f>
        <v xml:space="preserve"> </v>
      </c>
      <c r="S105" t="str">
        <f>AY9</f>
        <v xml:space="preserve"> </v>
      </c>
      <c r="V105" t="str">
        <f>AY29</f>
        <v xml:space="preserve"> </v>
      </c>
      <c r="X105" t="str">
        <f>AD13</f>
        <v xml:space="preserve"> </v>
      </c>
      <c r="Z105" t="str">
        <f>AD33</f>
        <v xml:space="preserve"> </v>
      </c>
      <c r="AB105" t="str">
        <f>AY13</f>
        <v xml:space="preserve"> </v>
      </c>
      <c r="AD105" t="str">
        <f>AY33</f>
        <v xml:space="preserve"> </v>
      </c>
      <c r="AF105" t="str">
        <f>AD17</f>
        <v xml:space="preserve"> </v>
      </c>
      <c r="AH105" t="str">
        <f>AD37</f>
        <v xml:space="preserve"> </v>
      </c>
      <c r="AJ105" t="str">
        <f>AY17</f>
        <v xml:space="preserve"> </v>
      </c>
      <c r="AL105" t="str">
        <f>AY37</f>
        <v xml:space="preserve"> </v>
      </c>
      <c r="AQ105" t="str">
        <f>AD21</f>
        <v xml:space="preserve"> </v>
      </c>
      <c r="AS105" t="str">
        <f>AD41</f>
        <v xml:space="preserve"> </v>
      </c>
      <c r="AU105" t="str">
        <f>AY21</f>
        <v xml:space="preserve"> </v>
      </c>
      <c r="AW105" t="str">
        <f>AY41</f>
        <v xml:space="preserve"> </v>
      </c>
    </row>
    <row r="106" spans="5:49" x14ac:dyDescent="0.25">
      <c r="E106" t="str">
        <f>AD6</f>
        <v xml:space="preserve"> </v>
      </c>
      <c r="G106" t="str">
        <f>AD26</f>
        <v xml:space="preserve"> </v>
      </c>
      <c r="I106" t="str">
        <f>AY6</f>
        <v xml:space="preserve"> </v>
      </c>
      <c r="K106" t="str">
        <f>AY26</f>
        <v xml:space="preserve"> </v>
      </c>
      <c r="O106" t="str">
        <f>AD10</f>
        <v xml:space="preserve"> </v>
      </c>
      <c r="Q106" t="str">
        <f>AD30</f>
        <v xml:space="preserve"> </v>
      </c>
      <c r="S106" t="str">
        <f>AY10</f>
        <v xml:space="preserve"> </v>
      </c>
      <c r="V106" t="str">
        <f>AY30</f>
        <v xml:space="preserve"> </v>
      </c>
      <c r="X106" t="str">
        <f>AD14</f>
        <v xml:space="preserve"> </v>
      </c>
      <c r="Z106" t="str">
        <f>AD34</f>
        <v xml:space="preserve"> </v>
      </c>
      <c r="AB106" t="str">
        <f>AY14</f>
        <v xml:space="preserve"> </v>
      </c>
      <c r="AD106" t="str">
        <f>AY34</f>
        <v xml:space="preserve"> </v>
      </c>
      <c r="AF106" t="str">
        <f>AD18</f>
        <v xml:space="preserve"> </v>
      </c>
      <c r="AH106" t="str">
        <f>AD38</f>
        <v xml:space="preserve"> </v>
      </c>
      <c r="AJ106" t="str">
        <f>AY18</f>
        <v xml:space="preserve"> </v>
      </c>
      <c r="AL106" t="str">
        <f>AY38</f>
        <v xml:space="preserve"> </v>
      </c>
      <c r="AQ106" t="str">
        <f>AD22</f>
        <v xml:space="preserve"> </v>
      </c>
      <c r="AS106" t="str">
        <f>AD42</f>
        <v xml:space="preserve"> </v>
      </c>
      <c r="AU106" t="str">
        <f>AY22</f>
        <v xml:space="preserve"> </v>
      </c>
      <c r="AW106" t="str">
        <f>AY42</f>
        <v xml:space="preserve"> </v>
      </c>
    </row>
    <row r="107" spans="5:49" s="30" customFormat="1" x14ac:dyDescent="0.25">
      <c r="E107" s="30" t="str">
        <f>AD7</f>
        <v xml:space="preserve"> </v>
      </c>
      <c r="G107" s="30" t="str">
        <f>AD27</f>
        <v xml:space="preserve"> </v>
      </c>
      <c r="I107" s="30" t="str">
        <f>AY7</f>
        <v xml:space="preserve"> </v>
      </c>
      <c r="K107" s="30" t="str">
        <f>AY27</f>
        <v xml:space="preserve"> </v>
      </c>
      <c r="O107" s="30" t="str">
        <f>AD11</f>
        <v xml:space="preserve"> </v>
      </c>
      <c r="Q107" s="30" t="str">
        <f>AD31</f>
        <v xml:space="preserve"> </v>
      </c>
      <c r="S107" s="30" t="str">
        <f>AY11</f>
        <v xml:space="preserve"> </v>
      </c>
      <c r="V107" s="30" t="str">
        <f>AY31</f>
        <v xml:space="preserve"> </v>
      </c>
      <c r="X107" s="30" t="str">
        <f>AD15</f>
        <v xml:space="preserve"> </v>
      </c>
      <c r="Z107" s="30" t="str">
        <f>AD35</f>
        <v xml:space="preserve"> </v>
      </c>
      <c r="AB107" s="30" t="str">
        <f>AY15</f>
        <v xml:space="preserve"> </v>
      </c>
      <c r="AD107" s="30" t="str">
        <f>AY35</f>
        <v xml:space="preserve"> </v>
      </c>
      <c r="AF107" s="30" t="str">
        <f>AD19</f>
        <v xml:space="preserve"> </v>
      </c>
      <c r="AH107" s="30" t="str">
        <f>AD39</f>
        <v xml:space="preserve"> </v>
      </c>
      <c r="AJ107" s="30" t="str">
        <f>AY19</f>
        <v xml:space="preserve"> </v>
      </c>
      <c r="AL107" s="30" t="str">
        <f>AY39</f>
        <v xml:space="preserve"> </v>
      </c>
      <c r="AQ107" s="30" t="str">
        <f>AD23</f>
        <v xml:space="preserve"> </v>
      </c>
      <c r="AS107" s="30" t="str">
        <f>AD43</f>
        <v xml:space="preserve"> </v>
      </c>
      <c r="AU107" s="30" t="str">
        <f>AY23</f>
        <v xml:space="preserve"> </v>
      </c>
      <c r="AW107" s="30" t="str">
        <f>AY43</f>
        <v xml:space="preserve"> </v>
      </c>
    </row>
    <row r="108" spans="5:49" s="25" customFormat="1" x14ac:dyDescent="0.25">
      <c r="E108" s="25" t="str">
        <f>AE4</f>
        <v xml:space="preserve"> </v>
      </c>
      <c r="G108" s="25" t="str">
        <f>AE24</f>
        <v xml:space="preserve"> </v>
      </c>
      <c r="I108" s="25" t="str">
        <f>AZ4</f>
        <v xml:space="preserve"> </v>
      </c>
      <c r="K108" s="25" t="str">
        <f>AZ24</f>
        <v xml:space="preserve"> </v>
      </c>
      <c r="O108" s="25" t="str">
        <f>AE8</f>
        <v xml:space="preserve"> </v>
      </c>
      <c r="Q108" s="25" t="str">
        <f>AE28</f>
        <v xml:space="preserve"> </v>
      </c>
      <c r="S108" s="25" t="str">
        <f>AZ8</f>
        <v xml:space="preserve"> </v>
      </c>
      <c r="V108" s="25" t="str">
        <f>AZ28</f>
        <v xml:space="preserve"> </v>
      </c>
      <c r="X108" s="25" t="str">
        <f>AE12</f>
        <v xml:space="preserve"> </v>
      </c>
      <c r="Z108" s="25" t="str">
        <f>AE32</f>
        <v xml:space="preserve"> </v>
      </c>
      <c r="AB108" s="25" t="str">
        <f>AZ12</f>
        <v xml:space="preserve"> </v>
      </c>
      <c r="AD108" s="25" t="str">
        <f>AZ32</f>
        <v xml:space="preserve"> </v>
      </c>
      <c r="AF108" s="25" t="str">
        <f>AE16</f>
        <v xml:space="preserve"> </v>
      </c>
      <c r="AH108" s="25" t="str">
        <f>AE36</f>
        <v xml:space="preserve"> </v>
      </c>
      <c r="AJ108" s="25" t="str">
        <f>AZ16</f>
        <v xml:space="preserve"> </v>
      </c>
      <c r="AL108" s="25" t="str">
        <f>AZ36</f>
        <v xml:space="preserve"> </v>
      </c>
      <c r="AQ108" s="25" t="str">
        <f>AE20</f>
        <v xml:space="preserve"> </v>
      </c>
      <c r="AS108" s="25" t="str">
        <f>AE40</f>
        <v xml:space="preserve"> </v>
      </c>
      <c r="AU108" s="25" t="str">
        <f>AZ20</f>
        <v xml:space="preserve"> </v>
      </c>
      <c r="AW108" s="25" t="str">
        <f>AZ40</f>
        <v xml:space="preserve"> </v>
      </c>
    </row>
    <row r="109" spans="5:49" x14ac:dyDescent="0.25">
      <c r="E109" t="str">
        <f>AE5</f>
        <v xml:space="preserve"> </v>
      </c>
      <c r="G109" t="str">
        <f>AE25</f>
        <v xml:space="preserve"> </v>
      </c>
      <c r="I109" t="str">
        <f>AZ5</f>
        <v xml:space="preserve"> </v>
      </c>
      <c r="K109" t="str">
        <f>AZ25</f>
        <v xml:space="preserve"> </v>
      </c>
      <c r="O109" t="str">
        <f>AE9</f>
        <v xml:space="preserve"> </v>
      </c>
      <c r="Q109" t="str">
        <f>AE29</f>
        <v xml:space="preserve"> </v>
      </c>
      <c r="S109" t="str">
        <f>AZ9</f>
        <v xml:space="preserve"> </v>
      </c>
      <c r="V109" t="str">
        <f>AZ29</f>
        <v xml:space="preserve"> </v>
      </c>
      <c r="X109" t="str">
        <f>AE13</f>
        <v xml:space="preserve"> </v>
      </c>
      <c r="Z109" t="str">
        <f>AE33</f>
        <v xml:space="preserve"> </v>
      </c>
      <c r="AB109" t="str">
        <f>AZ13</f>
        <v xml:space="preserve"> </v>
      </c>
      <c r="AD109" t="str">
        <f>AZ33</f>
        <v xml:space="preserve"> </v>
      </c>
      <c r="AF109" t="str">
        <f>AE17</f>
        <v xml:space="preserve"> </v>
      </c>
      <c r="AH109" t="str">
        <f>AE37</f>
        <v xml:space="preserve"> </v>
      </c>
      <c r="AJ109" t="str">
        <f>AZ17</f>
        <v xml:space="preserve"> </v>
      </c>
      <c r="AL109" t="str">
        <f>AZ37</f>
        <v xml:space="preserve"> </v>
      </c>
      <c r="AQ109" t="str">
        <f>AE21</f>
        <v xml:space="preserve"> </v>
      </c>
      <c r="AS109" t="str">
        <f>AE41</f>
        <v xml:space="preserve"> </v>
      </c>
      <c r="AU109" t="str">
        <f>AZ21</f>
        <v xml:space="preserve"> </v>
      </c>
      <c r="AW109" t="str">
        <f>AZ41</f>
        <v xml:space="preserve"> </v>
      </c>
    </row>
    <row r="110" spans="5:49" x14ac:dyDescent="0.25">
      <c r="E110" t="str">
        <f>AE6</f>
        <v xml:space="preserve"> </v>
      </c>
      <c r="G110" t="str">
        <f>AE26</f>
        <v xml:space="preserve"> </v>
      </c>
      <c r="I110" t="str">
        <f>AZ6</f>
        <v xml:space="preserve"> </v>
      </c>
      <c r="K110" t="str">
        <f>AZ26</f>
        <v xml:space="preserve"> </v>
      </c>
      <c r="O110" t="str">
        <f>AE10</f>
        <v xml:space="preserve"> </v>
      </c>
      <c r="Q110" t="str">
        <f>AE30</f>
        <v xml:space="preserve"> </v>
      </c>
      <c r="S110" t="str">
        <f>AZ10</f>
        <v xml:space="preserve"> </v>
      </c>
      <c r="V110" t="str">
        <f>AZ30</f>
        <v xml:space="preserve"> </v>
      </c>
      <c r="X110" t="str">
        <f>AE14</f>
        <v xml:space="preserve"> </v>
      </c>
      <c r="Z110" t="str">
        <f>AE34</f>
        <v xml:space="preserve"> </v>
      </c>
      <c r="AB110" t="str">
        <f>AZ14</f>
        <v xml:space="preserve"> </v>
      </c>
      <c r="AD110" t="str">
        <f>AZ34</f>
        <v xml:space="preserve"> </v>
      </c>
      <c r="AF110" t="str">
        <f>AE18</f>
        <v xml:space="preserve"> </v>
      </c>
      <c r="AH110" t="str">
        <f>AE38</f>
        <v xml:space="preserve"> </v>
      </c>
      <c r="AJ110" t="str">
        <f>AZ18</f>
        <v xml:space="preserve"> </v>
      </c>
      <c r="AL110" t="str">
        <f>AZ38</f>
        <v xml:space="preserve"> </v>
      </c>
      <c r="AQ110" t="str">
        <f>AE22</f>
        <v xml:space="preserve"> </v>
      </c>
      <c r="AS110" t="str">
        <f>AE42</f>
        <v xml:space="preserve"> </v>
      </c>
      <c r="AU110" t="str">
        <f>AZ22</f>
        <v xml:space="preserve"> </v>
      </c>
      <c r="AW110" t="str">
        <f>AZ42</f>
        <v xml:space="preserve"> </v>
      </c>
    </row>
    <row r="111" spans="5:49" s="30" customFormat="1" x14ac:dyDescent="0.25">
      <c r="E111" s="30" t="str">
        <f>AE7</f>
        <v xml:space="preserve"> </v>
      </c>
      <c r="G111" s="30" t="str">
        <f>AE27</f>
        <v xml:space="preserve"> </v>
      </c>
      <c r="I111" s="30" t="str">
        <f>AZ7</f>
        <v xml:space="preserve"> </v>
      </c>
      <c r="K111" s="30" t="str">
        <f>AZ27</f>
        <v xml:space="preserve"> </v>
      </c>
      <c r="O111" s="30" t="str">
        <f>AE11</f>
        <v xml:space="preserve"> </v>
      </c>
      <c r="Q111" s="30" t="str">
        <f>AE31</f>
        <v xml:space="preserve"> </v>
      </c>
      <c r="S111" s="30" t="str">
        <f>AZ11</f>
        <v xml:space="preserve"> </v>
      </c>
      <c r="V111" s="30" t="str">
        <f>AZ31</f>
        <v xml:space="preserve"> </v>
      </c>
      <c r="X111" s="30" t="str">
        <f>AE15</f>
        <v xml:space="preserve"> </v>
      </c>
      <c r="Z111" s="30" t="str">
        <f>AE35</f>
        <v xml:space="preserve"> </v>
      </c>
      <c r="AB111" s="30" t="str">
        <f>AZ15</f>
        <v xml:space="preserve"> </v>
      </c>
      <c r="AD111" s="30" t="str">
        <f>AZ35</f>
        <v xml:space="preserve"> </v>
      </c>
      <c r="AF111" s="30" t="str">
        <f>AE19</f>
        <v xml:space="preserve"> </v>
      </c>
      <c r="AH111" s="30" t="str">
        <f>AE39</f>
        <v xml:space="preserve"> </v>
      </c>
      <c r="AJ111" s="30" t="str">
        <f>AZ19</f>
        <v xml:space="preserve"> </v>
      </c>
      <c r="AL111" s="30" t="str">
        <f>AZ39</f>
        <v xml:space="preserve"> </v>
      </c>
      <c r="AQ111" s="30" t="str">
        <f>AE23</f>
        <v xml:space="preserve"> </v>
      </c>
      <c r="AS111" s="30" t="str">
        <f>AE43</f>
        <v xml:space="preserve"> </v>
      </c>
      <c r="AU111" s="30" t="str">
        <f>AZ23</f>
        <v xml:space="preserve"> </v>
      </c>
      <c r="AW111" s="30" t="str">
        <f>AZ43</f>
        <v xml:space="preserve"> </v>
      </c>
    </row>
    <row r="112" spans="5:49" s="25" customFormat="1" x14ac:dyDescent="0.25">
      <c r="E112" s="25" t="str">
        <f>AF4</f>
        <v xml:space="preserve"> </v>
      </c>
      <c r="G112" s="25" t="str">
        <f>AF24</f>
        <v xml:space="preserve"> </v>
      </c>
      <c r="I112" s="25" t="str">
        <f>BA4</f>
        <v xml:space="preserve"> </v>
      </c>
      <c r="K112" s="25" t="str">
        <f>BA24</f>
        <v xml:space="preserve"> </v>
      </c>
      <c r="O112" s="25" t="str">
        <f>AF8</f>
        <v xml:space="preserve"> </v>
      </c>
      <c r="Q112" s="25" t="str">
        <f>AF28</f>
        <v xml:space="preserve"> </v>
      </c>
      <c r="S112" s="25" t="str">
        <f>BA8</f>
        <v xml:space="preserve"> </v>
      </c>
      <c r="V112" s="25" t="str">
        <f>BA28</f>
        <v xml:space="preserve"> </v>
      </c>
      <c r="X112" s="25" t="str">
        <f>AF12</f>
        <v xml:space="preserve"> </v>
      </c>
      <c r="Z112" s="25" t="str">
        <f>AF32</f>
        <v xml:space="preserve"> </v>
      </c>
      <c r="AB112" s="25" t="str">
        <f>BA12</f>
        <v xml:space="preserve"> </v>
      </c>
      <c r="AD112" s="25" t="str">
        <f>BA32</f>
        <v xml:space="preserve"> </v>
      </c>
      <c r="AF112" s="25" t="str">
        <f>AF16</f>
        <v xml:space="preserve"> </v>
      </c>
      <c r="AH112" s="25" t="str">
        <f>AF36</f>
        <v xml:space="preserve"> </v>
      </c>
      <c r="AJ112" s="25" t="str">
        <f>BA16</f>
        <v xml:space="preserve"> </v>
      </c>
      <c r="AL112" s="25" t="str">
        <f>BA36</f>
        <v xml:space="preserve"> </v>
      </c>
      <c r="AQ112" s="25" t="str">
        <f>AF20</f>
        <v xml:space="preserve"> </v>
      </c>
      <c r="AS112" s="25" t="str">
        <f>AF40</f>
        <v xml:space="preserve"> </v>
      </c>
      <c r="AU112" s="25" t="str">
        <f>BA20</f>
        <v xml:space="preserve"> </v>
      </c>
      <c r="AW112" s="25" t="str">
        <f>BA40</f>
        <v xml:space="preserve"> </v>
      </c>
    </row>
    <row r="113" spans="5:49" x14ac:dyDescent="0.25">
      <c r="E113" t="str">
        <f>AF5</f>
        <v xml:space="preserve"> </v>
      </c>
      <c r="G113" t="str">
        <f>AF25</f>
        <v xml:space="preserve"> </v>
      </c>
      <c r="I113" t="str">
        <f>BA5</f>
        <v xml:space="preserve"> </v>
      </c>
      <c r="K113" t="str">
        <f>BA25</f>
        <v xml:space="preserve"> </v>
      </c>
      <c r="O113" t="str">
        <f>AF9</f>
        <v xml:space="preserve"> </v>
      </c>
      <c r="Q113" t="str">
        <f>AF29</f>
        <v xml:space="preserve"> </v>
      </c>
      <c r="S113" t="str">
        <f>BA9</f>
        <v xml:space="preserve"> </v>
      </c>
      <c r="V113" t="str">
        <f>BA29</f>
        <v xml:space="preserve"> </v>
      </c>
      <c r="X113" t="str">
        <f>AF13</f>
        <v xml:space="preserve"> </v>
      </c>
      <c r="Z113" t="str">
        <f>AF33</f>
        <v xml:space="preserve"> </v>
      </c>
      <c r="AB113" t="str">
        <f>BA13</f>
        <v xml:space="preserve"> </v>
      </c>
      <c r="AD113" t="str">
        <f>BA33</f>
        <v xml:space="preserve"> </v>
      </c>
      <c r="AF113" t="str">
        <f>AF17</f>
        <v xml:space="preserve"> </v>
      </c>
      <c r="AH113" t="str">
        <f>AF37</f>
        <v xml:space="preserve"> </v>
      </c>
      <c r="AJ113" t="str">
        <f>BA17</f>
        <v xml:space="preserve"> </v>
      </c>
      <c r="AL113" t="str">
        <f>BA37</f>
        <v xml:space="preserve"> </v>
      </c>
      <c r="AQ113" t="str">
        <f>AF21</f>
        <v xml:space="preserve"> </v>
      </c>
      <c r="AS113" t="str">
        <f>AF41</f>
        <v xml:space="preserve"> </v>
      </c>
      <c r="AU113" t="str">
        <f>BA21</f>
        <v xml:space="preserve"> </v>
      </c>
      <c r="AW113" t="str">
        <f>BA41</f>
        <v xml:space="preserve"> </v>
      </c>
    </row>
    <row r="114" spans="5:49" x14ac:dyDescent="0.25">
      <c r="E114" t="str">
        <f>AF6</f>
        <v xml:space="preserve"> </v>
      </c>
      <c r="G114" t="str">
        <f>AF26</f>
        <v xml:space="preserve"> </v>
      </c>
      <c r="I114" t="str">
        <f>BA6</f>
        <v xml:space="preserve"> </v>
      </c>
      <c r="K114" t="str">
        <f>BA26</f>
        <v xml:space="preserve"> </v>
      </c>
      <c r="O114" t="str">
        <f>AF10</f>
        <v xml:space="preserve"> </v>
      </c>
      <c r="Q114" t="str">
        <f>AF30</f>
        <v xml:space="preserve"> </v>
      </c>
      <c r="S114" t="str">
        <f>BA10</f>
        <v xml:space="preserve"> </v>
      </c>
      <c r="V114" t="str">
        <f>BA30</f>
        <v xml:space="preserve"> </v>
      </c>
      <c r="X114" t="str">
        <f>AF14</f>
        <v xml:space="preserve"> </v>
      </c>
      <c r="Z114" t="str">
        <f>AF34</f>
        <v xml:space="preserve"> </v>
      </c>
      <c r="AB114" t="str">
        <f>BA14</f>
        <v xml:space="preserve"> </v>
      </c>
      <c r="AD114" t="str">
        <f>BA34</f>
        <v xml:space="preserve"> </v>
      </c>
      <c r="AF114" t="str">
        <f>AF18</f>
        <v xml:space="preserve"> </v>
      </c>
      <c r="AH114" t="str">
        <f>AF38</f>
        <v xml:space="preserve"> </v>
      </c>
      <c r="AJ114" t="str">
        <f>BA18</f>
        <v xml:space="preserve"> </v>
      </c>
      <c r="AL114" t="str">
        <f>BA38</f>
        <v xml:space="preserve"> </v>
      </c>
      <c r="AQ114" t="str">
        <f>AF22</f>
        <v xml:space="preserve"> </v>
      </c>
      <c r="AS114" t="str">
        <f>AF42</f>
        <v xml:space="preserve"> </v>
      </c>
      <c r="AU114" t="str">
        <f>BA22</f>
        <v xml:space="preserve"> </v>
      </c>
      <c r="AW114" t="str">
        <f>BA42</f>
        <v xml:space="preserve"> </v>
      </c>
    </row>
    <row r="115" spans="5:49" s="30" customFormat="1" x14ac:dyDescent="0.25">
      <c r="E115" s="30" t="str">
        <f>AF7</f>
        <v xml:space="preserve"> </v>
      </c>
      <c r="G115" s="30" t="str">
        <f>AF27</f>
        <v xml:space="preserve"> </v>
      </c>
      <c r="I115" s="30" t="str">
        <f>BA7</f>
        <v xml:space="preserve"> </v>
      </c>
      <c r="K115" s="30" t="str">
        <f>BA27</f>
        <v xml:space="preserve"> </v>
      </c>
      <c r="O115" s="30" t="str">
        <f>AF11</f>
        <v xml:space="preserve"> </v>
      </c>
      <c r="Q115" s="30" t="str">
        <f>AF31</f>
        <v xml:space="preserve"> </v>
      </c>
      <c r="S115" s="30" t="str">
        <f>BA11</f>
        <v xml:space="preserve"> </v>
      </c>
      <c r="V115" s="30" t="str">
        <f>BA31</f>
        <v xml:space="preserve"> </v>
      </c>
      <c r="X115" s="30" t="str">
        <f>AF15</f>
        <v xml:space="preserve"> </v>
      </c>
      <c r="Z115" s="30" t="str">
        <f>AF35</f>
        <v xml:space="preserve"> </v>
      </c>
      <c r="AB115" s="30" t="str">
        <f>BA15</f>
        <v xml:space="preserve"> </v>
      </c>
      <c r="AD115" s="30" t="str">
        <f>BA35</f>
        <v xml:space="preserve"> </v>
      </c>
      <c r="AF115" s="30" t="str">
        <f>AF19</f>
        <v xml:space="preserve"> </v>
      </c>
      <c r="AH115" s="30" t="str">
        <f>AF39</f>
        <v xml:space="preserve"> </v>
      </c>
      <c r="AJ115" s="30" t="str">
        <f>BA19</f>
        <v xml:space="preserve"> </v>
      </c>
      <c r="AL115" s="30" t="str">
        <f>BA39</f>
        <v xml:space="preserve"> </v>
      </c>
      <c r="AQ115" s="30" t="str">
        <f>AF23</f>
        <v xml:space="preserve"> </v>
      </c>
      <c r="AS115" s="30" t="str">
        <f>AF43</f>
        <v xml:space="preserve"> </v>
      </c>
      <c r="AU115" s="30" t="str">
        <f>BA23</f>
        <v xml:space="preserve"> </v>
      </c>
      <c r="AW115" s="30" t="str">
        <f>BA43</f>
        <v xml:space="preserve"> </v>
      </c>
    </row>
    <row r="116" spans="5:49" s="25" customFormat="1" x14ac:dyDescent="0.25">
      <c r="E116" s="25" t="str">
        <f>AG4</f>
        <v xml:space="preserve"> </v>
      </c>
      <c r="G116" s="25" t="str">
        <f>AG24</f>
        <v xml:space="preserve"> </v>
      </c>
      <c r="I116" s="25" t="str">
        <f>BB4</f>
        <v xml:space="preserve"> </v>
      </c>
      <c r="K116" s="25" t="str">
        <f>BB24</f>
        <v xml:space="preserve"> </v>
      </c>
      <c r="O116" s="25" t="str">
        <f>AG8</f>
        <v xml:space="preserve"> </v>
      </c>
      <c r="Q116" s="25" t="str">
        <f>AG28</f>
        <v xml:space="preserve"> </v>
      </c>
      <c r="S116" s="25" t="str">
        <f>BB8</f>
        <v xml:space="preserve"> </v>
      </c>
      <c r="V116" s="25" t="str">
        <f>BB28</f>
        <v xml:space="preserve"> </v>
      </c>
      <c r="X116" s="25" t="str">
        <f>AG12</f>
        <v xml:space="preserve"> </v>
      </c>
      <c r="Z116" s="25" t="str">
        <f>AG32</f>
        <v xml:space="preserve"> </v>
      </c>
      <c r="AB116" s="25" t="str">
        <f>BB12</f>
        <v xml:space="preserve"> </v>
      </c>
      <c r="AD116" s="25" t="str">
        <f>BB32</f>
        <v xml:space="preserve"> </v>
      </c>
      <c r="AF116" s="25" t="str">
        <f>AG16</f>
        <v xml:space="preserve"> </v>
      </c>
      <c r="AH116" s="25" t="str">
        <f>AG36</f>
        <v xml:space="preserve"> </v>
      </c>
      <c r="AJ116" s="25" t="str">
        <f>BB16</f>
        <v xml:space="preserve"> </v>
      </c>
      <c r="AL116" s="25" t="str">
        <f>BB36</f>
        <v xml:space="preserve"> </v>
      </c>
      <c r="AQ116" s="25" t="str">
        <f>AG20</f>
        <v xml:space="preserve"> </v>
      </c>
      <c r="AS116" s="25" t="str">
        <f>AG40</f>
        <v xml:space="preserve"> </v>
      </c>
      <c r="AU116" s="25" t="str">
        <f>BB20</f>
        <v xml:space="preserve"> </v>
      </c>
      <c r="AW116" s="25" t="str">
        <f>BB40</f>
        <v xml:space="preserve"> </v>
      </c>
    </row>
    <row r="117" spans="5:49" x14ac:dyDescent="0.25">
      <c r="E117" t="str">
        <f>AG5</f>
        <v xml:space="preserve"> </v>
      </c>
      <c r="G117" t="str">
        <f>AG25</f>
        <v xml:space="preserve"> </v>
      </c>
      <c r="I117" t="str">
        <f>BB5</f>
        <v xml:space="preserve"> </v>
      </c>
      <c r="K117" t="str">
        <f>BB25</f>
        <v xml:space="preserve"> </v>
      </c>
      <c r="O117" t="str">
        <f>AG9</f>
        <v xml:space="preserve"> </v>
      </c>
      <c r="Q117" t="str">
        <f>AG29</f>
        <v xml:space="preserve"> </v>
      </c>
      <c r="S117" t="str">
        <f>BB9</f>
        <v xml:space="preserve"> </v>
      </c>
      <c r="V117" t="str">
        <f>BB29</f>
        <v xml:space="preserve"> </v>
      </c>
      <c r="X117" t="str">
        <f>AG13</f>
        <v xml:space="preserve"> </v>
      </c>
      <c r="Z117" t="str">
        <f>AG33</f>
        <v xml:space="preserve"> </v>
      </c>
      <c r="AB117" t="str">
        <f>BB13</f>
        <v xml:space="preserve"> </v>
      </c>
      <c r="AD117" t="str">
        <f>BB33</f>
        <v xml:space="preserve"> </v>
      </c>
      <c r="AF117" t="str">
        <f>AG17</f>
        <v xml:space="preserve"> </v>
      </c>
      <c r="AH117" t="str">
        <f>AG37</f>
        <v xml:space="preserve"> </v>
      </c>
      <c r="AJ117" t="str">
        <f>BB17</f>
        <v xml:space="preserve"> </v>
      </c>
      <c r="AL117" t="str">
        <f>BB37</f>
        <v xml:space="preserve"> </v>
      </c>
      <c r="AQ117" t="str">
        <f>AG21</f>
        <v xml:space="preserve"> </v>
      </c>
      <c r="AS117" t="str">
        <f>AG41</f>
        <v xml:space="preserve"> </v>
      </c>
      <c r="AU117" t="str">
        <f>BB21</f>
        <v xml:space="preserve"> </v>
      </c>
      <c r="AW117" t="str">
        <f>BB41</f>
        <v xml:space="preserve"> </v>
      </c>
    </row>
    <row r="118" spans="5:49" x14ac:dyDescent="0.25">
      <c r="E118" t="str">
        <f>AG6</f>
        <v xml:space="preserve"> </v>
      </c>
      <c r="G118" t="str">
        <f>AG26</f>
        <v xml:space="preserve"> </v>
      </c>
      <c r="I118" t="str">
        <f>BB6</f>
        <v xml:space="preserve"> </v>
      </c>
      <c r="K118" t="str">
        <f>BB26</f>
        <v xml:space="preserve"> </v>
      </c>
      <c r="O118" t="str">
        <f>AG10</f>
        <v xml:space="preserve"> </v>
      </c>
      <c r="Q118" t="str">
        <f>AG30</f>
        <v xml:space="preserve"> </v>
      </c>
      <c r="S118" t="str">
        <f>BB10</f>
        <v xml:space="preserve"> </v>
      </c>
      <c r="V118" t="str">
        <f>BB30</f>
        <v xml:space="preserve"> </v>
      </c>
      <c r="X118" t="str">
        <f>AG14</f>
        <v xml:space="preserve"> </v>
      </c>
      <c r="Z118" t="str">
        <f>AG34</f>
        <v xml:space="preserve"> </v>
      </c>
      <c r="AB118" t="str">
        <f>BB14</f>
        <v xml:space="preserve"> </v>
      </c>
      <c r="AD118" t="str">
        <f>BB34</f>
        <v xml:space="preserve"> </v>
      </c>
      <c r="AF118" t="str">
        <f>AG18</f>
        <v xml:space="preserve"> </v>
      </c>
      <c r="AH118" t="str">
        <f>AG38</f>
        <v xml:space="preserve"> </v>
      </c>
      <c r="AJ118" t="str">
        <f>BB18</f>
        <v xml:space="preserve"> </v>
      </c>
      <c r="AL118" t="str">
        <f>BB38</f>
        <v xml:space="preserve"> </v>
      </c>
      <c r="AQ118" t="str">
        <f>AG22</f>
        <v xml:space="preserve"> </v>
      </c>
      <c r="AS118" t="str">
        <f>AG42</f>
        <v xml:space="preserve"> </v>
      </c>
      <c r="AU118" t="str">
        <f>BB22</f>
        <v xml:space="preserve"> </v>
      </c>
      <c r="AW118" t="str">
        <f>BB42</f>
        <v xml:space="preserve"> </v>
      </c>
    </row>
    <row r="119" spans="5:49" s="30" customFormat="1" x14ac:dyDescent="0.25">
      <c r="E119" s="30" t="str">
        <f>AG7</f>
        <v xml:space="preserve"> </v>
      </c>
      <c r="G119" s="30" t="str">
        <f>AG27</f>
        <v xml:space="preserve"> </v>
      </c>
      <c r="I119" s="30" t="str">
        <f>BB7</f>
        <v xml:space="preserve"> </v>
      </c>
      <c r="K119" s="30" t="str">
        <f>BB27</f>
        <v xml:space="preserve"> </v>
      </c>
      <c r="O119" s="30" t="str">
        <f>AG11</f>
        <v xml:space="preserve"> </v>
      </c>
      <c r="Q119" s="30" t="str">
        <f>AG31</f>
        <v xml:space="preserve"> </v>
      </c>
      <c r="S119" s="30" t="str">
        <f>BB11</f>
        <v xml:space="preserve"> </v>
      </c>
      <c r="V119" s="30" t="str">
        <f>BB31</f>
        <v xml:space="preserve"> </v>
      </c>
      <c r="X119" s="30" t="str">
        <f>AG15</f>
        <v xml:space="preserve"> </v>
      </c>
      <c r="Z119" s="30" t="str">
        <f>AG35</f>
        <v xml:space="preserve"> </v>
      </c>
      <c r="AB119" s="30" t="str">
        <f>BB15</f>
        <v xml:space="preserve"> </v>
      </c>
      <c r="AD119" s="30" t="str">
        <f>BB35</f>
        <v xml:space="preserve"> </v>
      </c>
      <c r="AF119" s="30" t="str">
        <f>AG19</f>
        <v xml:space="preserve"> </v>
      </c>
      <c r="AH119" s="30" t="str">
        <f>AG39</f>
        <v xml:space="preserve"> </v>
      </c>
      <c r="AJ119" s="30" t="str">
        <f>BB19</f>
        <v xml:space="preserve"> </v>
      </c>
      <c r="AL119" s="30" t="str">
        <f>BB39</f>
        <v xml:space="preserve"> </v>
      </c>
      <c r="AQ119" s="30" t="str">
        <f>AG23</f>
        <v xml:space="preserve"> </v>
      </c>
      <c r="AS119" s="30" t="str">
        <f>AG43</f>
        <v xml:space="preserve"> </v>
      </c>
      <c r="AU119" s="30" t="str">
        <f>BB23</f>
        <v xml:space="preserve"> </v>
      </c>
      <c r="AW119" s="30" t="str">
        <f>BB43</f>
        <v xml:space="preserve"> </v>
      </c>
    </row>
    <row r="120" spans="5:49" s="25" customFormat="1" x14ac:dyDescent="0.25">
      <c r="E120" s="25" t="str">
        <f>AH4</f>
        <v xml:space="preserve"> </v>
      </c>
      <c r="G120" s="25" t="str">
        <f>AH24</f>
        <v xml:space="preserve"> </v>
      </c>
      <c r="I120" s="25" t="str">
        <f>BC4</f>
        <v xml:space="preserve"> </v>
      </c>
      <c r="K120" s="25" t="str">
        <f>BC24</f>
        <v xml:space="preserve"> </v>
      </c>
      <c r="O120" s="25" t="str">
        <f>AH8</f>
        <v xml:space="preserve"> </v>
      </c>
      <c r="Q120" s="25" t="str">
        <f>AH28</f>
        <v xml:space="preserve"> </v>
      </c>
      <c r="S120" s="25" t="str">
        <f>BC8</f>
        <v xml:space="preserve"> </v>
      </c>
      <c r="V120" s="25" t="str">
        <f>BC28</f>
        <v xml:space="preserve"> </v>
      </c>
      <c r="X120" s="25" t="str">
        <f>AH12</f>
        <v xml:space="preserve"> </v>
      </c>
      <c r="Z120" s="25" t="str">
        <f>AH32</f>
        <v xml:space="preserve"> </v>
      </c>
      <c r="AB120" s="25" t="str">
        <f>BC12</f>
        <v xml:space="preserve"> </v>
      </c>
      <c r="AD120" s="25" t="str">
        <f>BC32</f>
        <v xml:space="preserve"> </v>
      </c>
      <c r="AF120" s="25" t="str">
        <f>AH16</f>
        <v xml:space="preserve"> </v>
      </c>
      <c r="AH120" s="25" t="str">
        <f>AH36</f>
        <v xml:space="preserve"> </v>
      </c>
      <c r="AJ120" s="25" t="str">
        <f>BC16</f>
        <v xml:space="preserve"> </v>
      </c>
      <c r="AL120" s="25" t="str">
        <f>BC36</f>
        <v xml:space="preserve"> </v>
      </c>
      <c r="AQ120" s="25" t="str">
        <f>AH20</f>
        <v xml:space="preserve"> </v>
      </c>
      <c r="AS120" s="25" t="str">
        <f>AH40</f>
        <v xml:space="preserve"> </v>
      </c>
      <c r="AU120" s="25" t="str">
        <f>BC20</f>
        <v xml:space="preserve"> </v>
      </c>
      <c r="AW120" s="25" t="str">
        <f>BC40</f>
        <v xml:space="preserve"> </v>
      </c>
    </row>
    <row r="121" spans="5:49" x14ac:dyDescent="0.25">
      <c r="E121" t="str">
        <f>AH5</f>
        <v xml:space="preserve"> </v>
      </c>
      <c r="G121" t="str">
        <f>AH25</f>
        <v xml:space="preserve"> </v>
      </c>
      <c r="I121" t="str">
        <f>BC5</f>
        <v xml:space="preserve"> </v>
      </c>
      <c r="K121" t="str">
        <f>BC25</f>
        <v xml:space="preserve"> </v>
      </c>
      <c r="O121" t="str">
        <f>AH9</f>
        <v xml:space="preserve"> </v>
      </c>
      <c r="Q121" t="str">
        <f>AH29</f>
        <v xml:space="preserve"> </v>
      </c>
      <c r="S121" t="str">
        <f>BC9</f>
        <v xml:space="preserve"> </v>
      </c>
      <c r="V121" t="str">
        <f>BC29</f>
        <v xml:space="preserve"> </v>
      </c>
      <c r="X121" t="str">
        <f>AH13</f>
        <v xml:space="preserve"> </v>
      </c>
      <c r="Z121" t="str">
        <f>AH33</f>
        <v xml:space="preserve"> </v>
      </c>
      <c r="AB121" t="str">
        <f>BC13</f>
        <v xml:space="preserve"> </v>
      </c>
      <c r="AD121" t="str">
        <f>BC33</f>
        <v xml:space="preserve"> </v>
      </c>
      <c r="AF121" t="str">
        <f>AH17</f>
        <v xml:space="preserve"> </v>
      </c>
      <c r="AH121" t="str">
        <f>AH37</f>
        <v xml:space="preserve"> </v>
      </c>
      <c r="AJ121" t="str">
        <f>BC17</f>
        <v xml:space="preserve"> </v>
      </c>
      <c r="AL121" t="str">
        <f>BC37</f>
        <v xml:space="preserve"> </v>
      </c>
      <c r="AQ121" t="str">
        <f>AH21</f>
        <v xml:space="preserve"> </v>
      </c>
      <c r="AS121" t="str">
        <f>AH41</f>
        <v xml:space="preserve"> </v>
      </c>
      <c r="AU121" t="str">
        <f>BC21</f>
        <v xml:space="preserve"> </v>
      </c>
      <c r="AW121" t="str">
        <f>BC41</f>
        <v xml:space="preserve"> </v>
      </c>
    </row>
    <row r="122" spans="5:49" x14ac:dyDescent="0.25">
      <c r="E122" t="str">
        <f>AH6</f>
        <v xml:space="preserve"> </v>
      </c>
      <c r="G122" t="str">
        <f>AH26</f>
        <v xml:space="preserve"> </v>
      </c>
      <c r="I122" t="str">
        <f>BC6</f>
        <v xml:space="preserve"> </v>
      </c>
      <c r="K122" t="str">
        <f>BC26</f>
        <v xml:space="preserve"> </v>
      </c>
      <c r="O122" t="str">
        <f>AH10</f>
        <v xml:space="preserve"> </v>
      </c>
      <c r="Q122" t="str">
        <f>AH30</f>
        <v xml:space="preserve"> </v>
      </c>
      <c r="S122" t="str">
        <f>BC10</f>
        <v xml:space="preserve"> </v>
      </c>
      <c r="V122" t="str">
        <f>BC30</f>
        <v xml:space="preserve"> </v>
      </c>
      <c r="X122" t="str">
        <f>AH14</f>
        <v xml:space="preserve"> </v>
      </c>
      <c r="Z122" t="str">
        <f>AH34</f>
        <v xml:space="preserve"> </v>
      </c>
      <c r="AB122" t="str">
        <f>BC14</f>
        <v xml:space="preserve"> </v>
      </c>
      <c r="AD122" t="str">
        <f>BC34</f>
        <v xml:space="preserve"> </v>
      </c>
      <c r="AF122" t="str">
        <f>AH18</f>
        <v xml:space="preserve"> </v>
      </c>
      <c r="AH122" t="str">
        <f>AH38</f>
        <v xml:space="preserve"> </v>
      </c>
      <c r="AJ122" t="str">
        <f>BC18</f>
        <v xml:space="preserve"> </v>
      </c>
      <c r="AL122" t="str">
        <f>BC38</f>
        <v xml:space="preserve"> </v>
      </c>
      <c r="AQ122" t="str">
        <f>AH22</f>
        <v xml:space="preserve"> </v>
      </c>
      <c r="AS122" t="str">
        <f>AH42</f>
        <v xml:space="preserve"> </v>
      </c>
      <c r="AU122" t="str">
        <f>BC22</f>
        <v xml:space="preserve"> </v>
      </c>
      <c r="AW122" t="str">
        <f>BC42</f>
        <v xml:space="preserve"> </v>
      </c>
    </row>
    <row r="123" spans="5:49" s="30" customFormat="1" x14ac:dyDescent="0.25">
      <c r="E123" s="30" t="str">
        <f>AH7</f>
        <v xml:space="preserve"> </v>
      </c>
      <c r="G123" s="30" t="str">
        <f>AH27</f>
        <v xml:space="preserve"> </v>
      </c>
      <c r="I123" s="30" t="str">
        <f>BC7</f>
        <v xml:space="preserve"> </v>
      </c>
      <c r="K123" s="30" t="str">
        <f>BC27</f>
        <v xml:space="preserve"> </v>
      </c>
      <c r="O123" s="30" t="str">
        <f>AH11</f>
        <v xml:space="preserve"> </v>
      </c>
      <c r="Q123" s="30" t="str">
        <f>AH31</f>
        <v xml:space="preserve"> </v>
      </c>
      <c r="S123" s="30" t="str">
        <f>BC11</f>
        <v xml:space="preserve"> </v>
      </c>
      <c r="V123" s="30" t="str">
        <f>BC31</f>
        <v xml:space="preserve"> </v>
      </c>
      <c r="X123" s="30" t="str">
        <f>AH15</f>
        <v xml:space="preserve"> </v>
      </c>
      <c r="Z123" s="30" t="str">
        <f>AH35</f>
        <v xml:space="preserve"> </v>
      </c>
      <c r="AB123" s="30" t="str">
        <f>BC15</f>
        <v xml:space="preserve"> </v>
      </c>
      <c r="AD123" s="30" t="str">
        <f>BC35</f>
        <v xml:space="preserve"> </v>
      </c>
      <c r="AF123" s="30" t="str">
        <f>AH19</f>
        <v xml:space="preserve"> </v>
      </c>
      <c r="AH123" s="30" t="str">
        <f>AH39</f>
        <v xml:space="preserve"> </v>
      </c>
      <c r="AJ123" s="30" t="str">
        <f>BC19</f>
        <v xml:space="preserve"> </v>
      </c>
      <c r="AL123" s="30" t="str">
        <f>BC39</f>
        <v xml:space="preserve"> </v>
      </c>
      <c r="AQ123" s="30" t="str">
        <f>AH23</f>
        <v xml:space="preserve"> </v>
      </c>
      <c r="AS123" s="30" t="str">
        <f>AH43</f>
        <v xml:space="preserve"> </v>
      </c>
      <c r="AU123" s="30" t="str">
        <f>BC23</f>
        <v xml:space="preserve"> </v>
      </c>
      <c r="AW123" s="30" t="str">
        <f>BC43</f>
        <v xml:space="preserve"> </v>
      </c>
    </row>
    <row r="124" spans="5:49" s="25" customFormat="1" x14ac:dyDescent="0.25">
      <c r="E124" s="25" t="str">
        <f>AI4</f>
        <v xml:space="preserve"> </v>
      </c>
      <c r="G124" s="25" t="str">
        <f>AI24</f>
        <v xml:space="preserve"> </v>
      </c>
      <c r="I124" s="25" t="str">
        <f>BD4</f>
        <v xml:space="preserve"> </v>
      </c>
      <c r="K124" s="25" t="str">
        <f>BD24</f>
        <v xml:space="preserve"> </v>
      </c>
      <c r="O124" s="25" t="str">
        <f>AI8</f>
        <v xml:space="preserve"> </v>
      </c>
      <c r="Q124" s="25" t="str">
        <f>AI28</f>
        <v xml:space="preserve"> </v>
      </c>
      <c r="S124" s="25" t="str">
        <f>BD8</f>
        <v xml:space="preserve"> </v>
      </c>
      <c r="V124" s="25" t="str">
        <f>BD28</f>
        <v xml:space="preserve"> </v>
      </c>
      <c r="X124" s="25" t="str">
        <f>AI12</f>
        <v xml:space="preserve"> </v>
      </c>
      <c r="Z124" s="25" t="str">
        <f>AI32</f>
        <v xml:space="preserve"> </v>
      </c>
      <c r="AB124" s="25" t="str">
        <f>BD12</f>
        <v xml:space="preserve"> </v>
      </c>
      <c r="AD124" s="25" t="str">
        <f>BD32</f>
        <v xml:space="preserve"> </v>
      </c>
      <c r="AF124" s="25" t="str">
        <f>AI16</f>
        <v xml:space="preserve"> </v>
      </c>
      <c r="AH124" s="25" t="str">
        <f>AI36</f>
        <v xml:space="preserve"> </v>
      </c>
      <c r="AJ124" s="25" t="str">
        <f>BD16</f>
        <v xml:space="preserve"> </v>
      </c>
      <c r="AL124" s="25" t="str">
        <f>BD36</f>
        <v xml:space="preserve"> </v>
      </c>
      <c r="AQ124" s="25" t="str">
        <f>AI20</f>
        <v xml:space="preserve"> </v>
      </c>
      <c r="AS124" s="25" t="str">
        <f>AI40</f>
        <v xml:space="preserve"> </v>
      </c>
      <c r="AU124" s="25" t="str">
        <f>BD20</f>
        <v xml:space="preserve"> </v>
      </c>
      <c r="AW124" s="25" t="str">
        <f>BD40</f>
        <v xml:space="preserve"> </v>
      </c>
    </row>
    <row r="125" spans="5:49" x14ac:dyDescent="0.25">
      <c r="E125" t="str">
        <f>AI5</f>
        <v xml:space="preserve"> </v>
      </c>
      <c r="G125" t="str">
        <f>AI25</f>
        <v xml:space="preserve"> </v>
      </c>
      <c r="I125" t="str">
        <f>BD5</f>
        <v xml:space="preserve"> </v>
      </c>
      <c r="K125" t="str">
        <f>BD25</f>
        <v xml:space="preserve"> </v>
      </c>
      <c r="O125" t="str">
        <f>AI9</f>
        <v xml:space="preserve"> </v>
      </c>
      <c r="Q125" t="str">
        <f>AI29</f>
        <v xml:space="preserve"> </v>
      </c>
      <c r="S125" t="str">
        <f>BD9</f>
        <v xml:space="preserve"> </v>
      </c>
      <c r="V125" t="str">
        <f>BD29</f>
        <v xml:space="preserve"> </v>
      </c>
      <c r="X125" t="str">
        <f>AI13</f>
        <v xml:space="preserve"> </v>
      </c>
      <c r="Z125" t="str">
        <f>AI33</f>
        <v xml:space="preserve"> </v>
      </c>
      <c r="AB125" t="str">
        <f>BD13</f>
        <v xml:space="preserve"> </v>
      </c>
      <c r="AD125" t="str">
        <f>BD33</f>
        <v xml:space="preserve"> </v>
      </c>
      <c r="AF125" t="str">
        <f>AI17</f>
        <v xml:space="preserve"> </v>
      </c>
      <c r="AH125" t="str">
        <f>AI37</f>
        <v xml:space="preserve"> </v>
      </c>
      <c r="AJ125" t="str">
        <f>BD17</f>
        <v xml:space="preserve"> </v>
      </c>
      <c r="AL125" t="str">
        <f>BD37</f>
        <v xml:space="preserve"> </v>
      </c>
      <c r="AQ125" t="str">
        <f>AI21</f>
        <v xml:space="preserve"> </v>
      </c>
      <c r="AS125" t="str">
        <f>AI41</f>
        <v xml:space="preserve"> </v>
      </c>
      <c r="AU125" t="str">
        <f>BD21</f>
        <v xml:space="preserve"> </v>
      </c>
      <c r="AW125" t="str">
        <f>BD41</f>
        <v xml:space="preserve"> </v>
      </c>
    </row>
    <row r="126" spans="5:49" x14ac:dyDescent="0.25">
      <c r="E126" t="str">
        <f>AI6</f>
        <v xml:space="preserve"> </v>
      </c>
      <c r="G126" t="str">
        <f>AI26</f>
        <v xml:space="preserve"> </v>
      </c>
      <c r="I126" t="str">
        <f>BD6</f>
        <v xml:space="preserve"> </v>
      </c>
      <c r="K126" t="str">
        <f>BD26</f>
        <v xml:space="preserve"> </v>
      </c>
      <c r="O126" t="str">
        <f>AI10</f>
        <v xml:space="preserve"> </v>
      </c>
      <c r="Q126" t="str">
        <f>AI30</f>
        <v xml:space="preserve"> </v>
      </c>
      <c r="S126" t="str">
        <f>BD10</f>
        <v xml:space="preserve"> </v>
      </c>
      <c r="V126" t="str">
        <f>BD30</f>
        <v xml:space="preserve"> </v>
      </c>
      <c r="X126" t="str">
        <f>AI14</f>
        <v xml:space="preserve"> </v>
      </c>
      <c r="Z126" t="str">
        <f>AI34</f>
        <v xml:space="preserve"> </v>
      </c>
      <c r="AB126" t="str">
        <f>BD14</f>
        <v xml:space="preserve"> </v>
      </c>
      <c r="AD126" t="str">
        <f>BD34</f>
        <v xml:space="preserve"> </v>
      </c>
      <c r="AF126" t="str">
        <f>AI18</f>
        <v xml:space="preserve"> </v>
      </c>
      <c r="AH126" t="str">
        <f>AI38</f>
        <v xml:space="preserve"> </v>
      </c>
      <c r="AJ126" t="str">
        <f>BD18</f>
        <v xml:space="preserve"> </v>
      </c>
      <c r="AL126" t="str">
        <f>BD38</f>
        <v xml:space="preserve"> </v>
      </c>
      <c r="AQ126" t="str">
        <f>AI22</f>
        <v xml:space="preserve"> </v>
      </c>
      <c r="AS126" t="str">
        <f>AI42</f>
        <v xml:space="preserve"> </v>
      </c>
      <c r="AU126" t="str">
        <f>BD22</f>
        <v xml:space="preserve"> </v>
      </c>
      <c r="AW126" t="str">
        <f>BD42</f>
        <v xml:space="preserve"> </v>
      </c>
    </row>
    <row r="127" spans="5:49" s="30" customFormat="1" x14ac:dyDescent="0.25">
      <c r="E127" s="30" t="str">
        <f>AI7</f>
        <v xml:space="preserve"> </v>
      </c>
      <c r="G127" s="30" t="str">
        <f>AI27</f>
        <v xml:space="preserve"> </v>
      </c>
      <c r="I127" s="30" t="str">
        <f>BD7</f>
        <v xml:space="preserve"> </v>
      </c>
      <c r="K127" s="30" t="str">
        <f>BD27</f>
        <v xml:space="preserve"> </v>
      </c>
      <c r="O127" s="30" t="str">
        <f>AI11</f>
        <v xml:space="preserve"> </v>
      </c>
      <c r="Q127" s="30" t="str">
        <f>AI31</f>
        <v xml:space="preserve"> </v>
      </c>
      <c r="S127" s="30" t="str">
        <f>BD11</f>
        <v xml:space="preserve"> </v>
      </c>
      <c r="V127" s="30" t="str">
        <f>BD31</f>
        <v xml:space="preserve"> </v>
      </c>
      <c r="X127" s="30" t="str">
        <f>AI15</f>
        <v xml:space="preserve"> </v>
      </c>
      <c r="Z127" s="30" t="str">
        <f>AI35</f>
        <v xml:space="preserve"> </v>
      </c>
      <c r="AB127" s="30" t="str">
        <f>BD15</f>
        <v xml:space="preserve"> </v>
      </c>
      <c r="AD127" s="30" t="str">
        <f>BD35</f>
        <v xml:space="preserve"> </v>
      </c>
      <c r="AF127" s="30" t="str">
        <f>AI19</f>
        <v xml:space="preserve"> </v>
      </c>
      <c r="AH127" s="30" t="str">
        <f>AI39</f>
        <v xml:space="preserve"> </v>
      </c>
      <c r="AJ127" s="30" t="str">
        <f>BD19</f>
        <v xml:space="preserve"> </v>
      </c>
      <c r="AL127" s="30" t="str">
        <f>BD39</f>
        <v xml:space="preserve"> </v>
      </c>
      <c r="AQ127" s="30" t="str">
        <f>AI23</f>
        <v xml:space="preserve"> </v>
      </c>
      <c r="AS127" s="30" t="str">
        <f>AI43</f>
        <v xml:space="preserve"> </v>
      </c>
      <c r="AU127" s="30" t="str">
        <f>BD23</f>
        <v xml:space="preserve"> </v>
      </c>
      <c r="AW127" s="30" t="str">
        <f>BD43</f>
        <v xml:space="preserve"> </v>
      </c>
    </row>
    <row r="128" spans="5:49" s="25" customFormat="1" x14ac:dyDescent="0.25">
      <c r="E128" s="25" t="str">
        <f>AJ4</f>
        <v xml:space="preserve"> </v>
      </c>
      <c r="G128" s="25" t="str">
        <f>AJ24</f>
        <v xml:space="preserve"> </v>
      </c>
      <c r="I128" s="25" t="str">
        <f>BE4</f>
        <v xml:space="preserve"> </v>
      </c>
      <c r="K128" s="25" t="str">
        <f>BE24</f>
        <v xml:space="preserve"> </v>
      </c>
      <c r="O128" s="25" t="str">
        <f>AJ8</f>
        <v xml:space="preserve"> </v>
      </c>
      <c r="Q128" s="25" t="str">
        <f>AJ28</f>
        <v xml:space="preserve"> </v>
      </c>
      <c r="S128" s="25" t="str">
        <f>BE8</f>
        <v xml:space="preserve"> </v>
      </c>
      <c r="V128" s="25" t="str">
        <f>BE28</f>
        <v xml:space="preserve"> </v>
      </c>
      <c r="X128" s="25" t="str">
        <f>AJ12</f>
        <v xml:space="preserve"> </v>
      </c>
      <c r="Z128" s="25" t="str">
        <f>AJ32</f>
        <v xml:space="preserve"> </v>
      </c>
      <c r="AB128" s="25" t="str">
        <f>BE12</f>
        <v xml:space="preserve"> </v>
      </c>
      <c r="AD128" s="25" t="str">
        <f>BE32</f>
        <v xml:space="preserve"> </v>
      </c>
      <c r="AF128" s="25" t="str">
        <f>AJ16</f>
        <v xml:space="preserve"> </v>
      </c>
      <c r="AH128" s="25" t="str">
        <f>AJ36</f>
        <v xml:space="preserve"> </v>
      </c>
      <c r="AJ128" s="25" t="str">
        <f>BE16</f>
        <v xml:space="preserve"> </v>
      </c>
      <c r="AL128" s="25" t="str">
        <f>BE36</f>
        <v xml:space="preserve"> </v>
      </c>
      <c r="AQ128" s="25" t="str">
        <f>AJ20</f>
        <v xml:space="preserve"> </v>
      </c>
      <c r="AS128" s="25" t="str">
        <f>AJ40</f>
        <v xml:space="preserve"> </v>
      </c>
      <c r="AU128" s="25" t="str">
        <f>BE20</f>
        <v xml:space="preserve"> </v>
      </c>
      <c r="AW128" s="25" t="str">
        <f>BE40</f>
        <v xml:space="preserve"> </v>
      </c>
    </row>
    <row r="129" spans="5:49" x14ac:dyDescent="0.25">
      <c r="E129" t="str">
        <f>AJ5</f>
        <v xml:space="preserve"> </v>
      </c>
      <c r="G129" t="str">
        <f>AJ25</f>
        <v xml:space="preserve"> </v>
      </c>
      <c r="I129" t="str">
        <f>BE5</f>
        <v xml:space="preserve"> </v>
      </c>
      <c r="K129" t="str">
        <f>BE25</f>
        <v xml:space="preserve"> </v>
      </c>
      <c r="O129" t="str">
        <f>AJ9</f>
        <v xml:space="preserve"> </v>
      </c>
      <c r="Q129" t="str">
        <f>AJ29</f>
        <v xml:space="preserve"> </v>
      </c>
      <c r="S129" t="str">
        <f>BE9</f>
        <v xml:space="preserve"> </v>
      </c>
      <c r="V129" t="str">
        <f>BE29</f>
        <v xml:space="preserve"> </v>
      </c>
      <c r="X129" t="str">
        <f>AJ13</f>
        <v xml:space="preserve"> </v>
      </c>
      <c r="Z129" t="str">
        <f>AJ33</f>
        <v xml:space="preserve"> </v>
      </c>
      <c r="AB129" t="str">
        <f>BE13</f>
        <v xml:space="preserve"> </v>
      </c>
      <c r="AD129" t="str">
        <f>BE33</f>
        <v xml:space="preserve"> </v>
      </c>
      <c r="AF129" t="str">
        <f>AJ17</f>
        <v xml:space="preserve"> </v>
      </c>
      <c r="AH129" t="str">
        <f>AJ37</f>
        <v xml:space="preserve"> </v>
      </c>
      <c r="AJ129" t="str">
        <f>BE17</f>
        <v xml:space="preserve"> </v>
      </c>
      <c r="AL129" t="str">
        <f>BE37</f>
        <v xml:space="preserve"> </v>
      </c>
      <c r="AQ129" t="str">
        <f>AJ21</f>
        <v xml:space="preserve"> </v>
      </c>
      <c r="AS129" t="str">
        <f>AJ41</f>
        <v xml:space="preserve"> </v>
      </c>
      <c r="AU129" t="str">
        <f>BE21</f>
        <v xml:space="preserve"> </v>
      </c>
      <c r="AW129" t="str">
        <f>BE41</f>
        <v xml:space="preserve"> </v>
      </c>
    </row>
    <row r="130" spans="5:49" x14ac:dyDescent="0.25">
      <c r="E130" t="str">
        <f>AJ6</f>
        <v xml:space="preserve"> </v>
      </c>
      <c r="G130" t="str">
        <f>AJ26</f>
        <v xml:space="preserve"> </v>
      </c>
      <c r="I130" t="str">
        <f>BE6</f>
        <v xml:space="preserve"> </v>
      </c>
      <c r="K130" t="str">
        <f>BE26</f>
        <v xml:space="preserve"> </v>
      </c>
      <c r="O130" t="str">
        <f>AJ10</f>
        <v xml:space="preserve"> </v>
      </c>
      <c r="Q130" t="str">
        <f>AJ30</f>
        <v xml:space="preserve"> </v>
      </c>
      <c r="S130" t="str">
        <f>BE10</f>
        <v xml:space="preserve"> </v>
      </c>
      <c r="V130" t="str">
        <f>BE30</f>
        <v xml:space="preserve"> </v>
      </c>
      <c r="X130" t="str">
        <f>AJ14</f>
        <v xml:space="preserve"> </v>
      </c>
      <c r="Z130" t="str">
        <f>AJ34</f>
        <v xml:space="preserve"> </v>
      </c>
      <c r="AB130" t="str">
        <f>BE14</f>
        <v xml:space="preserve"> </v>
      </c>
      <c r="AD130" t="str">
        <f>BE34</f>
        <v xml:space="preserve"> </v>
      </c>
      <c r="AF130" t="str">
        <f>AJ18</f>
        <v xml:space="preserve"> </v>
      </c>
      <c r="AH130" t="str">
        <f>AJ38</f>
        <v xml:space="preserve"> </v>
      </c>
      <c r="AJ130" t="str">
        <f>BE18</f>
        <v xml:space="preserve"> </v>
      </c>
      <c r="AL130" t="str">
        <f>BE38</f>
        <v xml:space="preserve"> </v>
      </c>
      <c r="AQ130" t="str">
        <f>AJ22</f>
        <v xml:space="preserve"> </v>
      </c>
      <c r="AS130" t="str">
        <f>AJ42</f>
        <v xml:space="preserve"> </v>
      </c>
      <c r="AU130" t="str">
        <f>BE22</f>
        <v xml:space="preserve"> </v>
      </c>
      <c r="AW130" t="str">
        <f>BE42</f>
        <v xml:space="preserve"> </v>
      </c>
    </row>
    <row r="131" spans="5:49" s="30" customFormat="1" x14ac:dyDescent="0.25">
      <c r="E131" s="30" t="str">
        <f>AJ7</f>
        <v xml:space="preserve"> </v>
      </c>
      <c r="G131" s="30" t="str">
        <f>AJ27</f>
        <v xml:space="preserve"> </v>
      </c>
      <c r="I131" s="30" t="str">
        <f>BE7</f>
        <v xml:space="preserve"> </v>
      </c>
      <c r="K131" s="30" t="str">
        <f>BE27</f>
        <v xml:space="preserve"> </v>
      </c>
      <c r="O131" s="30" t="str">
        <f>AJ11</f>
        <v xml:space="preserve"> </v>
      </c>
      <c r="Q131" s="30" t="str">
        <f>AJ31</f>
        <v xml:space="preserve"> </v>
      </c>
      <c r="S131" s="30" t="str">
        <f>BE11</f>
        <v xml:space="preserve"> </v>
      </c>
      <c r="V131" s="30" t="str">
        <f>BE31</f>
        <v xml:space="preserve"> </v>
      </c>
      <c r="X131" s="30" t="str">
        <f>AJ15</f>
        <v xml:space="preserve"> </v>
      </c>
      <c r="Z131" s="30" t="str">
        <f>AJ35</f>
        <v xml:space="preserve"> </v>
      </c>
      <c r="AB131" s="30" t="str">
        <f>BE15</f>
        <v xml:space="preserve"> </v>
      </c>
      <c r="AD131" s="30" t="str">
        <f>BE35</f>
        <v xml:space="preserve"> </v>
      </c>
      <c r="AF131" s="30" t="str">
        <f>AJ19</f>
        <v xml:space="preserve"> </v>
      </c>
      <c r="AH131" s="30" t="str">
        <f>AJ39</f>
        <v xml:space="preserve"> </v>
      </c>
      <c r="AJ131" s="30" t="str">
        <f>BE19</f>
        <v xml:space="preserve"> </v>
      </c>
      <c r="AL131" s="30" t="str">
        <f>BE39</f>
        <v xml:space="preserve"> </v>
      </c>
      <c r="AQ131" s="30" t="str">
        <f>AJ23</f>
        <v xml:space="preserve"> </v>
      </c>
      <c r="AS131" s="30" t="str">
        <f>AJ43</f>
        <v xml:space="preserve"> </v>
      </c>
      <c r="AU131" s="30" t="str">
        <f>BE23</f>
        <v xml:space="preserve"> </v>
      </c>
      <c r="AW131" s="30" t="str">
        <f>BE43</f>
        <v xml:space="preserve"> </v>
      </c>
    </row>
    <row r="132" spans="5:49" s="25" customFormat="1" x14ac:dyDescent="0.25">
      <c r="E132" s="25" t="str">
        <f>AK4</f>
        <v xml:space="preserve"> </v>
      </c>
      <c r="G132" s="25" t="str">
        <f>AK24</f>
        <v xml:space="preserve"> </v>
      </c>
      <c r="I132" s="25" t="str">
        <f>BF4</f>
        <v xml:space="preserve"> </v>
      </c>
      <c r="K132" s="25" t="str">
        <f>BF24</f>
        <v xml:space="preserve"> </v>
      </c>
      <c r="O132" s="25" t="str">
        <f>AK8</f>
        <v xml:space="preserve"> </v>
      </c>
      <c r="Q132" s="25" t="str">
        <f>AK28</f>
        <v xml:space="preserve"> </v>
      </c>
      <c r="S132" s="25" t="str">
        <f>BF8</f>
        <v xml:space="preserve"> </v>
      </c>
      <c r="V132" s="25" t="str">
        <f>BF28</f>
        <v xml:space="preserve"> </v>
      </c>
      <c r="X132" s="25" t="str">
        <f>AK12</f>
        <v xml:space="preserve"> </v>
      </c>
      <c r="Z132" s="25" t="str">
        <f>AK32</f>
        <v xml:space="preserve"> </v>
      </c>
      <c r="AB132" s="25" t="str">
        <f>BF12</f>
        <v xml:space="preserve"> </v>
      </c>
      <c r="AD132" s="25" t="str">
        <f>BF32</f>
        <v xml:space="preserve"> </v>
      </c>
      <c r="AF132" s="25" t="str">
        <f>AK16</f>
        <v xml:space="preserve"> </v>
      </c>
      <c r="AH132" s="25" t="str">
        <f>AK36</f>
        <v xml:space="preserve"> </v>
      </c>
      <c r="AJ132" s="25" t="str">
        <f>BF16</f>
        <v xml:space="preserve"> </v>
      </c>
      <c r="AL132" s="25" t="str">
        <f>BF36</f>
        <v xml:space="preserve"> </v>
      </c>
      <c r="AQ132" s="25" t="str">
        <f>AK20</f>
        <v xml:space="preserve"> </v>
      </c>
      <c r="AS132" s="25" t="str">
        <f>AK40</f>
        <v xml:space="preserve"> </v>
      </c>
      <c r="AU132" s="25" t="str">
        <f>BF20</f>
        <v xml:space="preserve"> </v>
      </c>
      <c r="AW132" s="25" t="str">
        <f>BF40</f>
        <v xml:space="preserve"> </v>
      </c>
    </row>
    <row r="133" spans="5:49" x14ac:dyDescent="0.25">
      <c r="E133" t="str">
        <f>AK5</f>
        <v xml:space="preserve"> </v>
      </c>
      <c r="G133" t="str">
        <f>AK25</f>
        <v xml:space="preserve"> </v>
      </c>
      <c r="I133" t="str">
        <f>BF5</f>
        <v xml:space="preserve"> </v>
      </c>
      <c r="K133" t="str">
        <f>BF25</f>
        <v xml:space="preserve"> </v>
      </c>
      <c r="O133" t="str">
        <f>AK9</f>
        <v xml:space="preserve"> </v>
      </c>
      <c r="Q133" t="str">
        <f>AK29</f>
        <v xml:space="preserve"> </v>
      </c>
      <c r="S133" t="str">
        <f>BF9</f>
        <v xml:space="preserve"> </v>
      </c>
      <c r="V133" t="str">
        <f>BF29</f>
        <v xml:space="preserve"> </v>
      </c>
      <c r="X133" t="str">
        <f>AK13</f>
        <v xml:space="preserve"> </v>
      </c>
      <c r="Z133" t="str">
        <f>AK33</f>
        <v xml:space="preserve"> </v>
      </c>
      <c r="AB133" t="str">
        <f>BF13</f>
        <v xml:space="preserve"> </v>
      </c>
      <c r="AD133" t="str">
        <f>BF33</f>
        <v xml:space="preserve"> </v>
      </c>
      <c r="AF133" t="str">
        <f>AK17</f>
        <v xml:space="preserve"> </v>
      </c>
      <c r="AH133" t="str">
        <f>AK37</f>
        <v xml:space="preserve"> </v>
      </c>
      <c r="AJ133" t="str">
        <f>BF17</f>
        <v xml:space="preserve"> </v>
      </c>
      <c r="AL133" t="str">
        <f>BF37</f>
        <v xml:space="preserve"> </v>
      </c>
      <c r="AQ133" t="str">
        <f>AK21</f>
        <v xml:space="preserve"> </v>
      </c>
      <c r="AS133" t="str">
        <f>AK41</f>
        <v xml:space="preserve"> </v>
      </c>
      <c r="AU133" t="str">
        <f>BF21</f>
        <v xml:space="preserve"> </v>
      </c>
      <c r="AW133" t="str">
        <f>BF41</f>
        <v xml:space="preserve"> </v>
      </c>
    </row>
    <row r="134" spans="5:49" x14ac:dyDescent="0.25">
      <c r="E134" t="str">
        <f>AK6</f>
        <v xml:space="preserve"> </v>
      </c>
      <c r="G134" t="str">
        <f>AK26</f>
        <v xml:space="preserve"> </v>
      </c>
      <c r="I134" t="str">
        <f>BF6</f>
        <v xml:space="preserve"> </v>
      </c>
      <c r="K134" t="str">
        <f>BF26</f>
        <v xml:space="preserve"> </v>
      </c>
      <c r="O134" t="str">
        <f>AK10</f>
        <v xml:space="preserve"> </v>
      </c>
      <c r="Q134" t="str">
        <f>AK30</f>
        <v xml:space="preserve"> </v>
      </c>
      <c r="S134" t="str">
        <f>BF10</f>
        <v xml:space="preserve"> </v>
      </c>
      <c r="V134" t="str">
        <f>BF30</f>
        <v xml:space="preserve"> </v>
      </c>
      <c r="X134" t="str">
        <f>AK14</f>
        <v xml:space="preserve"> </v>
      </c>
      <c r="Z134" t="str">
        <f>AK34</f>
        <v xml:space="preserve"> </v>
      </c>
      <c r="AB134" t="str">
        <f>BF14</f>
        <v xml:space="preserve"> </v>
      </c>
      <c r="AD134" t="str">
        <f>BF34</f>
        <v xml:space="preserve"> </v>
      </c>
      <c r="AF134" t="str">
        <f>AK18</f>
        <v xml:space="preserve"> </v>
      </c>
      <c r="AH134" t="str">
        <f>AK38</f>
        <v xml:space="preserve"> </v>
      </c>
      <c r="AJ134" t="str">
        <f>BF18</f>
        <v xml:space="preserve"> </v>
      </c>
      <c r="AL134" t="str">
        <f>BF38</f>
        <v xml:space="preserve"> </v>
      </c>
      <c r="AQ134" t="str">
        <f>AK22</f>
        <v xml:space="preserve"> </v>
      </c>
      <c r="AS134" t="str">
        <f>AK42</f>
        <v xml:space="preserve"> </v>
      </c>
      <c r="AU134" t="str">
        <f>BF22</f>
        <v xml:space="preserve"> </v>
      </c>
      <c r="AW134" t="str">
        <f>BF42</f>
        <v xml:space="preserve"> </v>
      </c>
    </row>
    <row r="135" spans="5:49" s="30" customFormat="1" x14ac:dyDescent="0.25">
      <c r="E135" s="30" t="str">
        <f>AK7</f>
        <v xml:space="preserve"> </v>
      </c>
      <c r="G135" s="30" t="str">
        <f>AK27</f>
        <v xml:space="preserve"> </v>
      </c>
      <c r="I135" s="30" t="str">
        <f>BF7</f>
        <v xml:space="preserve"> </v>
      </c>
      <c r="K135" s="30" t="str">
        <f>BF27</f>
        <v xml:space="preserve"> </v>
      </c>
      <c r="O135" s="30" t="str">
        <f>AK11</f>
        <v xml:space="preserve"> </v>
      </c>
      <c r="Q135" s="30" t="str">
        <f>AK31</f>
        <v xml:space="preserve"> </v>
      </c>
      <c r="S135" s="30" t="str">
        <f>BF11</f>
        <v xml:space="preserve"> </v>
      </c>
      <c r="V135" s="30" t="str">
        <f>BF31</f>
        <v xml:space="preserve"> </v>
      </c>
      <c r="X135" s="30" t="str">
        <f>AK15</f>
        <v xml:space="preserve"> </v>
      </c>
      <c r="Z135" s="30" t="str">
        <f>AK35</f>
        <v xml:space="preserve"> </v>
      </c>
      <c r="AB135" s="30" t="str">
        <f>BF15</f>
        <v xml:space="preserve"> </v>
      </c>
      <c r="AD135" s="30" t="str">
        <f>BF35</f>
        <v xml:space="preserve"> </v>
      </c>
      <c r="AF135" s="30" t="str">
        <f>AK19</f>
        <v xml:space="preserve"> </v>
      </c>
      <c r="AH135" s="30" t="str">
        <f>AK39</f>
        <v xml:space="preserve"> </v>
      </c>
      <c r="AJ135" s="30" t="str">
        <f>BF19</f>
        <v xml:space="preserve"> </v>
      </c>
      <c r="AL135" s="30" t="str">
        <f>BF39</f>
        <v xml:space="preserve"> </v>
      </c>
      <c r="AQ135" s="30" t="str">
        <f>AK23</f>
        <v xml:space="preserve"> </v>
      </c>
      <c r="AS135" s="30" t="str">
        <f>AK43</f>
        <v xml:space="preserve"> </v>
      </c>
      <c r="AU135" s="30" t="str">
        <f>BF23</f>
        <v xml:space="preserve"> </v>
      </c>
      <c r="AW135" s="30" t="str">
        <f>BF43</f>
        <v xml:space="preserve"> </v>
      </c>
    </row>
    <row r="136" spans="5:49" s="25" customFormat="1" x14ac:dyDescent="0.25">
      <c r="E136" s="25" t="str">
        <f>AL4</f>
        <v xml:space="preserve"> </v>
      </c>
      <c r="G136" s="25" t="str">
        <f>AL24</f>
        <v xml:space="preserve"> </v>
      </c>
      <c r="I136" s="25" t="str">
        <f>BG4</f>
        <v xml:space="preserve"> </v>
      </c>
      <c r="K136" s="25" t="str">
        <f>BG24</f>
        <v xml:space="preserve"> </v>
      </c>
      <c r="O136" s="25" t="str">
        <f>AL8</f>
        <v xml:space="preserve"> </v>
      </c>
      <c r="Q136" s="25" t="str">
        <f>AL28</f>
        <v xml:space="preserve"> </v>
      </c>
      <c r="S136" s="25" t="str">
        <f>BG8</f>
        <v xml:space="preserve"> </v>
      </c>
      <c r="V136" s="25" t="str">
        <f>BG28</f>
        <v xml:space="preserve"> </v>
      </c>
      <c r="X136" s="25" t="str">
        <f>AL12</f>
        <v xml:space="preserve"> </v>
      </c>
      <c r="Z136" s="25" t="str">
        <f>AL32</f>
        <v xml:space="preserve"> </v>
      </c>
      <c r="AB136" s="25" t="str">
        <f>BG12</f>
        <v xml:space="preserve"> </v>
      </c>
      <c r="AD136" s="25" t="str">
        <f>BG32</f>
        <v xml:space="preserve"> </v>
      </c>
      <c r="AF136" s="25" t="str">
        <f>AL16</f>
        <v xml:space="preserve"> </v>
      </c>
      <c r="AH136" s="25" t="str">
        <f>AL36</f>
        <v xml:space="preserve"> </v>
      </c>
      <c r="AJ136" s="25" t="str">
        <f>BG16</f>
        <v xml:space="preserve"> </v>
      </c>
      <c r="AL136" s="25" t="str">
        <f>BG36</f>
        <v xml:space="preserve"> </v>
      </c>
      <c r="AQ136" s="25" t="str">
        <f>AL20</f>
        <v xml:space="preserve"> </v>
      </c>
      <c r="AS136" s="25" t="str">
        <f>AL40</f>
        <v xml:space="preserve"> </v>
      </c>
      <c r="AU136" s="25" t="str">
        <f>BG20</f>
        <v xml:space="preserve"> </v>
      </c>
      <c r="AW136" s="25" t="str">
        <f>BG40</f>
        <v xml:space="preserve"> </v>
      </c>
    </row>
    <row r="137" spans="5:49" x14ac:dyDescent="0.25">
      <c r="E137" t="str">
        <f>AL5</f>
        <v xml:space="preserve"> </v>
      </c>
      <c r="G137" t="str">
        <f>AL25</f>
        <v xml:space="preserve"> </v>
      </c>
      <c r="I137" t="str">
        <f>BG5</f>
        <v xml:space="preserve"> </v>
      </c>
      <c r="K137" t="str">
        <f>BG25</f>
        <v xml:space="preserve"> </v>
      </c>
      <c r="O137" t="str">
        <f>AL9</f>
        <v xml:space="preserve"> </v>
      </c>
      <c r="Q137" t="str">
        <f>AL29</f>
        <v xml:space="preserve"> </v>
      </c>
      <c r="S137" t="str">
        <f>BG9</f>
        <v xml:space="preserve"> </v>
      </c>
      <c r="V137" t="str">
        <f>BG29</f>
        <v xml:space="preserve"> </v>
      </c>
      <c r="X137" t="str">
        <f>AL13</f>
        <v xml:space="preserve"> </v>
      </c>
      <c r="Z137" t="str">
        <f>AL33</f>
        <v xml:space="preserve"> </v>
      </c>
      <c r="AB137" t="str">
        <f>BG13</f>
        <v xml:space="preserve"> </v>
      </c>
      <c r="AD137" t="str">
        <f>BG33</f>
        <v xml:space="preserve"> </v>
      </c>
      <c r="AF137" t="str">
        <f>AL17</f>
        <v xml:space="preserve"> </v>
      </c>
      <c r="AH137" t="str">
        <f>AL37</f>
        <v xml:space="preserve"> </v>
      </c>
      <c r="AJ137" t="str">
        <f>BG17</f>
        <v xml:space="preserve"> </v>
      </c>
      <c r="AL137" t="str">
        <f>BG37</f>
        <v xml:space="preserve"> </v>
      </c>
      <c r="AQ137" t="str">
        <f>AL21</f>
        <v xml:space="preserve"> </v>
      </c>
      <c r="AS137" t="str">
        <f>AL41</f>
        <v xml:space="preserve"> </v>
      </c>
      <c r="AU137" t="str">
        <f>BG21</f>
        <v xml:space="preserve"> </v>
      </c>
      <c r="AW137" t="str">
        <f>BG41</f>
        <v xml:space="preserve"> </v>
      </c>
    </row>
    <row r="138" spans="5:49" x14ac:dyDescent="0.25">
      <c r="E138" t="str">
        <f>AL6</f>
        <v xml:space="preserve"> </v>
      </c>
      <c r="G138" t="str">
        <f>AL26</f>
        <v xml:space="preserve"> </v>
      </c>
      <c r="I138" t="str">
        <f>BG6</f>
        <v xml:space="preserve"> </v>
      </c>
      <c r="K138" t="str">
        <f>BG26</f>
        <v xml:space="preserve"> </v>
      </c>
      <c r="O138" t="str">
        <f>AL10</f>
        <v xml:space="preserve"> </v>
      </c>
      <c r="Q138" t="str">
        <f>AL30</f>
        <v xml:space="preserve"> </v>
      </c>
      <c r="S138" t="str">
        <f>BG10</f>
        <v xml:space="preserve"> </v>
      </c>
      <c r="V138" t="str">
        <f>BG30</f>
        <v xml:space="preserve"> </v>
      </c>
      <c r="X138" t="str">
        <f>AL14</f>
        <v xml:space="preserve"> </v>
      </c>
      <c r="Z138" t="str">
        <f>AL34</f>
        <v xml:space="preserve"> </v>
      </c>
      <c r="AB138" t="str">
        <f>BG14</f>
        <v xml:space="preserve"> </v>
      </c>
      <c r="AD138" t="str">
        <f>BG34</f>
        <v xml:space="preserve"> </v>
      </c>
      <c r="AF138" t="str">
        <f>AL18</f>
        <v xml:space="preserve"> </v>
      </c>
      <c r="AH138" t="str">
        <f>AL38</f>
        <v xml:space="preserve"> </v>
      </c>
      <c r="AJ138" t="str">
        <f>BG18</f>
        <v xml:space="preserve"> </v>
      </c>
      <c r="AL138" t="str">
        <f>BG38</f>
        <v xml:space="preserve"> </v>
      </c>
      <c r="AQ138" t="str">
        <f>AL22</f>
        <v xml:space="preserve"> </v>
      </c>
      <c r="AS138" t="str">
        <f>AL42</f>
        <v xml:space="preserve"> </v>
      </c>
      <c r="AU138" t="str">
        <f>BG22</f>
        <v xml:space="preserve"> </v>
      </c>
      <c r="AW138" t="str">
        <f>BG42</f>
        <v xml:space="preserve"> </v>
      </c>
    </row>
    <row r="139" spans="5:49" s="30" customFormat="1" x14ac:dyDescent="0.25">
      <c r="E139" s="30" t="str">
        <f>AL7</f>
        <v xml:space="preserve"> </v>
      </c>
      <c r="G139" s="30" t="str">
        <f>AL27</f>
        <v xml:space="preserve"> </v>
      </c>
      <c r="I139" s="30" t="str">
        <f>BG7</f>
        <v xml:space="preserve"> </v>
      </c>
      <c r="K139" s="30" t="str">
        <f>BG27</f>
        <v xml:space="preserve"> </v>
      </c>
      <c r="O139" s="30" t="str">
        <f>AL11</f>
        <v xml:space="preserve"> </v>
      </c>
      <c r="Q139" s="30" t="str">
        <f>AL31</f>
        <v xml:space="preserve"> </v>
      </c>
      <c r="S139" s="30" t="str">
        <f>BG11</f>
        <v xml:space="preserve"> </v>
      </c>
      <c r="V139" s="30" t="str">
        <f>BG31</f>
        <v xml:space="preserve"> </v>
      </c>
      <c r="X139" s="30" t="str">
        <f>AL15</f>
        <v xml:space="preserve"> </v>
      </c>
      <c r="Z139" s="30" t="str">
        <f>AL35</f>
        <v xml:space="preserve"> </v>
      </c>
      <c r="AB139" s="30" t="str">
        <f>BG15</f>
        <v xml:space="preserve"> </v>
      </c>
      <c r="AD139" s="30" t="str">
        <f>BG35</f>
        <v xml:space="preserve"> </v>
      </c>
      <c r="AF139" s="30" t="str">
        <f>AL19</f>
        <v xml:space="preserve"> </v>
      </c>
      <c r="AH139" s="30" t="str">
        <f>AL39</f>
        <v xml:space="preserve"> </v>
      </c>
      <c r="AJ139" s="30" t="str">
        <f>BG19</f>
        <v xml:space="preserve"> </v>
      </c>
      <c r="AL139" s="30" t="str">
        <f>BG39</f>
        <v xml:space="preserve"> </v>
      </c>
      <c r="AQ139" s="30" t="str">
        <f>AL23</f>
        <v xml:space="preserve"> </v>
      </c>
      <c r="AS139" s="30" t="str">
        <f>AL43</f>
        <v xml:space="preserve"> </v>
      </c>
      <c r="AU139" s="30" t="str">
        <f>BG23</f>
        <v xml:space="preserve"> </v>
      </c>
      <c r="AW139" s="30" t="str">
        <f>BG43</f>
        <v xml:space="preserve"> </v>
      </c>
    </row>
    <row r="140" spans="5:49" x14ac:dyDescent="0.25">
      <c r="E140" s="227" t="str">
        <f>$AM4</f>
        <v xml:space="preserve"> </v>
      </c>
      <c r="G140" s="227" t="str">
        <f>$AM24</f>
        <v xml:space="preserve"> </v>
      </c>
      <c r="I140" s="227" t="str">
        <f>$BH4</f>
        <v xml:space="preserve"> </v>
      </c>
      <c r="K140" s="227" t="str">
        <f>$BH24</f>
        <v xml:space="preserve"> </v>
      </c>
      <c r="O140" s="227" t="str">
        <f>$AM8</f>
        <v xml:space="preserve"> </v>
      </c>
      <c r="Q140" s="227" t="str">
        <f>$AM28</f>
        <v xml:space="preserve"> </v>
      </c>
      <c r="S140" s="227" t="str">
        <f>$BH8</f>
        <v xml:space="preserve"> </v>
      </c>
      <c r="V140" s="227" t="str">
        <f>$BH28</f>
        <v xml:space="preserve"> </v>
      </c>
      <c r="X140" s="227" t="str">
        <f>$AM12</f>
        <v xml:space="preserve"> </v>
      </c>
      <c r="Z140" s="227" t="str">
        <f>$AM32</f>
        <v xml:space="preserve"> </v>
      </c>
      <c r="AB140" s="227" t="str">
        <f>$BH12</f>
        <v xml:space="preserve"> </v>
      </c>
      <c r="AD140" s="227" t="str">
        <f>$BH32</f>
        <v xml:space="preserve"> </v>
      </c>
      <c r="AF140" s="227" t="str">
        <f>$AM16</f>
        <v xml:space="preserve"> </v>
      </c>
      <c r="AH140" s="227" t="str">
        <f>$AM36</f>
        <v xml:space="preserve"> </v>
      </c>
      <c r="AJ140" s="227" t="str">
        <f>$BH16</f>
        <v xml:space="preserve"> </v>
      </c>
      <c r="AL140" s="227" t="str">
        <f>$BH36</f>
        <v xml:space="preserve"> </v>
      </c>
      <c r="AQ140" s="227" t="str">
        <f>$AM20</f>
        <v xml:space="preserve"> </v>
      </c>
      <c r="AS140" s="227" t="str">
        <f>$AM40</f>
        <v xml:space="preserve"> </v>
      </c>
      <c r="AU140" s="227" t="str">
        <f>$BH20</f>
        <v xml:space="preserve"> </v>
      </c>
      <c r="AW140" s="227" t="str">
        <f>$BH40</f>
        <v xml:space="preserve"> </v>
      </c>
    </row>
    <row r="141" spans="5:49" x14ac:dyDescent="0.25">
      <c r="E141" s="227" t="str">
        <f>$AM5</f>
        <v xml:space="preserve"> </v>
      </c>
      <c r="G141" s="227" t="str">
        <f>$AM25</f>
        <v xml:space="preserve"> </v>
      </c>
      <c r="I141" s="227" t="str">
        <f>$BH5</f>
        <v xml:space="preserve"> </v>
      </c>
      <c r="K141" s="227" t="str">
        <f>$BH25</f>
        <v xml:space="preserve"> </v>
      </c>
      <c r="O141" s="227" t="str">
        <f>$AM9</f>
        <v xml:space="preserve"> </v>
      </c>
      <c r="Q141" s="227" t="str">
        <f>$AM29</f>
        <v xml:space="preserve"> </v>
      </c>
      <c r="S141" s="227" t="str">
        <f>$BH9</f>
        <v xml:space="preserve"> </v>
      </c>
      <c r="V141" s="227" t="str">
        <f>$BH29</f>
        <v xml:space="preserve"> </v>
      </c>
      <c r="X141" s="227" t="str">
        <f>$AM13</f>
        <v xml:space="preserve"> </v>
      </c>
      <c r="Z141" s="227" t="str">
        <f>$AM33</f>
        <v xml:space="preserve"> </v>
      </c>
      <c r="AB141" s="227" t="str">
        <f>$BH13</f>
        <v xml:space="preserve"> </v>
      </c>
      <c r="AD141" s="227" t="str">
        <f>$BH33</f>
        <v xml:space="preserve"> </v>
      </c>
      <c r="AF141" s="227" t="str">
        <f>$AM17</f>
        <v xml:space="preserve"> </v>
      </c>
      <c r="AH141" s="227" t="str">
        <f>$AM37</f>
        <v xml:space="preserve"> </v>
      </c>
      <c r="AJ141" s="227" t="str">
        <f>$BH17</f>
        <v xml:space="preserve"> </v>
      </c>
      <c r="AL141" s="227" t="str">
        <f>$BH37</f>
        <v xml:space="preserve"> </v>
      </c>
      <c r="AQ141" s="227" t="str">
        <f>$AM21</f>
        <v xml:space="preserve"> </v>
      </c>
      <c r="AS141" s="227" t="str">
        <f>$AM41</f>
        <v xml:space="preserve"> </v>
      </c>
      <c r="AU141" s="227" t="str">
        <f>$BH21</f>
        <v xml:space="preserve"> </v>
      </c>
      <c r="AW141" s="227" t="str">
        <f>$BH41</f>
        <v xml:space="preserve"> </v>
      </c>
    </row>
    <row r="142" spans="5:49" x14ac:dyDescent="0.25">
      <c r="E142" s="227" t="str">
        <f>$AM6</f>
        <v xml:space="preserve"> </v>
      </c>
      <c r="G142" s="227" t="str">
        <f>$AM26</f>
        <v xml:space="preserve"> </v>
      </c>
      <c r="I142" s="227" t="str">
        <f>$BH6</f>
        <v xml:space="preserve"> </v>
      </c>
      <c r="K142" s="227" t="str">
        <f>$BH26</f>
        <v xml:space="preserve"> </v>
      </c>
      <c r="O142" s="227" t="str">
        <f>$AM10</f>
        <v xml:space="preserve"> </v>
      </c>
      <c r="Q142" s="227" t="str">
        <f>$AM30</f>
        <v xml:space="preserve"> </v>
      </c>
      <c r="S142" s="227" t="str">
        <f>$BH10</f>
        <v xml:space="preserve"> </v>
      </c>
      <c r="V142" s="227" t="str">
        <f>$BH30</f>
        <v xml:space="preserve"> </v>
      </c>
      <c r="X142" s="227" t="str">
        <f>$AM14</f>
        <v xml:space="preserve"> </v>
      </c>
      <c r="Z142" s="227" t="str">
        <f>$AM34</f>
        <v xml:space="preserve"> </v>
      </c>
      <c r="AB142" s="227" t="str">
        <f>$BH14</f>
        <v xml:space="preserve"> </v>
      </c>
      <c r="AD142" s="227" t="str">
        <f>$BH34</f>
        <v xml:space="preserve"> </v>
      </c>
      <c r="AF142" s="227" t="str">
        <f>$AM18</f>
        <v xml:space="preserve"> </v>
      </c>
      <c r="AH142" s="227" t="str">
        <f>$AM38</f>
        <v xml:space="preserve"> </v>
      </c>
      <c r="AJ142" s="227" t="str">
        <f>$BH18</f>
        <v xml:space="preserve"> </v>
      </c>
      <c r="AL142" s="227" t="str">
        <f>$BH38</f>
        <v xml:space="preserve"> </v>
      </c>
      <c r="AQ142" s="227" t="str">
        <f>$AM22</f>
        <v xml:space="preserve"> </v>
      </c>
      <c r="AS142" s="227" t="str">
        <f>$AM42</f>
        <v xml:space="preserve"> </v>
      </c>
      <c r="AU142" s="227" t="str">
        <f>$BH22</f>
        <v xml:space="preserve"> </v>
      </c>
      <c r="AW142" s="227" t="str">
        <f>$BH42</f>
        <v xml:space="preserve"> </v>
      </c>
    </row>
    <row r="143" spans="5:49" x14ac:dyDescent="0.25">
      <c r="E143" s="227" t="str">
        <f>$AM7</f>
        <v xml:space="preserve"> </v>
      </c>
      <c r="G143" s="227" t="str">
        <f>$AM27</f>
        <v xml:space="preserve"> </v>
      </c>
      <c r="I143" s="227" t="str">
        <f>$BH7</f>
        <v xml:space="preserve"> </v>
      </c>
      <c r="K143" s="227" t="str">
        <f>$BH27</f>
        <v xml:space="preserve"> </v>
      </c>
      <c r="O143" s="227" t="str">
        <f>$AM11</f>
        <v xml:space="preserve"> </v>
      </c>
      <c r="Q143" s="227" t="str">
        <f>$AM31</f>
        <v xml:space="preserve"> </v>
      </c>
      <c r="S143" s="227" t="str">
        <f>$BH11</f>
        <v xml:space="preserve"> </v>
      </c>
      <c r="V143" s="227" t="str">
        <f>$BH31</f>
        <v xml:space="preserve"> </v>
      </c>
      <c r="X143" s="227" t="str">
        <f>$AM15</f>
        <v xml:space="preserve"> </v>
      </c>
      <c r="Z143" s="227" t="str">
        <f>$AM35</f>
        <v xml:space="preserve"> </v>
      </c>
      <c r="AB143" s="227" t="str">
        <f>$BH15</f>
        <v xml:space="preserve"> </v>
      </c>
      <c r="AD143" s="227" t="str">
        <f>$BH35</f>
        <v xml:space="preserve"> </v>
      </c>
      <c r="AF143" s="227" t="str">
        <f>$AM19</f>
        <v xml:space="preserve"> </v>
      </c>
      <c r="AH143" s="227" t="str">
        <f>$AM39</f>
        <v xml:space="preserve"> </v>
      </c>
      <c r="AJ143" s="227" t="str">
        <f>$BH19</f>
        <v xml:space="preserve"> </v>
      </c>
      <c r="AL143" s="227" t="str">
        <f>$BH39</f>
        <v xml:space="preserve"> </v>
      </c>
      <c r="AQ143" s="227" t="str">
        <f>$AM23</f>
        <v xml:space="preserve"> </v>
      </c>
      <c r="AS143" s="227" t="str">
        <f>$AM43</f>
        <v xml:space="preserve"> </v>
      </c>
      <c r="AU143" s="227" t="str">
        <f>$BH23</f>
        <v xml:space="preserve"> </v>
      </c>
      <c r="AW143" s="227" t="str">
        <f>$BH43</f>
        <v xml:space="preserve"> </v>
      </c>
    </row>
    <row r="144" spans="5:49" x14ac:dyDescent="0.25">
      <c r="E144" s="232" t="str">
        <f>$AN4</f>
        <v xml:space="preserve"> </v>
      </c>
      <c r="F144" s="25"/>
      <c r="G144" s="232" t="str">
        <f>$AN24</f>
        <v xml:space="preserve"> </v>
      </c>
      <c r="H144" s="25"/>
      <c r="I144" s="232" t="str">
        <f>$BI4</f>
        <v xml:space="preserve"> </v>
      </c>
      <c r="J144" s="25"/>
      <c r="K144" s="232" t="str">
        <f>$BI24</f>
        <v xml:space="preserve"> </v>
      </c>
      <c r="O144" s="232" t="str">
        <f>$AN8</f>
        <v xml:space="preserve"> </v>
      </c>
      <c r="P144" s="25"/>
      <c r="Q144" s="232" t="str">
        <f>$AN28</f>
        <v xml:space="preserve"> </v>
      </c>
      <c r="R144" s="25"/>
      <c r="S144" s="232" t="str">
        <f>$BI8</f>
        <v xml:space="preserve"> </v>
      </c>
      <c r="T144" s="25"/>
      <c r="U144" s="25"/>
      <c r="V144" s="232" t="str">
        <f>$BI28</f>
        <v xml:space="preserve"> </v>
      </c>
      <c r="X144" s="232" t="str">
        <f>$AN12</f>
        <v xml:space="preserve"> </v>
      </c>
      <c r="Y144" s="25"/>
      <c r="Z144" s="232" t="str">
        <f>$AN32</f>
        <v xml:space="preserve"> </v>
      </c>
      <c r="AA144" s="25"/>
      <c r="AB144" s="232" t="str">
        <f>$BI12</f>
        <v xml:space="preserve"> </v>
      </c>
      <c r="AC144" s="25"/>
      <c r="AD144" s="232" t="str">
        <f>$BI32</f>
        <v xml:space="preserve"> </v>
      </c>
      <c r="AF144" s="232" t="str">
        <f>$AN16</f>
        <v xml:space="preserve"> </v>
      </c>
      <c r="AG144" s="25"/>
      <c r="AH144" s="232" t="str">
        <f>$AN36</f>
        <v xml:space="preserve"> </v>
      </c>
      <c r="AI144" s="25"/>
      <c r="AJ144" s="232" t="str">
        <f>$BI16</f>
        <v xml:space="preserve"> </v>
      </c>
      <c r="AK144" s="25"/>
      <c r="AL144" s="232" t="str">
        <f>$BI36</f>
        <v xml:space="preserve"> </v>
      </c>
      <c r="AQ144" s="232" t="str">
        <f>$AN20</f>
        <v xml:space="preserve"> </v>
      </c>
      <c r="AR144" s="25"/>
      <c r="AS144" s="232" t="str">
        <f>$AN40</f>
        <v xml:space="preserve"> </v>
      </c>
      <c r="AT144" s="25"/>
      <c r="AU144" s="232" t="str">
        <f>$BI20</f>
        <v xml:space="preserve"> </v>
      </c>
      <c r="AV144" s="25"/>
      <c r="AW144" s="232" t="str">
        <f>$BI40</f>
        <v xml:space="preserve"> </v>
      </c>
    </row>
    <row r="145" spans="3:50" x14ac:dyDescent="0.25">
      <c r="E145" s="227" t="str">
        <f>$AN5</f>
        <v xml:space="preserve"> </v>
      </c>
      <c r="G145" s="227" t="str">
        <f>$AN25</f>
        <v xml:space="preserve"> </v>
      </c>
      <c r="I145" s="227" t="str">
        <f>$BI5</f>
        <v xml:space="preserve"> </v>
      </c>
      <c r="K145" s="227" t="str">
        <f>$BI25</f>
        <v xml:space="preserve"> </v>
      </c>
      <c r="O145" s="227" t="str">
        <f>$AN9</f>
        <v xml:space="preserve"> </v>
      </c>
      <c r="Q145" s="227" t="str">
        <f>$AN29</f>
        <v xml:space="preserve"> </v>
      </c>
      <c r="S145" s="227" t="str">
        <f>$BI9</f>
        <v xml:space="preserve"> </v>
      </c>
      <c r="V145" s="227" t="str">
        <f>$BI29</f>
        <v xml:space="preserve"> </v>
      </c>
      <c r="X145" s="227" t="str">
        <f>$AN13</f>
        <v xml:space="preserve"> </v>
      </c>
      <c r="Z145" s="227" t="str">
        <f>$AN33</f>
        <v xml:space="preserve"> </v>
      </c>
      <c r="AB145" s="227" t="str">
        <f>$BI13</f>
        <v xml:space="preserve"> </v>
      </c>
      <c r="AD145" s="227" t="str">
        <f>$BI33</f>
        <v xml:space="preserve"> </v>
      </c>
      <c r="AF145" s="227" t="str">
        <f>$AN17</f>
        <v xml:space="preserve"> </v>
      </c>
      <c r="AH145" s="227" t="str">
        <f>$AN37</f>
        <v xml:space="preserve"> </v>
      </c>
      <c r="AJ145" s="227" t="str">
        <f>$BI17</f>
        <v xml:space="preserve"> </v>
      </c>
      <c r="AL145" s="227" t="str">
        <f>$BI37</f>
        <v xml:space="preserve"> </v>
      </c>
      <c r="AQ145" s="227" t="str">
        <f>$AN21</f>
        <v xml:space="preserve"> </v>
      </c>
      <c r="AS145" s="227" t="str">
        <f>$AN41</f>
        <v xml:space="preserve"> </v>
      </c>
      <c r="AU145" s="227" t="str">
        <f>$BI21</f>
        <v xml:space="preserve"> </v>
      </c>
      <c r="AW145" s="227" t="str">
        <f>$BI41</f>
        <v xml:space="preserve"> </v>
      </c>
    </row>
    <row r="146" spans="3:50" x14ac:dyDescent="0.25">
      <c r="E146" s="227" t="str">
        <f>$AN6</f>
        <v xml:space="preserve"> </v>
      </c>
      <c r="G146" s="227" t="str">
        <f>$AN26</f>
        <v xml:space="preserve"> </v>
      </c>
      <c r="I146" s="227" t="str">
        <f>$BI6</f>
        <v xml:space="preserve"> </v>
      </c>
      <c r="K146" s="227" t="str">
        <f>$BI26</f>
        <v xml:space="preserve"> </v>
      </c>
      <c r="O146" s="227" t="str">
        <f>$AN10</f>
        <v xml:space="preserve"> </v>
      </c>
      <c r="Q146" s="227" t="str">
        <f>$AN30</f>
        <v xml:space="preserve"> </v>
      </c>
      <c r="S146" s="227" t="str">
        <f>$BI10</f>
        <v xml:space="preserve"> </v>
      </c>
      <c r="V146" s="227" t="str">
        <f>$BI30</f>
        <v xml:space="preserve"> </v>
      </c>
      <c r="X146" s="227" t="str">
        <f>$AN14</f>
        <v xml:space="preserve"> </v>
      </c>
      <c r="Z146" s="227" t="str">
        <f>$AN34</f>
        <v xml:space="preserve"> </v>
      </c>
      <c r="AB146" s="227" t="str">
        <f>$BI14</f>
        <v xml:space="preserve"> </v>
      </c>
      <c r="AD146" s="227" t="str">
        <f>$BI34</f>
        <v xml:space="preserve"> </v>
      </c>
      <c r="AF146" s="227" t="str">
        <f>$AN18</f>
        <v xml:space="preserve"> </v>
      </c>
      <c r="AH146" s="227" t="str">
        <f>$AN38</f>
        <v xml:space="preserve"> </v>
      </c>
      <c r="AJ146" s="227" t="str">
        <f>$BI18</f>
        <v xml:space="preserve"> </v>
      </c>
      <c r="AL146" s="227" t="str">
        <f>$BI38</f>
        <v xml:space="preserve"> </v>
      </c>
      <c r="AQ146" s="227" t="str">
        <f>$AN22</f>
        <v xml:space="preserve"> </v>
      </c>
      <c r="AS146" s="227" t="str">
        <f>$AN42</f>
        <v xml:space="preserve"> </v>
      </c>
      <c r="AU146" s="227" t="str">
        <f>$BI22</f>
        <v xml:space="preserve"> </v>
      </c>
      <c r="AW146" s="227" t="str">
        <f>$BI42</f>
        <v xml:space="preserve"> </v>
      </c>
    </row>
    <row r="147" spans="3:50" x14ac:dyDescent="0.25">
      <c r="E147" s="233" t="str">
        <f>$AN7</f>
        <v xml:space="preserve"> </v>
      </c>
      <c r="F147" s="30"/>
      <c r="G147" s="233" t="str">
        <f>$AN27</f>
        <v xml:space="preserve"> </v>
      </c>
      <c r="H147" s="30"/>
      <c r="I147" s="233" t="str">
        <f>$BI7</f>
        <v xml:space="preserve"> </v>
      </c>
      <c r="J147" s="30"/>
      <c r="K147" s="233" t="str">
        <f>$BI27</f>
        <v xml:space="preserve"> </v>
      </c>
      <c r="O147" s="233" t="str">
        <f>$AN11</f>
        <v xml:space="preserve"> </v>
      </c>
      <c r="P147" s="30"/>
      <c r="Q147" s="233" t="str">
        <f>$AN31</f>
        <v xml:space="preserve"> </v>
      </c>
      <c r="R147" s="30"/>
      <c r="S147" s="233" t="str">
        <f>$BI11</f>
        <v xml:space="preserve"> </v>
      </c>
      <c r="T147" s="30"/>
      <c r="U147" s="30"/>
      <c r="V147" s="233" t="str">
        <f>$BI31</f>
        <v xml:space="preserve"> </v>
      </c>
      <c r="X147" s="233" t="str">
        <f>$AN15</f>
        <v xml:space="preserve"> </v>
      </c>
      <c r="Y147" s="30"/>
      <c r="Z147" s="233" t="str">
        <f>$AN35</f>
        <v xml:space="preserve"> </v>
      </c>
      <c r="AA147" s="30"/>
      <c r="AB147" s="233" t="str">
        <f>$BI15</f>
        <v xml:space="preserve"> </v>
      </c>
      <c r="AC147" s="30"/>
      <c r="AD147" s="233" t="str">
        <f>$BI35</f>
        <v xml:space="preserve"> </v>
      </c>
      <c r="AF147" s="233" t="str">
        <f>$AN19</f>
        <v xml:space="preserve"> </v>
      </c>
      <c r="AG147" s="30"/>
      <c r="AH147" s="233" t="str">
        <f>$AN39</f>
        <v xml:space="preserve"> </v>
      </c>
      <c r="AI147" s="30"/>
      <c r="AJ147" s="233" t="str">
        <f>$BI19</f>
        <v xml:space="preserve"> </v>
      </c>
      <c r="AK147" s="30"/>
      <c r="AL147" s="233" t="str">
        <f>$BI39</f>
        <v xml:space="preserve"> </v>
      </c>
      <c r="AQ147" s="233" t="str">
        <f>$AN23</f>
        <v xml:space="preserve"> </v>
      </c>
      <c r="AR147" s="30"/>
      <c r="AS147" s="233" t="str">
        <f>$AN43</f>
        <v xml:space="preserve"> </v>
      </c>
      <c r="AT147" s="30"/>
      <c r="AU147" s="233" t="str">
        <f>$BI23</f>
        <v xml:space="preserve"> </v>
      </c>
      <c r="AV147" s="30"/>
      <c r="AW147" s="233" t="str">
        <f>$BI43</f>
        <v xml:space="preserve"> </v>
      </c>
    </row>
    <row r="148" spans="3:50" x14ac:dyDescent="0.25">
      <c r="E148" s="232" t="str">
        <f>$AO4</f>
        <v xml:space="preserve"> </v>
      </c>
      <c r="F148" s="25"/>
      <c r="G148" s="232" t="str">
        <f>$AO24</f>
        <v xml:space="preserve"> </v>
      </c>
      <c r="H148" s="25"/>
      <c r="I148" s="232" t="str">
        <f>$BJ4</f>
        <v xml:space="preserve"> </v>
      </c>
      <c r="J148" s="25"/>
      <c r="K148" s="232" t="str">
        <f>$BJ24</f>
        <v xml:space="preserve"> </v>
      </c>
      <c r="O148" s="232" t="str">
        <f>$AO8</f>
        <v xml:space="preserve"> </v>
      </c>
      <c r="P148" s="25"/>
      <c r="Q148" s="232" t="str">
        <f>$AO28</f>
        <v xml:space="preserve"> </v>
      </c>
      <c r="R148" s="25"/>
      <c r="S148" s="232" t="str">
        <f>$BJ8</f>
        <v xml:space="preserve"> </v>
      </c>
      <c r="T148" s="25"/>
      <c r="U148" s="25"/>
      <c r="V148" s="232" t="str">
        <f>$BJ28</f>
        <v xml:space="preserve"> </v>
      </c>
      <c r="X148" s="232" t="str">
        <f>$AO12</f>
        <v xml:space="preserve"> </v>
      </c>
      <c r="Y148" s="25"/>
      <c r="Z148" s="232" t="str">
        <f>$AO32</f>
        <v xml:space="preserve"> </v>
      </c>
      <c r="AA148" s="25"/>
      <c r="AB148" s="232" t="str">
        <f>$BJ12</f>
        <v xml:space="preserve"> </v>
      </c>
      <c r="AC148" s="25"/>
      <c r="AD148" s="232" t="str">
        <f>$BJ32</f>
        <v xml:space="preserve"> </v>
      </c>
      <c r="AF148" s="232" t="str">
        <f>$AO16</f>
        <v xml:space="preserve"> </v>
      </c>
      <c r="AG148" s="25"/>
      <c r="AH148" s="232" t="str">
        <f>$AO36</f>
        <v xml:space="preserve"> </v>
      </c>
      <c r="AI148" s="25"/>
      <c r="AJ148" s="232" t="str">
        <f>$BJ16</f>
        <v xml:space="preserve"> </v>
      </c>
      <c r="AK148" s="25"/>
      <c r="AL148" s="232" t="str">
        <f>$BJ36</f>
        <v xml:space="preserve"> </v>
      </c>
      <c r="AQ148" s="232" t="str">
        <f>$AO20</f>
        <v xml:space="preserve"> </v>
      </c>
      <c r="AR148" s="25"/>
      <c r="AS148" s="232" t="str">
        <f>$AO40</f>
        <v xml:space="preserve"> </v>
      </c>
      <c r="AT148" s="25"/>
      <c r="AU148" s="232" t="str">
        <f>$BJ20</f>
        <v xml:space="preserve"> </v>
      </c>
      <c r="AV148" s="25"/>
      <c r="AW148" s="232" t="str">
        <f>$BJ40</f>
        <v xml:space="preserve"> </v>
      </c>
    </row>
    <row r="149" spans="3:50" x14ac:dyDescent="0.25">
      <c r="E149" s="227" t="str">
        <f>$AO5</f>
        <v xml:space="preserve"> </v>
      </c>
      <c r="G149" s="227" t="str">
        <f>$AO25</f>
        <v xml:space="preserve"> </v>
      </c>
      <c r="I149" s="227" t="str">
        <f>$BJ5</f>
        <v xml:space="preserve"> </v>
      </c>
      <c r="K149" s="227" t="str">
        <f>$BJ25</f>
        <v xml:space="preserve"> </v>
      </c>
      <c r="O149" s="227" t="str">
        <f>$AO9</f>
        <v xml:space="preserve"> </v>
      </c>
      <c r="Q149" s="227" t="str">
        <f>$AO29</f>
        <v xml:space="preserve"> </v>
      </c>
      <c r="S149" s="227" t="str">
        <f>$BJ9</f>
        <v xml:space="preserve"> </v>
      </c>
      <c r="V149" s="227" t="str">
        <f>$BJ29</f>
        <v xml:space="preserve"> </v>
      </c>
      <c r="X149" s="227" t="str">
        <f>$AO13</f>
        <v xml:space="preserve"> </v>
      </c>
      <c r="Z149" s="227" t="str">
        <f>$AO33</f>
        <v xml:space="preserve"> </v>
      </c>
      <c r="AB149" s="227" t="str">
        <f>$BJ13</f>
        <v xml:space="preserve"> </v>
      </c>
      <c r="AD149" s="227" t="str">
        <f>$BJ33</f>
        <v xml:space="preserve"> </v>
      </c>
      <c r="AF149" s="227" t="str">
        <f>$AO17</f>
        <v xml:space="preserve"> </v>
      </c>
      <c r="AH149" s="227" t="str">
        <f>$AO37</f>
        <v xml:space="preserve"> </v>
      </c>
      <c r="AJ149" s="227" t="str">
        <f>$BJ17</f>
        <v xml:space="preserve"> </v>
      </c>
      <c r="AL149" s="227" t="str">
        <f>$BJ37</f>
        <v xml:space="preserve"> </v>
      </c>
      <c r="AQ149" s="227" t="str">
        <f>$AO21</f>
        <v xml:space="preserve"> </v>
      </c>
      <c r="AS149" s="227" t="str">
        <f>$AO41</f>
        <v xml:space="preserve"> </v>
      </c>
      <c r="AU149" s="227" t="str">
        <f>$BJ21</f>
        <v xml:space="preserve"> </v>
      </c>
      <c r="AW149" s="227" t="str">
        <f>$BJ41</f>
        <v xml:space="preserve"> </v>
      </c>
    </row>
    <row r="150" spans="3:50" x14ac:dyDescent="0.25">
      <c r="E150" s="227" t="str">
        <f>$AO6</f>
        <v xml:space="preserve"> </v>
      </c>
      <c r="G150" s="227" t="str">
        <f>$AO26</f>
        <v xml:space="preserve"> </v>
      </c>
      <c r="I150" s="227" t="str">
        <f>$BJ6</f>
        <v xml:space="preserve"> </v>
      </c>
      <c r="K150" s="227" t="str">
        <f>$BJ26</f>
        <v xml:space="preserve"> </v>
      </c>
      <c r="O150" s="227" t="str">
        <f>$AO10</f>
        <v xml:space="preserve"> </v>
      </c>
      <c r="Q150" s="227" t="str">
        <f>$AO30</f>
        <v xml:space="preserve"> </v>
      </c>
      <c r="S150" s="227" t="str">
        <f>$BJ10</f>
        <v xml:space="preserve"> </v>
      </c>
      <c r="V150" s="227" t="str">
        <f>$BJ30</f>
        <v xml:space="preserve"> </v>
      </c>
      <c r="X150" s="227" t="str">
        <f>$AO14</f>
        <v xml:space="preserve"> </v>
      </c>
      <c r="Z150" s="227" t="str">
        <f>$AO34</f>
        <v xml:space="preserve"> </v>
      </c>
      <c r="AB150" s="227" t="str">
        <f>$BJ14</f>
        <v xml:space="preserve"> </v>
      </c>
      <c r="AD150" s="227" t="str">
        <f>$BJ34</f>
        <v xml:space="preserve"> </v>
      </c>
      <c r="AF150" s="227" t="str">
        <f>$AO18</f>
        <v xml:space="preserve"> </v>
      </c>
      <c r="AH150" s="227" t="str">
        <f>$AO38</f>
        <v xml:space="preserve"> </v>
      </c>
      <c r="AJ150" s="227" t="str">
        <f>$BJ18</f>
        <v xml:space="preserve"> </v>
      </c>
      <c r="AL150" s="227" t="str">
        <f>$BJ38</f>
        <v xml:space="preserve"> </v>
      </c>
      <c r="AQ150" s="227" t="str">
        <f>$AO22</f>
        <v xml:space="preserve"> </v>
      </c>
      <c r="AS150" s="227" t="str">
        <f>$AO42</f>
        <v xml:space="preserve"> </v>
      </c>
      <c r="AU150" s="227" t="str">
        <f>$BJ22</f>
        <v xml:space="preserve"> </v>
      </c>
      <c r="AW150" s="227" t="str">
        <f>$BJ42</f>
        <v xml:space="preserve"> </v>
      </c>
    </row>
    <row r="151" spans="3:50" x14ac:dyDescent="0.25">
      <c r="E151" s="233" t="str">
        <f>$AO7</f>
        <v xml:space="preserve"> </v>
      </c>
      <c r="F151" s="30"/>
      <c r="G151" s="233" t="str">
        <f>$AO27</f>
        <v xml:space="preserve"> </v>
      </c>
      <c r="H151" s="30"/>
      <c r="I151" s="233" t="str">
        <f>$BJ7</f>
        <v xml:space="preserve"> </v>
      </c>
      <c r="J151" s="30"/>
      <c r="K151" s="233" t="str">
        <f>$BJ27</f>
        <v xml:space="preserve"> </v>
      </c>
      <c r="O151" s="233" t="str">
        <f>$AO11</f>
        <v xml:space="preserve"> </v>
      </c>
      <c r="P151" s="30"/>
      <c r="Q151" s="233" t="str">
        <f>$AO31</f>
        <v xml:space="preserve"> </v>
      </c>
      <c r="R151" s="30"/>
      <c r="S151" s="233" t="str">
        <f>$BJ11</f>
        <v xml:space="preserve"> </v>
      </c>
      <c r="T151" s="30"/>
      <c r="U151" s="30"/>
      <c r="V151" s="233" t="str">
        <f>$BJ31</f>
        <v xml:space="preserve"> </v>
      </c>
      <c r="X151" s="233" t="str">
        <f>$AO15</f>
        <v xml:space="preserve"> </v>
      </c>
      <c r="Y151" s="30"/>
      <c r="Z151" s="233" t="str">
        <f>$AO35</f>
        <v xml:space="preserve"> </v>
      </c>
      <c r="AA151" s="30"/>
      <c r="AB151" s="233" t="str">
        <f>$BJ15</f>
        <v xml:space="preserve"> </v>
      </c>
      <c r="AC151" s="30"/>
      <c r="AD151" s="233" t="str">
        <f>$BJ35</f>
        <v xml:space="preserve"> </v>
      </c>
      <c r="AF151" s="233" t="str">
        <f>$AO19</f>
        <v xml:space="preserve"> </v>
      </c>
      <c r="AG151" s="30"/>
      <c r="AH151" s="233" t="str">
        <f>$AO39</f>
        <v xml:space="preserve"> </v>
      </c>
      <c r="AI151" s="30"/>
      <c r="AJ151" s="233" t="str">
        <f>$BJ19</f>
        <v xml:space="preserve"> </v>
      </c>
      <c r="AK151" s="30"/>
      <c r="AL151" s="233" t="str">
        <f>$BJ39</f>
        <v xml:space="preserve"> </v>
      </c>
      <c r="AQ151" s="233" t="str">
        <f>$AO23</f>
        <v xml:space="preserve"> </v>
      </c>
      <c r="AR151" s="30"/>
      <c r="AS151" s="233" t="str">
        <f>$AO43</f>
        <v xml:space="preserve"> </v>
      </c>
      <c r="AT151" s="30"/>
      <c r="AU151" s="233" t="str">
        <f>$BJ23</f>
        <v xml:space="preserve"> </v>
      </c>
      <c r="AV151" s="30"/>
      <c r="AW151" s="233" t="str">
        <f>$BJ43</f>
        <v xml:space="preserve"> </v>
      </c>
    </row>
    <row r="152" spans="3:50" x14ac:dyDescent="0.25">
      <c r="E152" s="227" t="str">
        <f>$AP4</f>
        <v xml:space="preserve"> </v>
      </c>
      <c r="G152" s="227" t="str">
        <f>$AP24</f>
        <v xml:space="preserve"> </v>
      </c>
      <c r="I152" s="227" t="str">
        <f>$BK4</f>
        <v xml:space="preserve"> </v>
      </c>
      <c r="K152" s="227" t="str">
        <f>$BK24</f>
        <v xml:space="preserve"> </v>
      </c>
      <c r="O152" s="227" t="str">
        <f>$AP8</f>
        <v xml:space="preserve"> </v>
      </c>
      <c r="Q152" s="227" t="str">
        <f>$AP28</f>
        <v xml:space="preserve"> </v>
      </c>
      <c r="S152" s="227" t="str">
        <f>$BK8</f>
        <v xml:space="preserve"> </v>
      </c>
      <c r="V152" s="227" t="str">
        <f>$BK28</f>
        <v xml:space="preserve"> </v>
      </c>
      <c r="X152" s="227" t="str">
        <f>$AP12</f>
        <v xml:space="preserve"> </v>
      </c>
      <c r="Z152" s="227" t="str">
        <f>$AP32</f>
        <v xml:space="preserve"> </v>
      </c>
      <c r="AB152" s="227" t="str">
        <f>$BK12</f>
        <v xml:space="preserve"> </v>
      </c>
      <c r="AD152" s="227" t="str">
        <f>$BK32</f>
        <v xml:space="preserve"> </v>
      </c>
      <c r="AF152" s="227" t="str">
        <f>$AP16</f>
        <v xml:space="preserve"> </v>
      </c>
      <c r="AH152" s="227" t="str">
        <f>$AP36</f>
        <v xml:space="preserve"> </v>
      </c>
      <c r="AJ152" s="227" t="str">
        <f>$BK16</f>
        <v xml:space="preserve"> </v>
      </c>
      <c r="AL152" s="227" t="str">
        <f>$BK36</f>
        <v xml:space="preserve"> </v>
      </c>
      <c r="AQ152" s="227" t="str">
        <f>$AP20</f>
        <v xml:space="preserve"> </v>
      </c>
      <c r="AS152" s="227" t="str">
        <f>$AP40</f>
        <v xml:space="preserve"> </v>
      </c>
      <c r="AU152" s="227" t="str">
        <f>$BK20</f>
        <v xml:space="preserve"> </v>
      </c>
      <c r="AW152" s="227" t="str">
        <f>$BK40</f>
        <v xml:space="preserve"> </v>
      </c>
    </row>
    <row r="153" spans="3:50" x14ac:dyDescent="0.25">
      <c r="E153" s="227" t="str">
        <f>$AP5</f>
        <v xml:space="preserve"> </v>
      </c>
      <c r="G153" s="227" t="str">
        <f>$AP25</f>
        <v xml:space="preserve"> </v>
      </c>
      <c r="I153" s="227" t="str">
        <f>$BK5</f>
        <v xml:space="preserve"> </v>
      </c>
      <c r="K153" s="227" t="str">
        <f>$BK25</f>
        <v xml:space="preserve"> </v>
      </c>
      <c r="O153" s="227" t="str">
        <f>$AP9</f>
        <v xml:space="preserve"> </v>
      </c>
      <c r="Q153" s="227" t="str">
        <f>$AP29</f>
        <v xml:space="preserve"> </v>
      </c>
      <c r="S153" s="227" t="str">
        <f>$BK9</f>
        <v xml:space="preserve"> </v>
      </c>
      <c r="V153" s="227" t="str">
        <f>$BK29</f>
        <v xml:space="preserve"> </v>
      </c>
      <c r="X153" s="227" t="str">
        <f>$AP13</f>
        <v xml:space="preserve"> </v>
      </c>
      <c r="Z153" s="227" t="str">
        <f>$AP33</f>
        <v xml:space="preserve"> </v>
      </c>
      <c r="AB153" s="227" t="str">
        <f>$BK13</f>
        <v xml:space="preserve"> </v>
      </c>
      <c r="AD153" s="227" t="str">
        <f>$BK33</f>
        <v xml:space="preserve"> </v>
      </c>
      <c r="AF153" s="227" t="str">
        <f>$AP17</f>
        <v xml:space="preserve"> </v>
      </c>
      <c r="AH153" s="227" t="str">
        <f>$AP37</f>
        <v xml:space="preserve"> </v>
      </c>
      <c r="AJ153" s="227" t="str">
        <f>$BK17</f>
        <v xml:space="preserve"> </v>
      </c>
      <c r="AL153" s="227" t="str">
        <f>$BK37</f>
        <v xml:space="preserve"> </v>
      </c>
      <c r="AQ153" s="227" t="str">
        <f>$AP21</f>
        <v xml:space="preserve"> </v>
      </c>
      <c r="AS153" s="227" t="str">
        <f>$AP41</f>
        <v xml:space="preserve"> </v>
      </c>
      <c r="AU153" s="227" t="str">
        <f>$BK21</f>
        <v xml:space="preserve"> </v>
      </c>
      <c r="AW153" s="227" t="str">
        <f>$BK41</f>
        <v xml:space="preserve"> </v>
      </c>
    </row>
    <row r="154" spans="3:50" x14ac:dyDescent="0.25">
      <c r="E154" s="227" t="str">
        <f>$AP6</f>
        <v xml:space="preserve"> </v>
      </c>
      <c r="G154" s="227" t="str">
        <f>$AP26</f>
        <v xml:space="preserve"> </v>
      </c>
      <c r="I154" s="227" t="str">
        <f>$BK6</f>
        <v xml:space="preserve"> </v>
      </c>
      <c r="K154" s="227" t="str">
        <f>$BK26</f>
        <v xml:space="preserve"> </v>
      </c>
      <c r="O154" s="227" t="str">
        <f>$AP10</f>
        <v xml:space="preserve"> </v>
      </c>
      <c r="Q154" s="227" t="str">
        <f>$AP30</f>
        <v xml:space="preserve"> </v>
      </c>
      <c r="S154" s="227" t="str">
        <f>$BK10</f>
        <v xml:space="preserve"> </v>
      </c>
      <c r="V154" s="227" t="str">
        <f>$BK30</f>
        <v xml:space="preserve"> </v>
      </c>
      <c r="X154" s="227" t="str">
        <f>$AP14</f>
        <v xml:space="preserve"> </v>
      </c>
      <c r="Z154" s="227" t="str">
        <f>$AP34</f>
        <v xml:space="preserve"> </v>
      </c>
      <c r="AB154" s="227" t="str">
        <f>$BK14</f>
        <v xml:space="preserve"> </v>
      </c>
      <c r="AD154" s="227" t="str">
        <f>$BK34</f>
        <v xml:space="preserve"> </v>
      </c>
      <c r="AF154" s="227" t="str">
        <f>$AP18</f>
        <v xml:space="preserve"> </v>
      </c>
      <c r="AH154" s="227" t="str">
        <f>$AP38</f>
        <v xml:space="preserve"> </v>
      </c>
      <c r="AJ154" s="227" t="str">
        <f>$BK18</f>
        <v xml:space="preserve"> </v>
      </c>
      <c r="AL154" s="227" t="str">
        <f>$BK38</f>
        <v xml:space="preserve"> </v>
      </c>
      <c r="AQ154" s="227" t="str">
        <f>$AP22</f>
        <v xml:space="preserve"> </v>
      </c>
      <c r="AS154" s="227" t="str">
        <f>$AP42</f>
        <v xml:space="preserve"> </v>
      </c>
      <c r="AU154" s="227" t="str">
        <f>$BK22</f>
        <v xml:space="preserve"> </v>
      </c>
      <c r="AW154" s="227" t="str">
        <f>$BK42</f>
        <v xml:space="preserve"> </v>
      </c>
    </row>
    <row r="155" spans="3:50" x14ac:dyDescent="0.25">
      <c r="E155" s="227" t="str">
        <f>$AP7</f>
        <v xml:space="preserve"> </v>
      </c>
      <c r="G155" s="227" t="str">
        <f>$AP27</f>
        <v xml:space="preserve"> </v>
      </c>
      <c r="I155" s="227" t="str">
        <f>$BK7</f>
        <v xml:space="preserve"> </v>
      </c>
      <c r="K155" s="227" t="str">
        <f>$BK27</f>
        <v xml:space="preserve"> </v>
      </c>
      <c r="O155" s="227" t="str">
        <f>$AP11</f>
        <v xml:space="preserve"> </v>
      </c>
      <c r="Q155" s="227" t="str">
        <f>$AP31</f>
        <v xml:space="preserve"> </v>
      </c>
      <c r="S155" s="227" t="str">
        <f>$BK11</f>
        <v xml:space="preserve"> </v>
      </c>
      <c r="V155" s="227" t="str">
        <f>$BK31</f>
        <v xml:space="preserve"> </v>
      </c>
      <c r="X155" s="227" t="str">
        <f>$AP15</f>
        <v xml:space="preserve"> </v>
      </c>
      <c r="Z155" s="227" t="str">
        <f>$AP35</f>
        <v xml:space="preserve"> </v>
      </c>
      <c r="AB155" s="227" t="str">
        <f>$BK15</f>
        <v xml:space="preserve"> </v>
      </c>
      <c r="AD155" s="227" t="str">
        <f>$BK35</f>
        <v xml:space="preserve"> </v>
      </c>
      <c r="AF155" s="227" t="str">
        <f>$AP19</f>
        <v xml:space="preserve"> </v>
      </c>
      <c r="AH155" s="227" t="str">
        <f>$AP39</f>
        <v xml:space="preserve"> </v>
      </c>
      <c r="AJ155" s="227" t="str">
        <f>$BK19</f>
        <v xml:space="preserve"> </v>
      </c>
      <c r="AL155" s="227" t="str">
        <f>$BK39</f>
        <v xml:space="preserve"> </v>
      </c>
      <c r="AQ155" s="227" t="str">
        <f>$AP23</f>
        <v xml:space="preserve"> </v>
      </c>
      <c r="AS155" s="227" t="str">
        <f>$AP43</f>
        <v xml:space="preserve"> </v>
      </c>
      <c r="AU155" s="227" t="str">
        <f>$BK23</f>
        <v xml:space="preserve"> </v>
      </c>
      <c r="AW155" s="227" t="str">
        <f>$BK43</f>
        <v xml:space="preserve"> </v>
      </c>
    </row>
    <row r="157" spans="3:50" x14ac:dyDescent="0.25">
      <c r="C157">
        <v>1</v>
      </c>
      <c r="D157" t="str">
        <f t="shared" ref="D157:D188" si="15">IF(ISNUMBER(E157),C157,"")</f>
        <v/>
      </c>
      <c r="E157" s="24" t="str">
        <f t="shared" ref="E157:E188" si="16">IF(ISNUMBER(E92),-ABS(E92*$Q$52),"")</f>
        <v/>
      </c>
      <c r="F157" s="25" t="str">
        <f t="shared" ref="F157:F188" si="17">IF(ISNUMBER(F92),-ABS(F92),"")</f>
        <v/>
      </c>
      <c r="G157" s="25" t="str">
        <f t="shared" ref="G157:G188" si="18">IF(ISNUMBER(G92),ABS(G92*$Q$55),"")</f>
        <v/>
      </c>
      <c r="H157" s="25" t="str">
        <f t="shared" ref="H157:H188" si="19">IF(ISNUMBER(H92),ABS(H92),"")</f>
        <v/>
      </c>
      <c r="I157" s="25" t="str">
        <f t="shared" ref="I157:I188" si="20">IF(ISNUMBER(I92),-ABS(I92*$Q$52),"")</f>
        <v/>
      </c>
      <c r="J157" s="25" t="str">
        <f t="shared" ref="J157:J188" si="21">IF(ISNUMBER(J92),-ABS(J92),"")</f>
        <v/>
      </c>
      <c r="K157" s="26" t="str">
        <f t="shared" ref="K157:K188" si="22">IF(ISNUMBER(K92),ABS(K92*$Q$55),"")</f>
        <v/>
      </c>
      <c r="N157" t="str">
        <f t="shared" ref="N157:N188" si="23">IF(ISNUMBER(N92),ABS(N92),"")</f>
        <v/>
      </c>
      <c r="O157" s="24" t="str">
        <f t="shared" ref="O157:O188" si="24">IF(ISNUMBER(O92),-ABS(O92*$Q$58),"")</f>
        <v/>
      </c>
      <c r="P157" s="25" t="str">
        <f t="shared" ref="P157:P188" si="25">IF(ISNUMBER(P92),-ABS(P92),"")</f>
        <v/>
      </c>
      <c r="Q157" s="25" t="str">
        <f t="shared" ref="Q157:Q188" si="26">IF(ISNUMBER(Q92),ABS(Q92*$Q$61),"")</f>
        <v/>
      </c>
      <c r="R157" s="25" t="str">
        <f t="shared" ref="R157:R188" si="27">IF(ISNUMBER(R92),ABS(R92),"")</f>
        <v/>
      </c>
      <c r="S157" s="25" t="str">
        <f t="shared" ref="S157:S188" si="28">IF(ISNUMBER(S92),-ABS(S92*$Q$58),"")</f>
        <v/>
      </c>
      <c r="T157" s="25" t="str">
        <f t="shared" ref="T157:T188" si="29">IF(ISNUMBER(T92),-ABS(T92),"")</f>
        <v/>
      </c>
      <c r="U157" s="25"/>
      <c r="V157" s="26" t="str">
        <f t="shared" ref="V157:V188" si="30">IF(ISNUMBER(V92),ABS(V92*$Q$61),"")</f>
        <v/>
      </c>
      <c r="W157" t="str">
        <f t="shared" ref="W157:W188" si="31">IF(ISNUMBER(W92),ABS(W92),"")</f>
        <v/>
      </c>
      <c r="X157" s="24" t="str">
        <f t="shared" ref="X157:X188" si="32">IF(ISNUMBER(X92),-ABS(X92*$Q$64),"")</f>
        <v/>
      </c>
      <c r="Y157" s="25" t="str">
        <f t="shared" ref="Y157:Y188" si="33">IF(ISNUMBER(Y92),-ABS(Y92),"")</f>
        <v/>
      </c>
      <c r="Z157" s="25" t="str">
        <f t="shared" ref="Z157:Z188" si="34">IF(ISNUMBER(Z92),ABS(Z92*$Q$67),"")</f>
        <v/>
      </c>
      <c r="AA157" s="25" t="str">
        <f t="shared" ref="AA157:AA188" si="35">IF(ISNUMBER(AA92),ABS(AA92),"")</f>
        <v/>
      </c>
      <c r="AB157" s="25" t="str">
        <f t="shared" ref="AB157:AB188" si="36">IF(ISNUMBER(AB92),-ABS(AB92*$Q$64),"")</f>
        <v/>
      </c>
      <c r="AC157" s="25" t="str">
        <f t="shared" ref="AC157:AC188" si="37">IF(ISNUMBER(AC92),-ABS(AC92),"")</f>
        <v/>
      </c>
      <c r="AD157" s="26" t="str">
        <f t="shared" ref="AD157:AD188" si="38">IF(ISNUMBER(AD92),ABS(AD92*$Q$67),"")</f>
        <v/>
      </c>
      <c r="AE157" t="str">
        <f t="shared" ref="AE157:AE188" si="39">IF(ISNUMBER(AE92),ABS(AE92),"")</f>
        <v/>
      </c>
      <c r="AF157" s="24" t="str">
        <f t="shared" ref="AF157:AF188" si="40">IF(ISNUMBER(AF92),-ABS(AF92*$Q$70),"")</f>
        <v/>
      </c>
      <c r="AG157" s="25" t="str">
        <f t="shared" ref="AG157:AG188" si="41">IF(ISNUMBER(AG92),-ABS(AG92),"")</f>
        <v/>
      </c>
      <c r="AH157" s="25" t="str">
        <f t="shared" ref="AH157:AH188" si="42">IF(ISNUMBER(AH92),ABS(AH92*$Q$73),"")</f>
        <v/>
      </c>
      <c r="AI157" s="25" t="str">
        <f t="shared" ref="AI157:AI188" si="43">IF(ISNUMBER(AI92),ABS(AI92),"")</f>
        <v/>
      </c>
      <c r="AJ157" s="25" t="str">
        <f t="shared" ref="AJ157:AJ188" si="44">IF(ISNUMBER(AJ92),-ABS(AJ92*$Q$70),"")</f>
        <v/>
      </c>
      <c r="AK157" s="25" t="str">
        <f t="shared" ref="AK157:AK188" si="45">IF(ISNUMBER(AK92),-ABS(AK92),"")</f>
        <v/>
      </c>
      <c r="AL157" s="26" t="str">
        <f t="shared" ref="AL157:AL188" si="46">IF(ISNUMBER(AL92),ABS(AL92*$Q$73),"")</f>
        <v/>
      </c>
      <c r="AP157" t="str">
        <f t="shared" ref="AP157:AP188" si="47">IF(ISNUMBER(AP92),ABS(AP92),"")</f>
        <v/>
      </c>
      <c r="AQ157" s="24" t="str">
        <f t="shared" ref="AQ157:AQ188" si="48">IF(ISNUMBER(AQ92),-ABS(AQ92*$Q$76),"")</f>
        <v/>
      </c>
      <c r="AR157" s="25" t="str">
        <f t="shared" ref="AR157:AR188" si="49">IF(ISNUMBER(AR92),-ABS(AR92),"")</f>
        <v/>
      </c>
      <c r="AS157" s="25" t="str">
        <f t="shared" ref="AS157:AS188" si="50">IF(ISNUMBER(AS92),ABS(AS92*$Q$79),"")</f>
        <v/>
      </c>
      <c r="AT157" s="25" t="str">
        <f t="shared" ref="AT157:AT188" si="51">IF(ISNUMBER(AT92),ABS(AT92),"")</f>
        <v/>
      </c>
      <c r="AU157" s="25" t="str">
        <f t="shared" ref="AU157:AU188" si="52">IF(ISNUMBER(AU92),-ABS(AU92*$Q$76),"")</f>
        <v/>
      </c>
      <c r="AV157" s="25" t="str">
        <f t="shared" ref="AV157:AV188" si="53">IF(ISNUMBER(AV92),-ABS(AV92),"")</f>
        <v/>
      </c>
      <c r="AW157" s="26" t="str">
        <f t="shared" ref="AW157:AW188" si="54">IF(ISNUMBER(AW92),ABS(AW92*$Q$79),"")</f>
        <v/>
      </c>
      <c r="AX157" t="str">
        <f>IF(ISNUMBER(AX92),ABS(AX92),"")</f>
        <v/>
      </c>
    </row>
    <row r="158" spans="3:50" x14ac:dyDescent="0.25">
      <c r="C158">
        <v>2</v>
      </c>
      <c r="D158" t="str">
        <f t="shared" si="15"/>
        <v/>
      </c>
      <c r="E158" s="24" t="str">
        <f t="shared" si="16"/>
        <v/>
      </c>
      <c r="F158" s="25" t="str">
        <f t="shared" si="17"/>
        <v/>
      </c>
      <c r="G158" s="25" t="str">
        <f t="shared" si="18"/>
        <v/>
      </c>
      <c r="H158" s="25" t="str">
        <f t="shared" si="19"/>
        <v/>
      </c>
      <c r="I158" s="25" t="str">
        <f t="shared" si="20"/>
        <v/>
      </c>
      <c r="J158" s="25" t="str">
        <f t="shared" si="21"/>
        <v/>
      </c>
      <c r="K158" s="26" t="str">
        <f t="shared" si="22"/>
        <v/>
      </c>
      <c r="N158" t="str">
        <f t="shared" si="23"/>
        <v/>
      </c>
      <c r="O158" s="24" t="str">
        <f t="shared" si="24"/>
        <v/>
      </c>
      <c r="P158" s="25" t="str">
        <f t="shared" si="25"/>
        <v/>
      </c>
      <c r="Q158" s="25" t="str">
        <f t="shared" si="26"/>
        <v/>
      </c>
      <c r="R158" s="25" t="str">
        <f t="shared" si="27"/>
        <v/>
      </c>
      <c r="S158" s="25" t="str">
        <f t="shared" si="28"/>
        <v/>
      </c>
      <c r="T158" s="25" t="str">
        <f t="shared" si="29"/>
        <v/>
      </c>
      <c r="U158" s="25"/>
      <c r="V158" s="26" t="str">
        <f t="shared" si="30"/>
        <v/>
      </c>
      <c r="W158" t="str">
        <f t="shared" si="31"/>
        <v/>
      </c>
      <c r="X158" s="24" t="str">
        <f t="shared" si="32"/>
        <v/>
      </c>
      <c r="Y158" s="25" t="str">
        <f t="shared" si="33"/>
        <v/>
      </c>
      <c r="Z158" s="25" t="str">
        <f t="shared" si="34"/>
        <v/>
      </c>
      <c r="AA158" s="25" t="str">
        <f t="shared" si="35"/>
        <v/>
      </c>
      <c r="AB158" s="25" t="str">
        <f t="shared" si="36"/>
        <v/>
      </c>
      <c r="AC158" s="25" t="str">
        <f t="shared" si="37"/>
        <v/>
      </c>
      <c r="AD158" s="26" t="str">
        <f t="shared" si="38"/>
        <v/>
      </c>
      <c r="AE158" t="str">
        <f t="shared" si="39"/>
        <v/>
      </c>
      <c r="AF158" s="24" t="str">
        <f t="shared" si="40"/>
        <v/>
      </c>
      <c r="AG158" s="25" t="str">
        <f t="shared" si="41"/>
        <v/>
      </c>
      <c r="AH158" s="25" t="str">
        <f t="shared" si="42"/>
        <v/>
      </c>
      <c r="AI158" s="25" t="str">
        <f t="shared" si="43"/>
        <v/>
      </c>
      <c r="AJ158" s="25" t="str">
        <f t="shared" si="44"/>
        <v/>
      </c>
      <c r="AK158" s="25" t="str">
        <f t="shared" si="45"/>
        <v/>
      </c>
      <c r="AL158" s="26" t="str">
        <f t="shared" si="46"/>
        <v/>
      </c>
      <c r="AP158" t="str">
        <f t="shared" si="47"/>
        <v/>
      </c>
      <c r="AQ158" s="24" t="str">
        <f t="shared" si="48"/>
        <v/>
      </c>
      <c r="AR158" s="25" t="str">
        <f t="shared" si="49"/>
        <v/>
      </c>
      <c r="AS158" s="25" t="str">
        <f t="shared" si="50"/>
        <v/>
      </c>
      <c r="AT158" s="25" t="str">
        <f t="shared" si="51"/>
        <v/>
      </c>
      <c r="AU158" s="25" t="str">
        <f t="shared" si="52"/>
        <v/>
      </c>
      <c r="AV158" s="25" t="str">
        <f t="shared" si="53"/>
        <v/>
      </c>
      <c r="AW158" s="26" t="str">
        <f t="shared" si="54"/>
        <v/>
      </c>
    </row>
    <row r="159" spans="3:50" x14ac:dyDescent="0.25">
      <c r="C159">
        <v>3</v>
      </c>
      <c r="D159" t="str">
        <f t="shared" si="15"/>
        <v/>
      </c>
      <c r="E159" s="24" t="str">
        <f t="shared" si="16"/>
        <v/>
      </c>
      <c r="F159" s="25" t="str">
        <f t="shared" si="17"/>
        <v/>
      </c>
      <c r="G159" s="25" t="str">
        <f t="shared" si="18"/>
        <v/>
      </c>
      <c r="H159" s="25" t="str">
        <f t="shared" si="19"/>
        <v/>
      </c>
      <c r="I159" s="25" t="str">
        <f t="shared" si="20"/>
        <v/>
      </c>
      <c r="J159" s="25" t="str">
        <f t="shared" si="21"/>
        <v/>
      </c>
      <c r="K159" s="26" t="str">
        <f t="shared" si="22"/>
        <v/>
      </c>
      <c r="N159" t="str">
        <f t="shared" si="23"/>
        <v/>
      </c>
      <c r="O159" s="24" t="str">
        <f t="shared" si="24"/>
        <v/>
      </c>
      <c r="P159" s="25" t="str">
        <f t="shared" si="25"/>
        <v/>
      </c>
      <c r="Q159" s="25" t="str">
        <f t="shared" si="26"/>
        <v/>
      </c>
      <c r="R159" s="25" t="str">
        <f t="shared" si="27"/>
        <v/>
      </c>
      <c r="S159" s="25" t="str">
        <f t="shared" si="28"/>
        <v/>
      </c>
      <c r="T159" s="25" t="str">
        <f t="shared" si="29"/>
        <v/>
      </c>
      <c r="U159" s="25"/>
      <c r="V159" s="26" t="str">
        <f t="shared" si="30"/>
        <v/>
      </c>
      <c r="W159" t="str">
        <f t="shared" si="31"/>
        <v/>
      </c>
      <c r="X159" s="24" t="str">
        <f t="shared" si="32"/>
        <v/>
      </c>
      <c r="Y159" s="25" t="str">
        <f t="shared" si="33"/>
        <v/>
      </c>
      <c r="Z159" s="25" t="str">
        <f t="shared" si="34"/>
        <v/>
      </c>
      <c r="AA159" s="25" t="str">
        <f t="shared" si="35"/>
        <v/>
      </c>
      <c r="AB159" s="25" t="str">
        <f t="shared" si="36"/>
        <v/>
      </c>
      <c r="AC159" s="25" t="str">
        <f t="shared" si="37"/>
        <v/>
      </c>
      <c r="AD159" s="26" t="str">
        <f t="shared" si="38"/>
        <v/>
      </c>
      <c r="AE159" t="str">
        <f t="shared" si="39"/>
        <v/>
      </c>
      <c r="AF159" s="24" t="str">
        <f t="shared" si="40"/>
        <v/>
      </c>
      <c r="AG159" s="25" t="str">
        <f t="shared" si="41"/>
        <v/>
      </c>
      <c r="AH159" s="25" t="str">
        <f t="shared" si="42"/>
        <v/>
      </c>
      <c r="AI159" s="25" t="str">
        <f t="shared" si="43"/>
        <v/>
      </c>
      <c r="AJ159" s="25" t="str">
        <f t="shared" si="44"/>
        <v/>
      </c>
      <c r="AK159" s="25" t="str">
        <f t="shared" si="45"/>
        <v/>
      </c>
      <c r="AL159" s="26" t="str">
        <f t="shared" si="46"/>
        <v/>
      </c>
      <c r="AP159" t="str">
        <f t="shared" si="47"/>
        <v/>
      </c>
      <c r="AQ159" s="24" t="str">
        <f t="shared" si="48"/>
        <v/>
      </c>
      <c r="AR159" s="25" t="str">
        <f t="shared" si="49"/>
        <v/>
      </c>
      <c r="AS159" s="25" t="str">
        <f t="shared" si="50"/>
        <v/>
      </c>
      <c r="AT159" s="25" t="str">
        <f t="shared" si="51"/>
        <v/>
      </c>
      <c r="AU159" s="25" t="str">
        <f t="shared" si="52"/>
        <v/>
      </c>
      <c r="AV159" s="25" t="str">
        <f t="shared" si="53"/>
        <v/>
      </c>
      <c r="AW159" s="26" t="str">
        <f t="shared" si="54"/>
        <v/>
      </c>
    </row>
    <row r="160" spans="3:50" x14ac:dyDescent="0.25">
      <c r="C160">
        <v>4</v>
      </c>
      <c r="D160" t="str">
        <f t="shared" si="15"/>
        <v/>
      </c>
      <c r="E160" s="24" t="str">
        <f t="shared" si="16"/>
        <v/>
      </c>
      <c r="F160" s="25" t="str">
        <f t="shared" si="17"/>
        <v/>
      </c>
      <c r="G160" s="25" t="str">
        <f t="shared" si="18"/>
        <v/>
      </c>
      <c r="H160" s="25" t="str">
        <f t="shared" si="19"/>
        <v/>
      </c>
      <c r="I160" s="25" t="str">
        <f t="shared" si="20"/>
        <v/>
      </c>
      <c r="J160" s="25" t="str">
        <f t="shared" si="21"/>
        <v/>
      </c>
      <c r="K160" s="26" t="str">
        <f t="shared" si="22"/>
        <v/>
      </c>
      <c r="N160" t="str">
        <f t="shared" si="23"/>
        <v/>
      </c>
      <c r="O160" s="24" t="str">
        <f t="shared" si="24"/>
        <v/>
      </c>
      <c r="P160" s="25" t="str">
        <f t="shared" si="25"/>
        <v/>
      </c>
      <c r="Q160" s="25" t="str">
        <f t="shared" si="26"/>
        <v/>
      </c>
      <c r="R160" s="25" t="str">
        <f t="shared" si="27"/>
        <v/>
      </c>
      <c r="S160" s="25" t="str">
        <f t="shared" si="28"/>
        <v/>
      </c>
      <c r="T160" s="25" t="str">
        <f t="shared" si="29"/>
        <v/>
      </c>
      <c r="U160" s="25"/>
      <c r="V160" s="26" t="str">
        <f t="shared" si="30"/>
        <v/>
      </c>
      <c r="W160" t="str">
        <f t="shared" si="31"/>
        <v/>
      </c>
      <c r="X160" s="24" t="str">
        <f t="shared" si="32"/>
        <v/>
      </c>
      <c r="Y160" s="25" t="str">
        <f t="shared" si="33"/>
        <v/>
      </c>
      <c r="Z160" s="25" t="str">
        <f t="shared" si="34"/>
        <v/>
      </c>
      <c r="AA160" s="25" t="str">
        <f t="shared" si="35"/>
        <v/>
      </c>
      <c r="AB160" s="25" t="str">
        <f t="shared" si="36"/>
        <v/>
      </c>
      <c r="AC160" s="25" t="str">
        <f t="shared" si="37"/>
        <v/>
      </c>
      <c r="AD160" s="26" t="str">
        <f t="shared" si="38"/>
        <v/>
      </c>
      <c r="AE160" t="str">
        <f t="shared" si="39"/>
        <v/>
      </c>
      <c r="AF160" s="24" t="str">
        <f t="shared" si="40"/>
        <v/>
      </c>
      <c r="AG160" s="25" t="str">
        <f t="shared" si="41"/>
        <v/>
      </c>
      <c r="AH160" s="25" t="str">
        <f t="shared" si="42"/>
        <v/>
      </c>
      <c r="AI160" s="25" t="str">
        <f t="shared" si="43"/>
        <v/>
      </c>
      <c r="AJ160" s="25" t="str">
        <f t="shared" si="44"/>
        <v/>
      </c>
      <c r="AK160" s="25" t="str">
        <f t="shared" si="45"/>
        <v/>
      </c>
      <c r="AL160" s="26" t="str">
        <f t="shared" si="46"/>
        <v/>
      </c>
      <c r="AP160" t="str">
        <f t="shared" si="47"/>
        <v/>
      </c>
      <c r="AQ160" s="24" t="str">
        <f t="shared" si="48"/>
        <v/>
      </c>
      <c r="AR160" s="25" t="str">
        <f t="shared" si="49"/>
        <v/>
      </c>
      <c r="AS160" s="25" t="str">
        <f t="shared" si="50"/>
        <v/>
      </c>
      <c r="AT160" s="25" t="str">
        <f t="shared" si="51"/>
        <v/>
      </c>
      <c r="AU160" s="25" t="str">
        <f t="shared" si="52"/>
        <v/>
      </c>
      <c r="AV160" s="25" t="str">
        <f t="shared" si="53"/>
        <v/>
      </c>
      <c r="AW160" s="26" t="str">
        <f t="shared" si="54"/>
        <v/>
      </c>
    </row>
    <row r="161" spans="3:49" x14ac:dyDescent="0.25">
      <c r="C161">
        <v>5</v>
      </c>
      <c r="D161" t="str">
        <f t="shared" si="15"/>
        <v/>
      </c>
      <c r="E161" s="24" t="str">
        <f t="shared" si="16"/>
        <v/>
      </c>
      <c r="F161" s="25" t="str">
        <f t="shared" si="17"/>
        <v/>
      </c>
      <c r="G161" s="25" t="str">
        <f t="shared" si="18"/>
        <v/>
      </c>
      <c r="H161" s="25" t="str">
        <f t="shared" si="19"/>
        <v/>
      </c>
      <c r="I161" s="25" t="str">
        <f t="shared" si="20"/>
        <v/>
      </c>
      <c r="J161" s="25" t="str">
        <f t="shared" si="21"/>
        <v/>
      </c>
      <c r="K161" s="26" t="str">
        <f t="shared" si="22"/>
        <v/>
      </c>
      <c r="N161" t="str">
        <f t="shared" si="23"/>
        <v/>
      </c>
      <c r="O161" s="24" t="str">
        <f t="shared" si="24"/>
        <v/>
      </c>
      <c r="P161" s="25" t="str">
        <f t="shared" si="25"/>
        <v/>
      </c>
      <c r="Q161" s="25" t="str">
        <f t="shared" si="26"/>
        <v/>
      </c>
      <c r="R161" s="25" t="str">
        <f t="shared" si="27"/>
        <v/>
      </c>
      <c r="S161" s="25" t="str">
        <f t="shared" si="28"/>
        <v/>
      </c>
      <c r="T161" s="25" t="str">
        <f t="shared" si="29"/>
        <v/>
      </c>
      <c r="U161" s="25"/>
      <c r="V161" s="26" t="str">
        <f t="shared" si="30"/>
        <v/>
      </c>
      <c r="W161" t="str">
        <f t="shared" si="31"/>
        <v/>
      </c>
      <c r="X161" s="24" t="str">
        <f t="shared" si="32"/>
        <v/>
      </c>
      <c r="Y161" s="25" t="str">
        <f t="shared" si="33"/>
        <v/>
      </c>
      <c r="Z161" s="25" t="str">
        <f t="shared" si="34"/>
        <v/>
      </c>
      <c r="AA161" s="25" t="str">
        <f t="shared" si="35"/>
        <v/>
      </c>
      <c r="AB161" s="25" t="str">
        <f t="shared" si="36"/>
        <v/>
      </c>
      <c r="AC161" s="25" t="str">
        <f t="shared" si="37"/>
        <v/>
      </c>
      <c r="AD161" s="26" t="str">
        <f t="shared" si="38"/>
        <v/>
      </c>
      <c r="AE161" t="str">
        <f t="shared" si="39"/>
        <v/>
      </c>
      <c r="AF161" s="24" t="str">
        <f t="shared" si="40"/>
        <v/>
      </c>
      <c r="AG161" s="25" t="str">
        <f t="shared" si="41"/>
        <v/>
      </c>
      <c r="AH161" s="25" t="str">
        <f t="shared" si="42"/>
        <v/>
      </c>
      <c r="AI161" s="25" t="str">
        <f t="shared" si="43"/>
        <v/>
      </c>
      <c r="AJ161" s="25" t="str">
        <f t="shared" si="44"/>
        <v/>
      </c>
      <c r="AK161" s="25" t="str">
        <f t="shared" si="45"/>
        <v/>
      </c>
      <c r="AL161" s="26" t="str">
        <f t="shared" si="46"/>
        <v/>
      </c>
      <c r="AP161" t="str">
        <f t="shared" si="47"/>
        <v/>
      </c>
      <c r="AQ161" s="24" t="str">
        <f t="shared" si="48"/>
        <v/>
      </c>
      <c r="AR161" s="25" t="str">
        <f t="shared" si="49"/>
        <v/>
      </c>
      <c r="AS161" s="25" t="str">
        <f t="shared" si="50"/>
        <v/>
      </c>
      <c r="AT161" s="25" t="str">
        <f t="shared" si="51"/>
        <v/>
      </c>
      <c r="AU161" s="25" t="str">
        <f t="shared" si="52"/>
        <v/>
      </c>
      <c r="AV161" s="25" t="str">
        <f t="shared" si="53"/>
        <v/>
      </c>
      <c r="AW161" s="26" t="str">
        <f t="shared" si="54"/>
        <v/>
      </c>
    </row>
    <row r="162" spans="3:49" x14ac:dyDescent="0.25">
      <c r="C162">
        <v>6</v>
      </c>
      <c r="D162" t="str">
        <f t="shared" si="15"/>
        <v/>
      </c>
      <c r="E162" s="24" t="str">
        <f t="shared" si="16"/>
        <v/>
      </c>
      <c r="F162" s="25" t="str">
        <f t="shared" si="17"/>
        <v/>
      </c>
      <c r="G162" s="25" t="str">
        <f t="shared" si="18"/>
        <v/>
      </c>
      <c r="H162" s="25" t="str">
        <f t="shared" si="19"/>
        <v/>
      </c>
      <c r="I162" s="25" t="str">
        <f t="shared" si="20"/>
        <v/>
      </c>
      <c r="J162" s="25" t="str">
        <f t="shared" si="21"/>
        <v/>
      </c>
      <c r="K162" s="26" t="str">
        <f t="shared" si="22"/>
        <v/>
      </c>
      <c r="N162" t="str">
        <f t="shared" si="23"/>
        <v/>
      </c>
      <c r="O162" s="24" t="str">
        <f t="shared" si="24"/>
        <v/>
      </c>
      <c r="P162" s="25" t="str">
        <f t="shared" si="25"/>
        <v/>
      </c>
      <c r="Q162" s="25" t="str">
        <f t="shared" si="26"/>
        <v/>
      </c>
      <c r="R162" s="25" t="str">
        <f t="shared" si="27"/>
        <v/>
      </c>
      <c r="S162" s="25" t="str">
        <f t="shared" si="28"/>
        <v/>
      </c>
      <c r="T162" s="25" t="str">
        <f t="shared" si="29"/>
        <v/>
      </c>
      <c r="U162" s="25"/>
      <c r="V162" s="26" t="str">
        <f t="shared" si="30"/>
        <v/>
      </c>
      <c r="W162" t="str">
        <f t="shared" si="31"/>
        <v/>
      </c>
      <c r="X162" s="24" t="str">
        <f t="shared" si="32"/>
        <v/>
      </c>
      <c r="Y162" s="25" t="str">
        <f t="shared" si="33"/>
        <v/>
      </c>
      <c r="Z162" s="25" t="str">
        <f t="shared" si="34"/>
        <v/>
      </c>
      <c r="AA162" s="25" t="str">
        <f t="shared" si="35"/>
        <v/>
      </c>
      <c r="AB162" s="25" t="str">
        <f t="shared" si="36"/>
        <v/>
      </c>
      <c r="AC162" s="25" t="str">
        <f t="shared" si="37"/>
        <v/>
      </c>
      <c r="AD162" s="26" t="str">
        <f t="shared" si="38"/>
        <v/>
      </c>
      <c r="AE162" t="str">
        <f t="shared" si="39"/>
        <v/>
      </c>
      <c r="AF162" s="24" t="str">
        <f t="shared" si="40"/>
        <v/>
      </c>
      <c r="AG162" s="25" t="str">
        <f t="shared" si="41"/>
        <v/>
      </c>
      <c r="AH162" s="25" t="str">
        <f t="shared" si="42"/>
        <v/>
      </c>
      <c r="AI162" s="25" t="str">
        <f t="shared" si="43"/>
        <v/>
      </c>
      <c r="AJ162" s="25" t="str">
        <f t="shared" si="44"/>
        <v/>
      </c>
      <c r="AK162" s="25" t="str">
        <f t="shared" si="45"/>
        <v/>
      </c>
      <c r="AL162" s="26" t="str">
        <f t="shared" si="46"/>
        <v/>
      </c>
      <c r="AP162" t="str">
        <f t="shared" si="47"/>
        <v/>
      </c>
      <c r="AQ162" s="24" t="str">
        <f t="shared" si="48"/>
        <v/>
      </c>
      <c r="AR162" s="25" t="str">
        <f t="shared" si="49"/>
        <v/>
      </c>
      <c r="AS162" s="25" t="str">
        <f t="shared" si="50"/>
        <v/>
      </c>
      <c r="AT162" s="25" t="str">
        <f t="shared" si="51"/>
        <v/>
      </c>
      <c r="AU162" s="25" t="str">
        <f t="shared" si="52"/>
        <v/>
      </c>
      <c r="AV162" s="25" t="str">
        <f t="shared" si="53"/>
        <v/>
      </c>
      <c r="AW162" s="26" t="str">
        <f t="shared" si="54"/>
        <v/>
      </c>
    </row>
    <row r="163" spans="3:49" x14ac:dyDescent="0.25">
      <c r="C163">
        <v>7</v>
      </c>
      <c r="D163" t="str">
        <f t="shared" si="15"/>
        <v/>
      </c>
      <c r="E163" s="24" t="str">
        <f t="shared" si="16"/>
        <v/>
      </c>
      <c r="F163" s="25" t="str">
        <f t="shared" si="17"/>
        <v/>
      </c>
      <c r="G163" s="25" t="str">
        <f t="shared" si="18"/>
        <v/>
      </c>
      <c r="H163" s="25" t="str">
        <f t="shared" si="19"/>
        <v/>
      </c>
      <c r="I163" s="25" t="str">
        <f t="shared" si="20"/>
        <v/>
      </c>
      <c r="J163" s="25" t="str">
        <f t="shared" si="21"/>
        <v/>
      </c>
      <c r="K163" s="26" t="str">
        <f t="shared" si="22"/>
        <v/>
      </c>
      <c r="N163" t="str">
        <f t="shared" si="23"/>
        <v/>
      </c>
      <c r="O163" s="24" t="str">
        <f t="shared" si="24"/>
        <v/>
      </c>
      <c r="P163" s="25" t="str">
        <f t="shared" si="25"/>
        <v/>
      </c>
      <c r="Q163" s="25" t="str">
        <f t="shared" si="26"/>
        <v/>
      </c>
      <c r="R163" s="25" t="str">
        <f t="shared" si="27"/>
        <v/>
      </c>
      <c r="S163" s="25" t="str">
        <f t="shared" si="28"/>
        <v/>
      </c>
      <c r="T163" s="25" t="str">
        <f t="shared" si="29"/>
        <v/>
      </c>
      <c r="U163" s="25"/>
      <c r="V163" s="26" t="str">
        <f t="shared" si="30"/>
        <v/>
      </c>
      <c r="W163" t="str">
        <f t="shared" si="31"/>
        <v/>
      </c>
      <c r="X163" s="24" t="str">
        <f t="shared" si="32"/>
        <v/>
      </c>
      <c r="Y163" s="25" t="str">
        <f t="shared" si="33"/>
        <v/>
      </c>
      <c r="Z163" s="25" t="str">
        <f t="shared" si="34"/>
        <v/>
      </c>
      <c r="AA163" s="25" t="str">
        <f t="shared" si="35"/>
        <v/>
      </c>
      <c r="AB163" s="25" t="str">
        <f t="shared" si="36"/>
        <v/>
      </c>
      <c r="AC163" s="25" t="str">
        <f t="shared" si="37"/>
        <v/>
      </c>
      <c r="AD163" s="26" t="str">
        <f t="shared" si="38"/>
        <v/>
      </c>
      <c r="AE163" t="str">
        <f t="shared" si="39"/>
        <v/>
      </c>
      <c r="AF163" s="24" t="str">
        <f t="shared" si="40"/>
        <v/>
      </c>
      <c r="AG163" s="25" t="str">
        <f t="shared" si="41"/>
        <v/>
      </c>
      <c r="AH163" s="25" t="str">
        <f t="shared" si="42"/>
        <v/>
      </c>
      <c r="AI163" s="25" t="str">
        <f t="shared" si="43"/>
        <v/>
      </c>
      <c r="AJ163" s="25" t="str">
        <f t="shared" si="44"/>
        <v/>
      </c>
      <c r="AK163" s="25" t="str">
        <f t="shared" si="45"/>
        <v/>
      </c>
      <c r="AL163" s="26" t="str">
        <f t="shared" si="46"/>
        <v/>
      </c>
      <c r="AP163" t="str">
        <f t="shared" si="47"/>
        <v/>
      </c>
      <c r="AQ163" s="24" t="str">
        <f t="shared" si="48"/>
        <v/>
      </c>
      <c r="AR163" s="25" t="str">
        <f t="shared" si="49"/>
        <v/>
      </c>
      <c r="AS163" s="25" t="str">
        <f t="shared" si="50"/>
        <v/>
      </c>
      <c r="AT163" s="25" t="str">
        <f t="shared" si="51"/>
        <v/>
      </c>
      <c r="AU163" s="25" t="str">
        <f t="shared" si="52"/>
        <v/>
      </c>
      <c r="AV163" s="25" t="str">
        <f t="shared" si="53"/>
        <v/>
      </c>
      <c r="AW163" s="26" t="str">
        <f t="shared" si="54"/>
        <v/>
      </c>
    </row>
    <row r="164" spans="3:49" x14ac:dyDescent="0.25">
      <c r="C164">
        <v>8</v>
      </c>
      <c r="D164" t="str">
        <f t="shared" si="15"/>
        <v/>
      </c>
      <c r="E164" s="24" t="str">
        <f t="shared" si="16"/>
        <v/>
      </c>
      <c r="F164" s="25" t="str">
        <f t="shared" si="17"/>
        <v/>
      </c>
      <c r="G164" s="25" t="str">
        <f t="shared" si="18"/>
        <v/>
      </c>
      <c r="H164" s="25" t="str">
        <f t="shared" si="19"/>
        <v/>
      </c>
      <c r="I164" s="25" t="str">
        <f t="shared" si="20"/>
        <v/>
      </c>
      <c r="J164" s="25" t="str">
        <f t="shared" si="21"/>
        <v/>
      </c>
      <c r="K164" s="26" t="str">
        <f t="shared" si="22"/>
        <v/>
      </c>
      <c r="N164" t="str">
        <f t="shared" si="23"/>
        <v/>
      </c>
      <c r="O164" s="24" t="str">
        <f t="shared" si="24"/>
        <v/>
      </c>
      <c r="P164" s="25" t="str">
        <f t="shared" si="25"/>
        <v/>
      </c>
      <c r="Q164" s="25" t="str">
        <f t="shared" si="26"/>
        <v/>
      </c>
      <c r="R164" s="25" t="str">
        <f t="shared" si="27"/>
        <v/>
      </c>
      <c r="S164" s="25" t="str">
        <f t="shared" si="28"/>
        <v/>
      </c>
      <c r="T164" s="25" t="str">
        <f t="shared" si="29"/>
        <v/>
      </c>
      <c r="U164" s="25"/>
      <c r="V164" s="26" t="str">
        <f t="shared" si="30"/>
        <v/>
      </c>
      <c r="W164" t="str">
        <f t="shared" si="31"/>
        <v/>
      </c>
      <c r="X164" s="24" t="str">
        <f t="shared" si="32"/>
        <v/>
      </c>
      <c r="Y164" s="25" t="str">
        <f t="shared" si="33"/>
        <v/>
      </c>
      <c r="Z164" s="25" t="str">
        <f t="shared" si="34"/>
        <v/>
      </c>
      <c r="AA164" s="25" t="str">
        <f t="shared" si="35"/>
        <v/>
      </c>
      <c r="AB164" s="25" t="str">
        <f t="shared" si="36"/>
        <v/>
      </c>
      <c r="AC164" s="25" t="str">
        <f t="shared" si="37"/>
        <v/>
      </c>
      <c r="AD164" s="26" t="str">
        <f t="shared" si="38"/>
        <v/>
      </c>
      <c r="AE164" t="str">
        <f t="shared" si="39"/>
        <v/>
      </c>
      <c r="AF164" s="24" t="str">
        <f t="shared" si="40"/>
        <v/>
      </c>
      <c r="AG164" s="25" t="str">
        <f t="shared" si="41"/>
        <v/>
      </c>
      <c r="AH164" s="25" t="str">
        <f t="shared" si="42"/>
        <v/>
      </c>
      <c r="AI164" s="25" t="str">
        <f t="shared" si="43"/>
        <v/>
      </c>
      <c r="AJ164" s="25" t="str">
        <f t="shared" si="44"/>
        <v/>
      </c>
      <c r="AK164" s="25" t="str">
        <f t="shared" si="45"/>
        <v/>
      </c>
      <c r="AL164" s="26" t="str">
        <f t="shared" si="46"/>
        <v/>
      </c>
      <c r="AP164" t="str">
        <f t="shared" si="47"/>
        <v/>
      </c>
      <c r="AQ164" s="24" t="str">
        <f t="shared" si="48"/>
        <v/>
      </c>
      <c r="AR164" s="25" t="str">
        <f t="shared" si="49"/>
        <v/>
      </c>
      <c r="AS164" s="25" t="str">
        <f t="shared" si="50"/>
        <v/>
      </c>
      <c r="AT164" s="25" t="str">
        <f t="shared" si="51"/>
        <v/>
      </c>
      <c r="AU164" s="25" t="str">
        <f t="shared" si="52"/>
        <v/>
      </c>
      <c r="AV164" s="25" t="str">
        <f t="shared" si="53"/>
        <v/>
      </c>
      <c r="AW164" s="26" t="str">
        <f t="shared" si="54"/>
        <v/>
      </c>
    </row>
    <row r="165" spans="3:49" x14ac:dyDescent="0.25">
      <c r="C165">
        <v>9</v>
      </c>
      <c r="D165" t="str">
        <f t="shared" si="15"/>
        <v/>
      </c>
      <c r="E165" s="24" t="str">
        <f t="shared" si="16"/>
        <v/>
      </c>
      <c r="F165" s="25" t="str">
        <f t="shared" si="17"/>
        <v/>
      </c>
      <c r="G165" s="25" t="str">
        <f t="shared" si="18"/>
        <v/>
      </c>
      <c r="H165" s="25" t="str">
        <f t="shared" si="19"/>
        <v/>
      </c>
      <c r="I165" s="25" t="str">
        <f t="shared" si="20"/>
        <v/>
      </c>
      <c r="J165" s="25" t="str">
        <f t="shared" si="21"/>
        <v/>
      </c>
      <c r="K165" s="26" t="str">
        <f t="shared" si="22"/>
        <v/>
      </c>
      <c r="N165" t="str">
        <f t="shared" si="23"/>
        <v/>
      </c>
      <c r="O165" s="24" t="str">
        <f t="shared" si="24"/>
        <v/>
      </c>
      <c r="P165" s="25" t="str">
        <f t="shared" si="25"/>
        <v/>
      </c>
      <c r="Q165" s="25" t="str">
        <f t="shared" si="26"/>
        <v/>
      </c>
      <c r="R165" s="25" t="str">
        <f t="shared" si="27"/>
        <v/>
      </c>
      <c r="S165" s="25" t="str">
        <f t="shared" si="28"/>
        <v/>
      </c>
      <c r="T165" s="25" t="str">
        <f t="shared" si="29"/>
        <v/>
      </c>
      <c r="U165" s="25"/>
      <c r="V165" s="26" t="str">
        <f t="shared" si="30"/>
        <v/>
      </c>
      <c r="W165" t="str">
        <f t="shared" si="31"/>
        <v/>
      </c>
      <c r="X165" s="24" t="str">
        <f t="shared" si="32"/>
        <v/>
      </c>
      <c r="Y165" s="25" t="str">
        <f t="shared" si="33"/>
        <v/>
      </c>
      <c r="Z165" s="25" t="str">
        <f t="shared" si="34"/>
        <v/>
      </c>
      <c r="AA165" s="25" t="str">
        <f t="shared" si="35"/>
        <v/>
      </c>
      <c r="AB165" s="25" t="str">
        <f t="shared" si="36"/>
        <v/>
      </c>
      <c r="AC165" s="25" t="str">
        <f t="shared" si="37"/>
        <v/>
      </c>
      <c r="AD165" s="26" t="str">
        <f t="shared" si="38"/>
        <v/>
      </c>
      <c r="AE165" t="str">
        <f t="shared" si="39"/>
        <v/>
      </c>
      <c r="AF165" s="24" t="str">
        <f t="shared" si="40"/>
        <v/>
      </c>
      <c r="AG165" s="25" t="str">
        <f t="shared" si="41"/>
        <v/>
      </c>
      <c r="AH165" s="25" t="str">
        <f t="shared" si="42"/>
        <v/>
      </c>
      <c r="AI165" s="25" t="str">
        <f t="shared" si="43"/>
        <v/>
      </c>
      <c r="AJ165" s="25" t="str">
        <f t="shared" si="44"/>
        <v/>
      </c>
      <c r="AK165" s="25" t="str">
        <f t="shared" si="45"/>
        <v/>
      </c>
      <c r="AL165" s="26" t="str">
        <f t="shared" si="46"/>
        <v/>
      </c>
      <c r="AP165" t="str">
        <f t="shared" si="47"/>
        <v/>
      </c>
      <c r="AQ165" s="24" t="str">
        <f t="shared" si="48"/>
        <v/>
      </c>
      <c r="AR165" s="25" t="str">
        <f t="shared" si="49"/>
        <v/>
      </c>
      <c r="AS165" s="25" t="str">
        <f t="shared" si="50"/>
        <v/>
      </c>
      <c r="AT165" s="25" t="str">
        <f t="shared" si="51"/>
        <v/>
      </c>
      <c r="AU165" s="25" t="str">
        <f t="shared" si="52"/>
        <v/>
      </c>
      <c r="AV165" s="25" t="str">
        <f t="shared" si="53"/>
        <v/>
      </c>
      <c r="AW165" s="26" t="str">
        <f t="shared" si="54"/>
        <v/>
      </c>
    </row>
    <row r="166" spans="3:49" x14ac:dyDescent="0.25">
      <c r="C166">
        <v>10</v>
      </c>
      <c r="D166" t="str">
        <f t="shared" si="15"/>
        <v/>
      </c>
      <c r="E166" s="24" t="str">
        <f t="shared" si="16"/>
        <v/>
      </c>
      <c r="F166" s="25" t="str">
        <f t="shared" si="17"/>
        <v/>
      </c>
      <c r="G166" s="25" t="str">
        <f t="shared" si="18"/>
        <v/>
      </c>
      <c r="H166" s="25" t="str">
        <f t="shared" si="19"/>
        <v/>
      </c>
      <c r="I166" s="25" t="str">
        <f t="shared" si="20"/>
        <v/>
      </c>
      <c r="J166" s="25" t="str">
        <f t="shared" si="21"/>
        <v/>
      </c>
      <c r="K166" s="26" t="str">
        <f t="shared" si="22"/>
        <v/>
      </c>
      <c r="N166" t="str">
        <f t="shared" si="23"/>
        <v/>
      </c>
      <c r="O166" s="24" t="str">
        <f t="shared" si="24"/>
        <v/>
      </c>
      <c r="P166" s="25" t="str">
        <f t="shared" si="25"/>
        <v/>
      </c>
      <c r="Q166" s="25" t="str">
        <f t="shared" si="26"/>
        <v/>
      </c>
      <c r="R166" s="25" t="str">
        <f t="shared" si="27"/>
        <v/>
      </c>
      <c r="S166" s="25" t="str">
        <f t="shared" si="28"/>
        <v/>
      </c>
      <c r="T166" s="25" t="str">
        <f t="shared" si="29"/>
        <v/>
      </c>
      <c r="U166" s="25"/>
      <c r="V166" s="26" t="str">
        <f t="shared" si="30"/>
        <v/>
      </c>
      <c r="W166" t="str">
        <f t="shared" si="31"/>
        <v/>
      </c>
      <c r="X166" s="24" t="str">
        <f t="shared" si="32"/>
        <v/>
      </c>
      <c r="Y166" s="25" t="str">
        <f t="shared" si="33"/>
        <v/>
      </c>
      <c r="Z166" s="25" t="str">
        <f t="shared" si="34"/>
        <v/>
      </c>
      <c r="AA166" s="25" t="str">
        <f t="shared" si="35"/>
        <v/>
      </c>
      <c r="AB166" s="25" t="str">
        <f t="shared" si="36"/>
        <v/>
      </c>
      <c r="AC166" s="25" t="str">
        <f t="shared" si="37"/>
        <v/>
      </c>
      <c r="AD166" s="26" t="str">
        <f t="shared" si="38"/>
        <v/>
      </c>
      <c r="AE166" t="str">
        <f t="shared" si="39"/>
        <v/>
      </c>
      <c r="AF166" s="24" t="str">
        <f t="shared" si="40"/>
        <v/>
      </c>
      <c r="AG166" s="25" t="str">
        <f t="shared" si="41"/>
        <v/>
      </c>
      <c r="AH166" s="25" t="str">
        <f t="shared" si="42"/>
        <v/>
      </c>
      <c r="AI166" s="25" t="str">
        <f t="shared" si="43"/>
        <v/>
      </c>
      <c r="AJ166" s="25" t="str">
        <f t="shared" si="44"/>
        <v/>
      </c>
      <c r="AK166" s="25" t="str">
        <f t="shared" si="45"/>
        <v/>
      </c>
      <c r="AL166" s="26" t="str">
        <f t="shared" si="46"/>
        <v/>
      </c>
      <c r="AP166" t="str">
        <f t="shared" si="47"/>
        <v/>
      </c>
      <c r="AQ166" s="24" t="str">
        <f t="shared" si="48"/>
        <v/>
      </c>
      <c r="AR166" s="25" t="str">
        <f t="shared" si="49"/>
        <v/>
      </c>
      <c r="AS166" s="25" t="str">
        <f t="shared" si="50"/>
        <v/>
      </c>
      <c r="AT166" s="25" t="str">
        <f t="shared" si="51"/>
        <v/>
      </c>
      <c r="AU166" s="25" t="str">
        <f t="shared" si="52"/>
        <v/>
      </c>
      <c r="AV166" s="25" t="str">
        <f t="shared" si="53"/>
        <v/>
      </c>
      <c r="AW166" s="26" t="str">
        <f t="shared" si="54"/>
        <v/>
      </c>
    </row>
    <row r="167" spans="3:49" x14ac:dyDescent="0.25">
      <c r="C167">
        <v>11</v>
      </c>
      <c r="D167" t="str">
        <f t="shared" si="15"/>
        <v/>
      </c>
      <c r="E167" s="24" t="str">
        <f t="shared" si="16"/>
        <v/>
      </c>
      <c r="F167" s="25" t="str">
        <f t="shared" si="17"/>
        <v/>
      </c>
      <c r="G167" s="25" t="str">
        <f t="shared" si="18"/>
        <v/>
      </c>
      <c r="H167" s="25" t="str">
        <f t="shared" si="19"/>
        <v/>
      </c>
      <c r="I167" s="25" t="str">
        <f t="shared" si="20"/>
        <v/>
      </c>
      <c r="J167" s="25" t="str">
        <f t="shared" si="21"/>
        <v/>
      </c>
      <c r="K167" s="26" t="str">
        <f t="shared" si="22"/>
        <v/>
      </c>
      <c r="N167" t="str">
        <f t="shared" si="23"/>
        <v/>
      </c>
      <c r="O167" s="24" t="str">
        <f t="shared" si="24"/>
        <v/>
      </c>
      <c r="P167" s="25" t="str">
        <f t="shared" si="25"/>
        <v/>
      </c>
      <c r="Q167" s="25" t="str">
        <f t="shared" si="26"/>
        <v/>
      </c>
      <c r="R167" s="25" t="str">
        <f t="shared" si="27"/>
        <v/>
      </c>
      <c r="S167" s="25" t="str">
        <f t="shared" si="28"/>
        <v/>
      </c>
      <c r="T167" s="25" t="str">
        <f t="shared" si="29"/>
        <v/>
      </c>
      <c r="U167" s="25"/>
      <c r="V167" s="26" t="str">
        <f t="shared" si="30"/>
        <v/>
      </c>
      <c r="W167" t="str">
        <f t="shared" si="31"/>
        <v/>
      </c>
      <c r="X167" s="24" t="str">
        <f t="shared" si="32"/>
        <v/>
      </c>
      <c r="Y167" s="25" t="str">
        <f t="shared" si="33"/>
        <v/>
      </c>
      <c r="Z167" s="25" t="str">
        <f t="shared" si="34"/>
        <v/>
      </c>
      <c r="AA167" s="25" t="str">
        <f t="shared" si="35"/>
        <v/>
      </c>
      <c r="AB167" s="25" t="str">
        <f t="shared" si="36"/>
        <v/>
      </c>
      <c r="AC167" s="25" t="str">
        <f t="shared" si="37"/>
        <v/>
      </c>
      <c r="AD167" s="26" t="str">
        <f t="shared" si="38"/>
        <v/>
      </c>
      <c r="AE167" t="str">
        <f t="shared" si="39"/>
        <v/>
      </c>
      <c r="AF167" s="24" t="str">
        <f t="shared" si="40"/>
        <v/>
      </c>
      <c r="AG167" s="25" t="str">
        <f t="shared" si="41"/>
        <v/>
      </c>
      <c r="AH167" s="25" t="str">
        <f t="shared" si="42"/>
        <v/>
      </c>
      <c r="AI167" s="25" t="str">
        <f t="shared" si="43"/>
        <v/>
      </c>
      <c r="AJ167" s="25" t="str">
        <f t="shared" si="44"/>
        <v/>
      </c>
      <c r="AK167" s="25" t="str">
        <f t="shared" si="45"/>
        <v/>
      </c>
      <c r="AL167" s="26" t="str">
        <f t="shared" si="46"/>
        <v/>
      </c>
      <c r="AP167" t="str">
        <f t="shared" si="47"/>
        <v/>
      </c>
      <c r="AQ167" s="24" t="str">
        <f t="shared" si="48"/>
        <v/>
      </c>
      <c r="AR167" s="25" t="str">
        <f t="shared" si="49"/>
        <v/>
      </c>
      <c r="AS167" s="25" t="str">
        <f t="shared" si="50"/>
        <v/>
      </c>
      <c r="AT167" s="25" t="str">
        <f t="shared" si="51"/>
        <v/>
      </c>
      <c r="AU167" s="25" t="str">
        <f t="shared" si="52"/>
        <v/>
      </c>
      <c r="AV167" s="25" t="str">
        <f t="shared" si="53"/>
        <v/>
      </c>
      <c r="AW167" s="26" t="str">
        <f t="shared" si="54"/>
        <v/>
      </c>
    </row>
    <row r="168" spans="3:49" x14ac:dyDescent="0.25">
      <c r="C168">
        <v>12</v>
      </c>
      <c r="D168" t="str">
        <f t="shared" si="15"/>
        <v/>
      </c>
      <c r="E168" s="24" t="str">
        <f t="shared" si="16"/>
        <v/>
      </c>
      <c r="F168" s="25" t="str">
        <f t="shared" si="17"/>
        <v/>
      </c>
      <c r="G168" s="25" t="str">
        <f t="shared" si="18"/>
        <v/>
      </c>
      <c r="H168" s="25" t="str">
        <f t="shared" si="19"/>
        <v/>
      </c>
      <c r="I168" s="25" t="str">
        <f t="shared" si="20"/>
        <v/>
      </c>
      <c r="J168" s="25" t="str">
        <f t="shared" si="21"/>
        <v/>
      </c>
      <c r="K168" s="26" t="str">
        <f t="shared" si="22"/>
        <v/>
      </c>
      <c r="N168" t="str">
        <f t="shared" si="23"/>
        <v/>
      </c>
      <c r="O168" s="24" t="str">
        <f t="shared" si="24"/>
        <v/>
      </c>
      <c r="P168" s="25" t="str">
        <f t="shared" si="25"/>
        <v/>
      </c>
      <c r="Q168" s="25" t="str">
        <f t="shared" si="26"/>
        <v/>
      </c>
      <c r="R168" s="25" t="str">
        <f t="shared" si="27"/>
        <v/>
      </c>
      <c r="S168" s="25" t="str">
        <f t="shared" si="28"/>
        <v/>
      </c>
      <c r="T168" s="25" t="str">
        <f t="shared" si="29"/>
        <v/>
      </c>
      <c r="U168" s="25"/>
      <c r="V168" s="26" t="str">
        <f t="shared" si="30"/>
        <v/>
      </c>
      <c r="W168" t="str">
        <f t="shared" si="31"/>
        <v/>
      </c>
      <c r="X168" s="24" t="str">
        <f t="shared" si="32"/>
        <v/>
      </c>
      <c r="Y168" s="25" t="str">
        <f t="shared" si="33"/>
        <v/>
      </c>
      <c r="Z168" s="25" t="str">
        <f t="shared" si="34"/>
        <v/>
      </c>
      <c r="AA168" s="25" t="str">
        <f t="shared" si="35"/>
        <v/>
      </c>
      <c r="AB168" s="25" t="str">
        <f t="shared" si="36"/>
        <v/>
      </c>
      <c r="AC168" s="25" t="str">
        <f t="shared" si="37"/>
        <v/>
      </c>
      <c r="AD168" s="26" t="str">
        <f t="shared" si="38"/>
        <v/>
      </c>
      <c r="AE168" t="str">
        <f t="shared" si="39"/>
        <v/>
      </c>
      <c r="AF168" s="24" t="str">
        <f t="shared" si="40"/>
        <v/>
      </c>
      <c r="AG168" s="25" t="str">
        <f t="shared" si="41"/>
        <v/>
      </c>
      <c r="AH168" s="25" t="str">
        <f t="shared" si="42"/>
        <v/>
      </c>
      <c r="AI168" s="25" t="str">
        <f t="shared" si="43"/>
        <v/>
      </c>
      <c r="AJ168" s="25" t="str">
        <f t="shared" si="44"/>
        <v/>
      </c>
      <c r="AK168" s="25" t="str">
        <f t="shared" si="45"/>
        <v/>
      </c>
      <c r="AL168" s="26" t="str">
        <f t="shared" si="46"/>
        <v/>
      </c>
      <c r="AP168" t="str">
        <f t="shared" si="47"/>
        <v/>
      </c>
      <c r="AQ168" s="24" t="str">
        <f t="shared" si="48"/>
        <v/>
      </c>
      <c r="AR168" s="25" t="str">
        <f t="shared" si="49"/>
        <v/>
      </c>
      <c r="AS168" s="25" t="str">
        <f t="shared" si="50"/>
        <v/>
      </c>
      <c r="AT168" s="25" t="str">
        <f t="shared" si="51"/>
        <v/>
      </c>
      <c r="AU168" s="25" t="str">
        <f t="shared" si="52"/>
        <v/>
      </c>
      <c r="AV168" s="25" t="str">
        <f t="shared" si="53"/>
        <v/>
      </c>
      <c r="AW168" s="26" t="str">
        <f t="shared" si="54"/>
        <v/>
      </c>
    </row>
    <row r="169" spans="3:49" x14ac:dyDescent="0.25">
      <c r="C169">
        <v>13</v>
      </c>
      <c r="D169" t="str">
        <f t="shared" si="15"/>
        <v/>
      </c>
      <c r="E169" s="24" t="str">
        <f t="shared" si="16"/>
        <v/>
      </c>
      <c r="F169" s="25" t="str">
        <f t="shared" si="17"/>
        <v/>
      </c>
      <c r="G169" s="25" t="str">
        <f t="shared" si="18"/>
        <v/>
      </c>
      <c r="H169" s="25" t="str">
        <f t="shared" si="19"/>
        <v/>
      </c>
      <c r="I169" s="25" t="str">
        <f t="shared" si="20"/>
        <v/>
      </c>
      <c r="J169" s="25" t="str">
        <f t="shared" si="21"/>
        <v/>
      </c>
      <c r="K169" s="26" t="str">
        <f t="shared" si="22"/>
        <v/>
      </c>
      <c r="N169" t="str">
        <f t="shared" si="23"/>
        <v/>
      </c>
      <c r="O169" s="24" t="str">
        <f t="shared" si="24"/>
        <v/>
      </c>
      <c r="P169" s="25" t="str">
        <f t="shared" si="25"/>
        <v/>
      </c>
      <c r="Q169" s="25" t="str">
        <f t="shared" si="26"/>
        <v/>
      </c>
      <c r="R169" s="25" t="str">
        <f t="shared" si="27"/>
        <v/>
      </c>
      <c r="S169" s="25" t="str">
        <f t="shared" si="28"/>
        <v/>
      </c>
      <c r="T169" s="25" t="str">
        <f t="shared" si="29"/>
        <v/>
      </c>
      <c r="U169" s="25"/>
      <c r="V169" s="26" t="str">
        <f t="shared" si="30"/>
        <v/>
      </c>
      <c r="W169" t="str">
        <f t="shared" si="31"/>
        <v/>
      </c>
      <c r="X169" s="24" t="str">
        <f t="shared" si="32"/>
        <v/>
      </c>
      <c r="Y169" s="25" t="str">
        <f t="shared" si="33"/>
        <v/>
      </c>
      <c r="Z169" s="25" t="str">
        <f t="shared" si="34"/>
        <v/>
      </c>
      <c r="AA169" s="25" t="str">
        <f t="shared" si="35"/>
        <v/>
      </c>
      <c r="AB169" s="25" t="str">
        <f t="shared" si="36"/>
        <v/>
      </c>
      <c r="AC169" s="25" t="str">
        <f t="shared" si="37"/>
        <v/>
      </c>
      <c r="AD169" s="26" t="str">
        <f t="shared" si="38"/>
        <v/>
      </c>
      <c r="AE169" t="str">
        <f t="shared" si="39"/>
        <v/>
      </c>
      <c r="AF169" s="24" t="str">
        <f t="shared" si="40"/>
        <v/>
      </c>
      <c r="AG169" s="25" t="str">
        <f t="shared" si="41"/>
        <v/>
      </c>
      <c r="AH169" s="25" t="str">
        <f t="shared" si="42"/>
        <v/>
      </c>
      <c r="AI169" s="25" t="str">
        <f t="shared" si="43"/>
        <v/>
      </c>
      <c r="AJ169" s="25" t="str">
        <f t="shared" si="44"/>
        <v/>
      </c>
      <c r="AK169" s="25" t="str">
        <f t="shared" si="45"/>
        <v/>
      </c>
      <c r="AL169" s="26" t="str">
        <f t="shared" si="46"/>
        <v/>
      </c>
      <c r="AP169" t="str">
        <f t="shared" si="47"/>
        <v/>
      </c>
      <c r="AQ169" s="24" t="str">
        <f t="shared" si="48"/>
        <v/>
      </c>
      <c r="AR169" s="25" t="str">
        <f t="shared" si="49"/>
        <v/>
      </c>
      <c r="AS169" s="25" t="str">
        <f t="shared" si="50"/>
        <v/>
      </c>
      <c r="AT169" s="25" t="str">
        <f t="shared" si="51"/>
        <v/>
      </c>
      <c r="AU169" s="25" t="str">
        <f t="shared" si="52"/>
        <v/>
      </c>
      <c r="AV169" s="25" t="str">
        <f t="shared" si="53"/>
        <v/>
      </c>
      <c r="AW169" s="26" t="str">
        <f t="shared" si="54"/>
        <v/>
      </c>
    </row>
    <row r="170" spans="3:49" x14ac:dyDescent="0.25">
      <c r="C170">
        <v>14</v>
      </c>
      <c r="D170" t="str">
        <f t="shared" si="15"/>
        <v/>
      </c>
      <c r="E170" s="24" t="str">
        <f t="shared" si="16"/>
        <v/>
      </c>
      <c r="F170" s="25" t="str">
        <f t="shared" si="17"/>
        <v/>
      </c>
      <c r="G170" s="25" t="str">
        <f t="shared" si="18"/>
        <v/>
      </c>
      <c r="H170" s="25" t="str">
        <f t="shared" si="19"/>
        <v/>
      </c>
      <c r="I170" s="25" t="str">
        <f t="shared" si="20"/>
        <v/>
      </c>
      <c r="J170" s="25" t="str">
        <f t="shared" si="21"/>
        <v/>
      </c>
      <c r="K170" s="26" t="str">
        <f t="shared" si="22"/>
        <v/>
      </c>
      <c r="N170" t="str">
        <f t="shared" si="23"/>
        <v/>
      </c>
      <c r="O170" s="24" t="str">
        <f t="shared" si="24"/>
        <v/>
      </c>
      <c r="P170" s="25" t="str">
        <f t="shared" si="25"/>
        <v/>
      </c>
      <c r="Q170" s="25" t="str">
        <f t="shared" si="26"/>
        <v/>
      </c>
      <c r="R170" s="25" t="str">
        <f t="shared" si="27"/>
        <v/>
      </c>
      <c r="S170" s="25" t="str">
        <f t="shared" si="28"/>
        <v/>
      </c>
      <c r="T170" s="25" t="str">
        <f t="shared" si="29"/>
        <v/>
      </c>
      <c r="U170" s="25"/>
      <c r="V170" s="26" t="str">
        <f t="shared" si="30"/>
        <v/>
      </c>
      <c r="W170" t="str">
        <f t="shared" si="31"/>
        <v/>
      </c>
      <c r="X170" s="24" t="str">
        <f t="shared" si="32"/>
        <v/>
      </c>
      <c r="Y170" s="25" t="str">
        <f t="shared" si="33"/>
        <v/>
      </c>
      <c r="Z170" s="25" t="str">
        <f t="shared" si="34"/>
        <v/>
      </c>
      <c r="AA170" s="25" t="str">
        <f t="shared" si="35"/>
        <v/>
      </c>
      <c r="AB170" s="25" t="str">
        <f t="shared" si="36"/>
        <v/>
      </c>
      <c r="AC170" s="25" t="str">
        <f t="shared" si="37"/>
        <v/>
      </c>
      <c r="AD170" s="26" t="str">
        <f t="shared" si="38"/>
        <v/>
      </c>
      <c r="AE170" t="str">
        <f t="shared" si="39"/>
        <v/>
      </c>
      <c r="AF170" s="24" t="str">
        <f t="shared" si="40"/>
        <v/>
      </c>
      <c r="AG170" s="25" t="str">
        <f t="shared" si="41"/>
        <v/>
      </c>
      <c r="AH170" s="25" t="str">
        <f t="shared" si="42"/>
        <v/>
      </c>
      <c r="AI170" s="25" t="str">
        <f t="shared" si="43"/>
        <v/>
      </c>
      <c r="AJ170" s="25" t="str">
        <f t="shared" si="44"/>
        <v/>
      </c>
      <c r="AK170" s="25" t="str">
        <f t="shared" si="45"/>
        <v/>
      </c>
      <c r="AL170" s="26" t="str">
        <f t="shared" si="46"/>
        <v/>
      </c>
      <c r="AP170" t="str">
        <f t="shared" si="47"/>
        <v/>
      </c>
      <c r="AQ170" s="24" t="str">
        <f t="shared" si="48"/>
        <v/>
      </c>
      <c r="AR170" s="25" t="str">
        <f t="shared" si="49"/>
        <v/>
      </c>
      <c r="AS170" s="25" t="str">
        <f t="shared" si="50"/>
        <v/>
      </c>
      <c r="AT170" s="25" t="str">
        <f t="shared" si="51"/>
        <v/>
      </c>
      <c r="AU170" s="25" t="str">
        <f t="shared" si="52"/>
        <v/>
      </c>
      <c r="AV170" s="25" t="str">
        <f t="shared" si="53"/>
        <v/>
      </c>
      <c r="AW170" s="26" t="str">
        <f t="shared" si="54"/>
        <v/>
      </c>
    </row>
    <row r="171" spans="3:49" x14ac:dyDescent="0.25">
      <c r="C171">
        <v>15</v>
      </c>
      <c r="D171" t="str">
        <f t="shared" si="15"/>
        <v/>
      </c>
      <c r="E171" s="24" t="str">
        <f t="shared" si="16"/>
        <v/>
      </c>
      <c r="F171" s="25" t="str">
        <f t="shared" si="17"/>
        <v/>
      </c>
      <c r="G171" s="25" t="str">
        <f t="shared" si="18"/>
        <v/>
      </c>
      <c r="H171" s="25" t="str">
        <f t="shared" si="19"/>
        <v/>
      </c>
      <c r="I171" s="25" t="str">
        <f t="shared" si="20"/>
        <v/>
      </c>
      <c r="J171" s="25" t="str">
        <f t="shared" si="21"/>
        <v/>
      </c>
      <c r="K171" s="26" t="str">
        <f t="shared" si="22"/>
        <v/>
      </c>
      <c r="N171" t="str">
        <f t="shared" si="23"/>
        <v/>
      </c>
      <c r="O171" s="24" t="str">
        <f t="shared" si="24"/>
        <v/>
      </c>
      <c r="P171" s="25" t="str">
        <f t="shared" si="25"/>
        <v/>
      </c>
      <c r="Q171" s="25" t="str">
        <f t="shared" si="26"/>
        <v/>
      </c>
      <c r="R171" s="25" t="str">
        <f t="shared" si="27"/>
        <v/>
      </c>
      <c r="S171" s="25" t="str">
        <f t="shared" si="28"/>
        <v/>
      </c>
      <c r="T171" s="25" t="str">
        <f t="shared" si="29"/>
        <v/>
      </c>
      <c r="U171" s="25"/>
      <c r="V171" s="26" t="str">
        <f t="shared" si="30"/>
        <v/>
      </c>
      <c r="W171" t="str">
        <f t="shared" si="31"/>
        <v/>
      </c>
      <c r="X171" s="24" t="str">
        <f t="shared" si="32"/>
        <v/>
      </c>
      <c r="Y171" s="25" t="str">
        <f t="shared" si="33"/>
        <v/>
      </c>
      <c r="Z171" s="25" t="str">
        <f t="shared" si="34"/>
        <v/>
      </c>
      <c r="AA171" s="25" t="str">
        <f t="shared" si="35"/>
        <v/>
      </c>
      <c r="AB171" s="25" t="str">
        <f t="shared" si="36"/>
        <v/>
      </c>
      <c r="AC171" s="25" t="str">
        <f t="shared" si="37"/>
        <v/>
      </c>
      <c r="AD171" s="26" t="str">
        <f t="shared" si="38"/>
        <v/>
      </c>
      <c r="AE171" t="str">
        <f t="shared" si="39"/>
        <v/>
      </c>
      <c r="AF171" s="24" t="str">
        <f t="shared" si="40"/>
        <v/>
      </c>
      <c r="AG171" s="25" t="str">
        <f t="shared" si="41"/>
        <v/>
      </c>
      <c r="AH171" s="25" t="str">
        <f t="shared" si="42"/>
        <v/>
      </c>
      <c r="AI171" s="25" t="str">
        <f t="shared" si="43"/>
        <v/>
      </c>
      <c r="AJ171" s="25" t="str">
        <f t="shared" si="44"/>
        <v/>
      </c>
      <c r="AK171" s="25" t="str">
        <f t="shared" si="45"/>
        <v/>
      </c>
      <c r="AL171" s="26" t="str">
        <f t="shared" si="46"/>
        <v/>
      </c>
      <c r="AP171" t="str">
        <f t="shared" si="47"/>
        <v/>
      </c>
      <c r="AQ171" s="24" t="str">
        <f t="shared" si="48"/>
        <v/>
      </c>
      <c r="AR171" s="25" t="str">
        <f t="shared" si="49"/>
        <v/>
      </c>
      <c r="AS171" s="25" t="str">
        <f t="shared" si="50"/>
        <v/>
      </c>
      <c r="AT171" s="25" t="str">
        <f t="shared" si="51"/>
        <v/>
      </c>
      <c r="AU171" s="25" t="str">
        <f t="shared" si="52"/>
        <v/>
      </c>
      <c r="AV171" s="25" t="str">
        <f t="shared" si="53"/>
        <v/>
      </c>
      <c r="AW171" s="26" t="str">
        <f t="shared" si="54"/>
        <v/>
      </c>
    </row>
    <row r="172" spans="3:49" x14ac:dyDescent="0.25">
      <c r="C172">
        <v>16</v>
      </c>
      <c r="D172" t="str">
        <f t="shared" si="15"/>
        <v/>
      </c>
      <c r="E172" s="24" t="str">
        <f t="shared" si="16"/>
        <v/>
      </c>
      <c r="F172" s="25" t="str">
        <f t="shared" si="17"/>
        <v/>
      </c>
      <c r="G172" s="25" t="str">
        <f t="shared" si="18"/>
        <v/>
      </c>
      <c r="H172" s="25" t="str">
        <f t="shared" si="19"/>
        <v/>
      </c>
      <c r="I172" s="25" t="str">
        <f t="shared" si="20"/>
        <v/>
      </c>
      <c r="J172" s="25" t="str">
        <f t="shared" si="21"/>
        <v/>
      </c>
      <c r="K172" s="26" t="str">
        <f t="shared" si="22"/>
        <v/>
      </c>
      <c r="N172" t="str">
        <f t="shared" si="23"/>
        <v/>
      </c>
      <c r="O172" s="24" t="str">
        <f t="shared" si="24"/>
        <v/>
      </c>
      <c r="P172" s="25" t="str">
        <f t="shared" si="25"/>
        <v/>
      </c>
      <c r="Q172" s="25" t="str">
        <f t="shared" si="26"/>
        <v/>
      </c>
      <c r="R172" s="25" t="str">
        <f t="shared" si="27"/>
        <v/>
      </c>
      <c r="S172" s="25" t="str">
        <f t="shared" si="28"/>
        <v/>
      </c>
      <c r="T172" s="25" t="str">
        <f t="shared" si="29"/>
        <v/>
      </c>
      <c r="U172" s="25"/>
      <c r="V172" s="26" t="str">
        <f t="shared" si="30"/>
        <v/>
      </c>
      <c r="W172" t="str">
        <f t="shared" si="31"/>
        <v/>
      </c>
      <c r="X172" s="24" t="str">
        <f t="shared" si="32"/>
        <v/>
      </c>
      <c r="Y172" s="25" t="str">
        <f t="shared" si="33"/>
        <v/>
      </c>
      <c r="Z172" s="25" t="str">
        <f t="shared" si="34"/>
        <v/>
      </c>
      <c r="AA172" s="25" t="str">
        <f t="shared" si="35"/>
        <v/>
      </c>
      <c r="AB172" s="25" t="str">
        <f t="shared" si="36"/>
        <v/>
      </c>
      <c r="AC172" s="25" t="str">
        <f t="shared" si="37"/>
        <v/>
      </c>
      <c r="AD172" s="26" t="str">
        <f t="shared" si="38"/>
        <v/>
      </c>
      <c r="AE172" t="str">
        <f t="shared" si="39"/>
        <v/>
      </c>
      <c r="AF172" s="24" t="str">
        <f t="shared" si="40"/>
        <v/>
      </c>
      <c r="AG172" s="25" t="str">
        <f t="shared" si="41"/>
        <v/>
      </c>
      <c r="AH172" s="25" t="str">
        <f t="shared" si="42"/>
        <v/>
      </c>
      <c r="AI172" s="25" t="str">
        <f t="shared" si="43"/>
        <v/>
      </c>
      <c r="AJ172" s="25" t="str">
        <f t="shared" si="44"/>
        <v/>
      </c>
      <c r="AK172" s="25" t="str">
        <f t="shared" si="45"/>
        <v/>
      </c>
      <c r="AL172" s="26" t="str">
        <f t="shared" si="46"/>
        <v/>
      </c>
      <c r="AP172" t="str">
        <f t="shared" si="47"/>
        <v/>
      </c>
      <c r="AQ172" s="24" t="str">
        <f t="shared" si="48"/>
        <v/>
      </c>
      <c r="AR172" s="25" t="str">
        <f t="shared" si="49"/>
        <v/>
      </c>
      <c r="AS172" s="25" t="str">
        <f t="shared" si="50"/>
        <v/>
      </c>
      <c r="AT172" s="25" t="str">
        <f t="shared" si="51"/>
        <v/>
      </c>
      <c r="AU172" s="25" t="str">
        <f t="shared" si="52"/>
        <v/>
      </c>
      <c r="AV172" s="25" t="str">
        <f t="shared" si="53"/>
        <v/>
      </c>
      <c r="AW172" s="26" t="str">
        <f t="shared" si="54"/>
        <v/>
      </c>
    </row>
    <row r="173" spans="3:49" x14ac:dyDescent="0.25">
      <c r="C173">
        <v>17</v>
      </c>
      <c r="D173" t="str">
        <f t="shared" si="15"/>
        <v/>
      </c>
      <c r="E173" s="24" t="str">
        <f t="shared" si="16"/>
        <v/>
      </c>
      <c r="F173" s="25" t="str">
        <f t="shared" si="17"/>
        <v/>
      </c>
      <c r="G173" s="25" t="str">
        <f t="shared" si="18"/>
        <v/>
      </c>
      <c r="H173" s="25" t="str">
        <f t="shared" si="19"/>
        <v/>
      </c>
      <c r="I173" s="25" t="str">
        <f t="shared" si="20"/>
        <v/>
      </c>
      <c r="J173" s="25" t="str">
        <f t="shared" si="21"/>
        <v/>
      </c>
      <c r="K173" s="26" t="str">
        <f t="shared" si="22"/>
        <v/>
      </c>
      <c r="N173" t="str">
        <f t="shared" si="23"/>
        <v/>
      </c>
      <c r="O173" s="24" t="str">
        <f t="shared" si="24"/>
        <v/>
      </c>
      <c r="P173" s="25" t="str">
        <f t="shared" si="25"/>
        <v/>
      </c>
      <c r="Q173" s="25" t="str">
        <f t="shared" si="26"/>
        <v/>
      </c>
      <c r="R173" s="25" t="str">
        <f t="shared" si="27"/>
        <v/>
      </c>
      <c r="S173" s="25" t="str">
        <f t="shared" si="28"/>
        <v/>
      </c>
      <c r="T173" s="25" t="str">
        <f t="shared" si="29"/>
        <v/>
      </c>
      <c r="U173" s="25"/>
      <c r="V173" s="26" t="str">
        <f t="shared" si="30"/>
        <v/>
      </c>
      <c r="W173" t="str">
        <f t="shared" si="31"/>
        <v/>
      </c>
      <c r="X173" s="24" t="str">
        <f t="shared" si="32"/>
        <v/>
      </c>
      <c r="Y173" s="25" t="str">
        <f t="shared" si="33"/>
        <v/>
      </c>
      <c r="Z173" s="25" t="str">
        <f t="shared" si="34"/>
        <v/>
      </c>
      <c r="AA173" s="25" t="str">
        <f t="shared" si="35"/>
        <v/>
      </c>
      <c r="AB173" s="25" t="str">
        <f t="shared" si="36"/>
        <v/>
      </c>
      <c r="AC173" s="25" t="str">
        <f t="shared" si="37"/>
        <v/>
      </c>
      <c r="AD173" s="26" t="str">
        <f t="shared" si="38"/>
        <v/>
      </c>
      <c r="AE173" t="str">
        <f t="shared" si="39"/>
        <v/>
      </c>
      <c r="AF173" s="24" t="str">
        <f t="shared" si="40"/>
        <v/>
      </c>
      <c r="AG173" s="25" t="str">
        <f t="shared" si="41"/>
        <v/>
      </c>
      <c r="AH173" s="25" t="str">
        <f t="shared" si="42"/>
        <v/>
      </c>
      <c r="AI173" s="25" t="str">
        <f t="shared" si="43"/>
        <v/>
      </c>
      <c r="AJ173" s="25" t="str">
        <f t="shared" si="44"/>
        <v/>
      </c>
      <c r="AK173" s="25" t="str">
        <f t="shared" si="45"/>
        <v/>
      </c>
      <c r="AL173" s="26" t="str">
        <f t="shared" si="46"/>
        <v/>
      </c>
      <c r="AP173" t="str">
        <f t="shared" si="47"/>
        <v/>
      </c>
      <c r="AQ173" s="24" t="str">
        <f t="shared" si="48"/>
        <v/>
      </c>
      <c r="AR173" s="25" t="str">
        <f t="shared" si="49"/>
        <v/>
      </c>
      <c r="AS173" s="25" t="str">
        <f t="shared" si="50"/>
        <v/>
      </c>
      <c r="AT173" s="25" t="str">
        <f t="shared" si="51"/>
        <v/>
      </c>
      <c r="AU173" s="25" t="str">
        <f t="shared" si="52"/>
        <v/>
      </c>
      <c r="AV173" s="25" t="str">
        <f t="shared" si="53"/>
        <v/>
      </c>
      <c r="AW173" s="26" t="str">
        <f t="shared" si="54"/>
        <v/>
      </c>
    </row>
    <row r="174" spans="3:49" x14ac:dyDescent="0.25">
      <c r="C174">
        <v>18</v>
      </c>
      <c r="D174" t="str">
        <f t="shared" si="15"/>
        <v/>
      </c>
      <c r="E174" s="24" t="str">
        <f t="shared" si="16"/>
        <v/>
      </c>
      <c r="F174" s="25" t="str">
        <f t="shared" si="17"/>
        <v/>
      </c>
      <c r="G174" s="25" t="str">
        <f t="shared" si="18"/>
        <v/>
      </c>
      <c r="H174" s="25" t="str">
        <f t="shared" si="19"/>
        <v/>
      </c>
      <c r="I174" s="25" t="str">
        <f t="shared" si="20"/>
        <v/>
      </c>
      <c r="J174" s="25" t="str">
        <f t="shared" si="21"/>
        <v/>
      </c>
      <c r="K174" s="26" t="str">
        <f t="shared" si="22"/>
        <v/>
      </c>
      <c r="N174" t="str">
        <f t="shared" si="23"/>
        <v/>
      </c>
      <c r="O174" s="24" t="str">
        <f t="shared" si="24"/>
        <v/>
      </c>
      <c r="P174" s="25" t="str">
        <f t="shared" si="25"/>
        <v/>
      </c>
      <c r="Q174" s="25" t="str">
        <f t="shared" si="26"/>
        <v/>
      </c>
      <c r="R174" s="25" t="str">
        <f t="shared" si="27"/>
        <v/>
      </c>
      <c r="S174" s="25" t="str">
        <f t="shared" si="28"/>
        <v/>
      </c>
      <c r="T174" s="25" t="str">
        <f t="shared" si="29"/>
        <v/>
      </c>
      <c r="U174" s="25"/>
      <c r="V174" s="26" t="str">
        <f t="shared" si="30"/>
        <v/>
      </c>
      <c r="W174" t="str">
        <f t="shared" si="31"/>
        <v/>
      </c>
      <c r="X174" s="24" t="str">
        <f t="shared" si="32"/>
        <v/>
      </c>
      <c r="Y174" s="25" t="str">
        <f t="shared" si="33"/>
        <v/>
      </c>
      <c r="Z174" s="25" t="str">
        <f t="shared" si="34"/>
        <v/>
      </c>
      <c r="AA174" s="25" t="str">
        <f t="shared" si="35"/>
        <v/>
      </c>
      <c r="AB174" s="25" t="str">
        <f t="shared" si="36"/>
        <v/>
      </c>
      <c r="AC174" s="25" t="str">
        <f t="shared" si="37"/>
        <v/>
      </c>
      <c r="AD174" s="26" t="str">
        <f t="shared" si="38"/>
        <v/>
      </c>
      <c r="AE174" t="str">
        <f t="shared" si="39"/>
        <v/>
      </c>
      <c r="AF174" s="24" t="str">
        <f t="shared" si="40"/>
        <v/>
      </c>
      <c r="AG174" s="25" t="str">
        <f t="shared" si="41"/>
        <v/>
      </c>
      <c r="AH174" s="25" t="str">
        <f t="shared" si="42"/>
        <v/>
      </c>
      <c r="AI174" s="25" t="str">
        <f t="shared" si="43"/>
        <v/>
      </c>
      <c r="AJ174" s="25" t="str">
        <f t="shared" si="44"/>
        <v/>
      </c>
      <c r="AK174" s="25" t="str">
        <f t="shared" si="45"/>
        <v/>
      </c>
      <c r="AL174" s="26" t="str">
        <f t="shared" si="46"/>
        <v/>
      </c>
      <c r="AP174" t="str">
        <f t="shared" si="47"/>
        <v/>
      </c>
      <c r="AQ174" s="24" t="str">
        <f t="shared" si="48"/>
        <v/>
      </c>
      <c r="AR174" s="25" t="str">
        <f t="shared" si="49"/>
        <v/>
      </c>
      <c r="AS174" s="25" t="str">
        <f t="shared" si="50"/>
        <v/>
      </c>
      <c r="AT174" s="25" t="str">
        <f t="shared" si="51"/>
        <v/>
      </c>
      <c r="AU174" s="25" t="str">
        <f t="shared" si="52"/>
        <v/>
      </c>
      <c r="AV174" s="25" t="str">
        <f t="shared" si="53"/>
        <v/>
      </c>
      <c r="AW174" s="26" t="str">
        <f t="shared" si="54"/>
        <v/>
      </c>
    </row>
    <row r="175" spans="3:49" x14ac:dyDescent="0.25">
      <c r="C175">
        <v>19</v>
      </c>
      <c r="D175" t="str">
        <f t="shared" si="15"/>
        <v/>
      </c>
      <c r="E175" s="24" t="str">
        <f t="shared" si="16"/>
        <v/>
      </c>
      <c r="F175" s="25" t="str">
        <f t="shared" si="17"/>
        <v/>
      </c>
      <c r="G175" s="25" t="str">
        <f t="shared" si="18"/>
        <v/>
      </c>
      <c r="H175" s="25" t="str">
        <f t="shared" si="19"/>
        <v/>
      </c>
      <c r="I175" s="25" t="str">
        <f t="shared" si="20"/>
        <v/>
      </c>
      <c r="J175" s="25" t="str">
        <f t="shared" si="21"/>
        <v/>
      </c>
      <c r="K175" s="26" t="str">
        <f t="shared" si="22"/>
        <v/>
      </c>
      <c r="N175" t="str">
        <f t="shared" si="23"/>
        <v/>
      </c>
      <c r="O175" s="24" t="str">
        <f t="shared" si="24"/>
        <v/>
      </c>
      <c r="P175" s="25" t="str">
        <f t="shared" si="25"/>
        <v/>
      </c>
      <c r="Q175" s="25" t="str">
        <f t="shared" si="26"/>
        <v/>
      </c>
      <c r="R175" s="25" t="str">
        <f t="shared" si="27"/>
        <v/>
      </c>
      <c r="S175" s="25" t="str">
        <f t="shared" si="28"/>
        <v/>
      </c>
      <c r="T175" s="25" t="str">
        <f t="shared" si="29"/>
        <v/>
      </c>
      <c r="U175" s="25"/>
      <c r="V175" s="26" t="str">
        <f t="shared" si="30"/>
        <v/>
      </c>
      <c r="W175" t="str">
        <f t="shared" si="31"/>
        <v/>
      </c>
      <c r="X175" s="24" t="str">
        <f t="shared" si="32"/>
        <v/>
      </c>
      <c r="Y175" s="25" t="str">
        <f t="shared" si="33"/>
        <v/>
      </c>
      <c r="Z175" s="25" t="str">
        <f t="shared" si="34"/>
        <v/>
      </c>
      <c r="AA175" s="25" t="str">
        <f t="shared" si="35"/>
        <v/>
      </c>
      <c r="AB175" s="25" t="str">
        <f t="shared" si="36"/>
        <v/>
      </c>
      <c r="AC175" s="25" t="str">
        <f t="shared" si="37"/>
        <v/>
      </c>
      <c r="AD175" s="26" t="str">
        <f t="shared" si="38"/>
        <v/>
      </c>
      <c r="AE175" t="str">
        <f t="shared" si="39"/>
        <v/>
      </c>
      <c r="AF175" s="24" t="str">
        <f t="shared" si="40"/>
        <v/>
      </c>
      <c r="AG175" s="25" t="str">
        <f t="shared" si="41"/>
        <v/>
      </c>
      <c r="AH175" s="25" t="str">
        <f t="shared" si="42"/>
        <v/>
      </c>
      <c r="AI175" s="25" t="str">
        <f t="shared" si="43"/>
        <v/>
      </c>
      <c r="AJ175" s="25" t="str">
        <f t="shared" si="44"/>
        <v/>
      </c>
      <c r="AK175" s="25" t="str">
        <f t="shared" si="45"/>
        <v/>
      </c>
      <c r="AL175" s="26" t="str">
        <f t="shared" si="46"/>
        <v/>
      </c>
      <c r="AP175" t="str">
        <f t="shared" si="47"/>
        <v/>
      </c>
      <c r="AQ175" s="24" t="str">
        <f t="shared" si="48"/>
        <v/>
      </c>
      <c r="AR175" s="25" t="str">
        <f t="shared" si="49"/>
        <v/>
      </c>
      <c r="AS175" s="25" t="str">
        <f t="shared" si="50"/>
        <v/>
      </c>
      <c r="AT175" s="25" t="str">
        <f t="shared" si="51"/>
        <v/>
      </c>
      <c r="AU175" s="25" t="str">
        <f t="shared" si="52"/>
        <v/>
      </c>
      <c r="AV175" s="25" t="str">
        <f t="shared" si="53"/>
        <v/>
      </c>
      <c r="AW175" s="26" t="str">
        <f t="shared" si="54"/>
        <v/>
      </c>
    </row>
    <row r="176" spans="3:49" x14ac:dyDescent="0.25">
      <c r="C176">
        <v>20</v>
      </c>
      <c r="D176" t="str">
        <f t="shared" si="15"/>
        <v/>
      </c>
      <c r="E176" s="24" t="str">
        <f t="shared" si="16"/>
        <v/>
      </c>
      <c r="F176" s="25" t="str">
        <f t="shared" si="17"/>
        <v/>
      </c>
      <c r="G176" s="25" t="str">
        <f t="shared" si="18"/>
        <v/>
      </c>
      <c r="H176" s="25" t="str">
        <f t="shared" si="19"/>
        <v/>
      </c>
      <c r="I176" s="25" t="str">
        <f t="shared" si="20"/>
        <v/>
      </c>
      <c r="J176" s="25" t="str">
        <f t="shared" si="21"/>
        <v/>
      </c>
      <c r="K176" s="26" t="str">
        <f t="shared" si="22"/>
        <v/>
      </c>
      <c r="N176" t="str">
        <f t="shared" si="23"/>
        <v/>
      </c>
      <c r="O176" s="24" t="str">
        <f t="shared" si="24"/>
        <v/>
      </c>
      <c r="P176" s="25" t="str">
        <f t="shared" si="25"/>
        <v/>
      </c>
      <c r="Q176" s="25" t="str">
        <f t="shared" si="26"/>
        <v/>
      </c>
      <c r="R176" s="25" t="str">
        <f t="shared" si="27"/>
        <v/>
      </c>
      <c r="S176" s="25" t="str">
        <f t="shared" si="28"/>
        <v/>
      </c>
      <c r="T176" s="25" t="str">
        <f t="shared" si="29"/>
        <v/>
      </c>
      <c r="U176" s="25"/>
      <c r="V176" s="26" t="str">
        <f t="shared" si="30"/>
        <v/>
      </c>
      <c r="W176" t="str">
        <f t="shared" si="31"/>
        <v/>
      </c>
      <c r="X176" s="24" t="str">
        <f t="shared" si="32"/>
        <v/>
      </c>
      <c r="Y176" s="25" t="str">
        <f t="shared" si="33"/>
        <v/>
      </c>
      <c r="Z176" s="25" t="str">
        <f t="shared" si="34"/>
        <v/>
      </c>
      <c r="AA176" s="25" t="str">
        <f t="shared" si="35"/>
        <v/>
      </c>
      <c r="AB176" s="25" t="str">
        <f t="shared" si="36"/>
        <v/>
      </c>
      <c r="AC176" s="25" t="str">
        <f t="shared" si="37"/>
        <v/>
      </c>
      <c r="AD176" s="26" t="str">
        <f t="shared" si="38"/>
        <v/>
      </c>
      <c r="AE176" t="str">
        <f t="shared" si="39"/>
        <v/>
      </c>
      <c r="AF176" s="24" t="str">
        <f t="shared" si="40"/>
        <v/>
      </c>
      <c r="AG176" s="25" t="str">
        <f t="shared" si="41"/>
        <v/>
      </c>
      <c r="AH176" s="25" t="str">
        <f t="shared" si="42"/>
        <v/>
      </c>
      <c r="AI176" s="25" t="str">
        <f t="shared" si="43"/>
        <v/>
      </c>
      <c r="AJ176" s="25" t="str">
        <f t="shared" si="44"/>
        <v/>
      </c>
      <c r="AK176" s="25" t="str">
        <f t="shared" si="45"/>
        <v/>
      </c>
      <c r="AL176" s="26" t="str">
        <f t="shared" si="46"/>
        <v/>
      </c>
      <c r="AP176" t="str">
        <f t="shared" si="47"/>
        <v/>
      </c>
      <c r="AQ176" s="24" t="str">
        <f t="shared" si="48"/>
        <v/>
      </c>
      <c r="AR176" s="25" t="str">
        <f t="shared" si="49"/>
        <v/>
      </c>
      <c r="AS176" s="25" t="str">
        <f t="shared" si="50"/>
        <v/>
      </c>
      <c r="AT176" s="25" t="str">
        <f t="shared" si="51"/>
        <v/>
      </c>
      <c r="AU176" s="25" t="str">
        <f t="shared" si="52"/>
        <v/>
      </c>
      <c r="AV176" s="25" t="str">
        <f t="shared" si="53"/>
        <v/>
      </c>
      <c r="AW176" s="26" t="str">
        <f t="shared" si="54"/>
        <v/>
      </c>
    </row>
    <row r="177" spans="3:49" x14ac:dyDescent="0.25">
      <c r="C177">
        <v>21</v>
      </c>
      <c r="D177" t="str">
        <f t="shared" si="15"/>
        <v/>
      </c>
      <c r="E177" s="24" t="str">
        <f t="shared" si="16"/>
        <v/>
      </c>
      <c r="F177" s="25" t="str">
        <f t="shared" si="17"/>
        <v/>
      </c>
      <c r="G177" s="25" t="str">
        <f t="shared" si="18"/>
        <v/>
      </c>
      <c r="H177" s="25" t="str">
        <f t="shared" si="19"/>
        <v/>
      </c>
      <c r="I177" s="25" t="str">
        <f t="shared" si="20"/>
        <v/>
      </c>
      <c r="J177" s="25" t="str">
        <f t="shared" si="21"/>
        <v/>
      </c>
      <c r="K177" s="26" t="str">
        <f t="shared" si="22"/>
        <v/>
      </c>
      <c r="N177" t="str">
        <f t="shared" si="23"/>
        <v/>
      </c>
      <c r="O177" s="24" t="str">
        <f t="shared" si="24"/>
        <v/>
      </c>
      <c r="P177" s="25" t="str">
        <f t="shared" si="25"/>
        <v/>
      </c>
      <c r="Q177" s="25" t="str">
        <f t="shared" si="26"/>
        <v/>
      </c>
      <c r="R177" s="25" t="str">
        <f t="shared" si="27"/>
        <v/>
      </c>
      <c r="S177" s="25" t="str">
        <f t="shared" si="28"/>
        <v/>
      </c>
      <c r="T177" s="25" t="str">
        <f t="shared" si="29"/>
        <v/>
      </c>
      <c r="U177" s="25"/>
      <c r="V177" s="26" t="str">
        <f t="shared" si="30"/>
        <v/>
      </c>
      <c r="W177" t="str">
        <f t="shared" si="31"/>
        <v/>
      </c>
      <c r="X177" s="24" t="str">
        <f t="shared" si="32"/>
        <v/>
      </c>
      <c r="Y177" s="25" t="str">
        <f t="shared" si="33"/>
        <v/>
      </c>
      <c r="Z177" s="25" t="str">
        <f t="shared" si="34"/>
        <v/>
      </c>
      <c r="AA177" s="25" t="str">
        <f t="shared" si="35"/>
        <v/>
      </c>
      <c r="AB177" s="25" t="str">
        <f t="shared" si="36"/>
        <v/>
      </c>
      <c r="AC177" s="25" t="str">
        <f t="shared" si="37"/>
        <v/>
      </c>
      <c r="AD177" s="26" t="str">
        <f t="shared" si="38"/>
        <v/>
      </c>
      <c r="AE177" t="str">
        <f t="shared" si="39"/>
        <v/>
      </c>
      <c r="AF177" s="24" t="str">
        <f t="shared" si="40"/>
        <v/>
      </c>
      <c r="AG177" s="25" t="str">
        <f t="shared" si="41"/>
        <v/>
      </c>
      <c r="AH177" s="25" t="str">
        <f t="shared" si="42"/>
        <v/>
      </c>
      <c r="AI177" s="25" t="str">
        <f t="shared" si="43"/>
        <v/>
      </c>
      <c r="AJ177" s="25" t="str">
        <f t="shared" si="44"/>
        <v/>
      </c>
      <c r="AK177" s="25" t="str">
        <f t="shared" si="45"/>
        <v/>
      </c>
      <c r="AL177" s="26" t="str">
        <f t="shared" si="46"/>
        <v/>
      </c>
      <c r="AP177" t="str">
        <f t="shared" si="47"/>
        <v/>
      </c>
      <c r="AQ177" s="24" t="str">
        <f t="shared" si="48"/>
        <v/>
      </c>
      <c r="AR177" s="25" t="str">
        <f t="shared" si="49"/>
        <v/>
      </c>
      <c r="AS177" s="25" t="str">
        <f t="shared" si="50"/>
        <v/>
      </c>
      <c r="AT177" s="25" t="str">
        <f t="shared" si="51"/>
        <v/>
      </c>
      <c r="AU177" s="25" t="str">
        <f t="shared" si="52"/>
        <v/>
      </c>
      <c r="AV177" s="25" t="str">
        <f t="shared" si="53"/>
        <v/>
      </c>
      <c r="AW177" s="26" t="str">
        <f t="shared" si="54"/>
        <v/>
      </c>
    </row>
    <row r="178" spans="3:49" x14ac:dyDescent="0.25">
      <c r="C178">
        <v>22</v>
      </c>
      <c r="D178" t="str">
        <f t="shared" si="15"/>
        <v/>
      </c>
      <c r="E178" s="24" t="str">
        <f t="shared" si="16"/>
        <v/>
      </c>
      <c r="F178" s="25" t="str">
        <f t="shared" si="17"/>
        <v/>
      </c>
      <c r="G178" s="25" t="str">
        <f t="shared" si="18"/>
        <v/>
      </c>
      <c r="H178" s="25" t="str">
        <f t="shared" si="19"/>
        <v/>
      </c>
      <c r="I178" s="25" t="str">
        <f t="shared" si="20"/>
        <v/>
      </c>
      <c r="J178" s="25" t="str">
        <f t="shared" si="21"/>
        <v/>
      </c>
      <c r="K178" s="26" t="str">
        <f t="shared" si="22"/>
        <v/>
      </c>
      <c r="N178" t="str">
        <f t="shared" si="23"/>
        <v/>
      </c>
      <c r="O178" s="24" t="str">
        <f t="shared" si="24"/>
        <v/>
      </c>
      <c r="P178" s="25" t="str">
        <f t="shared" si="25"/>
        <v/>
      </c>
      <c r="Q178" s="25" t="str">
        <f t="shared" si="26"/>
        <v/>
      </c>
      <c r="R178" s="25" t="str">
        <f t="shared" si="27"/>
        <v/>
      </c>
      <c r="S178" s="25" t="str">
        <f t="shared" si="28"/>
        <v/>
      </c>
      <c r="T178" s="25" t="str">
        <f t="shared" si="29"/>
        <v/>
      </c>
      <c r="U178" s="25"/>
      <c r="V178" s="26" t="str">
        <f t="shared" si="30"/>
        <v/>
      </c>
      <c r="W178" t="str">
        <f t="shared" si="31"/>
        <v/>
      </c>
      <c r="X178" s="24" t="str">
        <f t="shared" si="32"/>
        <v/>
      </c>
      <c r="Y178" s="25" t="str">
        <f t="shared" si="33"/>
        <v/>
      </c>
      <c r="Z178" s="25" t="str">
        <f t="shared" si="34"/>
        <v/>
      </c>
      <c r="AA178" s="25" t="str">
        <f t="shared" si="35"/>
        <v/>
      </c>
      <c r="AB178" s="25" t="str">
        <f t="shared" si="36"/>
        <v/>
      </c>
      <c r="AC178" s="25" t="str">
        <f t="shared" si="37"/>
        <v/>
      </c>
      <c r="AD178" s="26" t="str">
        <f t="shared" si="38"/>
        <v/>
      </c>
      <c r="AE178" t="str">
        <f t="shared" si="39"/>
        <v/>
      </c>
      <c r="AF178" s="24" t="str">
        <f t="shared" si="40"/>
        <v/>
      </c>
      <c r="AG178" s="25" t="str">
        <f t="shared" si="41"/>
        <v/>
      </c>
      <c r="AH178" s="25" t="str">
        <f t="shared" si="42"/>
        <v/>
      </c>
      <c r="AI178" s="25" t="str">
        <f t="shared" si="43"/>
        <v/>
      </c>
      <c r="AJ178" s="25" t="str">
        <f t="shared" si="44"/>
        <v/>
      </c>
      <c r="AK178" s="25" t="str">
        <f t="shared" si="45"/>
        <v/>
      </c>
      <c r="AL178" s="26" t="str">
        <f t="shared" si="46"/>
        <v/>
      </c>
      <c r="AP178" t="str">
        <f t="shared" si="47"/>
        <v/>
      </c>
      <c r="AQ178" s="24" t="str">
        <f t="shared" si="48"/>
        <v/>
      </c>
      <c r="AR178" s="25" t="str">
        <f t="shared" si="49"/>
        <v/>
      </c>
      <c r="AS178" s="25" t="str">
        <f t="shared" si="50"/>
        <v/>
      </c>
      <c r="AT178" s="25" t="str">
        <f t="shared" si="51"/>
        <v/>
      </c>
      <c r="AU178" s="25" t="str">
        <f t="shared" si="52"/>
        <v/>
      </c>
      <c r="AV178" s="25" t="str">
        <f t="shared" si="53"/>
        <v/>
      </c>
      <c r="AW178" s="26" t="str">
        <f t="shared" si="54"/>
        <v/>
      </c>
    </row>
    <row r="179" spans="3:49" x14ac:dyDescent="0.25">
      <c r="C179">
        <v>23</v>
      </c>
      <c r="D179" t="str">
        <f t="shared" si="15"/>
        <v/>
      </c>
      <c r="E179" s="24" t="str">
        <f t="shared" si="16"/>
        <v/>
      </c>
      <c r="F179" s="25" t="str">
        <f t="shared" si="17"/>
        <v/>
      </c>
      <c r="G179" s="25" t="str">
        <f t="shared" si="18"/>
        <v/>
      </c>
      <c r="H179" s="25" t="str">
        <f t="shared" si="19"/>
        <v/>
      </c>
      <c r="I179" s="25" t="str">
        <f t="shared" si="20"/>
        <v/>
      </c>
      <c r="J179" s="25" t="str">
        <f t="shared" si="21"/>
        <v/>
      </c>
      <c r="K179" s="26" t="str">
        <f t="shared" si="22"/>
        <v/>
      </c>
      <c r="N179" t="str">
        <f t="shared" si="23"/>
        <v/>
      </c>
      <c r="O179" s="24" t="str">
        <f t="shared" si="24"/>
        <v/>
      </c>
      <c r="P179" s="25" t="str">
        <f t="shared" si="25"/>
        <v/>
      </c>
      <c r="Q179" s="25" t="str">
        <f t="shared" si="26"/>
        <v/>
      </c>
      <c r="R179" s="25" t="str">
        <f t="shared" si="27"/>
        <v/>
      </c>
      <c r="S179" s="25" t="str">
        <f t="shared" si="28"/>
        <v/>
      </c>
      <c r="T179" s="25" t="str">
        <f t="shared" si="29"/>
        <v/>
      </c>
      <c r="U179" s="25"/>
      <c r="V179" s="26" t="str">
        <f t="shared" si="30"/>
        <v/>
      </c>
      <c r="W179" t="str">
        <f t="shared" si="31"/>
        <v/>
      </c>
      <c r="X179" s="24" t="str">
        <f t="shared" si="32"/>
        <v/>
      </c>
      <c r="Y179" s="25" t="str">
        <f t="shared" si="33"/>
        <v/>
      </c>
      <c r="Z179" s="25" t="str">
        <f t="shared" si="34"/>
        <v/>
      </c>
      <c r="AA179" s="25" t="str">
        <f t="shared" si="35"/>
        <v/>
      </c>
      <c r="AB179" s="25" t="str">
        <f t="shared" si="36"/>
        <v/>
      </c>
      <c r="AC179" s="25" t="str">
        <f t="shared" si="37"/>
        <v/>
      </c>
      <c r="AD179" s="26" t="str">
        <f t="shared" si="38"/>
        <v/>
      </c>
      <c r="AE179" t="str">
        <f t="shared" si="39"/>
        <v/>
      </c>
      <c r="AF179" s="24" t="str">
        <f t="shared" si="40"/>
        <v/>
      </c>
      <c r="AG179" s="25" t="str">
        <f t="shared" si="41"/>
        <v/>
      </c>
      <c r="AH179" s="25" t="str">
        <f t="shared" si="42"/>
        <v/>
      </c>
      <c r="AI179" s="25" t="str">
        <f t="shared" si="43"/>
        <v/>
      </c>
      <c r="AJ179" s="25" t="str">
        <f t="shared" si="44"/>
        <v/>
      </c>
      <c r="AK179" s="25" t="str">
        <f t="shared" si="45"/>
        <v/>
      </c>
      <c r="AL179" s="26" t="str">
        <f t="shared" si="46"/>
        <v/>
      </c>
      <c r="AP179" t="str">
        <f t="shared" si="47"/>
        <v/>
      </c>
      <c r="AQ179" s="24" t="str">
        <f t="shared" si="48"/>
        <v/>
      </c>
      <c r="AR179" s="25" t="str">
        <f t="shared" si="49"/>
        <v/>
      </c>
      <c r="AS179" s="25" t="str">
        <f t="shared" si="50"/>
        <v/>
      </c>
      <c r="AT179" s="25" t="str">
        <f t="shared" si="51"/>
        <v/>
      </c>
      <c r="AU179" s="25" t="str">
        <f t="shared" si="52"/>
        <v/>
      </c>
      <c r="AV179" s="25" t="str">
        <f t="shared" si="53"/>
        <v/>
      </c>
      <c r="AW179" s="26" t="str">
        <f t="shared" si="54"/>
        <v/>
      </c>
    </row>
    <row r="180" spans="3:49" x14ac:dyDescent="0.25">
      <c r="C180">
        <v>24</v>
      </c>
      <c r="D180" t="str">
        <f t="shared" si="15"/>
        <v/>
      </c>
      <c r="E180" s="24" t="str">
        <f t="shared" si="16"/>
        <v/>
      </c>
      <c r="F180" s="25" t="str">
        <f t="shared" si="17"/>
        <v/>
      </c>
      <c r="G180" s="25" t="str">
        <f t="shared" si="18"/>
        <v/>
      </c>
      <c r="H180" s="25" t="str">
        <f t="shared" si="19"/>
        <v/>
      </c>
      <c r="I180" s="25" t="str">
        <f t="shared" si="20"/>
        <v/>
      </c>
      <c r="J180" s="25" t="str">
        <f t="shared" si="21"/>
        <v/>
      </c>
      <c r="K180" s="26" t="str">
        <f t="shared" si="22"/>
        <v/>
      </c>
      <c r="N180" t="str">
        <f t="shared" si="23"/>
        <v/>
      </c>
      <c r="O180" s="24" t="str">
        <f t="shared" si="24"/>
        <v/>
      </c>
      <c r="P180" s="25" t="str">
        <f t="shared" si="25"/>
        <v/>
      </c>
      <c r="Q180" s="25" t="str">
        <f t="shared" si="26"/>
        <v/>
      </c>
      <c r="R180" s="25" t="str">
        <f t="shared" si="27"/>
        <v/>
      </c>
      <c r="S180" s="25" t="str">
        <f t="shared" si="28"/>
        <v/>
      </c>
      <c r="T180" s="25" t="str">
        <f t="shared" si="29"/>
        <v/>
      </c>
      <c r="U180" s="25"/>
      <c r="V180" s="26" t="str">
        <f t="shared" si="30"/>
        <v/>
      </c>
      <c r="W180" t="str">
        <f t="shared" si="31"/>
        <v/>
      </c>
      <c r="X180" s="24" t="str">
        <f t="shared" si="32"/>
        <v/>
      </c>
      <c r="Y180" s="25" t="str">
        <f t="shared" si="33"/>
        <v/>
      </c>
      <c r="Z180" s="25" t="str">
        <f t="shared" si="34"/>
        <v/>
      </c>
      <c r="AA180" s="25" t="str">
        <f t="shared" si="35"/>
        <v/>
      </c>
      <c r="AB180" s="25" t="str">
        <f t="shared" si="36"/>
        <v/>
      </c>
      <c r="AC180" s="25" t="str">
        <f t="shared" si="37"/>
        <v/>
      </c>
      <c r="AD180" s="26" t="str">
        <f t="shared" si="38"/>
        <v/>
      </c>
      <c r="AE180" t="str">
        <f t="shared" si="39"/>
        <v/>
      </c>
      <c r="AF180" s="24" t="str">
        <f t="shared" si="40"/>
        <v/>
      </c>
      <c r="AG180" s="25" t="str">
        <f t="shared" si="41"/>
        <v/>
      </c>
      <c r="AH180" s="25" t="str">
        <f t="shared" si="42"/>
        <v/>
      </c>
      <c r="AI180" s="25" t="str">
        <f t="shared" si="43"/>
        <v/>
      </c>
      <c r="AJ180" s="25" t="str">
        <f t="shared" si="44"/>
        <v/>
      </c>
      <c r="AK180" s="25" t="str">
        <f t="shared" si="45"/>
        <v/>
      </c>
      <c r="AL180" s="26" t="str">
        <f t="shared" si="46"/>
        <v/>
      </c>
      <c r="AP180" t="str">
        <f t="shared" si="47"/>
        <v/>
      </c>
      <c r="AQ180" s="24" t="str">
        <f t="shared" si="48"/>
        <v/>
      </c>
      <c r="AR180" s="25" t="str">
        <f t="shared" si="49"/>
        <v/>
      </c>
      <c r="AS180" s="25" t="str">
        <f t="shared" si="50"/>
        <v/>
      </c>
      <c r="AT180" s="25" t="str">
        <f t="shared" si="51"/>
        <v/>
      </c>
      <c r="AU180" s="25" t="str">
        <f t="shared" si="52"/>
        <v/>
      </c>
      <c r="AV180" s="25" t="str">
        <f t="shared" si="53"/>
        <v/>
      </c>
      <c r="AW180" s="26" t="str">
        <f t="shared" si="54"/>
        <v/>
      </c>
    </row>
    <row r="181" spans="3:49" x14ac:dyDescent="0.25">
      <c r="C181">
        <v>25</v>
      </c>
      <c r="D181" t="str">
        <f t="shared" si="15"/>
        <v/>
      </c>
      <c r="E181" s="24" t="str">
        <f t="shared" si="16"/>
        <v/>
      </c>
      <c r="F181" s="25" t="str">
        <f t="shared" si="17"/>
        <v/>
      </c>
      <c r="G181" s="25" t="str">
        <f t="shared" si="18"/>
        <v/>
      </c>
      <c r="H181" s="25" t="str">
        <f t="shared" si="19"/>
        <v/>
      </c>
      <c r="I181" s="25" t="str">
        <f t="shared" si="20"/>
        <v/>
      </c>
      <c r="J181" s="25" t="str">
        <f t="shared" si="21"/>
        <v/>
      </c>
      <c r="K181" s="26" t="str">
        <f t="shared" si="22"/>
        <v/>
      </c>
      <c r="N181" t="str">
        <f t="shared" si="23"/>
        <v/>
      </c>
      <c r="O181" s="24" t="str">
        <f t="shared" si="24"/>
        <v/>
      </c>
      <c r="P181" s="25" t="str">
        <f t="shared" si="25"/>
        <v/>
      </c>
      <c r="Q181" s="25" t="str">
        <f t="shared" si="26"/>
        <v/>
      </c>
      <c r="R181" s="25" t="str">
        <f t="shared" si="27"/>
        <v/>
      </c>
      <c r="S181" s="25" t="str">
        <f t="shared" si="28"/>
        <v/>
      </c>
      <c r="T181" s="25" t="str">
        <f t="shared" si="29"/>
        <v/>
      </c>
      <c r="U181" s="25"/>
      <c r="V181" s="26" t="str">
        <f t="shared" si="30"/>
        <v/>
      </c>
      <c r="W181" t="str">
        <f t="shared" si="31"/>
        <v/>
      </c>
      <c r="X181" s="24" t="str">
        <f t="shared" si="32"/>
        <v/>
      </c>
      <c r="Y181" s="25" t="str">
        <f t="shared" si="33"/>
        <v/>
      </c>
      <c r="Z181" s="25" t="str">
        <f t="shared" si="34"/>
        <v/>
      </c>
      <c r="AA181" s="25" t="str">
        <f t="shared" si="35"/>
        <v/>
      </c>
      <c r="AB181" s="25" t="str">
        <f t="shared" si="36"/>
        <v/>
      </c>
      <c r="AC181" s="25" t="str">
        <f t="shared" si="37"/>
        <v/>
      </c>
      <c r="AD181" s="26" t="str">
        <f t="shared" si="38"/>
        <v/>
      </c>
      <c r="AE181" t="str">
        <f t="shared" si="39"/>
        <v/>
      </c>
      <c r="AF181" s="24" t="str">
        <f t="shared" si="40"/>
        <v/>
      </c>
      <c r="AG181" s="25" t="str">
        <f t="shared" si="41"/>
        <v/>
      </c>
      <c r="AH181" s="25" t="str">
        <f t="shared" si="42"/>
        <v/>
      </c>
      <c r="AI181" s="25" t="str">
        <f t="shared" si="43"/>
        <v/>
      </c>
      <c r="AJ181" s="25" t="str">
        <f t="shared" si="44"/>
        <v/>
      </c>
      <c r="AK181" s="25" t="str">
        <f t="shared" si="45"/>
        <v/>
      </c>
      <c r="AL181" s="26" t="str">
        <f t="shared" si="46"/>
        <v/>
      </c>
      <c r="AP181" t="str">
        <f t="shared" si="47"/>
        <v/>
      </c>
      <c r="AQ181" s="24" t="str">
        <f t="shared" si="48"/>
        <v/>
      </c>
      <c r="AR181" s="25" t="str">
        <f t="shared" si="49"/>
        <v/>
      </c>
      <c r="AS181" s="25" t="str">
        <f t="shared" si="50"/>
        <v/>
      </c>
      <c r="AT181" s="25" t="str">
        <f t="shared" si="51"/>
        <v/>
      </c>
      <c r="AU181" s="25" t="str">
        <f t="shared" si="52"/>
        <v/>
      </c>
      <c r="AV181" s="25" t="str">
        <f t="shared" si="53"/>
        <v/>
      </c>
      <c r="AW181" s="26" t="str">
        <f t="shared" si="54"/>
        <v/>
      </c>
    </row>
    <row r="182" spans="3:49" x14ac:dyDescent="0.25">
      <c r="C182">
        <v>26</v>
      </c>
      <c r="D182" t="str">
        <f t="shared" si="15"/>
        <v/>
      </c>
      <c r="E182" s="24" t="str">
        <f t="shared" si="16"/>
        <v/>
      </c>
      <c r="F182" s="25" t="str">
        <f t="shared" si="17"/>
        <v/>
      </c>
      <c r="G182" s="25" t="str">
        <f t="shared" si="18"/>
        <v/>
      </c>
      <c r="H182" s="25" t="str">
        <f t="shared" si="19"/>
        <v/>
      </c>
      <c r="I182" s="25" t="str">
        <f t="shared" si="20"/>
        <v/>
      </c>
      <c r="J182" s="25" t="str">
        <f t="shared" si="21"/>
        <v/>
      </c>
      <c r="K182" s="26" t="str">
        <f t="shared" si="22"/>
        <v/>
      </c>
      <c r="N182" t="str">
        <f t="shared" si="23"/>
        <v/>
      </c>
      <c r="O182" s="24" t="str">
        <f t="shared" si="24"/>
        <v/>
      </c>
      <c r="P182" s="25" t="str">
        <f t="shared" si="25"/>
        <v/>
      </c>
      <c r="Q182" s="25" t="str">
        <f t="shared" si="26"/>
        <v/>
      </c>
      <c r="R182" s="25" t="str">
        <f t="shared" si="27"/>
        <v/>
      </c>
      <c r="S182" s="25" t="str">
        <f t="shared" si="28"/>
        <v/>
      </c>
      <c r="T182" s="25" t="str">
        <f t="shared" si="29"/>
        <v/>
      </c>
      <c r="U182" s="25"/>
      <c r="V182" s="26" t="str">
        <f t="shared" si="30"/>
        <v/>
      </c>
      <c r="W182" t="str">
        <f t="shared" si="31"/>
        <v/>
      </c>
      <c r="X182" s="24" t="str">
        <f t="shared" si="32"/>
        <v/>
      </c>
      <c r="Y182" s="25" t="str">
        <f t="shared" si="33"/>
        <v/>
      </c>
      <c r="Z182" s="25" t="str">
        <f t="shared" si="34"/>
        <v/>
      </c>
      <c r="AA182" s="25" t="str">
        <f t="shared" si="35"/>
        <v/>
      </c>
      <c r="AB182" s="25" t="str">
        <f t="shared" si="36"/>
        <v/>
      </c>
      <c r="AC182" s="25" t="str">
        <f t="shared" si="37"/>
        <v/>
      </c>
      <c r="AD182" s="26" t="str">
        <f t="shared" si="38"/>
        <v/>
      </c>
      <c r="AE182" t="str">
        <f t="shared" si="39"/>
        <v/>
      </c>
      <c r="AF182" s="24" t="str">
        <f t="shared" si="40"/>
        <v/>
      </c>
      <c r="AG182" s="25" t="str">
        <f t="shared" si="41"/>
        <v/>
      </c>
      <c r="AH182" s="25" t="str">
        <f t="shared" si="42"/>
        <v/>
      </c>
      <c r="AI182" s="25" t="str">
        <f t="shared" si="43"/>
        <v/>
      </c>
      <c r="AJ182" s="25" t="str">
        <f t="shared" si="44"/>
        <v/>
      </c>
      <c r="AK182" s="25" t="str">
        <f t="shared" si="45"/>
        <v/>
      </c>
      <c r="AL182" s="26" t="str">
        <f t="shared" si="46"/>
        <v/>
      </c>
      <c r="AP182" t="str">
        <f t="shared" si="47"/>
        <v/>
      </c>
      <c r="AQ182" s="24" t="str">
        <f t="shared" si="48"/>
        <v/>
      </c>
      <c r="AR182" s="25" t="str">
        <f t="shared" si="49"/>
        <v/>
      </c>
      <c r="AS182" s="25" t="str">
        <f t="shared" si="50"/>
        <v/>
      </c>
      <c r="AT182" s="25" t="str">
        <f t="shared" si="51"/>
        <v/>
      </c>
      <c r="AU182" s="25" t="str">
        <f t="shared" si="52"/>
        <v/>
      </c>
      <c r="AV182" s="25" t="str">
        <f t="shared" si="53"/>
        <v/>
      </c>
      <c r="AW182" s="26" t="str">
        <f t="shared" si="54"/>
        <v/>
      </c>
    </row>
    <row r="183" spans="3:49" x14ac:dyDescent="0.25">
      <c r="C183">
        <v>27</v>
      </c>
      <c r="D183" t="str">
        <f t="shared" si="15"/>
        <v/>
      </c>
      <c r="E183" s="24" t="str">
        <f t="shared" si="16"/>
        <v/>
      </c>
      <c r="F183" s="25" t="str">
        <f t="shared" si="17"/>
        <v/>
      </c>
      <c r="G183" s="25" t="str">
        <f t="shared" si="18"/>
        <v/>
      </c>
      <c r="H183" s="25" t="str">
        <f t="shared" si="19"/>
        <v/>
      </c>
      <c r="I183" s="25" t="str">
        <f t="shared" si="20"/>
        <v/>
      </c>
      <c r="J183" s="25" t="str">
        <f t="shared" si="21"/>
        <v/>
      </c>
      <c r="K183" s="26" t="str">
        <f t="shared" si="22"/>
        <v/>
      </c>
      <c r="N183" t="str">
        <f t="shared" si="23"/>
        <v/>
      </c>
      <c r="O183" s="24" t="str">
        <f t="shared" si="24"/>
        <v/>
      </c>
      <c r="P183" s="25" t="str">
        <f t="shared" si="25"/>
        <v/>
      </c>
      <c r="Q183" s="25" t="str">
        <f t="shared" si="26"/>
        <v/>
      </c>
      <c r="R183" s="25" t="str">
        <f t="shared" si="27"/>
        <v/>
      </c>
      <c r="S183" s="25" t="str">
        <f t="shared" si="28"/>
        <v/>
      </c>
      <c r="T183" s="25" t="str">
        <f t="shared" si="29"/>
        <v/>
      </c>
      <c r="U183" s="25"/>
      <c r="V183" s="26" t="str">
        <f t="shared" si="30"/>
        <v/>
      </c>
      <c r="W183" t="str">
        <f t="shared" si="31"/>
        <v/>
      </c>
      <c r="X183" s="24" t="str">
        <f t="shared" si="32"/>
        <v/>
      </c>
      <c r="Y183" s="25" t="str">
        <f t="shared" si="33"/>
        <v/>
      </c>
      <c r="Z183" s="25" t="str">
        <f t="shared" si="34"/>
        <v/>
      </c>
      <c r="AA183" s="25" t="str">
        <f t="shared" si="35"/>
        <v/>
      </c>
      <c r="AB183" s="25" t="str">
        <f t="shared" si="36"/>
        <v/>
      </c>
      <c r="AC183" s="25" t="str">
        <f t="shared" si="37"/>
        <v/>
      </c>
      <c r="AD183" s="26" t="str">
        <f t="shared" si="38"/>
        <v/>
      </c>
      <c r="AE183" t="str">
        <f t="shared" si="39"/>
        <v/>
      </c>
      <c r="AF183" s="24" t="str">
        <f t="shared" si="40"/>
        <v/>
      </c>
      <c r="AG183" s="25" t="str">
        <f t="shared" si="41"/>
        <v/>
      </c>
      <c r="AH183" s="25" t="str">
        <f t="shared" si="42"/>
        <v/>
      </c>
      <c r="AI183" s="25" t="str">
        <f t="shared" si="43"/>
        <v/>
      </c>
      <c r="AJ183" s="25" t="str">
        <f t="shared" si="44"/>
        <v/>
      </c>
      <c r="AK183" s="25" t="str">
        <f t="shared" si="45"/>
        <v/>
      </c>
      <c r="AL183" s="26" t="str">
        <f t="shared" si="46"/>
        <v/>
      </c>
      <c r="AP183" t="str">
        <f t="shared" si="47"/>
        <v/>
      </c>
      <c r="AQ183" s="24" t="str">
        <f t="shared" si="48"/>
        <v/>
      </c>
      <c r="AR183" s="25" t="str">
        <f t="shared" si="49"/>
        <v/>
      </c>
      <c r="AS183" s="25" t="str">
        <f t="shared" si="50"/>
        <v/>
      </c>
      <c r="AT183" s="25" t="str">
        <f t="shared" si="51"/>
        <v/>
      </c>
      <c r="AU183" s="25" t="str">
        <f t="shared" si="52"/>
        <v/>
      </c>
      <c r="AV183" s="25" t="str">
        <f t="shared" si="53"/>
        <v/>
      </c>
      <c r="AW183" s="26" t="str">
        <f t="shared" si="54"/>
        <v/>
      </c>
    </row>
    <row r="184" spans="3:49" x14ac:dyDescent="0.25">
      <c r="C184">
        <v>28</v>
      </c>
      <c r="D184" t="str">
        <f t="shared" si="15"/>
        <v/>
      </c>
      <c r="E184" s="24" t="str">
        <f t="shared" si="16"/>
        <v/>
      </c>
      <c r="F184" s="25" t="str">
        <f t="shared" si="17"/>
        <v/>
      </c>
      <c r="G184" s="25" t="str">
        <f t="shared" si="18"/>
        <v/>
      </c>
      <c r="H184" s="25" t="str">
        <f t="shared" si="19"/>
        <v/>
      </c>
      <c r="I184" s="25" t="str">
        <f t="shared" si="20"/>
        <v/>
      </c>
      <c r="J184" s="25" t="str">
        <f t="shared" si="21"/>
        <v/>
      </c>
      <c r="K184" s="26" t="str">
        <f t="shared" si="22"/>
        <v/>
      </c>
      <c r="N184" t="str">
        <f t="shared" si="23"/>
        <v/>
      </c>
      <c r="O184" s="24" t="str">
        <f t="shared" si="24"/>
        <v/>
      </c>
      <c r="P184" s="25" t="str">
        <f t="shared" si="25"/>
        <v/>
      </c>
      <c r="Q184" s="25" t="str">
        <f t="shared" si="26"/>
        <v/>
      </c>
      <c r="R184" s="25" t="str">
        <f t="shared" si="27"/>
        <v/>
      </c>
      <c r="S184" s="25" t="str">
        <f t="shared" si="28"/>
        <v/>
      </c>
      <c r="T184" s="25" t="str">
        <f t="shared" si="29"/>
        <v/>
      </c>
      <c r="U184" s="25"/>
      <c r="V184" s="26" t="str">
        <f t="shared" si="30"/>
        <v/>
      </c>
      <c r="W184" t="str">
        <f t="shared" si="31"/>
        <v/>
      </c>
      <c r="X184" s="24" t="str">
        <f t="shared" si="32"/>
        <v/>
      </c>
      <c r="Y184" s="25" t="str">
        <f t="shared" si="33"/>
        <v/>
      </c>
      <c r="Z184" s="25" t="str">
        <f t="shared" si="34"/>
        <v/>
      </c>
      <c r="AA184" s="25" t="str">
        <f t="shared" si="35"/>
        <v/>
      </c>
      <c r="AB184" s="25" t="str">
        <f t="shared" si="36"/>
        <v/>
      </c>
      <c r="AC184" s="25" t="str">
        <f t="shared" si="37"/>
        <v/>
      </c>
      <c r="AD184" s="26" t="str">
        <f t="shared" si="38"/>
        <v/>
      </c>
      <c r="AE184" t="str">
        <f t="shared" si="39"/>
        <v/>
      </c>
      <c r="AF184" s="24" t="str">
        <f t="shared" si="40"/>
        <v/>
      </c>
      <c r="AG184" s="25" t="str">
        <f t="shared" si="41"/>
        <v/>
      </c>
      <c r="AH184" s="25" t="str">
        <f t="shared" si="42"/>
        <v/>
      </c>
      <c r="AI184" s="25" t="str">
        <f t="shared" si="43"/>
        <v/>
      </c>
      <c r="AJ184" s="25" t="str">
        <f t="shared" si="44"/>
        <v/>
      </c>
      <c r="AK184" s="25" t="str">
        <f t="shared" si="45"/>
        <v/>
      </c>
      <c r="AL184" s="26" t="str">
        <f t="shared" si="46"/>
        <v/>
      </c>
      <c r="AP184" t="str">
        <f t="shared" si="47"/>
        <v/>
      </c>
      <c r="AQ184" s="24" t="str">
        <f t="shared" si="48"/>
        <v/>
      </c>
      <c r="AR184" s="25" t="str">
        <f t="shared" si="49"/>
        <v/>
      </c>
      <c r="AS184" s="25" t="str">
        <f t="shared" si="50"/>
        <v/>
      </c>
      <c r="AT184" s="25" t="str">
        <f t="shared" si="51"/>
        <v/>
      </c>
      <c r="AU184" s="25" t="str">
        <f t="shared" si="52"/>
        <v/>
      </c>
      <c r="AV184" s="25" t="str">
        <f t="shared" si="53"/>
        <v/>
      </c>
      <c r="AW184" s="26" t="str">
        <f t="shared" si="54"/>
        <v/>
      </c>
    </row>
    <row r="185" spans="3:49" x14ac:dyDescent="0.25">
      <c r="C185">
        <v>29</v>
      </c>
      <c r="D185" t="str">
        <f t="shared" si="15"/>
        <v/>
      </c>
      <c r="E185" s="24" t="str">
        <f t="shared" si="16"/>
        <v/>
      </c>
      <c r="F185" s="25" t="str">
        <f t="shared" si="17"/>
        <v/>
      </c>
      <c r="G185" s="25" t="str">
        <f t="shared" si="18"/>
        <v/>
      </c>
      <c r="H185" s="25" t="str">
        <f t="shared" si="19"/>
        <v/>
      </c>
      <c r="I185" s="25" t="str">
        <f t="shared" si="20"/>
        <v/>
      </c>
      <c r="J185" s="25" t="str">
        <f t="shared" si="21"/>
        <v/>
      </c>
      <c r="K185" s="26" t="str">
        <f t="shared" si="22"/>
        <v/>
      </c>
      <c r="N185" t="str">
        <f t="shared" si="23"/>
        <v/>
      </c>
      <c r="O185" s="24" t="str">
        <f t="shared" si="24"/>
        <v/>
      </c>
      <c r="P185" s="25" t="str">
        <f t="shared" si="25"/>
        <v/>
      </c>
      <c r="Q185" s="25" t="str">
        <f t="shared" si="26"/>
        <v/>
      </c>
      <c r="R185" s="25" t="str">
        <f t="shared" si="27"/>
        <v/>
      </c>
      <c r="S185" s="25" t="str">
        <f t="shared" si="28"/>
        <v/>
      </c>
      <c r="T185" s="25" t="str">
        <f t="shared" si="29"/>
        <v/>
      </c>
      <c r="U185" s="25"/>
      <c r="V185" s="26" t="str">
        <f t="shared" si="30"/>
        <v/>
      </c>
      <c r="W185" t="str">
        <f t="shared" si="31"/>
        <v/>
      </c>
      <c r="X185" s="24" t="str">
        <f t="shared" si="32"/>
        <v/>
      </c>
      <c r="Y185" s="25" t="str">
        <f t="shared" si="33"/>
        <v/>
      </c>
      <c r="Z185" s="25" t="str">
        <f t="shared" si="34"/>
        <v/>
      </c>
      <c r="AA185" s="25" t="str">
        <f t="shared" si="35"/>
        <v/>
      </c>
      <c r="AB185" s="25" t="str">
        <f t="shared" si="36"/>
        <v/>
      </c>
      <c r="AC185" s="25" t="str">
        <f t="shared" si="37"/>
        <v/>
      </c>
      <c r="AD185" s="26" t="str">
        <f t="shared" si="38"/>
        <v/>
      </c>
      <c r="AE185" t="str">
        <f t="shared" si="39"/>
        <v/>
      </c>
      <c r="AF185" s="24" t="str">
        <f t="shared" si="40"/>
        <v/>
      </c>
      <c r="AG185" s="25" t="str">
        <f t="shared" si="41"/>
        <v/>
      </c>
      <c r="AH185" s="25" t="str">
        <f t="shared" si="42"/>
        <v/>
      </c>
      <c r="AI185" s="25" t="str">
        <f t="shared" si="43"/>
        <v/>
      </c>
      <c r="AJ185" s="25" t="str">
        <f t="shared" si="44"/>
        <v/>
      </c>
      <c r="AK185" s="25" t="str">
        <f t="shared" si="45"/>
        <v/>
      </c>
      <c r="AL185" s="26" t="str">
        <f t="shared" si="46"/>
        <v/>
      </c>
      <c r="AP185" t="str">
        <f t="shared" si="47"/>
        <v/>
      </c>
      <c r="AQ185" s="24" t="str">
        <f t="shared" si="48"/>
        <v/>
      </c>
      <c r="AR185" s="25" t="str">
        <f t="shared" si="49"/>
        <v/>
      </c>
      <c r="AS185" s="25" t="str">
        <f t="shared" si="50"/>
        <v/>
      </c>
      <c r="AT185" s="25" t="str">
        <f t="shared" si="51"/>
        <v/>
      </c>
      <c r="AU185" s="25" t="str">
        <f t="shared" si="52"/>
        <v/>
      </c>
      <c r="AV185" s="25" t="str">
        <f t="shared" si="53"/>
        <v/>
      </c>
      <c r="AW185" s="26" t="str">
        <f t="shared" si="54"/>
        <v/>
      </c>
    </row>
    <row r="186" spans="3:49" x14ac:dyDescent="0.25">
      <c r="C186">
        <v>30</v>
      </c>
      <c r="D186" t="str">
        <f t="shared" si="15"/>
        <v/>
      </c>
      <c r="E186" s="24" t="str">
        <f t="shared" si="16"/>
        <v/>
      </c>
      <c r="F186" s="25" t="str">
        <f t="shared" si="17"/>
        <v/>
      </c>
      <c r="G186" s="25" t="str">
        <f t="shared" si="18"/>
        <v/>
      </c>
      <c r="H186" s="25" t="str">
        <f t="shared" si="19"/>
        <v/>
      </c>
      <c r="I186" s="25" t="str">
        <f t="shared" si="20"/>
        <v/>
      </c>
      <c r="J186" s="25" t="str">
        <f t="shared" si="21"/>
        <v/>
      </c>
      <c r="K186" s="26" t="str">
        <f t="shared" si="22"/>
        <v/>
      </c>
      <c r="N186" t="str">
        <f t="shared" si="23"/>
        <v/>
      </c>
      <c r="O186" s="24" t="str">
        <f t="shared" si="24"/>
        <v/>
      </c>
      <c r="P186" s="25" t="str">
        <f t="shared" si="25"/>
        <v/>
      </c>
      <c r="Q186" s="25" t="str">
        <f t="shared" si="26"/>
        <v/>
      </c>
      <c r="R186" s="25" t="str">
        <f t="shared" si="27"/>
        <v/>
      </c>
      <c r="S186" s="25" t="str">
        <f t="shared" si="28"/>
        <v/>
      </c>
      <c r="T186" s="25" t="str">
        <f t="shared" si="29"/>
        <v/>
      </c>
      <c r="U186" s="25"/>
      <c r="V186" s="26" t="str">
        <f t="shared" si="30"/>
        <v/>
      </c>
      <c r="W186" t="str">
        <f t="shared" si="31"/>
        <v/>
      </c>
      <c r="X186" s="24" t="str">
        <f t="shared" si="32"/>
        <v/>
      </c>
      <c r="Y186" s="25" t="str">
        <f t="shared" si="33"/>
        <v/>
      </c>
      <c r="Z186" s="25" t="str">
        <f t="shared" si="34"/>
        <v/>
      </c>
      <c r="AA186" s="25" t="str">
        <f t="shared" si="35"/>
        <v/>
      </c>
      <c r="AB186" s="25" t="str">
        <f t="shared" si="36"/>
        <v/>
      </c>
      <c r="AC186" s="25" t="str">
        <f t="shared" si="37"/>
        <v/>
      </c>
      <c r="AD186" s="26" t="str">
        <f t="shared" si="38"/>
        <v/>
      </c>
      <c r="AE186" t="str">
        <f t="shared" si="39"/>
        <v/>
      </c>
      <c r="AF186" s="24" t="str">
        <f t="shared" si="40"/>
        <v/>
      </c>
      <c r="AG186" s="25" t="str">
        <f t="shared" si="41"/>
        <v/>
      </c>
      <c r="AH186" s="25" t="str">
        <f t="shared" si="42"/>
        <v/>
      </c>
      <c r="AI186" s="25" t="str">
        <f t="shared" si="43"/>
        <v/>
      </c>
      <c r="AJ186" s="25" t="str">
        <f t="shared" si="44"/>
        <v/>
      </c>
      <c r="AK186" s="25" t="str">
        <f t="shared" si="45"/>
        <v/>
      </c>
      <c r="AL186" s="26" t="str">
        <f t="shared" si="46"/>
        <v/>
      </c>
      <c r="AP186" t="str">
        <f t="shared" si="47"/>
        <v/>
      </c>
      <c r="AQ186" s="24" t="str">
        <f t="shared" si="48"/>
        <v/>
      </c>
      <c r="AR186" s="25" t="str">
        <f t="shared" si="49"/>
        <v/>
      </c>
      <c r="AS186" s="25" t="str">
        <f t="shared" si="50"/>
        <v/>
      </c>
      <c r="AT186" s="25" t="str">
        <f t="shared" si="51"/>
        <v/>
      </c>
      <c r="AU186" s="25" t="str">
        <f t="shared" si="52"/>
        <v/>
      </c>
      <c r="AV186" s="25" t="str">
        <f t="shared" si="53"/>
        <v/>
      </c>
      <c r="AW186" s="26" t="str">
        <f t="shared" si="54"/>
        <v/>
      </c>
    </row>
    <row r="187" spans="3:49" x14ac:dyDescent="0.25">
      <c r="C187">
        <v>31</v>
      </c>
      <c r="D187" t="str">
        <f t="shared" si="15"/>
        <v/>
      </c>
      <c r="E187" s="24" t="str">
        <f t="shared" si="16"/>
        <v/>
      </c>
      <c r="F187" s="25" t="str">
        <f t="shared" si="17"/>
        <v/>
      </c>
      <c r="G187" s="25" t="str">
        <f t="shared" si="18"/>
        <v/>
      </c>
      <c r="H187" s="25" t="str">
        <f t="shared" si="19"/>
        <v/>
      </c>
      <c r="I187" s="25" t="str">
        <f t="shared" si="20"/>
        <v/>
      </c>
      <c r="J187" s="25" t="str">
        <f t="shared" si="21"/>
        <v/>
      </c>
      <c r="K187" s="26" t="str">
        <f t="shared" si="22"/>
        <v/>
      </c>
      <c r="N187" t="str">
        <f t="shared" si="23"/>
        <v/>
      </c>
      <c r="O187" s="24" t="str">
        <f t="shared" si="24"/>
        <v/>
      </c>
      <c r="P187" s="25" t="str">
        <f t="shared" si="25"/>
        <v/>
      </c>
      <c r="Q187" s="25" t="str">
        <f t="shared" si="26"/>
        <v/>
      </c>
      <c r="R187" s="25" t="str">
        <f t="shared" si="27"/>
        <v/>
      </c>
      <c r="S187" s="25" t="str">
        <f t="shared" si="28"/>
        <v/>
      </c>
      <c r="T187" s="25" t="str">
        <f t="shared" si="29"/>
        <v/>
      </c>
      <c r="U187" s="25"/>
      <c r="V187" s="26" t="str">
        <f t="shared" si="30"/>
        <v/>
      </c>
      <c r="W187" t="str">
        <f t="shared" si="31"/>
        <v/>
      </c>
      <c r="X187" s="24" t="str">
        <f t="shared" si="32"/>
        <v/>
      </c>
      <c r="Y187" s="25" t="str">
        <f t="shared" si="33"/>
        <v/>
      </c>
      <c r="Z187" s="25" t="str">
        <f t="shared" si="34"/>
        <v/>
      </c>
      <c r="AA187" s="25" t="str">
        <f t="shared" si="35"/>
        <v/>
      </c>
      <c r="AB187" s="25" t="str">
        <f t="shared" si="36"/>
        <v/>
      </c>
      <c r="AC187" s="25" t="str">
        <f t="shared" si="37"/>
        <v/>
      </c>
      <c r="AD187" s="26" t="str">
        <f t="shared" si="38"/>
        <v/>
      </c>
      <c r="AE187" t="str">
        <f t="shared" si="39"/>
        <v/>
      </c>
      <c r="AF187" s="24" t="str">
        <f t="shared" si="40"/>
        <v/>
      </c>
      <c r="AG187" s="25" t="str">
        <f t="shared" si="41"/>
        <v/>
      </c>
      <c r="AH187" s="25" t="str">
        <f t="shared" si="42"/>
        <v/>
      </c>
      <c r="AI187" s="25" t="str">
        <f t="shared" si="43"/>
        <v/>
      </c>
      <c r="AJ187" s="25" t="str">
        <f t="shared" si="44"/>
        <v/>
      </c>
      <c r="AK187" s="25" t="str">
        <f t="shared" si="45"/>
        <v/>
      </c>
      <c r="AL187" s="26" t="str">
        <f t="shared" si="46"/>
        <v/>
      </c>
      <c r="AP187" t="str">
        <f t="shared" si="47"/>
        <v/>
      </c>
      <c r="AQ187" s="24" t="str">
        <f t="shared" si="48"/>
        <v/>
      </c>
      <c r="AR187" s="25" t="str">
        <f t="shared" si="49"/>
        <v/>
      </c>
      <c r="AS187" s="25" t="str">
        <f t="shared" si="50"/>
        <v/>
      </c>
      <c r="AT187" s="25" t="str">
        <f t="shared" si="51"/>
        <v/>
      </c>
      <c r="AU187" s="25" t="str">
        <f t="shared" si="52"/>
        <v/>
      </c>
      <c r="AV187" s="25" t="str">
        <f t="shared" si="53"/>
        <v/>
      </c>
      <c r="AW187" s="26" t="str">
        <f t="shared" si="54"/>
        <v/>
      </c>
    </row>
    <row r="188" spans="3:49" x14ac:dyDescent="0.25">
      <c r="C188">
        <v>32</v>
      </c>
      <c r="D188" t="str">
        <f t="shared" si="15"/>
        <v/>
      </c>
      <c r="E188" s="24" t="str">
        <f t="shared" si="16"/>
        <v/>
      </c>
      <c r="F188" s="25" t="str">
        <f t="shared" si="17"/>
        <v/>
      </c>
      <c r="G188" s="25" t="str">
        <f t="shared" si="18"/>
        <v/>
      </c>
      <c r="H188" s="25" t="str">
        <f t="shared" si="19"/>
        <v/>
      </c>
      <c r="I188" s="25" t="str">
        <f t="shared" si="20"/>
        <v/>
      </c>
      <c r="J188" s="25" t="str">
        <f t="shared" si="21"/>
        <v/>
      </c>
      <c r="K188" s="26" t="str">
        <f t="shared" si="22"/>
        <v/>
      </c>
      <c r="N188" t="str">
        <f t="shared" si="23"/>
        <v/>
      </c>
      <c r="O188" s="24" t="str">
        <f t="shared" si="24"/>
        <v/>
      </c>
      <c r="P188" s="25" t="str">
        <f t="shared" si="25"/>
        <v/>
      </c>
      <c r="Q188" s="25" t="str">
        <f t="shared" si="26"/>
        <v/>
      </c>
      <c r="R188" s="25" t="str">
        <f t="shared" si="27"/>
        <v/>
      </c>
      <c r="S188" s="25" t="str">
        <f t="shared" si="28"/>
        <v/>
      </c>
      <c r="T188" s="25" t="str">
        <f t="shared" si="29"/>
        <v/>
      </c>
      <c r="U188" s="25"/>
      <c r="V188" s="26" t="str">
        <f t="shared" si="30"/>
        <v/>
      </c>
      <c r="W188" t="str">
        <f t="shared" si="31"/>
        <v/>
      </c>
      <c r="X188" s="24" t="str">
        <f t="shared" si="32"/>
        <v/>
      </c>
      <c r="Y188" s="25" t="str">
        <f t="shared" si="33"/>
        <v/>
      </c>
      <c r="Z188" s="25" t="str">
        <f t="shared" si="34"/>
        <v/>
      </c>
      <c r="AA188" s="25" t="str">
        <f t="shared" si="35"/>
        <v/>
      </c>
      <c r="AB188" s="25" t="str">
        <f t="shared" si="36"/>
        <v/>
      </c>
      <c r="AC188" s="25" t="str">
        <f t="shared" si="37"/>
        <v/>
      </c>
      <c r="AD188" s="26" t="str">
        <f t="shared" si="38"/>
        <v/>
      </c>
      <c r="AE188" t="str">
        <f t="shared" si="39"/>
        <v/>
      </c>
      <c r="AF188" s="24" t="str">
        <f t="shared" si="40"/>
        <v/>
      </c>
      <c r="AG188" s="25" t="str">
        <f t="shared" si="41"/>
        <v/>
      </c>
      <c r="AH188" s="25" t="str">
        <f t="shared" si="42"/>
        <v/>
      </c>
      <c r="AI188" s="25" t="str">
        <f t="shared" si="43"/>
        <v/>
      </c>
      <c r="AJ188" s="25" t="str">
        <f t="shared" si="44"/>
        <v/>
      </c>
      <c r="AK188" s="25" t="str">
        <f t="shared" si="45"/>
        <v/>
      </c>
      <c r="AL188" s="26" t="str">
        <f t="shared" si="46"/>
        <v/>
      </c>
      <c r="AP188" t="str">
        <f t="shared" si="47"/>
        <v/>
      </c>
      <c r="AQ188" s="24" t="str">
        <f t="shared" si="48"/>
        <v/>
      </c>
      <c r="AR188" s="25" t="str">
        <f t="shared" si="49"/>
        <v/>
      </c>
      <c r="AS188" s="25" t="str">
        <f t="shared" si="50"/>
        <v/>
      </c>
      <c r="AT188" s="25" t="str">
        <f t="shared" si="51"/>
        <v/>
      </c>
      <c r="AU188" s="25" t="str">
        <f t="shared" si="52"/>
        <v/>
      </c>
      <c r="AV188" s="25" t="str">
        <f t="shared" si="53"/>
        <v/>
      </c>
      <c r="AW188" s="26" t="str">
        <f t="shared" si="54"/>
        <v/>
      </c>
    </row>
    <row r="189" spans="3:49" x14ac:dyDescent="0.25">
      <c r="C189">
        <v>33</v>
      </c>
      <c r="D189" t="str">
        <f t="shared" ref="D189:D220" si="55">IF(ISNUMBER(E189),C189,"")</f>
        <v/>
      </c>
      <c r="E189" s="24" t="str">
        <f t="shared" ref="E189:E220" si="56">IF(ISNUMBER(E124),-ABS(E124*$Q$52),"")</f>
        <v/>
      </c>
      <c r="F189" s="25" t="str">
        <f t="shared" ref="F189:F220" si="57">IF(ISNUMBER(F124),-ABS(F124),"")</f>
        <v/>
      </c>
      <c r="G189" s="25" t="str">
        <f t="shared" ref="G189:G220" si="58">IF(ISNUMBER(G124),ABS(G124*$Q$55),"")</f>
        <v/>
      </c>
      <c r="H189" s="25" t="str">
        <f t="shared" ref="H189:H220" si="59">IF(ISNUMBER(H124),ABS(H124),"")</f>
        <v/>
      </c>
      <c r="I189" s="25" t="str">
        <f t="shared" ref="I189:I220" si="60">IF(ISNUMBER(I124),-ABS(I124*$Q$52),"")</f>
        <v/>
      </c>
      <c r="J189" s="25" t="str">
        <f t="shared" ref="J189:J220" si="61">IF(ISNUMBER(J124),-ABS(J124),"")</f>
        <v/>
      </c>
      <c r="K189" s="26" t="str">
        <f t="shared" ref="K189:K220" si="62">IF(ISNUMBER(K124),ABS(K124*$Q$55),"")</f>
        <v/>
      </c>
      <c r="N189" t="str">
        <f t="shared" ref="N189:N220" si="63">IF(ISNUMBER(N124),ABS(N124),"")</f>
        <v/>
      </c>
      <c r="O189" s="24" t="str">
        <f t="shared" ref="O189:O220" si="64">IF(ISNUMBER(O124),-ABS(O124*$Q$58),"")</f>
        <v/>
      </c>
      <c r="P189" s="25" t="str">
        <f t="shared" ref="P189:P220" si="65">IF(ISNUMBER(P124),-ABS(P124),"")</f>
        <v/>
      </c>
      <c r="Q189" s="25" t="str">
        <f t="shared" ref="Q189:Q220" si="66">IF(ISNUMBER(Q124),ABS(Q124*$Q$61),"")</f>
        <v/>
      </c>
      <c r="R189" s="25" t="str">
        <f t="shared" ref="R189:R220" si="67">IF(ISNUMBER(R124),ABS(R124),"")</f>
        <v/>
      </c>
      <c r="S189" s="25" t="str">
        <f t="shared" ref="S189:S220" si="68">IF(ISNUMBER(S124),-ABS(S124*$Q$58),"")</f>
        <v/>
      </c>
      <c r="T189" s="25" t="str">
        <f t="shared" ref="T189:T220" si="69">IF(ISNUMBER(T124),-ABS(T124),"")</f>
        <v/>
      </c>
      <c r="U189" s="25"/>
      <c r="V189" s="26" t="str">
        <f t="shared" ref="V189:V220" si="70">IF(ISNUMBER(V124),ABS(V124*$Q$61),"")</f>
        <v/>
      </c>
      <c r="W189" t="str">
        <f t="shared" ref="W189:W220" si="71">IF(ISNUMBER(W124),ABS(W124),"")</f>
        <v/>
      </c>
      <c r="X189" s="24" t="str">
        <f t="shared" ref="X189:X220" si="72">IF(ISNUMBER(X124),-ABS(X124*$Q$64),"")</f>
        <v/>
      </c>
      <c r="Y189" s="25" t="str">
        <f t="shared" ref="Y189:Y220" si="73">IF(ISNUMBER(Y124),-ABS(Y124),"")</f>
        <v/>
      </c>
      <c r="Z189" s="25" t="str">
        <f t="shared" ref="Z189:Z220" si="74">IF(ISNUMBER(Z124),ABS(Z124*$Q$67),"")</f>
        <v/>
      </c>
      <c r="AA189" s="25" t="str">
        <f t="shared" ref="AA189:AA220" si="75">IF(ISNUMBER(AA124),ABS(AA124),"")</f>
        <v/>
      </c>
      <c r="AB189" s="25" t="str">
        <f t="shared" ref="AB189:AB220" si="76">IF(ISNUMBER(AB124),-ABS(AB124*$Q$64),"")</f>
        <v/>
      </c>
      <c r="AC189" s="25" t="str">
        <f t="shared" ref="AC189:AC220" si="77">IF(ISNUMBER(AC124),-ABS(AC124),"")</f>
        <v/>
      </c>
      <c r="AD189" s="26" t="str">
        <f t="shared" ref="AD189:AD220" si="78">IF(ISNUMBER(AD124),ABS(AD124*$Q$67),"")</f>
        <v/>
      </c>
      <c r="AE189" t="str">
        <f t="shared" ref="AE189:AE220" si="79">IF(ISNUMBER(AE124),ABS(AE124),"")</f>
        <v/>
      </c>
      <c r="AF189" s="24" t="str">
        <f t="shared" ref="AF189:AF220" si="80">IF(ISNUMBER(AF124),-ABS(AF124*$Q$70),"")</f>
        <v/>
      </c>
      <c r="AG189" s="25" t="str">
        <f t="shared" ref="AG189:AG220" si="81">IF(ISNUMBER(AG124),-ABS(AG124),"")</f>
        <v/>
      </c>
      <c r="AH189" s="25" t="str">
        <f t="shared" ref="AH189:AH220" si="82">IF(ISNUMBER(AH124),ABS(AH124*$Q$73),"")</f>
        <v/>
      </c>
      <c r="AI189" s="25" t="str">
        <f t="shared" ref="AI189:AI220" si="83">IF(ISNUMBER(AI124),ABS(AI124),"")</f>
        <v/>
      </c>
      <c r="AJ189" s="25" t="str">
        <f t="shared" ref="AJ189:AJ220" si="84">IF(ISNUMBER(AJ124),-ABS(AJ124*$Q$70),"")</f>
        <v/>
      </c>
      <c r="AK189" s="25" t="str">
        <f t="shared" ref="AK189:AK220" si="85">IF(ISNUMBER(AK124),-ABS(AK124),"")</f>
        <v/>
      </c>
      <c r="AL189" s="26" t="str">
        <f t="shared" ref="AL189:AL220" si="86">IF(ISNUMBER(AL124),ABS(AL124*$Q$73),"")</f>
        <v/>
      </c>
      <c r="AP189" t="str">
        <f t="shared" ref="AP189:AP220" si="87">IF(ISNUMBER(AP124),ABS(AP124),"")</f>
        <v/>
      </c>
      <c r="AQ189" s="24" t="str">
        <f t="shared" ref="AQ189:AQ220" si="88">IF(ISNUMBER(AQ124),-ABS(AQ124*$Q$76),"")</f>
        <v/>
      </c>
      <c r="AR189" s="25" t="str">
        <f t="shared" ref="AR189:AR220" si="89">IF(ISNUMBER(AR124),-ABS(AR124),"")</f>
        <v/>
      </c>
      <c r="AS189" s="25" t="str">
        <f t="shared" ref="AS189:AS220" si="90">IF(ISNUMBER(AS124),ABS(AS124*$Q$79),"")</f>
        <v/>
      </c>
      <c r="AT189" s="25" t="str">
        <f t="shared" ref="AT189:AT220" si="91">IF(ISNUMBER(AT124),ABS(AT124),"")</f>
        <v/>
      </c>
      <c r="AU189" s="25" t="str">
        <f t="shared" ref="AU189:AU220" si="92">IF(ISNUMBER(AU124),-ABS(AU124*$Q$76),"")</f>
        <v/>
      </c>
      <c r="AV189" s="25" t="str">
        <f t="shared" ref="AV189:AV220" si="93">IF(ISNUMBER(AV124),-ABS(AV124),"")</f>
        <v/>
      </c>
      <c r="AW189" s="26" t="str">
        <f t="shared" ref="AW189:AW220" si="94">IF(ISNUMBER(AW124),ABS(AW124*$Q$79),"")</f>
        <v/>
      </c>
    </row>
    <row r="190" spans="3:49" x14ac:dyDescent="0.25">
      <c r="C190">
        <v>34</v>
      </c>
      <c r="D190" t="str">
        <f t="shared" si="55"/>
        <v/>
      </c>
      <c r="E190" s="24" t="str">
        <f t="shared" si="56"/>
        <v/>
      </c>
      <c r="F190" s="25" t="str">
        <f t="shared" si="57"/>
        <v/>
      </c>
      <c r="G190" s="25" t="str">
        <f t="shared" si="58"/>
        <v/>
      </c>
      <c r="H190" s="25" t="str">
        <f t="shared" si="59"/>
        <v/>
      </c>
      <c r="I190" s="25" t="str">
        <f t="shared" si="60"/>
        <v/>
      </c>
      <c r="J190" s="25" t="str">
        <f t="shared" si="61"/>
        <v/>
      </c>
      <c r="K190" s="26" t="str">
        <f t="shared" si="62"/>
        <v/>
      </c>
      <c r="N190" t="str">
        <f t="shared" si="63"/>
        <v/>
      </c>
      <c r="O190" s="24" t="str">
        <f t="shared" si="64"/>
        <v/>
      </c>
      <c r="P190" s="25" t="str">
        <f t="shared" si="65"/>
        <v/>
      </c>
      <c r="Q190" s="25" t="str">
        <f t="shared" si="66"/>
        <v/>
      </c>
      <c r="R190" s="25" t="str">
        <f t="shared" si="67"/>
        <v/>
      </c>
      <c r="S190" s="25" t="str">
        <f t="shared" si="68"/>
        <v/>
      </c>
      <c r="T190" s="25" t="str">
        <f t="shared" si="69"/>
        <v/>
      </c>
      <c r="U190" s="25"/>
      <c r="V190" s="26" t="str">
        <f t="shared" si="70"/>
        <v/>
      </c>
      <c r="W190" t="str">
        <f t="shared" si="71"/>
        <v/>
      </c>
      <c r="X190" s="24" t="str">
        <f t="shared" si="72"/>
        <v/>
      </c>
      <c r="Y190" s="25" t="str">
        <f t="shared" si="73"/>
        <v/>
      </c>
      <c r="Z190" s="25" t="str">
        <f t="shared" si="74"/>
        <v/>
      </c>
      <c r="AA190" s="25" t="str">
        <f t="shared" si="75"/>
        <v/>
      </c>
      <c r="AB190" s="25" t="str">
        <f t="shared" si="76"/>
        <v/>
      </c>
      <c r="AC190" s="25" t="str">
        <f t="shared" si="77"/>
        <v/>
      </c>
      <c r="AD190" s="26" t="str">
        <f t="shared" si="78"/>
        <v/>
      </c>
      <c r="AE190" t="str">
        <f t="shared" si="79"/>
        <v/>
      </c>
      <c r="AF190" s="24" t="str">
        <f t="shared" si="80"/>
        <v/>
      </c>
      <c r="AG190" s="25" t="str">
        <f t="shared" si="81"/>
        <v/>
      </c>
      <c r="AH190" s="25" t="str">
        <f t="shared" si="82"/>
        <v/>
      </c>
      <c r="AI190" s="25" t="str">
        <f t="shared" si="83"/>
        <v/>
      </c>
      <c r="AJ190" s="25" t="str">
        <f t="shared" si="84"/>
        <v/>
      </c>
      <c r="AK190" s="25" t="str">
        <f t="shared" si="85"/>
        <v/>
      </c>
      <c r="AL190" s="26" t="str">
        <f t="shared" si="86"/>
        <v/>
      </c>
      <c r="AP190" t="str">
        <f t="shared" si="87"/>
        <v/>
      </c>
      <c r="AQ190" s="24" t="str">
        <f t="shared" si="88"/>
        <v/>
      </c>
      <c r="AR190" s="25" t="str">
        <f t="shared" si="89"/>
        <v/>
      </c>
      <c r="AS190" s="25" t="str">
        <f t="shared" si="90"/>
        <v/>
      </c>
      <c r="AT190" s="25" t="str">
        <f t="shared" si="91"/>
        <v/>
      </c>
      <c r="AU190" s="25" t="str">
        <f t="shared" si="92"/>
        <v/>
      </c>
      <c r="AV190" s="25" t="str">
        <f t="shared" si="93"/>
        <v/>
      </c>
      <c r="AW190" s="26" t="str">
        <f t="shared" si="94"/>
        <v/>
      </c>
    </row>
    <row r="191" spans="3:49" x14ac:dyDescent="0.25">
      <c r="C191">
        <v>35</v>
      </c>
      <c r="D191" t="str">
        <f t="shared" si="55"/>
        <v/>
      </c>
      <c r="E191" s="24" t="str">
        <f t="shared" si="56"/>
        <v/>
      </c>
      <c r="F191" s="25" t="str">
        <f t="shared" si="57"/>
        <v/>
      </c>
      <c r="G191" s="25" t="str">
        <f t="shared" si="58"/>
        <v/>
      </c>
      <c r="H191" s="25" t="str">
        <f t="shared" si="59"/>
        <v/>
      </c>
      <c r="I191" s="25" t="str">
        <f t="shared" si="60"/>
        <v/>
      </c>
      <c r="J191" s="25" t="str">
        <f t="shared" si="61"/>
        <v/>
      </c>
      <c r="K191" s="26" t="str">
        <f t="shared" si="62"/>
        <v/>
      </c>
      <c r="N191" t="str">
        <f t="shared" si="63"/>
        <v/>
      </c>
      <c r="O191" s="24" t="str">
        <f t="shared" si="64"/>
        <v/>
      </c>
      <c r="P191" s="25" t="str">
        <f t="shared" si="65"/>
        <v/>
      </c>
      <c r="Q191" s="25" t="str">
        <f t="shared" si="66"/>
        <v/>
      </c>
      <c r="R191" s="25" t="str">
        <f t="shared" si="67"/>
        <v/>
      </c>
      <c r="S191" s="25" t="str">
        <f t="shared" si="68"/>
        <v/>
      </c>
      <c r="T191" s="25" t="str">
        <f t="shared" si="69"/>
        <v/>
      </c>
      <c r="U191" s="25"/>
      <c r="V191" s="26" t="str">
        <f t="shared" si="70"/>
        <v/>
      </c>
      <c r="W191" t="str">
        <f t="shared" si="71"/>
        <v/>
      </c>
      <c r="X191" s="24" t="str">
        <f t="shared" si="72"/>
        <v/>
      </c>
      <c r="Y191" s="25" t="str">
        <f t="shared" si="73"/>
        <v/>
      </c>
      <c r="Z191" s="25" t="str">
        <f t="shared" si="74"/>
        <v/>
      </c>
      <c r="AA191" s="25" t="str">
        <f t="shared" si="75"/>
        <v/>
      </c>
      <c r="AB191" s="25" t="str">
        <f t="shared" si="76"/>
        <v/>
      </c>
      <c r="AC191" s="25" t="str">
        <f t="shared" si="77"/>
        <v/>
      </c>
      <c r="AD191" s="26" t="str">
        <f t="shared" si="78"/>
        <v/>
      </c>
      <c r="AE191" t="str">
        <f t="shared" si="79"/>
        <v/>
      </c>
      <c r="AF191" s="24" t="str">
        <f t="shared" si="80"/>
        <v/>
      </c>
      <c r="AG191" s="25" t="str">
        <f t="shared" si="81"/>
        <v/>
      </c>
      <c r="AH191" s="25" t="str">
        <f t="shared" si="82"/>
        <v/>
      </c>
      <c r="AI191" s="25" t="str">
        <f t="shared" si="83"/>
        <v/>
      </c>
      <c r="AJ191" s="25" t="str">
        <f t="shared" si="84"/>
        <v/>
      </c>
      <c r="AK191" s="25" t="str">
        <f t="shared" si="85"/>
        <v/>
      </c>
      <c r="AL191" s="26" t="str">
        <f t="shared" si="86"/>
        <v/>
      </c>
      <c r="AP191" t="str">
        <f t="shared" si="87"/>
        <v/>
      </c>
      <c r="AQ191" s="24" t="str">
        <f t="shared" si="88"/>
        <v/>
      </c>
      <c r="AR191" s="25" t="str">
        <f t="shared" si="89"/>
        <v/>
      </c>
      <c r="AS191" s="25" t="str">
        <f t="shared" si="90"/>
        <v/>
      </c>
      <c r="AT191" s="25" t="str">
        <f t="shared" si="91"/>
        <v/>
      </c>
      <c r="AU191" s="25" t="str">
        <f t="shared" si="92"/>
        <v/>
      </c>
      <c r="AV191" s="25" t="str">
        <f t="shared" si="93"/>
        <v/>
      </c>
      <c r="AW191" s="26" t="str">
        <f t="shared" si="94"/>
        <v/>
      </c>
    </row>
    <row r="192" spans="3:49" x14ac:dyDescent="0.25">
      <c r="C192">
        <v>36</v>
      </c>
      <c r="D192" t="str">
        <f t="shared" si="55"/>
        <v/>
      </c>
      <c r="E192" s="24" t="str">
        <f t="shared" si="56"/>
        <v/>
      </c>
      <c r="F192" s="25" t="str">
        <f t="shared" si="57"/>
        <v/>
      </c>
      <c r="G192" s="25" t="str">
        <f t="shared" si="58"/>
        <v/>
      </c>
      <c r="H192" s="25" t="str">
        <f t="shared" si="59"/>
        <v/>
      </c>
      <c r="I192" s="25" t="str">
        <f t="shared" si="60"/>
        <v/>
      </c>
      <c r="J192" s="25" t="str">
        <f t="shared" si="61"/>
        <v/>
      </c>
      <c r="K192" s="26" t="str">
        <f t="shared" si="62"/>
        <v/>
      </c>
      <c r="N192" t="str">
        <f t="shared" si="63"/>
        <v/>
      </c>
      <c r="O192" s="24" t="str">
        <f t="shared" si="64"/>
        <v/>
      </c>
      <c r="P192" s="25" t="str">
        <f t="shared" si="65"/>
        <v/>
      </c>
      <c r="Q192" s="25" t="str">
        <f t="shared" si="66"/>
        <v/>
      </c>
      <c r="R192" s="25" t="str">
        <f t="shared" si="67"/>
        <v/>
      </c>
      <c r="S192" s="25" t="str">
        <f t="shared" si="68"/>
        <v/>
      </c>
      <c r="T192" s="25" t="str">
        <f t="shared" si="69"/>
        <v/>
      </c>
      <c r="U192" s="25"/>
      <c r="V192" s="26" t="str">
        <f t="shared" si="70"/>
        <v/>
      </c>
      <c r="W192" t="str">
        <f t="shared" si="71"/>
        <v/>
      </c>
      <c r="X192" s="24" t="str">
        <f t="shared" si="72"/>
        <v/>
      </c>
      <c r="Y192" s="25" t="str">
        <f t="shared" si="73"/>
        <v/>
      </c>
      <c r="Z192" s="25" t="str">
        <f t="shared" si="74"/>
        <v/>
      </c>
      <c r="AA192" s="25" t="str">
        <f t="shared" si="75"/>
        <v/>
      </c>
      <c r="AB192" s="25" t="str">
        <f t="shared" si="76"/>
        <v/>
      </c>
      <c r="AC192" s="25" t="str">
        <f t="shared" si="77"/>
        <v/>
      </c>
      <c r="AD192" s="26" t="str">
        <f t="shared" si="78"/>
        <v/>
      </c>
      <c r="AE192" t="str">
        <f t="shared" si="79"/>
        <v/>
      </c>
      <c r="AF192" s="24" t="str">
        <f t="shared" si="80"/>
        <v/>
      </c>
      <c r="AG192" s="25" t="str">
        <f t="shared" si="81"/>
        <v/>
      </c>
      <c r="AH192" s="25" t="str">
        <f t="shared" si="82"/>
        <v/>
      </c>
      <c r="AI192" s="25" t="str">
        <f t="shared" si="83"/>
        <v/>
      </c>
      <c r="AJ192" s="25" t="str">
        <f t="shared" si="84"/>
        <v/>
      </c>
      <c r="AK192" s="25" t="str">
        <f t="shared" si="85"/>
        <v/>
      </c>
      <c r="AL192" s="26" t="str">
        <f t="shared" si="86"/>
        <v/>
      </c>
      <c r="AP192" t="str">
        <f t="shared" si="87"/>
        <v/>
      </c>
      <c r="AQ192" s="24" t="str">
        <f t="shared" si="88"/>
        <v/>
      </c>
      <c r="AR192" s="25" t="str">
        <f t="shared" si="89"/>
        <v/>
      </c>
      <c r="AS192" s="25" t="str">
        <f t="shared" si="90"/>
        <v/>
      </c>
      <c r="AT192" s="25" t="str">
        <f t="shared" si="91"/>
        <v/>
      </c>
      <c r="AU192" s="25" t="str">
        <f t="shared" si="92"/>
        <v/>
      </c>
      <c r="AV192" s="25" t="str">
        <f t="shared" si="93"/>
        <v/>
      </c>
      <c r="AW192" s="26" t="str">
        <f t="shared" si="94"/>
        <v/>
      </c>
    </row>
    <row r="193" spans="3:49" x14ac:dyDescent="0.25">
      <c r="C193">
        <v>37</v>
      </c>
      <c r="D193" t="str">
        <f t="shared" si="55"/>
        <v/>
      </c>
      <c r="E193" s="24" t="str">
        <f t="shared" si="56"/>
        <v/>
      </c>
      <c r="F193" s="25" t="str">
        <f t="shared" si="57"/>
        <v/>
      </c>
      <c r="G193" s="25" t="str">
        <f t="shared" si="58"/>
        <v/>
      </c>
      <c r="H193" s="25" t="str">
        <f t="shared" si="59"/>
        <v/>
      </c>
      <c r="I193" s="25" t="str">
        <f t="shared" si="60"/>
        <v/>
      </c>
      <c r="J193" s="25" t="str">
        <f t="shared" si="61"/>
        <v/>
      </c>
      <c r="K193" s="26" t="str">
        <f t="shared" si="62"/>
        <v/>
      </c>
      <c r="N193" t="str">
        <f t="shared" si="63"/>
        <v/>
      </c>
      <c r="O193" s="24" t="str">
        <f t="shared" si="64"/>
        <v/>
      </c>
      <c r="P193" s="25" t="str">
        <f t="shared" si="65"/>
        <v/>
      </c>
      <c r="Q193" s="25" t="str">
        <f t="shared" si="66"/>
        <v/>
      </c>
      <c r="R193" s="25" t="str">
        <f t="shared" si="67"/>
        <v/>
      </c>
      <c r="S193" s="25" t="str">
        <f t="shared" si="68"/>
        <v/>
      </c>
      <c r="T193" s="25" t="str">
        <f t="shared" si="69"/>
        <v/>
      </c>
      <c r="U193" s="25"/>
      <c r="V193" s="26" t="str">
        <f t="shared" si="70"/>
        <v/>
      </c>
      <c r="W193" t="str">
        <f t="shared" si="71"/>
        <v/>
      </c>
      <c r="X193" s="24" t="str">
        <f t="shared" si="72"/>
        <v/>
      </c>
      <c r="Y193" s="25" t="str">
        <f t="shared" si="73"/>
        <v/>
      </c>
      <c r="Z193" s="25" t="str">
        <f t="shared" si="74"/>
        <v/>
      </c>
      <c r="AA193" s="25" t="str">
        <f t="shared" si="75"/>
        <v/>
      </c>
      <c r="AB193" s="25" t="str">
        <f t="shared" si="76"/>
        <v/>
      </c>
      <c r="AC193" s="25" t="str">
        <f t="shared" si="77"/>
        <v/>
      </c>
      <c r="AD193" s="26" t="str">
        <f t="shared" si="78"/>
        <v/>
      </c>
      <c r="AE193" t="str">
        <f t="shared" si="79"/>
        <v/>
      </c>
      <c r="AF193" s="24" t="str">
        <f t="shared" si="80"/>
        <v/>
      </c>
      <c r="AG193" s="25" t="str">
        <f t="shared" si="81"/>
        <v/>
      </c>
      <c r="AH193" s="25" t="str">
        <f t="shared" si="82"/>
        <v/>
      </c>
      <c r="AI193" s="25" t="str">
        <f t="shared" si="83"/>
        <v/>
      </c>
      <c r="AJ193" s="25" t="str">
        <f t="shared" si="84"/>
        <v/>
      </c>
      <c r="AK193" s="25" t="str">
        <f t="shared" si="85"/>
        <v/>
      </c>
      <c r="AL193" s="26" t="str">
        <f t="shared" si="86"/>
        <v/>
      </c>
      <c r="AP193" t="str">
        <f t="shared" si="87"/>
        <v/>
      </c>
      <c r="AQ193" s="24" t="str">
        <f t="shared" si="88"/>
        <v/>
      </c>
      <c r="AR193" s="25" t="str">
        <f t="shared" si="89"/>
        <v/>
      </c>
      <c r="AS193" s="25" t="str">
        <f t="shared" si="90"/>
        <v/>
      </c>
      <c r="AT193" s="25" t="str">
        <f t="shared" si="91"/>
        <v/>
      </c>
      <c r="AU193" s="25" t="str">
        <f t="shared" si="92"/>
        <v/>
      </c>
      <c r="AV193" s="25" t="str">
        <f t="shared" si="93"/>
        <v/>
      </c>
      <c r="AW193" s="26" t="str">
        <f t="shared" si="94"/>
        <v/>
      </c>
    </row>
    <row r="194" spans="3:49" x14ac:dyDescent="0.25">
      <c r="C194">
        <v>38</v>
      </c>
      <c r="D194" t="str">
        <f t="shared" si="55"/>
        <v/>
      </c>
      <c r="E194" s="24" t="str">
        <f t="shared" si="56"/>
        <v/>
      </c>
      <c r="F194" s="25" t="str">
        <f t="shared" si="57"/>
        <v/>
      </c>
      <c r="G194" s="25" t="str">
        <f t="shared" si="58"/>
        <v/>
      </c>
      <c r="H194" s="25" t="str">
        <f t="shared" si="59"/>
        <v/>
      </c>
      <c r="I194" s="25" t="str">
        <f t="shared" si="60"/>
        <v/>
      </c>
      <c r="J194" s="25" t="str">
        <f t="shared" si="61"/>
        <v/>
      </c>
      <c r="K194" s="26" t="str">
        <f t="shared" si="62"/>
        <v/>
      </c>
      <c r="N194" t="str">
        <f t="shared" si="63"/>
        <v/>
      </c>
      <c r="O194" s="24" t="str">
        <f t="shared" si="64"/>
        <v/>
      </c>
      <c r="P194" s="25" t="str">
        <f t="shared" si="65"/>
        <v/>
      </c>
      <c r="Q194" s="25" t="str">
        <f t="shared" si="66"/>
        <v/>
      </c>
      <c r="R194" s="25" t="str">
        <f t="shared" si="67"/>
        <v/>
      </c>
      <c r="S194" s="25" t="str">
        <f t="shared" si="68"/>
        <v/>
      </c>
      <c r="T194" s="25" t="str">
        <f t="shared" si="69"/>
        <v/>
      </c>
      <c r="U194" s="25"/>
      <c r="V194" s="26" t="str">
        <f t="shared" si="70"/>
        <v/>
      </c>
      <c r="W194" t="str">
        <f t="shared" si="71"/>
        <v/>
      </c>
      <c r="X194" s="24" t="str">
        <f t="shared" si="72"/>
        <v/>
      </c>
      <c r="Y194" s="25" t="str">
        <f t="shared" si="73"/>
        <v/>
      </c>
      <c r="Z194" s="25" t="str">
        <f t="shared" si="74"/>
        <v/>
      </c>
      <c r="AA194" s="25" t="str">
        <f t="shared" si="75"/>
        <v/>
      </c>
      <c r="AB194" s="25" t="str">
        <f t="shared" si="76"/>
        <v/>
      </c>
      <c r="AC194" s="25" t="str">
        <f t="shared" si="77"/>
        <v/>
      </c>
      <c r="AD194" s="26" t="str">
        <f t="shared" si="78"/>
        <v/>
      </c>
      <c r="AE194" t="str">
        <f t="shared" si="79"/>
        <v/>
      </c>
      <c r="AF194" s="24" t="str">
        <f t="shared" si="80"/>
        <v/>
      </c>
      <c r="AG194" s="25" t="str">
        <f t="shared" si="81"/>
        <v/>
      </c>
      <c r="AH194" s="25" t="str">
        <f t="shared" si="82"/>
        <v/>
      </c>
      <c r="AI194" s="25" t="str">
        <f t="shared" si="83"/>
        <v/>
      </c>
      <c r="AJ194" s="25" t="str">
        <f t="shared" si="84"/>
        <v/>
      </c>
      <c r="AK194" s="25" t="str">
        <f t="shared" si="85"/>
        <v/>
      </c>
      <c r="AL194" s="26" t="str">
        <f t="shared" si="86"/>
        <v/>
      </c>
      <c r="AP194" t="str">
        <f t="shared" si="87"/>
        <v/>
      </c>
      <c r="AQ194" s="24" t="str">
        <f t="shared" si="88"/>
        <v/>
      </c>
      <c r="AR194" s="25" t="str">
        <f t="shared" si="89"/>
        <v/>
      </c>
      <c r="AS194" s="25" t="str">
        <f t="shared" si="90"/>
        <v/>
      </c>
      <c r="AT194" s="25" t="str">
        <f t="shared" si="91"/>
        <v/>
      </c>
      <c r="AU194" s="25" t="str">
        <f t="shared" si="92"/>
        <v/>
      </c>
      <c r="AV194" s="25" t="str">
        <f t="shared" si="93"/>
        <v/>
      </c>
      <c r="AW194" s="26" t="str">
        <f t="shared" si="94"/>
        <v/>
      </c>
    </row>
    <row r="195" spans="3:49" x14ac:dyDescent="0.25">
      <c r="C195">
        <v>39</v>
      </c>
      <c r="D195" t="str">
        <f t="shared" si="55"/>
        <v/>
      </c>
      <c r="E195" s="24" t="str">
        <f t="shared" si="56"/>
        <v/>
      </c>
      <c r="F195" s="25" t="str">
        <f t="shared" si="57"/>
        <v/>
      </c>
      <c r="G195" s="25" t="str">
        <f t="shared" si="58"/>
        <v/>
      </c>
      <c r="H195" s="25" t="str">
        <f t="shared" si="59"/>
        <v/>
      </c>
      <c r="I195" s="25" t="str">
        <f t="shared" si="60"/>
        <v/>
      </c>
      <c r="J195" s="25" t="str">
        <f t="shared" si="61"/>
        <v/>
      </c>
      <c r="K195" s="26" t="str">
        <f t="shared" si="62"/>
        <v/>
      </c>
      <c r="N195" t="str">
        <f t="shared" si="63"/>
        <v/>
      </c>
      <c r="O195" s="24" t="str">
        <f t="shared" si="64"/>
        <v/>
      </c>
      <c r="P195" s="25" t="str">
        <f t="shared" si="65"/>
        <v/>
      </c>
      <c r="Q195" s="25" t="str">
        <f t="shared" si="66"/>
        <v/>
      </c>
      <c r="R195" s="25" t="str">
        <f t="shared" si="67"/>
        <v/>
      </c>
      <c r="S195" s="25" t="str">
        <f t="shared" si="68"/>
        <v/>
      </c>
      <c r="T195" s="25" t="str">
        <f t="shared" si="69"/>
        <v/>
      </c>
      <c r="U195" s="25"/>
      <c r="V195" s="26" t="str">
        <f t="shared" si="70"/>
        <v/>
      </c>
      <c r="W195" t="str">
        <f t="shared" si="71"/>
        <v/>
      </c>
      <c r="X195" s="24" t="str">
        <f t="shared" si="72"/>
        <v/>
      </c>
      <c r="Y195" s="25" t="str">
        <f t="shared" si="73"/>
        <v/>
      </c>
      <c r="Z195" s="25" t="str">
        <f t="shared" si="74"/>
        <v/>
      </c>
      <c r="AA195" s="25" t="str">
        <f t="shared" si="75"/>
        <v/>
      </c>
      <c r="AB195" s="25" t="str">
        <f t="shared" si="76"/>
        <v/>
      </c>
      <c r="AC195" s="25" t="str">
        <f t="shared" si="77"/>
        <v/>
      </c>
      <c r="AD195" s="26" t="str">
        <f t="shared" si="78"/>
        <v/>
      </c>
      <c r="AE195" t="str">
        <f t="shared" si="79"/>
        <v/>
      </c>
      <c r="AF195" s="24" t="str">
        <f t="shared" si="80"/>
        <v/>
      </c>
      <c r="AG195" s="25" t="str">
        <f t="shared" si="81"/>
        <v/>
      </c>
      <c r="AH195" s="25" t="str">
        <f t="shared" si="82"/>
        <v/>
      </c>
      <c r="AI195" s="25" t="str">
        <f t="shared" si="83"/>
        <v/>
      </c>
      <c r="AJ195" s="25" t="str">
        <f t="shared" si="84"/>
        <v/>
      </c>
      <c r="AK195" s="25" t="str">
        <f t="shared" si="85"/>
        <v/>
      </c>
      <c r="AL195" s="26" t="str">
        <f t="shared" si="86"/>
        <v/>
      </c>
      <c r="AP195" t="str">
        <f t="shared" si="87"/>
        <v/>
      </c>
      <c r="AQ195" s="24" t="str">
        <f t="shared" si="88"/>
        <v/>
      </c>
      <c r="AR195" s="25" t="str">
        <f t="shared" si="89"/>
        <v/>
      </c>
      <c r="AS195" s="25" t="str">
        <f t="shared" si="90"/>
        <v/>
      </c>
      <c r="AT195" s="25" t="str">
        <f t="shared" si="91"/>
        <v/>
      </c>
      <c r="AU195" s="25" t="str">
        <f t="shared" si="92"/>
        <v/>
      </c>
      <c r="AV195" s="25" t="str">
        <f t="shared" si="93"/>
        <v/>
      </c>
      <c r="AW195" s="26" t="str">
        <f t="shared" si="94"/>
        <v/>
      </c>
    </row>
    <row r="196" spans="3:49" x14ac:dyDescent="0.25">
      <c r="C196">
        <v>40</v>
      </c>
      <c r="D196" t="str">
        <f t="shared" si="55"/>
        <v/>
      </c>
      <c r="E196" s="24" t="str">
        <f t="shared" si="56"/>
        <v/>
      </c>
      <c r="F196" s="25" t="str">
        <f t="shared" si="57"/>
        <v/>
      </c>
      <c r="G196" s="25" t="str">
        <f t="shared" si="58"/>
        <v/>
      </c>
      <c r="H196" s="25" t="str">
        <f t="shared" si="59"/>
        <v/>
      </c>
      <c r="I196" s="25" t="str">
        <f t="shared" si="60"/>
        <v/>
      </c>
      <c r="J196" s="25" t="str">
        <f t="shared" si="61"/>
        <v/>
      </c>
      <c r="K196" s="26" t="str">
        <f t="shared" si="62"/>
        <v/>
      </c>
      <c r="N196" t="str">
        <f t="shared" si="63"/>
        <v/>
      </c>
      <c r="O196" s="24" t="str">
        <f t="shared" si="64"/>
        <v/>
      </c>
      <c r="P196" s="25" t="str">
        <f t="shared" si="65"/>
        <v/>
      </c>
      <c r="Q196" s="25" t="str">
        <f t="shared" si="66"/>
        <v/>
      </c>
      <c r="R196" s="25" t="str">
        <f t="shared" si="67"/>
        <v/>
      </c>
      <c r="S196" s="25" t="str">
        <f t="shared" si="68"/>
        <v/>
      </c>
      <c r="T196" s="25" t="str">
        <f t="shared" si="69"/>
        <v/>
      </c>
      <c r="U196" s="25"/>
      <c r="V196" s="26" t="str">
        <f t="shared" si="70"/>
        <v/>
      </c>
      <c r="W196" t="str">
        <f t="shared" si="71"/>
        <v/>
      </c>
      <c r="X196" s="24" t="str">
        <f t="shared" si="72"/>
        <v/>
      </c>
      <c r="Y196" s="25" t="str">
        <f t="shared" si="73"/>
        <v/>
      </c>
      <c r="Z196" s="25" t="str">
        <f t="shared" si="74"/>
        <v/>
      </c>
      <c r="AA196" s="25" t="str">
        <f t="shared" si="75"/>
        <v/>
      </c>
      <c r="AB196" s="25" t="str">
        <f t="shared" si="76"/>
        <v/>
      </c>
      <c r="AC196" s="25" t="str">
        <f t="shared" si="77"/>
        <v/>
      </c>
      <c r="AD196" s="26" t="str">
        <f t="shared" si="78"/>
        <v/>
      </c>
      <c r="AE196" t="str">
        <f t="shared" si="79"/>
        <v/>
      </c>
      <c r="AF196" s="24" t="str">
        <f t="shared" si="80"/>
        <v/>
      </c>
      <c r="AG196" s="25" t="str">
        <f t="shared" si="81"/>
        <v/>
      </c>
      <c r="AH196" s="25" t="str">
        <f t="shared" si="82"/>
        <v/>
      </c>
      <c r="AI196" s="25" t="str">
        <f t="shared" si="83"/>
        <v/>
      </c>
      <c r="AJ196" s="25" t="str">
        <f t="shared" si="84"/>
        <v/>
      </c>
      <c r="AK196" s="25" t="str">
        <f t="shared" si="85"/>
        <v/>
      </c>
      <c r="AL196" s="26" t="str">
        <f t="shared" si="86"/>
        <v/>
      </c>
      <c r="AP196" t="str">
        <f t="shared" si="87"/>
        <v/>
      </c>
      <c r="AQ196" s="24" t="str">
        <f t="shared" si="88"/>
        <v/>
      </c>
      <c r="AR196" s="25" t="str">
        <f t="shared" si="89"/>
        <v/>
      </c>
      <c r="AS196" s="25" t="str">
        <f t="shared" si="90"/>
        <v/>
      </c>
      <c r="AT196" s="25" t="str">
        <f t="shared" si="91"/>
        <v/>
      </c>
      <c r="AU196" s="25" t="str">
        <f t="shared" si="92"/>
        <v/>
      </c>
      <c r="AV196" s="25" t="str">
        <f t="shared" si="93"/>
        <v/>
      </c>
      <c r="AW196" s="26" t="str">
        <f t="shared" si="94"/>
        <v/>
      </c>
    </row>
    <row r="197" spans="3:49" x14ac:dyDescent="0.25">
      <c r="C197">
        <v>41</v>
      </c>
      <c r="D197" t="str">
        <f t="shared" si="55"/>
        <v/>
      </c>
      <c r="E197" s="24" t="str">
        <f t="shared" si="56"/>
        <v/>
      </c>
      <c r="F197" s="25" t="str">
        <f t="shared" si="57"/>
        <v/>
      </c>
      <c r="G197" s="25" t="str">
        <f t="shared" si="58"/>
        <v/>
      </c>
      <c r="H197" s="25" t="str">
        <f t="shared" si="59"/>
        <v/>
      </c>
      <c r="I197" s="25" t="str">
        <f t="shared" si="60"/>
        <v/>
      </c>
      <c r="J197" s="25" t="str">
        <f t="shared" si="61"/>
        <v/>
      </c>
      <c r="K197" s="26" t="str">
        <f t="shared" si="62"/>
        <v/>
      </c>
      <c r="N197" t="str">
        <f t="shared" si="63"/>
        <v/>
      </c>
      <c r="O197" s="24" t="str">
        <f t="shared" si="64"/>
        <v/>
      </c>
      <c r="P197" s="25" t="str">
        <f t="shared" si="65"/>
        <v/>
      </c>
      <c r="Q197" s="25" t="str">
        <f t="shared" si="66"/>
        <v/>
      </c>
      <c r="R197" s="25" t="str">
        <f t="shared" si="67"/>
        <v/>
      </c>
      <c r="S197" s="25" t="str">
        <f t="shared" si="68"/>
        <v/>
      </c>
      <c r="T197" s="25" t="str">
        <f t="shared" si="69"/>
        <v/>
      </c>
      <c r="U197" s="25"/>
      <c r="V197" s="26" t="str">
        <f t="shared" si="70"/>
        <v/>
      </c>
      <c r="W197" t="str">
        <f t="shared" si="71"/>
        <v/>
      </c>
      <c r="X197" s="24" t="str">
        <f t="shared" si="72"/>
        <v/>
      </c>
      <c r="Y197" s="25" t="str">
        <f t="shared" si="73"/>
        <v/>
      </c>
      <c r="Z197" s="25" t="str">
        <f t="shared" si="74"/>
        <v/>
      </c>
      <c r="AA197" s="25" t="str">
        <f t="shared" si="75"/>
        <v/>
      </c>
      <c r="AB197" s="25" t="str">
        <f t="shared" si="76"/>
        <v/>
      </c>
      <c r="AC197" s="25" t="str">
        <f t="shared" si="77"/>
        <v/>
      </c>
      <c r="AD197" s="26" t="str">
        <f t="shared" si="78"/>
        <v/>
      </c>
      <c r="AE197" t="str">
        <f t="shared" si="79"/>
        <v/>
      </c>
      <c r="AF197" s="24" t="str">
        <f t="shared" si="80"/>
        <v/>
      </c>
      <c r="AG197" s="25" t="str">
        <f t="shared" si="81"/>
        <v/>
      </c>
      <c r="AH197" s="25" t="str">
        <f t="shared" si="82"/>
        <v/>
      </c>
      <c r="AI197" s="25" t="str">
        <f t="shared" si="83"/>
        <v/>
      </c>
      <c r="AJ197" s="25" t="str">
        <f t="shared" si="84"/>
        <v/>
      </c>
      <c r="AK197" s="25" t="str">
        <f t="shared" si="85"/>
        <v/>
      </c>
      <c r="AL197" s="26" t="str">
        <f t="shared" si="86"/>
        <v/>
      </c>
      <c r="AP197" t="str">
        <f t="shared" si="87"/>
        <v/>
      </c>
      <c r="AQ197" s="24" t="str">
        <f t="shared" si="88"/>
        <v/>
      </c>
      <c r="AR197" s="25" t="str">
        <f t="shared" si="89"/>
        <v/>
      </c>
      <c r="AS197" s="25" t="str">
        <f t="shared" si="90"/>
        <v/>
      </c>
      <c r="AT197" s="25" t="str">
        <f t="shared" si="91"/>
        <v/>
      </c>
      <c r="AU197" s="25" t="str">
        <f t="shared" si="92"/>
        <v/>
      </c>
      <c r="AV197" s="25" t="str">
        <f t="shared" si="93"/>
        <v/>
      </c>
      <c r="AW197" s="26" t="str">
        <f t="shared" si="94"/>
        <v/>
      </c>
    </row>
    <row r="198" spans="3:49" x14ac:dyDescent="0.25">
      <c r="C198">
        <v>42</v>
      </c>
      <c r="D198" t="str">
        <f t="shared" si="55"/>
        <v/>
      </c>
      <c r="E198" s="24" t="str">
        <f t="shared" si="56"/>
        <v/>
      </c>
      <c r="F198" s="25" t="str">
        <f t="shared" si="57"/>
        <v/>
      </c>
      <c r="G198" s="25" t="str">
        <f t="shared" si="58"/>
        <v/>
      </c>
      <c r="H198" s="25" t="str">
        <f t="shared" si="59"/>
        <v/>
      </c>
      <c r="I198" s="25" t="str">
        <f t="shared" si="60"/>
        <v/>
      </c>
      <c r="J198" s="25" t="str">
        <f t="shared" si="61"/>
        <v/>
      </c>
      <c r="K198" s="26" t="str">
        <f t="shared" si="62"/>
        <v/>
      </c>
      <c r="N198" t="str">
        <f t="shared" si="63"/>
        <v/>
      </c>
      <c r="O198" s="24" t="str">
        <f t="shared" si="64"/>
        <v/>
      </c>
      <c r="P198" s="25" t="str">
        <f t="shared" si="65"/>
        <v/>
      </c>
      <c r="Q198" s="25" t="str">
        <f t="shared" si="66"/>
        <v/>
      </c>
      <c r="R198" s="25" t="str">
        <f t="shared" si="67"/>
        <v/>
      </c>
      <c r="S198" s="25" t="str">
        <f t="shared" si="68"/>
        <v/>
      </c>
      <c r="T198" s="25" t="str">
        <f t="shared" si="69"/>
        <v/>
      </c>
      <c r="U198" s="25"/>
      <c r="V198" s="26" t="str">
        <f t="shared" si="70"/>
        <v/>
      </c>
      <c r="W198" t="str">
        <f t="shared" si="71"/>
        <v/>
      </c>
      <c r="X198" s="24" t="str">
        <f t="shared" si="72"/>
        <v/>
      </c>
      <c r="Y198" s="25" t="str">
        <f t="shared" si="73"/>
        <v/>
      </c>
      <c r="Z198" s="25" t="str">
        <f t="shared" si="74"/>
        <v/>
      </c>
      <c r="AA198" s="25" t="str">
        <f t="shared" si="75"/>
        <v/>
      </c>
      <c r="AB198" s="25" t="str">
        <f t="shared" si="76"/>
        <v/>
      </c>
      <c r="AC198" s="25" t="str">
        <f t="shared" si="77"/>
        <v/>
      </c>
      <c r="AD198" s="26" t="str">
        <f t="shared" si="78"/>
        <v/>
      </c>
      <c r="AE198" t="str">
        <f t="shared" si="79"/>
        <v/>
      </c>
      <c r="AF198" s="24" t="str">
        <f t="shared" si="80"/>
        <v/>
      </c>
      <c r="AG198" s="25" t="str">
        <f t="shared" si="81"/>
        <v/>
      </c>
      <c r="AH198" s="25" t="str">
        <f t="shared" si="82"/>
        <v/>
      </c>
      <c r="AI198" s="25" t="str">
        <f t="shared" si="83"/>
        <v/>
      </c>
      <c r="AJ198" s="25" t="str">
        <f t="shared" si="84"/>
        <v/>
      </c>
      <c r="AK198" s="25" t="str">
        <f t="shared" si="85"/>
        <v/>
      </c>
      <c r="AL198" s="26" t="str">
        <f t="shared" si="86"/>
        <v/>
      </c>
      <c r="AP198" t="str">
        <f t="shared" si="87"/>
        <v/>
      </c>
      <c r="AQ198" s="24" t="str">
        <f t="shared" si="88"/>
        <v/>
      </c>
      <c r="AR198" s="25" t="str">
        <f t="shared" si="89"/>
        <v/>
      </c>
      <c r="AS198" s="25" t="str">
        <f t="shared" si="90"/>
        <v/>
      </c>
      <c r="AT198" s="25" t="str">
        <f t="shared" si="91"/>
        <v/>
      </c>
      <c r="AU198" s="25" t="str">
        <f t="shared" si="92"/>
        <v/>
      </c>
      <c r="AV198" s="25" t="str">
        <f t="shared" si="93"/>
        <v/>
      </c>
      <c r="AW198" s="26" t="str">
        <f t="shared" si="94"/>
        <v/>
      </c>
    </row>
    <row r="199" spans="3:49" x14ac:dyDescent="0.25">
      <c r="C199">
        <v>43</v>
      </c>
      <c r="D199" t="str">
        <f t="shared" si="55"/>
        <v/>
      </c>
      <c r="E199" s="24" t="str">
        <f t="shared" si="56"/>
        <v/>
      </c>
      <c r="F199" s="25" t="str">
        <f t="shared" si="57"/>
        <v/>
      </c>
      <c r="G199" s="25" t="str">
        <f t="shared" si="58"/>
        <v/>
      </c>
      <c r="H199" s="25" t="str">
        <f t="shared" si="59"/>
        <v/>
      </c>
      <c r="I199" s="25" t="str">
        <f t="shared" si="60"/>
        <v/>
      </c>
      <c r="J199" s="25" t="str">
        <f t="shared" si="61"/>
        <v/>
      </c>
      <c r="K199" s="26" t="str">
        <f t="shared" si="62"/>
        <v/>
      </c>
      <c r="N199" t="str">
        <f t="shared" si="63"/>
        <v/>
      </c>
      <c r="O199" s="24" t="str">
        <f t="shared" si="64"/>
        <v/>
      </c>
      <c r="P199" s="25" t="str">
        <f t="shared" si="65"/>
        <v/>
      </c>
      <c r="Q199" s="25" t="str">
        <f t="shared" si="66"/>
        <v/>
      </c>
      <c r="R199" s="25" t="str">
        <f t="shared" si="67"/>
        <v/>
      </c>
      <c r="S199" s="25" t="str">
        <f t="shared" si="68"/>
        <v/>
      </c>
      <c r="T199" s="25" t="str">
        <f t="shared" si="69"/>
        <v/>
      </c>
      <c r="U199" s="25"/>
      <c r="V199" s="26" t="str">
        <f t="shared" si="70"/>
        <v/>
      </c>
      <c r="W199" t="str">
        <f t="shared" si="71"/>
        <v/>
      </c>
      <c r="X199" s="24" t="str">
        <f t="shared" si="72"/>
        <v/>
      </c>
      <c r="Y199" s="25" t="str">
        <f t="shared" si="73"/>
        <v/>
      </c>
      <c r="Z199" s="25" t="str">
        <f t="shared" si="74"/>
        <v/>
      </c>
      <c r="AA199" s="25" t="str">
        <f t="shared" si="75"/>
        <v/>
      </c>
      <c r="AB199" s="25" t="str">
        <f t="shared" si="76"/>
        <v/>
      </c>
      <c r="AC199" s="25" t="str">
        <f t="shared" si="77"/>
        <v/>
      </c>
      <c r="AD199" s="26" t="str">
        <f t="shared" si="78"/>
        <v/>
      </c>
      <c r="AE199" t="str">
        <f t="shared" si="79"/>
        <v/>
      </c>
      <c r="AF199" s="24" t="str">
        <f t="shared" si="80"/>
        <v/>
      </c>
      <c r="AG199" s="25" t="str">
        <f t="shared" si="81"/>
        <v/>
      </c>
      <c r="AH199" s="25" t="str">
        <f t="shared" si="82"/>
        <v/>
      </c>
      <c r="AI199" s="25" t="str">
        <f t="shared" si="83"/>
        <v/>
      </c>
      <c r="AJ199" s="25" t="str">
        <f t="shared" si="84"/>
        <v/>
      </c>
      <c r="AK199" s="25" t="str">
        <f t="shared" si="85"/>
        <v/>
      </c>
      <c r="AL199" s="26" t="str">
        <f t="shared" si="86"/>
        <v/>
      </c>
      <c r="AP199" t="str">
        <f t="shared" si="87"/>
        <v/>
      </c>
      <c r="AQ199" s="24" t="str">
        <f t="shared" si="88"/>
        <v/>
      </c>
      <c r="AR199" s="25" t="str">
        <f t="shared" si="89"/>
        <v/>
      </c>
      <c r="AS199" s="25" t="str">
        <f t="shared" si="90"/>
        <v/>
      </c>
      <c r="AT199" s="25" t="str">
        <f t="shared" si="91"/>
        <v/>
      </c>
      <c r="AU199" s="25" t="str">
        <f t="shared" si="92"/>
        <v/>
      </c>
      <c r="AV199" s="25" t="str">
        <f t="shared" si="93"/>
        <v/>
      </c>
      <c r="AW199" s="26" t="str">
        <f t="shared" si="94"/>
        <v/>
      </c>
    </row>
    <row r="200" spans="3:49" x14ac:dyDescent="0.25">
      <c r="C200">
        <v>44</v>
      </c>
      <c r="D200" t="str">
        <f t="shared" si="55"/>
        <v/>
      </c>
      <c r="E200" s="24" t="str">
        <f t="shared" si="56"/>
        <v/>
      </c>
      <c r="F200" s="25" t="str">
        <f t="shared" si="57"/>
        <v/>
      </c>
      <c r="G200" s="25" t="str">
        <f t="shared" si="58"/>
        <v/>
      </c>
      <c r="H200" s="25" t="str">
        <f t="shared" si="59"/>
        <v/>
      </c>
      <c r="I200" s="25" t="str">
        <f t="shared" si="60"/>
        <v/>
      </c>
      <c r="J200" s="25" t="str">
        <f t="shared" si="61"/>
        <v/>
      </c>
      <c r="K200" s="26" t="str">
        <f t="shared" si="62"/>
        <v/>
      </c>
      <c r="N200" t="str">
        <f t="shared" si="63"/>
        <v/>
      </c>
      <c r="O200" s="24" t="str">
        <f t="shared" si="64"/>
        <v/>
      </c>
      <c r="P200" s="25" t="str">
        <f t="shared" si="65"/>
        <v/>
      </c>
      <c r="Q200" s="25" t="str">
        <f t="shared" si="66"/>
        <v/>
      </c>
      <c r="R200" s="25" t="str">
        <f t="shared" si="67"/>
        <v/>
      </c>
      <c r="S200" s="25" t="str">
        <f t="shared" si="68"/>
        <v/>
      </c>
      <c r="T200" s="25" t="str">
        <f t="shared" si="69"/>
        <v/>
      </c>
      <c r="U200" s="25"/>
      <c r="V200" s="26" t="str">
        <f t="shared" si="70"/>
        <v/>
      </c>
      <c r="W200" t="str">
        <f t="shared" si="71"/>
        <v/>
      </c>
      <c r="X200" s="24" t="str">
        <f t="shared" si="72"/>
        <v/>
      </c>
      <c r="Y200" s="25" t="str">
        <f t="shared" si="73"/>
        <v/>
      </c>
      <c r="Z200" s="25" t="str">
        <f t="shared" si="74"/>
        <v/>
      </c>
      <c r="AA200" s="25" t="str">
        <f t="shared" si="75"/>
        <v/>
      </c>
      <c r="AB200" s="25" t="str">
        <f t="shared" si="76"/>
        <v/>
      </c>
      <c r="AC200" s="25" t="str">
        <f t="shared" si="77"/>
        <v/>
      </c>
      <c r="AD200" s="26" t="str">
        <f t="shared" si="78"/>
        <v/>
      </c>
      <c r="AE200" t="str">
        <f t="shared" si="79"/>
        <v/>
      </c>
      <c r="AF200" s="24" t="str">
        <f t="shared" si="80"/>
        <v/>
      </c>
      <c r="AG200" s="25" t="str">
        <f t="shared" si="81"/>
        <v/>
      </c>
      <c r="AH200" s="25" t="str">
        <f t="shared" si="82"/>
        <v/>
      </c>
      <c r="AI200" s="25" t="str">
        <f t="shared" si="83"/>
        <v/>
      </c>
      <c r="AJ200" s="25" t="str">
        <f t="shared" si="84"/>
        <v/>
      </c>
      <c r="AK200" s="25" t="str">
        <f t="shared" si="85"/>
        <v/>
      </c>
      <c r="AL200" s="26" t="str">
        <f t="shared" si="86"/>
        <v/>
      </c>
      <c r="AP200" t="str">
        <f t="shared" si="87"/>
        <v/>
      </c>
      <c r="AQ200" s="24" t="str">
        <f t="shared" si="88"/>
        <v/>
      </c>
      <c r="AR200" s="25" t="str">
        <f t="shared" si="89"/>
        <v/>
      </c>
      <c r="AS200" s="25" t="str">
        <f t="shared" si="90"/>
        <v/>
      </c>
      <c r="AT200" s="25" t="str">
        <f t="shared" si="91"/>
        <v/>
      </c>
      <c r="AU200" s="25" t="str">
        <f t="shared" si="92"/>
        <v/>
      </c>
      <c r="AV200" s="25" t="str">
        <f t="shared" si="93"/>
        <v/>
      </c>
      <c r="AW200" s="26" t="str">
        <f t="shared" si="94"/>
        <v/>
      </c>
    </row>
    <row r="201" spans="3:49" x14ac:dyDescent="0.25">
      <c r="C201">
        <v>45</v>
      </c>
      <c r="D201" t="str">
        <f t="shared" si="55"/>
        <v/>
      </c>
      <c r="E201" s="24" t="str">
        <f t="shared" si="56"/>
        <v/>
      </c>
      <c r="F201" s="25" t="str">
        <f t="shared" si="57"/>
        <v/>
      </c>
      <c r="G201" s="25" t="str">
        <f t="shared" si="58"/>
        <v/>
      </c>
      <c r="H201" s="25" t="str">
        <f t="shared" si="59"/>
        <v/>
      </c>
      <c r="I201" s="25" t="str">
        <f t="shared" si="60"/>
        <v/>
      </c>
      <c r="J201" s="25" t="str">
        <f t="shared" si="61"/>
        <v/>
      </c>
      <c r="K201" s="26" t="str">
        <f t="shared" si="62"/>
        <v/>
      </c>
      <c r="N201" t="str">
        <f t="shared" si="63"/>
        <v/>
      </c>
      <c r="O201" s="24" t="str">
        <f t="shared" si="64"/>
        <v/>
      </c>
      <c r="P201" s="25" t="str">
        <f t="shared" si="65"/>
        <v/>
      </c>
      <c r="Q201" s="25" t="str">
        <f t="shared" si="66"/>
        <v/>
      </c>
      <c r="R201" s="25" t="str">
        <f t="shared" si="67"/>
        <v/>
      </c>
      <c r="S201" s="25" t="str">
        <f t="shared" si="68"/>
        <v/>
      </c>
      <c r="T201" s="25" t="str">
        <f t="shared" si="69"/>
        <v/>
      </c>
      <c r="U201" s="25"/>
      <c r="V201" s="26" t="str">
        <f t="shared" si="70"/>
        <v/>
      </c>
      <c r="W201" t="str">
        <f t="shared" si="71"/>
        <v/>
      </c>
      <c r="X201" s="24" t="str">
        <f t="shared" si="72"/>
        <v/>
      </c>
      <c r="Y201" s="25" t="str">
        <f t="shared" si="73"/>
        <v/>
      </c>
      <c r="Z201" s="25" t="str">
        <f t="shared" si="74"/>
        <v/>
      </c>
      <c r="AA201" s="25" t="str">
        <f t="shared" si="75"/>
        <v/>
      </c>
      <c r="AB201" s="25" t="str">
        <f t="shared" si="76"/>
        <v/>
      </c>
      <c r="AC201" s="25" t="str">
        <f t="shared" si="77"/>
        <v/>
      </c>
      <c r="AD201" s="26" t="str">
        <f t="shared" si="78"/>
        <v/>
      </c>
      <c r="AE201" t="str">
        <f t="shared" si="79"/>
        <v/>
      </c>
      <c r="AF201" s="24" t="str">
        <f t="shared" si="80"/>
        <v/>
      </c>
      <c r="AG201" s="25" t="str">
        <f t="shared" si="81"/>
        <v/>
      </c>
      <c r="AH201" s="25" t="str">
        <f t="shared" si="82"/>
        <v/>
      </c>
      <c r="AI201" s="25" t="str">
        <f t="shared" si="83"/>
        <v/>
      </c>
      <c r="AJ201" s="25" t="str">
        <f t="shared" si="84"/>
        <v/>
      </c>
      <c r="AK201" s="25" t="str">
        <f t="shared" si="85"/>
        <v/>
      </c>
      <c r="AL201" s="26" t="str">
        <f t="shared" si="86"/>
        <v/>
      </c>
      <c r="AP201" t="str">
        <f t="shared" si="87"/>
        <v/>
      </c>
      <c r="AQ201" s="24" t="str">
        <f t="shared" si="88"/>
        <v/>
      </c>
      <c r="AR201" s="25" t="str">
        <f t="shared" si="89"/>
        <v/>
      </c>
      <c r="AS201" s="25" t="str">
        <f t="shared" si="90"/>
        <v/>
      </c>
      <c r="AT201" s="25" t="str">
        <f t="shared" si="91"/>
        <v/>
      </c>
      <c r="AU201" s="25" t="str">
        <f t="shared" si="92"/>
        <v/>
      </c>
      <c r="AV201" s="25" t="str">
        <f t="shared" si="93"/>
        <v/>
      </c>
      <c r="AW201" s="26" t="str">
        <f t="shared" si="94"/>
        <v/>
      </c>
    </row>
    <row r="202" spans="3:49" x14ac:dyDescent="0.25">
      <c r="C202">
        <v>46</v>
      </c>
      <c r="D202" t="str">
        <f t="shared" si="55"/>
        <v/>
      </c>
      <c r="E202" s="24" t="str">
        <f t="shared" si="56"/>
        <v/>
      </c>
      <c r="F202" s="25" t="str">
        <f t="shared" si="57"/>
        <v/>
      </c>
      <c r="G202" s="25" t="str">
        <f t="shared" si="58"/>
        <v/>
      </c>
      <c r="H202" s="25" t="str">
        <f t="shared" si="59"/>
        <v/>
      </c>
      <c r="I202" s="25" t="str">
        <f t="shared" si="60"/>
        <v/>
      </c>
      <c r="J202" s="25" t="str">
        <f t="shared" si="61"/>
        <v/>
      </c>
      <c r="K202" s="26" t="str">
        <f t="shared" si="62"/>
        <v/>
      </c>
      <c r="N202" t="str">
        <f t="shared" si="63"/>
        <v/>
      </c>
      <c r="O202" s="24" t="str">
        <f t="shared" si="64"/>
        <v/>
      </c>
      <c r="P202" s="25" t="str">
        <f t="shared" si="65"/>
        <v/>
      </c>
      <c r="Q202" s="25" t="str">
        <f t="shared" si="66"/>
        <v/>
      </c>
      <c r="R202" s="25" t="str">
        <f t="shared" si="67"/>
        <v/>
      </c>
      <c r="S202" s="25" t="str">
        <f t="shared" si="68"/>
        <v/>
      </c>
      <c r="T202" s="25" t="str">
        <f t="shared" si="69"/>
        <v/>
      </c>
      <c r="U202" s="25"/>
      <c r="V202" s="26" t="str">
        <f t="shared" si="70"/>
        <v/>
      </c>
      <c r="W202" t="str">
        <f t="shared" si="71"/>
        <v/>
      </c>
      <c r="X202" s="24" t="str">
        <f t="shared" si="72"/>
        <v/>
      </c>
      <c r="Y202" s="25" t="str">
        <f t="shared" si="73"/>
        <v/>
      </c>
      <c r="Z202" s="25" t="str">
        <f t="shared" si="74"/>
        <v/>
      </c>
      <c r="AA202" s="25" t="str">
        <f t="shared" si="75"/>
        <v/>
      </c>
      <c r="AB202" s="25" t="str">
        <f t="shared" si="76"/>
        <v/>
      </c>
      <c r="AC202" s="25" t="str">
        <f t="shared" si="77"/>
        <v/>
      </c>
      <c r="AD202" s="26" t="str">
        <f t="shared" si="78"/>
        <v/>
      </c>
      <c r="AE202" t="str">
        <f t="shared" si="79"/>
        <v/>
      </c>
      <c r="AF202" s="24" t="str">
        <f t="shared" si="80"/>
        <v/>
      </c>
      <c r="AG202" s="25" t="str">
        <f t="shared" si="81"/>
        <v/>
      </c>
      <c r="AH202" s="25" t="str">
        <f t="shared" si="82"/>
        <v/>
      </c>
      <c r="AI202" s="25" t="str">
        <f t="shared" si="83"/>
        <v/>
      </c>
      <c r="AJ202" s="25" t="str">
        <f t="shared" si="84"/>
        <v/>
      </c>
      <c r="AK202" s="25" t="str">
        <f t="shared" si="85"/>
        <v/>
      </c>
      <c r="AL202" s="26" t="str">
        <f t="shared" si="86"/>
        <v/>
      </c>
      <c r="AP202" t="str">
        <f t="shared" si="87"/>
        <v/>
      </c>
      <c r="AQ202" s="24" t="str">
        <f t="shared" si="88"/>
        <v/>
      </c>
      <c r="AR202" s="25" t="str">
        <f t="shared" si="89"/>
        <v/>
      </c>
      <c r="AS202" s="25" t="str">
        <f t="shared" si="90"/>
        <v/>
      </c>
      <c r="AT202" s="25" t="str">
        <f t="shared" si="91"/>
        <v/>
      </c>
      <c r="AU202" s="25" t="str">
        <f t="shared" si="92"/>
        <v/>
      </c>
      <c r="AV202" s="25" t="str">
        <f t="shared" si="93"/>
        <v/>
      </c>
      <c r="AW202" s="26" t="str">
        <f t="shared" si="94"/>
        <v/>
      </c>
    </row>
    <row r="203" spans="3:49" x14ac:dyDescent="0.25">
      <c r="C203">
        <v>47</v>
      </c>
      <c r="D203" t="str">
        <f t="shared" si="55"/>
        <v/>
      </c>
      <c r="E203" s="24" t="str">
        <f t="shared" si="56"/>
        <v/>
      </c>
      <c r="F203" s="25" t="str">
        <f t="shared" si="57"/>
        <v/>
      </c>
      <c r="G203" s="25" t="str">
        <f t="shared" si="58"/>
        <v/>
      </c>
      <c r="H203" s="25" t="str">
        <f t="shared" si="59"/>
        <v/>
      </c>
      <c r="I203" s="25" t="str">
        <f t="shared" si="60"/>
        <v/>
      </c>
      <c r="J203" s="25" t="str">
        <f t="shared" si="61"/>
        <v/>
      </c>
      <c r="K203" s="26" t="str">
        <f t="shared" si="62"/>
        <v/>
      </c>
      <c r="N203" t="str">
        <f t="shared" si="63"/>
        <v/>
      </c>
      <c r="O203" s="24" t="str">
        <f t="shared" si="64"/>
        <v/>
      </c>
      <c r="P203" s="25" t="str">
        <f t="shared" si="65"/>
        <v/>
      </c>
      <c r="Q203" s="25" t="str">
        <f t="shared" si="66"/>
        <v/>
      </c>
      <c r="R203" s="25" t="str">
        <f t="shared" si="67"/>
        <v/>
      </c>
      <c r="S203" s="25" t="str">
        <f t="shared" si="68"/>
        <v/>
      </c>
      <c r="T203" s="25" t="str">
        <f t="shared" si="69"/>
        <v/>
      </c>
      <c r="U203" s="25"/>
      <c r="V203" s="26" t="str">
        <f t="shared" si="70"/>
        <v/>
      </c>
      <c r="W203" t="str">
        <f t="shared" si="71"/>
        <v/>
      </c>
      <c r="X203" s="24" t="str">
        <f t="shared" si="72"/>
        <v/>
      </c>
      <c r="Y203" s="25" t="str">
        <f t="shared" si="73"/>
        <v/>
      </c>
      <c r="Z203" s="25" t="str">
        <f t="shared" si="74"/>
        <v/>
      </c>
      <c r="AA203" s="25" t="str">
        <f t="shared" si="75"/>
        <v/>
      </c>
      <c r="AB203" s="25" t="str">
        <f t="shared" si="76"/>
        <v/>
      </c>
      <c r="AC203" s="25" t="str">
        <f t="shared" si="77"/>
        <v/>
      </c>
      <c r="AD203" s="26" t="str">
        <f t="shared" si="78"/>
        <v/>
      </c>
      <c r="AE203" t="str">
        <f t="shared" si="79"/>
        <v/>
      </c>
      <c r="AF203" s="24" t="str">
        <f t="shared" si="80"/>
        <v/>
      </c>
      <c r="AG203" s="25" t="str">
        <f t="shared" si="81"/>
        <v/>
      </c>
      <c r="AH203" s="25" t="str">
        <f t="shared" si="82"/>
        <v/>
      </c>
      <c r="AI203" s="25" t="str">
        <f t="shared" si="83"/>
        <v/>
      </c>
      <c r="AJ203" s="25" t="str">
        <f t="shared" si="84"/>
        <v/>
      </c>
      <c r="AK203" s="25" t="str">
        <f t="shared" si="85"/>
        <v/>
      </c>
      <c r="AL203" s="26" t="str">
        <f t="shared" si="86"/>
        <v/>
      </c>
      <c r="AP203" t="str">
        <f t="shared" si="87"/>
        <v/>
      </c>
      <c r="AQ203" s="24" t="str">
        <f t="shared" si="88"/>
        <v/>
      </c>
      <c r="AR203" s="25" t="str">
        <f t="shared" si="89"/>
        <v/>
      </c>
      <c r="AS203" s="25" t="str">
        <f t="shared" si="90"/>
        <v/>
      </c>
      <c r="AT203" s="25" t="str">
        <f t="shared" si="91"/>
        <v/>
      </c>
      <c r="AU203" s="25" t="str">
        <f t="shared" si="92"/>
        <v/>
      </c>
      <c r="AV203" s="25" t="str">
        <f t="shared" si="93"/>
        <v/>
      </c>
      <c r="AW203" s="26" t="str">
        <f t="shared" si="94"/>
        <v/>
      </c>
    </row>
    <row r="204" spans="3:49" x14ac:dyDescent="0.25">
      <c r="C204">
        <v>48</v>
      </c>
      <c r="D204" t="str">
        <f t="shared" si="55"/>
        <v/>
      </c>
      <c r="E204" s="24" t="str">
        <f t="shared" si="56"/>
        <v/>
      </c>
      <c r="F204" s="25" t="str">
        <f t="shared" si="57"/>
        <v/>
      </c>
      <c r="G204" s="25" t="str">
        <f t="shared" si="58"/>
        <v/>
      </c>
      <c r="H204" s="25" t="str">
        <f t="shared" si="59"/>
        <v/>
      </c>
      <c r="I204" s="25" t="str">
        <f t="shared" si="60"/>
        <v/>
      </c>
      <c r="J204" s="25" t="str">
        <f t="shared" si="61"/>
        <v/>
      </c>
      <c r="K204" s="26" t="str">
        <f t="shared" si="62"/>
        <v/>
      </c>
      <c r="N204" t="str">
        <f t="shared" si="63"/>
        <v/>
      </c>
      <c r="O204" s="24" t="str">
        <f t="shared" si="64"/>
        <v/>
      </c>
      <c r="P204" s="25" t="str">
        <f t="shared" si="65"/>
        <v/>
      </c>
      <c r="Q204" s="25" t="str">
        <f t="shared" si="66"/>
        <v/>
      </c>
      <c r="R204" s="25" t="str">
        <f t="shared" si="67"/>
        <v/>
      </c>
      <c r="S204" s="25" t="str">
        <f t="shared" si="68"/>
        <v/>
      </c>
      <c r="T204" s="25" t="str">
        <f t="shared" si="69"/>
        <v/>
      </c>
      <c r="U204" s="25"/>
      <c r="V204" s="26" t="str">
        <f t="shared" si="70"/>
        <v/>
      </c>
      <c r="W204" t="str">
        <f t="shared" si="71"/>
        <v/>
      </c>
      <c r="X204" s="24" t="str">
        <f t="shared" si="72"/>
        <v/>
      </c>
      <c r="Y204" s="25" t="str">
        <f t="shared" si="73"/>
        <v/>
      </c>
      <c r="Z204" s="25" t="str">
        <f t="shared" si="74"/>
        <v/>
      </c>
      <c r="AA204" s="25" t="str">
        <f t="shared" si="75"/>
        <v/>
      </c>
      <c r="AB204" s="25" t="str">
        <f t="shared" si="76"/>
        <v/>
      </c>
      <c r="AC204" s="25" t="str">
        <f t="shared" si="77"/>
        <v/>
      </c>
      <c r="AD204" s="26" t="str">
        <f t="shared" si="78"/>
        <v/>
      </c>
      <c r="AE204" t="str">
        <f t="shared" si="79"/>
        <v/>
      </c>
      <c r="AF204" s="24" t="str">
        <f t="shared" si="80"/>
        <v/>
      </c>
      <c r="AG204" s="25" t="str">
        <f t="shared" si="81"/>
        <v/>
      </c>
      <c r="AH204" s="25" t="str">
        <f t="shared" si="82"/>
        <v/>
      </c>
      <c r="AI204" s="25" t="str">
        <f t="shared" si="83"/>
        <v/>
      </c>
      <c r="AJ204" s="25" t="str">
        <f t="shared" si="84"/>
        <v/>
      </c>
      <c r="AK204" s="25" t="str">
        <f t="shared" si="85"/>
        <v/>
      </c>
      <c r="AL204" s="26" t="str">
        <f t="shared" si="86"/>
        <v/>
      </c>
      <c r="AP204" t="str">
        <f t="shared" si="87"/>
        <v/>
      </c>
      <c r="AQ204" s="24" t="str">
        <f t="shared" si="88"/>
        <v/>
      </c>
      <c r="AR204" s="25" t="str">
        <f t="shared" si="89"/>
        <v/>
      </c>
      <c r="AS204" s="25" t="str">
        <f t="shared" si="90"/>
        <v/>
      </c>
      <c r="AT204" s="25" t="str">
        <f t="shared" si="91"/>
        <v/>
      </c>
      <c r="AU204" s="25" t="str">
        <f t="shared" si="92"/>
        <v/>
      </c>
      <c r="AV204" s="25" t="str">
        <f t="shared" si="93"/>
        <v/>
      </c>
      <c r="AW204" s="26" t="str">
        <f t="shared" si="94"/>
        <v/>
      </c>
    </row>
    <row r="205" spans="3:49" x14ac:dyDescent="0.25">
      <c r="C205">
        <v>49</v>
      </c>
      <c r="D205" t="str">
        <f t="shared" si="55"/>
        <v/>
      </c>
      <c r="E205" s="24" t="str">
        <f t="shared" si="56"/>
        <v/>
      </c>
      <c r="F205" s="25" t="str">
        <f t="shared" si="57"/>
        <v/>
      </c>
      <c r="G205" s="25" t="str">
        <f t="shared" si="58"/>
        <v/>
      </c>
      <c r="H205" s="25" t="str">
        <f t="shared" si="59"/>
        <v/>
      </c>
      <c r="I205" s="25" t="str">
        <f t="shared" si="60"/>
        <v/>
      </c>
      <c r="J205" s="25" t="str">
        <f t="shared" si="61"/>
        <v/>
      </c>
      <c r="K205" s="26" t="str">
        <f t="shared" si="62"/>
        <v/>
      </c>
      <c r="N205" t="str">
        <f t="shared" si="63"/>
        <v/>
      </c>
      <c r="O205" s="24" t="str">
        <f t="shared" si="64"/>
        <v/>
      </c>
      <c r="P205" s="25" t="str">
        <f t="shared" si="65"/>
        <v/>
      </c>
      <c r="Q205" s="25" t="str">
        <f t="shared" si="66"/>
        <v/>
      </c>
      <c r="R205" s="25" t="str">
        <f t="shared" si="67"/>
        <v/>
      </c>
      <c r="S205" s="25" t="str">
        <f t="shared" si="68"/>
        <v/>
      </c>
      <c r="T205" s="25" t="str">
        <f t="shared" si="69"/>
        <v/>
      </c>
      <c r="U205" s="25"/>
      <c r="V205" s="26" t="str">
        <f t="shared" si="70"/>
        <v/>
      </c>
      <c r="W205" t="str">
        <f t="shared" si="71"/>
        <v/>
      </c>
      <c r="X205" s="24" t="str">
        <f t="shared" si="72"/>
        <v/>
      </c>
      <c r="Y205" s="25" t="str">
        <f t="shared" si="73"/>
        <v/>
      </c>
      <c r="Z205" s="25" t="str">
        <f t="shared" si="74"/>
        <v/>
      </c>
      <c r="AA205" s="25" t="str">
        <f t="shared" si="75"/>
        <v/>
      </c>
      <c r="AB205" s="25" t="str">
        <f t="shared" si="76"/>
        <v/>
      </c>
      <c r="AC205" s="25" t="str">
        <f t="shared" si="77"/>
        <v/>
      </c>
      <c r="AD205" s="26" t="str">
        <f t="shared" si="78"/>
        <v/>
      </c>
      <c r="AE205" t="str">
        <f t="shared" si="79"/>
        <v/>
      </c>
      <c r="AF205" s="24" t="str">
        <f t="shared" si="80"/>
        <v/>
      </c>
      <c r="AG205" s="25" t="str">
        <f t="shared" si="81"/>
        <v/>
      </c>
      <c r="AH205" s="25" t="str">
        <f t="shared" si="82"/>
        <v/>
      </c>
      <c r="AI205" s="25" t="str">
        <f t="shared" si="83"/>
        <v/>
      </c>
      <c r="AJ205" s="25" t="str">
        <f t="shared" si="84"/>
        <v/>
      </c>
      <c r="AK205" s="25" t="str">
        <f t="shared" si="85"/>
        <v/>
      </c>
      <c r="AL205" s="26" t="str">
        <f t="shared" si="86"/>
        <v/>
      </c>
      <c r="AP205" t="str">
        <f t="shared" si="87"/>
        <v/>
      </c>
      <c r="AQ205" s="24" t="str">
        <f t="shared" si="88"/>
        <v/>
      </c>
      <c r="AR205" s="25" t="str">
        <f t="shared" si="89"/>
        <v/>
      </c>
      <c r="AS205" s="25" t="str">
        <f t="shared" si="90"/>
        <v/>
      </c>
      <c r="AT205" s="25" t="str">
        <f t="shared" si="91"/>
        <v/>
      </c>
      <c r="AU205" s="25" t="str">
        <f t="shared" si="92"/>
        <v/>
      </c>
      <c r="AV205" s="25" t="str">
        <f t="shared" si="93"/>
        <v/>
      </c>
      <c r="AW205" s="26" t="str">
        <f t="shared" si="94"/>
        <v/>
      </c>
    </row>
    <row r="206" spans="3:49" x14ac:dyDescent="0.25">
      <c r="C206">
        <v>50</v>
      </c>
      <c r="D206" t="str">
        <f t="shared" si="55"/>
        <v/>
      </c>
      <c r="E206" s="24" t="str">
        <f t="shared" si="56"/>
        <v/>
      </c>
      <c r="F206" s="25" t="str">
        <f t="shared" si="57"/>
        <v/>
      </c>
      <c r="G206" s="25" t="str">
        <f t="shared" si="58"/>
        <v/>
      </c>
      <c r="H206" s="25" t="str">
        <f t="shared" si="59"/>
        <v/>
      </c>
      <c r="I206" s="25" t="str">
        <f t="shared" si="60"/>
        <v/>
      </c>
      <c r="J206" s="25" t="str">
        <f t="shared" si="61"/>
        <v/>
      </c>
      <c r="K206" s="26" t="str">
        <f t="shared" si="62"/>
        <v/>
      </c>
      <c r="N206" t="str">
        <f t="shared" si="63"/>
        <v/>
      </c>
      <c r="O206" s="24" t="str">
        <f t="shared" si="64"/>
        <v/>
      </c>
      <c r="P206" s="25" t="str">
        <f t="shared" si="65"/>
        <v/>
      </c>
      <c r="Q206" s="25" t="str">
        <f t="shared" si="66"/>
        <v/>
      </c>
      <c r="R206" s="25" t="str">
        <f t="shared" si="67"/>
        <v/>
      </c>
      <c r="S206" s="25" t="str">
        <f t="shared" si="68"/>
        <v/>
      </c>
      <c r="T206" s="25" t="str">
        <f t="shared" si="69"/>
        <v/>
      </c>
      <c r="U206" s="25"/>
      <c r="V206" s="26" t="str">
        <f t="shared" si="70"/>
        <v/>
      </c>
      <c r="W206" t="str">
        <f t="shared" si="71"/>
        <v/>
      </c>
      <c r="X206" s="24" t="str">
        <f t="shared" si="72"/>
        <v/>
      </c>
      <c r="Y206" s="25" t="str">
        <f t="shared" si="73"/>
        <v/>
      </c>
      <c r="Z206" s="25" t="str">
        <f t="shared" si="74"/>
        <v/>
      </c>
      <c r="AA206" s="25" t="str">
        <f t="shared" si="75"/>
        <v/>
      </c>
      <c r="AB206" s="25" t="str">
        <f t="shared" si="76"/>
        <v/>
      </c>
      <c r="AC206" s="25" t="str">
        <f t="shared" si="77"/>
        <v/>
      </c>
      <c r="AD206" s="26" t="str">
        <f t="shared" si="78"/>
        <v/>
      </c>
      <c r="AE206" t="str">
        <f t="shared" si="79"/>
        <v/>
      </c>
      <c r="AF206" s="24" t="str">
        <f t="shared" si="80"/>
        <v/>
      </c>
      <c r="AG206" s="25" t="str">
        <f t="shared" si="81"/>
        <v/>
      </c>
      <c r="AH206" s="25" t="str">
        <f t="shared" si="82"/>
        <v/>
      </c>
      <c r="AI206" s="25" t="str">
        <f t="shared" si="83"/>
        <v/>
      </c>
      <c r="AJ206" s="25" t="str">
        <f t="shared" si="84"/>
        <v/>
      </c>
      <c r="AK206" s="25" t="str">
        <f t="shared" si="85"/>
        <v/>
      </c>
      <c r="AL206" s="26" t="str">
        <f t="shared" si="86"/>
        <v/>
      </c>
      <c r="AP206" t="str">
        <f t="shared" si="87"/>
        <v/>
      </c>
      <c r="AQ206" s="24" t="str">
        <f t="shared" si="88"/>
        <v/>
      </c>
      <c r="AR206" s="25" t="str">
        <f t="shared" si="89"/>
        <v/>
      </c>
      <c r="AS206" s="25" t="str">
        <f t="shared" si="90"/>
        <v/>
      </c>
      <c r="AT206" s="25" t="str">
        <f t="shared" si="91"/>
        <v/>
      </c>
      <c r="AU206" s="25" t="str">
        <f t="shared" si="92"/>
        <v/>
      </c>
      <c r="AV206" s="25" t="str">
        <f t="shared" si="93"/>
        <v/>
      </c>
      <c r="AW206" s="26" t="str">
        <f t="shared" si="94"/>
        <v/>
      </c>
    </row>
    <row r="207" spans="3:49" x14ac:dyDescent="0.25">
      <c r="C207">
        <v>51</v>
      </c>
      <c r="D207" t="str">
        <f t="shared" si="55"/>
        <v/>
      </c>
      <c r="E207" s="24" t="str">
        <f t="shared" si="56"/>
        <v/>
      </c>
      <c r="F207" s="25" t="str">
        <f t="shared" si="57"/>
        <v/>
      </c>
      <c r="G207" s="25" t="str">
        <f t="shared" si="58"/>
        <v/>
      </c>
      <c r="H207" s="25" t="str">
        <f t="shared" si="59"/>
        <v/>
      </c>
      <c r="I207" s="25" t="str">
        <f t="shared" si="60"/>
        <v/>
      </c>
      <c r="J207" s="25" t="str">
        <f t="shared" si="61"/>
        <v/>
      </c>
      <c r="K207" s="26" t="str">
        <f t="shared" si="62"/>
        <v/>
      </c>
      <c r="N207" t="str">
        <f t="shared" si="63"/>
        <v/>
      </c>
      <c r="O207" s="24" t="str">
        <f t="shared" si="64"/>
        <v/>
      </c>
      <c r="P207" s="25" t="str">
        <f t="shared" si="65"/>
        <v/>
      </c>
      <c r="Q207" s="25" t="str">
        <f t="shared" si="66"/>
        <v/>
      </c>
      <c r="R207" s="25" t="str">
        <f t="shared" si="67"/>
        <v/>
      </c>
      <c r="S207" s="25" t="str">
        <f t="shared" si="68"/>
        <v/>
      </c>
      <c r="T207" s="25" t="str">
        <f t="shared" si="69"/>
        <v/>
      </c>
      <c r="U207" s="25"/>
      <c r="V207" s="26" t="str">
        <f t="shared" si="70"/>
        <v/>
      </c>
      <c r="W207" t="str">
        <f t="shared" si="71"/>
        <v/>
      </c>
      <c r="X207" s="24" t="str">
        <f t="shared" si="72"/>
        <v/>
      </c>
      <c r="Y207" s="25" t="str">
        <f t="shared" si="73"/>
        <v/>
      </c>
      <c r="Z207" s="25" t="str">
        <f t="shared" si="74"/>
        <v/>
      </c>
      <c r="AA207" s="25" t="str">
        <f t="shared" si="75"/>
        <v/>
      </c>
      <c r="AB207" s="25" t="str">
        <f t="shared" si="76"/>
        <v/>
      </c>
      <c r="AC207" s="25" t="str">
        <f t="shared" si="77"/>
        <v/>
      </c>
      <c r="AD207" s="26" t="str">
        <f t="shared" si="78"/>
        <v/>
      </c>
      <c r="AE207" t="str">
        <f t="shared" si="79"/>
        <v/>
      </c>
      <c r="AF207" s="24" t="str">
        <f t="shared" si="80"/>
        <v/>
      </c>
      <c r="AG207" s="25" t="str">
        <f t="shared" si="81"/>
        <v/>
      </c>
      <c r="AH207" s="25" t="str">
        <f t="shared" si="82"/>
        <v/>
      </c>
      <c r="AI207" s="25" t="str">
        <f t="shared" si="83"/>
        <v/>
      </c>
      <c r="AJ207" s="25" t="str">
        <f t="shared" si="84"/>
        <v/>
      </c>
      <c r="AK207" s="25" t="str">
        <f t="shared" si="85"/>
        <v/>
      </c>
      <c r="AL207" s="26" t="str">
        <f t="shared" si="86"/>
        <v/>
      </c>
      <c r="AP207" t="str">
        <f t="shared" si="87"/>
        <v/>
      </c>
      <c r="AQ207" s="24" t="str">
        <f t="shared" si="88"/>
        <v/>
      </c>
      <c r="AR207" s="25" t="str">
        <f t="shared" si="89"/>
        <v/>
      </c>
      <c r="AS207" s="25" t="str">
        <f t="shared" si="90"/>
        <v/>
      </c>
      <c r="AT207" s="25" t="str">
        <f t="shared" si="91"/>
        <v/>
      </c>
      <c r="AU207" s="25" t="str">
        <f t="shared" si="92"/>
        <v/>
      </c>
      <c r="AV207" s="25" t="str">
        <f t="shared" si="93"/>
        <v/>
      </c>
      <c r="AW207" s="26" t="str">
        <f t="shared" si="94"/>
        <v/>
      </c>
    </row>
    <row r="208" spans="3:49" x14ac:dyDescent="0.25">
      <c r="C208">
        <v>52</v>
      </c>
      <c r="D208" t="str">
        <f t="shared" si="55"/>
        <v/>
      </c>
      <c r="E208" s="24" t="str">
        <f t="shared" si="56"/>
        <v/>
      </c>
      <c r="F208" s="25" t="str">
        <f t="shared" si="57"/>
        <v/>
      </c>
      <c r="G208" s="25" t="str">
        <f t="shared" si="58"/>
        <v/>
      </c>
      <c r="H208" s="25" t="str">
        <f t="shared" si="59"/>
        <v/>
      </c>
      <c r="I208" s="25" t="str">
        <f t="shared" si="60"/>
        <v/>
      </c>
      <c r="J208" s="25" t="str">
        <f t="shared" si="61"/>
        <v/>
      </c>
      <c r="K208" s="26" t="str">
        <f t="shared" si="62"/>
        <v/>
      </c>
      <c r="N208" t="str">
        <f t="shared" si="63"/>
        <v/>
      </c>
      <c r="O208" s="24" t="str">
        <f t="shared" si="64"/>
        <v/>
      </c>
      <c r="P208" s="25" t="str">
        <f t="shared" si="65"/>
        <v/>
      </c>
      <c r="Q208" s="25" t="str">
        <f t="shared" si="66"/>
        <v/>
      </c>
      <c r="R208" s="25" t="str">
        <f t="shared" si="67"/>
        <v/>
      </c>
      <c r="S208" s="25" t="str">
        <f t="shared" si="68"/>
        <v/>
      </c>
      <c r="T208" s="25" t="str">
        <f t="shared" si="69"/>
        <v/>
      </c>
      <c r="U208" s="25"/>
      <c r="V208" s="26" t="str">
        <f t="shared" si="70"/>
        <v/>
      </c>
      <c r="W208" t="str">
        <f t="shared" si="71"/>
        <v/>
      </c>
      <c r="X208" s="24" t="str">
        <f t="shared" si="72"/>
        <v/>
      </c>
      <c r="Y208" s="25" t="str">
        <f t="shared" si="73"/>
        <v/>
      </c>
      <c r="Z208" s="25" t="str">
        <f t="shared" si="74"/>
        <v/>
      </c>
      <c r="AA208" s="25" t="str">
        <f t="shared" si="75"/>
        <v/>
      </c>
      <c r="AB208" s="25" t="str">
        <f t="shared" si="76"/>
        <v/>
      </c>
      <c r="AC208" s="25" t="str">
        <f t="shared" si="77"/>
        <v/>
      </c>
      <c r="AD208" s="26" t="str">
        <f t="shared" si="78"/>
        <v/>
      </c>
      <c r="AE208" t="str">
        <f t="shared" si="79"/>
        <v/>
      </c>
      <c r="AF208" s="24" t="str">
        <f t="shared" si="80"/>
        <v/>
      </c>
      <c r="AG208" s="25" t="str">
        <f t="shared" si="81"/>
        <v/>
      </c>
      <c r="AH208" s="25" t="str">
        <f t="shared" si="82"/>
        <v/>
      </c>
      <c r="AI208" s="25" t="str">
        <f t="shared" si="83"/>
        <v/>
      </c>
      <c r="AJ208" s="25" t="str">
        <f t="shared" si="84"/>
        <v/>
      </c>
      <c r="AK208" s="25" t="str">
        <f t="shared" si="85"/>
        <v/>
      </c>
      <c r="AL208" s="26" t="str">
        <f t="shared" si="86"/>
        <v/>
      </c>
      <c r="AP208" t="str">
        <f t="shared" si="87"/>
        <v/>
      </c>
      <c r="AQ208" s="24" t="str">
        <f t="shared" si="88"/>
        <v/>
      </c>
      <c r="AR208" s="25" t="str">
        <f t="shared" si="89"/>
        <v/>
      </c>
      <c r="AS208" s="25" t="str">
        <f t="shared" si="90"/>
        <v/>
      </c>
      <c r="AT208" s="25" t="str">
        <f t="shared" si="91"/>
        <v/>
      </c>
      <c r="AU208" s="25" t="str">
        <f t="shared" si="92"/>
        <v/>
      </c>
      <c r="AV208" s="25" t="str">
        <f t="shared" si="93"/>
        <v/>
      </c>
      <c r="AW208" s="26" t="str">
        <f t="shared" si="94"/>
        <v/>
      </c>
    </row>
    <row r="209" spans="3:49" x14ac:dyDescent="0.25">
      <c r="C209">
        <v>53</v>
      </c>
      <c r="D209" t="str">
        <f t="shared" si="55"/>
        <v/>
      </c>
      <c r="E209" s="24" t="str">
        <f t="shared" si="56"/>
        <v/>
      </c>
      <c r="F209" s="25" t="str">
        <f t="shared" si="57"/>
        <v/>
      </c>
      <c r="G209" s="25" t="str">
        <f t="shared" si="58"/>
        <v/>
      </c>
      <c r="H209" s="25" t="str">
        <f t="shared" si="59"/>
        <v/>
      </c>
      <c r="I209" s="25" t="str">
        <f t="shared" si="60"/>
        <v/>
      </c>
      <c r="J209" s="25" t="str">
        <f t="shared" si="61"/>
        <v/>
      </c>
      <c r="K209" s="26" t="str">
        <f t="shared" si="62"/>
        <v/>
      </c>
      <c r="N209" t="str">
        <f t="shared" ref="N209:N236" si="95">N157</f>
        <v/>
      </c>
      <c r="O209" s="24" t="str">
        <f t="shared" si="64"/>
        <v/>
      </c>
      <c r="P209" s="25" t="str">
        <f t="shared" si="65"/>
        <v/>
      </c>
      <c r="Q209" s="25" t="str">
        <f t="shared" si="66"/>
        <v/>
      </c>
      <c r="R209" s="25" t="str">
        <f t="shared" si="67"/>
        <v/>
      </c>
      <c r="S209" s="25" t="str">
        <f t="shared" si="68"/>
        <v/>
      </c>
      <c r="T209" s="25" t="str">
        <f t="shared" si="69"/>
        <v/>
      </c>
      <c r="U209" s="25"/>
      <c r="V209" s="26" t="str">
        <f t="shared" si="70"/>
        <v/>
      </c>
      <c r="W209" t="str">
        <f t="shared" ref="W209:W236" si="96">W157</f>
        <v/>
      </c>
      <c r="X209" s="24" t="str">
        <f t="shared" si="72"/>
        <v/>
      </c>
      <c r="Y209" s="25" t="str">
        <f t="shared" si="73"/>
        <v/>
      </c>
      <c r="Z209" s="25" t="str">
        <f t="shared" si="74"/>
        <v/>
      </c>
      <c r="AA209" s="25" t="str">
        <f t="shared" si="75"/>
        <v/>
      </c>
      <c r="AB209" s="25" t="str">
        <f t="shared" si="76"/>
        <v/>
      </c>
      <c r="AC209" s="25" t="str">
        <f t="shared" si="77"/>
        <v/>
      </c>
      <c r="AD209" s="26" t="str">
        <f t="shared" si="78"/>
        <v/>
      </c>
      <c r="AE209" t="str">
        <f t="shared" ref="AE209:AE236" si="97">AE157</f>
        <v/>
      </c>
      <c r="AF209" s="24" t="str">
        <f t="shared" si="80"/>
        <v/>
      </c>
      <c r="AG209" s="25" t="str">
        <f t="shared" si="81"/>
        <v/>
      </c>
      <c r="AH209" s="25" t="str">
        <f t="shared" si="82"/>
        <v/>
      </c>
      <c r="AI209" s="25" t="str">
        <f t="shared" si="83"/>
        <v/>
      </c>
      <c r="AJ209" s="25" t="str">
        <f t="shared" si="84"/>
        <v/>
      </c>
      <c r="AK209" s="25" t="str">
        <f t="shared" si="85"/>
        <v/>
      </c>
      <c r="AL209" s="26" t="str">
        <f t="shared" si="86"/>
        <v/>
      </c>
      <c r="AP209" t="str">
        <f t="shared" ref="AP209:AP236" si="98">AP157</f>
        <v/>
      </c>
      <c r="AQ209" s="24" t="str">
        <f t="shared" si="88"/>
        <v/>
      </c>
      <c r="AR209" s="25" t="str">
        <f t="shared" si="89"/>
        <v/>
      </c>
      <c r="AS209" s="25" t="str">
        <f t="shared" si="90"/>
        <v/>
      </c>
      <c r="AT209" s="25" t="str">
        <f t="shared" si="91"/>
        <v/>
      </c>
      <c r="AU209" s="25" t="str">
        <f t="shared" si="92"/>
        <v/>
      </c>
      <c r="AV209" s="25" t="str">
        <f t="shared" si="93"/>
        <v/>
      </c>
      <c r="AW209" s="26" t="str">
        <f t="shared" si="94"/>
        <v/>
      </c>
    </row>
    <row r="210" spans="3:49" x14ac:dyDescent="0.25">
      <c r="C210">
        <v>54</v>
      </c>
      <c r="D210" t="str">
        <f t="shared" si="55"/>
        <v/>
      </c>
      <c r="E210" s="24" t="str">
        <f t="shared" si="56"/>
        <v/>
      </c>
      <c r="F210" s="25" t="str">
        <f t="shared" si="57"/>
        <v/>
      </c>
      <c r="G210" s="25" t="str">
        <f t="shared" si="58"/>
        <v/>
      </c>
      <c r="H210" s="25" t="str">
        <f t="shared" si="59"/>
        <v/>
      </c>
      <c r="I210" s="25" t="str">
        <f t="shared" si="60"/>
        <v/>
      </c>
      <c r="J210" s="25" t="str">
        <f t="shared" si="61"/>
        <v/>
      </c>
      <c r="K210" s="26" t="str">
        <f t="shared" si="62"/>
        <v/>
      </c>
      <c r="N210" t="str">
        <f t="shared" si="95"/>
        <v/>
      </c>
      <c r="O210" s="24" t="str">
        <f t="shared" si="64"/>
        <v/>
      </c>
      <c r="P210" s="25" t="str">
        <f t="shared" si="65"/>
        <v/>
      </c>
      <c r="Q210" s="25" t="str">
        <f t="shared" si="66"/>
        <v/>
      </c>
      <c r="R210" s="25" t="str">
        <f t="shared" si="67"/>
        <v/>
      </c>
      <c r="S210" s="25" t="str">
        <f t="shared" si="68"/>
        <v/>
      </c>
      <c r="T210" s="25" t="str">
        <f t="shared" si="69"/>
        <v/>
      </c>
      <c r="U210" s="25"/>
      <c r="V210" s="26" t="str">
        <f t="shared" si="70"/>
        <v/>
      </c>
      <c r="W210" t="str">
        <f t="shared" si="96"/>
        <v/>
      </c>
      <c r="X210" s="24" t="str">
        <f t="shared" si="72"/>
        <v/>
      </c>
      <c r="Y210" s="25" t="str">
        <f t="shared" si="73"/>
        <v/>
      </c>
      <c r="Z210" s="25" t="str">
        <f t="shared" si="74"/>
        <v/>
      </c>
      <c r="AA210" s="25" t="str">
        <f t="shared" si="75"/>
        <v/>
      </c>
      <c r="AB210" s="25" t="str">
        <f t="shared" si="76"/>
        <v/>
      </c>
      <c r="AC210" s="25" t="str">
        <f t="shared" si="77"/>
        <v/>
      </c>
      <c r="AD210" s="26" t="str">
        <f t="shared" si="78"/>
        <v/>
      </c>
      <c r="AE210" t="str">
        <f t="shared" si="97"/>
        <v/>
      </c>
      <c r="AF210" s="24" t="str">
        <f t="shared" si="80"/>
        <v/>
      </c>
      <c r="AG210" s="25" t="str">
        <f t="shared" si="81"/>
        <v/>
      </c>
      <c r="AH210" s="25" t="str">
        <f t="shared" si="82"/>
        <v/>
      </c>
      <c r="AI210" s="25" t="str">
        <f t="shared" si="83"/>
        <v/>
      </c>
      <c r="AJ210" s="25" t="str">
        <f t="shared" si="84"/>
        <v/>
      </c>
      <c r="AK210" s="25" t="str">
        <f t="shared" si="85"/>
        <v/>
      </c>
      <c r="AL210" s="26" t="str">
        <f t="shared" si="86"/>
        <v/>
      </c>
      <c r="AP210" t="str">
        <f t="shared" si="98"/>
        <v/>
      </c>
      <c r="AQ210" s="24" t="str">
        <f t="shared" si="88"/>
        <v/>
      </c>
      <c r="AR210" s="25" t="str">
        <f t="shared" si="89"/>
        <v/>
      </c>
      <c r="AS210" s="25" t="str">
        <f t="shared" si="90"/>
        <v/>
      </c>
      <c r="AT210" s="25" t="str">
        <f t="shared" si="91"/>
        <v/>
      </c>
      <c r="AU210" s="25" t="str">
        <f t="shared" si="92"/>
        <v/>
      </c>
      <c r="AV210" s="25" t="str">
        <f t="shared" si="93"/>
        <v/>
      </c>
      <c r="AW210" s="26" t="str">
        <f t="shared" si="94"/>
        <v/>
      </c>
    </row>
    <row r="211" spans="3:49" x14ac:dyDescent="0.25">
      <c r="C211">
        <v>55</v>
      </c>
      <c r="D211" t="str">
        <f t="shared" si="55"/>
        <v/>
      </c>
      <c r="E211" s="24" t="str">
        <f t="shared" si="56"/>
        <v/>
      </c>
      <c r="F211" s="25" t="str">
        <f t="shared" si="57"/>
        <v/>
      </c>
      <c r="G211" s="25" t="str">
        <f t="shared" si="58"/>
        <v/>
      </c>
      <c r="H211" s="25" t="str">
        <f t="shared" si="59"/>
        <v/>
      </c>
      <c r="I211" s="25" t="str">
        <f t="shared" si="60"/>
        <v/>
      </c>
      <c r="J211" s="25" t="str">
        <f t="shared" si="61"/>
        <v/>
      </c>
      <c r="K211" s="26" t="str">
        <f t="shared" si="62"/>
        <v/>
      </c>
      <c r="N211" t="str">
        <f t="shared" si="95"/>
        <v/>
      </c>
      <c r="O211" s="24" t="str">
        <f t="shared" si="64"/>
        <v/>
      </c>
      <c r="P211" s="25" t="str">
        <f t="shared" si="65"/>
        <v/>
      </c>
      <c r="Q211" s="25" t="str">
        <f t="shared" si="66"/>
        <v/>
      </c>
      <c r="R211" s="25" t="str">
        <f t="shared" si="67"/>
        <v/>
      </c>
      <c r="S211" s="25" t="str">
        <f t="shared" si="68"/>
        <v/>
      </c>
      <c r="T211" s="25" t="str">
        <f t="shared" si="69"/>
        <v/>
      </c>
      <c r="U211" s="25"/>
      <c r="V211" s="26" t="str">
        <f t="shared" si="70"/>
        <v/>
      </c>
      <c r="W211" t="str">
        <f t="shared" si="96"/>
        <v/>
      </c>
      <c r="X211" s="24" t="str">
        <f t="shared" si="72"/>
        <v/>
      </c>
      <c r="Y211" s="25" t="str">
        <f t="shared" si="73"/>
        <v/>
      </c>
      <c r="Z211" s="25" t="str">
        <f t="shared" si="74"/>
        <v/>
      </c>
      <c r="AA211" s="25" t="str">
        <f t="shared" si="75"/>
        <v/>
      </c>
      <c r="AB211" s="25" t="str">
        <f t="shared" si="76"/>
        <v/>
      </c>
      <c r="AC211" s="25" t="str">
        <f t="shared" si="77"/>
        <v/>
      </c>
      <c r="AD211" s="26" t="str">
        <f t="shared" si="78"/>
        <v/>
      </c>
      <c r="AE211" t="str">
        <f t="shared" si="97"/>
        <v/>
      </c>
      <c r="AF211" s="24" t="str">
        <f t="shared" si="80"/>
        <v/>
      </c>
      <c r="AG211" s="25" t="str">
        <f t="shared" si="81"/>
        <v/>
      </c>
      <c r="AH211" s="25" t="str">
        <f t="shared" si="82"/>
        <v/>
      </c>
      <c r="AI211" s="25" t="str">
        <f t="shared" si="83"/>
        <v/>
      </c>
      <c r="AJ211" s="25" t="str">
        <f t="shared" si="84"/>
        <v/>
      </c>
      <c r="AK211" s="25" t="str">
        <f t="shared" si="85"/>
        <v/>
      </c>
      <c r="AL211" s="26" t="str">
        <f t="shared" si="86"/>
        <v/>
      </c>
      <c r="AP211" t="str">
        <f t="shared" si="98"/>
        <v/>
      </c>
      <c r="AQ211" s="24" t="str">
        <f t="shared" si="88"/>
        <v/>
      </c>
      <c r="AR211" s="25" t="str">
        <f t="shared" si="89"/>
        <v/>
      </c>
      <c r="AS211" s="25" t="str">
        <f t="shared" si="90"/>
        <v/>
      </c>
      <c r="AT211" s="25" t="str">
        <f t="shared" si="91"/>
        <v/>
      </c>
      <c r="AU211" s="25" t="str">
        <f t="shared" si="92"/>
        <v/>
      </c>
      <c r="AV211" s="25" t="str">
        <f t="shared" si="93"/>
        <v/>
      </c>
      <c r="AW211" s="26" t="str">
        <f t="shared" si="94"/>
        <v/>
      </c>
    </row>
    <row r="212" spans="3:49" x14ac:dyDescent="0.25">
      <c r="C212">
        <v>56</v>
      </c>
      <c r="D212" t="str">
        <f t="shared" si="55"/>
        <v/>
      </c>
      <c r="E212" s="24" t="str">
        <f t="shared" si="56"/>
        <v/>
      </c>
      <c r="F212" s="25" t="str">
        <f t="shared" si="57"/>
        <v/>
      </c>
      <c r="G212" s="25" t="str">
        <f t="shared" si="58"/>
        <v/>
      </c>
      <c r="H212" s="25" t="str">
        <f t="shared" si="59"/>
        <v/>
      </c>
      <c r="I212" s="25" t="str">
        <f t="shared" si="60"/>
        <v/>
      </c>
      <c r="J212" s="25" t="str">
        <f t="shared" si="61"/>
        <v/>
      </c>
      <c r="K212" s="26" t="str">
        <f t="shared" si="62"/>
        <v/>
      </c>
      <c r="N212" t="str">
        <f t="shared" si="95"/>
        <v/>
      </c>
      <c r="O212" s="24" t="str">
        <f t="shared" si="64"/>
        <v/>
      </c>
      <c r="P212" s="25" t="str">
        <f t="shared" si="65"/>
        <v/>
      </c>
      <c r="Q212" s="25" t="str">
        <f t="shared" si="66"/>
        <v/>
      </c>
      <c r="R212" s="25" t="str">
        <f t="shared" si="67"/>
        <v/>
      </c>
      <c r="S212" s="25" t="str">
        <f t="shared" si="68"/>
        <v/>
      </c>
      <c r="T212" s="25" t="str">
        <f t="shared" si="69"/>
        <v/>
      </c>
      <c r="U212" s="25"/>
      <c r="V212" s="26" t="str">
        <f t="shared" si="70"/>
        <v/>
      </c>
      <c r="W212" t="str">
        <f t="shared" si="96"/>
        <v/>
      </c>
      <c r="X212" s="24" t="str">
        <f t="shared" si="72"/>
        <v/>
      </c>
      <c r="Y212" s="25" t="str">
        <f t="shared" si="73"/>
        <v/>
      </c>
      <c r="Z212" s="25" t="str">
        <f t="shared" si="74"/>
        <v/>
      </c>
      <c r="AA212" s="25" t="str">
        <f t="shared" si="75"/>
        <v/>
      </c>
      <c r="AB212" s="25" t="str">
        <f t="shared" si="76"/>
        <v/>
      </c>
      <c r="AC212" s="25" t="str">
        <f t="shared" si="77"/>
        <v/>
      </c>
      <c r="AD212" s="26" t="str">
        <f t="shared" si="78"/>
        <v/>
      </c>
      <c r="AE212" t="str">
        <f t="shared" si="97"/>
        <v/>
      </c>
      <c r="AF212" s="24" t="str">
        <f t="shared" si="80"/>
        <v/>
      </c>
      <c r="AG212" s="25" t="str">
        <f t="shared" si="81"/>
        <v/>
      </c>
      <c r="AH212" s="25" t="str">
        <f t="shared" si="82"/>
        <v/>
      </c>
      <c r="AI212" s="25" t="str">
        <f t="shared" si="83"/>
        <v/>
      </c>
      <c r="AJ212" s="25" t="str">
        <f t="shared" si="84"/>
        <v/>
      </c>
      <c r="AK212" s="25" t="str">
        <f t="shared" si="85"/>
        <v/>
      </c>
      <c r="AL212" s="26" t="str">
        <f t="shared" si="86"/>
        <v/>
      </c>
      <c r="AP212" t="str">
        <f t="shared" si="98"/>
        <v/>
      </c>
      <c r="AQ212" s="24" t="str">
        <f t="shared" si="88"/>
        <v/>
      </c>
      <c r="AR212" s="25" t="str">
        <f t="shared" si="89"/>
        <v/>
      </c>
      <c r="AS212" s="25" t="str">
        <f t="shared" si="90"/>
        <v/>
      </c>
      <c r="AT212" s="25" t="str">
        <f t="shared" si="91"/>
        <v/>
      </c>
      <c r="AU212" s="25" t="str">
        <f t="shared" si="92"/>
        <v/>
      </c>
      <c r="AV212" s="25" t="str">
        <f t="shared" si="93"/>
        <v/>
      </c>
      <c r="AW212" s="26" t="str">
        <f t="shared" si="94"/>
        <v/>
      </c>
    </row>
    <row r="213" spans="3:49" x14ac:dyDescent="0.25">
      <c r="C213">
        <v>57</v>
      </c>
      <c r="D213" t="str">
        <f t="shared" si="55"/>
        <v/>
      </c>
      <c r="E213" s="24" t="str">
        <f t="shared" si="56"/>
        <v/>
      </c>
      <c r="F213" s="25" t="str">
        <f t="shared" si="57"/>
        <v/>
      </c>
      <c r="G213" s="25" t="str">
        <f t="shared" si="58"/>
        <v/>
      </c>
      <c r="H213" s="25" t="str">
        <f t="shared" si="59"/>
        <v/>
      </c>
      <c r="I213" s="25" t="str">
        <f t="shared" si="60"/>
        <v/>
      </c>
      <c r="J213" s="25" t="str">
        <f t="shared" si="61"/>
        <v/>
      </c>
      <c r="K213" s="26" t="str">
        <f t="shared" si="62"/>
        <v/>
      </c>
      <c r="N213" t="str">
        <f t="shared" si="95"/>
        <v/>
      </c>
      <c r="O213" s="24" t="str">
        <f t="shared" si="64"/>
        <v/>
      </c>
      <c r="P213" s="25" t="str">
        <f t="shared" si="65"/>
        <v/>
      </c>
      <c r="Q213" s="25" t="str">
        <f t="shared" si="66"/>
        <v/>
      </c>
      <c r="R213" s="25" t="str">
        <f t="shared" si="67"/>
        <v/>
      </c>
      <c r="S213" s="25" t="str">
        <f t="shared" si="68"/>
        <v/>
      </c>
      <c r="T213" s="25" t="str">
        <f t="shared" si="69"/>
        <v/>
      </c>
      <c r="U213" s="25"/>
      <c r="V213" s="26" t="str">
        <f t="shared" si="70"/>
        <v/>
      </c>
      <c r="W213" t="str">
        <f t="shared" si="96"/>
        <v/>
      </c>
      <c r="X213" s="24" t="str">
        <f t="shared" si="72"/>
        <v/>
      </c>
      <c r="Y213" s="25" t="str">
        <f t="shared" si="73"/>
        <v/>
      </c>
      <c r="Z213" s="25" t="str">
        <f t="shared" si="74"/>
        <v/>
      </c>
      <c r="AA213" s="25" t="str">
        <f t="shared" si="75"/>
        <v/>
      </c>
      <c r="AB213" s="25" t="str">
        <f t="shared" si="76"/>
        <v/>
      </c>
      <c r="AC213" s="25" t="str">
        <f t="shared" si="77"/>
        <v/>
      </c>
      <c r="AD213" s="26" t="str">
        <f t="shared" si="78"/>
        <v/>
      </c>
      <c r="AE213" t="str">
        <f t="shared" si="97"/>
        <v/>
      </c>
      <c r="AF213" s="24" t="str">
        <f t="shared" si="80"/>
        <v/>
      </c>
      <c r="AG213" s="25" t="str">
        <f t="shared" si="81"/>
        <v/>
      </c>
      <c r="AH213" s="25" t="str">
        <f t="shared" si="82"/>
        <v/>
      </c>
      <c r="AI213" s="25" t="str">
        <f t="shared" si="83"/>
        <v/>
      </c>
      <c r="AJ213" s="25" t="str">
        <f t="shared" si="84"/>
        <v/>
      </c>
      <c r="AK213" s="25" t="str">
        <f t="shared" si="85"/>
        <v/>
      </c>
      <c r="AL213" s="26" t="str">
        <f t="shared" si="86"/>
        <v/>
      </c>
      <c r="AP213" t="str">
        <f t="shared" si="98"/>
        <v/>
      </c>
      <c r="AQ213" s="24" t="str">
        <f t="shared" si="88"/>
        <v/>
      </c>
      <c r="AR213" s="25" t="str">
        <f t="shared" si="89"/>
        <v/>
      </c>
      <c r="AS213" s="25" t="str">
        <f t="shared" si="90"/>
        <v/>
      </c>
      <c r="AT213" s="25" t="str">
        <f t="shared" si="91"/>
        <v/>
      </c>
      <c r="AU213" s="25" t="str">
        <f t="shared" si="92"/>
        <v/>
      </c>
      <c r="AV213" s="25" t="str">
        <f t="shared" si="93"/>
        <v/>
      </c>
      <c r="AW213" s="26" t="str">
        <f t="shared" si="94"/>
        <v/>
      </c>
    </row>
    <row r="214" spans="3:49" x14ac:dyDescent="0.25">
      <c r="C214">
        <v>58</v>
      </c>
      <c r="D214" t="str">
        <f t="shared" si="55"/>
        <v/>
      </c>
      <c r="E214" s="24" t="str">
        <f t="shared" si="56"/>
        <v/>
      </c>
      <c r="F214" s="25" t="str">
        <f t="shared" si="57"/>
        <v/>
      </c>
      <c r="G214" s="25" t="str">
        <f t="shared" si="58"/>
        <v/>
      </c>
      <c r="H214" s="25" t="str">
        <f t="shared" si="59"/>
        <v/>
      </c>
      <c r="I214" s="25" t="str">
        <f t="shared" si="60"/>
        <v/>
      </c>
      <c r="J214" s="25" t="str">
        <f t="shared" si="61"/>
        <v/>
      </c>
      <c r="K214" s="26" t="str">
        <f t="shared" si="62"/>
        <v/>
      </c>
      <c r="N214" t="str">
        <f t="shared" si="95"/>
        <v/>
      </c>
      <c r="O214" s="24" t="str">
        <f t="shared" si="64"/>
        <v/>
      </c>
      <c r="P214" s="25" t="str">
        <f t="shared" si="65"/>
        <v/>
      </c>
      <c r="Q214" s="25" t="str">
        <f t="shared" si="66"/>
        <v/>
      </c>
      <c r="R214" s="25" t="str">
        <f t="shared" si="67"/>
        <v/>
      </c>
      <c r="S214" s="25" t="str">
        <f t="shared" si="68"/>
        <v/>
      </c>
      <c r="T214" s="25" t="str">
        <f t="shared" si="69"/>
        <v/>
      </c>
      <c r="U214" s="25"/>
      <c r="V214" s="26" t="str">
        <f t="shared" si="70"/>
        <v/>
      </c>
      <c r="W214" t="str">
        <f t="shared" si="96"/>
        <v/>
      </c>
      <c r="X214" s="24" t="str">
        <f t="shared" si="72"/>
        <v/>
      </c>
      <c r="Y214" s="25" t="str">
        <f t="shared" si="73"/>
        <v/>
      </c>
      <c r="Z214" s="25" t="str">
        <f t="shared" si="74"/>
        <v/>
      </c>
      <c r="AA214" s="25" t="str">
        <f t="shared" si="75"/>
        <v/>
      </c>
      <c r="AB214" s="25" t="str">
        <f t="shared" si="76"/>
        <v/>
      </c>
      <c r="AC214" s="25" t="str">
        <f t="shared" si="77"/>
        <v/>
      </c>
      <c r="AD214" s="26" t="str">
        <f t="shared" si="78"/>
        <v/>
      </c>
      <c r="AE214" t="str">
        <f t="shared" si="97"/>
        <v/>
      </c>
      <c r="AF214" s="24" t="str">
        <f t="shared" si="80"/>
        <v/>
      </c>
      <c r="AG214" s="25" t="str">
        <f t="shared" si="81"/>
        <v/>
      </c>
      <c r="AH214" s="25" t="str">
        <f t="shared" si="82"/>
        <v/>
      </c>
      <c r="AI214" s="25" t="str">
        <f t="shared" si="83"/>
        <v/>
      </c>
      <c r="AJ214" s="25" t="str">
        <f t="shared" si="84"/>
        <v/>
      </c>
      <c r="AK214" s="25" t="str">
        <f t="shared" si="85"/>
        <v/>
      </c>
      <c r="AL214" s="26" t="str">
        <f t="shared" si="86"/>
        <v/>
      </c>
      <c r="AP214" t="str">
        <f t="shared" si="98"/>
        <v/>
      </c>
      <c r="AQ214" s="24" t="str">
        <f t="shared" si="88"/>
        <v/>
      </c>
      <c r="AR214" s="25" t="str">
        <f t="shared" si="89"/>
        <v/>
      </c>
      <c r="AS214" s="25" t="str">
        <f t="shared" si="90"/>
        <v/>
      </c>
      <c r="AT214" s="25" t="str">
        <f t="shared" si="91"/>
        <v/>
      </c>
      <c r="AU214" s="25" t="str">
        <f t="shared" si="92"/>
        <v/>
      </c>
      <c r="AV214" s="25" t="str">
        <f t="shared" si="93"/>
        <v/>
      </c>
      <c r="AW214" s="26" t="str">
        <f t="shared" si="94"/>
        <v/>
      </c>
    </row>
    <row r="215" spans="3:49" x14ac:dyDescent="0.25">
      <c r="C215">
        <v>59</v>
      </c>
      <c r="D215" t="str">
        <f t="shared" si="55"/>
        <v/>
      </c>
      <c r="E215" s="24" t="str">
        <f t="shared" si="56"/>
        <v/>
      </c>
      <c r="F215" s="25" t="str">
        <f t="shared" si="57"/>
        <v/>
      </c>
      <c r="G215" s="25" t="str">
        <f t="shared" si="58"/>
        <v/>
      </c>
      <c r="H215" s="25" t="str">
        <f t="shared" si="59"/>
        <v/>
      </c>
      <c r="I215" s="25" t="str">
        <f t="shared" si="60"/>
        <v/>
      </c>
      <c r="J215" s="25" t="str">
        <f t="shared" si="61"/>
        <v/>
      </c>
      <c r="K215" s="26" t="str">
        <f t="shared" si="62"/>
        <v/>
      </c>
      <c r="N215" t="str">
        <f t="shared" si="95"/>
        <v/>
      </c>
      <c r="O215" s="24" t="str">
        <f t="shared" si="64"/>
        <v/>
      </c>
      <c r="P215" s="25" t="str">
        <f t="shared" si="65"/>
        <v/>
      </c>
      <c r="Q215" s="25" t="str">
        <f t="shared" si="66"/>
        <v/>
      </c>
      <c r="R215" s="25" t="str">
        <f t="shared" si="67"/>
        <v/>
      </c>
      <c r="S215" s="25" t="str">
        <f t="shared" si="68"/>
        <v/>
      </c>
      <c r="T215" s="25" t="str">
        <f t="shared" si="69"/>
        <v/>
      </c>
      <c r="U215" s="25"/>
      <c r="V215" s="26" t="str">
        <f t="shared" si="70"/>
        <v/>
      </c>
      <c r="W215" t="str">
        <f t="shared" si="96"/>
        <v/>
      </c>
      <c r="X215" s="24" t="str">
        <f t="shared" si="72"/>
        <v/>
      </c>
      <c r="Y215" s="25" t="str">
        <f t="shared" si="73"/>
        <v/>
      </c>
      <c r="Z215" s="25" t="str">
        <f t="shared" si="74"/>
        <v/>
      </c>
      <c r="AA215" s="25" t="str">
        <f t="shared" si="75"/>
        <v/>
      </c>
      <c r="AB215" s="25" t="str">
        <f t="shared" si="76"/>
        <v/>
      </c>
      <c r="AC215" s="25" t="str">
        <f t="shared" si="77"/>
        <v/>
      </c>
      <c r="AD215" s="26" t="str">
        <f t="shared" si="78"/>
        <v/>
      </c>
      <c r="AE215" t="str">
        <f t="shared" si="97"/>
        <v/>
      </c>
      <c r="AF215" s="24" t="str">
        <f t="shared" si="80"/>
        <v/>
      </c>
      <c r="AG215" s="25" t="str">
        <f t="shared" si="81"/>
        <v/>
      </c>
      <c r="AH215" s="25" t="str">
        <f t="shared" si="82"/>
        <v/>
      </c>
      <c r="AI215" s="25" t="str">
        <f t="shared" si="83"/>
        <v/>
      </c>
      <c r="AJ215" s="25" t="str">
        <f t="shared" si="84"/>
        <v/>
      </c>
      <c r="AK215" s="25" t="str">
        <f t="shared" si="85"/>
        <v/>
      </c>
      <c r="AL215" s="26" t="str">
        <f t="shared" si="86"/>
        <v/>
      </c>
      <c r="AP215" t="str">
        <f t="shared" si="98"/>
        <v/>
      </c>
      <c r="AQ215" s="24" t="str">
        <f t="shared" si="88"/>
        <v/>
      </c>
      <c r="AR215" s="25" t="str">
        <f t="shared" si="89"/>
        <v/>
      </c>
      <c r="AS215" s="25" t="str">
        <f t="shared" si="90"/>
        <v/>
      </c>
      <c r="AT215" s="25" t="str">
        <f t="shared" si="91"/>
        <v/>
      </c>
      <c r="AU215" s="25" t="str">
        <f t="shared" si="92"/>
        <v/>
      </c>
      <c r="AV215" s="25" t="str">
        <f t="shared" si="93"/>
        <v/>
      </c>
      <c r="AW215" s="26" t="str">
        <f t="shared" si="94"/>
        <v/>
      </c>
    </row>
    <row r="216" spans="3:49" x14ac:dyDescent="0.25">
      <c r="C216">
        <v>60</v>
      </c>
      <c r="D216" t="str">
        <f t="shared" si="55"/>
        <v/>
      </c>
      <c r="E216" s="24" t="str">
        <f t="shared" si="56"/>
        <v/>
      </c>
      <c r="F216" s="25" t="str">
        <f t="shared" si="57"/>
        <v/>
      </c>
      <c r="G216" s="25" t="str">
        <f t="shared" si="58"/>
        <v/>
      </c>
      <c r="H216" s="25" t="str">
        <f t="shared" si="59"/>
        <v/>
      </c>
      <c r="I216" s="25" t="str">
        <f t="shared" si="60"/>
        <v/>
      </c>
      <c r="J216" s="25" t="str">
        <f t="shared" si="61"/>
        <v/>
      </c>
      <c r="K216" s="26" t="str">
        <f t="shared" si="62"/>
        <v/>
      </c>
      <c r="N216" t="str">
        <f t="shared" si="95"/>
        <v/>
      </c>
      <c r="O216" s="24" t="str">
        <f t="shared" si="64"/>
        <v/>
      </c>
      <c r="P216" s="25" t="str">
        <f t="shared" si="65"/>
        <v/>
      </c>
      <c r="Q216" s="25" t="str">
        <f t="shared" si="66"/>
        <v/>
      </c>
      <c r="R216" s="25" t="str">
        <f t="shared" si="67"/>
        <v/>
      </c>
      <c r="S216" s="25" t="str">
        <f t="shared" si="68"/>
        <v/>
      </c>
      <c r="T216" s="25" t="str">
        <f t="shared" si="69"/>
        <v/>
      </c>
      <c r="U216" s="25"/>
      <c r="V216" s="26" t="str">
        <f t="shared" si="70"/>
        <v/>
      </c>
      <c r="W216" t="str">
        <f t="shared" si="96"/>
        <v/>
      </c>
      <c r="X216" s="24" t="str">
        <f t="shared" si="72"/>
        <v/>
      </c>
      <c r="Y216" s="25" t="str">
        <f t="shared" si="73"/>
        <v/>
      </c>
      <c r="Z216" s="25" t="str">
        <f t="shared" si="74"/>
        <v/>
      </c>
      <c r="AA216" s="25" t="str">
        <f t="shared" si="75"/>
        <v/>
      </c>
      <c r="AB216" s="25" t="str">
        <f t="shared" si="76"/>
        <v/>
      </c>
      <c r="AC216" s="25" t="str">
        <f t="shared" si="77"/>
        <v/>
      </c>
      <c r="AD216" s="26" t="str">
        <f t="shared" si="78"/>
        <v/>
      </c>
      <c r="AE216" t="str">
        <f t="shared" si="97"/>
        <v/>
      </c>
      <c r="AF216" s="24" t="str">
        <f t="shared" si="80"/>
        <v/>
      </c>
      <c r="AG216" s="25" t="str">
        <f t="shared" si="81"/>
        <v/>
      </c>
      <c r="AH216" s="25" t="str">
        <f t="shared" si="82"/>
        <v/>
      </c>
      <c r="AI216" s="25" t="str">
        <f t="shared" si="83"/>
        <v/>
      </c>
      <c r="AJ216" s="25" t="str">
        <f t="shared" si="84"/>
        <v/>
      </c>
      <c r="AK216" s="25" t="str">
        <f t="shared" si="85"/>
        <v/>
      </c>
      <c r="AL216" s="26" t="str">
        <f t="shared" si="86"/>
        <v/>
      </c>
      <c r="AP216" t="str">
        <f t="shared" si="98"/>
        <v/>
      </c>
      <c r="AQ216" s="24" t="str">
        <f t="shared" si="88"/>
        <v/>
      </c>
      <c r="AR216" s="25" t="str">
        <f t="shared" si="89"/>
        <v/>
      </c>
      <c r="AS216" s="25" t="str">
        <f t="shared" si="90"/>
        <v/>
      </c>
      <c r="AT216" s="25" t="str">
        <f t="shared" si="91"/>
        <v/>
      </c>
      <c r="AU216" s="25" t="str">
        <f t="shared" si="92"/>
        <v/>
      </c>
      <c r="AV216" s="25" t="str">
        <f t="shared" si="93"/>
        <v/>
      </c>
      <c r="AW216" s="26" t="str">
        <f t="shared" si="94"/>
        <v/>
      </c>
    </row>
    <row r="217" spans="3:49" x14ac:dyDescent="0.25">
      <c r="C217">
        <v>61</v>
      </c>
      <c r="D217" t="str">
        <f t="shared" si="55"/>
        <v/>
      </c>
      <c r="E217" s="24" t="str">
        <f t="shared" si="56"/>
        <v/>
      </c>
      <c r="F217" s="25" t="str">
        <f t="shared" si="57"/>
        <v/>
      </c>
      <c r="G217" s="25" t="str">
        <f t="shared" si="58"/>
        <v/>
      </c>
      <c r="H217" s="25" t="str">
        <f t="shared" si="59"/>
        <v/>
      </c>
      <c r="I217" s="25" t="str">
        <f t="shared" si="60"/>
        <v/>
      </c>
      <c r="J217" s="25" t="str">
        <f t="shared" si="61"/>
        <v/>
      </c>
      <c r="K217" s="26" t="str">
        <f t="shared" si="62"/>
        <v/>
      </c>
      <c r="N217" t="str">
        <f t="shared" si="95"/>
        <v/>
      </c>
      <c r="O217" s="24" t="str">
        <f t="shared" si="64"/>
        <v/>
      </c>
      <c r="P217" s="25" t="str">
        <f t="shared" si="65"/>
        <v/>
      </c>
      <c r="Q217" s="25" t="str">
        <f t="shared" si="66"/>
        <v/>
      </c>
      <c r="R217" s="25" t="str">
        <f t="shared" si="67"/>
        <v/>
      </c>
      <c r="S217" s="25" t="str">
        <f t="shared" si="68"/>
        <v/>
      </c>
      <c r="T217" s="25" t="str">
        <f t="shared" si="69"/>
        <v/>
      </c>
      <c r="U217" s="25"/>
      <c r="V217" s="26" t="str">
        <f t="shared" si="70"/>
        <v/>
      </c>
      <c r="W217" t="str">
        <f t="shared" si="96"/>
        <v/>
      </c>
      <c r="X217" s="24" t="str">
        <f t="shared" si="72"/>
        <v/>
      </c>
      <c r="Y217" s="25" t="str">
        <f t="shared" si="73"/>
        <v/>
      </c>
      <c r="Z217" s="25" t="str">
        <f t="shared" si="74"/>
        <v/>
      </c>
      <c r="AA217" s="25" t="str">
        <f t="shared" si="75"/>
        <v/>
      </c>
      <c r="AB217" s="25" t="str">
        <f t="shared" si="76"/>
        <v/>
      </c>
      <c r="AC217" s="25" t="str">
        <f t="shared" si="77"/>
        <v/>
      </c>
      <c r="AD217" s="26" t="str">
        <f t="shared" si="78"/>
        <v/>
      </c>
      <c r="AE217" t="str">
        <f t="shared" si="97"/>
        <v/>
      </c>
      <c r="AF217" s="24" t="str">
        <f t="shared" si="80"/>
        <v/>
      </c>
      <c r="AG217" s="25" t="str">
        <f t="shared" si="81"/>
        <v/>
      </c>
      <c r="AH217" s="25" t="str">
        <f t="shared" si="82"/>
        <v/>
      </c>
      <c r="AI217" s="25" t="str">
        <f t="shared" si="83"/>
        <v/>
      </c>
      <c r="AJ217" s="25" t="str">
        <f t="shared" si="84"/>
        <v/>
      </c>
      <c r="AK217" s="25" t="str">
        <f t="shared" si="85"/>
        <v/>
      </c>
      <c r="AL217" s="26" t="str">
        <f t="shared" si="86"/>
        <v/>
      </c>
      <c r="AP217" t="str">
        <f t="shared" si="98"/>
        <v/>
      </c>
      <c r="AQ217" s="24" t="str">
        <f t="shared" si="88"/>
        <v/>
      </c>
      <c r="AR217" s="25" t="str">
        <f t="shared" si="89"/>
        <v/>
      </c>
      <c r="AS217" s="25" t="str">
        <f t="shared" si="90"/>
        <v/>
      </c>
      <c r="AT217" s="25" t="str">
        <f t="shared" si="91"/>
        <v/>
      </c>
      <c r="AU217" s="25" t="str">
        <f t="shared" si="92"/>
        <v/>
      </c>
      <c r="AV217" s="25" t="str">
        <f t="shared" si="93"/>
        <v/>
      </c>
      <c r="AW217" s="26" t="str">
        <f t="shared" si="94"/>
        <v/>
      </c>
    </row>
    <row r="218" spans="3:49" x14ac:dyDescent="0.25">
      <c r="C218">
        <v>62</v>
      </c>
      <c r="D218" t="str">
        <f t="shared" si="55"/>
        <v/>
      </c>
      <c r="E218" s="24" t="str">
        <f t="shared" si="56"/>
        <v/>
      </c>
      <c r="F218" s="25" t="str">
        <f t="shared" si="57"/>
        <v/>
      </c>
      <c r="G218" s="25" t="str">
        <f t="shared" si="58"/>
        <v/>
      </c>
      <c r="H218" s="25" t="str">
        <f t="shared" si="59"/>
        <v/>
      </c>
      <c r="I218" s="25" t="str">
        <f t="shared" si="60"/>
        <v/>
      </c>
      <c r="J218" s="25" t="str">
        <f t="shared" si="61"/>
        <v/>
      </c>
      <c r="K218" s="26" t="str">
        <f t="shared" si="62"/>
        <v/>
      </c>
      <c r="N218" t="str">
        <f t="shared" si="95"/>
        <v/>
      </c>
      <c r="O218" s="24" t="str">
        <f t="shared" si="64"/>
        <v/>
      </c>
      <c r="P218" s="25" t="str">
        <f t="shared" si="65"/>
        <v/>
      </c>
      <c r="Q218" s="25" t="str">
        <f t="shared" si="66"/>
        <v/>
      </c>
      <c r="R218" s="25" t="str">
        <f t="shared" si="67"/>
        <v/>
      </c>
      <c r="S218" s="25" t="str">
        <f t="shared" si="68"/>
        <v/>
      </c>
      <c r="T218" s="25" t="str">
        <f t="shared" si="69"/>
        <v/>
      </c>
      <c r="U218" s="25"/>
      <c r="V218" s="26" t="str">
        <f t="shared" si="70"/>
        <v/>
      </c>
      <c r="W218" t="str">
        <f t="shared" si="96"/>
        <v/>
      </c>
      <c r="X218" s="24" t="str">
        <f t="shared" si="72"/>
        <v/>
      </c>
      <c r="Y218" s="25" t="str">
        <f t="shared" si="73"/>
        <v/>
      </c>
      <c r="Z218" s="25" t="str">
        <f t="shared" si="74"/>
        <v/>
      </c>
      <c r="AA218" s="25" t="str">
        <f t="shared" si="75"/>
        <v/>
      </c>
      <c r="AB218" s="25" t="str">
        <f t="shared" si="76"/>
        <v/>
      </c>
      <c r="AC218" s="25" t="str">
        <f t="shared" si="77"/>
        <v/>
      </c>
      <c r="AD218" s="26" t="str">
        <f t="shared" si="78"/>
        <v/>
      </c>
      <c r="AE218" t="str">
        <f t="shared" si="97"/>
        <v/>
      </c>
      <c r="AF218" s="24" t="str">
        <f t="shared" si="80"/>
        <v/>
      </c>
      <c r="AG218" s="25" t="str">
        <f t="shared" si="81"/>
        <v/>
      </c>
      <c r="AH218" s="25" t="str">
        <f t="shared" si="82"/>
        <v/>
      </c>
      <c r="AI218" s="25" t="str">
        <f t="shared" si="83"/>
        <v/>
      </c>
      <c r="AJ218" s="25" t="str">
        <f t="shared" si="84"/>
        <v/>
      </c>
      <c r="AK218" s="25" t="str">
        <f t="shared" si="85"/>
        <v/>
      </c>
      <c r="AL218" s="26" t="str">
        <f t="shared" si="86"/>
        <v/>
      </c>
      <c r="AP218" t="str">
        <f t="shared" si="98"/>
        <v/>
      </c>
      <c r="AQ218" s="24" t="str">
        <f t="shared" si="88"/>
        <v/>
      </c>
      <c r="AR218" s="25" t="str">
        <f t="shared" si="89"/>
        <v/>
      </c>
      <c r="AS218" s="25" t="str">
        <f t="shared" si="90"/>
        <v/>
      </c>
      <c r="AT218" s="25" t="str">
        <f t="shared" si="91"/>
        <v/>
      </c>
      <c r="AU218" s="25" t="str">
        <f t="shared" si="92"/>
        <v/>
      </c>
      <c r="AV218" s="25" t="str">
        <f t="shared" si="93"/>
        <v/>
      </c>
      <c r="AW218" s="26" t="str">
        <f t="shared" si="94"/>
        <v/>
      </c>
    </row>
    <row r="219" spans="3:49" x14ac:dyDescent="0.25">
      <c r="C219">
        <v>63</v>
      </c>
      <c r="D219" t="str">
        <f t="shared" si="55"/>
        <v/>
      </c>
      <c r="E219" s="24" t="str">
        <f t="shared" si="56"/>
        <v/>
      </c>
      <c r="F219" s="25" t="str">
        <f t="shared" si="57"/>
        <v/>
      </c>
      <c r="G219" s="25" t="str">
        <f t="shared" si="58"/>
        <v/>
      </c>
      <c r="H219" s="25" t="str">
        <f t="shared" si="59"/>
        <v/>
      </c>
      <c r="I219" s="25" t="str">
        <f t="shared" si="60"/>
        <v/>
      </c>
      <c r="J219" s="25" t="str">
        <f t="shared" si="61"/>
        <v/>
      </c>
      <c r="K219" s="26" t="str">
        <f t="shared" si="62"/>
        <v/>
      </c>
      <c r="N219" t="str">
        <f t="shared" si="95"/>
        <v/>
      </c>
      <c r="O219" s="24" t="str">
        <f t="shared" si="64"/>
        <v/>
      </c>
      <c r="P219" s="25" t="str">
        <f t="shared" si="65"/>
        <v/>
      </c>
      <c r="Q219" s="25" t="str">
        <f t="shared" si="66"/>
        <v/>
      </c>
      <c r="R219" s="25" t="str">
        <f t="shared" si="67"/>
        <v/>
      </c>
      <c r="S219" s="25" t="str">
        <f t="shared" si="68"/>
        <v/>
      </c>
      <c r="T219" s="25" t="str">
        <f t="shared" si="69"/>
        <v/>
      </c>
      <c r="U219" s="25"/>
      <c r="V219" s="26" t="str">
        <f t="shared" si="70"/>
        <v/>
      </c>
      <c r="W219" t="str">
        <f t="shared" si="96"/>
        <v/>
      </c>
      <c r="X219" s="24" t="str">
        <f t="shared" si="72"/>
        <v/>
      </c>
      <c r="Y219" s="25" t="str">
        <f t="shared" si="73"/>
        <v/>
      </c>
      <c r="Z219" s="25" t="str">
        <f t="shared" si="74"/>
        <v/>
      </c>
      <c r="AA219" s="25" t="str">
        <f t="shared" si="75"/>
        <v/>
      </c>
      <c r="AB219" s="25" t="str">
        <f t="shared" si="76"/>
        <v/>
      </c>
      <c r="AC219" s="25" t="str">
        <f t="shared" si="77"/>
        <v/>
      </c>
      <c r="AD219" s="26" t="str">
        <f t="shared" si="78"/>
        <v/>
      </c>
      <c r="AE219" t="str">
        <f t="shared" si="97"/>
        <v/>
      </c>
      <c r="AF219" s="24" t="str">
        <f t="shared" si="80"/>
        <v/>
      </c>
      <c r="AG219" s="25" t="str">
        <f t="shared" si="81"/>
        <v/>
      </c>
      <c r="AH219" s="25" t="str">
        <f t="shared" si="82"/>
        <v/>
      </c>
      <c r="AI219" s="25" t="str">
        <f t="shared" si="83"/>
        <v/>
      </c>
      <c r="AJ219" s="25" t="str">
        <f t="shared" si="84"/>
        <v/>
      </c>
      <c r="AK219" s="25" t="str">
        <f t="shared" si="85"/>
        <v/>
      </c>
      <c r="AL219" s="26" t="str">
        <f t="shared" si="86"/>
        <v/>
      </c>
      <c r="AP219" t="str">
        <f t="shared" si="98"/>
        <v/>
      </c>
      <c r="AQ219" s="24" t="str">
        <f t="shared" si="88"/>
        <v/>
      </c>
      <c r="AR219" s="25" t="str">
        <f t="shared" si="89"/>
        <v/>
      </c>
      <c r="AS219" s="25" t="str">
        <f t="shared" si="90"/>
        <v/>
      </c>
      <c r="AT219" s="25" t="str">
        <f t="shared" si="91"/>
        <v/>
      </c>
      <c r="AU219" s="25" t="str">
        <f t="shared" si="92"/>
        <v/>
      </c>
      <c r="AV219" s="25" t="str">
        <f t="shared" si="93"/>
        <v/>
      </c>
      <c r="AW219" s="26" t="str">
        <f t="shared" si="94"/>
        <v/>
      </c>
    </row>
    <row r="220" spans="3:49" s="10" customFormat="1" x14ac:dyDescent="0.25">
      <c r="C220" s="10">
        <v>64</v>
      </c>
      <c r="D220" t="str">
        <f t="shared" si="55"/>
        <v/>
      </c>
      <c r="E220" s="24" t="str">
        <f t="shared" si="56"/>
        <v/>
      </c>
      <c r="F220" s="25" t="str">
        <f t="shared" si="57"/>
        <v/>
      </c>
      <c r="G220" s="25" t="str">
        <f t="shared" si="58"/>
        <v/>
      </c>
      <c r="H220" s="25" t="str">
        <f t="shared" si="59"/>
        <v/>
      </c>
      <c r="I220" s="25" t="str">
        <f t="shared" si="60"/>
        <v/>
      </c>
      <c r="J220" s="25" t="str">
        <f t="shared" si="61"/>
        <v/>
      </c>
      <c r="K220" s="26" t="str">
        <f t="shared" si="62"/>
        <v/>
      </c>
      <c r="N220" s="10" t="str">
        <f t="shared" si="95"/>
        <v/>
      </c>
      <c r="O220" s="24" t="str">
        <f t="shared" si="64"/>
        <v/>
      </c>
      <c r="P220" s="25" t="str">
        <f t="shared" si="65"/>
        <v/>
      </c>
      <c r="Q220" s="25" t="str">
        <f t="shared" si="66"/>
        <v/>
      </c>
      <c r="R220" s="25" t="str">
        <f t="shared" si="67"/>
        <v/>
      </c>
      <c r="S220" s="25" t="str">
        <f t="shared" si="68"/>
        <v/>
      </c>
      <c r="T220" s="25" t="str">
        <f t="shared" si="69"/>
        <v/>
      </c>
      <c r="U220" s="25"/>
      <c r="V220" s="26" t="str">
        <f t="shared" si="70"/>
        <v/>
      </c>
      <c r="W220" s="10" t="str">
        <f t="shared" si="96"/>
        <v/>
      </c>
      <c r="X220" s="24" t="str">
        <f t="shared" si="72"/>
        <v/>
      </c>
      <c r="Y220" s="25" t="str">
        <f t="shared" si="73"/>
        <v/>
      </c>
      <c r="Z220" s="25" t="str">
        <f t="shared" si="74"/>
        <v/>
      </c>
      <c r="AA220" s="25" t="str">
        <f t="shared" si="75"/>
        <v/>
      </c>
      <c r="AB220" s="25" t="str">
        <f t="shared" si="76"/>
        <v/>
      </c>
      <c r="AC220" s="25" t="str">
        <f t="shared" si="77"/>
        <v/>
      </c>
      <c r="AD220" s="26" t="str">
        <f t="shared" si="78"/>
        <v/>
      </c>
      <c r="AE220" s="10" t="str">
        <f t="shared" si="97"/>
        <v/>
      </c>
      <c r="AF220" s="24" t="str">
        <f t="shared" si="80"/>
        <v/>
      </c>
      <c r="AG220" s="25" t="str">
        <f t="shared" si="81"/>
        <v/>
      </c>
      <c r="AH220" s="25" t="str">
        <f t="shared" si="82"/>
        <v/>
      </c>
      <c r="AI220" s="25" t="str">
        <f t="shared" si="83"/>
        <v/>
      </c>
      <c r="AJ220" s="25" t="str">
        <f t="shared" si="84"/>
        <v/>
      </c>
      <c r="AK220" s="25" t="str">
        <f t="shared" si="85"/>
        <v/>
      </c>
      <c r="AL220" s="26" t="str">
        <f t="shared" si="86"/>
        <v/>
      </c>
      <c r="AP220" s="10" t="str">
        <f t="shared" si="98"/>
        <v/>
      </c>
      <c r="AQ220" s="24" t="str">
        <f t="shared" si="88"/>
        <v/>
      </c>
      <c r="AR220" s="25" t="str">
        <f t="shared" si="89"/>
        <v/>
      </c>
      <c r="AS220" s="25" t="str">
        <f t="shared" si="90"/>
        <v/>
      </c>
      <c r="AT220" s="25" t="str">
        <f t="shared" si="91"/>
        <v/>
      </c>
      <c r="AU220" s="25" t="str">
        <f t="shared" si="92"/>
        <v/>
      </c>
      <c r="AV220" s="25" t="str">
        <f t="shared" si="93"/>
        <v/>
      </c>
      <c r="AW220" s="26" t="str">
        <f t="shared" si="94"/>
        <v/>
      </c>
    </row>
    <row r="221" spans="3:49" x14ac:dyDescent="0.25">
      <c r="C221">
        <v>65</v>
      </c>
      <c r="D221" t="str">
        <f t="shared" ref="D221:D252" si="99">IF(ISNUMBER(E221),C221,"")</f>
        <v/>
      </c>
      <c r="E221" s="9" t="str">
        <f t="shared" ref="E221:K230" si="100">E157</f>
        <v/>
      </c>
      <c r="F221" s="9" t="str">
        <f t="shared" si="100"/>
        <v/>
      </c>
      <c r="G221" s="9" t="str">
        <f t="shared" si="100"/>
        <v/>
      </c>
      <c r="H221" s="9" t="str">
        <f t="shared" si="100"/>
        <v/>
      </c>
      <c r="I221" s="9" t="str">
        <f t="shared" si="100"/>
        <v/>
      </c>
      <c r="J221" s="9" t="str">
        <f t="shared" si="100"/>
        <v/>
      </c>
      <c r="K221" s="9" t="str">
        <f t="shared" si="100"/>
        <v/>
      </c>
      <c r="N221" t="str">
        <f t="shared" si="95"/>
        <v/>
      </c>
      <c r="O221" s="9" t="str">
        <f t="shared" ref="O221:T230" si="101">O157</f>
        <v/>
      </c>
      <c r="P221" s="9" t="str">
        <f t="shared" si="101"/>
        <v/>
      </c>
      <c r="Q221" s="9" t="str">
        <f t="shared" si="101"/>
        <v/>
      </c>
      <c r="R221" s="9" t="str">
        <f t="shared" si="101"/>
        <v/>
      </c>
      <c r="S221" s="9" t="str">
        <f t="shared" si="101"/>
        <v/>
      </c>
      <c r="T221" s="9" t="str">
        <f t="shared" si="101"/>
        <v/>
      </c>
      <c r="U221" s="9"/>
      <c r="V221" s="9" t="str">
        <f t="shared" ref="V221:V252" si="102">V157</f>
        <v/>
      </c>
      <c r="W221" t="str">
        <f t="shared" si="96"/>
        <v/>
      </c>
      <c r="X221" s="9" t="str">
        <f t="shared" ref="X221:AD230" si="103">X157</f>
        <v/>
      </c>
      <c r="Y221" s="9" t="str">
        <f t="shared" si="103"/>
        <v/>
      </c>
      <c r="Z221" s="9" t="str">
        <f t="shared" si="103"/>
        <v/>
      </c>
      <c r="AA221" s="9" t="str">
        <f t="shared" si="103"/>
        <v/>
      </c>
      <c r="AB221" s="9" t="str">
        <f t="shared" si="103"/>
        <v/>
      </c>
      <c r="AC221" s="9" t="str">
        <f t="shared" si="103"/>
        <v/>
      </c>
      <c r="AD221" s="9" t="str">
        <f t="shared" si="103"/>
        <v/>
      </c>
      <c r="AE221" t="str">
        <f t="shared" si="97"/>
        <v/>
      </c>
      <c r="AF221" s="9" t="str">
        <f t="shared" ref="AF221:AL230" si="104">AF157</f>
        <v/>
      </c>
      <c r="AG221" s="9" t="str">
        <f t="shared" si="104"/>
        <v/>
      </c>
      <c r="AH221" s="9" t="str">
        <f t="shared" si="104"/>
        <v/>
      </c>
      <c r="AI221" s="9" t="str">
        <f t="shared" si="104"/>
        <v/>
      </c>
      <c r="AJ221" s="9" t="str">
        <f t="shared" si="104"/>
        <v/>
      </c>
      <c r="AK221" s="9" t="str">
        <f t="shared" si="104"/>
        <v/>
      </c>
      <c r="AL221" s="9" t="str">
        <f t="shared" si="104"/>
        <v/>
      </c>
      <c r="AP221" t="str">
        <f t="shared" si="98"/>
        <v/>
      </c>
      <c r="AQ221" s="9" t="str">
        <f t="shared" ref="AQ221:AW230" si="105">AQ157</f>
        <v/>
      </c>
      <c r="AR221" s="9" t="str">
        <f t="shared" si="105"/>
        <v/>
      </c>
      <c r="AS221" s="9" t="str">
        <f t="shared" si="105"/>
        <v/>
      </c>
      <c r="AT221" s="9" t="str">
        <f t="shared" si="105"/>
        <v/>
      </c>
      <c r="AU221" s="9" t="str">
        <f t="shared" si="105"/>
        <v/>
      </c>
      <c r="AV221" s="9" t="str">
        <f t="shared" si="105"/>
        <v/>
      </c>
      <c r="AW221" s="9" t="str">
        <f t="shared" si="105"/>
        <v/>
      </c>
    </row>
    <row r="222" spans="3:49" x14ac:dyDescent="0.25">
      <c r="C222">
        <v>66</v>
      </c>
      <c r="D222" t="str">
        <f t="shared" si="99"/>
        <v/>
      </c>
      <c r="E222" s="9" t="str">
        <f t="shared" si="100"/>
        <v/>
      </c>
      <c r="F222" s="9" t="str">
        <f t="shared" si="100"/>
        <v/>
      </c>
      <c r="G222" s="9" t="str">
        <f t="shared" si="100"/>
        <v/>
      </c>
      <c r="H222" s="9" t="str">
        <f t="shared" si="100"/>
        <v/>
      </c>
      <c r="I222" s="9" t="str">
        <f t="shared" si="100"/>
        <v/>
      </c>
      <c r="J222" s="9" t="str">
        <f t="shared" si="100"/>
        <v/>
      </c>
      <c r="K222" s="9" t="str">
        <f t="shared" si="100"/>
        <v/>
      </c>
      <c r="N222" t="str">
        <f t="shared" si="95"/>
        <v/>
      </c>
      <c r="O222" s="9" t="str">
        <f t="shared" si="101"/>
        <v/>
      </c>
      <c r="P222" s="9" t="str">
        <f t="shared" si="101"/>
        <v/>
      </c>
      <c r="Q222" s="9" t="str">
        <f t="shared" si="101"/>
        <v/>
      </c>
      <c r="R222" s="9" t="str">
        <f t="shared" si="101"/>
        <v/>
      </c>
      <c r="S222" s="9" t="str">
        <f t="shared" si="101"/>
        <v/>
      </c>
      <c r="T222" s="9" t="str">
        <f t="shared" si="101"/>
        <v/>
      </c>
      <c r="U222" s="9"/>
      <c r="V222" s="9" t="str">
        <f t="shared" si="102"/>
        <v/>
      </c>
      <c r="W222" t="str">
        <f t="shared" si="96"/>
        <v/>
      </c>
      <c r="X222" s="9" t="str">
        <f t="shared" si="103"/>
        <v/>
      </c>
      <c r="Y222" s="9" t="str">
        <f t="shared" si="103"/>
        <v/>
      </c>
      <c r="Z222" s="9" t="str">
        <f t="shared" si="103"/>
        <v/>
      </c>
      <c r="AA222" s="9" t="str">
        <f t="shared" si="103"/>
        <v/>
      </c>
      <c r="AB222" s="9" t="str">
        <f t="shared" si="103"/>
        <v/>
      </c>
      <c r="AC222" s="9" t="str">
        <f t="shared" si="103"/>
        <v/>
      </c>
      <c r="AD222" s="9" t="str">
        <f t="shared" si="103"/>
        <v/>
      </c>
      <c r="AE222" t="str">
        <f t="shared" si="97"/>
        <v/>
      </c>
      <c r="AF222" s="9" t="str">
        <f t="shared" si="104"/>
        <v/>
      </c>
      <c r="AG222" s="9" t="str">
        <f t="shared" si="104"/>
        <v/>
      </c>
      <c r="AH222" s="9" t="str">
        <f t="shared" si="104"/>
        <v/>
      </c>
      <c r="AI222" s="9" t="str">
        <f t="shared" si="104"/>
        <v/>
      </c>
      <c r="AJ222" s="9" t="str">
        <f t="shared" si="104"/>
        <v/>
      </c>
      <c r="AK222" s="9" t="str">
        <f t="shared" si="104"/>
        <v/>
      </c>
      <c r="AL222" s="9" t="str">
        <f t="shared" si="104"/>
        <v/>
      </c>
      <c r="AP222" t="str">
        <f t="shared" si="98"/>
        <v/>
      </c>
      <c r="AQ222" s="9" t="str">
        <f t="shared" si="105"/>
        <v/>
      </c>
      <c r="AR222" s="9" t="str">
        <f t="shared" si="105"/>
        <v/>
      </c>
      <c r="AS222" s="9" t="str">
        <f t="shared" si="105"/>
        <v/>
      </c>
      <c r="AT222" s="9" t="str">
        <f t="shared" si="105"/>
        <v/>
      </c>
      <c r="AU222" s="9" t="str">
        <f t="shared" si="105"/>
        <v/>
      </c>
      <c r="AV222" s="9" t="str">
        <f t="shared" si="105"/>
        <v/>
      </c>
      <c r="AW222" s="9" t="str">
        <f t="shared" si="105"/>
        <v/>
      </c>
    </row>
    <row r="223" spans="3:49" x14ac:dyDescent="0.25">
      <c r="C223">
        <v>67</v>
      </c>
      <c r="D223" t="str">
        <f t="shared" si="99"/>
        <v/>
      </c>
      <c r="E223" s="9" t="str">
        <f t="shared" si="100"/>
        <v/>
      </c>
      <c r="F223" s="9" t="str">
        <f t="shared" si="100"/>
        <v/>
      </c>
      <c r="G223" s="9" t="str">
        <f t="shared" si="100"/>
        <v/>
      </c>
      <c r="H223" s="9" t="str">
        <f t="shared" si="100"/>
        <v/>
      </c>
      <c r="I223" s="9" t="str">
        <f t="shared" si="100"/>
        <v/>
      </c>
      <c r="J223" s="9" t="str">
        <f t="shared" si="100"/>
        <v/>
      </c>
      <c r="K223" s="9" t="str">
        <f t="shared" si="100"/>
        <v/>
      </c>
      <c r="N223" t="str">
        <f t="shared" si="95"/>
        <v/>
      </c>
      <c r="O223" s="9" t="str">
        <f t="shared" si="101"/>
        <v/>
      </c>
      <c r="P223" s="9" t="str">
        <f t="shared" si="101"/>
        <v/>
      </c>
      <c r="Q223" s="9" t="str">
        <f t="shared" si="101"/>
        <v/>
      </c>
      <c r="R223" s="9" t="str">
        <f t="shared" si="101"/>
        <v/>
      </c>
      <c r="S223" s="9" t="str">
        <f t="shared" si="101"/>
        <v/>
      </c>
      <c r="T223" s="9" t="str">
        <f t="shared" si="101"/>
        <v/>
      </c>
      <c r="U223" s="9"/>
      <c r="V223" s="9" t="str">
        <f t="shared" si="102"/>
        <v/>
      </c>
      <c r="W223" t="str">
        <f t="shared" si="96"/>
        <v/>
      </c>
      <c r="X223" s="9" t="str">
        <f t="shared" si="103"/>
        <v/>
      </c>
      <c r="Y223" s="9" t="str">
        <f t="shared" si="103"/>
        <v/>
      </c>
      <c r="Z223" s="9" t="str">
        <f t="shared" si="103"/>
        <v/>
      </c>
      <c r="AA223" s="9" t="str">
        <f t="shared" si="103"/>
        <v/>
      </c>
      <c r="AB223" s="9" t="str">
        <f t="shared" si="103"/>
        <v/>
      </c>
      <c r="AC223" s="9" t="str">
        <f t="shared" si="103"/>
        <v/>
      </c>
      <c r="AD223" s="9" t="str">
        <f t="shared" si="103"/>
        <v/>
      </c>
      <c r="AE223" t="str">
        <f t="shared" si="97"/>
        <v/>
      </c>
      <c r="AF223" s="9" t="str">
        <f t="shared" si="104"/>
        <v/>
      </c>
      <c r="AG223" s="9" t="str">
        <f t="shared" si="104"/>
        <v/>
      </c>
      <c r="AH223" s="9" t="str">
        <f t="shared" si="104"/>
        <v/>
      </c>
      <c r="AI223" s="9" t="str">
        <f t="shared" si="104"/>
        <v/>
      </c>
      <c r="AJ223" s="9" t="str">
        <f t="shared" si="104"/>
        <v/>
      </c>
      <c r="AK223" s="9" t="str">
        <f t="shared" si="104"/>
        <v/>
      </c>
      <c r="AL223" s="9" t="str">
        <f t="shared" si="104"/>
        <v/>
      </c>
      <c r="AP223" t="str">
        <f t="shared" si="98"/>
        <v/>
      </c>
      <c r="AQ223" s="9" t="str">
        <f t="shared" si="105"/>
        <v/>
      </c>
      <c r="AR223" s="9" t="str">
        <f t="shared" si="105"/>
        <v/>
      </c>
      <c r="AS223" s="9" t="str">
        <f t="shared" si="105"/>
        <v/>
      </c>
      <c r="AT223" s="9" t="str">
        <f t="shared" si="105"/>
        <v/>
      </c>
      <c r="AU223" s="9" t="str">
        <f t="shared" si="105"/>
        <v/>
      </c>
      <c r="AV223" s="9" t="str">
        <f t="shared" si="105"/>
        <v/>
      </c>
      <c r="AW223" s="9" t="str">
        <f t="shared" si="105"/>
        <v/>
      </c>
    </row>
    <row r="224" spans="3:49" x14ac:dyDescent="0.25">
      <c r="C224">
        <v>68</v>
      </c>
      <c r="D224" t="str">
        <f t="shared" si="99"/>
        <v/>
      </c>
      <c r="E224" s="9" t="str">
        <f t="shared" si="100"/>
        <v/>
      </c>
      <c r="F224" s="9" t="str">
        <f t="shared" si="100"/>
        <v/>
      </c>
      <c r="G224" s="9" t="str">
        <f t="shared" si="100"/>
        <v/>
      </c>
      <c r="H224" s="9" t="str">
        <f t="shared" si="100"/>
        <v/>
      </c>
      <c r="I224" s="9" t="str">
        <f t="shared" si="100"/>
        <v/>
      </c>
      <c r="J224" s="9" t="str">
        <f t="shared" si="100"/>
        <v/>
      </c>
      <c r="K224" s="9" t="str">
        <f t="shared" si="100"/>
        <v/>
      </c>
      <c r="N224" t="str">
        <f t="shared" si="95"/>
        <v/>
      </c>
      <c r="O224" s="9" t="str">
        <f t="shared" si="101"/>
        <v/>
      </c>
      <c r="P224" s="9" t="str">
        <f t="shared" si="101"/>
        <v/>
      </c>
      <c r="Q224" s="9" t="str">
        <f t="shared" si="101"/>
        <v/>
      </c>
      <c r="R224" s="9" t="str">
        <f t="shared" si="101"/>
        <v/>
      </c>
      <c r="S224" s="9" t="str">
        <f t="shared" si="101"/>
        <v/>
      </c>
      <c r="T224" s="9" t="str">
        <f t="shared" si="101"/>
        <v/>
      </c>
      <c r="U224" s="9"/>
      <c r="V224" s="9" t="str">
        <f t="shared" si="102"/>
        <v/>
      </c>
      <c r="W224" t="str">
        <f t="shared" si="96"/>
        <v/>
      </c>
      <c r="X224" s="9" t="str">
        <f t="shared" si="103"/>
        <v/>
      </c>
      <c r="Y224" s="9" t="str">
        <f t="shared" si="103"/>
        <v/>
      </c>
      <c r="Z224" s="9" t="str">
        <f t="shared" si="103"/>
        <v/>
      </c>
      <c r="AA224" s="9" t="str">
        <f t="shared" si="103"/>
        <v/>
      </c>
      <c r="AB224" s="9" t="str">
        <f t="shared" si="103"/>
        <v/>
      </c>
      <c r="AC224" s="9" t="str">
        <f t="shared" si="103"/>
        <v/>
      </c>
      <c r="AD224" s="9" t="str">
        <f t="shared" si="103"/>
        <v/>
      </c>
      <c r="AE224" t="str">
        <f t="shared" si="97"/>
        <v/>
      </c>
      <c r="AF224" s="9" t="str">
        <f t="shared" si="104"/>
        <v/>
      </c>
      <c r="AG224" s="9" t="str">
        <f t="shared" si="104"/>
        <v/>
      </c>
      <c r="AH224" s="9" t="str">
        <f t="shared" si="104"/>
        <v/>
      </c>
      <c r="AI224" s="9" t="str">
        <f t="shared" si="104"/>
        <v/>
      </c>
      <c r="AJ224" s="9" t="str">
        <f t="shared" si="104"/>
        <v/>
      </c>
      <c r="AK224" s="9" t="str">
        <f t="shared" si="104"/>
        <v/>
      </c>
      <c r="AL224" s="9" t="str">
        <f t="shared" si="104"/>
        <v/>
      </c>
      <c r="AP224" t="str">
        <f t="shared" si="98"/>
        <v/>
      </c>
      <c r="AQ224" s="9" t="str">
        <f t="shared" si="105"/>
        <v/>
      </c>
      <c r="AR224" s="9" t="str">
        <f t="shared" si="105"/>
        <v/>
      </c>
      <c r="AS224" s="9" t="str">
        <f t="shared" si="105"/>
        <v/>
      </c>
      <c r="AT224" s="9" t="str">
        <f t="shared" si="105"/>
        <v/>
      </c>
      <c r="AU224" s="9" t="str">
        <f t="shared" si="105"/>
        <v/>
      </c>
      <c r="AV224" s="9" t="str">
        <f t="shared" si="105"/>
        <v/>
      </c>
      <c r="AW224" s="9" t="str">
        <f t="shared" si="105"/>
        <v/>
      </c>
    </row>
    <row r="225" spans="3:49" x14ac:dyDescent="0.25">
      <c r="C225">
        <v>69</v>
      </c>
      <c r="D225" t="str">
        <f t="shared" si="99"/>
        <v/>
      </c>
      <c r="E225" s="9" t="str">
        <f t="shared" si="100"/>
        <v/>
      </c>
      <c r="F225" s="9" t="str">
        <f t="shared" si="100"/>
        <v/>
      </c>
      <c r="G225" s="9" t="str">
        <f t="shared" si="100"/>
        <v/>
      </c>
      <c r="H225" s="9" t="str">
        <f t="shared" si="100"/>
        <v/>
      </c>
      <c r="I225" s="9" t="str">
        <f t="shared" si="100"/>
        <v/>
      </c>
      <c r="J225" s="9" t="str">
        <f t="shared" si="100"/>
        <v/>
      </c>
      <c r="K225" s="9" t="str">
        <f t="shared" si="100"/>
        <v/>
      </c>
      <c r="N225" t="str">
        <f t="shared" si="95"/>
        <v/>
      </c>
      <c r="O225" s="9" t="str">
        <f t="shared" si="101"/>
        <v/>
      </c>
      <c r="P225" s="9" t="str">
        <f t="shared" si="101"/>
        <v/>
      </c>
      <c r="Q225" s="9" t="str">
        <f t="shared" si="101"/>
        <v/>
      </c>
      <c r="R225" s="9" t="str">
        <f t="shared" si="101"/>
        <v/>
      </c>
      <c r="S225" s="9" t="str">
        <f t="shared" si="101"/>
        <v/>
      </c>
      <c r="T225" s="9" t="str">
        <f t="shared" si="101"/>
        <v/>
      </c>
      <c r="U225" s="9"/>
      <c r="V225" s="9" t="str">
        <f t="shared" si="102"/>
        <v/>
      </c>
      <c r="W225" t="str">
        <f t="shared" si="96"/>
        <v/>
      </c>
      <c r="X225" s="9" t="str">
        <f t="shared" si="103"/>
        <v/>
      </c>
      <c r="Y225" s="9" t="str">
        <f t="shared" si="103"/>
        <v/>
      </c>
      <c r="Z225" s="9" t="str">
        <f t="shared" si="103"/>
        <v/>
      </c>
      <c r="AA225" s="9" t="str">
        <f t="shared" si="103"/>
        <v/>
      </c>
      <c r="AB225" s="9" t="str">
        <f t="shared" si="103"/>
        <v/>
      </c>
      <c r="AC225" s="9" t="str">
        <f t="shared" si="103"/>
        <v/>
      </c>
      <c r="AD225" s="9" t="str">
        <f t="shared" si="103"/>
        <v/>
      </c>
      <c r="AE225" t="str">
        <f t="shared" si="97"/>
        <v/>
      </c>
      <c r="AF225" s="9" t="str">
        <f t="shared" si="104"/>
        <v/>
      </c>
      <c r="AG225" s="9" t="str">
        <f t="shared" si="104"/>
        <v/>
      </c>
      <c r="AH225" s="9" t="str">
        <f t="shared" si="104"/>
        <v/>
      </c>
      <c r="AI225" s="9" t="str">
        <f t="shared" si="104"/>
        <v/>
      </c>
      <c r="AJ225" s="9" t="str">
        <f t="shared" si="104"/>
        <v/>
      </c>
      <c r="AK225" s="9" t="str">
        <f t="shared" si="104"/>
        <v/>
      </c>
      <c r="AL225" s="9" t="str">
        <f t="shared" si="104"/>
        <v/>
      </c>
      <c r="AP225" t="str">
        <f t="shared" si="98"/>
        <v/>
      </c>
      <c r="AQ225" s="9" t="str">
        <f t="shared" si="105"/>
        <v/>
      </c>
      <c r="AR225" s="9" t="str">
        <f t="shared" si="105"/>
        <v/>
      </c>
      <c r="AS225" s="9" t="str">
        <f t="shared" si="105"/>
        <v/>
      </c>
      <c r="AT225" s="9" t="str">
        <f t="shared" si="105"/>
        <v/>
      </c>
      <c r="AU225" s="9" t="str">
        <f t="shared" si="105"/>
        <v/>
      </c>
      <c r="AV225" s="9" t="str">
        <f t="shared" si="105"/>
        <v/>
      </c>
      <c r="AW225" s="9" t="str">
        <f t="shared" si="105"/>
        <v/>
      </c>
    </row>
    <row r="226" spans="3:49" x14ac:dyDescent="0.25">
      <c r="C226">
        <v>70</v>
      </c>
      <c r="D226" t="str">
        <f t="shared" si="99"/>
        <v/>
      </c>
      <c r="E226" s="9" t="str">
        <f t="shared" si="100"/>
        <v/>
      </c>
      <c r="F226" s="9" t="str">
        <f t="shared" si="100"/>
        <v/>
      </c>
      <c r="G226" s="9" t="str">
        <f t="shared" si="100"/>
        <v/>
      </c>
      <c r="H226" s="9" t="str">
        <f t="shared" si="100"/>
        <v/>
      </c>
      <c r="I226" s="9" t="str">
        <f t="shared" si="100"/>
        <v/>
      </c>
      <c r="J226" s="9" t="str">
        <f t="shared" si="100"/>
        <v/>
      </c>
      <c r="K226" s="9" t="str">
        <f t="shared" si="100"/>
        <v/>
      </c>
      <c r="N226" t="str">
        <f t="shared" si="95"/>
        <v/>
      </c>
      <c r="O226" s="9" t="str">
        <f t="shared" si="101"/>
        <v/>
      </c>
      <c r="P226" s="9" t="str">
        <f t="shared" si="101"/>
        <v/>
      </c>
      <c r="Q226" s="9" t="str">
        <f t="shared" si="101"/>
        <v/>
      </c>
      <c r="R226" s="9" t="str">
        <f t="shared" si="101"/>
        <v/>
      </c>
      <c r="S226" s="9" t="str">
        <f t="shared" si="101"/>
        <v/>
      </c>
      <c r="T226" s="9" t="str">
        <f t="shared" si="101"/>
        <v/>
      </c>
      <c r="U226" s="9"/>
      <c r="V226" s="9" t="str">
        <f t="shared" si="102"/>
        <v/>
      </c>
      <c r="W226" t="str">
        <f t="shared" si="96"/>
        <v/>
      </c>
      <c r="X226" s="9" t="str">
        <f t="shared" si="103"/>
        <v/>
      </c>
      <c r="Y226" s="9" t="str">
        <f t="shared" si="103"/>
        <v/>
      </c>
      <c r="Z226" s="9" t="str">
        <f t="shared" si="103"/>
        <v/>
      </c>
      <c r="AA226" s="9" t="str">
        <f t="shared" si="103"/>
        <v/>
      </c>
      <c r="AB226" s="9" t="str">
        <f t="shared" si="103"/>
        <v/>
      </c>
      <c r="AC226" s="9" t="str">
        <f t="shared" si="103"/>
        <v/>
      </c>
      <c r="AD226" s="9" t="str">
        <f t="shared" si="103"/>
        <v/>
      </c>
      <c r="AE226" t="str">
        <f t="shared" si="97"/>
        <v/>
      </c>
      <c r="AF226" s="9" t="str">
        <f t="shared" si="104"/>
        <v/>
      </c>
      <c r="AG226" s="9" t="str">
        <f t="shared" si="104"/>
        <v/>
      </c>
      <c r="AH226" s="9" t="str">
        <f t="shared" si="104"/>
        <v/>
      </c>
      <c r="AI226" s="9" t="str">
        <f t="shared" si="104"/>
        <v/>
      </c>
      <c r="AJ226" s="9" t="str">
        <f t="shared" si="104"/>
        <v/>
      </c>
      <c r="AK226" s="9" t="str">
        <f t="shared" si="104"/>
        <v/>
      </c>
      <c r="AL226" s="9" t="str">
        <f t="shared" si="104"/>
        <v/>
      </c>
      <c r="AP226" t="str">
        <f t="shared" si="98"/>
        <v/>
      </c>
      <c r="AQ226" s="9" t="str">
        <f t="shared" si="105"/>
        <v/>
      </c>
      <c r="AR226" s="9" t="str">
        <f t="shared" si="105"/>
        <v/>
      </c>
      <c r="AS226" s="9" t="str">
        <f t="shared" si="105"/>
        <v/>
      </c>
      <c r="AT226" s="9" t="str">
        <f t="shared" si="105"/>
        <v/>
      </c>
      <c r="AU226" s="9" t="str">
        <f t="shared" si="105"/>
        <v/>
      </c>
      <c r="AV226" s="9" t="str">
        <f t="shared" si="105"/>
        <v/>
      </c>
      <c r="AW226" s="9" t="str">
        <f t="shared" si="105"/>
        <v/>
      </c>
    </row>
    <row r="227" spans="3:49" x14ac:dyDescent="0.25">
      <c r="C227">
        <v>71</v>
      </c>
      <c r="D227" t="str">
        <f t="shared" si="99"/>
        <v/>
      </c>
      <c r="E227" s="9" t="str">
        <f t="shared" si="100"/>
        <v/>
      </c>
      <c r="F227" s="9" t="str">
        <f t="shared" si="100"/>
        <v/>
      </c>
      <c r="G227" s="9" t="str">
        <f t="shared" si="100"/>
        <v/>
      </c>
      <c r="H227" s="9" t="str">
        <f t="shared" si="100"/>
        <v/>
      </c>
      <c r="I227" s="9" t="str">
        <f t="shared" si="100"/>
        <v/>
      </c>
      <c r="J227" s="9" t="str">
        <f t="shared" si="100"/>
        <v/>
      </c>
      <c r="K227" s="9" t="str">
        <f t="shared" si="100"/>
        <v/>
      </c>
      <c r="N227" t="str">
        <f t="shared" si="95"/>
        <v/>
      </c>
      <c r="O227" s="9" t="str">
        <f t="shared" si="101"/>
        <v/>
      </c>
      <c r="P227" s="9" t="str">
        <f t="shared" si="101"/>
        <v/>
      </c>
      <c r="Q227" s="9" t="str">
        <f t="shared" si="101"/>
        <v/>
      </c>
      <c r="R227" s="9" t="str">
        <f t="shared" si="101"/>
        <v/>
      </c>
      <c r="S227" s="9" t="str">
        <f t="shared" si="101"/>
        <v/>
      </c>
      <c r="T227" s="9" t="str">
        <f t="shared" si="101"/>
        <v/>
      </c>
      <c r="U227" s="9"/>
      <c r="V227" s="9" t="str">
        <f t="shared" si="102"/>
        <v/>
      </c>
      <c r="W227" t="str">
        <f t="shared" si="96"/>
        <v/>
      </c>
      <c r="X227" s="9" t="str">
        <f t="shared" si="103"/>
        <v/>
      </c>
      <c r="Y227" s="9" t="str">
        <f t="shared" si="103"/>
        <v/>
      </c>
      <c r="Z227" s="9" t="str">
        <f t="shared" si="103"/>
        <v/>
      </c>
      <c r="AA227" s="9" t="str">
        <f t="shared" si="103"/>
        <v/>
      </c>
      <c r="AB227" s="9" t="str">
        <f t="shared" si="103"/>
        <v/>
      </c>
      <c r="AC227" s="9" t="str">
        <f t="shared" si="103"/>
        <v/>
      </c>
      <c r="AD227" s="9" t="str">
        <f t="shared" si="103"/>
        <v/>
      </c>
      <c r="AE227" t="str">
        <f t="shared" si="97"/>
        <v/>
      </c>
      <c r="AF227" s="9" t="str">
        <f t="shared" si="104"/>
        <v/>
      </c>
      <c r="AG227" s="9" t="str">
        <f t="shared" si="104"/>
        <v/>
      </c>
      <c r="AH227" s="9" t="str">
        <f t="shared" si="104"/>
        <v/>
      </c>
      <c r="AI227" s="9" t="str">
        <f t="shared" si="104"/>
        <v/>
      </c>
      <c r="AJ227" s="9" t="str">
        <f t="shared" si="104"/>
        <v/>
      </c>
      <c r="AK227" s="9" t="str">
        <f t="shared" si="104"/>
        <v/>
      </c>
      <c r="AL227" s="9" t="str">
        <f t="shared" si="104"/>
        <v/>
      </c>
      <c r="AP227" t="str">
        <f t="shared" si="98"/>
        <v/>
      </c>
      <c r="AQ227" s="9" t="str">
        <f t="shared" si="105"/>
        <v/>
      </c>
      <c r="AR227" s="9" t="str">
        <f t="shared" si="105"/>
        <v/>
      </c>
      <c r="AS227" s="9" t="str">
        <f t="shared" si="105"/>
        <v/>
      </c>
      <c r="AT227" s="9" t="str">
        <f t="shared" si="105"/>
        <v/>
      </c>
      <c r="AU227" s="9" t="str">
        <f t="shared" si="105"/>
        <v/>
      </c>
      <c r="AV227" s="9" t="str">
        <f t="shared" si="105"/>
        <v/>
      </c>
      <c r="AW227" s="9" t="str">
        <f t="shared" si="105"/>
        <v/>
      </c>
    </row>
    <row r="228" spans="3:49" x14ac:dyDescent="0.25">
      <c r="C228">
        <v>72</v>
      </c>
      <c r="D228" t="str">
        <f t="shared" si="99"/>
        <v/>
      </c>
      <c r="E228" s="9" t="str">
        <f t="shared" si="100"/>
        <v/>
      </c>
      <c r="F228" s="9" t="str">
        <f t="shared" si="100"/>
        <v/>
      </c>
      <c r="G228" s="9" t="str">
        <f t="shared" si="100"/>
        <v/>
      </c>
      <c r="H228" s="9" t="str">
        <f t="shared" si="100"/>
        <v/>
      </c>
      <c r="I228" s="9" t="str">
        <f t="shared" si="100"/>
        <v/>
      </c>
      <c r="J228" s="9" t="str">
        <f t="shared" si="100"/>
        <v/>
      </c>
      <c r="K228" s="9" t="str">
        <f t="shared" si="100"/>
        <v/>
      </c>
      <c r="N228" t="str">
        <f t="shared" si="95"/>
        <v/>
      </c>
      <c r="O228" s="9" t="str">
        <f t="shared" si="101"/>
        <v/>
      </c>
      <c r="P228" s="9" t="str">
        <f t="shared" si="101"/>
        <v/>
      </c>
      <c r="Q228" s="9" t="str">
        <f t="shared" si="101"/>
        <v/>
      </c>
      <c r="R228" s="9" t="str">
        <f t="shared" si="101"/>
        <v/>
      </c>
      <c r="S228" s="9" t="str">
        <f t="shared" si="101"/>
        <v/>
      </c>
      <c r="T228" s="9" t="str">
        <f t="shared" si="101"/>
        <v/>
      </c>
      <c r="U228" s="9"/>
      <c r="V228" s="9" t="str">
        <f t="shared" si="102"/>
        <v/>
      </c>
      <c r="W228" t="str">
        <f t="shared" si="96"/>
        <v/>
      </c>
      <c r="X228" s="9" t="str">
        <f t="shared" si="103"/>
        <v/>
      </c>
      <c r="Y228" s="9" t="str">
        <f t="shared" si="103"/>
        <v/>
      </c>
      <c r="Z228" s="9" t="str">
        <f t="shared" si="103"/>
        <v/>
      </c>
      <c r="AA228" s="9" t="str">
        <f t="shared" si="103"/>
        <v/>
      </c>
      <c r="AB228" s="9" t="str">
        <f t="shared" si="103"/>
        <v/>
      </c>
      <c r="AC228" s="9" t="str">
        <f t="shared" si="103"/>
        <v/>
      </c>
      <c r="AD228" s="9" t="str">
        <f t="shared" si="103"/>
        <v/>
      </c>
      <c r="AE228" t="str">
        <f t="shared" si="97"/>
        <v/>
      </c>
      <c r="AF228" s="9" t="str">
        <f t="shared" si="104"/>
        <v/>
      </c>
      <c r="AG228" s="9" t="str">
        <f t="shared" si="104"/>
        <v/>
      </c>
      <c r="AH228" s="9" t="str">
        <f t="shared" si="104"/>
        <v/>
      </c>
      <c r="AI228" s="9" t="str">
        <f t="shared" si="104"/>
        <v/>
      </c>
      <c r="AJ228" s="9" t="str">
        <f t="shared" si="104"/>
        <v/>
      </c>
      <c r="AK228" s="9" t="str">
        <f t="shared" si="104"/>
        <v/>
      </c>
      <c r="AL228" s="9" t="str">
        <f t="shared" si="104"/>
        <v/>
      </c>
      <c r="AP228" t="str">
        <f t="shared" si="98"/>
        <v/>
      </c>
      <c r="AQ228" s="9" t="str">
        <f t="shared" si="105"/>
        <v/>
      </c>
      <c r="AR228" s="9" t="str">
        <f t="shared" si="105"/>
        <v/>
      </c>
      <c r="AS228" s="9" t="str">
        <f t="shared" si="105"/>
        <v/>
      </c>
      <c r="AT228" s="9" t="str">
        <f t="shared" si="105"/>
        <v/>
      </c>
      <c r="AU228" s="9" t="str">
        <f t="shared" si="105"/>
        <v/>
      </c>
      <c r="AV228" s="9" t="str">
        <f t="shared" si="105"/>
        <v/>
      </c>
      <c r="AW228" s="9" t="str">
        <f t="shared" si="105"/>
        <v/>
      </c>
    </row>
    <row r="229" spans="3:49" x14ac:dyDescent="0.25">
      <c r="C229">
        <v>73</v>
      </c>
      <c r="D229" t="str">
        <f t="shared" si="99"/>
        <v/>
      </c>
      <c r="E229" s="9" t="str">
        <f t="shared" si="100"/>
        <v/>
      </c>
      <c r="F229" s="9" t="str">
        <f t="shared" si="100"/>
        <v/>
      </c>
      <c r="G229" s="9" t="str">
        <f t="shared" si="100"/>
        <v/>
      </c>
      <c r="H229" s="9" t="str">
        <f t="shared" si="100"/>
        <v/>
      </c>
      <c r="I229" s="9" t="str">
        <f t="shared" si="100"/>
        <v/>
      </c>
      <c r="J229" s="9" t="str">
        <f t="shared" si="100"/>
        <v/>
      </c>
      <c r="K229" s="9" t="str">
        <f t="shared" si="100"/>
        <v/>
      </c>
      <c r="N229" t="str">
        <f t="shared" si="95"/>
        <v/>
      </c>
      <c r="O229" s="9" t="str">
        <f t="shared" si="101"/>
        <v/>
      </c>
      <c r="P229" s="9" t="str">
        <f t="shared" si="101"/>
        <v/>
      </c>
      <c r="Q229" s="9" t="str">
        <f t="shared" si="101"/>
        <v/>
      </c>
      <c r="R229" s="9" t="str">
        <f t="shared" si="101"/>
        <v/>
      </c>
      <c r="S229" s="9" t="str">
        <f t="shared" si="101"/>
        <v/>
      </c>
      <c r="T229" s="9" t="str">
        <f t="shared" si="101"/>
        <v/>
      </c>
      <c r="U229" s="9"/>
      <c r="V229" s="9" t="str">
        <f t="shared" si="102"/>
        <v/>
      </c>
      <c r="W229" t="str">
        <f t="shared" si="96"/>
        <v/>
      </c>
      <c r="X229" s="9" t="str">
        <f t="shared" si="103"/>
        <v/>
      </c>
      <c r="Y229" s="9" t="str">
        <f t="shared" si="103"/>
        <v/>
      </c>
      <c r="Z229" s="9" t="str">
        <f t="shared" si="103"/>
        <v/>
      </c>
      <c r="AA229" s="9" t="str">
        <f t="shared" si="103"/>
        <v/>
      </c>
      <c r="AB229" s="9" t="str">
        <f t="shared" si="103"/>
        <v/>
      </c>
      <c r="AC229" s="9" t="str">
        <f t="shared" si="103"/>
        <v/>
      </c>
      <c r="AD229" s="9" t="str">
        <f t="shared" si="103"/>
        <v/>
      </c>
      <c r="AE229" t="str">
        <f t="shared" si="97"/>
        <v/>
      </c>
      <c r="AF229" s="9" t="str">
        <f t="shared" si="104"/>
        <v/>
      </c>
      <c r="AG229" s="9" t="str">
        <f t="shared" si="104"/>
        <v/>
      </c>
      <c r="AH229" s="9" t="str">
        <f t="shared" si="104"/>
        <v/>
      </c>
      <c r="AI229" s="9" t="str">
        <f t="shared" si="104"/>
        <v/>
      </c>
      <c r="AJ229" s="9" t="str">
        <f t="shared" si="104"/>
        <v/>
      </c>
      <c r="AK229" s="9" t="str">
        <f t="shared" si="104"/>
        <v/>
      </c>
      <c r="AL229" s="9" t="str">
        <f t="shared" si="104"/>
        <v/>
      </c>
      <c r="AP229" t="str">
        <f t="shared" si="98"/>
        <v/>
      </c>
      <c r="AQ229" s="9" t="str">
        <f t="shared" si="105"/>
        <v/>
      </c>
      <c r="AR229" s="9" t="str">
        <f t="shared" si="105"/>
        <v/>
      </c>
      <c r="AS229" s="9" t="str">
        <f t="shared" si="105"/>
        <v/>
      </c>
      <c r="AT229" s="9" t="str">
        <f t="shared" si="105"/>
        <v/>
      </c>
      <c r="AU229" s="9" t="str">
        <f t="shared" si="105"/>
        <v/>
      </c>
      <c r="AV229" s="9" t="str">
        <f t="shared" si="105"/>
        <v/>
      </c>
      <c r="AW229" s="9" t="str">
        <f t="shared" si="105"/>
        <v/>
      </c>
    </row>
    <row r="230" spans="3:49" x14ac:dyDescent="0.25">
      <c r="C230">
        <v>74</v>
      </c>
      <c r="D230" t="str">
        <f t="shared" si="99"/>
        <v/>
      </c>
      <c r="E230" s="9" t="str">
        <f t="shared" si="100"/>
        <v/>
      </c>
      <c r="F230" s="9" t="str">
        <f t="shared" si="100"/>
        <v/>
      </c>
      <c r="G230" s="9" t="str">
        <f t="shared" si="100"/>
        <v/>
      </c>
      <c r="H230" s="9" t="str">
        <f t="shared" si="100"/>
        <v/>
      </c>
      <c r="I230" s="9" t="str">
        <f t="shared" si="100"/>
        <v/>
      </c>
      <c r="J230" s="9" t="str">
        <f t="shared" si="100"/>
        <v/>
      </c>
      <c r="K230" s="9" t="str">
        <f t="shared" si="100"/>
        <v/>
      </c>
      <c r="N230" t="str">
        <f t="shared" si="95"/>
        <v/>
      </c>
      <c r="O230" s="9" t="str">
        <f t="shared" si="101"/>
        <v/>
      </c>
      <c r="P230" s="9" t="str">
        <f t="shared" si="101"/>
        <v/>
      </c>
      <c r="Q230" s="9" t="str">
        <f t="shared" si="101"/>
        <v/>
      </c>
      <c r="R230" s="9" t="str">
        <f t="shared" si="101"/>
        <v/>
      </c>
      <c r="S230" s="9" t="str">
        <f t="shared" si="101"/>
        <v/>
      </c>
      <c r="T230" s="9" t="str">
        <f t="shared" si="101"/>
        <v/>
      </c>
      <c r="U230" s="9"/>
      <c r="V230" s="9" t="str">
        <f t="shared" si="102"/>
        <v/>
      </c>
      <c r="W230" t="str">
        <f t="shared" si="96"/>
        <v/>
      </c>
      <c r="X230" s="9" t="str">
        <f t="shared" si="103"/>
        <v/>
      </c>
      <c r="Y230" s="9" t="str">
        <f t="shared" si="103"/>
        <v/>
      </c>
      <c r="Z230" s="9" t="str">
        <f t="shared" si="103"/>
        <v/>
      </c>
      <c r="AA230" s="9" t="str">
        <f t="shared" si="103"/>
        <v/>
      </c>
      <c r="AB230" s="9" t="str">
        <f t="shared" si="103"/>
        <v/>
      </c>
      <c r="AC230" s="9" t="str">
        <f t="shared" si="103"/>
        <v/>
      </c>
      <c r="AD230" s="9" t="str">
        <f t="shared" si="103"/>
        <v/>
      </c>
      <c r="AE230" t="str">
        <f t="shared" si="97"/>
        <v/>
      </c>
      <c r="AF230" s="9" t="str">
        <f t="shared" si="104"/>
        <v/>
      </c>
      <c r="AG230" s="9" t="str">
        <f t="shared" si="104"/>
        <v/>
      </c>
      <c r="AH230" s="9" t="str">
        <f t="shared" si="104"/>
        <v/>
      </c>
      <c r="AI230" s="9" t="str">
        <f t="shared" si="104"/>
        <v/>
      </c>
      <c r="AJ230" s="9" t="str">
        <f t="shared" si="104"/>
        <v/>
      </c>
      <c r="AK230" s="9" t="str">
        <f t="shared" si="104"/>
        <v/>
      </c>
      <c r="AL230" s="9" t="str">
        <f t="shared" si="104"/>
        <v/>
      </c>
      <c r="AP230" t="str">
        <f t="shared" si="98"/>
        <v/>
      </c>
      <c r="AQ230" s="9" t="str">
        <f t="shared" si="105"/>
        <v/>
      </c>
      <c r="AR230" s="9" t="str">
        <f t="shared" si="105"/>
        <v/>
      </c>
      <c r="AS230" s="9" t="str">
        <f t="shared" si="105"/>
        <v/>
      </c>
      <c r="AT230" s="9" t="str">
        <f t="shared" si="105"/>
        <v/>
      </c>
      <c r="AU230" s="9" t="str">
        <f t="shared" si="105"/>
        <v/>
      </c>
      <c r="AV230" s="9" t="str">
        <f t="shared" si="105"/>
        <v/>
      </c>
      <c r="AW230" s="9" t="str">
        <f t="shared" si="105"/>
        <v/>
      </c>
    </row>
    <row r="231" spans="3:49" x14ac:dyDescent="0.25">
      <c r="C231">
        <v>75</v>
      </c>
      <c r="D231" t="str">
        <f t="shared" si="99"/>
        <v/>
      </c>
      <c r="E231" s="9" t="str">
        <f t="shared" ref="E231:K240" si="106">E167</f>
        <v/>
      </c>
      <c r="F231" s="9" t="str">
        <f t="shared" si="106"/>
        <v/>
      </c>
      <c r="G231" s="9" t="str">
        <f t="shared" si="106"/>
        <v/>
      </c>
      <c r="H231" s="9" t="str">
        <f t="shared" si="106"/>
        <v/>
      </c>
      <c r="I231" s="9" t="str">
        <f t="shared" si="106"/>
        <v/>
      </c>
      <c r="J231" s="9" t="str">
        <f t="shared" si="106"/>
        <v/>
      </c>
      <c r="K231" s="9" t="str">
        <f t="shared" si="106"/>
        <v/>
      </c>
      <c r="N231" t="str">
        <f t="shared" si="95"/>
        <v/>
      </c>
      <c r="O231" s="9" t="str">
        <f t="shared" ref="O231:T240" si="107">O167</f>
        <v/>
      </c>
      <c r="P231" s="9" t="str">
        <f t="shared" si="107"/>
        <v/>
      </c>
      <c r="Q231" s="9" t="str">
        <f t="shared" si="107"/>
        <v/>
      </c>
      <c r="R231" s="9" t="str">
        <f t="shared" si="107"/>
        <v/>
      </c>
      <c r="S231" s="9" t="str">
        <f t="shared" si="107"/>
        <v/>
      </c>
      <c r="T231" s="9" t="str">
        <f t="shared" si="107"/>
        <v/>
      </c>
      <c r="U231" s="9"/>
      <c r="V231" s="9" t="str">
        <f t="shared" si="102"/>
        <v/>
      </c>
      <c r="W231" t="str">
        <f t="shared" si="96"/>
        <v/>
      </c>
      <c r="X231" s="9" t="str">
        <f t="shared" ref="X231:AD240" si="108">X167</f>
        <v/>
      </c>
      <c r="Y231" s="9" t="str">
        <f t="shared" si="108"/>
        <v/>
      </c>
      <c r="Z231" s="9" t="str">
        <f t="shared" si="108"/>
        <v/>
      </c>
      <c r="AA231" s="9" t="str">
        <f t="shared" si="108"/>
        <v/>
      </c>
      <c r="AB231" s="9" t="str">
        <f t="shared" si="108"/>
        <v/>
      </c>
      <c r="AC231" s="9" t="str">
        <f t="shared" si="108"/>
        <v/>
      </c>
      <c r="AD231" s="9" t="str">
        <f t="shared" si="108"/>
        <v/>
      </c>
      <c r="AE231" t="str">
        <f t="shared" si="97"/>
        <v/>
      </c>
      <c r="AF231" s="9" t="str">
        <f t="shared" ref="AF231:AL240" si="109">AF167</f>
        <v/>
      </c>
      <c r="AG231" s="9" t="str">
        <f t="shared" si="109"/>
        <v/>
      </c>
      <c r="AH231" s="9" t="str">
        <f t="shared" si="109"/>
        <v/>
      </c>
      <c r="AI231" s="9" t="str">
        <f t="shared" si="109"/>
        <v/>
      </c>
      <c r="AJ231" s="9" t="str">
        <f t="shared" si="109"/>
        <v/>
      </c>
      <c r="AK231" s="9" t="str">
        <f t="shared" si="109"/>
        <v/>
      </c>
      <c r="AL231" s="9" t="str">
        <f t="shared" si="109"/>
        <v/>
      </c>
      <c r="AP231" t="str">
        <f t="shared" si="98"/>
        <v/>
      </c>
      <c r="AQ231" s="9" t="str">
        <f t="shared" ref="AQ231:AW240" si="110">AQ167</f>
        <v/>
      </c>
      <c r="AR231" s="9" t="str">
        <f t="shared" si="110"/>
        <v/>
      </c>
      <c r="AS231" s="9" t="str">
        <f t="shared" si="110"/>
        <v/>
      </c>
      <c r="AT231" s="9" t="str">
        <f t="shared" si="110"/>
        <v/>
      </c>
      <c r="AU231" s="9" t="str">
        <f t="shared" si="110"/>
        <v/>
      </c>
      <c r="AV231" s="9" t="str">
        <f t="shared" si="110"/>
        <v/>
      </c>
      <c r="AW231" s="9" t="str">
        <f t="shared" si="110"/>
        <v/>
      </c>
    </row>
    <row r="232" spans="3:49" x14ac:dyDescent="0.25">
      <c r="C232">
        <v>76</v>
      </c>
      <c r="D232" t="str">
        <f t="shared" si="99"/>
        <v/>
      </c>
      <c r="E232" s="9" t="str">
        <f t="shared" si="106"/>
        <v/>
      </c>
      <c r="F232" s="9" t="str">
        <f t="shared" si="106"/>
        <v/>
      </c>
      <c r="G232" s="9" t="str">
        <f t="shared" si="106"/>
        <v/>
      </c>
      <c r="H232" s="9" t="str">
        <f t="shared" si="106"/>
        <v/>
      </c>
      <c r="I232" s="9" t="str">
        <f t="shared" si="106"/>
        <v/>
      </c>
      <c r="J232" s="9" t="str">
        <f t="shared" si="106"/>
        <v/>
      </c>
      <c r="K232" s="9" t="str">
        <f t="shared" si="106"/>
        <v/>
      </c>
      <c r="N232" t="str">
        <f t="shared" si="95"/>
        <v/>
      </c>
      <c r="O232" s="9" t="str">
        <f t="shared" si="107"/>
        <v/>
      </c>
      <c r="P232" s="9" t="str">
        <f t="shared" si="107"/>
        <v/>
      </c>
      <c r="Q232" s="9" t="str">
        <f t="shared" si="107"/>
        <v/>
      </c>
      <c r="R232" s="9" t="str">
        <f t="shared" si="107"/>
        <v/>
      </c>
      <c r="S232" s="9" t="str">
        <f t="shared" si="107"/>
        <v/>
      </c>
      <c r="T232" s="9" t="str">
        <f t="shared" si="107"/>
        <v/>
      </c>
      <c r="U232" s="9"/>
      <c r="V232" s="9" t="str">
        <f t="shared" si="102"/>
        <v/>
      </c>
      <c r="W232" t="str">
        <f t="shared" si="96"/>
        <v/>
      </c>
      <c r="X232" s="9" t="str">
        <f t="shared" si="108"/>
        <v/>
      </c>
      <c r="Y232" s="9" t="str">
        <f t="shared" si="108"/>
        <v/>
      </c>
      <c r="Z232" s="9" t="str">
        <f t="shared" si="108"/>
        <v/>
      </c>
      <c r="AA232" s="9" t="str">
        <f t="shared" si="108"/>
        <v/>
      </c>
      <c r="AB232" s="9" t="str">
        <f t="shared" si="108"/>
        <v/>
      </c>
      <c r="AC232" s="9" t="str">
        <f t="shared" si="108"/>
        <v/>
      </c>
      <c r="AD232" s="9" t="str">
        <f t="shared" si="108"/>
        <v/>
      </c>
      <c r="AE232" t="str">
        <f t="shared" si="97"/>
        <v/>
      </c>
      <c r="AF232" s="9" t="str">
        <f t="shared" si="109"/>
        <v/>
      </c>
      <c r="AG232" s="9" t="str">
        <f t="shared" si="109"/>
        <v/>
      </c>
      <c r="AH232" s="9" t="str">
        <f t="shared" si="109"/>
        <v/>
      </c>
      <c r="AI232" s="9" t="str">
        <f t="shared" si="109"/>
        <v/>
      </c>
      <c r="AJ232" s="9" t="str">
        <f t="shared" si="109"/>
        <v/>
      </c>
      <c r="AK232" s="9" t="str">
        <f t="shared" si="109"/>
        <v/>
      </c>
      <c r="AL232" s="9" t="str">
        <f t="shared" si="109"/>
        <v/>
      </c>
      <c r="AP232" t="str">
        <f t="shared" si="98"/>
        <v/>
      </c>
      <c r="AQ232" s="9" t="str">
        <f t="shared" si="110"/>
        <v/>
      </c>
      <c r="AR232" s="9" t="str">
        <f t="shared" si="110"/>
        <v/>
      </c>
      <c r="AS232" s="9" t="str">
        <f t="shared" si="110"/>
        <v/>
      </c>
      <c r="AT232" s="9" t="str">
        <f t="shared" si="110"/>
        <v/>
      </c>
      <c r="AU232" s="9" t="str">
        <f t="shared" si="110"/>
        <v/>
      </c>
      <c r="AV232" s="9" t="str">
        <f t="shared" si="110"/>
        <v/>
      </c>
      <c r="AW232" s="9" t="str">
        <f t="shared" si="110"/>
        <v/>
      </c>
    </row>
    <row r="233" spans="3:49" x14ac:dyDescent="0.25">
      <c r="C233">
        <v>77</v>
      </c>
      <c r="D233" t="str">
        <f t="shared" si="99"/>
        <v/>
      </c>
      <c r="E233" s="9" t="str">
        <f t="shared" si="106"/>
        <v/>
      </c>
      <c r="F233" s="9" t="str">
        <f t="shared" si="106"/>
        <v/>
      </c>
      <c r="G233" s="9" t="str">
        <f t="shared" si="106"/>
        <v/>
      </c>
      <c r="H233" s="9" t="str">
        <f t="shared" si="106"/>
        <v/>
      </c>
      <c r="I233" s="9" t="str">
        <f t="shared" si="106"/>
        <v/>
      </c>
      <c r="J233" s="9" t="str">
        <f t="shared" si="106"/>
        <v/>
      </c>
      <c r="K233" s="9" t="str">
        <f t="shared" si="106"/>
        <v/>
      </c>
      <c r="N233" t="str">
        <f t="shared" si="95"/>
        <v/>
      </c>
      <c r="O233" s="9" t="str">
        <f t="shared" si="107"/>
        <v/>
      </c>
      <c r="P233" s="9" t="str">
        <f t="shared" si="107"/>
        <v/>
      </c>
      <c r="Q233" s="9" t="str">
        <f t="shared" si="107"/>
        <v/>
      </c>
      <c r="R233" s="9" t="str">
        <f t="shared" si="107"/>
        <v/>
      </c>
      <c r="S233" s="9" t="str">
        <f t="shared" si="107"/>
        <v/>
      </c>
      <c r="T233" s="9" t="str">
        <f t="shared" si="107"/>
        <v/>
      </c>
      <c r="U233" s="9"/>
      <c r="V233" s="9" t="str">
        <f t="shared" si="102"/>
        <v/>
      </c>
      <c r="W233" t="str">
        <f t="shared" si="96"/>
        <v/>
      </c>
      <c r="X233" s="9" t="str">
        <f t="shared" si="108"/>
        <v/>
      </c>
      <c r="Y233" s="9" t="str">
        <f t="shared" si="108"/>
        <v/>
      </c>
      <c r="Z233" s="9" t="str">
        <f t="shared" si="108"/>
        <v/>
      </c>
      <c r="AA233" s="9" t="str">
        <f t="shared" si="108"/>
        <v/>
      </c>
      <c r="AB233" s="9" t="str">
        <f t="shared" si="108"/>
        <v/>
      </c>
      <c r="AC233" s="9" t="str">
        <f t="shared" si="108"/>
        <v/>
      </c>
      <c r="AD233" s="9" t="str">
        <f t="shared" si="108"/>
        <v/>
      </c>
      <c r="AE233" t="str">
        <f t="shared" si="97"/>
        <v/>
      </c>
      <c r="AF233" s="9" t="str">
        <f t="shared" si="109"/>
        <v/>
      </c>
      <c r="AG233" s="9" t="str">
        <f t="shared" si="109"/>
        <v/>
      </c>
      <c r="AH233" s="9" t="str">
        <f t="shared" si="109"/>
        <v/>
      </c>
      <c r="AI233" s="9" t="str">
        <f t="shared" si="109"/>
        <v/>
      </c>
      <c r="AJ233" s="9" t="str">
        <f t="shared" si="109"/>
        <v/>
      </c>
      <c r="AK233" s="9" t="str">
        <f t="shared" si="109"/>
        <v/>
      </c>
      <c r="AL233" s="9" t="str">
        <f t="shared" si="109"/>
        <v/>
      </c>
      <c r="AP233" t="str">
        <f t="shared" si="98"/>
        <v/>
      </c>
      <c r="AQ233" s="9" t="str">
        <f t="shared" si="110"/>
        <v/>
      </c>
      <c r="AR233" s="9" t="str">
        <f t="shared" si="110"/>
        <v/>
      </c>
      <c r="AS233" s="9" t="str">
        <f t="shared" si="110"/>
        <v/>
      </c>
      <c r="AT233" s="9" t="str">
        <f t="shared" si="110"/>
        <v/>
      </c>
      <c r="AU233" s="9" t="str">
        <f t="shared" si="110"/>
        <v/>
      </c>
      <c r="AV233" s="9" t="str">
        <f t="shared" si="110"/>
        <v/>
      </c>
      <c r="AW233" s="9" t="str">
        <f t="shared" si="110"/>
        <v/>
      </c>
    </row>
    <row r="234" spans="3:49" x14ac:dyDescent="0.25">
      <c r="C234">
        <v>78</v>
      </c>
      <c r="D234" t="str">
        <f t="shared" si="99"/>
        <v/>
      </c>
      <c r="E234" s="9" t="str">
        <f t="shared" si="106"/>
        <v/>
      </c>
      <c r="F234" s="9" t="str">
        <f t="shared" si="106"/>
        <v/>
      </c>
      <c r="G234" s="9" t="str">
        <f t="shared" si="106"/>
        <v/>
      </c>
      <c r="H234" s="9" t="str">
        <f t="shared" si="106"/>
        <v/>
      </c>
      <c r="I234" s="9" t="str">
        <f t="shared" si="106"/>
        <v/>
      </c>
      <c r="J234" s="9" t="str">
        <f t="shared" si="106"/>
        <v/>
      </c>
      <c r="K234" s="9" t="str">
        <f t="shared" si="106"/>
        <v/>
      </c>
      <c r="N234" t="str">
        <f t="shared" si="95"/>
        <v/>
      </c>
      <c r="O234" s="9" t="str">
        <f t="shared" si="107"/>
        <v/>
      </c>
      <c r="P234" s="9" t="str">
        <f t="shared" si="107"/>
        <v/>
      </c>
      <c r="Q234" s="9" t="str">
        <f t="shared" si="107"/>
        <v/>
      </c>
      <c r="R234" s="9" t="str">
        <f t="shared" si="107"/>
        <v/>
      </c>
      <c r="S234" s="9" t="str">
        <f t="shared" si="107"/>
        <v/>
      </c>
      <c r="T234" s="9" t="str">
        <f t="shared" si="107"/>
        <v/>
      </c>
      <c r="U234" s="9"/>
      <c r="V234" s="9" t="str">
        <f t="shared" si="102"/>
        <v/>
      </c>
      <c r="W234" t="str">
        <f t="shared" si="96"/>
        <v/>
      </c>
      <c r="X234" s="9" t="str">
        <f t="shared" si="108"/>
        <v/>
      </c>
      <c r="Y234" s="9" t="str">
        <f t="shared" si="108"/>
        <v/>
      </c>
      <c r="Z234" s="9" t="str">
        <f t="shared" si="108"/>
        <v/>
      </c>
      <c r="AA234" s="9" t="str">
        <f t="shared" si="108"/>
        <v/>
      </c>
      <c r="AB234" s="9" t="str">
        <f t="shared" si="108"/>
        <v/>
      </c>
      <c r="AC234" s="9" t="str">
        <f t="shared" si="108"/>
        <v/>
      </c>
      <c r="AD234" s="9" t="str">
        <f t="shared" si="108"/>
        <v/>
      </c>
      <c r="AE234" t="str">
        <f t="shared" si="97"/>
        <v/>
      </c>
      <c r="AF234" s="9" t="str">
        <f t="shared" si="109"/>
        <v/>
      </c>
      <c r="AG234" s="9" t="str">
        <f t="shared" si="109"/>
        <v/>
      </c>
      <c r="AH234" s="9" t="str">
        <f t="shared" si="109"/>
        <v/>
      </c>
      <c r="AI234" s="9" t="str">
        <f t="shared" si="109"/>
        <v/>
      </c>
      <c r="AJ234" s="9" t="str">
        <f t="shared" si="109"/>
        <v/>
      </c>
      <c r="AK234" s="9" t="str">
        <f t="shared" si="109"/>
        <v/>
      </c>
      <c r="AL234" s="9" t="str">
        <f t="shared" si="109"/>
        <v/>
      </c>
      <c r="AP234" t="str">
        <f t="shared" si="98"/>
        <v/>
      </c>
      <c r="AQ234" s="9" t="str">
        <f t="shared" si="110"/>
        <v/>
      </c>
      <c r="AR234" s="9" t="str">
        <f t="shared" si="110"/>
        <v/>
      </c>
      <c r="AS234" s="9" t="str">
        <f t="shared" si="110"/>
        <v/>
      </c>
      <c r="AT234" s="9" t="str">
        <f t="shared" si="110"/>
        <v/>
      </c>
      <c r="AU234" s="9" t="str">
        <f t="shared" si="110"/>
        <v/>
      </c>
      <c r="AV234" s="9" t="str">
        <f t="shared" si="110"/>
        <v/>
      </c>
      <c r="AW234" s="9" t="str">
        <f t="shared" si="110"/>
        <v/>
      </c>
    </row>
    <row r="235" spans="3:49" x14ac:dyDescent="0.25">
      <c r="C235">
        <v>79</v>
      </c>
      <c r="D235" t="str">
        <f t="shared" si="99"/>
        <v/>
      </c>
      <c r="E235" s="9" t="str">
        <f t="shared" si="106"/>
        <v/>
      </c>
      <c r="F235" s="9" t="str">
        <f t="shared" si="106"/>
        <v/>
      </c>
      <c r="G235" s="9" t="str">
        <f t="shared" si="106"/>
        <v/>
      </c>
      <c r="H235" s="9" t="str">
        <f t="shared" si="106"/>
        <v/>
      </c>
      <c r="I235" s="9" t="str">
        <f t="shared" si="106"/>
        <v/>
      </c>
      <c r="J235" s="9" t="str">
        <f t="shared" si="106"/>
        <v/>
      </c>
      <c r="K235" s="9" t="str">
        <f t="shared" si="106"/>
        <v/>
      </c>
      <c r="N235" t="str">
        <f t="shared" si="95"/>
        <v/>
      </c>
      <c r="O235" s="9" t="str">
        <f t="shared" si="107"/>
        <v/>
      </c>
      <c r="P235" s="9" t="str">
        <f t="shared" si="107"/>
        <v/>
      </c>
      <c r="Q235" s="9" t="str">
        <f t="shared" si="107"/>
        <v/>
      </c>
      <c r="R235" s="9" t="str">
        <f t="shared" si="107"/>
        <v/>
      </c>
      <c r="S235" s="9" t="str">
        <f t="shared" si="107"/>
        <v/>
      </c>
      <c r="T235" s="9" t="str">
        <f t="shared" si="107"/>
        <v/>
      </c>
      <c r="U235" s="9"/>
      <c r="V235" s="9" t="str">
        <f t="shared" si="102"/>
        <v/>
      </c>
      <c r="W235" t="str">
        <f t="shared" si="96"/>
        <v/>
      </c>
      <c r="X235" s="9" t="str">
        <f t="shared" si="108"/>
        <v/>
      </c>
      <c r="Y235" s="9" t="str">
        <f t="shared" si="108"/>
        <v/>
      </c>
      <c r="Z235" s="9" t="str">
        <f t="shared" si="108"/>
        <v/>
      </c>
      <c r="AA235" s="9" t="str">
        <f t="shared" si="108"/>
        <v/>
      </c>
      <c r="AB235" s="9" t="str">
        <f t="shared" si="108"/>
        <v/>
      </c>
      <c r="AC235" s="9" t="str">
        <f t="shared" si="108"/>
        <v/>
      </c>
      <c r="AD235" s="9" t="str">
        <f t="shared" si="108"/>
        <v/>
      </c>
      <c r="AE235" t="str">
        <f t="shared" si="97"/>
        <v/>
      </c>
      <c r="AF235" s="9" t="str">
        <f t="shared" si="109"/>
        <v/>
      </c>
      <c r="AG235" s="9" t="str">
        <f t="shared" si="109"/>
        <v/>
      </c>
      <c r="AH235" s="9" t="str">
        <f t="shared" si="109"/>
        <v/>
      </c>
      <c r="AI235" s="9" t="str">
        <f t="shared" si="109"/>
        <v/>
      </c>
      <c r="AJ235" s="9" t="str">
        <f t="shared" si="109"/>
        <v/>
      </c>
      <c r="AK235" s="9" t="str">
        <f t="shared" si="109"/>
        <v/>
      </c>
      <c r="AL235" s="9" t="str">
        <f t="shared" si="109"/>
        <v/>
      </c>
      <c r="AP235" t="str">
        <f t="shared" si="98"/>
        <v/>
      </c>
      <c r="AQ235" s="9" t="str">
        <f t="shared" si="110"/>
        <v/>
      </c>
      <c r="AR235" s="9" t="str">
        <f t="shared" si="110"/>
        <v/>
      </c>
      <c r="AS235" s="9" t="str">
        <f t="shared" si="110"/>
        <v/>
      </c>
      <c r="AT235" s="9" t="str">
        <f t="shared" si="110"/>
        <v/>
      </c>
      <c r="AU235" s="9" t="str">
        <f t="shared" si="110"/>
        <v/>
      </c>
      <c r="AV235" s="9" t="str">
        <f t="shared" si="110"/>
        <v/>
      </c>
      <c r="AW235" s="9" t="str">
        <f t="shared" si="110"/>
        <v/>
      </c>
    </row>
    <row r="236" spans="3:49" x14ac:dyDescent="0.25">
      <c r="C236">
        <v>80</v>
      </c>
      <c r="D236" t="str">
        <f t="shared" si="99"/>
        <v/>
      </c>
      <c r="E236" s="9" t="str">
        <f t="shared" si="106"/>
        <v/>
      </c>
      <c r="F236" s="9" t="str">
        <f t="shared" si="106"/>
        <v/>
      </c>
      <c r="G236" s="9" t="str">
        <f t="shared" si="106"/>
        <v/>
      </c>
      <c r="H236" s="9" t="str">
        <f t="shared" si="106"/>
        <v/>
      </c>
      <c r="I236" s="9" t="str">
        <f t="shared" si="106"/>
        <v/>
      </c>
      <c r="J236" s="9" t="str">
        <f t="shared" si="106"/>
        <v/>
      </c>
      <c r="K236" s="9" t="str">
        <f t="shared" si="106"/>
        <v/>
      </c>
      <c r="N236" t="str">
        <f t="shared" si="95"/>
        <v/>
      </c>
      <c r="O236" s="9" t="str">
        <f t="shared" si="107"/>
        <v/>
      </c>
      <c r="P236" s="9" t="str">
        <f t="shared" si="107"/>
        <v/>
      </c>
      <c r="Q236" s="9" t="str">
        <f t="shared" si="107"/>
        <v/>
      </c>
      <c r="R236" s="9" t="str">
        <f t="shared" si="107"/>
        <v/>
      </c>
      <c r="S236" s="9" t="str">
        <f t="shared" si="107"/>
        <v/>
      </c>
      <c r="T236" s="9" t="str">
        <f t="shared" si="107"/>
        <v/>
      </c>
      <c r="U236" s="9"/>
      <c r="V236" s="9" t="str">
        <f t="shared" si="102"/>
        <v/>
      </c>
      <c r="W236" t="str">
        <f t="shared" si="96"/>
        <v/>
      </c>
      <c r="X236" s="9" t="str">
        <f t="shared" si="108"/>
        <v/>
      </c>
      <c r="Y236" s="9" t="str">
        <f t="shared" si="108"/>
        <v/>
      </c>
      <c r="Z236" s="9" t="str">
        <f t="shared" si="108"/>
        <v/>
      </c>
      <c r="AA236" s="9" t="str">
        <f t="shared" si="108"/>
        <v/>
      </c>
      <c r="AB236" s="9" t="str">
        <f t="shared" si="108"/>
        <v/>
      </c>
      <c r="AC236" s="9" t="str">
        <f t="shared" si="108"/>
        <v/>
      </c>
      <c r="AD236" s="9" t="str">
        <f t="shared" si="108"/>
        <v/>
      </c>
      <c r="AE236" t="str">
        <f t="shared" si="97"/>
        <v/>
      </c>
      <c r="AF236" s="9" t="str">
        <f t="shared" si="109"/>
        <v/>
      </c>
      <c r="AG236" s="9" t="str">
        <f t="shared" si="109"/>
        <v/>
      </c>
      <c r="AH236" s="9" t="str">
        <f t="shared" si="109"/>
        <v/>
      </c>
      <c r="AI236" s="9" t="str">
        <f t="shared" si="109"/>
        <v/>
      </c>
      <c r="AJ236" s="9" t="str">
        <f t="shared" si="109"/>
        <v/>
      </c>
      <c r="AK236" s="9" t="str">
        <f t="shared" si="109"/>
        <v/>
      </c>
      <c r="AL236" s="9" t="str">
        <f t="shared" si="109"/>
        <v/>
      </c>
      <c r="AP236" t="str">
        <f t="shared" si="98"/>
        <v/>
      </c>
      <c r="AQ236" s="9" t="str">
        <f t="shared" si="110"/>
        <v/>
      </c>
      <c r="AR236" s="9" t="str">
        <f t="shared" si="110"/>
        <v/>
      </c>
      <c r="AS236" s="9" t="str">
        <f t="shared" si="110"/>
        <v/>
      </c>
      <c r="AT236" s="9" t="str">
        <f t="shared" si="110"/>
        <v/>
      </c>
      <c r="AU236" s="9" t="str">
        <f t="shared" si="110"/>
        <v/>
      </c>
      <c r="AV236" s="9" t="str">
        <f t="shared" si="110"/>
        <v/>
      </c>
      <c r="AW236" s="9" t="str">
        <f t="shared" si="110"/>
        <v/>
      </c>
    </row>
    <row r="237" spans="3:49" x14ac:dyDescent="0.25">
      <c r="C237">
        <v>81</v>
      </c>
      <c r="D237" t="str">
        <f t="shared" si="99"/>
        <v/>
      </c>
      <c r="E237" s="9" t="str">
        <f t="shared" si="106"/>
        <v/>
      </c>
      <c r="F237" s="9" t="str">
        <f t="shared" si="106"/>
        <v/>
      </c>
      <c r="G237" s="9" t="str">
        <f t="shared" si="106"/>
        <v/>
      </c>
      <c r="H237" s="9" t="str">
        <f t="shared" si="106"/>
        <v/>
      </c>
      <c r="I237" s="9" t="str">
        <f t="shared" si="106"/>
        <v/>
      </c>
      <c r="J237" s="9" t="str">
        <f t="shared" si="106"/>
        <v/>
      </c>
      <c r="K237" s="9" t="str">
        <f t="shared" si="106"/>
        <v/>
      </c>
      <c r="O237" s="9" t="str">
        <f t="shared" si="107"/>
        <v/>
      </c>
      <c r="P237" s="9" t="str">
        <f t="shared" si="107"/>
        <v/>
      </c>
      <c r="Q237" s="9" t="str">
        <f t="shared" si="107"/>
        <v/>
      </c>
      <c r="R237" s="9" t="str">
        <f t="shared" si="107"/>
        <v/>
      </c>
      <c r="S237" s="9" t="str">
        <f t="shared" si="107"/>
        <v/>
      </c>
      <c r="T237" s="9" t="str">
        <f t="shared" si="107"/>
        <v/>
      </c>
      <c r="U237" s="9"/>
      <c r="V237" s="9" t="str">
        <f t="shared" si="102"/>
        <v/>
      </c>
      <c r="X237" s="9" t="str">
        <f t="shared" si="108"/>
        <v/>
      </c>
      <c r="Y237" s="9" t="str">
        <f t="shared" si="108"/>
        <v/>
      </c>
      <c r="Z237" s="9" t="str">
        <f t="shared" si="108"/>
        <v/>
      </c>
      <c r="AA237" s="9" t="str">
        <f t="shared" si="108"/>
        <v/>
      </c>
      <c r="AB237" s="9" t="str">
        <f t="shared" si="108"/>
        <v/>
      </c>
      <c r="AC237" s="9" t="str">
        <f t="shared" si="108"/>
        <v/>
      </c>
      <c r="AD237" s="9" t="str">
        <f t="shared" si="108"/>
        <v/>
      </c>
      <c r="AF237" s="9" t="str">
        <f t="shared" si="109"/>
        <v/>
      </c>
      <c r="AG237" s="9" t="str">
        <f t="shared" si="109"/>
        <v/>
      </c>
      <c r="AH237" s="9" t="str">
        <f t="shared" si="109"/>
        <v/>
      </c>
      <c r="AI237" s="9" t="str">
        <f t="shared" si="109"/>
        <v/>
      </c>
      <c r="AJ237" s="9" t="str">
        <f t="shared" si="109"/>
        <v/>
      </c>
      <c r="AK237" s="9" t="str">
        <f t="shared" si="109"/>
        <v/>
      </c>
      <c r="AL237" s="9" t="str">
        <f t="shared" si="109"/>
        <v/>
      </c>
      <c r="AQ237" s="9" t="str">
        <f t="shared" si="110"/>
        <v/>
      </c>
      <c r="AR237" s="9" t="str">
        <f t="shared" si="110"/>
        <v/>
      </c>
      <c r="AS237" s="9" t="str">
        <f t="shared" si="110"/>
        <v/>
      </c>
      <c r="AT237" s="9" t="str">
        <f t="shared" si="110"/>
        <v/>
      </c>
      <c r="AU237" s="9" t="str">
        <f t="shared" si="110"/>
        <v/>
      </c>
      <c r="AV237" s="9" t="str">
        <f t="shared" si="110"/>
        <v/>
      </c>
      <c r="AW237" s="9" t="str">
        <f t="shared" si="110"/>
        <v/>
      </c>
    </row>
    <row r="238" spans="3:49" x14ac:dyDescent="0.25">
      <c r="C238">
        <v>82</v>
      </c>
      <c r="D238" t="str">
        <f t="shared" si="99"/>
        <v/>
      </c>
      <c r="E238" s="9" t="str">
        <f t="shared" si="106"/>
        <v/>
      </c>
      <c r="F238" s="9" t="str">
        <f t="shared" si="106"/>
        <v/>
      </c>
      <c r="G238" s="9" t="str">
        <f t="shared" si="106"/>
        <v/>
      </c>
      <c r="H238" s="9" t="str">
        <f t="shared" si="106"/>
        <v/>
      </c>
      <c r="I238" s="9" t="str">
        <f t="shared" si="106"/>
        <v/>
      </c>
      <c r="J238" s="9" t="str">
        <f t="shared" si="106"/>
        <v/>
      </c>
      <c r="K238" s="9" t="str">
        <f t="shared" si="106"/>
        <v/>
      </c>
      <c r="O238" s="9" t="str">
        <f t="shared" si="107"/>
        <v/>
      </c>
      <c r="P238" s="9" t="str">
        <f t="shared" si="107"/>
        <v/>
      </c>
      <c r="Q238" s="9" t="str">
        <f t="shared" si="107"/>
        <v/>
      </c>
      <c r="R238" s="9" t="str">
        <f t="shared" si="107"/>
        <v/>
      </c>
      <c r="S238" s="9" t="str">
        <f t="shared" si="107"/>
        <v/>
      </c>
      <c r="T238" s="9" t="str">
        <f t="shared" si="107"/>
        <v/>
      </c>
      <c r="U238" s="9"/>
      <c r="V238" s="9" t="str">
        <f t="shared" si="102"/>
        <v/>
      </c>
      <c r="X238" s="9" t="str">
        <f t="shared" si="108"/>
        <v/>
      </c>
      <c r="Y238" s="9" t="str">
        <f t="shared" si="108"/>
        <v/>
      </c>
      <c r="Z238" s="9" t="str">
        <f t="shared" si="108"/>
        <v/>
      </c>
      <c r="AA238" s="9" t="str">
        <f t="shared" si="108"/>
        <v/>
      </c>
      <c r="AB238" s="9" t="str">
        <f t="shared" si="108"/>
        <v/>
      </c>
      <c r="AC238" s="9" t="str">
        <f t="shared" si="108"/>
        <v/>
      </c>
      <c r="AD238" s="9" t="str">
        <f t="shared" si="108"/>
        <v/>
      </c>
      <c r="AF238" s="9" t="str">
        <f t="shared" si="109"/>
        <v/>
      </c>
      <c r="AG238" s="9" t="str">
        <f t="shared" si="109"/>
        <v/>
      </c>
      <c r="AH238" s="9" t="str">
        <f t="shared" si="109"/>
        <v/>
      </c>
      <c r="AI238" s="9" t="str">
        <f t="shared" si="109"/>
        <v/>
      </c>
      <c r="AJ238" s="9" t="str">
        <f t="shared" si="109"/>
        <v/>
      </c>
      <c r="AK238" s="9" t="str">
        <f t="shared" si="109"/>
        <v/>
      </c>
      <c r="AL238" s="9" t="str">
        <f t="shared" si="109"/>
        <v/>
      </c>
      <c r="AQ238" s="9" t="str">
        <f t="shared" si="110"/>
        <v/>
      </c>
      <c r="AR238" s="9" t="str">
        <f t="shared" si="110"/>
        <v/>
      </c>
      <c r="AS238" s="9" t="str">
        <f t="shared" si="110"/>
        <v/>
      </c>
      <c r="AT238" s="9" t="str">
        <f t="shared" si="110"/>
        <v/>
      </c>
      <c r="AU238" s="9" t="str">
        <f t="shared" si="110"/>
        <v/>
      </c>
      <c r="AV238" s="9" t="str">
        <f t="shared" si="110"/>
        <v/>
      </c>
      <c r="AW238" s="9" t="str">
        <f t="shared" si="110"/>
        <v/>
      </c>
    </row>
    <row r="239" spans="3:49" x14ac:dyDescent="0.25">
      <c r="C239">
        <v>83</v>
      </c>
      <c r="D239" t="str">
        <f t="shared" si="99"/>
        <v/>
      </c>
      <c r="E239" s="9" t="str">
        <f t="shared" si="106"/>
        <v/>
      </c>
      <c r="F239" s="9" t="str">
        <f t="shared" si="106"/>
        <v/>
      </c>
      <c r="G239" s="9" t="str">
        <f t="shared" si="106"/>
        <v/>
      </c>
      <c r="H239" s="9" t="str">
        <f t="shared" si="106"/>
        <v/>
      </c>
      <c r="I239" s="9" t="str">
        <f t="shared" si="106"/>
        <v/>
      </c>
      <c r="J239" s="9" t="str">
        <f t="shared" si="106"/>
        <v/>
      </c>
      <c r="K239" s="9" t="str">
        <f t="shared" si="106"/>
        <v/>
      </c>
      <c r="O239" s="9" t="str">
        <f t="shared" si="107"/>
        <v/>
      </c>
      <c r="P239" s="9" t="str">
        <f t="shared" si="107"/>
        <v/>
      </c>
      <c r="Q239" s="9" t="str">
        <f t="shared" si="107"/>
        <v/>
      </c>
      <c r="R239" s="9" t="str">
        <f t="shared" si="107"/>
        <v/>
      </c>
      <c r="S239" s="9" t="str">
        <f t="shared" si="107"/>
        <v/>
      </c>
      <c r="T239" s="9" t="str">
        <f t="shared" si="107"/>
        <v/>
      </c>
      <c r="U239" s="9"/>
      <c r="V239" s="9" t="str">
        <f t="shared" si="102"/>
        <v/>
      </c>
      <c r="X239" s="9" t="str">
        <f t="shared" si="108"/>
        <v/>
      </c>
      <c r="Y239" s="9" t="str">
        <f t="shared" si="108"/>
        <v/>
      </c>
      <c r="Z239" s="9" t="str">
        <f t="shared" si="108"/>
        <v/>
      </c>
      <c r="AA239" s="9" t="str">
        <f t="shared" si="108"/>
        <v/>
      </c>
      <c r="AB239" s="9" t="str">
        <f t="shared" si="108"/>
        <v/>
      </c>
      <c r="AC239" s="9" t="str">
        <f t="shared" si="108"/>
        <v/>
      </c>
      <c r="AD239" s="9" t="str">
        <f t="shared" si="108"/>
        <v/>
      </c>
      <c r="AF239" s="9" t="str">
        <f t="shared" si="109"/>
        <v/>
      </c>
      <c r="AG239" s="9" t="str">
        <f t="shared" si="109"/>
        <v/>
      </c>
      <c r="AH239" s="9" t="str">
        <f t="shared" si="109"/>
        <v/>
      </c>
      <c r="AI239" s="9" t="str">
        <f t="shared" si="109"/>
        <v/>
      </c>
      <c r="AJ239" s="9" t="str">
        <f t="shared" si="109"/>
        <v/>
      </c>
      <c r="AK239" s="9" t="str">
        <f t="shared" si="109"/>
        <v/>
      </c>
      <c r="AL239" s="9" t="str">
        <f t="shared" si="109"/>
        <v/>
      </c>
      <c r="AQ239" s="9" t="str">
        <f t="shared" si="110"/>
        <v/>
      </c>
      <c r="AR239" s="9" t="str">
        <f t="shared" si="110"/>
        <v/>
      </c>
      <c r="AS239" s="9" t="str">
        <f t="shared" si="110"/>
        <v/>
      </c>
      <c r="AT239" s="9" t="str">
        <f t="shared" si="110"/>
        <v/>
      </c>
      <c r="AU239" s="9" t="str">
        <f t="shared" si="110"/>
        <v/>
      </c>
      <c r="AV239" s="9" t="str">
        <f t="shared" si="110"/>
        <v/>
      </c>
      <c r="AW239" s="9" t="str">
        <f t="shared" si="110"/>
        <v/>
      </c>
    </row>
    <row r="240" spans="3:49" x14ac:dyDescent="0.25">
      <c r="C240">
        <v>84</v>
      </c>
      <c r="D240" t="str">
        <f t="shared" si="99"/>
        <v/>
      </c>
      <c r="E240" s="9" t="str">
        <f t="shared" si="106"/>
        <v/>
      </c>
      <c r="F240" s="9" t="str">
        <f t="shared" si="106"/>
        <v/>
      </c>
      <c r="G240" s="9" t="str">
        <f t="shared" si="106"/>
        <v/>
      </c>
      <c r="H240" s="9" t="str">
        <f t="shared" si="106"/>
        <v/>
      </c>
      <c r="I240" s="9" t="str">
        <f t="shared" si="106"/>
        <v/>
      </c>
      <c r="J240" s="9" t="str">
        <f t="shared" si="106"/>
        <v/>
      </c>
      <c r="K240" s="9" t="str">
        <f t="shared" si="106"/>
        <v/>
      </c>
      <c r="O240" s="9" t="str">
        <f t="shared" si="107"/>
        <v/>
      </c>
      <c r="P240" s="9" t="str">
        <f t="shared" si="107"/>
        <v/>
      </c>
      <c r="Q240" s="9" t="str">
        <f t="shared" si="107"/>
        <v/>
      </c>
      <c r="R240" s="9" t="str">
        <f t="shared" si="107"/>
        <v/>
      </c>
      <c r="S240" s="9" t="str">
        <f t="shared" si="107"/>
        <v/>
      </c>
      <c r="T240" s="9" t="str">
        <f t="shared" si="107"/>
        <v/>
      </c>
      <c r="U240" s="9"/>
      <c r="V240" s="9" t="str">
        <f t="shared" si="102"/>
        <v/>
      </c>
      <c r="X240" s="9" t="str">
        <f t="shared" si="108"/>
        <v/>
      </c>
      <c r="Y240" s="9" t="str">
        <f t="shared" si="108"/>
        <v/>
      </c>
      <c r="Z240" s="9" t="str">
        <f t="shared" si="108"/>
        <v/>
      </c>
      <c r="AA240" s="9" t="str">
        <f t="shared" si="108"/>
        <v/>
      </c>
      <c r="AB240" s="9" t="str">
        <f t="shared" si="108"/>
        <v/>
      </c>
      <c r="AC240" s="9" t="str">
        <f t="shared" si="108"/>
        <v/>
      </c>
      <c r="AD240" s="9" t="str">
        <f t="shared" si="108"/>
        <v/>
      </c>
      <c r="AF240" s="9" t="str">
        <f t="shared" si="109"/>
        <v/>
      </c>
      <c r="AG240" s="9" t="str">
        <f t="shared" si="109"/>
        <v/>
      </c>
      <c r="AH240" s="9" t="str">
        <f t="shared" si="109"/>
        <v/>
      </c>
      <c r="AI240" s="9" t="str">
        <f t="shared" si="109"/>
        <v/>
      </c>
      <c r="AJ240" s="9" t="str">
        <f t="shared" si="109"/>
        <v/>
      </c>
      <c r="AK240" s="9" t="str">
        <f t="shared" si="109"/>
        <v/>
      </c>
      <c r="AL240" s="9" t="str">
        <f t="shared" si="109"/>
        <v/>
      </c>
      <c r="AQ240" s="9" t="str">
        <f t="shared" si="110"/>
        <v/>
      </c>
      <c r="AR240" s="9" t="str">
        <f t="shared" si="110"/>
        <v/>
      </c>
      <c r="AS240" s="9" t="str">
        <f t="shared" si="110"/>
        <v/>
      </c>
      <c r="AT240" s="9" t="str">
        <f t="shared" si="110"/>
        <v/>
      </c>
      <c r="AU240" s="9" t="str">
        <f t="shared" si="110"/>
        <v/>
      </c>
      <c r="AV240" s="9" t="str">
        <f t="shared" si="110"/>
        <v/>
      </c>
      <c r="AW240" s="9" t="str">
        <f t="shared" si="110"/>
        <v/>
      </c>
    </row>
    <row r="241" spans="3:49" x14ac:dyDescent="0.25">
      <c r="C241">
        <v>85</v>
      </c>
      <c r="D241" t="str">
        <f t="shared" si="99"/>
        <v/>
      </c>
      <c r="E241" s="9" t="str">
        <f t="shared" ref="E241:K250" si="111">E177</f>
        <v/>
      </c>
      <c r="F241" s="9" t="str">
        <f t="shared" si="111"/>
        <v/>
      </c>
      <c r="G241" s="9" t="str">
        <f t="shared" si="111"/>
        <v/>
      </c>
      <c r="H241" s="9" t="str">
        <f t="shared" si="111"/>
        <v/>
      </c>
      <c r="I241" s="9" t="str">
        <f t="shared" si="111"/>
        <v/>
      </c>
      <c r="J241" s="9" t="str">
        <f t="shared" si="111"/>
        <v/>
      </c>
      <c r="K241" s="9" t="str">
        <f t="shared" si="111"/>
        <v/>
      </c>
      <c r="O241" s="9" t="str">
        <f t="shared" ref="O241:T250" si="112">O177</f>
        <v/>
      </c>
      <c r="P241" s="9" t="str">
        <f t="shared" si="112"/>
        <v/>
      </c>
      <c r="Q241" s="9" t="str">
        <f t="shared" si="112"/>
        <v/>
      </c>
      <c r="R241" s="9" t="str">
        <f t="shared" si="112"/>
        <v/>
      </c>
      <c r="S241" s="9" t="str">
        <f t="shared" si="112"/>
        <v/>
      </c>
      <c r="T241" s="9" t="str">
        <f t="shared" si="112"/>
        <v/>
      </c>
      <c r="U241" s="9"/>
      <c r="V241" s="9" t="str">
        <f t="shared" si="102"/>
        <v/>
      </c>
      <c r="X241" s="9" t="str">
        <f t="shared" ref="X241:AD250" si="113">X177</f>
        <v/>
      </c>
      <c r="Y241" s="9" t="str">
        <f t="shared" si="113"/>
        <v/>
      </c>
      <c r="Z241" s="9" t="str">
        <f t="shared" si="113"/>
        <v/>
      </c>
      <c r="AA241" s="9" t="str">
        <f t="shared" si="113"/>
        <v/>
      </c>
      <c r="AB241" s="9" t="str">
        <f t="shared" si="113"/>
        <v/>
      </c>
      <c r="AC241" s="9" t="str">
        <f t="shared" si="113"/>
        <v/>
      </c>
      <c r="AD241" s="9" t="str">
        <f t="shared" si="113"/>
        <v/>
      </c>
      <c r="AF241" s="9" t="str">
        <f t="shared" ref="AF241:AL250" si="114">AF177</f>
        <v/>
      </c>
      <c r="AG241" s="9" t="str">
        <f t="shared" si="114"/>
        <v/>
      </c>
      <c r="AH241" s="9" t="str">
        <f t="shared" si="114"/>
        <v/>
      </c>
      <c r="AI241" s="9" t="str">
        <f t="shared" si="114"/>
        <v/>
      </c>
      <c r="AJ241" s="9" t="str">
        <f t="shared" si="114"/>
        <v/>
      </c>
      <c r="AK241" s="9" t="str">
        <f t="shared" si="114"/>
        <v/>
      </c>
      <c r="AL241" s="9" t="str">
        <f t="shared" si="114"/>
        <v/>
      </c>
      <c r="AQ241" s="9" t="str">
        <f t="shared" ref="AQ241:AW250" si="115">AQ177</f>
        <v/>
      </c>
      <c r="AR241" s="9" t="str">
        <f t="shared" si="115"/>
        <v/>
      </c>
      <c r="AS241" s="9" t="str">
        <f t="shared" si="115"/>
        <v/>
      </c>
      <c r="AT241" s="9" t="str">
        <f t="shared" si="115"/>
        <v/>
      </c>
      <c r="AU241" s="9" t="str">
        <f t="shared" si="115"/>
        <v/>
      </c>
      <c r="AV241" s="9" t="str">
        <f t="shared" si="115"/>
        <v/>
      </c>
      <c r="AW241" s="9" t="str">
        <f t="shared" si="115"/>
        <v/>
      </c>
    </row>
    <row r="242" spans="3:49" x14ac:dyDescent="0.25">
      <c r="C242">
        <v>86</v>
      </c>
      <c r="D242" t="str">
        <f t="shared" si="99"/>
        <v/>
      </c>
      <c r="E242" s="9" t="str">
        <f t="shared" si="111"/>
        <v/>
      </c>
      <c r="F242" s="9" t="str">
        <f t="shared" si="111"/>
        <v/>
      </c>
      <c r="G242" s="9" t="str">
        <f t="shared" si="111"/>
        <v/>
      </c>
      <c r="H242" s="9" t="str">
        <f t="shared" si="111"/>
        <v/>
      </c>
      <c r="I242" s="9" t="str">
        <f t="shared" si="111"/>
        <v/>
      </c>
      <c r="J242" s="9" t="str">
        <f t="shared" si="111"/>
        <v/>
      </c>
      <c r="K242" s="9" t="str">
        <f t="shared" si="111"/>
        <v/>
      </c>
      <c r="O242" s="9" t="str">
        <f t="shared" si="112"/>
        <v/>
      </c>
      <c r="P242" s="9" t="str">
        <f t="shared" si="112"/>
        <v/>
      </c>
      <c r="Q242" s="9" t="str">
        <f t="shared" si="112"/>
        <v/>
      </c>
      <c r="R242" s="9" t="str">
        <f t="shared" si="112"/>
        <v/>
      </c>
      <c r="S242" s="9" t="str">
        <f t="shared" si="112"/>
        <v/>
      </c>
      <c r="T242" s="9" t="str">
        <f t="shared" si="112"/>
        <v/>
      </c>
      <c r="U242" s="9"/>
      <c r="V242" s="9" t="str">
        <f t="shared" si="102"/>
        <v/>
      </c>
      <c r="X242" s="9" t="str">
        <f t="shared" si="113"/>
        <v/>
      </c>
      <c r="Y242" s="9" t="str">
        <f t="shared" si="113"/>
        <v/>
      </c>
      <c r="Z242" s="9" t="str">
        <f t="shared" si="113"/>
        <v/>
      </c>
      <c r="AA242" s="9" t="str">
        <f t="shared" si="113"/>
        <v/>
      </c>
      <c r="AB242" s="9" t="str">
        <f t="shared" si="113"/>
        <v/>
      </c>
      <c r="AC242" s="9" t="str">
        <f t="shared" si="113"/>
        <v/>
      </c>
      <c r="AD242" s="9" t="str">
        <f t="shared" si="113"/>
        <v/>
      </c>
      <c r="AF242" s="9" t="str">
        <f t="shared" si="114"/>
        <v/>
      </c>
      <c r="AG242" s="9" t="str">
        <f t="shared" si="114"/>
        <v/>
      </c>
      <c r="AH242" s="9" t="str">
        <f t="shared" si="114"/>
        <v/>
      </c>
      <c r="AI242" s="9" t="str">
        <f t="shared" si="114"/>
        <v/>
      </c>
      <c r="AJ242" s="9" t="str">
        <f t="shared" si="114"/>
        <v/>
      </c>
      <c r="AK242" s="9" t="str">
        <f t="shared" si="114"/>
        <v/>
      </c>
      <c r="AL242" s="9" t="str">
        <f t="shared" si="114"/>
        <v/>
      </c>
      <c r="AQ242" s="9" t="str">
        <f t="shared" si="115"/>
        <v/>
      </c>
      <c r="AR242" s="9" t="str">
        <f t="shared" si="115"/>
        <v/>
      </c>
      <c r="AS242" s="9" t="str">
        <f t="shared" si="115"/>
        <v/>
      </c>
      <c r="AT242" s="9" t="str">
        <f t="shared" si="115"/>
        <v/>
      </c>
      <c r="AU242" s="9" t="str">
        <f t="shared" si="115"/>
        <v/>
      </c>
      <c r="AV242" s="9" t="str">
        <f t="shared" si="115"/>
        <v/>
      </c>
      <c r="AW242" s="9" t="str">
        <f t="shared" si="115"/>
        <v/>
      </c>
    </row>
    <row r="243" spans="3:49" x14ac:dyDescent="0.25">
      <c r="C243">
        <v>87</v>
      </c>
      <c r="D243" t="str">
        <f t="shared" si="99"/>
        <v/>
      </c>
      <c r="E243" s="9" t="str">
        <f t="shared" si="111"/>
        <v/>
      </c>
      <c r="F243" s="9" t="str">
        <f t="shared" si="111"/>
        <v/>
      </c>
      <c r="G243" s="9" t="str">
        <f t="shared" si="111"/>
        <v/>
      </c>
      <c r="H243" s="9" t="str">
        <f t="shared" si="111"/>
        <v/>
      </c>
      <c r="I243" s="9" t="str">
        <f t="shared" si="111"/>
        <v/>
      </c>
      <c r="J243" s="9" t="str">
        <f t="shared" si="111"/>
        <v/>
      </c>
      <c r="K243" s="9" t="str">
        <f t="shared" si="111"/>
        <v/>
      </c>
      <c r="O243" s="9" t="str">
        <f t="shared" si="112"/>
        <v/>
      </c>
      <c r="P243" s="9" t="str">
        <f t="shared" si="112"/>
        <v/>
      </c>
      <c r="Q243" s="9" t="str">
        <f t="shared" si="112"/>
        <v/>
      </c>
      <c r="R243" s="9" t="str">
        <f t="shared" si="112"/>
        <v/>
      </c>
      <c r="S243" s="9" t="str">
        <f t="shared" si="112"/>
        <v/>
      </c>
      <c r="T243" s="9" t="str">
        <f t="shared" si="112"/>
        <v/>
      </c>
      <c r="U243" s="9"/>
      <c r="V243" s="9" t="str">
        <f t="shared" si="102"/>
        <v/>
      </c>
      <c r="X243" s="9" t="str">
        <f t="shared" si="113"/>
        <v/>
      </c>
      <c r="Y243" s="9" t="str">
        <f t="shared" si="113"/>
        <v/>
      </c>
      <c r="Z243" s="9" t="str">
        <f t="shared" si="113"/>
        <v/>
      </c>
      <c r="AA243" s="9" t="str">
        <f t="shared" si="113"/>
        <v/>
      </c>
      <c r="AB243" s="9" t="str">
        <f t="shared" si="113"/>
        <v/>
      </c>
      <c r="AC243" s="9" t="str">
        <f t="shared" si="113"/>
        <v/>
      </c>
      <c r="AD243" s="9" t="str">
        <f t="shared" si="113"/>
        <v/>
      </c>
      <c r="AF243" s="9" t="str">
        <f t="shared" si="114"/>
        <v/>
      </c>
      <c r="AG243" s="9" t="str">
        <f t="shared" si="114"/>
        <v/>
      </c>
      <c r="AH243" s="9" t="str">
        <f t="shared" si="114"/>
        <v/>
      </c>
      <c r="AI243" s="9" t="str">
        <f t="shared" si="114"/>
        <v/>
      </c>
      <c r="AJ243" s="9" t="str">
        <f t="shared" si="114"/>
        <v/>
      </c>
      <c r="AK243" s="9" t="str">
        <f t="shared" si="114"/>
        <v/>
      </c>
      <c r="AL243" s="9" t="str">
        <f t="shared" si="114"/>
        <v/>
      </c>
      <c r="AQ243" s="9" t="str">
        <f t="shared" si="115"/>
        <v/>
      </c>
      <c r="AR243" s="9" t="str">
        <f t="shared" si="115"/>
        <v/>
      </c>
      <c r="AS243" s="9" t="str">
        <f t="shared" si="115"/>
        <v/>
      </c>
      <c r="AT243" s="9" t="str">
        <f t="shared" si="115"/>
        <v/>
      </c>
      <c r="AU243" s="9" t="str">
        <f t="shared" si="115"/>
        <v/>
      </c>
      <c r="AV243" s="9" t="str">
        <f t="shared" si="115"/>
        <v/>
      </c>
      <c r="AW243" s="9" t="str">
        <f t="shared" si="115"/>
        <v/>
      </c>
    </row>
    <row r="244" spans="3:49" x14ac:dyDescent="0.25">
      <c r="C244">
        <v>88</v>
      </c>
      <c r="D244" t="str">
        <f t="shared" si="99"/>
        <v/>
      </c>
      <c r="E244" s="9" t="str">
        <f t="shared" si="111"/>
        <v/>
      </c>
      <c r="F244" s="9" t="str">
        <f t="shared" si="111"/>
        <v/>
      </c>
      <c r="G244" s="9" t="str">
        <f t="shared" si="111"/>
        <v/>
      </c>
      <c r="H244" s="9" t="str">
        <f t="shared" si="111"/>
        <v/>
      </c>
      <c r="I244" s="9" t="str">
        <f t="shared" si="111"/>
        <v/>
      </c>
      <c r="J244" s="9" t="str">
        <f t="shared" si="111"/>
        <v/>
      </c>
      <c r="K244" s="9" t="str">
        <f t="shared" si="111"/>
        <v/>
      </c>
      <c r="O244" s="9" t="str">
        <f t="shared" si="112"/>
        <v/>
      </c>
      <c r="P244" s="9" t="str">
        <f t="shared" si="112"/>
        <v/>
      </c>
      <c r="Q244" s="9" t="str">
        <f t="shared" si="112"/>
        <v/>
      </c>
      <c r="R244" s="9" t="str">
        <f t="shared" si="112"/>
        <v/>
      </c>
      <c r="S244" s="9" t="str">
        <f t="shared" si="112"/>
        <v/>
      </c>
      <c r="T244" s="9" t="str">
        <f t="shared" si="112"/>
        <v/>
      </c>
      <c r="U244" s="9"/>
      <c r="V244" s="9" t="str">
        <f t="shared" si="102"/>
        <v/>
      </c>
      <c r="X244" s="9" t="str">
        <f t="shared" si="113"/>
        <v/>
      </c>
      <c r="Y244" s="9" t="str">
        <f t="shared" si="113"/>
        <v/>
      </c>
      <c r="Z244" s="9" t="str">
        <f t="shared" si="113"/>
        <v/>
      </c>
      <c r="AA244" s="9" t="str">
        <f t="shared" si="113"/>
        <v/>
      </c>
      <c r="AB244" s="9" t="str">
        <f t="shared" si="113"/>
        <v/>
      </c>
      <c r="AC244" s="9" t="str">
        <f t="shared" si="113"/>
        <v/>
      </c>
      <c r="AD244" s="9" t="str">
        <f t="shared" si="113"/>
        <v/>
      </c>
      <c r="AF244" s="9" t="str">
        <f t="shared" si="114"/>
        <v/>
      </c>
      <c r="AG244" s="9" t="str">
        <f t="shared" si="114"/>
        <v/>
      </c>
      <c r="AH244" s="9" t="str">
        <f t="shared" si="114"/>
        <v/>
      </c>
      <c r="AI244" s="9" t="str">
        <f t="shared" si="114"/>
        <v/>
      </c>
      <c r="AJ244" s="9" t="str">
        <f t="shared" si="114"/>
        <v/>
      </c>
      <c r="AK244" s="9" t="str">
        <f t="shared" si="114"/>
        <v/>
      </c>
      <c r="AL244" s="9" t="str">
        <f t="shared" si="114"/>
        <v/>
      </c>
      <c r="AQ244" s="9" t="str">
        <f t="shared" si="115"/>
        <v/>
      </c>
      <c r="AR244" s="9" t="str">
        <f t="shared" si="115"/>
        <v/>
      </c>
      <c r="AS244" s="9" t="str">
        <f t="shared" si="115"/>
        <v/>
      </c>
      <c r="AT244" s="9" t="str">
        <f t="shared" si="115"/>
        <v/>
      </c>
      <c r="AU244" s="9" t="str">
        <f t="shared" si="115"/>
        <v/>
      </c>
      <c r="AV244" s="9" t="str">
        <f t="shared" si="115"/>
        <v/>
      </c>
      <c r="AW244" s="9" t="str">
        <f t="shared" si="115"/>
        <v/>
      </c>
    </row>
    <row r="245" spans="3:49" x14ac:dyDescent="0.25">
      <c r="C245">
        <v>89</v>
      </c>
      <c r="D245" t="str">
        <f t="shared" si="99"/>
        <v/>
      </c>
      <c r="E245" s="9" t="str">
        <f t="shared" si="111"/>
        <v/>
      </c>
      <c r="F245" s="9" t="str">
        <f t="shared" si="111"/>
        <v/>
      </c>
      <c r="G245" s="9" t="str">
        <f t="shared" si="111"/>
        <v/>
      </c>
      <c r="H245" s="9" t="str">
        <f t="shared" si="111"/>
        <v/>
      </c>
      <c r="I245" s="9" t="str">
        <f t="shared" si="111"/>
        <v/>
      </c>
      <c r="J245" s="9" t="str">
        <f t="shared" si="111"/>
        <v/>
      </c>
      <c r="K245" s="9" t="str">
        <f t="shared" si="111"/>
        <v/>
      </c>
      <c r="O245" s="9" t="str">
        <f t="shared" si="112"/>
        <v/>
      </c>
      <c r="P245" s="9" t="str">
        <f t="shared" si="112"/>
        <v/>
      </c>
      <c r="Q245" s="9" t="str">
        <f t="shared" si="112"/>
        <v/>
      </c>
      <c r="R245" s="9" t="str">
        <f t="shared" si="112"/>
        <v/>
      </c>
      <c r="S245" s="9" t="str">
        <f t="shared" si="112"/>
        <v/>
      </c>
      <c r="T245" s="9" t="str">
        <f t="shared" si="112"/>
        <v/>
      </c>
      <c r="U245" s="9"/>
      <c r="V245" s="9" t="str">
        <f t="shared" si="102"/>
        <v/>
      </c>
      <c r="X245" s="9" t="str">
        <f t="shared" si="113"/>
        <v/>
      </c>
      <c r="Y245" s="9" t="str">
        <f t="shared" si="113"/>
        <v/>
      </c>
      <c r="Z245" s="9" t="str">
        <f t="shared" si="113"/>
        <v/>
      </c>
      <c r="AA245" s="9" t="str">
        <f t="shared" si="113"/>
        <v/>
      </c>
      <c r="AB245" s="9" t="str">
        <f t="shared" si="113"/>
        <v/>
      </c>
      <c r="AC245" s="9" t="str">
        <f t="shared" si="113"/>
        <v/>
      </c>
      <c r="AD245" s="9" t="str">
        <f t="shared" si="113"/>
        <v/>
      </c>
      <c r="AF245" s="9" t="str">
        <f t="shared" si="114"/>
        <v/>
      </c>
      <c r="AG245" s="9" t="str">
        <f t="shared" si="114"/>
        <v/>
      </c>
      <c r="AH245" s="9" t="str">
        <f t="shared" si="114"/>
        <v/>
      </c>
      <c r="AI245" s="9" t="str">
        <f t="shared" si="114"/>
        <v/>
      </c>
      <c r="AJ245" s="9" t="str">
        <f t="shared" si="114"/>
        <v/>
      </c>
      <c r="AK245" s="9" t="str">
        <f t="shared" si="114"/>
        <v/>
      </c>
      <c r="AL245" s="9" t="str">
        <f t="shared" si="114"/>
        <v/>
      </c>
      <c r="AQ245" s="9" t="str">
        <f t="shared" si="115"/>
        <v/>
      </c>
      <c r="AR245" s="9" t="str">
        <f t="shared" si="115"/>
        <v/>
      </c>
      <c r="AS245" s="9" t="str">
        <f t="shared" si="115"/>
        <v/>
      </c>
      <c r="AT245" s="9" t="str">
        <f t="shared" si="115"/>
        <v/>
      </c>
      <c r="AU245" s="9" t="str">
        <f t="shared" si="115"/>
        <v/>
      </c>
      <c r="AV245" s="9" t="str">
        <f t="shared" si="115"/>
        <v/>
      </c>
      <c r="AW245" s="9" t="str">
        <f t="shared" si="115"/>
        <v/>
      </c>
    </row>
    <row r="246" spans="3:49" x14ac:dyDescent="0.25">
      <c r="C246">
        <v>90</v>
      </c>
      <c r="D246" t="str">
        <f t="shared" si="99"/>
        <v/>
      </c>
      <c r="E246" s="9" t="str">
        <f t="shared" si="111"/>
        <v/>
      </c>
      <c r="F246" s="9" t="str">
        <f t="shared" si="111"/>
        <v/>
      </c>
      <c r="G246" s="9" t="str">
        <f t="shared" si="111"/>
        <v/>
      </c>
      <c r="H246" s="9" t="str">
        <f t="shared" si="111"/>
        <v/>
      </c>
      <c r="I246" s="9" t="str">
        <f t="shared" si="111"/>
        <v/>
      </c>
      <c r="J246" s="9" t="str">
        <f t="shared" si="111"/>
        <v/>
      </c>
      <c r="K246" s="9" t="str">
        <f t="shared" si="111"/>
        <v/>
      </c>
      <c r="O246" s="9" t="str">
        <f t="shared" si="112"/>
        <v/>
      </c>
      <c r="P246" s="9" t="str">
        <f t="shared" si="112"/>
        <v/>
      </c>
      <c r="Q246" s="9" t="str">
        <f t="shared" si="112"/>
        <v/>
      </c>
      <c r="R246" s="9" t="str">
        <f t="shared" si="112"/>
        <v/>
      </c>
      <c r="S246" s="9" t="str">
        <f t="shared" si="112"/>
        <v/>
      </c>
      <c r="T246" s="9" t="str">
        <f t="shared" si="112"/>
        <v/>
      </c>
      <c r="U246" s="9"/>
      <c r="V246" s="9" t="str">
        <f t="shared" si="102"/>
        <v/>
      </c>
      <c r="X246" s="9" t="str">
        <f t="shared" si="113"/>
        <v/>
      </c>
      <c r="Y246" s="9" t="str">
        <f t="shared" si="113"/>
        <v/>
      </c>
      <c r="Z246" s="9" t="str">
        <f t="shared" si="113"/>
        <v/>
      </c>
      <c r="AA246" s="9" t="str">
        <f t="shared" si="113"/>
        <v/>
      </c>
      <c r="AB246" s="9" t="str">
        <f t="shared" si="113"/>
        <v/>
      </c>
      <c r="AC246" s="9" t="str">
        <f t="shared" si="113"/>
        <v/>
      </c>
      <c r="AD246" s="9" t="str">
        <f t="shared" si="113"/>
        <v/>
      </c>
      <c r="AF246" s="9" t="str">
        <f t="shared" si="114"/>
        <v/>
      </c>
      <c r="AG246" s="9" t="str">
        <f t="shared" si="114"/>
        <v/>
      </c>
      <c r="AH246" s="9" t="str">
        <f t="shared" si="114"/>
        <v/>
      </c>
      <c r="AI246" s="9" t="str">
        <f t="shared" si="114"/>
        <v/>
      </c>
      <c r="AJ246" s="9" t="str">
        <f t="shared" si="114"/>
        <v/>
      </c>
      <c r="AK246" s="9" t="str">
        <f t="shared" si="114"/>
        <v/>
      </c>
      <c r="AL246" s="9" t="str">
        <f t="shared" si="114"/>
        <v/>
      </c>
      <c r="AQ246" s="9" t="str">
        <f t="shared" si="115"/>
        <v/>
      </c>
      <c r="AR246" s="9" t="str">
        <f t="shared" si="115"/>
        <v/>
      </c>
      <c r="AS246" s="9" t="str">
        <f t="shared" si="115"/>
        <v/>
      </c>
      <c r="AT246" s="9" t="str">
        <f t="shared" si="115"/>
        <v/>
      </c>
      <c r="AU246" s="9" t="str">
        <f t="shared" si="115"/>
        <v/>
      </c>
      <c r="AV246" s="9" t="str">
        <f t="shared" si="115"/>
        <v/>
      </c>
      <c r="AW246" s="9" t="str">
        <f t="shared" si="115"/>
        <v/>
      </c>
    </row>
    <row r="247" spans="3:49" x14ac:dyDescent="0.25">
      <c r="C247">
        <v>91</v>
      </c>
      <c r="D247" t="str">
        <f t="shared" si="99"/>
        <v/>
      </c>
      <c r="E247" s="9" t="str">
        <f t="shared" si="111"/>
        <v/>
      </c>
      <c r="F247" s="9" t="str">
        <f t="shared" si="111"/>
        <v/>
      </c>
      <c r="G247" s="9" t="str">
        <f t="shared" si="111"/>
        <v/>
      </c>
      <c r="H247" s="9" t="str">
        <f t="shared" si="111"/>
        <v/>
      </c>
      <c r="I247" s="9" t="str">
        <f t="shared" si="111"/>
        <v/>
      </c>
      <c r="J247" s="9" t="str">
        <f t="shared" si="111"/>
        <v/>
      </c>
      <c r="K247" s="9" t="str">
        <f t="shared" si="111"/>
        <v/>
      </c>
      <c r="O247" s="9" t="str">
        <f t="shared" si="112"/>
        <v/>
      </c>
      <c r="P247" s="9" t="str">
        <f t="shared" si="112"/>
        <v/>
      </c>
      <c r="Q247" s="9" t="str">
        <f t="shared" si="112"/>
        <v/>
      </c>
      <c r="R247" s="9" t="str">
        <f t="shared" si="112"/>
        <v/>
      </c>
      <c r="S247" s="9" t="str">
        <f t="shared" si="112"/>
        <v/>
      </c>
      <c r="T247" s="9" t="str">
        <f t="shared" si="112"/>
        <v/>
      </c>
      <c r="U247" s="9"/>
      <c r="V247" s="9" t="str">
        <f t="shared" si="102"/>
        <v/>
      </c>
      <c r="X247" s="9" t="str">
        <f t="shared" si="113"/>
        <v/>
      </c>
      <c r="Y247" s="9" t="str">
        <f t="shared" si="113"/>
        <v/>
      </c>
      <c r="Z247" s="9" t="str">
        <f t="shared" si="113"/>
        <v/>
      </c>
      <c r="AA247" s="9" t="str">
        <f t="shared" si="113"/>
        <v/>
      </c>
      <c r="AB247" s="9" t="str">
        <f t="shared" si="113"/>
        <v/>
      </c>
      <c r="AC247" s="9" t="str">
        <f t="shared" si="113"/>
        <v/>
      </c>
      <c r="AD247" s="9" t="str">
        <f t="shared" si="113"/>
        <v/>
      </c>
      <c r="AF247" s="9" t="str">
        <f t="shared" si="114"/>
        <v/>
      </c>
      <c r="AG247" s="9" t="str">
        <f t="shared" si="114"/>
        <v/>
      </c>
      <c r="AH247" s="9" t="str">
        <f t="shared" si="114"/>
        <v/>
      </c>
      <c r="AI247" s="9" t="str">
        <f t="shared" si="114"/>
        <v/>
      </c>
      <c r="AJ247" s="9" t="str">
        <f t="shared" si="114"/>
        <v/>
      </c>
      <c r="AK247" s="9" t="str">
        <f t="shared" si="114"/>
        <v/>
      </c>
      <c r="AL247" s="9" t="str">
        <f t="shared" si="114"/>
        <v/>
      </c>
      <c r="AQ247" s="9" t="str">
        <f t="shared" si="115"/>
        <v/>
      </c>
      <c r="AR247" s="9" t="str">
        <f t="shared" si="115"/>
        <v/>
      </c>
      <c r="AS247" s="9" t="str">
        <f t="shared" si="115"/>
        <v/>
      </c>
      <c r="AT247" s="9" t="str">
        <f t="shared" si="115"/>
        <v/>
      </c>
      <c r="AU247" s="9" t="str">
        <f t="shared" si="115"/>
        <v/>
      </c>
      <c r="AV247" s="9" t="str">
        <f t="shared" si="115"/>
        <v/>
      </c>
      <c r="AW247" s="9" t="str">
        <f t="shared" si="115"/>
        <v/>
      </c>
    </row>
    <row r="248" spans="3:49" x14ac:dyDescent="0.25">
      <c r="C248">
        <v>92</v>
      </c>
      <c r="D248" t="str">
        <f t="shared" si="99"/>
        <v/>
      </c>
      <c r="E248" s="9" t="str">
        <f t="shared" si="111"/>
        <v/>
      </c>
      <c r="F248" s="9" t="str">
        <f t="shared" si="111"/>
        <v/>
      </c>
      <c r="G248" s="9" t="str">
        <f t="shared" si="111"/>
        <v/>
      </c>
      <c r="H248" s="9" t="str">
        <f t="shared" si="111"/>
        <v/>
      </c>
      <c r="I248" s="9" t="str">
        <f t="shared" si="111"/>
        <v/>
      </c>
      <c r="J248" s="9" t="str">
        <f t="shared" si="111"/>
        <v/>
      </c>
      <c r="K248" s="9" t="str">
        <f t="shared" si="111"/>
        <v/>
      </c>
      <c r="O248" s="9" t="str">
        <f t="shared" si="112"/>
        <v/>
      </c>
      <c r="P248" s="9" t="str">
        <f t="shared" si="112"/>
        <v/>
      </c>
      <c r="Q248" s="9" t="str">
        <f t="shared" si="112"/>
        <v/>
      </c>
      <c r="R248" s="9" t="str">
        <f t="shared" si="112"/>
        <v/>
      </c>
      <c r="S248" s="9" t="str">
        <f t="shared" si="112"/>
        <v/>
      </c>
      <c r="T248" s="9" t="str">
        <f t="shared" si="112"/>
        <v/>
      </c>
      <c r="U248" s="9"/>
      <c r="V248" s="9" t="str">
        <f t="shared" si="102"/>
        <v/>
      </c>
      <c r="X248" s="9" t="str">
        <f t="shared" si="113"/>
        <v/>
      </c>
      <c r="Y248" s="9" t="str">
        <f t="shared" si="113"/>
        <v/>
      </c>
      <c r="Z248" s="9" t="str">
        <f t="shared" si="113"/>
        <v/>
      </c>
      <c r="AA248" s="9" t="str">
        <f t="shared" si="113"/>
        <v/>
      </c>
      <c r="AB248" s="9" t="str">
        <f t="shared" si="113"/>
        <v/>
      </c>
      <c r="AC248" s="9" t="str">
        <f t="shared" si="113"/>
        <v/>
      </c>
      <c r="AD248" s="9" t="str">
        <f t="shared" si="113"/>
        <v/>
      </c>
      <c r="AF248" s="9" t="str">
        <f t="shared" si="114"/>
        <v/>
      </c>
      <c r="AG248" s="9" t="str">
        <f t="shared" si="114"/>
        <v/>
      </c>
      <c r="AH248" s="9" t="str">
        <f t="shared" si="114"/>
        <v/>
      </c>
      <c r="AI248" s="9" t="str">
        <f t="shared" si="114"/>
        <v/>
      </c>
      <c r="AJ248" s="9" t="str">
        <f t="shared" si="114"/>
        <v/>
      </c>
      <c r="AK248" s="9" t="str">
        <f t="shared" si="114"/>
        <v/>
      </c>
      <c r="AL248" s="9" t="str">
        <f t="shared" si="114"/>
        <v/>
      </c>
      <c r="AQ248" s="9" t="str">
        <f t="shared" si="115"/>
        <v/>
      </c>
      <c r="AR248" s="9" t="str">
        <f t="shared" si="115"/>
        <v/>
      </c>
      <c r="AS248" s="9" t="str">
        <f t="shared" si="115"/>
        <v/>
      </c>
      <c r="AT248" s="9" t="str">
        <f t="shared" si="115"/>
        <v/>
      </c>
      <c r="AU248" s="9" t="str">
        <f t="shared" si="115"/>
        <v/>
      </c>
      <c r="AV248" s="9" t="str">
        <f t="shared" si="115"/>
        <v/>
      </c>
      <c r="AW248" s="9" t="str">
        <f t="shared" si="115"/>
        <v/>
      </c>
    </row>
    <row r="249" spans="3:49" x14ac:dyDescent="0.25">
      <c r="C249">
        <v>93</v>
      </c>
      <c r="D249" t="str">
        <f t="shared" si="99"/>
        <v/>
      </c>
      <c r="E249" s="9" t="str">
        <f t="shared" si="111"/>
        <v/>
      </c>
      <c r="F249" s="9" t="str">
        <f t="shared" si="111"/>
        <v/>
      </c>
      <c r="G249" s="9" t="str">
        <f t="shared" si="111"/>
        <v/>
      </c>
      <c r="H249" s="9" t="str">
        <f t="shared" si="111"/>
        <v/>
      </c>
      <c r="I249" s="9" t="str">
        <f t="shared" si="111"/>
        <v/>
      </c>
      <c r="J249" s="9" t="str">
        <f t="shared" si="111"/>
        <v/>
      </c>
      <c r="K249" s="9" t="str">
        <f t="shared" si="111"/>
        <v/>
      </c>
      <c r="O249" s="9" t="str">
        <f t="shared" si="112"/>
        <v/>
      </c>
      <c r="P249" s="9" t="str">
        <f t="shared" si="112"/>
        <v/>
      </c>
      <c r="Q249" s="9" t="str">
        <f t="shared" si="112"/>
        <v/>
      </c>
      <c r="R249" s="9" t="str">
        <f t="shared" si="112"/>
        <v/>
      </c>
      <c r="S249" s="9" t="str">
        <f t="shared" si="112"/>
        <v/>
      </c>
      <c r="T249" s="9" t="str">
        <f t="shared" si="112"/>
        <v/>
      </c>
      <c r="U249" s="9"/>
      <c r="V249" s="9" t="str">
        <f t="shared" si="102"/>
        <v/>
      </c>
      <c r="X249" s="9" t="str">
        <f t="shared" si="113"/>
        <v/>
      </c>
      <c r="Y249" s="9" t="str">
        <f t="shared" si="113"/>
        <v/>
      </c>
      <c r="Z249" s="9" t="str">
        <f t="shared" si="113"/>
        <v/>
      </c>
      <c r="AA249" s="9" t="str">
        <f t="shared" si="113"/>
        <v/>
      </c>
      <c r="AB249" s="9" t="str">
        <f t="shared" si="113"/>
        <v/>
      </c>
      <c r="AC249" s="9" t="str">
        <f t="shared" si="113"/>
        <v/>
      </c>
      <c r="AD249" s="9" t="str">
        <f t="shared" si="113"/>
        <v/>
      </c>
      <c r="AF249" s="9" t="str">
        <f t="shared" si="114"/>
        <v/>
      </c>
      <c r="AG249" s="9" t="str">
        <f t="shared" si="114"/>
        <v/>
      </c>
      <c r="AH249" s="9" t="str">
        <f t="shared" si="114"/>
        <v/>
      </c>
      <c r="AI249" s="9" t="str">
        <f t="shared" si="114"/>
        <v/>
      </c>
      <c r="AJ249" s="9" t="str">
        <f t="shared" si="114"/>
        <v/>
      </c>
      <c r="AK249" s="9" t="str">
        <f t="shared" si="114"/>
        <v/>
      </c>
      <c r="AL249" s="9" t="str">
        <f t="shared" si="114"/>
        <v/>
      </c>
      <c r="AQ249" s="9" t="str">
        <f t="shared" si="115"/>
        <v/>
      </c>
      <c r="AR249" s="9" t="str">
        <f t="shared" si="115"/>
        <v/>
      </c>
      <c r="AS249" s="9" t="str">
        <f t="shared" si="115"/>
        <v/>
      </c>
      <c r="AT249" s="9" t="str">
        <f t="shared" si="115"/>
        <v/>
      </c>
      <c r="AU249" s="9" t="str">
        <f t="shared" si="115"/>
        <v/>
      </c>
      <c r="AV249" s="9" t="str">
        <f t="shared" si="115"/>
        <v/>
      </c>
      <c r="AW249" s="9" t="str">
        <f t="shared" si="115"/>
        <v/>
      </c>
    </row>
    <row r="250" spans="3:49" x14ac:dyDescent="0.25">
      <c r="C250">
        <v>94</v>
      </c>
      <c r="D250" t="str">
        <f t="shared" si="99"/>
        <v/>
      </c>
      <c r="E250" s="9" t="str">
        <f t="shared" si="111"/>
        <v/>
      </c>
      <c r="F250" s="9" t="str">
        <f t="shared" si="111"/>
        <v/>
      </c>
      <c r="G250" s="9" t="str">
        <f t="shared" si="111"/>
        <v/>
      </c>
      <c r="H250" s="9" t="str">
        <f t="shared" si="111"/>
        <v/>
      </c>
      <c r="I250" s="9" t="str">
        <f t="shared" si="111"/>
        <v/>
      </c>
      <c r="J250" s="9" t="str">
        <f t="shared" si="111"/>
        <v/>
      </c>
      <c r="K250" s="9" t="str">
        <f t="shared" si="111"/>
        <v/>
      </c>
      <c r="O250" s="9" t="str">
        <f t="shared" si="112"/>
        <v/>
      </c>
      <c r="P250" s="9" t="str">
        <f t="shared" si="112"/>
        <v/>
      </c>
      <c r="Q250" s="9" t="str">
        <f t="shared" si="112"/>
        <v/>
      </c>
      <c r="R250" s="9" t="str">
        <f t="shared" si="112"/>
        <v/>
      </c>
      <c r="S250" s="9" t="str">
        <f t="shared" si="112"/>
        <v/>
      </c>
      <c r="T250" s="9" t="str">
        <f t="shared" si="112"/>
        <v/>
      </c>
      <c r="U250" s="9"/>
      <c r="V250" s="9" t="str">
        <f t="shared" si="102"/>
        <v/>
      </c>
      <c r="X250" s="9" t="str">
        <f t="shared" si="113"/>
        <v/>
      </c>
      <c r="Y250" s="9" t="str">
        <f t="shared" si="113"/>
        <v/>
      </c>
      <c r="Z250" s="9" t="str">
        <f t="shared" si="113"/>
        <v/>
      </c>
      <c r="AA250" s="9" t="str">
        <f t="shared" si="113"/>
        <v/>
      </c>
      <c r="AB250" s="9" t="str">
        <f t="shared" si="113"/>
        <v/>
      </c>
      <c r="AC250" s="9" t="str">
        <f t="shared" si="113"/>
        <v/>
      </c>
      <c r="AD250" s="9" t="str">
        <f t="shared" si="113"/>
        <v/>
      </c>
      <c r="AF250" s="9" t="str">
        <f t="shared" si="114"/>
        <v/>
      </c>
      <c r="AG250" s="9" t="str">
        <f t="shared" si="114"/>
        <v/>
      </c>
      <c r="AH250" s="9" t="str">
        <f t="shared" si="114"/>
        <v/>
      </c>
      <c r="AI250" s="9" t="str">
        <f t="shared" si="114"/>
        <v/>
      </c>
      <c r="AJ250" s="9" t="str">
        <f t="shared" si="114"/>
        <v/>
      </c>
      <c r="AK250" s="9" t="str">
        <f t="shared" si="114"/>
        <v/>
      </c>
      <c r="AL250" s="9" t="str">
        <f t="shared" si="114"/>
        <v/>
      </c>
      <c r="AQ250" s="9" t="str">
        <f t="shared" si="115"/>
        <v/>
      </c>
      <c r="AR250" s="9" t="str">
        <f t="shared" si="115"/>
        <v/>
      </c>
      <c r="AS250" s="9" t="str">
        <f t="shared" si="115"/>
        <v/>
      </c>
      <c r="AT250" s="9" t="str">
        <f t="shared" si="115"/>
        <v/>
      </c>
      <c r="AU250" s="9" t="str">
        <f t="shared" si="115"/>
        <v/>
      </c>
      <c r="AV250" s="9" t="str">
        <f t="shared" si="115"/>
        <v/>
      </c>
      <c r="AW250" s="9" t="str">
        <f t="shared" si="115"/>
        <v/>
      </c>
    </row>
    <row r="251" spans="3:49" x14ac:dyDescent="0.25">
      <c r="C251">
        <v>95</v>
      </c>
      <c r="D251" t="str">
        <f t="shared" si="99"/>
        <v/>
      </c>
      <c r="E251" s="9" t="str">
        <f t="shared" ref="E251:K260" si="116">E187</f>
        <v/>
      </c>
      <c r="F251" s="9" t="str">
        <f t="shared" si="116"/>
        <v/>
      </c>
      <c r="G251" s="9" t="str">
        <f t="shared" si="116"/>
        <v/>
      </c>
      <c r="H251" s="9" t="str">
        <f t="shared" si="116"/>
        <v/>
      </c>
      <c r="I251" s="9" t="str">
        <f t="shared" si="116"/>
        <v/>
      </c>
      <c r="J251" s="9" t="str">
        <f t="shared" si="116"/>
        <v/>
      </c>
      <c r="K251" s="9" t="str">
        <f t="shared" si="116"/>
        <v/>
      </c>
      <c r="O251" s="9" t="str">
        <f t="shared" ref="O251:T260" si="117">O187</f>
        <v/>
      </c>
      <c r="P251" s="9" t="str">
        <f t="shared" si="117"/>
        <v/>
      </c>
      <c r="Q251" s="9" t="str">
        <f t="shared" si="117"/>
        <v/>
      </c>
      <c r="R251" s="9" t="str">
        <f t="shared" si="117"/>
        <v/>
      </c>
      <c r="S251" s="9" t="str">
        <f t="shared" si="117"/>
        <v/>
      </c>
      <c r="T251" s="9" t="str">
        <f t="shared" si="117"/>
        <v/>
      </c>
      <c r="U251" s="9"/>
      <c r="V251" s="9" t="str">
        <f t="shared" si="102"/>
        <v/>
      </c>
      <c r="X251" s="9" t="str">
        <f t="shared" ref="X251:AD260" si="118">X187</f>
        <v/>
      </c>
      <c r="Y251" s="9" t="str">
        <f t="shared" si="118"/>
        <v/>
      </c>
      <c r="Z251" s="9" t="str">
        <f t="shared" si="118"/>
        <v/>
      </c>
      <c r="AA251" s="9" t="str">
        <f t="shared" si="118"/>
        <v/>
      </c>
      <c r="AB251" s="9" t="str">
        <f t="shared" si="118"/>
        <v/>
      </c>
      <c r="AC251" s="9" t="str">
        <f t="shared" si="118"/>
        <v/>
      </c>
      <c r="AD251" s="9" t="str">
        <f t="shared" si="118"/>
        <v/>
      </c>
      <c r="AF251" s="9" t="str">
        <f t="shared" ref="AF251:AL260" si="119">AF187</f>
        <v/>
      </c>
      <c r="AG251" s="9" t="str">
        <f t="shared" si="119"/>
        <v/>
      </c>
      <c r="AH251" s="9" t="str">
        <f t="shared" si="119"/>
        <v/>
      </c>
      <c r="AI251" s="9" t="str">
        <f t="shared" si="119"/>
        <v/>
      </c>
      <c r="AJ251" s="9" t="str">
        <f t="shared" si="119"/>
        <v/>
      </c>
      <c r="AK251" s="9" t="str">
        <f t="shared" si="119"/>
        <v/>
      </c>
      <c r="AL251" s="9" t="str">
        <f t="shared" si="119"/>
        <v/>
      </c>
      <c r="AQ251" s="9" t="str">
        <f t="shared" ref="AQ251:AW260" si="120">AQ187</f>
        <v/>
      </c>
      <c r="AR251" s="9" t="str">
        <f t="shared" si="120"/>
        <v/>
      </c>
      <c r="AS251" s="9" t="str">
        <f t="shared" si="120"/>
        <v/>
      </c>
      <c r="AT251" s="9" t="str">
        <f t="shared" si="120"/>
        <v/>
      </c>
      <c r="AU251" s="9" t="str">
        <f t="shared" si="120"/>
        <v/>
      </c>
      <c r="AV251" s="9" t="str">
        <f t="shared" si="120"/>
        <v/>
      </c>
      <c r="AW251" s="9" t="str">
        <f t="shared" si="120"/>
        <v/>
      </c>
    </row>
    <row r="252" spans="3:49" x14ac:dyDescent="0.25">
      <c r="C252">
        <v>96</v>
      </c>
      <c r="D252" t="str">
        <f t="shared" si="99"/>
        <v/>
      </c>
      <c r="E252" s="9" t="str">
        <f t="shared" si="116"/>
        <v/>
      </c>
      <c r="F252" s="9" t="str">
        <f t="shared" si="116"/>
        <v/>
      </c>
      <c r="G252" s="9" t="str">
        <f t="shared" si="116"/>
        <v/>
      </c>
      <c r="H252" s="9" t="str">
        <f t="shared" si="116"/>
        <v/>
      </c>
      <c r="I252" s="9" t="str">
        <f t="shared" si="116"/>
        <v/>
      </c>
      <c r="J252" s="9" t="str">
        <f t="shared" si="116"/>
        <v/>
      </c>
      <c r="K252" s="9" t="str">
        <f t="shared" si="116"/>
        <v/>
      </c>
      <c r="O252" s="9" t="str">
        <f t="shared" si="117"/>
        <v/>
      </c>
      <c r="P252" s="9" t="str">
        <f t="shared" si="117"/>
        <v/>
      </c>
      <c r="Q252" s="9" t="str">
        <f t="shared" si="117"/>
        <v/>
      </c>
      <c r="R252" s="9" t="str">
        <f t="shared" si="117"/>
        <v/>
      </c>
      <c r="S252" s="9" t="str">
        <f t="shared" si="117"/>
        <v/>
      </c>
      <c r="T252" s="9" t="str">
        <f t="shared" si="117"/>
        <v/>
      </c>
      <c r="U252" s="9"/>
      <c r="V252" s="9" t="str">
        <f t="shared" si="102"/>
        <v/>
      </c>
      <c r="X252" s="9" t="str">
        <f t="shared" si="118"/>
        <v/>
      </c>
      <c r="Y252" s="9" t="str">
        <f t="shared" si="118"/>
        <v/>
      </c>
      <c r="Z252" s="9" t="str">
        <f t="shared" si="118"/>
        <v/>
      </c>
      <c r="AA252" s="9" t="str">
        <f t="shared" si="118"/>
        <v/>
      </c>
      <c r="AB252" s="9" t="str">
        <f t="shared" si="118"/>
        <v/>
      </c>
      <c r="AC252" s="9" t="str">
        <f t="shared" si="118"/>
        <v/>
      </c>
      <c r="AD252" s="9" t="str">
        <f t="shared" si="118"/>
        <v/>
      </c>
      <c r="AF252" s="9" t="str">
        <f t="shared" si="119"/>
        <v/>
      </c>
      <c r="AG252" s="9" t="str">
        <f t="shared" si="119"/>
        <v/>
      </c>
      <c r="AH252" s="9" t="str">
        <f t="shared" si="119"/>
        <v/>
      </c>
      <c r="AI252" s="9" t="str">
        <f t="shared" si="119"/>
        <v/>
      </c>
      <c r="AJ252" s="9" t="str">
        <f t="shared" si="119"/>
        <v/>
      </c>
      <c r="AK252" s="9" t="str">
        <f t="shared" si="119"/>
        <v/>
      </c>
      <c r="AL252" s="9" t="str">
        <f t="shared" si="119"/>
        <v/>
      </c>
      <c r="AQ252" s="9" t="str">
        <f t="shared" si="120"/>
        <v/>
      </c>
      <c r="AR252" s="9" t="str">
        <f t="shared" si="120"/>
        <v/>
      </c>
      <c r="AS252" s="9" t="str">
        <f t="shared" si="120"/>
        <v/>
      </c>
      <c r="AT252" s="9" t="str">
        <f t="shared" si="120"/>
        <v/>
      </c>
      <c r="AU252" s="9" t="str">
        <f t="shared" si="120"/>
        <v/>
      </c>
      <c r="AV252" s="9" t="str">
        <f t="shared" si="120"/>
        <v/>
      </c>
      <c r="AW252" s="9" t="str">
        <f t="shared" si="120"/>
        <v/>
      </c>
    </row>
    <row r="253" spans="3:49" x14ac:dyDescent="0.25">
      <c r="C253">
        <v>97</v>
      </c>
      <c r="D253" t="str">
        <f t="shared" ref="D253:D284" si="121">IF(ISNUMBER(E253),C253,"")</f>
        <v/>
      </c>
      <c r="E253" s="9" t="str">
        <f t="shared" si="116"/>
        <v/>
      </c>
      <c r="F253" s="9" t="str">
        <f t="shared" si="116"/>
        <v/>
      </c>
      <c r="G253" s="9" t="str">
        <f t="shared" si="116"/>
        <v/>
      </c>
      <c r="H253" s="9" t="str">
        <f t="shared" si="116"/>
        <v/>
      </c>
      <c r="I253" s="9" t="str">
        <f t="shared" si="116"/>
        <v/>
      </c>
      <c r="J253" s="9" t="str">
        <f t="shared" si="116"/>
        <v/>
      </c>
      <c r="K253" s="9" t="str">
        <f t="shared" si="116"/>
        <v/>
      </c>
      <c r="O253" s="9" t="str">
        <f t="shared" si="117"/>
        <v/>
      </c>
      <c r="P253" s="9" t="str">
        <f t="shared" si="117"/>
        <v/>
      </c>
      <c r="Q253" s="9" t="str">
        <f t="shared" si="117"/>
        <v/>
      </c>
      <c r="R253" s="9" t="str">
        <f t="shared" si="117"/>
        <v/>
      </c>
      <c r="S253" s="9" t="str">
        <f t="shared" si="117"/>
        <v/>
      </c>
      <c r="T253" s="9" t="str">
        <f t="shared" si="117"/>
        <v/>
      </c>
      <c r="U253" s="9"/>
      <c r="V253" s="9" t="str">
        <f t="shared" ref="V253:V284" si="122">V189</f>
        <v/>
      </c>
      <c r="X253" s="9" t="str">
        <f t="shared" si="118"/>
        <v/>
      </c>
      <c r="Y253" s="9" t="str">
        <f t="shared" si="118"/>
        <v/>
      </c>
      <c r="Z253" s="9" t="str">
        <f t="shared" si="118"/>
        <v/>
      </c>
      <c r="AA253" s="9" t="str">
        <f t="shared" si="118"/>
        <v/>
      </c>
      <c r="AB253" s="9" t="str">
        <f t="shared" si="118"/>
        <v/>
      </c>
      <c r="AC253" s="9" t="str">
        <f t="shared" si="118"/>
        <v/>
      </c>
      <c r="AD253" s="9" t="str">
        <f t="shared" si="118"/>
        <v/>
      </c>
      <c r="AF253" s="9" t="str">
        <f t="shared" si="119"/>
        <v/>
      </c>
      <c r="AG253" s="9" t="str">
        <f t="shared" si="119"/>
        <v/>
      </c>
      <c r="AH253" s="9" t="str">
        <f t="shared" si="119"/>
        <v/>
      </c>
      <c r="AI253" s="9" t="str">
        <f t="shared" si="119"/>
        <v/>
      </c>
      <c r="AJ253" s="9" t="str">
        <f t="shared" si="119"/>
        <v/>
      </c>
      <c r="AK253" s="9" t="str">
        <f t="shared" si="119"/>
        <v/>
      </c>
      <c r="AL253" s="9" t="str">
        <f t="shared" si="119"/>
        <v/>
      </c>
      <c r="AQ253" s="9" t="str">
        <f t="shared" si="120"/>
        <v/>
      </c>
      <c r="AR253" s="9" t="str">
        <f t="shared" si="120"/>
        <v/>
      </c>
      <c r="AS253" s="9" t="str">
        <f t="shared" si="120"/>
        <v/>
      </c>
      <c r="AT253" s="9" t="str">
        <f t="shared" si="120"/>
        <v/>
      </c>
      <c r="AU253" s="9" t="str">
        <f t="shared" si="120"/>
        <v/>
      </c>
      <c r="AV253" s="9" t="str">
        <f t="shared" si="120"/>
        <v/>
      </c>
      <c r="AW253" s="9" t="str">
        <f t="shared" si="120"/>
        <v/>
      </c>
    </row>
    <row r="254" spans="3:49" x14ac:dyDescent="0.25">
      <c r="C254">
        <v>98</v>
      </c>
      <c r="D254" t="str">
        <f t="shared" si="121"/>
        <v/>
      </c>
      <c r="E254" s="9" t="str">
        <f t="shared" si="116"/>
        <v/>
      </c>
      <c r="F254" s="9" t="str">
        <f t="shared" si="116"/>
        <v/>
      </c>
      <c r="G254" s="9" t="str">
        <f t="shared" si="116"/>
        <v/>
      </c>
      <c r="H254" s="9" t="str">
        <f t="shared" si="116"/>
        <v/>
      </c>
      <c r="I254" s="9" t="str">
        <f t="shared" si="116"/>
        <v/>
      </c>
      <c r="J254" s="9" t="str">
        <f t="shared" si="116"/>
        <v/>
      </c>
      <c r="K254" s="9" t="str">
        <f t="shared" si="116"/>
        <v/>
      </c>
      <c r="O254" s="9" t="str">
        <f t="shared" si="117"/>
        <v/>
      </c>
      <c r="P254" s="9" t="str">
        <f t="shared" si="117"/>
        <v/>
      </c>
      <c r="Q254" s="9" t="str">
        <f t="shared" si="117"/>
        <v/>
      </c>
      <c r="R254" s="9" t="str">
        <f t="shared" si="117"/>
        <v/>
      </c>
      <c r="S254" s="9" t="str">
        <f t="shared" si="117"/>
        <v/>
      </c>
      <c r="T254" s="9" t="str">
        <f t="shared" si="117"/>
        <v/>
      </c>
      <c r="U254" s="9"/>
      <c r="V254" s="9" t="str">
        <f t="shared" si="122"/>
        <v/>
      </c>
      <c r="X254" s="9" t="str">
        <f t="shared" si="118"/>
        <v/>
      </c>
      <c r="Y254" s="9" t="str">
        <f t="shared" si="118"/>
        <v/>
      </c>
      <c r="Z254" s="9" t="str">
        <f t="shared" si="118"/>
        <v/>
      </c>
      <c r="AA254" s="9" t="str">
        <f t="shared" si="118"/>
        <v/>
      </c>
      <c r="AB254" s="9" t="str">
        <f t="shared" si="118"/>
        <v/>
      </c>
      <c r="AC254" s="9" t="str">
        <f t="shared" si="118"/>
        <v/>
      </c>
      <c r="AD254" s="9" t="str">
        <f t="shared" si="118"/>
        <v/>
      </c>
      <c r="AF254" s="9" t="str">
        <f t="shared" si="119"/>
        <v/>
      </c>
      <c r="AG254" s="9" t="str">
        <f t="shared" si="119"/>
        <v/>
      </c>
      <c r="AH254" s="9" t="str">
        <f t="shared" si="119"/>
        <v/>
      </c>
      <c r="AI254" s="9" t="str">
        <f t="shared" si="119"/>
        <v/>
      </c>
      <c r="AJ254" s="9" t="str">
        <f t="shared" si="119"/>
        <v/>
      </c>
      <c r="AK254" s="9" t="str">
        <f t="shared" si="119"/>
        <v/>
      </c>
      <c r="AL254" s="9" t="str">
        <f t="shared" si="119"/>
        <v/>
      </c>
      <c r="AQ254" s="9" t="str">
        <f t="shared" si="120"/>
        <v/>
      </c>
      <c r="AR254" s="9" t="str">
        <f t="shared" si="120"/>
        <v/>
      </c>
      <c r="AS254" s="9" t="str">
        <f t="shared" si="120"/>
        <v/>
      </c>
      <c r="AT254" s="9" t="str">
        <f t="shared" si="120"/>
        <v/>
      </c>
      <c r="AU254" s="9" t="str">
        <f t="shared" si="120"/>
        <v/>
      </c>
      <c r="AV254" s="9" t="str">
        <f t="shared" si="120"/>
        <v/>
      </c>
      <c r="AW254" s="9" t="str">
        <f t="shared" si="120"/>
        <v/>
      </c>
    </row>
    <row r="255" spans="3:49" x14ac:dyDescent="0.25">
      <c r="C255">
        <v>99</v>
      </c>
      <c r="D255" t="str">
        <f t="shared" si="121"/>
        <v/>
      </c>
      <c r="E255" s="9" t="str">
        <f t="shared" si="116"/>
        <v/>
      </c>
      <c r="F255" s="9" t="str">
        <f t="shared" si="116"/>
        <v/>
      </c>
      <c r="G255" s="9" t="str">
        <f t="shared" si="116"/>
        <v/>
      </c>
      <c r="H255" s="9" t="str">
        <f t="shared" si="116"/>
        <v/>
      </c>
      <c r="I255" s="9" t="str">
        <f t="shared" si="116"/>
        <v/>
      </c>
      <c r="J255" s="9" t="str">
        <f t="shared" si="116"/>
        <v/>
      </c>
      <c r="K255" s="9" t="str">
        <f t="shared" si="116"/>
        <v/>
      </c>
      <c r="O255" s="9" t="str">
        <f t="shared" si="117"/>
        <v/>
      </c>
      <c r="P255" s="9" t="str">
        <f t="shared" si="117"/>
        <v/>
      </c>
      <c r="Q255" s="9" t="str">
        <f t="shared" si="117"/>
        <v/>
      </c>
      <c r="R255" s="9" t="str">
        <f t="shared" si="117"/>
        <v/>
      </c>
      <c r="S255" s="9" t="str">
        <f t="shared" si="117"/>
        <v/>
      </c>
      <c r="T255" s="9" t="str">
        <f t="shared" si="117"/>
        <v/>
      </c>
      <c r="U255" s="9"/>
      <c r="V255" s="9" t="str">
        <f t="shared" si="122"/>
        <v/>
      </c>
      <c r="X255" s="9" t="str">
        <f t="shared" si="118"/>
        <v/>
      </c>
      <c r="Y255" s="9" t="str">
        <f t="shared" si="118"/>
        <v/>
      </c>
      <c r="Z255" s="9" t="str">
        <f t="shared" si="118"/>
        <v/>
      </c>
      <c r="AA255" s="9" t="str">
        <f t="shared" si="118"/>
        <v/>
      </c>
      <c r="AB255" s="9" t="str">
        <f t="shared" si="118"/>
        <v/>
      </c>
      <c r="AC255" s="9" t="str">
        <f t="shared" si="118"/>
        <v/>
      </c>
      <c r="AD255" s="9" t="str">
        <f t="shared" si="118"/>
        <v/>
      </c>
      <c r="AF255" s="9" t="str">
        <f t="shared" si="119"/>
        <v/>
      </c>
      <c r="AG255" s="9" t="str">
        <f t="shared" si="119"/>
        <v/>
      </c>
      <c r="AH255" s="9" t="str">
        <f t="shared" si="119"/>
        <v/>
      </c>
      <c r="AI255" s="9" t="str">
        <f t="shared" si="119"/>
        <v/>
      </c>
      <c r="AJ255" s="9" t="str">
        <f t="shared" si="119"/>
        <v/>
      </c>
      <c r="AK255" s="9" t="str">
        <f t="shared" si="119"/>
        <v/>
      </c>
      <c r="AL255" s="9" t="str">
        <f t="shared" si="119"/>
        <v/>
      </c>
      <c r="AQ255" s="9" t="str">
        <f t="shared" si="120"/>
        <v/>
      </c>
      <c r="AR255" s="9" t="str">
        <f t="shared" si="120"/>
        <v/>
      </c>
      <c r="AS255" s="9" t="str">
        <f t="shared" si="120"/>
        <v/>
      </c>
      <c r="AT255" s="9" t="str">
        <f t="shared" si="120"/>
        <v/>
      </c>
      <c r="AU255" s="9" t="str">
        <f t="shared" si="120"/>
        <v/>
      </c>
      <c r="AV255" s="9" t="str">
        <f t="shared" si="120"/>
        <v/>
      </c>
      <c r="AW255" s="9" t="str">
        <f t="shared" si="120"/>
        <v/>
      </c>
    </row>
    <row r="256" spans="3:49" x14ac:dyDescent="0.25">
      <c r="C256">
        <v>100</v>
      </c>
      <c r="D256" t="str">
        <f t="shared" si="121"/>
        <v/>
      </c>
      <c r="E256" s="9" t="str">
        <f t="shared" si="116"/>
        <v/>
      </c>
      <c r="F256" s="9" t="str">
        <f t="shared" si="116"/>
        <v/>
      </c>
      <c r="G256" s="9" t="str">
        <f t="shared" si="116"/>
        <v/>
      </c>
      <c r="H256" s="9" t="str">
        <f t="shared" si="116"/>
        <v/>
      </c>
      <c r="I256" s="9" t="str">
        <f t="shared" si="116"/>
        <v/>
      </c>
      <c r="J256" s="9" t="str">
        <f t="shared" si="116"/>
        <v/>
      </c>
      <c r="K256" s="9" t="str">
        <f t="shared" si="116"/>
        <v/>
      </c>
      <c r="O256" s="9" t="str">
        <f t="shared" si="117"/>
        <v/>
      </c>
      <c r="P256" s="9" t="str">
        <f t="shared" si="117"/>
        <v/>
      </c>
      <c r="Q256" s="9" t="str">
        <f t="shared" si="117"/>
        <v/>
      </c>
      <c r="R256" s="9" t="str">
        <f t="shared" si="117"/>
        <v/>
      </c>
      <c r="S256" s="9" t="str">
        <f t="shared" si="117"/>
        <v/>
      </c>
      <c r="T256" s="9" t="str">
        <f t="shared" si="117"/>
        <v/>
      </c>
      <c r="U256" s="9"/>
      <c r="V256" s="9" t="str">
        <f t="shared" si="122"/>
        <v/>
      </c>
      <c r="X256" s="9" t="str">
        <f t="shared" si="118"/>
        <v/>
      </c>
      <c r="Y256" s="9" t="str">
        <f t="shared" si="118"/>
        <v/>
      </c>
      <c r="Z256" s="9" t="str">
        <f t="shared" si="118"/>
        <v/>
      </c>
      <c r="AA256" s="9" t="str">
        <f t="shared" si="118"/>
        <v/>
      </c>
      <c r="AB256" s="9" t="str">
        <f t="shared" si="118"/>
        <v/>
      </c>
      <c r="AC256" s="9" t="str">
        <f t="shared" si="118"/>
        <v/>
      </c>
      <c r="AD256" s="9" t="str">
        <f t="shared" si="118"/>
        <v/>
      </c>
      <c r="AF256" s="9" t="str">
        <f t="shared" si="119"/>
        <v/>
      </c>
      <c r="AG256" s="9" t="str">
        <f t="shared" si="119"/>
        <v/>
      </c>
      <c r="AH256" s="9" t="str">
        <f t="shared" si="119"/>
        <v/>
      </c>
      <c r="AI256" s="9" t="str">
        <f t="shared" si="119"/>
        <v/>
      </c>
      <c r="AJ256" s="9" t="str">
        <f t="shared" si="119"/>
        <v/>
      </c>
      <c r="AK256" s="9" t="str">
        <f t="shared" si="119"/>
        <v/>
      </c>
      <c r="AL256" s="9" t="str">
        <f t="shared" si="119"/>
        <v/>
      </c>
      <c r="AQ256" s="9" t="str">
        <f t="shared" si="120"/>
        <v/>
      </c>
      <c r="AR256" s="9" t="str">
        <f t="shared" si="120"/>
        <v/>
      </c>
      <c r="AS256" s="9" t="str">
        <f t="shared" si="120"/>
        <v/>
      </c>
      <c r="AT256" s="9" t="str">
        <f t="shared" si="120"/>
        <v/>
      </c>
      <c r="AU256" s="9" t="str">
        <f t="shared" si="120"/>
        <v/>
      </c>
      <c r="AV256" s="9" t="str">
        <f t="shared" si="120"/>
        <v/>
      </c>
      <c r="AW256" s="9" t="str">
        <f t="shared" si="120"/>
        <v/>
      </c>
    </row>
    <row r="257" spans="3:49" x14ac:dyDescent="0.25">
      <c r="C257">
        <v>101</v>
      </c>
      <c r="D257" t="str">
        <f t="shared" si="121"/>
        <v/>
      </c>
      <c r="E257" s="9" t="str">
        <f t="shared" si="116"/>
        <v/>
      </c>
      <c r="F257" s="9" t="str">
        <f t="shared" si="116"/>
        <v/>
      </c>
      <c r="G257" s="9" t="str">
        <f t="shared" si="116"/>
        <v/>
      </c>
      <c r="H257" s="9" t="str">
        <f t="shared" si="116"/>
        <v/>
      </c>
      <c r="I257" s="9" t="str">
        <f t="shared" si="116"/>
        <v/>
      </c>
      <c r="J257" s="9" t="str">
        <f t="shared" si="116"/>
        <v/>
      </c>
      <c r="K257" s="9" t="str">
        <f t="shared" si="116"/>
        <v/>
      </c>
      <c r="O257" s="9" t="str">
        <f t="shared" si="117"/>
        <v/>
      </c>
      <c r="P257" s="9" t="str">
        <f t="shared" si="117"/>
        <v/>
      </c>
      <c r="Q257" s="9" t="str">
        <f t="shared" si="117"/>
        <v/>
      </c>
      <c r="R257" s="9" t="str">
        <f t="shared" si="117"/>
        <v/>
      </c>
      <c r="S257" s="9" t="str">
        <f t="shared" si="117"/>
        <v/>
      </c>
      <c r="T257" s="9" t="str">
        <f t="shared" si="117"/>
        <v/>
      </c>
      <c r="U257" s="9"/>
      <c r="V257" s="9" t="str">
        <f t="shared" si="122"/>
        <v/>
      </c>
      <c r="X257" s="9" t="str">
        <f t="shared" si="118"/>
        <v/>
      </c>
      <c r="Y257" s="9" t="str">
        <f t="shared" si="118"/>
        <v/>
      </c>
      <c r="Z257" s="9" t="str">
        <f t="shared" si="118"/>
        <v/>
      </c>
      <c r="AA257" s="9" t="str">
        <f t="shared" si="118"/>
        <v/>
      </c>
      <c r="AB257" s="9" t="str">
        <f t="shared" si="118"/>
        <v/>
      </c>
      <c r="AC257" s="9" t="str">
        <f t="shared" si="118"/>
        <v/>
      </c>
      <c r="AD257" s="9" t="str">
        <f t="shared" si="118"/>
        <v/>
      </c>
      <c r="AF257" s="9" t="str">
        <f t="shared" si="119"/>
        <v/>
      </c>
      <c r="AG257" s="9" t="str">
        <f t="shared" si="119"/>
        <v/>
      </c>
      <c r="AH257" s="9" t="str">
        <f t="shared" si="119"/>
        <v/>
      </c>
      <c r="AI257" s="9" t="str">
        <f t="shared" si="119"/>
        <v/>
      </c>
      <c r="AJ257" s="9" t="str">
        <f t="shared" si="119"/>
        <v/>
      </c>
      <c r="AK257" s="9" t="str">
        <f t="shared" si="119"/>
        <v/>
      </c>
      <c r="AL257" s="9" t="str">
        <f t="shared" si="119"/>
        <v/>
      </c>
      <c r="AQ257" s="9" t="str">
        <f t="shared" si="120"/>
        <v/>
      </c>
      <c r="AR257" s="9" t="str">
        <f t="shared" si="120"/>
        <v/>
      </c>
      <c r="AS257" s="9" t="str">
        <f t="shared" si="120"/>
        <v/>
      </c>
      <c r="AT257" s="9" t="str">
        <f t="shared" si="120"/>
        <v/>
      </c>
      <c r="AU257" s="9" t="str">
        <f t="shared" si="120"/>
        <v/>
      </c>
      <c r="AV257" s="9" t="str">
        <f t="shared" si="120"/>
        <v/>
      </c>
      <c r="AW257" s="9" t="str">
        <f t="shared" si="120"/>
        <v/>
      </c>
    </row>
    <row r="258" spans="3:49" x14ac:dyDescent="0.25">
      <c r="C258">
        <v>102</v>
      </c>
      <c r="D258" t="str">
        <f t="shared" si="121"/>
        <v/>
      </c>
      <c r="E258" s="9" t="str">
        <f t="shared" si="116"/>
        <v/>
      </c>
      <c r="F258" s="9" t="str">
        <f t="shared" si="116"/>
        <v/>
      </c>
      <c r="G258" s="9" t="str">
        <f t="shared" si="116"/>
        <v/>
      </c>
      <c r="H258" s="9" t="str">
        <f t="shared" si="116"/>
        <v/>
      </c>
      <c r="I258" s="9" t="str">
        <f t="shared" si="116"/>
        <v/>
      </c>
      <c r="J258" s="9" t="str">
        <f t="shared" si="116"/>
        <v/>
      </c>
      <c r="K258" s="9" t="str">
        <f t="shared" si="116"/>
        <v/>
      </c>
      <c r="O258" s="9" t="str">
        <f t="shared" si="117"/>
        <v/>
      </c>
      <c r="P258" s="9" t="str">
        <f t="shared" si="117"/>
        <v/>
      </c>
      <c r="Q258" s="9" t="str">
        <f t="shared" si="117"/>
        <v/>
      </c>
      <c r="R258" s="9" t="str">
        <f t="shared" si="117"/>
        <v/>
      </c>
      <c r="S258" s="9" t="str">
        <f t="shared" si="117"/>
        <v/>
      </c>
      <c r="T258" s="9" t="str">
        <f t="shared" si="117"/>
        <v/>
      </c>
      <c r="U258" s="9"/>
      <c r="V258" s="9" t="str">
        <f t="shared" si="122"/>
        <v/>
      </c>
      <c r="X258" s="9" t="str">
        <f t="shared" si="118"/>
        <v/>
      </c>
      <c r="Y258" s="9" t="str">
        <f t="shared" si="118"/>
        <v/>
      </c>
      <c r="Z258" s="9" t="str">
        <f t="shared" si="118"/>
        <v/>
      </c>
      <c r="AA258" s="9" t="str">
        <f t="shared" si="118"/>
        <v/>
      </c>
      <c r="AB258" s="9" t="str">
        <f t="shared" si="118"/>
        <v/>
      </c>
      <c r="AC258" s="9" t="str">
        <f t="shared" si="118"/>
        <v/>
      </c>
      <c r="AD258" s="9" t="str">
        <f t="shared" si="118"/>
        <v/>
      </c>
      <c r="AF258" s="9" t="str">
        <f t="shared" si="119"/>
        <v/>
      </c>
      <c r="AG258" s="9" t="str">
        <f t="shared" si="119"/>
        <v/>
      </c>
      <c r="AH258" s="9" t="str">
        <f t="shared" si="119"/>
        <v/>
      </c>
      <c r="AI258" s="9" t="str">
        <f t="shared" si="119"/>
        <v/>
      </c>
      <c r="AJ258" s="9" t="str">
        <f t="shared" si="119"/>
        <v/>
      </c>
      <c r="AK258" s="9" t="str">
        <f t="shared" si="119"/>
        <v/>
      </c>
      <c r="AL258" s="9" t="str">
        <f t="shared" si="119"/>
        <v/>
      </c>
      <c r="AQ258" s="9" t="str">
        <f t="shared" si="120"/>
        <v/>
      </c>
      <c r="AR258" s="9" t="str">
        <f t="shared" si="120"/>
        <v/>
      </c>
      <c r="AS258" s="9" t="str">
        <f t="shared" si="120"/>
        <v/>
      </c>
      <c r="AT258" s="9" t="str">
        <f t="shared" si="120"/>
        <v/>
      </c>
      <c r="AU258" s="9" t="str">
        <f t="shared" si="120"/>
        <v/>
      </c>
      <c r="AV258" s="9" t="str">
        <f t="shared" si="120"/>
        <v/>
      </c>
      <c r="AW258" s="9" t="str">
        <f t="shared" si="120"/>
        <v/>
      </c>
    </row>
    <row r="259" spans="3:49" x14ac:dyDescent="0.25">
      <c r="C259">
        <v>103</v>
      </c>
      <c r="D259" t="str">
        <f t="shared" si="121"/>
        <v/>
      </c>
      <c r="E259" s="9" t="str">
        <f t="shared" si="116"/>
        <v/>
      </c>
      <c r="F259" s="9" t="str">
        <f t="shared" si="116"/>
        <v/>
      </c>
      <c r="G259" s="9" t="str">
        <f t="shared" si="116"/>
        <v/>
      </c>
      <c r="H259" s="9" t="str">
        <f t="shared" si="116"/>
        <v/>
      </c>
      <c r="I259" s="9" t="str">
        <f t="shared" si="116"/>
        <v/>
      </c>
      <c r="J259" s="9" t="str">
        <f t="shared" si="116"/>
        <v/>
      </c>
      <c r="K259" s="9" t="str">
        <f t="shared" si="116"/>
        <v/>
      </c>
      <c r="O259" s="9" t="str">
        <f t="shared" si="117"/>
        <v/>
      </c>
      <c r="P259" s="9" t="str">
        <f t="shared" si="117"/>
        <v/>
      </c>
      <c r="Q259" s="9" t="str">
        <f t="shared" si="117"/>
        <v/>
      </c>
      <c r="R259" s="9" t="str">
        <f t="shared" si="117"/>
        <v/>
      </c>
      <c r="S259" s="9" t="str">
        <f t="shared" si="117"/>
        <v/>
      </c>
      <c r="T259" s="9" t="str">
        <f t="shared" si="117"/>
        <v/>
      </c>
      <c r="U259" s="9"/>
      <c r="V259" s="9" t="str">
        <f t="shared" si="122"/>
        <v/>
      </c>
      <c r="X259" s="9" t="str">
        <f t="shared" si="118"/>
        <v/>
      </c>
      <c r="Y259" s="9" t="str">
        <f t="shared" si="118"/>
        <v/>
      </c>
      <c r="Z259" s="9" t="str">
        <f t="shared" si="118"/>
        <v/>
      </c>
      <c r="AA259" s="9" t="str">
        <f t="shared" si="118"/>
        <v/>
      </c>
      <c r="AB259" s="9" t="str">
        <f t="shared" si="118"/>
        <v/>
      </c>
      <c r="AC259" s="9" t="str">
        <f t="shared" si="118"/>
        <v/>
      </c>
      <c r="AD259" s="9" t="str">
        <f t="shared" si="118"/>
        <v/>
      </c>
      <c r="AF259" s="9" t="str">
        <f t="shared" si="119"/>
        <v/>
      </c>
      <c r="AG259" s="9" t="str">
        <f t="shared" si="119"/>
        <v/>
      </c>
      <c r="AH259" s="9" t="str">
        <f t="shared" si="119"/>
        <v/>
      </c>
      <c r="AI259" s="9" t="str">
        <f t="shared" si="119"/>
        <v/>
      </c>
      <c r="AJ259" s="9" t="str">
        <f t="shared" si="119"/>
        <v/>
      </c>
      <c r="AK259" s="9" t="str">
        <f t="shared" si="119"/>
        <v/>
      </c>
      <c r="AL259" s="9" t="str">
        <f t="shared" si="119"/>
        <v/>
      </c>
      <c r="AQ259" s="9" t="str">
        <f t="shared" si="120"/>
        <v/>
      </c>
      <c r="AR259" s="9" t="str">
        <f t="shared" si="120"/>
        <v/>
      </c>
      <c r="AS259" s="9" t="str">
        <f t="shared" si="120"/>
        <v/>
      </c>
      <c r="AT259" s="9" t="str">
        <f t="shared" si="120"/>
        <v/>
      </c>
      <c r="AU259" s="9" t="str">
        <f t="shared" si="120"/>
        <v/>
      </c>
      <c r="AV259" s="9" t="str">
        <f t="shared" si="120"/>
        <v/>
      </c>
      <c r="AW259" s="9" t="str">
        <f t="shared" si="120"/>
        <v/>
      </c>
    </row>
    <row r="260" spans="3:49" x14ac:dyDescent="0.25">
      <c r="C260">
        <v>104</v>
      </c>
      <c r="D260" t="str">
        <f t="shared" si="121"/>
        <v/>
      </c>
      <c r="E260" s="9" t="str">
        <f t="shared" si="116"/>
        <v/>
      </c>
      <c r="F260" s="9" t="str">
        <f t="shared" si="116"/>
        <v/>
      </c>
      <c r="G260" s="9" t="str">
        <f t="shared" si="116"/>
        <v/>
      </c>
      <c r="H260" s="9" t="str">
        <f t="shared" si="116"/>
        <v/>
      </c>
      <c r="I260" s="9" t="str">
        <f t="shared" si="116"/>
        <v/>
      </c>
      <c r="J260" s="9" t="str">
        <f t="shared" si="116"/>
        <v/>
      </c>
      <c r="K260" s="9" t="str">
        <f t="shared" si="116"/>
        <v/>
      </c>
      <c r="O260" s="9" t="str">
        <f t="shared" si="117"/>
        <v/>
      </c>
      <c r="P260" s="9" t="str">
        <f t="shared" si="117"/>
        <v/>
      </c>
      <c r="Q260" s="9" t="str">
        <f t="shared" si="117"/>
        <v/>
      </c>
      <c r="R260" s="9" t="str">
        <f t="shared" si="117"/>
        <v/>
      </c>
      <c r="S260" s="9" t="str">
        <f t="shared" si="117"/>
        <v/>
      </c>
      <c r="T260" s="9" t="str">
        <f t="shared" si="117"/>
        <v/>
      </c>
      <c r="U260" s="9"/>
      <c r="V260" s="9" t="str">
        <f t="shared" si="122"/>
        <v/>
      </c>
      <c r="X260" s="9" t="str">
        <f t="shared" si="118"/>
        <v/>
      </c>
      <c r="Y260" s="9" t="str">
        <f t="shared" si="118"/>
        <v/>
      </c>
      <c r="Z260" s="9" t="str">
        <f t="shared" si="118"/>
        <v/>
      </c>
      <c r="AA260" s="9" t="str">
        <f t="shared" si="118"/>
        <v/>
      </c>
      <c r="AB260" s="9" t="str">
        <f t="shared" si="118"/>
        <v/>
      </c>
      <c r="AC260" s="9" t="str">
        <f t="shared" si="118"/>
        <v/>
      </c>
      <c r="AD260" s="9" t="str">
        <f t="shared" si="118"/>
        <v/>
      </c>
      <c r="AF260" s="9" t="str">
        <f t="shared" si="119"/>
        <v/>
      </c>
      <c r="AG260" s="9" t="str">
        <f t="shared" si="119"/>
        <v/>
      </c>
      <c r="AH260" s="9" t="str">
        <f t="shared" si="119"/>
        <v/>
      </c>
      <c r="AI260" s="9" t="str">
        <f t="shared" si="119"/>
        <v/>
      </c>
      <c r="AJ260" s="9" t="str">
        <f t="shared" si="119"/>
        <v/>
      </c>
      <c r="AK260" s="9" t="str">
        <f t="shared" si="119"/>
        <v/>
      </c>
      <c r="AL260" s="9" t="str">
        <f t="shared" si="119"/>
        <v/>
      </c>
      <c r="AQ260" s="9" t="str">
        <f t="shared" si="120"/>
        <v/>
      </c>
      <c r="AR260" s="9" t="str">
        <f t="shared" si="120"/>
        <v/>
      </c>
      <c r="AS260" s="9" t="str">
        <f t="shared" si="120"/>
        <v/>
      </c>
      <c r="AT260" s="9" t="str">
        <f t="shared" si="120"/>
        <v/>
      </c>
      <c r="AU260" s="9" t="str">
        <f t="shared" si="120"/>
        <v/>
      </c>
      <c r="AV260" s="9" t="str">
        <f t="shared" si="120"/>
        <v/>
      </c>
      <c r="AW260" s="9" t="str">
        <f t="shared" si="120"/>
        <v/>
      </c>
    </row>
    <row r="261" spans="3:49" x14ac:dyDescent="0.25">
      <c r="C261">
        <v>105</v>
      </c>
      <c r="D261" t="str">
        <f t="shared" si="121"/>
        <v/>
      </c>
      <c r="E261" s="9" t="str">
        <f t="shared" ref="E261:K270" si="123">E197</f>
        <v/>
      </c>
      <c r="F261" s="9" t="str">
        <f t="shared" si="123"/>
        <v/>
      </c>
      <c r="G261" s="9" t="str">
        <f t="shared" si="123"/>
        <v/>
      </c>
      <c r="H261" s="9" t="str">
        <f t="shared" si="123"/>
        <v/>
      </c>
      <c r="I261" s="9" t="str">
        <f t="shared" si="123"/>
        <v/>
      </c>
      <c r="J261" s="9" t="str">
        <f t="shared" si="123"/>
        <v/>
      </c>
      <c r="K261" s="9" t="str">
        <f t="shared" si="123"/>
        <v/>
      </c>
      <c r="N261" t="str">
        <f t="shared" ref="N261:N284" si="124">N185</f>
        <v/>
      </c>
      <c r="O261" s="9" t="str">
        <f t="shared" ref="O261:T270" si="125">O197</f>
        <v/>
      </c>
      <c r="P261" s="9" t="str">
        <f t="shared" si="125"/>
        <v/>
      </c>
      <c r="Q261" s="9" t="str">
        <f t="shared" si="125"/>
        <v/>
      </c>
      <c r="R261" s="9" t="str">
        <f t="shared" si="125"/>
        <v/>
      </c>
      <c r="S261" s="9" t="str">
        <f t="shared" si="125"/>
        <v/>
      </c>
      <c r="T261" s="9" t="str">
        <f t="shared" si="125"/>
        <v/>
      </c>
      <c r="U261" s="9"/>
      <c r="V261" s="9" t="str">
        <f t="shared" si="122"/>
        <v/>
      </c>
      <c r="W261" t="str">
        <f t="shared" ref="W261:W284" si="126">W185</f>
        <v/>
      </c>
      <c r="X261" s="9" t="str">
        <f t="shared" ref="X261:AD270" si="127">X197</f>
        <v/>
      </c>
      <c r="Y261" s="9" t="str">
        <f t="shared" si="127"/>
        <v/>
      </c>
      <c r="Z261" s="9" t="str">
        <f t="shared" si="127"/>
        <v/>
      </c>
      <c r="AA261" s="9" t="str">
        <f t="shared" si="127"/>
        <v/>
      </c>
      <c r="AB261" s="9" t="str">
        <f t="shared" si="127"/>
        <v/>
      </c>
      <c r="AC261" s="9" t="str">
        <f t="shared" si="127"/>
        <v/>
      </c>
      <c r="AD261" s="9" t="str">
        <f t="shared" si="127"/>
        <v/>
      </c>
      <c r="AE261" t="str">
        <f t="shared" ref="AE261:AE284" si="128">AE185</f>
        <v/>
      </c>
      <c r="AF261" s="9" t="str">
        <f t="shared" ref="AF261:AL270" si="129">AF197</f>
        <v/>
      </c>
      <c r="AG261" s="9" t="str">
        <f t="shared" si="129"/>
        <v/>
      </c>
      <c r="AH261" s="9" t="str">
        <f t="shared" si="129"/>
        <v/>
      </c>
      <c r="AI261" s="9" t="str">
        <f t="shared" si="129"/>
        <v/>
      </c>
      <c r="AJ261" s="9" t="str">
        <f t="shared" si="129"/>
        <v/>
      </c>
      <c r="AK261" s="9" t="str">
        <f t="shared" si="129"/>
        <v/>
      </c>
      <c r="AL261" s="9" t="str">
        <f t="shared" si="129"/>
        <v/>
      </c>
      <c r="AP261" t="str">
        <f t="shared" ref="AP261:AP284" si="130">AP185</f>
        <v/>
      </c>
      <c r="AQ261" s="9" t="str">
        <f t="shared" ref="AQ261:AW270" si="131">AQ197</f>
        <v/>
      </c>
      <c r="AR261" s="9" t="str">
        <f t="shared" si="131"/>
        <v/>
      </c>
      <c r="AS261" s="9" t="str">
        <f t="shared" si="131"/>
        <v/>
      </c>
      <c r="AT261" s="9" t="str">
        <f t="shared" si="131"/>
        <v/>
      </c>
      <c r="AU261" s="9" t="str">
        <f t="shared" si="131"/>
        <v/>
      </c>
      <c r="AV261" s="9" t="str">
        <f t="shared" si="131"/>
        <v/>
      </c>
      <c r="AW261" s="9" t="str">
        <f t="shared" si="131"/>
        <v/>
      </c>
    </row>
    <row r="262" spans="3:49" x14ac:dyDescent="0.25">
      <c r="C262">
        <v>106</v>
      </c>
      <c r="D262" t="str">
        <f t="shared" si="121"/>
        <v/>
      </c>
      <c r="E262" s="9" t="str">
        <f t="shared" si="123"/>
        <v/>
      </c>
      <c r="F262" s="9" t="str">
        <f t="shared" si="123"/>
        <v/>
      </c>
      <c r="G262" s="9" t="str">
        <f t="shared" si="123"/>
        <v/>
      </c>
      <c r="H262" s="9" t="str">
        <f t="shared" si="123"/>
        <v/>
      </c>
      <c r="I262" s="9" t="str">
        <f t="shared" si="123"/>
        <v/>
      </c>
      <c r="J262" s="9" t="str">
        <f t="shared" si="123"/>
        <v/>
      </c>
      <c r="K262" s="9" t="str">
        <f t="shared" si="123"/>
        <v/>
      </c>
      <c r="N262" t="str">
        <f t="shared" si="124"/>
        <v/>
      </c>
      <c r="O262" s="9" t="str">
        <f t="shared" si="125"/>
        <v/>
      </c>
      <c r="P262" s="9" t="str">
        <f t="shared" si="125"/>
        <v/>
      </c>
      <c r="Q262" s="9" t="str">
        <f t="shared" si="125"/>
        <v/>
      </c>
      <c r="R262" s="9" t="str">
        <f t="shared" si="125"/>
        <v/>
      </c>
      <c r="S262" s="9" t="str">
        <f t="shared" si="125"/>
        <v/>
      </c>
      <c r="T262" s="9" t="str">
        <f t="shared" si="125"/>
        <v/>
      </c>
      <c r="U262" s="9"/>
      <c r="V262" s="9" t="str">
        <f t="shared" si="122"/>
        <v/>
      </c>
      <c r="W262" t="str">
        <f t="shared" si="126"/>
        <v/>
      </c>
      <c r="X262" s="9" t="str">
        <f t="shared" si="127"/>
        <v/>
      </c>
      <c r="Y262" s="9" t="str">
        <f t="shared" si="127"/>
        <v/>
      </c>
      <c r="Z262" s="9" t="str">
        <f t="shared" si="127"/>
        <v/>
      </c>
      <c r="AA262" s="9" t="str">
        <f t="shared" si="127"/>
        <v/>
      </c>
      <c r="AB262" s="9" t="str">
        <f t="shared" si="127"/>
        <v/>
      </c>
      <c r="AC262" s="9" t="str">
        <f t="shared" si="127"/>
        <v/>
      </c>
      <c r="AD262" s="9" t="str">
        <f t="shared" si="127"/>
        <v/>
      </c>
      <c r="AE262" t="str">
        <f t="shared" si="128"/>
        <v/>
      </c>
      <c r="AF262" s="9" t="str">
        <f t="shared" si="129"/>
        <v/>
      </c>
      <c r="AG262" s="9" t="str">
        <f t="shared" si="129"/>
        <v/>
      </c>
      <c r="AH262" s="9" t="str">
        <f t="shared" si="129"/>
        <v/>
      </c>
      <c r="AI262" s="9" t="str">
        <f t="shared" si="129"/>
        <v/>
      </c>
      <c r="AJ262" s="9" t="str">
        <f t="shared" si="129"/>
        <v/>
      </c>
      <c r="AK262" s="9" t="str">
        <f t="shared" si="129"/>
        <v/>
      </c>
      <c r="AL262" s="9" t="str">
        <f t="shared" si="129"/>
        <v/>
      </c>
      <c r="AP262" t="str">
        <f t="shared" si="130"/>
        <v/>
      </c>
      <c r="AQ262" s="9" t="str">
        <f t="shared" si="131"/>
        <v/>
      </c>
      <c r="AR262" s="9" t="str">
        <f t="shared" si="131"/>
        <v/>
      </c>
      <c r="AS262" s="9" t="str">
        <f t="shared" si="131"/>
        <v/>
      </c>
      <c r="AT262" s="9" t="str">
        <f t="shared" si="131"/>
        <v/>
      </c>
      <c r="AU262" s="9" t="str">
        <f t="shared" si="131"/>
        <v/>
      </c>
      <c r="AV262" s="9" t="str">
        <f t="shared" si="131"/>
        <v/>
      </c>
      <c r="AW262" s="9" t="str">
        <f t="shared" si="131"/>
        <v/>
      </c>
    </row>
    <row r="263" spans="3:49" x14ac:dyDescent="0.25">
      <c r="C263">
        <v>107</v>
      </c>
      <c r="D263" t="str">
        <f t="shared" si="121"/>
        <v/>
      </c>
      <c r="E263" s="9" t="str">
        <f t="shared" si="123"/>
        <v/>
      </c>
      <c r="F263" s="9" t="str">
        <f t="shared" si="123"/>
        <v/>
      </c>
      <c r="G263" s="9" t="str">
        <f t="shared" si="123"/>
        <v/>
      </c>
      <c r="H263" s="9" t="str">
        <f t="shared" si="123"/>
        <v/>
      </c>
      <c r="I263" s="9" t="str">
        <f t="shared" si="123"/>
        <v/>
      </c>
      <c r="J263" s="9" t="str">
        <f t="shared" si="123"/>
        <v/>
      </c>
      <c r="K263" s="9" t="str">
        <f t="shared" si="123"/>
        <v/>
      </c>
      <c r="N263" t="str">
        <f t="shared" si="124"/>
        <v/>
      </c>
      <c r="O263" s="9" t="str">
        <f t="shared" si="125"/>
        <v/>
      </c>
      <c r="P263" s="9" t="str">
        <f t="shared" si="125"/>
        <v/>
      </c>
      <c r="Q263" s="9" t="str">
        <f t="shared" si="125"/>
        <v/>
      </c>
      <c r="R263" s="9" t="str">
        <f t="shared" si="125"/>
        <v/>
      </c>
      <c r="S263" s="9" t="str">
        <f t="shared" si="125"/>
        <v/>
      </c>
      <c r="T263" s="9" t="str">
        <f t="shared" si="125"/>
        <v/>
      </c>
      <c r="U263" s="9"/>
      <c r="V263" s="9" t="str">
        <f t="shared" si="122"/>
        <v/>
      </c>
      <c r="W263" t="str">
        <f t="shared" si="126"/>
        <v/>
      </c>
      <c r="X263" s="9" t="str">
        <f t="shared" si="127"/>
        <v/>
      </c>
      <c r="Y263" s="9" t="str">
        <f t="shared" si="127"/>
        <v/>
      </c>
      <c r="Z263" s="9" t="str">
        <f t="shared" si="127"/>
        <v/>
      </c>
      <c r="AA263" s="9" t="str">
        <f t="shared" si="127"/>
        <v/>
      </c>
      <c r="AB263" s="9" t="str">
        <f t="shared" si="127"/>
        <v/>
      </c>
      <c r="AC263" s="9" t="str">
        <f t="shared" si="127"/>
        <v/>
      </c>
      <c r="AD263" s="9" t="str">
        <f t="shared" si="127"/>
        <v/>
      </c>
      <c r="AE263" t="str">
        <f t="shared" si="128"/>
        <v/>
      </c>
      <c r="AF263" s="9" t="str">
        <f t="shared" si="129"/>
        <v/>
      </c>
      <c r="AG263" s="9" t="str">
        <f t="shared" si="129"/>
        <v/>
      </c>
      <c r="AH263" s="9" t="str">
        <f t="shared" si="129"/>
        <v/>
      </c>
      <c r="AI263" s="9" t="str">
        <f t="shared" si="129"/>
        <v/>
      </c>
      <c r="AJ263" s="9" t="str">
        <f t="shared" si="129"/>
        <v/>
      </c>
      <c r="AK263" s="9" t="str">
        <f t="shared" si="129"/>
        <v/>
      </c>
      <c r="AL263" s="9" t="str">
        <f t="shared" si="129"/>
        <v/>
      </c>
      <c r="AP263" t="str">
        <f t="shared" si="130"/>
        <v/>
      </c>
      <c r="AQ263" s="9" t="str">
        <f t="shared" si="131"/>
        <v/>
      </c>
      <c r="AR263" s="9" t="str">
        <f t="shared" si="131"/>
        <v/>
      </c>
      <c r="AS263" s="9" t="str">
        <f t="shared" si="131"/>
        <v/>
      </c>
      <c r="AT263" s="9" t="str">
        <f t="shared" si="131"/>
        <v/>
      </c>
      <c r="AU263" s="9" t="str">
        <f t="shared" si="131"/>
        <v/>
      </c>
      <c r="AV263" s="9" t="str">
        <f t="shared" si="131"/>
        <v/>
      </c>
      <c r="AW263" s="9" t="str">
        <f t="shared" si="131"/>
        <v/>
      </c>
    </row>
    <row r="264" spans="3:49" x14ac:dyDescent="0.25">
      <c r="C264">
        <v>108</v>
      </c>
      <c r="D264" t="str">
        <f t="shared" si="121"/>
        <v/>
      </c>
      <c r="E264" s="9" t="str">
        <f t="shared" si="123"/>
        <v/>
      </c>
      <c r="F264" s="9" t="str">
        <f t="shared" si="123"/>
        <v/>
      </c>
      <c r="G264" s="9" t="str">
        <f t="shared" si="123"/>
        <v/>
      </c>
      <c r="H264" s="9" t="str">
        <f t="shared" si="123"/>
        <v/>
      </c>
      <c r="I264" s="9" t="str">
        <f t="shared" si="123"/>
        <v/>
      </c>
      <c r="J264" s="9" t="str">
        <f t="shared" si="123"/>
        <v/>
      </c>
      <c r="K264" s="9" t="str">
        <f t="shared" si="123"/>
        <v/>
      </c>
      <c r="N264" t="str">
        <f t="shared" si="124"/>
        <v/>
      </c>
      <c r="O264" s="9" t="str">
        <f t="shared" si="125"/>
        <v/>
      </c>
      <c r="P264" s="9" t="str">
        <f t="shared" si="125"/>
        <v/>
      </c>
      <c r="Q264" s="9" t="str">
        <f t="shared" si="125"/>
        <v/>
      </c>
      <c r="R264" s="9" t="str">
        <f t="shared" si="125"/>
        <v/>
      </c>
      <c r="S264" s="9" t="str">
        <f t="shared" si="125"/>
        <v/>
      </c>
      <c r="T264" s="9" t="str">
        <f t="shared" si="125"/>
        <v/>
      </c>
      <c r="U264" s="9"/>
      <c r="V264" s="9" t="str">
        <f t="shared" si="122"/>
        <v/>
      </c>
      <c r="W264" t="str">
        <f t="shared" si="126"/>
        <v/>
      </c>
      <c r="X264" s="9" t="str">
        <f t="shared" si="127"/>
        <v/>
      </c>
      <c r="Y264" s="9" t="str">
        <f t="shared" si="127"/>
        <v/>
      </c>
      <c r="Z264" s="9" t="str">
        <f t="shared" si="127"/>
        <v/>
      </c>
      <c r="AA264" s="9" t="str">
        <f t="shared" si="127"/>
        <v/>
      </c>
      <c r="AB264" s="9" t="str">
        <f t="shared" si="127"/>
        <v/>
      </c>
      <c r="AC264" s="9" t="str">
        <f t="shared" si="127"/>
        <v/>
      </c>
      <c r="AD264" s="9" t="str">
        <f t="shared" si="127"/>
        <v/>
      </c>
      <c r="AE264" t="str">
        <f t="shared" si="128"/>
        <v/>
      </c>
      <c r="AF264" s="9" t="str">
        <f t="shared" si="129"/>
        <v/>
      </c>
      <c r="AG264" s="9" t="str">
        <f t="shared" si="129"/>
        <v/>
      </c>
      <c r="AH264" s="9" t="str">
        <f t="shared" si="129"/>
        <v/>
      </c>
      <c r="AI264" s="9" t="str">
        <f t="shared" si="129"/>
        <v/>
      </c>
      <c r="AJ264" s="9" t="str">
        <f t="shared" si="129"/>
        <v/>
      </c>
      <c r="AK264" s="9" t="str">
        <f t="shared" si="129"/>
        <v/>
      </c>
      <c r="AL264" s="9" t="str">
        <f t="shared" si="129"/>
        <v/>
      </c>
      <c r="AP264" t="str">
        <f t="shared" si="130"/>
        <v/>
      </c>
      <c r="AQ264" s="9" t="str">
        <f t="shared" si="131"/>
        <v/>
      </c>
      <c r="AR264" s="9" t="str">
        <f t="shared" si="131"/>
        <v/>
      </c>
      <c r="AS264" s="9" t="str">
        <f t="shared" si="131"/>
        <v/>
      </c>
      <c r="AT264" s="9" t="str">
        <f t="shared" si="131"/>
        <v/>
      </c>
      <c r="AU264" s="9" t="str">
        <f t="shared" si="131"/>
        <v/>
      </c>
      <c r="AV264" s="9" t="str">
        <f t="shared" si="131"/>
        <v/>
      </c>
      <c r="AW264" s="9" t="str">
        <f t="shared" si="131"/>
        <v/>
      </c>
    </row>
    <row r="265" spans="3:49" x14ac:dyDescent="0.25">
      <c r="C265">
        <v>109</v>
      </c>
      <c r="D265" t="str">
        <f t="shared" si="121"/>
        <v/>
      </c>
      <c r="E265" s="9" t="str">
        <f t="shared" si="123"/>
        <v/>
      </c>
      <c r="F265" s="9" t="str">
        <f t="shared" si="123"/>
        <v/>
      </c>
      <c r="G265" s="9" t="str">
        <f t="shared" si="123"/>
        <v/>
      </c>
      <c r="H265" s="9" t="str">
        <f t="shared" si="123"/>
        <v/>
      </c>
      <c r="I265" s="9" t="str">
        <f t="shared" si="123"/>
        <v/>
      </c>
      <c r="J265" s="9" t="str">
        <f t="shared" si="123"/>
        <v/>
      </c>
      <c r="K265" s="9" t="str">
        <f t="shared" si="123"/>
        <v/>
      </c>
      <c r="N265" t="str">
        <f t="shared" si="124"/>
        <v/>
      </c>
      <c r="O265" s="9" t="str">
        <f t="shared" si="125"/>
        <v/>
      </c>
      <c r="P265" s="9" t="str">
        <f t="shared" si="125"/>
        <v/>
      </c>
      <c r="Q265" s="9" t="str">
        <f t="shared" si="125"/>
        <v/>
      </c>
      <c r="R265" s="9" t="str">
        <f t="shared" si="125"/>
        <v/>
      </c>
      <c r="S265" s="9" t="str">
        <f t="shared" si="125"/>
        <v/>
      </c>
      <c r="T265" s="9" t="str">
        <f t="shared" si="125"/>
        <v/>
      </c>
      <c r="U265" s="9"/>
      <c r="V265" s="9" t="str">
        <f t="shared" si="122"/>
        <v/>
      </c>
      <c r="W265" t="str">
        <f t="shared" si="126"/>
        <v/>
      </c>
      <c r="X265" s="9" t="str">
        <f t="shared" si="127"/>
        <v/>
      </c>
      <c r="Y265" s="9" t="str">
        <f t="shared" si="127"/>
        <v/>
      </c>
      <c r="Z265" s="9" t="str">
        <f t="shared" si="127"/>
        <v/>
      </c>
      <c r="AA265" s="9" t="str">
        <f t="shared" si="127"/>
        <v/>
      </c>
      <c r="AB265" s="9" t="str">
        <f t="shared" si="127"/>
        <v/>
      </c>
      <c r="AC265" s="9" t="str">
        <f t="shared" si="127"/>
        <v/>
      </c>
      <c r="AD265" s="9" t="str">
        <f t="shared" si="127"/>
        <v/>
      </c>
      <c r="AE265" t="str">
        <f t="shared" si="128"/>
        <v/>
      </c>
      <c r="AF265" s="9" t="str">
        <f t="shared" si="129"/>
        <v/>
      </c>
      <c r="AG265" s="9" t="str">
        <f t="shared" si="129"/>
        <v/>
      </c>
      <c r="AH265" s="9" t="str">
        <f t="shared" si="129"/>
        <v/>
      </c>
      <c r="AI265" s="9" t="str">
        <f t="shared" si="129"/>
        <v/>
      </c>
      <c r="AJ265" s="9" t="str">
        <f t="shared" si="129"/>
        <v/>
      </c>
      <c r="AK265" s="9" t="str">
        <f t="shared" si="129"/>
        <v/>
      </c>
      <c r="AL265" s="9" t="str">
        <f t="shared" si="129"/>
        <v/>
      </c>
      <c r="AP265" t="str">
        <f t="shared" si="130"/>
        <v/>
      </c>
      <c r="AQ265" s="9" t="str">
        <f t="shared" si="131"/>
        <v/>
      </c>
      <c r="AR265" s="9" t="str">
        <f t="shared" si="131"/>
        <v/>
      </c>
      <c r="AS265" s="9" t="str">
        <f t="shared" si="131"/>
        <v/>
      </c>
      <c r="AT265" s="9" t="str">
        <f t="shared" si="131"/>
        <v/>
      </c>
      <c r="AU265" s="9" t="str">
        <f t="shared" si="131"/>
        <v/>
      </c>
      <c r="AV265" s="9" t="str">
        <f t="shared" si="131"/>
        <v/>
      </c>
      <c r="AW265" s="9" t="str">
        <f t="shared" si="131"/>
        <v/>
      </c>
    </row>
    <row r="266" spans="3:49" x14ac:dyDescent="0.25">
      <c r="C266">
        <v>110</v>
      </c>
      <c r="D266" t="str">
        <f t="shared" si="121"/>
        <v/>
      </c>
      <c r="E266" s="9" t="str">
        <f t="shared" si="123"/>
        <v/>
      </c>
      <c r="F266" s="9" t="str">
        <f t="shared" si="123"/>
        <v/>
      </c>
      <c r="G266" s="9" t="str">
        <f t="shared" si="123"/>
        <v/>
      </c>
      <c r="H266" s="9" t="str">
        <f t="shared" si="123"/>
        <v/>
      </c>
      <c r="I266" s="9" t="str">
        <f t="shared" si="123"/>
        <v/>
      </c>
      <c r="J266" s="9" t="str">
        <f t="shared" si="123"/>
        <v/>
      </c>
      <c r="K266" s="9" t="str">
        <f t="shared" si="123"/>
        <v/>
      </c>
      <c r="N266" t="str">
        <f t="shared" si="124"/>
        <v/>
      </c>
      <c r="O266" s="9" t="str">
        <f t="shared" si="125"/>
        <v/>
      </c>
      <c r="P266" s="9" t="str">
        <f t="shared" si="125"/>
        <v/>
      </c>
      <c r="Q266" s="9" t="str">
        <f t="shared" si="125"/>
        <v/>
      </c>
      <c r="R266" s="9" t="str">
        <f t="shared" si="125"/>
        <v/>
      </c>
      <c r="S266" s="9" t="str">
        <f t="shared" si="125"/>
        <v/>
      </c>
      <c r="T266" s="9" t="str">
        <f t="shared" si="125"/>
        <v/>
      </c>
      <c r="U266" s="9"/>
      <c r="V266" s="9" t="str">
        <f t="shared" si="122"/>
        <v/>
      </c>
      <c r="W266" t="str">
        <f t="shared" si="126"/>
        <v/>
      </c>
      <c r="X266" s="9" t="str">
        <f t="shared" si="127"/>
        <v/>
      </c>
      <c r="Y266" s="9" t="str">
        <f t="shared" si="127"/>
        <v/>
      </c>
      <c r="Z266" s="9" t="str">
        <f t="shared" si="127"/>
        <v/>
      </c>
      <c r="AA266" s="9" t="str">
        <f t="shared" si="127"/>
        <v/>
      </c>
      <c r="AB266" s="9" t="str">
        <f t="shared" si="127"/>
        <v/>
      </c>
      <c r="AC266" s="9" t="str">
        <f t="shared" si="127"/>
        <v/>
      </c>
      <c r="AD266" s="9" t="str">
        <f t="shared" si="127"/>
        <v/>
      </c>
      <c r="AE266" t="str">
        <f t="shared" si="128"/>
        <v/>
      </c>
      <c r="AF266" s="9" t="str">
        <f t="shared" si="129"/>
        <v/>
      </c>
      <c r="AG266" s="9" t="str">
        <f t="shared" si="129"/>
        <v/>
      </c>
      <c r="AH266" s="9" t="str">
        <f t="shared" si="129"/>
        <v/>
      </c>
      <c r="AI266" s="9" t="str">
        <f t="shared" si="129"/>
        <v/>
      </c>
      <c r="AJ266" s="9" t="str">
        <f t="shared" si="129"/>
        <v/>
      </c>
      <c r="AK266" s="9" t="str">
        <f t="shared" si="129"/>
        <v/>
      </c>
      <c r="AL266" s="9" t="str">
        <f t="shared" si="129"/>
        <v/>
      </c>
      <c r="AP266" t="str">
        <f t="shared" si="130"/>
        <v/>
      </c>
      <c r="AQ266" s="9" t="str">
        <f t="shared" si="131"/>
        <v/>
      </c>
      <c r="AR266" s="9" t="str">
        <f t="shared" si="131"/>
        <v/>
      </c>
      <c r="AS266" s="9" t="str">
        <f t="shared" si="131"/>
        <v/>
      </c>
      <c r="AT266" s="9" t="str">
        <f t="shared" si="131"/>
        <v/>
      </c>
      <c r="AU266" s="9" t="str">
        <f t="shared" si="131"/>
        <v/>
      </c>
      <c r="AV266" s="9" t="str">
        <f t="shared" si="131"/>
        <v/>
      </c>
      <c r="AW266" s="9" t="str">
        <f t="shared" si="131"/>
        <v/>
      </c>
    </row>
    <row r="267" spans="3:49" x14ac:dyDescent="0.25">
      <c r="C267">
        <v>111</v>
      </c>
      <c r="D267" t="str">
        <f t="shared" si="121"/>
        <v/>
      </c>
      <c r="E267" s="9" t="str">
        <f t="shared" si="123"/>
        <v/>
      </c>
      <c r="F267" s="9" t="str">
        <f t="shared" si="123"/>
        <v/>
      </c>
      <c r="G267" s="9" t="str">
        <f t="shared" si="123"/>
        <v/>
      </c>
      <c r="H267" s="9" t="str">
        <f t="shared" si="123"/>
        <v/>
      </c>
      <c r="I267" s="9" t="str">
        <f t="shared" si="123"/>
        <v/>
      </c>
      <c r="J267" s="9" t="str">
        <f t="shared" si="123"/>
        <v/>
      </c>
      <c r="K267" s="9" t="str">
        <f t="shared" si="123"/>
        <v/>
      </c>
      <c r="N267" t="str">
        <f t="shared" si="124"/>
        <v/>
      </c>
      <c r="O267" s="9" t="str">
        <f t="shared" si="125"/>
        <v/>
      </c>
      <c r="P267" s="9" t="str">
        <f t="shared" si="125"/>
        <v/>
      </c>
      <c r="Q267" s="9" t="str">
        <f t="shared" si="125"/>
        <v/>
      </c>
      <c r="R267" s="9" t="str">
        <f t="shared" si="125"/>
        <v/>
      </c>
      <c r="S267" s="9" t="str">
        <f t="shared" si="125"/>
        <v/>
      </c>
      <c r="T267" s="9" t="str">
        <f t="shared" si="125"/>
        <v/>
      </c>
      <c r="U267" s="9"/>
      <c r="V267" s="9" t="str">
        <f t="shared" si="122"/>
        <v/>
      </c>
      <c r="W267" t="str">
        <f t="shared" si="126"/>
        <v/>
      </c>
      <c r="X267" s="9" t="str">
        <f t="shared" si="127"/>
        <v/>
      </c>
      <c r="Y267" s="9" t="str">
        <f t="shared" si="127"/>
        <v/>
      </c>
      <c r="Z267" s="9" t="str">
        <f t="shared" si="127"/>
        <v/>
      </c>
      <c r="AA267" s="9" t="str">
        <f t="shared" si="127"/>
        <v/>
      </c>
      <c r="AB267" s="9" t="str">
        <f t="shared" si="127"/>
        <v/>
      </c>
      <c r="AC267" s="9" t="str">
        <f t="shared" si="127"/>
        <v/>
      </c>
      <c r="AD267" s="9" t="str">
        <f t="shared" si="127"/>
        <v/>
      </c>
      <c r="AE267" t="str">
        <f t="shared" si="128"/>
        <v/>
      </c>
      <c r="AF267" s="9" t="str">
        <f t="shared" si="129"/>
        <v/>
      </c>
      <c r="AG267" s="9" t="str">
        <f t="shared" si="129"/>
        <v/>
      </c>
      <c r="AH267" s="9" t="str">
        <f t="shared" si="129"/>
        <v/>
      </c>
      <c r="AI267" s="9" t="str">
        <f t="shared" si="129"/>
        <v/>
      </c>
      <c r="AJ267" s="9" t="str">
        <f t="shared" si="129"/>
        <v/>
      </c>
      <c r="AK267" s="9" t="str">
        <f t="shared" si="129"/>
        <v/>
      </c>
      <c r="AL267" s="9" t="str">
        <f t="shared" si="129"/>
        <v/>
      </c>
      <c r="AP267" t="str">
        <f t="shared" si="130"/>
        <v/>
      </c>
      <c r="AQ267" s="9" t="str">
        <f t="shared" si="131"/>
        <v/>
      </c>
      <c r="AR267" s="9" t="str">
        <f t="shared" si="131"/>
        <v/>
      </c>
      <c r="AS267" s="9" t="str">
        <f t="shared" si="131"/>
        <v/>
      </c>
      <c r="AT267" s="9" t="str">
        <f t="shared" si="131"/>
        <v/>
      </c>
      <c r="AU267" s="9" t="str">
        <f t="shared" si="131"/>
        <v/>
      </c>
      <c r="AV267" s="9" t="str">
        <f t="shared" si="131"/>
        <v/>
      </c>
      <c r="AW267" s="9" t="str">
        <f t="shared" si="131"/>
        <v/>
      </c>
    </row>
    <row r="268" spans="3:49" x14ac:dyDescent="0.25">
      <c r="C268">
        <v>112</v>
      </c>
      <c r="D268" t="str">
        <f t="shared" si="121"/>
        <v/>
      </c>
      <c r="E268" s="9" t="str">
        <f t="shared" si="123"/>
        <v/>
      </c>
      <c r="F268" s="9" t="str">
        <f t="shared" si="123"/>
        <v/>
      </c>
      <c r="G268" s="9" t="str">
        <f t="shared" si="123"/>
        <v/>
      </c>
      <c r="H268" s="9" t="str">
        <f t="shared" si="123"/>
        <v/>
      </c>
      <c r="I268" s="9" t="str">
        <f t="shared" si="123"/>
        <v/>
      </c>
      <c r="J268" s="9" t="str">
        <f t="shared" si="123"/>
        <v/>
      </c>
      <c r="K268" s="9" t="str">
        <f t="shared" si="123"/>
        <v/>
      </c>
      <c r="N268" t="str">
        <f t="shared" si="124"/>
        <v/>
      </c>
      <c r="O268" s="9" t="str">
        <f t="shared" si="125"/>
        <v/>
      </c>
      <c r="P268" s="9" t="str">
        <f t="shared" si="125"/>
        <v/>
      </c>
      <c r="Q268" s="9" t="str">
        <f t="shared" si="125"/>
        <v/>
      </c>
      <c r="R268" s="9" t="str">
        <f t="shared" si="125"/>
        <v/>
      </c>
      <c r="S268" s="9" t="str">
        <f t="shared" si="125"/>
        <v/>
      </c>
      <c r="T268" s="9" t="str">
        <f t="shared" si="125"/>
        <v/>
      </c>
      <c r="U268" s="9"/>
      <c r="V268" s="9" t="str">
        <f t="shared" si="122"/>
        <v/>
      </c>
      <c r="W268" t="str">
        <f t="shared" si="126"/>
        <v/>
      </c>
      <c r="X268" s="9" t="str">
        <f t="shared" si="127"/>
        <v/>
      </c>
      <c r="Y268" s="9" t="str">
        <f t="shared" si="127"/>
        <v/>
      </c>
      <c r="Z268" s="9" t="str">
        <f t="shared" si="127"/>
        <v/>
      </c>
      <c r="AA268" s="9" t="str">
        <f t="shared" si="127"/>
        <v/>
      </c>
      <c r="AB268" s="9" t="str">
        <f t="shared" si="127"/>
        <v/>
      </c>
      <c r="AC268" s="9" t="str">
        <f t="shared" si="127"/>
        <v/>
      </c>
      <c r="AD268" s="9" t="str">
        <f t="shared" si="127"/>
        <v/>
      </c>
      <c r="AE268" t="str">
        <f t="shared" si="128"/>
        <v/>
      </c>
      <c r="AF268" s="9" t="str">
        <f t="shared" si="129"/>
        <v/>
      </c>
      <c r="AG268" s="9" t="str">
        <f t="shared" si="129"/>
        <v/>
      </c>
      <c r="AH268" s="9" t="str">
        <f t="shared" si="129"/>
        <v/>
      </c>
      <c r="AI268" s="9" t="str">
        <f t="shared" si="129"/>
        <v/>
      </c>
      <c r="AJ268" s="9" t="str">
        <f t="shared" si="129"/>
        <v/>
      </c>
      <c r="AK268" s="9" t="str">
        <f t="shared" si="129"/>
        <v/>
      </c>
      <c r="AL268" s="9" t="str">
        <f t="shared" si="129"/>
        <v/>
      </c>
      <c r="AP268" t="str">
        <f t="shared" si="130"/>
        <v/>
      </c>
      <c r="AQ268" s="9" t="str">
        <f t="shared" si="131"/>
        <v/>
      </c>
      <c r="AR268" s="9" t="str">
        <f t="shared" si="131"/>
        <v/>
      </c>
      <c r="AS268" s="9" t="str">
        <f t="shared" si="131"/>
        <v/>
      </c>
      <c r="AT268" s="9" t="str">
        <f t="shared" si="131"/>
        <v/>
      </c>
      <c r="AU268" s="9" t="str">
        <f t="shared" si="131"/>
        <v/>
      </c>
      <c r="AV268" s="9" t="str">
        <f t="shared" si="131"/>
        <v/>
      </c>
      <c r="AW268" s="9" t="str">
        <f t="shared" si="131"/>
        <v/>
      </c>
    </row>
    <row r="269" spans="3:49" x14ac:dyDescent="0.25">
      <c r="C269">
        <v>113</v>
      </c>
      <c r="D269" t="str">
        <f t="shared" si="121"/>
        <v/>
      </c>
      <c r="E269" s="9" t="str">
        <f t="shared" si="123"/>
        <v/>
      </c>
      <c r="F269" s="9" t="str">
        <f t="shared" si="123"/>
        <v/>
      </c>
      <c r="G269" s="9" t="str">
        <f t="shared" si="123"/>
        <v/>
      </c>
      <c r="H269" s="9" t="str">
        <f t="shared" si="123"/>
        <v/>
      </c>
      <c r="I269" s="9" t="str">
        <f t="shared" si="123"/>
        <v/>
      </c>
      <c r="J269" s="9" t="str">
        <f t="shared" si="123"/>
        <v/>
      </c>
      <c r="K269" s="9" t="str">
        <f t="shared" si="123"/>
        <v/>
      </c>
      <c r="N269" t="str">
        <f t="shared" si="124"/>
        <v/>
      </c>
      <c r="O269" s="9" t="str">
        <f t="shared" si="125"/>
        <v/>
      </c>
      <c r="P269" s="9" t="str">
        <f t="shared" si="125"/>
        <v/>
      </c>
      <c r="Q269" s="9" t="str">
        <f t="shared" si="125"/>
        <v/>
      </c>
      <c r="R269" s="9" t="str">
        <f t="shared" si="125"/>
        <v/>
      </c>
      <c r="S269" s="9" t="str">
        <f t="shared" si="125"/>
        <v/>
      </c>
      <c r="T269" s="9" t="str">
        <f t="shared" si="125"/>
        <v/>
      </c>
      <c r="U269" s="9"/>
      <c r="V269" s="9" t="str">
        <f t="shared" si="122"/>
        <v/>
      </c>
      <c r="W269" t="str">
        <f t="shared" si="126"/>
        <v/>
      </c>
      <c r="X269" s="9" t="str">
        <f t="shared" si="127"/>
        <v/>
      </c>
      <c r="Y269" s="9" t="str">
        <f t="shared" si="127"/>
        <v/>
      </c>
      <c r="Z269" s="9" t="str">
        <f t="shared" si="127"/>
        <v/>
      </c>
      <c r="AA269" s="9" t="str">
        <f t="shared" si="127"/>
        <v/>
      </c>
      <c r="AB269" s="9" t="str">
        <f t="shared" si="127"/>
        <v/>
      </c>
      <c r="AC269" s="9" t="str">
        <f t="shared" si="127"/>
        <v/>
      </c>
      <c r="AD269" s="9" t="str">
        <f t="shared" si="127"/>
        <v/>
      </c>
      <c r="AE269" t="str">
        <f t="shared" si="128"/>
        <v/>
      </c>
      <c r="AF269" s="9" t="str">
        <f t="shared" si="129"/>
        <v/>
      </c>
      <c r="AG269" s="9" t="str">
        <f t="shared" si="129"/>
        <v/>
      </c>
      <c r="AH269" s="9" t="str">
        <f t="shared" si="129"/>
        <v/>
      </c>
      <c r="AI269" s="9" t="str">
        <f t="shared" si="129"/>
        <v/>
      </c>
      <c r="AJ269" s="9" t="str">
        <f t="shared" si="129"/>
        <v/>
      </c>
      <c r="AK269" s="9" t="str">
        <f t="shared" si="129"/>
        <v/>
      </c>
      <c r="AL269" s="9" t="str">
        <f t="shared" si="129"/>
        <v/>
      </c>
      <c r="AP269" t="str">
        <f t="shared" si="130"/>
        <v/>
      </c>
      <c r="AQ269" s="9" t="str">
        <f t="shared" si="131"/>
        <v/>
      </c>
      <c r="AR269" s="9" t="str">
        <f t="shared" si="131"/>
        <v/>
      </c>
      <c r="AS269" s="9" t="str">
        <f t="shared" si="131"/>
        <v/>
      </c>
      <c r="AT269" s="9" t="str">
        <f t="shared" si="131"/>
        <v/>
      </c>
      <c r="AU269" s="9" t="str">
        <f t="shared" si="131"/>
        <v/>
      </c>
      <c r="AV269" s="9" t="str">
        <f t="shared" si="131"/>
        <v/>
      </c>
      <c r="AW269" s="9" t="str">
        <f t="shared" si="131"/>
        <v/>
      </c>
    </row>
    <row r="270" spans="3:49" x14ac:dyDescent="0.25">
      <c r="C270">
        <v>114</v>
      </c>
      <c r="D270" t="str">
        <f t="shared" si="121"/>
        <v/>
      </c>
      <c r="E270" s="9" t="str">
        <f t="shared" si="123"/>
        <v/>
      </c>
      <c r="F270" s="9" t="str">
        <f t="shared" si="123"/>
        <v/>
      </c>
      <c r="G270" s="9" t="str">
        <f t="shared" si="123"/>
        <v/>
      </c>
      <c r="H270" s="9" t="str">
        <f t="shared" si="123"/>
        <v/>
      </c>
      <c r="I270" s="9" t="str">
        <f t="shared" si="123"/>
        <v/>
      </c>
      <c r="J270" s="9" t="str">
        <f t="shared" si="123"/>
        <v/>
      </c>
      <c r="K270" s="9" t="str">
        <f t="shared" si="123"/>
        <v/>
      </c>
      <c r="N270" t="str">
        <f t="shared" si="124"/>
        <v/>
      </c>
      <c r="O270" s="9" t="str">
        <f t="shared" si="125"/>
        <v/>
      </c>
      <c r="P270" s="9" t="str">
        <f t="shared" si="125"/>
        <v/>
      </c>
      <c r="Q270" s="9" t="str">
        <f t="shared" si="125"/>
        <v/>
      </c>
      <c r="R270" s="9" t="str">
        <f t="shared" si="125"/>
        <v/>
      </c>
      <c r="S270" s="9" t="str">
        <f t="shared" si="125"/>
        <v/>
      </c>
      <c r="T270" s="9" t="str">
        <f t="shared" si="125"/>
        <v/>
      </c>
      <c r="U270" s="9"/>
      <c r="V270" s="9" t="str">
        <f t="shared" si="122"/>
        <v/>
      </c>
      <c r="W270" t="str">
        <f t="shared" si="126"/>
        <v/>
      </c>
      <c r="X270" s="9" t="str">
        <f t="shared" si="127"/>
        <v/>
      </c>
      <c r="Y270" s="9" t="str">
        <f t="shared" si="127"/>
        <v/>
      </c>
      <c r="Z270" s="9" t="str">
        <f t="shared" si="127"/>
        <v/>
      </c>
      <c r="AA270" s="9" t="str">
        <f t="shared" si="127"/>
        <v/>
      </c>
      <c r="AB270" s="9" t="str">
        <f t="shared" si="127"/>
        <v/>
      </c>
      <c r="AC270" s="9" t="str">
        <f t="shared" si="127"/>
        <v/>
      </c>
      <c r="AD270" s="9" t="str">
        <f t="shared" si="127"/>
        <v/>
      </c>
      <c r="AE270" t="str">
        <f t="shared" si="128"/>
        <v/>
      </c>
      <c r="AF270" s="9" t="str">
        <f t="shared" si="129"/>
        <v/>
      </c>
      <c r="AG270" s="9" t="str">
        <f t="shared" si="129"/>
        <v/>
      </c>
      <c r="AH270" s="9" t="str">
        <f t="shared" si="129"/>
        <v/>
      </c>
      <c r="AI270" s="9" t="str">
        <f t="shared" si="129"/>
        <v/>
      </c>
      <c r="AJ270" s="9" t="str">
        <f t="shared" si="129"/>
        <v/>
      </c>
      <c r="AK270" s="9" t="str">
        <f t="shared" si="129"/>
        <v/>
      </c>
      <c r="AL270" s="9" t="str">
        <f t="shared" si="129"/>
        <v/>
      </c>
      <c r="AP270" t="str">
        <f t="shared" si="130"/>
        <v/>
      </c>
      <c r="AQ270" s="9" t="str">
        <f t="shared" si="131"/>
        <v/>
      </c>
      <c r="AR270" s="9" t="str">
        <f t="shared" si="131"/>
        <v/>
      </c>
      <c r="AS270" s="9" t="str">
        <f t="shared" si="131"/>
        <v/>
      </c>
      <c r="AT270" s="9" t="str">
        <f t="shared" si="131"/>
        <v/>
      </c>
      <c r="AU270" s="9" t="str">
        <f t="shared" si="131"/>
        <v/>
      </c>
      <c r="AV270" s="9" t="str">
        <f t="shared" si="131"/>
        <v/>
      </c>
      <c r="AW270" s="9" t="str">
        <f t="shared" si="131"/>
        <v/>
      </c>
    </row>
    <row r="271" spans="3:49" x14ac:dyDescent="0.25">
      <c r="C271">
        <v>115</v>
      </c>
      <c r="D271" t="str">
        <f t="shared" si="121"/>
        <v/>
      </c>
      <c r="E271" s="9" t="str">
        <f t="shared" ref="E271:K280" si="132">E207</f>
        <v/>
      </c>
      <c r="F271" s="9" t="str">
        <f t="shared" si="132"/>
        <v/>
      </c>
      <c r="G271" s="9" t="str">
        <f t="shared" si="132"/>
        <v/>
      </c>
      <c r="H271" s="9" t="str">
        <f t="shared" si="132"/>
        <v/>
      </c>
      <c r="I271" s="9" t="str">
        <f t="shared" si="132"/>
        <v/>
      </c>
      <c r="J271" s="9" t="str">
        <f t="shared" si="132"/>
        <v/>
      </c>
      <c r="K271" s="9" t="str">
        <f t="shared" si="132"/>
        <v/>
      </c>
      <c r="N271" t="str">
        <f t="shared" si="124"/>
        <v/>
      </c>
      <c r="O271" s="9" t="str">
        <f t="shared" ref="O271:T280" si="133">O207</f>
        <v/>
      </c>
      <c r="P271" s="9" t="str">
        <f t="shared" si="133"/>
        <v/>
      </c>
      <c r="Q271" s="9" t="str">
        <f t="shared" si="133"/>
        <v/>
      </c>
      <c r="R271" s="9" t="str">
        <f t="shared" si="133"/>
        <v/>
      </c>
      <c r="S271" s="9" t="str">
        <f t="shared" si="133"/>
        <v/>
      </c>
      <c r="T271" s="9" t="str">
        <f t="shared" si="133"/>
        <v/>
      </c>
      <c r="U271" s="9"/>
      <c r="V271" s="9" t="str">
        <f t="shared" si="122"/>
        <v/>
      </c>
      <c r="W271" t="str">
        <f t="shared" si="126"/>
        <v/>
      </c>
      <c r="X271" s="9" t="str">
        <f t="shared" ref="X271:AD280" si="134">X207</f>
        <v/>
      </c>
      <c r="Y271" s="9" t="str">
        <f t="shared" si="134"/>
        <v/>
      </c>
      <c r="Z271" s="9" t="str">
        <f t="shared" si="134"/>
        <v/>
      </c>
      <c r="AA271" s="9" t="str">
        <f t="shared" si="134"/>
        <v/>
      </c>
      <c r="AB271" s="9" t="str">
        <f t="shared" si="134"/>
        <v/>
      </c>
      <c r="AC271" s="9" t="str">
        <f t="shared" si="134"/>
        <v/>
      </c>
      <c r="AD271" s="9" t="str">
        <f t="shared" si="134"/>
        <v/>
      </c>
      <c r="AE271" t="str">
        <f t="shared" si="128"/>
        <v/>
      </c>
      <c r="AF271" s="9" t="str">
        <f t="shared" ref="AF271:AL280" si="135">AF207</f>
        <v/>
      </c>
      <c r="AG271" s="9" t="str">
        <f t="shared" si="135"/>
        <v/>
      </c>
      <c r="AH271" s="9" t="str">
        <f t="shared" si="135"/>
        <v/>
      </c>
      <c r="AI271" s="9" t="str">
        <f t="shared" si="135"/>
        <v/>
      </c>
      <c r="AJ271" s="9" t="str">
        <f t="shared" si="135"/>
        <v/>
      </c>
      <c r="AK271" s="9" t="str">
        <f t="shared" si="135"/>
        <v/>
      </c>
      <c r="AL271" s="9" t="str">
        <f t="shared" si="135"/>
        <v/>
      </c>
      <c r="AP271" t="str">
        <f t="shared" si="130"/>
        <v/>
      </c>
      <c r="AQ271" s="9" t="str">
        <f t="shared" ref="AQ271:AW280" si="136">AQ207</f>
        <v/>
      </c>
      <c r="AR271" s="9" t="str">
        <f t="shared" si="136"/>
        <v/>
      </c>
      <c r="AS271" s="9" t="str">
        <f t="shared" si="136"/>
        <v/>
      </c>
      <c r="AT271" s="9" t="str">
        <f t="shared" si="136"/>
        <v/>
      </c>
      <c r="AU271" s="9" t="str">
        <f t="shared" si="136"/>
        <v/>
      </c>
      <c r="AV271" s="9" t="str">
        <f t="shared" si="136"/>
        <v/>
      </c>
      <c r="AW271" s="9" t="str">
        <f t="shared" si="136"/>
        <v/>
      </c>
    </row>
    <row r="272" spans="3:49" x14ac:dyDescent="0.25">
      <c r="C272">
        <v>116</v>
      </c>
      <c r="D272" t="str">
        <f t="shared" si="121"/>
        <v/>
      </c>
      <c r="E272" s="9" t="str">
        <f t="shared" si="132"/>
        <v/>
      </c>
      <c r="F272" s="9" t="str">
        <f t="shared" si="132"/>
        <v/>
      </c>
      <c r="G272" s="9" t="str">
        <f t="shared" si="132"/>
        <v/>
      </c>
      <c r="H272" s="9" t="str">
        <f t="shared" si="132"/>
        <v/>
      </c>
      <c r="I272" s="9" t="str">
        <f t="shared" si="132"/>
        <v/>
      </c>
      <c r="J272" s="9" t="str">
        <f t="shared" si="132"/>
        <v/>
      </c>
      <c r="K272" s="9" t="str">
        <f t="shared" si="132"/>
        <v/>
      </c>
      <c r="N272" t="str">
        <f t="shared" si="124"/>
        <v/>
      </c>
      <c r="O272" s="9" t="str">
        <f t="shared" si="133"/>
        <v/>
      </c>
      <c r="P272" s="9" t="str">
        <f t="shared" si="133"/>
        <v/>
      </c>
      <c r="Q272" s="9" t="str">
        <f t="shared" si="133"/>
        <v/>
      </c>
      <c r="R272" s="9" t="str">
        <f t="shared" si="133"/>
        <v/>
      </c>
      <c r="S272" s="9" t="str">
        <f t="shared" si="133"/>
        <v/>
      </c>
      <c r="T272" s="9" t="str">
        <f t="shared" si="133"/>
        <v/>
      </c>
      <c r="U272" s="9"/>
      <c r="V272" s="9" t="str">
        <f t="shared" si="122"/>
        <v/>
      </c>
      <c r="W272" t="str">
        <f t="shared" si="126"/>
        <v/>
      </c>
      <c r="X272" s="9" t="str">
        <f t="shared" si="134"/>
        <v/>
      </c>
      <c r="Y272" s="9" t="str">
        <f t="shared" si="134"/>
        <v/>
      </c>
      <c r="Z272" s="9" t="str">
        <f t="shared" si="134"/>
        <v/>
      </c>
      <c r="AA272" s="9" t="str">
        <f t="shared" si="134"/>
        <v/>
      </c>
      <c r="AB272" s="9" t="str">
        <f t="shared" si="134"/>
        <v/>
      </c>
      <c r="AC272" s="9" t="str">
        <f t="shared" si="134"/>
        <v/>
      </c>
      <c r="AD272" s="9" t="str">
        <f t="shared" si="134"/>
        <v/>
      </c>
      <c r="AE272" t="str">
        <f t="shared" si="128"/>
        <v/>
      </c>
      <c r="AF272" s="9" t="str">
        <f t="shared" si="135"/>
        <v/>
      </c>
      <c r="AG272" s="9" t="str">
        <f t="shared" si="135"/>
        <v/>
      </c>
      <c r="AH272" s="9" t="str">
        <f t="shared" si="135"/>
        <v/>
      </c>
      <c r="AI272" s="9" t="str">
        <f t="shared" si="135"/>
        <v/>
      </c>
      <c r="AJ272" s="9" t="str">
        <f t="shared" si="135"/>
        <v/>
      </c>
      <c r="AK272" s="9" t="str">
        <f t="shared" si="135"/>
        <v/>
      </c>
      <c r="AL272" s="9" t="str">
        <f t="shared" si="135"/>
        <v/>
      </c>
      <c r="AP272" t="str">
        <f t="shared" si="130"/>
        <v/>
      </c>
      <c r="AQ272" s="9" t="str">
        <f t="shared" si="136"/>
        <v/>
      </c>
      <c r="AR272" s="9" t="str">
        <f t="shared" si="136"/>
        <v/>
      </c>
      <c r="AS272" s="9" t="str">
        <f t="shared" si="136"/>
        <v/>
      </c>
      <c r="AT272" s="9" t="str">
        <f t="shared" si="136"/>
        <v/>
      </c>
      <c r="AU272" s="9" t="str">
        <f t="shared" si="136"/>
        <v/>
      </c>
      <c r="AV272" s="9" t="str">
        <f t="shared" si="136"/>
        <v/>
      </c>
      <c r="AW272" s="9" t="str">
        <f t="shared" si="136"/>
        <v/>
      </c>
    </row>
    <row r="273" spans="3:49" x14ac:dyDescent="0.25">
      <c r="C273">
        <v>117</v>
      </c>
      <c r="D273" t="str">
        <f t="shared" si="121"/>
        <v/>
      </c>
      <c r="E273" s="9" t="str">
        <f t="shared" si="132"/>
        <v/>
      </c>
      <c r="F273" s="9" t="str">
        <f t="shared" si="132"/>
        <v/>
      </c>
      <c r="G273" s="9" t="str">
        <f t="shared" si="132"/>
        <v/>
      </c>
      <c r="H273" s="9" t="str">
        <f t="shared" si="132"/>
        <v/>
      </c>
      <c r="I273" s="9" t="str">
        <f t="shared" si="132"/>
        <v/>
      </c>
      <c r="J273" s="9" t="str">
        <f t="shared" si="132"/>
        <v/>
      </c>
      <c r="K273" s="9" t="str">
        <f t="shared" si="132"/>
        <v/>
      </c>
      <c r="N273" t="str">
        <f t="shared" si="124"/>
        <v/>
      </c>
      <c r="O273" s="9" t="str">
        <f t="shared" si="133"/>
        <v/>
      </c>
      <c r="P273" s="9" t="str">
        <f t="shared" si="133"/>
        <v/>
      </c>
      <c r="Q273" s="9" t="str">
        <f t="shared" si="133"/>
        <v/>
      </c>
      <c r="R273" s="9" t="str">
        <f t="shared" si="133"/>
        <v/>
      </c>
      <c r="S273" s="9" t="str">
        <f t="shared" si="133"/>
        <v/>
      </c>
      <c r="T273" s="9" t="str">
        <f t="shared" si="133"/>
        <v/>
      </c>
      <c r="U273" s="9"/>
      <c r="V273" s="9" t="str">
        <f t="shared" si="122"/>
        <v/>
      </c>
      <c r="W273" t="str">
        <f t="shared" si="126"/>
        <v/>
      </c>
      <c r="X273" s="9" t="str">
        <f t="shared" si="134"/>
        <v/>
      </c>
      <c r="Y273" s="9" t="str">
        <f t="shared" si="134"/>
        <v/>
      </c>
      <c r="Z273" s="9" t="str">
        <f t="shared" si="134"/>
        <v/>
      </c>
      <c r="AA273" s="9" t="str">
        <f t="shared" si="134"/>
        <v/>
      </c>
      <c r="AB273" s="9" t="str">
        <f t="shared" si="134"/>
        <v/>
      </c>
      <c r="AC273" s="9" t="str">
        <f t="shared" si="134"/>
        <v/>
      </c>
      <c r="AD273" s="9" t="str">
        <f t="shared" si="134"/>
        <v/>
      </c>
      <c r="AE273" t="str">
        <f t="shared" si="128"/>
        <v/>
      </c>
      <c r="AF273" s="9" t="str">
        <f t="shared" si="135"/>
        <v/>
      </c>
      <c r="AG273" s="9" t="str">
        <f t="shared" si="135"/>
        <v/>
      </c>
      <c r="AH273" s="9" t="str">
        <f t="shared" si="135"/>
        <v/>
      </c>
      <c r="AI273" s="9" t="str">
        <f t="shared" si="135"/>
        <v/>
      </c>
      <c r="AJ273" s="9" t="str">
        <f t="shared" si="135"/>
        <v/>
      </c>
      <c r="AK273" s="9" t="str">
        <f t="shared" si="135"/>
        <v/>
      </c>
      <c r="AL273" s="9" t="str">
        <f t="shared" si="135"/>
        <v/>
      </c>
      <c r="AP273" t="str">
        <f t="shared" si="130"/>
        <v/>
      </c>
      <c r="AQ273" s="9" t="str">
        <f t="shared" si="136"/>
        <v/>
      </c>
      <c r="AR273" s="9" t="str">
        <f t="shared" si="136"/>
        <v/>
      </c>
      <c r="AS273" s="9" t="str">
        <f t="shared" si="136"/>
        <v/>
      </c>
      <c r="AT273" s="9" t="str">
        <f t="shared" si="136"/>
        <v/>
      </c>
      <c r="AU273" s="9" t="str">
        <f t="shared" si="136"/>
        <v/>
      </c>
      <c r="AV273" s="9" t="str">
        <f t="shared" si="136"/>
        <v/>
      </c>
      <c r="AW273" s="9" t="str">
        <f t="shared" si="136"/>
        <v/>
      </c>
    </row>
    <row r="274" spans="3:49" x14ac:dyDescent="0.25">
      <c r="C274">
        <v>118</v>
      </c>
      <c r="D274" t="str">
        <f t="shared" si="121"/>
        <v/>
      </c>
      <c r="E274" s="9" t="str">
        <f t="shared" si="132"/>
        <v/>
      </c>
      <c r="F274" s="9" t="str">
        <f t="shared" si="132"/>
        <v/>
      </c>
      <c r="G274" s="9" t="str">
        <f t="shared" si="132"/>
        <v/>
      </c>
      <c r="H274" s="9" t="str">
        <f t="shared" si="132"/>
        <v/>
      </c>
      <c r="I274" s="9" t="str">
        <f t="shared" si="132"/>
        <v/>
      </c>
      <c r="J274" s="9" t="str">
        <f t="shared" si="132"/>
        <v/>
      </c>
      <c r="K274" s="9" t="str">
        <f t="shared" si="132"/>
        <v/>
      </c>
      <c r="N274" t="str">
        <f t="shared" si="124"/>
        <v/>
      </c>
      <c r="O274" s="9" t="str">
        <f t="shared" si="133"/>
        <v/>
      </c>
      <c r="P274" s="9" t="str">
        <f t="shared" si="133"/>
        <v/>
      </c>
      <c r="Q274" s="9" t="str">
        <f t="shared" si="133"/>
        <v/>
      </c>
      <c r="R274" s="9" t="str">
        <f t="shared" si="133"/>
        <v/>
      </c>
      <c r="S274" s="9" t="str">
        <f t="shared" si="133"/>
        <v/>
      </c>
      <c r="T274" s="9" t="str">
        <f t="shared" si="133"/>
        <v/>
      </c>
      <c r="U274" s="9"/>
      <c r="V274" s="9" t="str">
        <f t="shared" si="122"/>
        <v/>
      </c>
      <c r="W274" t="str">
        <f t="shared" si="126"/>
        <v/>
      </c>
      <c r="X274" s="9" t="str">
        <f t="shared" si="134"/>
        <v/>
      </c>
      <c r="Y274" s="9" t="str">
        <f t="shared" si="134"/>
        <v/>
      </c>
      <c r="Z274" s="9" t="str">
        <f t="shared" si="134"/>
        <v/>
      </c>
      <c r="AA274" s="9" t="str">
        <f t="shared" si="134"/>
        <v/>
      </c>
      <c r="AB274" s="9" t="str">
        <f t="shared" si="134"/>
        <v/>
      </c>
      <c r="AC274" s="9" t="str">
        <f t="shared" si="134"/>
        <v/>
      </c>
      <c r="AD274" s="9" t="str">
        <f t="shared" si="134"/>
        <v/>
      </c>
      <c r="AE274" t="str">
        <f t="shared" si="128"/>
        <v/>
      </c>
      <c r="AF274" s="9" t="str">
        <f t="shared" si="135"/>
        <v/>
      </c>
      <c r="AG274" s="9" t="str">
        <f t="shared" si="135"/>
        <v/>
      </c>
      <c r="AH274" s="9" t="str">
        <f t="shared" si="135"/>
        <v/>
      </c>
      <c r="AI274" s="9" t="str">
        <f t="shared" si="135"/>
        <v/>
      </c>
      <c r="AJ274" s="9" t="str">
        <f t="shared" si="135"/>
        <v/>
      </c>
      <c r="AK274" s="9" t="str">
        <f t="shared" si="135"/>
        <v/>
      </c>
      <c r="AL274" s="9" t="str">
        <f t="shared" si="135"/>
        <v/>
      </c>
      <c r="AP274" t="str">
        <f t="shared" si="130"/>
        <v/>
      </c>
      <c r="AQ274" s="9" t="str">
        <f t="shared" si="136"/>
        <v/>
      </c>
      <c r="AR274" s="9" t="str">
        <f t="shared" si="136"/>
        <v/>
      </c>
      <c r="AS274" s="9" t="str">
        <f t="shared" si="136"/>
        <v/>
      </c>
      <c r="AT274" s="9" t="str">
        <f t="shared" si="136"/>
        <v/>
      </c>
      <c r="AU274" s="9" t="str">
        <f t="shared" si="136"/>
        <v/>
      </c>
      <c r="AV274" s="9" t="str">
        <f t="shared" si="136"/>
        <v/>
      </c>
      <c r="AW274" s="9" t="str">
        <f t="shared" si="136"/>
        <v/>
      </c>
    </row>
    <row r="275" spans="3:49" x14ac:dyDescent="0.25">
      <c r="C275">
        <v>119</v>
      </c>
      <c r="D275" t="str">
        <f t="shared" si="121"/>
        <v/>
      </c>
      <c r="E275" s="9" t="str">
        <f t="shared" si="132"/>
        <v/>
      </c>
      <c r="F275" s="9" t="str">
        <f t="shared" si="132"/>
        <v/>
      </c>
      <c r="G275" s="9" t="str">
        <f t="shared" si="132"/>
        <v/>
      </c>
      <c r="H275" s="9" t="str">
        <f t="shared" si="132"/>
        <v/>
      </c>
      <c r="I275" s="9" t="str">
        <f t="shared" si="132"/>
        <v/>
      </c>
      <c r="J275" s="9" t="str">
        <f t="shared" si="132"/>
        <v/>
      </c>
      <c r="K275" s="9" t="str">
        <f t="shared" si="132"/>
        <v/>
      </c>
      <c r="N275" t="str">
        <f t="shared" si="124"/>
        <v/>
      </c>
      <c r="O275" s="9" t="str">
        <f t="shared" si="133"/>
        <v/>
      </c>
      <c r="P275" s="9" t="str">
        <f t="shared" si="133"/>
        <v/>
      </c>
      <c r="Q275" s="9" t="str">
        <f t="shared" si="133"/>
        <v/>
      </c>
      <c r="R275" s="9" t="str">
        <f t="shared" si="133"/>
        <v/>
      </c>
      <c r="S275" s="9" t="str">
        <f t="shared" si="133"/>
        <v/>
      </c>
      <c r="T275" s="9" t="str">
        <f t="shared" si="133"/>
        <v/>
      </c>
      <c r="U275" s="9"/>
      <c r="V275" s="9" t="str">
        <f t="shared" si="122"/>
        <v/>
      </c>
      <c r="W275" t="str">
        <f t="shared" si="126"/>
        <v/>
      </c>
      <c r="X275" s="9" t="str">
        <f t="shared" si="134"/>
        <v/>
      </c>
      <c r="Y275" s="9" t="str">
        <f t="shared" si="134"/>
        <v/>
      </c>
      <c r="Z275" s="9" t="str">
        <f t="shared" si="134"/>
        <v/>
      </c>
      <c r="AA275" s="9" t="str">
        <f t="shared" si="134"/>
        <v/>
      </c>
      <c r="AB275" s="9" t="str">
        <f t="shared" si="134"/>
        <v/>
      </c>
      <c r="AC275" s="9" t="str">
        <f t="shared" si="134"/>
        <v/>
      </c>
      <c r="AD275" s="9" t="str">
        <f t="shared" si="134"/>
        <v/>
      </c>
      <c r="AE275" t="str">
        <f t="shared" si="128"/>
        <v/>
      </c>
      <c r="AF275" s="9" t="str">
        <f t="shared" si="135"/>
        <v/>
      </c>
      <c r="AG275" s="9" t="str">
        <f t="shared" si="135"/>
        <v/>
      </c>
      <c r="AH275" s="9" t="str">
        <f t="shared" si="135"/>
        <v/>
      </c>
      <c r="AI275" s="9" t="str">
        <f t="shared" si="135"/>
        <v/>
      </c>
      <c r="AJ275" s="9" t="str">
        <f t="shared" si="135"/>
        <v/>
      </c>
      <c r="AK275" s="9" t="str">
        <f t="shared" si="135"/>
        <v/>
      </c>
      <c r="AL275" s="9" t="str">
        <f t="shared" si="135"/>
        <v/>
      </c>
      <c r="AP275" t="str">
        <f t="shared" si="130"/>
        <v/>
      </c>
      <c r="AQ275" s="9" t="str">
        <f t="shared" si="136"/>
        <v/>
      </c>
      <c r="AR275" s="9" t="str">
        <f t="shared" si="136"/>
        <v/>
      </c>
      <c r="AS275" s="9" t="str">
        <f t="shared" si="136"/>
        <v/>
      </c>
      <c r="AT275" s="9" t="str">
        <f t="shared" si="136"/>
        <v/>
      </c>
      <c r="AU275" s="9" t="str">
        <f t="shared" si="136"/>
        <v/>
      </c>
      <c r="AV275" s="9" t="str">
        <f t="shared" si="136"/>
        <v/>
      </c>
      <c r="AW275" s="9" t="str">
        <f t="shared" si="136"/>
        <v/>
      </c>
    </row>
    <row r="276" spans="3:49" x14ac:dyDescent="0.25">
      <c r="C276">
        <v>120</v>
      </c>
      <c r="D276" t="str">
        <f t="shared" si="121"/>
        <v/>
      </c>
      <c r="E276" s="9" t="str">
        <f t="shared" si="132"/>
        <v/>
      </c>
      <c r="F276" s="9" t="str">
        <f t="shared" si="132"/>
        <v/>
      </c>
      <c r="G276" s="9" t="str">
        <f t="shared" si="132"/>
        <v/>
      </c>
      <c r="H276" s="9" t="str">
        <f t="shared" si="132"/>
        <v/>
      </c>
      <c r="I276" s="9" t="str">
        <f t="shared" si="132"/>
        <v/>
      </c>
      <c r="J276" s="9" t="str">
        <f t="shared" si="132"/>
        <v/>
      </c>
      <c r="K276" s="9" t="str">
        <f t="shared" si="132"/>
        <v/>
      </c>
      <c r="N276" t="str">
        <f t="shared" si="124"/>
        <v/>
      </c>
      <c r="O276" s="9" t="str">
        <f t="shared" si="133"/>
        <v/>
      </c>
      <c r="P276" s="9" t="str">
        <f t="shared" si="133"/>
        <v/>
      </c>
      <c r="Q276" s="9" t="str">
        <f t="shared" si="133"/>
        <v/>
      </c>
      <c r="R276" s="9" t="str">
        <f t="shared" si="133"/>
        <v/>
      </c>
      <c r="S276" s="9" t="str">
        <f t="shared" si="133"/>
        <v/>
      </c>
      <c r="T276" s="9" t="str">
        <f t="shared" si="133"/>
        <v/>
      </c>
      <c r="U276" s="9"/>
      <c r="V276" s="9" t="str">
        <f t="shared" si="122"/>
        <v/>
      </c>
      <c r="W276" t="str">
        <f t="shared" si="126"/>
        <v/>
      </c>
      <c r="X276" s="9" t="str">
        <f t="shared" si="134"/>
        <v/>
      </c>
      <c r="Y276" s="9" t="str">
        <f t="shared" si="134"/>
        <v/>
      </c>
      <c r="Z276" s="9" t="str">
        <f t="shared" si="134"/>
        <v/>
      </c>
      <c r="AA276" s="9" t="str">
        <f t="shared" si="134"/>
        <v/>
      </c>
      <c r="AB276" s="9" t="str">
        <f t="shared" si="134"/>
        <v/>
      </c>
      <c r="AC276" s="9" t="str">
        <f t="shared" si="134"/>
        <v/>
      </c>
      <c r="AD276" s="9" t="str">
        <f t="shared" si="134"/>
        <v/>
      </c>
      <c r="AE276" t="str">
        <f t="shared" si="128"/>
        <v/>
      </c>
      <c r="AF276" s="9" t="str">
        <f t="shared" si="135"/>
        <v/>
      </c>
      <c r="AG276" s="9" t="str">
        <f t="shared" si="135"/>
        <v/>
      </c>
      <c r="AH276" s="9" t="str">
        <f t="shared" si="135"/>
        <v/>
      </c>
      <c r="AI276" s="9" t="str">
        <f t="shared" si="135"/>
        <v/>
      </c>
      <c r="AJ276" s="9" t="str">
        <f t="shared" si="135"/>
        <v/>
      </c>
      <c r="AK276" s="9" t="str">
        <f t="shared" si="135"/>
        <v/>
      </c>
      <c r="AL276" s="9" t="str">
        <f t="shared" si="135"/>
        <v/>
      </c>
      <c r="AP276" t="str">
        <f t="shared" si="130"/>
        <v/>
      </c>
      <c r="AQ276" s="9" t="str">
        <f t="shared" si="136"/>
        <v/>
      </c>
      <c r="AR276" s="9" t="str">
        <f t="shared" si="136"/>
        <v/>
      </c>
      <c r="AS276" s="9" t="str">
        <f t="shared" si="136"/>
        <v/>
      </c>
      <c r="AT276" s="9" t="str">
        <f t="shared" si="136"/>
        <v/>
      </c>
      <c r="AU276" s="9" t="str">
        <f t="shared" si="136"/>
        <v/>
      </c>
      <c r="AV276" s="9" t="str">
        <f t="shared" si="136"/>
        <v/>
      </c>
      <c r="AW276" s="9" t="str">
        <f t="shared" si="136"/>
        <v/>
      </c>
    </row>
    <row r="277" spans="3:49" x14ac:dyDescent="0.25">
      <c r="C277">
        <v>121</v>
      </c>
      <c r="D277" t="str">
        <f t="shared" si="121"/>
        <v/>
      </c>
      <c r="E277" s="9" t="str">
        <f t="shared" si="132"/>
        <v/>
      </c>
      <c r="F277" s="9" t="str">
        <f t="shared" si="132"/>
        <v/>
      </c>
      <c r="G277" s="9" t="str">
        <f t="shared" si="132"/>
        <v/>
      </c>
      <c r="H277" s="9" t="str">
        <f t="shared" si="132"/>
        <v/>
      </c>
      <c r="I277" s="9" t="str">
        <f t="shared" si="132"/>
        <v/>
      </c>
      <c r="J277" s="9" t="str">
        <f t="shared" si="132"/>
        <v/>
      </c>
      <c r="K277" s="9" t="str">
        <f t="shared" si="132"/>
        <v/>
      </c>
      <c r="N277" t="str">
        <f t="shared" si="124"/>
        <v/>
      </c>
      <c r="O277" s="9" t="str">
        <f t="shared" si="133"/>
        <v/>
      </c>
      <c r="P277" s="9" t="str">
        <f t="shared" si="133"/>
        <v/>
      </c>
      <c r="Q277" s="9" t="str">
        <f t="shared" si="133"/>
        <v/>
      </c>
      <c r="R277" s="9" t="str">
        <f t="shared" si="133"/>
        <v/>
      </c>
      <c r="S277" s="9" t="str">
        <f t="shared" si="133"/>
        <v/>
      </c>
      <c r="T277" s="9" t="str">
        <f t="shared" si="133"/>
        <v/>
      </c>
      <c r="U277" s="9"/>
      <c r="V277" s="9" t="str">
        <f t="shared" si="122"/>
        <v/>
      </c>
      <c r="W277" t="str">
        <f t="shared" si="126"/>
        <v/>
      </c>
      <c r="X277" s="9" t="str">
        <f t="shared" si="134"/>
        <v/>
      </c>
      <c r="Y277" s="9" t="str">
        <f t="shared" si="134"/>
        <v/>
      </c>
      <c r="Z277" s="9" t="str">
        <f t="shared" si="134"/>
        <v/>
      </c>
      <c r="AA277" s="9" t="str">
        <f t="shared" si="134"/>
        <v/>
      </c>
      <c r="AB277" s="9" t="str">
        <f t="shared" si="134"/>
        <v/>
      </c>
      <c r="AC277" s="9" t="str">
        <f t="shared" si="134"/>
        <v/>
      </c>
      <c r="AD277" s="9" t="str">
        <f t="shared" si="134"/>
        <v/>
      </c>
      <c r="AE277" t="str">
        <f t="shared" si="128"/>
        <v/>
      </c>
      <c r="AF277" s="9" t="str">
        <f t="shared" si="135"/>
        <v/>
      </c>
      <c r="AG277" s="9" t="str">
        <f t="shared" si="135"/>
        <v/>
      </c>
      <c r="AH277" s="9" t="str">
        <f t="shared" si="135"/>
        <v/>
      </c>
      <c r="AI277" s="9" t="str">
        <f t="shared" si="135"/>
        <v/>
      </c>
      <c r="AJ277" s="9" t="str">
        <f t="shared" si="135"/>
        <v/>
      </c>
      <c r="AK277" s="9" t="str">
        <f t="shared" si="135"/>
        <v/>
      </c>
      <c r="AL277" s="9" t="str">
        <f t="shared" si="135"/>
        <v/>
      </c>
      <c r="AP277" t="str">
        <f t="shared" si="130"/>
        <v/>
      </c>
      <c r="AQ277" s="9" t="str">
        <f t="shared" si="136"/>
        <v/>
      </c>
      <c r="AR277" s="9" t="str">
        <f t="shared" si="136"/>
        <v/>
      </c>
      <c r="AS277" s="9" t="str">
        <f t="shared" si="136"/>
        <v/>
      </c>
      <c r="AT277" s="9" t="str">
        <f t="shared" si="136"/>
        <v/>
      </c>
      <c r="AU277" s="9" t="str">
        <f t="shared" si="136"/>
        <v/>
      </c>
      <c r="AV277" s="9" t="str">
        <f t="shared" si="136"/>
        <v/>
      </c>
      <c r="AW277" s="9" t="str">
        <f t="shared" si="136"/>
        <v/>
      </c>
    </row>
    <row r="278" spans="3:49" x14ac:dyDescent="0.25">
      <c r="C278">
        <v>122</v>
      </c>
      <c r="D278" t="str">
        <f t="shared" si="121"/>
        <v/>
      </c>
      <c r="E278" s="9" t="str">
        <f t="shared" si="132"/>
        <v/>
      </c>
      <c r="F278" s="9" t="str">
        <f t="shared" si="132"/>
        <v/>
      </c>
      <c r="G278" s="9" t="str">
        <f t="shared" si="132"/>
        <v/>
      </c>
      <c r="H278" s="9" t="str">
        <f t="shared" si="132"/>
        <v/>
      </c>
      <c r="I278" s="9" t="str">
        <f t="shared" si="132"/>
        <v/>
      </c>
      <c r="J278" s="9" t="str">
        <f t="shared" si="132"/>
        <v/>
      </c>
      <c r="K278" s="9" t="str">
        <f t="shared" si="132"/>
        <v/>
      </c>
      <c r="N278" t="str">
        <f t="shared" si="124"/>
        <v/>
      </c>
      <c r="O278" s="9" t="str">
        <f t="shared" si="133"/>
        <v/>
      </c>
      <c r="P278" s="9" t="str">
        <f t="shared" si="133"/>
        <v/>
      </c>
      <c r="Q278" s="9" t="str">
        <f t="shared" si="133"/>
        <v/>
      </c>
      <c r="R278" s="9" t="str">
        <f t="shared" si="133"/>
        <v/>
      </c>
      <c r="S278" s="9" t="str">
        <f t="shared" si="133"/>
        <v/>
      </c>
      <c r="T278" s="9" t="str">
        <f t="shared" si="133"/>
        <v/>
      </c>
      <c r="U278" s="9"/>
      <c r="V278" s="9" t="str">
        <f t="shared" si="122"/>
        <v/>
      </c>
      <c r="W278" t="str">
        <f t="shared" si="126"/>
        <v/>
      </c>
      <c r="X278" s="9" t="str">
        <f t="shared" si="134"/>
        <v/>
      </c>
      <c r="Y278" s="9" t="str">
        <f t="shared" si="134"/>
        <v/>
      </c>
      <c r="Z278" s="9" t="str">
        <f t="shared" si="134"/>
        <v/>
      </c>
      <c r="AA278" s="9" t="str">
        <f t="shared" si="134"/>
        <v/>
      </c>
      <c r="AB278" s="9" t="str">
        <f t="shared" si="134"/>
        <v/>
      </c>
      <c r="AC278" s="9" t="str">
        <f t="shared" si="134"/>
        <v/>
      </c>
      <c r="AD278" s="9" t="str">
        <f t="shared" si="134"/>
        <v/>
      </c>
      <c r="AE278" t="str">
        <f t="shared" si="128"/>
        <v/>
      </c>
      <c r="AF278" s="9" t="str">
        <f t="shared" si="135"/>
        <v/>
      </c>
      <c r="AG278" s="9" t="str">
        <f t="shared" si="135"/>
        <v/>
      </c>
      <c r="AH278" s="9" t="str">
        <f t="shared" si="135"/>
        <v/>
      </c>
      <c r="AI278" s="9" t="str">
        <f t="shared" si="135"/>
        <v/>
      </c>
      <c r="AJ278" s="9" t="str">
        <f t="shared" si="135"/>
        <v/>
      </c>
      <c r="AK278" s="9" t="str">
        <f t="shared" si="135"/>
        <v/>
      </c>
      <c r="AL278" s="9" t="str">
        <f t="shared" si="135"/>
        <v/>
      </c>
      <c r="AP278" t="str">
        <f t="shared" si="130"/>
        <v/>
      </c>
      <c r="AQ278" s="9" t="str">
        <f t="shared" si="136"/>
        <v/>
      </c>
      <c r="AR278" s="9" t="str">
        <f t="shared" si="136"/>
        <v/>
      </c>
      <c r="AS278" s="9" t="str">
        <f t="shared" si="136"/>
        <v/>
      </c>
      <c r="AT278" s="9" t="str">
        <f t="shared" si="136"/>
        <v/>
      </c>
      <c r="AU278" s="9" t="str">
        <f t="shared" si="136"/>
        <v/>
      </c>
      <c r="AV278" s="9" t="str">
        <f t="shared" si="136"/>
        <v/>
      </c>
      <c r="AW278" s="9" t="str">
        <f t="shared" si="136"/>
        <v/>
      </c>
    </row>
    <row r="279" spans="3:49" x14ac:dyDescent="0.25">
      <c r="C279">
        <v>123</v>
      </c>
      <c r="D279" t="str">
        <f t="shared" si="121"/>
        <v/>
      </c>
      <c r="E279" s="9" t="str">
        <f t="shared" si="132"/>
        <v/>
      </c>
      <c r="F279" s="9" t="str">
        <f t="shared" si="132"/>
        <v/>
      </c>
      <c r="G279" s="9" t="str">
        <f t="shared" si="132"/>
        <v/>
      </c>
      <c r="H279" s="9" t="str">
        <f t="shared" si="132"/>
        <v/>
      </c>
      <c r="I279" s="9" t="str">
        <f t="shared" si="132"/>
        <v/>
      </c>
      <c r="J279" s="9" t="str">
        <f t="shared" si="132"/>
        <v/>
      </c>
      <c r="K279" s="9" t="str">
        <f t="shared" si="132"/>
        <v/>
      </c>
      <c r="N279" t="str">
        <f t="shared" si="124"/>
        <v/>
      </c>
      <c r="O279" s="9" t="str">
        <f t="shared" si="133"/>
        <v/>
      </c>
      <c r="P279" s="9" t="str">
        <f t="shared" si="133"/>
        <v/>
      </c>
      <c r="Q279" s="9" t="str">
        <f t="shared" si="133"/>
        <v/>
      </c>
      <c r="R279" s="9" t="str">
        <f t="shared" si="133"/>
        <v/>
      </c>
      <c r="S279" s="9" t="str">
        <f t="shared" si="133"/>
        <v/>
      </c>
      <c r="T279" s="9" t="str">
        <f t="shared" si="133"/>
        <v/>
      </c>
      <c r="U279" s="9"/>
      <c r="V279" s="9" t="str">
        <f t="shared" si="122"/>
        <v/>
      </c>
      <c r="W279" t="str">
        <f t="shared" si="126"/>
        <v/>
      </c>
      <c r="X279" s="9" t="str">
        <f t="shared" si="134"/>
        <v/>
      </c>
      <c r="Y279" s="9" t="str">
        <f t="shared" si="134"/>
        <v/>
      </c>
      <c r="Z279" s="9" t="str">
        <f t="shared" si="134"/>
        <v/>
      </c>
      <c r="AA279" s="9" t="str">
        <f t="shared" si="134"/>
        <v/>
      </c>
      <c r="AB279" s="9" t="str">
        <f t="shared" si="134"/>
        <v/>
      </c>
      <c r="AC279" s="9" t="str">
        <f t="shared" si="134"/>
        <v/>
      </c>
      <c r="AD279" s="9" t="str">
        <f t="shared" si="134"/>
        <v/>
      </c>
      <c r="AE279" t="str">
        <f t="shared" si="128"/>
        <v/>
      </c>
      <c r="AF279" s="9" t="str">
        <f t="shared" si="135"/>
        <v/>
      </c>
      <c r="AG279" s="9" t="str">
        <f t="shared" si="135"/>
        <v/>
      </c>
      <c r="AH279" s="9" t="str">
        <f t="shared" si="135"/>
        <v/>
      </c>
      <c r="AI279" s="9" t="str">
        <f t="shared" si="135"/>
        <v/>
      </c>
      <c r="AJ279" s="9" t="str">
        <f t="shared" si="135"/>
        <v/>
      </c>
      <c r="AK279" s="9" t="str">
        <f t="shared" si="135"/>
        <v/>
      </c>
      <c r="AL279" s="9" t="str">
        <f t="shared" si="135"/>
        <v/>
      </c>
      <c r="AP279" t="str">
        <f t="shared" si="130"/>
        <v/>
      </c>
      <c r="AQ279" s="9" t="str">
        <f t="shared" si="136"/>
        <v/>
      </c>
      <c r="AR279" s="9" t="str">
        <f t="shared" si="136"/>
        <v/>
      </c>
      <c r="AS279" s="9" t="str">
        <f t="shared" si="136"/>
        <v/>
      </c>
      <c r="AT279" s="9" t="str">
        <f t="shared" si="136"/>
        <v/>
      </c>
      <c r="AU279" s="9" t="str">
        <f t="shared" si="136"/>
        <v/>
      </c>
      <c r="AV279" s="9" t="str">
        <f t="shared" si="136"/>
        <v/>
      </c>
      <c r="AW279" s="9" t="str">
        <f t="shared" si="136"/>
        <v/>
      </c>
    </row>
    <row r="280" spans="3:49" x14ac:dyDescent="0.25">
      <c r="C280">
        <v>124</v>
      </c>
      <c r="D280" t="str">
        <f t="shared" si="121"/>
        <v/>
      </c>
      <c r="E280" s="9" t="str">
        <f t="shared" si="132"/>
        <v/>
      </c>
      <c r="F280" s="9" t="str">
        <f t="shared" si="132"/>
        <v/>
      </c>
      <c r="G280" s="9" t="str">
        <f t="shared" si="132"/>
        <v/>
      </c>
      <c r="H280" s="9" t="str">
        <f t="shared" si="132"/>
        <v/>
      </c>
      <c r="I280" s="9" t="str">
        <f t="shared" si="132"/>
        <v/>
      </c>
      <c r="J280" s="9" t="str">
        <f t="shared" si="132"/>
        <v/>
      </c>
      <c r="K280" s="9" t="str">
        <f t="shared" si="132"/>
        <v/>
      </c>
      <c r="N280" t="str">
        <f t="shared" si="124"/>
        <v/>
      </c>
      <c r="O280" s="9" t="str">
        <f t="shared" si="133"/>
        <v/>
      </c>
      <c r="P280" s="9" t="str">
        <f t="shared" si="133"/>
        <v/>
      </c>
      <c r="Q280" s="9" t="str">
        <f t="shared" si="133"/>
        <v/>
      </c>
      <c r="R280" s="9" t="str">
        <f t="shared" si="133"/>
        <v/>
      </c>
      <c r="S280" s="9" t="str">
        <f t="shared" si="133"/>
        <v/>
      </c>
      <c r="T280" s="9" t="str">
        <f t="shared" si="133"/>
        <v/>
      </c>
      <c r="U280" s="9"/>
      <c r="V280" s="9" t="str">
        <f t="shared" si="122"/>
        <v/>
      </c>
      <c r="W280" t="str">
        <f t="shared" si="126"/>
        <v/>
      </c>
      <c r="X280" s="9" t="str">
        <f t="shared" si="134"/>
        <v/>
      </c>
      <c r="Y280" s="9" t="str">
        <f t="shared" si="134"/>
        <v/>
      </c>
      <c r="Z280" s="9" t="str">
        <f t="shared" si="134"/>
        <v/>
      </c>
      <c r="AA280" s="9" t="str">
        <f t="shared" si="134"/>
        <v/>
      </c>
      <c r="AB280" s="9" t="str">
        <f t="shared" si="134"/>
        <v/>
      </c>
      <c r="AC280" s="9" t="str">
        <f t="shared" si="134"/>
        <v/>
      </c>
      <c r="AD280" s="9" t="str">
        <f t="shared" si="134"/>
        <v/>
      </c>
      <c r="AE280" t="str">
        <f t="shared" si="128"/>
        <v/>
      </c>
      <c r="AF280" s="9" t="str">
        <f t="shared" si="135"/>
        <v/>
      </c>
      <c r="AG280" s="9" t="str">
        <f t="shared" si="135"/>
        <v/>
      </c>
      <c r="AH280" s="9" t="str">
        <f t="shared" si="135"/>
        <v/>
      </c>
      <c r="AI280" s="9" t="str">
        <f t="shared" si="135"/>
        <v/>
      </c>
      <c r="AJ280" s="9" t="str">
        <f t="shared" si="135"/>
        <v/>
      </c>
      <c r="AK280" s="9" t="str">
        <f t="shared" si="135"/>
        <v/>
      </c>
      <c r="AL280" s="9" t="str">
        <f t="shared" si="135"/>
        <v/>
      </c>
      <c r="AP280" t="str">
        <f t="shared" si="130"/>
        <v/>
      </c>
      <c r="AQ280" s="9" t="str">
        <f t="shared" si="136"/>
        <v/>
      </c>
      <c r="AR280" s="9" t="str">
        <f t="shared" si="136"/>
        <v/>
      </c>
      <c r="AS280" s="9" t="str">
        <f t="shared" si="136"/>
        <v/>
      </c>
      <c r="AT280" s="9" t="str">
        <f t="shared" si="136"/>
        <v/>
      </c>
      <c r="AU280" s="9" t="str">
        <f t="shared" si="136"/>
        <v/>
      </c>
      <c r="AV280" s="9" t="str">
        <f t="shared" si="136"/>
        <v/>
      </c>
      <c r="AW280" s="9" t="str">
        <f t="shared" si="136"/>
        <v/>
      </c>
    </row>
    <row r="281" spans="3:49" x14ac:dyDescent="0.25">
      <c r="C281">
        <v>125</v>
      </c>
      <c r="D281" t="str">
        <f t="shared" si="121"/>
        <v/>
      </c>
      <c r="E281" s="9" t="str">
        <f t="shared" ref="E281:K290" si="137">E217</f>
        <v/>
      </c>
      <c r="F281" s="9" t="str">
        <f t="shared" si="137"/>
        <v/>
      </c>
      <c r="G281" s="9" t="str">
        <f t="shared" si="137"/>
        <v/>
      </c>
      <c r="H281" s="9" t="str">
        <f t="shared" si="137"/>
        <v/>
      </c>
      <c r="I281" s="9" t="str">
        <f t="shared" si="137"/>
        <v/>
      </c>
      <c r="J281" s="9" t="str">
        <f t="shared" si="137"/>
        <v/>
      </c>
      <c r="K281" s="9" t="str">
        <f t="shared" si="137"/>
        <v/>
      </c>
      <c r="N281" t="str">
        <f t="shared" si="124"/>
        <v/>
      </c>
      <c r="O281" s="9" t="str">
        <f t="shared" ref="O281:T290" si="138">O217</f>
        <v/>
      </c>
      <c r="P281" s="9" t="str">
        <f t="shared" si="138"/>
        <v/>
      </c>
      <c r="Q281" s="9" t="str">
        <f t="shared" si="138"/>
        <v/>
      </c>
      <c r="R281" s="9" t="str">
        <f t="shared" si="138"/>
        <v/>
      </c>
      <c r="S281" s="9" t="str">
        <f t="shared" si="138"/>
        <v/>
      </c>
      <c r="T281" s="9" t="str">
        <f t="shared" si="138"/>
        <v/>
      </c>
      <c r="U281" s="9"/>
      <c r="V281" s="9" t="str">
        <f t="shared" si="122"/>
        <v/>
      </c>
      <c r="W281" t="str">
        <f t="shared" si="126"/>
        <v/>
      </c>
      <c r="X281" s="9" t="str">
        <f t="shared" ref="X281:AD290" si="139">X217</f>
        <v/>
      </c>
      <c r="Y281" s="9" t="str">
        <f t="shared" si="139"/>
        <v/>
      </c>
      <c r="Z281" s="9" t="str">
        <f t="shared" si="139"/>
        <v/>
      </c>
      <c r="AA281" s="9" t="str">
        <f t="shared" si="139"/>
        <v/>
      </c>
      <c r="AB281" s="9" t="str">
        <f t="shared" si="139"/>
        <v/>
      </c>
      <c r="AC281" s="9" t="str">
        <f t="shared" si="139"/>
        <v/>
      </c>
      <c r="AD281" s="9" t="str">
        <f t="shared" si="139"/>
        <v/>
      </c>
      <c r="AE281" t="str">
        <f t="shared" si="128"/>
        <v/>
      </c>
      <c r="AF281" s="9" t="str">
        <f t="shared" ref="AF281:AL290" si="140">AF217</f>
        <v/>
      </c>
      <c r="AG281" s="9" t="str">
        <f t="shared" si="140"/>
        <v/>
      </c>
      <c r="AH281" s="9" t="str">
        <f t="shared" si="140"/>
        <v/>
      </c>
      <c r="AI281" s="9" t="str">
        <f t="shared" si="140"/>
        <v/>
      </c>
      <c r="AJ281" s="9" t="str">
        <f t="shared" si="140"/>
        <v/>
      </c>
      <c r="AK281" s="9" t="str">
        <f t="shared" si="140"/>
        <v/>
      </c>
      <c r="AL281" s="9" t="str">
        <f t="shared" si="140"/>
        <v/>
      </c>
      <c r="AP281" t="str">
        <f t="shared" si="130"/>
        <v/>
      </c>
      <c r="AQ281" s="9" t="str">
        <f t="shared" ref="AQ281:AW290" si="141">AQ217</f>
        <v/>
      </c>
      <c r="AR281" s="9" t="str">
        <f t="shared" si="141"/>
        <v/>
      </c>
      <c r="AS281" s="9" t="str">
        <f t="shared" si="141"/>
        <v/>
      </c>
      <c r="AT281" s="9" t="str">
        <f t="shared" si="141"/>
        <v/>
      </c>
      <c r="AU281" s="9" t="str">
        <f t="shared" si="141"/>
        <v/>
      </c>
      <c r="AV281" s="9" t="str">
        <f t="shared" si="141"/>
        <v/>
      </c>
      <c r="AW281" s="9" t="str">
        <f t="shared" si="141"/>
        <v/>
      </c>
    </row>
    <row r="282" spans="3:49" x14ac:dyDescent="0.25">
      <c r="C282">
        <v>126</v>
      </c>
      <c r="D282" t="str">
        <f t="shared" si="121"/>
        <v/>
      </c>
      <c r="E282" s="9" t="str">
        <f t="shared" si="137"/>
        <v/>
      </c>
      <c r="F282" s="9" t="str">
        <f t="shared" si="137"/>
        <v/>
      </c>
      <c r="G282" s="9" t="str">
        <f t="shared" si="137"/>
        <v/>
      </c>
      <c r="H282" s="9" t="str">
        <f t="shared" si="137"/>
        <v/>
      </c>
      <c r="I282" s="9" t="str">
        <f t="shared" si="137"/>
        <v/>
      </c>
      <c r="J282" s="9" t="str">
        <f t="shared" si="137"/>
        <v/>
      </c>
      <c r="K282" s="9" t="str">
        <f t="shared" si="137"/>
        <v/>
      </c>
      <c r="N282" t="str">
        <f t="shared" si="124"/>
        <v/>
      </c>
      <c r="O282" s="9" t="str">
        <f t="shared" si="138"/>
        <v/>
      </c>
      <c r="P282" s="9" t="str">
        <f t="shared" si="138"/>
        <v/>
      </c>
      <c r="Q282" s="9" t="str">
        <f t="shared" si="138"/>
        <v/>
      </c>
      <c r="R282" s="9" t="str">
        <f t="shared" si="138"/>
        <v/>
      </c>
      <c r="S282" s="9" t="str">
        <f t="shared" si="138"/>
        <v/>
      </c>
      <c r="T282" s="9" t="str">
        <f t="shared" si="138"/>
        <v/>
      </c>
      <c r="U282" s="9"/>
      <c r="V282" s="9" t="str">
        <f t="shared" si="122"/>
        <v/>
      </c>
      <c r="W282" t="str">
        <f t="shared" si="126"/>
        <v/>
      </c>
      <c r="X282" s="9" t="str">
        <f t="shared" si="139"/>
        <v/>
      </c>
      <c r="Y282" s="9" t="str">
        <f t="shared" si="139"/>
        <v/>
      </c>
      <c r="Z282" s="9" t="str">
        <f t="shared" si="139"/>
        <v/>
      </c>
      <c r="AA282" s="9" t="str">
        <f t="shared" si="139"/>
        <v/>
      </c>
      <c r="AB282" s="9" t="str">
        <f t="shared" si="139"/>
        <v/>
      </c>
      <c r="AC282" s="9" t="str">
        <f t="shared" si="139"/>
        <v/>
      </c>
      <c r="AD282" s="9" t="str">
        <f t="shared" si="139"/>
        <v/>
      </c>
      <c r="AE282" t="str">
        <f t="shared" si="128"/>
        <v/>
      </c>
      <c r="AF282" s="9" t="str">
        <f t="shared" si="140"/>
        <v/>
      </c>
      <c r="AG282" s="9" t="str">
        <f t="shared" si="140"/>
        <v/>
      </c>
      <c r="AH282" s="9" t="str">
        <f t="shared" si="140"/>
        <v/>
      </c>
      <c r="AI282" s="9" t="str">
        <f t="shared" si="140"/>
        <v/>
      </c>
      <c r="AJ282" s="9" t="str">
        <f t="shared" si="140"/>
        <v/>
      </c>
      <c r="AK282" s="9" t="str">
        <f t="shared" si="140"/>
        <v/>
      </c>
      <c r="AL282" s="9" t="str">
        <f t="shared" si="140"/>
        <v/>
      </c>
      <c r="AP282" t="str">
        <f t="shared" si="130"/>
        <v/>
      </c>
      <c r="AQ282" s="9" t="str">
        <f t="shared" si="141"/>
        <v/>
      </c>
      <c r="AR282" s="9" t="str">
        <f t="shared" si="141"/>
        <v/>
      </c>
      <c r="AS282" s="9" t="str">
        <f t="shared" si="141"/>
        <v/>
      </c>
      <c r="AT282" s="9" t="str">
        <f t="shared" si="141"/>
        <v/>
      </c>
      <c r="AU282" s="9" t="str">
        <f t="shared" si="141"/>
        <v/>
      </c>
      <c r="AV282" s="9" t="str">
        <f t="shared" si="141"/>
        <v/>
      </c>
      <c r="AW282" s="9" t="str">
        <f t="shared" si="141"/>
        <v/>
      </c>
    </row>
    <row r="283" spans="3:49" x14ac:dyDescent="0.25">
      <c r="C283">
        <v>127</v>
      </c>
      <c r="D283" t="str">
        <f t="shared" si="121"/>
        <v/>
      </c>
      <c r="E283" s="9" t="str">
        <f t="shared" si="137"/>
        <v/>
      </c>
      <c r="F283" s="9" t="str">
        <f t="shared" si="137"/>
        <v/>
      </c>
      <c r="G283" s="9" t="str">
        <f t="shared" si="137"/>
        <v/>
      </c>
      <c r="H283" s="9" t="str">
        <f t="shared" si="137"/>
        <v/>
      </c>
      <c r="I283" s="9" t="str">
        <f t="shared" si="137"/>
        <v/>
      </c>
      <c r="J283" s="9" t="str">
        <f t="shared" si="137"/>
        <v/>
      </c>
      <c r="K283" s="9" t="str">
        <f t="shared" si="137"/>
        <v/>
      </c>
      <c r="N283" t="str">
        <f t="shared" si="124"/>
        <v/>
      </c>
      <c r="O283" s="9" t="str">
        <f t="shared" si="138"/>
        <v/>
      </c>
      <c r="P283" s="9" t="str">
        <f t="shared" si="138"/>
        <v/>
      </c>
      <c r="Q283" s="9" t="str">
        <f t="shared" si="138"/>
        <v/>
      </c>
      <c r="R283" s="9" t="str">
        <f t="shared" si="138"/>
        <v/>
      </c>
      <c r="S283" s="9" t="str">
        <f t="shared" si="138"/>
        <v/>
      </c>
      <c r="T283" s="9" t="str">
        <f t="shared" si="138"/>
        <v/>
      </c>
      <c r="U283" s="9"/>
      <c r="V283" s="9" t="str">
        <f t="shared" si="122"/>
        <v/>
      </c>
      <c r="W283" t="str">
        <f t="shared" si="126"/>
        <v/>
      </c>
      <c r="X283" s="9" t="str">
        <f t="shared" si="139"/>
        <v/>
      </c>
      <c r="Y283" s="9" t="str">
        <f t="shared" si="139"/>
        <v/>
      </c>
      <c r="Z283" s="9" t="str">
        <f t="shared" si="139"/>
        <v/>
      </c>
      <c r="AA283" s="9" t="str">
        <f t="shared" si="139"/>
        <v/>
      </c>
      <c r="AB283" s="9" t="str">
        <f t="shared" si="139"/>
        <v/>
      </c>
      <c r="AC283" s="9" t="str">
        <f t="shared" si="139"/>
        <v/>
      </c>
      <c r="AD283" s="9" t="str">
        <f t="shared" si="139"/>
        <v/>
      </c>
      <c r="AE283" t="str">
        <f t="shared" si="128"/>
        <v/>
      </c>
      <c r="AF283" s="9" t="str">
        <f t="shared" si="140"/>
        <v/>
      </c>
      <c r="AG283" s="9" t="str">
        <f t="shared" si="140"/>
        <v/>
      </c>
      <c r="AH283" s="9" t="str">
        <f t="shared" si="140"/>
        <v/>
      </c>
      <c r="AI283" s="9" t="str">
        <f t="shared" si="140"/>
        <v/>
      </c>
      <c r="AJ283" s="9" t="str">
        <f t="shared" si="140"/>
        <v/>
      </c>
      <c r="AK283" s="9" t="str">
        <f t="shared" si="140"/>
        <v/>
      </c>
      <c r="AL283" s="9" t="str">
        <f t="shared" si="140"/>
        <v/>
      </c>
      <c r="AP283" t="str">
        <f t="shared" si="130"/>
        <v/>
      </c>
      <c r="AQ283" s="9" t="str">
        <f t="shared" si="141"/>
        <v/>
      </c>
      <c r="AR283" s="9" t="str">
        <f t="shared" si="141"/>
        <v/>
      </c>
      <c r="AS283" s="9" t="str">
        <f t="shared" si="141"/>
        <v/>
      </c>
      <c r="AT283" s="9" t="str">
        <f t="shared" si="141"/>
        <v/>
      </c>
      <c r="AU283" s="9" t="str">
        <f t="shared" si="141"/>
        <v/>
      </c>
      <c r="AV283" s="9" t="str">
        <f t="shared" si="141"/>
        <v/>
      </c>
      <c r="AW283" s="9" t="str">
        <f t="shared" si="141"/>
        <v/>
      </c>
    </row>
    <row r="284" spans="3:49" x14ac:dyDescent="0.25">
      <c r="C284">
        <v>128</v>
      </c>
      <c r="D284" t="str">
        <f t="shared" si="121"/>
        <v/>
      </c>
      <c r="E284" s="9" t="str">
        <f t="shared" si="137"/>
        <v/>
      </c>
      <c r="F284" s="9" t="str">
        <f t="shared" si="137"/>
        <v/>
      </c>
      <c r="G284" s="9" t="str">
        <f t="shared" si="137"/>
        <v/>
      </c>
      <c r="H284" s="9" t="str">
        <f t="shared" si="137"/>
        <v/>
      </c>
      <c r="I284" s="9" t="str">
        <f t="shared" si="137"/>
        <v/>
      </c>
      <c r="J284" s="9" t="str">
        <f t="shared" si="137"/>
        <v/>
      </c>
      <c r="K284" s="9" t="str">
        <f t="shared" si="137"/>
        <v/>
      </c>
      <c r="N284" t="str">
        <f t="shared" si="124"/>
        <v/>
      </c>
      <c r="O284" s="9" t="str">
        <f t="shared" si="138"/>
        <v/>
      </c>
      <c r="P284" s="9" t="str">
        <f t="shared" si="138"/>
        <v/>
      </c>
      <c r="Q284" s="9" t="str">
        <f t="shared" si="138"/>
        <v/>
      </c>
      <c r="R284" s="9" t="str">
        <f t="shared" si="138"/>
        <v/>
      </c>
      <c r="S284" s="9" t="str">
        <f t="shared" si="138"/>
        <v/>
      </c>
      <c r="T284" s="9" t="str">
        <f t="shared" si="138"/>
        <v/>
      </c>
      <c r="U284" s="9"/>
      <c r="V284" s="9" t="str">
        <f t="shared" si="122"/>
        <v/>
      </c>
      <c r="W284" t="str">
        <f t="shared" si="126"/>
        <v/>
      </c>
      <c r="X284" s="9" t="str">
        <f t="shared" si="139"/>
        <v/>
      </c>
      <c r="Y284" s="9" t="str">
        <f t="shared" si="139"/>
        <v/>
      </c>
      <c r="Z284" s="9" t="str">
        <f t="shared" si="139"/>
        <v/>
      </c>
      <c r="AA284" s="9" t="str">
        <f t="shared" si="139"/>
        <v/>
      </c>
      <c r="AB284" s="9" t="str">
        <f t="shared" si="139"/>
        <v/>
      </c>
      <c r="AC284" s="9" t="str">
        <f t="shared" si="139"/>
        <v/>
      </c>
      <c r="AD284" s="9" t="str">
        <f t="shared" si="139"/>
        <v/>
      </c>
      <c r="AE284" t="str">
        <f t="shared" si="128"/>
        <v/>
      </c>
      <c r="AF284" s="9" t="str">
        <f t="shared" si="140"/>
        <v/>
      </c>
      <c r="AG284" s="9" t="str">
        <f t="shared" si="140"/>
        <v/>
      </c>
      <c r="AH284" s="9" t="str">
        <f t="shared" si="140"/>
        <v/>
      </c>
      <c r="AI284" s="9" t="str">
        <f t="shared" si="140"/>
        <v/>
      </c>
      <c r="AJ284" s="9" t="str">
        <f t="shared" si="140"/>
        <v/>
      </c>
      <c r="AK284" s="9" t="str">
        <f t="shared" si="140"/>
        <v/>
      </c>
      <c r="AL284" s="9" t="str">
        <f t="shared" si="140"/>
        <v/>
      </c>
      <c r="AP284" t="str">
        <f t="shared" si="130"/>
        <v/>
      </c>
      <c r="AQ284" s="9" t="str">
        <f t="shared" si="141"/>
        <v/>
      </c>
      <c r="AR284" s="9" t="str">
        <f t="shared" si="141"/>
        <v/>
      </c>
      <c r="AS284" s="9" t="str">
        <f t="shared" si="141"/>
        <v/>
      </c>
      <c r="AT284" s="9" t="str">
        <f t="shared" si="141"/>
        <v/>
      </c>
      <c r="AU284" s="9" t="str">
        <f t="shared" si="141"/>
        <v/>
      </c>
      <c r="AV284" s="9" t="str">
        <f t="shared" si="141"/>
        <v/>
      </c>
      <c r="AW284" s="9" t="str">
        <f t="shared" si="141"/>
        <v/>
      </c>
    </row>
    <row r="285" spans="3:49" x14ac:dyDescent="0.25">
      <c r="D285" s="20"/>
    </row>
    <row r="286" spans="3:49" x14ac:dyDescent="0.25">
      <c r="D286" s="20"/>
    </row>
    <row r="287" spans="3:49" ht="30" customHeight="1" x14ac:dyDescent="0.25">
      <c r="E287" s="75" t="s">
        <v>505</v>
      </c>
      <c r="F287" s="66" t="s">
        <v>505</v>
      </c>
      <c r="G287" s="67" t="s">
        <v>505</v>
      </c>
      <c r="H287" s="68" t="s">
        <v>505</v>
      </c>
      <c r="I287" s="69" t="s">
        <v>505</v>
      </c>
      <c r="J287" s="65" t="s">
        <v>536</v>
      </c>
      <c r="K287" s="66" t="s">
        <v>536</v>
      </c>
      <c r="L287" s="66"/>
      <c r="M287" s="66"/>
      <c r="N287" s="67" t="s">
        <v>536</v>
      </c>
      <c r="O287" s="68" t="s">
        <v>536</v>
      </c>
      <c r="P287" s="69" t="s">
        <v>536</v>
      </c>
      <c r="Q287" s="65" t="s">
        <v>537</v>
      </c>
      <c r="R287" s="66" t="s">
        <v>537</v>
      </c>
      <c r="S287" s="76" t="s">
        <v>537</v>
      </c>
      <c r="T287" s="68" t="s">
        <v>537</v>
      </c>
      <c r="U287" s="68"/>
      <c r="V287" s="69" t="s">
        <v>537</v>
      </c>
      <c r="W287" s="65" t="s">
        <v>538</v>
      </c>
      <c r="X287" s="66" t="s">
        <v>538</v>
      </c>
      <c r="Y287" s="67" t="s">
        <v>538</v>
      </c>
      <c r="Z287" s="68" t="s">
        <v>538</v>
      </c>
      <c r="AA287" s="69" t="s">
        <v>538</v>
      </c>
    </row>
    <row r="288" spans="3:49" x14ac:dyDescent="0.25">
      <c r="D288" s="70">
        <v>1</v>
      </c>
      <c r="E288" s="27" t="str">
        <f t="shared" ref="E288:E319" si="142">IFERROR(VLOOKUP(SMALL($D$157:$D$284,D288),$D$157:$AW$284,2,FALSE),"")</f>
        <v/>
      </c>
      <c r="F288" s="33" t="str">
        <f t="shared" ref="F288:F319" si="143">IFERROR(VLOOKUP(SMALL($D$157:$D$284,D288),$D$157:$AW$284,12,FALSE),"")</f>
        <v/>
      </c>
      <c r="G288" s="33" t="str">
        <f t="shared" ref="G288:G319" si="144">IFERROR(VLOOKUP(SMALL($D$157:$D$284,D288),$D$157:$AW$284,21,FALSE),"")</f>
        <v/>
      </c>
      <c r="H288" s="33" t="str">
        <f t="shared" ref="H288:H319" si="145">IFERROR(VLOOKUP(SMALL($D$157:$D$284,D288),$D$157:$AW$284,29,FALSE),"")</f>
        <v/>
      </c>
      <c r="I288" s="33" t="str">
        <f t="shared" ref="I288:I319" si="146">IFERROR(VLOOKUP(SMALL($D$157:$D$284,D288),$D$157:$AW$284,40,FALSE),"")</f>
        <v/>
      </c>
      <c r="J288" s="33" t="str">
        <f t="shared" ref="J288:J319" si="147">IFERROR(VLOOKUP(SMALL($D$157:$D$284,D288),$D$157:$AW$284,4,FALSE),"")</f>
        <v/>
      </c>
      <c r="K288" s="33" t="str">
        <f t="shared" ref="K288:K319" si="148">IFERROR(VLOOKUP(SMALL($D$157:$D$284,D288),$D$157:$AW$284,14,FALSE),"")</f>
        <v/>
      </c>
      <c r="L288" s="33"/>
      <c r="M288" s="33"/>
      <c r="N288" s="33" t="str">
        <f t="shared" ref="N288:N319" si="149">IFERROR(VLOOKUP(SMALL($D$157:$D$284,D288),$D$157:$AW$284,23,FALSE),"")</f>
        <v/>
      </c>
      <c r="O288" s="33" t="str">
        <f t="shared" ref="O288:O319" si="150">IFERROR(VLOOKUP(SMALL($D$157:$D$284,D288),$D$157:$AW$284,31,FALSE),"")</f>
        <v/>
      </c>
      <c r="P288" s="33" t="str">
        <f t="shared" ref="P288:P319" si="151">IFERROR(VLOOKUP(SMALL($D$157:$D$284,D288),$D$157:$AW$284,42,FALSE),"")</f>
        <v/>
      </c>
      <c r="Q288" s="33" t="str">
        <f t="shared" ref="Q288:Q319" si="152">IFERROR(VLOOKUP(SMALL($D$157:$D$284,D288),$D$157:$AW$284,6,FALSE),"")</f>
        <v/>
      </c>
      <c r="R288" s="33" t="str">
        <f t="shared" ref="R288:R319" si="153">IFERROR(VLOOKUP(SMALL($D$157:$D$284,D288),$D$157:$AW$284,16,FALSE),"")</f>
        <v/>
      </c>
      <c r="S288" s="27" t="str">
        <f t="shared" ref="S288:S319" si="154">IFERROR(VLOOKUP(SMALL($D$157:$D$284,D288),$D$157:$AW$284,25,FALSE),"")</f>
        <v/>
      </c>
      <c r="T288" s="33" t="str">
        <f t="shared" ref="T288:T319" si="155">IFERROR(VLOOKUP(SMALL($D$157:$D$284,D288),$D$157:$AW$284,33,FALSE),"")</f>
        <v/>
      </c>
      <c r="U288" s="33"/>
      <c r="V288" s="33" t="str">
        <f t="shared" ref="V288:V319" si="156">IFERROR(VLOOKUP(SMALL($D$157:$D$284,D288),$D$157:$AW$284,44,FALSE),"")</f>
        <v/>
      </c>
      <c r="W288" s="33" t="str">
        <f t="shared" ref="W288:W319" si="157">IFERROR(VLOOKUP(SMALL($D$157:$D$284,D288),$D$157:$AW$284,8,FALSE),"")</f>
        <v/>
      </c>
      <c r="X288" s="33" t="str">
        <f t="shared" ref="X288:X319" si="158">IFERROR(VLOOKUP(SMALL($D$157:$D$284,D288),$D$157:$AW$284,19,FALSE),"")</f>
        <v/>
      </c>
      <c r="Y288" s="33" t="str">
        <f t="shared" ref="Y288:Y319" si="159">IFERROR(VLOOKUP(SMALL($D$157:$D$284,D288),$D$157:$AW$284,27,FALSE),"")</f>
        <v/>
      </c>
      <c r="Z288" s="33" t="str">
        <f t="shared" ref="Z288:Z319" si="160">IFERROR(VLOOKUP(SMALL($D$157:$D$284,D288),$D$157:$AW$284,35,FALSE),"")</f>
        <v/>
      </c>
      <c r="AA288" s="33" t="str">
        <f t="shared" ref="AA288:AA319" si="161">IFERROR(VLOOKUP(SMALL($D$157:$D$284,D288),$D$157:$AW$284,46,FALSE),"")</f>
        <v/>
      </c>
    </row>
    <row r="289" spans="4:27" x14ac:dyDescent="0.25">
      <c r="D289" s="70">
        <v>2</v>
      </c>
      <c r="E289" s="27" t="str">
        <f t="shared" si="142"/>
        <v/>
      </c>
      <c r="F289" s="33" t="str">
        <f t="shared" si="143"/>
        <v/>
      </c>
      <c r="G289" s="33" t="str">
        <f t="shared" si="144"/>
        <v/>
      </c>
      <c r="H289" s="33" t="str">
        <f t="shared" si="145"/>
        <v/>
      </c>
      <c r="I289" s="33" t="str">
        <f t="shared" si="146"/>
        <v/>
      </c>
      <c r="J289" s="33" t="str">
        <f t="shared" si="147"/>
        <v/>
      </c>
      <c r="K289" s="33" t="str">
        <f t="shared" si="148"/>
        <v/>
      </c>
      <c r="L289" s="33"/>
      <c r="M289" s="33"/>
      <c r="N289" s="33" t="str">
        <f t="shared" si="149"/>
        <v/>
      </c>
      <c r="O289" s="33" t="str">
        <f t="shared" si="150"/>
        <v/>
      </c>
      <c r="P289" s="33" t="str">
        <f t="shared" si="151"/>
        <v/>
      </c>
      <c r="Q289" s="33" t="str">
        <f t="shared" si="152"/>
        <v/>
      </c>
      <c r="R289" s="33" t="str">
        <f t="shared" si="153"/>
        <v/>
      </c>
      <c r="S289" s="27" t="str">
        <f t="shared" si="154"/>
        <v/>
      </c>
      <c r="T289" s="33" t="str">
        <f t="shared" si="155"/>
        <v/>
      </c>
      <c r="U289" s="33"/>
      <c r="V289" s="33" t="str">
        <f t="shared" si="156"/>
        <v/>
      </c>
      <c r="W289" s="33" t="str">
        <f t="shared" si="157"/>
        <v/>
      </c>
      <c r="X289" s="33" t="str">
        <f t="shared" si="158"/>
        <v/>
      </c>
      <c r="Y289" s="33" t="str">
        <f t="shared" si="159"/>
        <v/>
      </c>
      <c r="Z289" s="33" t="str">
        <f t="shared" si="160"/>
        <v/>
      </c>
      <c r="AA289" s="33" t="str">
        <f t="shared" si="161"/>
        <v/>
      </c>
    </row>
    <row r="290" spans="4:27" x14ac:dyDescent="0.25">
      <c r="D290" s="70">
        <v>3</v>
      </c>
      <c r="E290" s="27" t="str">
        <f t="shared" si="142"/>
        <v/>
      </c>
      <c r="F290" s="33" t="str">
        <f t="shared" si="143"/>
        <v/>
      </c>
      <c r="G290" s="33" t="str">
        <f t="shared" si="144"/>
        <v/>
      </c>
      <c r="H290" s="33" t="str">
        <f t="shared" si="145"/>
        <v/>
      </c>
      <c r="I290" s="33" t="str">
        <f t="shared" si="146"/>
        <v/>
      </c>
      <c r="J290" s="33" t="str">
        <f t="shared" si="147"/>
        <v/>
      </c>
      <c r="K290" s="33" t="str">
        <f t="shared" si="148"/>
        <v/>
      </c>
      <c r="L290" s="33"/>
      <c r="M290" s="33"/>
      <c r="N290" s="33" t="str">
        <f t="shared" si="149"/>
        <v/>
      </c>
      <c r="O290" s="33" t="str">
        <f t="shared" si="150"/>
        <v/>
      </c>
      <c r="P290" s="33" t="str">
        <f t="shared" si="151"/>
        <v/>
      </c>
      <c r="Q290" s="33" t="str">
        <f t="shared" si="152"/>
        <v/>
      </c>
      <c r="R290" s="33" t="str">
        <f t="shared" si="153"/>
        <v/>
      </c>
      <c r="S290" s="27" t="str">
        <f t="shared" si="154"/>
        <v/>
      </c>
      <c r="T290" s="33" t="str">
        <f t="shared" si="155"/>
        <v/>
      </c>
      <c r="U290" s="33"/>
      <c r="V290" s="33" t="str">
        <f t="shared" si="156"/>
        <v/>
      </c>
      <c r="W290" s="33" t="str">
        <f t="shared" si="157"/>
        <v/>
      </c>
      <c r="X290" s="33" t="str">
        <f t="shared" si="158"/>
        <v/>
      </c>
      <c r="Y290" s="33" t="str">
        <f t="shared" si="159"/>
        <v/>
      </c>
      <c r="Z290" s="33" t="str">
        <f t="shared" si="160"/>
        <v/>
      </c>
      <c r="AA290" s="33" t="str">
        <f t="shared" si="161"/>
        <v/>
      </c>
    </row>
    <row r="291" spans="4:27" x14ac:dyDescent="0.25">
      <c r="D291" s="70">
        <v>4</v>
      </c>
      <c r="E291" s="27" t="str">
        <f t="shared" si="142"/>
        <v/>
      </c>
      <c r="F291" s="33" t="str">
        <f t="shared" si="143"/>
        <v/>
      </c>
      <c r="G291" s="33" t="str">
        <f t="shared" si="144"/>
        <v/>
      </c>
      <c r="H291" s="33" t="str">
        <f t="shared" si="145"/>
        <v/>
      </c>
      <c r="I291" s="33" t="str">
        <f t="shared" si="146"/>
        <v/>
      </c>
      <c r="J291" s="33" t="str">
        <f t="shared" si="147"/>
        <v/>
      </c>
      <c r="K291" s="33" t="str">
        <f t="shared" si="148"/>
        <v/>
      </c>
      <c r="L291" s="33"/>
      <c r="M291" s="33"/>
      <c r="N291" s="33" t="str">
        <f t="shared" si="149"/>
        <v/>
      </c>
      <c r="O291" s="33" t="str">
        <f t="shared" si="150"/>
        <v/>
      </c>
      <c r="P291" s="33" t="str">
        <f t="shared" si="151"/>
        <v/>
      </c>
      <c r="Q291" s="33" t="str">
        <f t="shared" si="152"/>
        <v/>
      </c>
      <c r="R291" s="33" t="str">
        <f t="shared" si="153"/>
        <v/>
      </c>
      <c r="S291" s="27" t="str">
        <f t="shared" si="154"/>
        <v/>
      </c>
      <c r="T291" s="33" t="str">
        <f t="shared" si="155"/>
        <v/>
      </c>
      <c r="U291" s="33"/>
      <c r="V291" s="33" t="str">
        <f t="shared" si="156"/>
        <v/>
      </c>
      <c r="W291" s="33" t="str">
        <f t="shared" si="157"/>
        <v/>
      </c>
      <c r="X291" s="33" t="str">
        <f t="shared" si="158"/>
        <v/>
      </c>
      <c r="Y291" s="33" t="str">
        <f t="shared" si="159"/>
        <v/>
      </c>
      <c r="Z291" s="33" t="str">
        <f t="shared" si="160"/>
        <v/>
      </c>
      <c r="AA291" s="33" t="str">
        <f t="shared" si="161"/>
        <v/>
      </c>
    </row>
    <row r="292" spans="4:27" x14ac:dyDescent="0.25">
      <c r="D292" s="70">
        <v>5</v>
      </c>
      <c r="E292" s="27" t="str">
        <f t="shared" si="142"/>
        <v/>
      </c>
      <c r="F292" s="33" t="str">
        <f t="shared" si="143"/>
        <v/>
      </c>
      <c r="G292" s="33" t="str">
        <f t="shared" si="144"/>
        <v/>
      </c>
      <c r="H292" s="33" t="str">
        <f t="shared" si="145"/>
        <v/>
      </c>
      <c r="I292" s="33" t="str">
        <f t="shared" si="146"/>
        <v/>
      </c>
      <c r="J292" s="33" t="str">
        <f t="shared" si="147"/>
        <v/>
      </c>
      <c r="K292" s="33" t="str">
        <f t="shared" si="148"/>
        <v/>
      </c>
      <c r="L292" s="33"/>
      <c r="M292" s="33"/>
      <c r="N292" s="33" t="str">
        <f t="shared" si="149"/>
        <v/>
      </c>
      <c r="O292" s="33" t="str">
        <f t="shared" si="150"/>
        <v/>
      </c>
      <c r="P292" s="33" t="str">
        <f t="shared" si="151"/>
        <v/>
      </c>
      <c r="Q292" s="33" t="str">
        <f t="shared" si="152"/>
        <v/>
      </c>
      <c r="R292" s="33" t="str">
        <f t="shared" si="153"/>
        <v/>
      </c>
      <c r="S292" s="27" t="str">
        <f t="shared" si="154"/>
        <v/>
      </c>
      <c r="T292" s="33" t="str">
        <f t="shared" si="155"/>
        <v/>
      </c>
      <c r="U292" s="33"/>
      <c r="V292" s="33" t="str">
        <f t="shared" si="156"/>
        <v/>
      </c>
      <c r="W292" s="33" t="str">
        <f t="shared" si="157"/>
        <v/>
      </c>
      <c r="X292" s="33" t="str">
        <f t="shared" si="158"/>
        <v/>
      </c>
      <c r="Y292" s="33" t="str">
        <f t="shared" si="159"/>
        <v/>
      </c>
      <c r="Z292" s="33" t="str">
        <f t="shared" si="160"/>
        <v/>
      </c>
      <c r="AA292" s="33" t="str">
        <f t="shared" si="161"/>
        <v/>
      </c>
    </row>
    <row r="293" spans="4:27" x14ac:dyDescent="0.25">
      <c r="D293" s="70">
        <v>6</v>
      </c>
      <c r="E293" s="27" t="str">
        <f t="shared" si="142"/>
        <v/>
      </c>
      <c r="F293" s="33" t="str">
        <f t="shared" si="143"/>
        <v/>
      </c>
      <c r="G293" s="33" t="str">
        <f t="shared" si="144"/>
        <v/>
      </c>
      <c r="H293" s="33" t="str">
        <f t="shared" si="145"/>
        <v/>
      </c>
      <c r="I293" s="33" t="str">
        <f t="shared" si="146"/>
        <v/>
      </c>
      <c r="J293" s="33" t="str">
        <f t="shared" si="147"/>
        <v/>
      </c>
      <c r="K293" s="33" t="str">
        <f t="shared" si="148"/>
        <v/>
      </c>
      <c r="L293" s="33"/>
      <c r="M293" s="33"/>
      <c r="N293" s="33" t="str">
        <f t="shared" si="149"/>
        <v/>
      </c>
      <c r="O293" s="33" t="str">
        <f t="shared" si="150"/>
        <v/>
      </c>
      <c r="P293" s="33" t="str">
        <f t="shared" si="151"/>
        <v/>
      </c>
      <c r="Q293" s="33" t="str">
        <f t="shared" si="152"/>
        <v/>
      </c>
      <c r="R293" s="33" t="str">
        <f t="shared" si="153"/>
        <v/>
      </c>
      <c r="S293" s="27" t="str">
        <f t="shared" si="154"/>
        <v/>
      </c>
      <c r="T293" s="33" t="str">
        <f t="shared" si="155"/>
        <v/>
      </c>
      <c r="U293" s="33"/>
      <c r="V293" s="33" t="str">
        <f t="shared" si="156"/>
        <v/>
      </c>
      <c r="W293" s="33" t="str">
        <f t="shared" si="157"/>
        <v/>
      </c>
      <c r="X293" s="33" t="str">
        <f t="shared" si="158"/>
        <v/>
      </c>
      <c r="Y293" s="33" t="str">
        <f t="shared" si="159"/>
        <v/>
      </c>
      <c r="Z293" s="33" t="str">
        <f t="shared" si="160"/>
        <v/>
      </c>
      <c r="AA293" s="33" t="str">
        <f t="shared" si="161"/>
        <v/>
      </c>
    </row>
    <row r="294" spans="4:27" x14ac:dyDescent="0.25">
      <c r="D294" s="70">
        <v>7</v>
      </c>
      <c r="E294" s="27" t="str">
        <f t="shared" si="142"/>
        <v/>
      </c>
      <c r="F294" s="33" t="str">
        <f t="shared" si="143"/>
        <v/>
      </c>
      <c r="G294" s="33" t="str">
        <f t="shared" si="144"/>
        <v/>
      </c>
      <c r="H294" s="33" t="str">
        <f t="shared" si="145"/>
        <v/>
      </c>
      <c r="I294" s="33" t="str">
        <f t="shared" si="146"/>
        <v/>
      </c>
      <c r="J294" s="33" t="str">
        <f t="shared" si="147"/>
        <v/>
      </c>
      <c r="K294" s="33" t="str">
        <f t="shared" si="148"/>
        <v/>
      </c>
      <c r="L294" s="33"/>
      <c r="M294" s="33"/>
      <c r="N294" s="33" t="str">
        <f t="shared" si="149"/>
        <v/>
      </c>
      <c r="O294" s="33" t="str">
        <f t="shared" si="150"/>
        <v/>
      </c>
      <c r="P294" s="33" t="str">
        <f t="shared" si="151"/>
        <v/>
      </c>
      <c r="Q294" s="33" t="str">
        <f t="shared" si="152"/>
        <v/>
      </c>
      <c r="R294" s="33" t="str">
        <f t="shared" si="153"/>
        <v/>
      </c>
      <c r="S294" s="27" t="str">
        <f t="shared" si="154"/>
        <v/>
      </c>
      <c r="T294" s="33" t="str">
        <f t="shared" si="155"/>
        <v/>
      </c>
      <c r="U294" s="33"/>
      <c r="V294" s="33" t="str">
        <f t="shared" si="156"/>
        <v/>
      </c>
      <c r="W294" s="33" t="str">
        <f t="shared" si="157"/>
        <v/>
      </c>
      <c r="X294" s="33" t="str">
        <f t="shared" si="158"/>
        <v/>
      </c>
      <c r="Y294" s="33" t="str">
        <f t="shared" si="159"/>
        <v/>
      </c>
      <c r="Z294" s="33" t="str">
        <f t="shared" si="160"/>
        <v/>
      </c>
      <c r="AA294" s="33" t="str">
        <f t="shared" si="161"/>
        <v/>
      </c>
    </row>
    <row r="295" spans="4:27" x14ac:dyDescent="0.25">
      <c r="D295" s="70">
        <v>8</v>
      </c>
      <c r="E295" s="27" t="str">
        <f t="shared" si="142"/>
        <v/>
      </c>
      <c r="F295" s="33" t="str">
        <f t="shared" si="143"/>
        <v/>
      </c>
      <c r="G295" s="33" t="str">
        <f t="shared" si="144"/>
        <v/>
      </c>
      <c r="H295" s="33" t="str">
        <f t="shared" si="145"/>
        <v/>
      </c>
      <c r="I295" s="33" t="str">
        <f t="shared" si="146"/>
        <v/>
      </c>
      <c r="J295" s="33" t="str">
        <f t="shared" si="147"/>
        <v/>
      </c>
      <c r="K295" s="33" t="str">
        <f t="shared" si="148"/>
        <v/>
      </c>
      <c r="L295" s="33"/>
      <c r="M295" s="33"/>
      <c r="N295" s="33" t="str">
        <f t="shared" si="149"/>
        <v/>
      </c>
      <c r="O295" s="33" t="str">
        <f t="shared" si="150"/>
        <v/>
      </c>
      <c r="P295" s="33" t="str">
        <f t="shared" si="151"/>
        <v/>
      </c>
      <c r="Q295" s="33" t="str">
        <f t="shared" si="152"/>
        <v/>
      </c>
      <c r="R295" s="33" t="str">
        <f t="shared" si="153"/>
        <v/>
      </c>
      <c r="S295" s="27" t="str">
        <f t="shared" si="154"/>
        <v/>
      </c>
      <c r="T295" s="33" t="str">
        <f t="shared" si="155"/>
        <v/>
      </c>
      <c r="U295" s="33"/>
      <c r="V295" s="33" t="str">
        <f t="shared" si="156"/>
        <v/>
      </c>
      <c r="W295" s="33" t="str">
        <f t="shared" si="157"/>
        <v/>
      </c>
      <c r="X295" s="33" t="str">
        <f t="shared" si="158"/>
        <v/>
      </c>
      <c r="Y295" s="33" t="str">
        <f t="shared" si="159"/>
        <v/>
      </c>
      <c r="Z295" s="33" t="str">
        <f t="shared" si="160"/>
        <v/>
      </c>
      <c r="AA295" s="33" t="str">
        <f t="shared" si="161"/>
        <v/>
      </c>
    </row>
    <row r="296" spans="4:27" x14ac:dyDescent="0.25">
      <c r="D296" s="70">
        <v>9</v>
      </c>
      <c r="E296" s="27" t="str">
        <f t="shared" si="142"/>
        <v/>
      </c>
      <c r="F296" s="33" t="str">
        <f t="shared" si="143"/>
        <v/>
      </c>
      <c r="G296" s="33" t="str">
        <f t="shared" si="144"/>
        <v/>
      </c>
      <c r="H296" s="33" t="str">
        <f t="shared" si="145"/>
        <v/>
      </c>
      <c r="I296" s="33" t="str">
        <f t="shared" si="146"/>
        <v/>
      </c>
      <c r="J296" s="33" t="str">
        <f t="shared" si="147"/>
        <v/>
      </c>
      <c r="K296" s="33" t="str">
        <f t="shared" si="148"/>
        <v/>
      </c>
      <c r="L296" s="33"/>
      <c r="M296" s="33"/>
      <c r="N296" s="33" t="str">
        <f t="shared" si="149"/>
        <v/>
      </c>
      <c r="O296" s="33" t="str">
        <f t="shared" si="150"/>
        <v/>
      </c>
      <c r="P296" s="33" t="str">
        <f t="shared" si="151"/>
        <v/>
      </c>
      <c r="Q296" s="33" t="str">
        <f t="shared" si="152"/>
        <v/>
      </c>
      <c r="R296" s="33" t="str">
        <f t="shared" si="153"/>
        <v/>
      </c>
      <c r="S296" s="27" t="str">
        <f t="shared" si="154"/>
        <v/>
      </c>
      <c r="T296" s="33" t="str">
        <f t="shared" si="155"/>
        <v/>
      </c>
      <c r="U296" s="33"/>
      <c r="V296" s="33" t="str">
        <f t="shared" si="156"/>
        <v/>
      </c>
      <c r="W296" s="33" t="str">
        <f t="shared" si="157"/>
        <v/>
      </c>
      <c r="X296" s="33" t="str">
        <f t="shared" si="158"/>
        <v/>
      </c>
      <c r="Y296" s="33" t="str">
        <f t="shared" si="159"/>
        <v/>
      </c>
      <c r="Z296" s="33" t="str">
        <f t="shared" si="160"/>
        <v/>
      </c>
      <c r="AA296" s="33" t="str">
        <f t="shared" si="161"/>
        <v/>
      </c>
    </row>
    <row r="297" spans="4:27" x14ac:dyDescent="0.25">
      <c r="D297" s="70">
        <v>10</v>
      </c>
      <c r="E297" s="27" t="str">
        <f t="shared" si="142"/>
        <v/>
      </c>
      <c r="F297" s="33" t="str">
        <f t="shared" si="143"/>
        <v/>
      </c>
      <c r="G297" s="33" t="str">
        <f t="shared" si="144"/>
        <v/>
      </c>
      <c r="H297" s="33" t="str">
        <f t="shared" si="145"/>
        <v/>
      </c>
      <c r="I297" s="33" t="str">
        <f t="shared" si="146"/>
        <v/>
      </c>
      <c r="J297" s="33" t="str">
        <f t="shared" si="147"/>
        <v/>
      </c>
      <c r="K297" s="33" t="str">
        <f t="shared" si="148"/>
        <v/>
      </c>
      <c r="L297" s="33"/>
      <c r="M297" s="33"/>
      <c r="N297" s="33" t="str">
        <f t="shared" si="149"/>
        <v/>
      </c>
      <c r="O297" s="33" t="str">
        <f t="shared" si="150"/>
        <v/>
      </c>
      <c r="P297" s="33" t="str">
        <f t="shared" si="151"/>
        <v/>
      </c>
      <c r="Q297" s="33" t="str">
        <f t="shared" si="152"/>
        <v/>
      </c>
      <c r="R297" s="33" t="str">
        <f t="shared" si="153"/>
        <v/>
      </c>
      <c r="S297" s="27" t="str">
        <f t="shared" si="154"/>
        <v/>
      </c>
      <c r="T297" s="33" t="str">
        <f t="shared" si="155"/>
        <v/>
      </c>
      <c r="U297" s="33"/>
      <c r="V297" s="33" t="str">
        <f t="shared" si="156"/>
        <v/>
      </c>
      <c r="W297" s="33" t="str">
        <f t="shared" si="157"/>
        <v/>
      </c>
      <c r="X297" s="33" t="str">
        <f t="shared" si="158"/>
        <v/>
      </c>
      <c r="Y297" s="33" t="str">
        <f t="shared" si="159"/>
        <v/>
      </c>
      <c r="Z297" s="33" t="str">
        <f t="shared" si="160"/>
        <v/>
      </c>
      <c r="AA297" s="33" t="str">
        <f t="shared" si="161"/>
        <v/>
      </c>
    </row>
    <row r="298" spans="4:27" x14ac:dyDescent="0.25">
      <c r="D298" s="70">
        <v>11</v>
      </c>
      <c r="E298" s="27" t="str">
        <f t="shared" si="142"/>
        <v/>
      </c>
      <c r="F298" s="33" t="str">
        <f t="shared" si="143"/>
        <v/>
      </c>
      <c r="G298" s="33" t="str">
        <f t="shared" si="144"/>
        <v/>
      </c>
      <c r="H298" s="33" t="str">
        <f t="shared" si="145"/>
        <v/>
      </c>
      <c r="I298" s="33" t="str">
        <f t="shared" si="146"/>
        <v/>
      </c>
      <c r="J298" s="33" t="str">
        <f t="shared" si="147"/>
        <v/>
      </c>
      <c r="K298" s="33" t="str">
        <f t="shared" si="148"/>
        <v/>
      </c>
      <c r="L298" s="33"/>
      <c r="M298" s="33"/>
      <c r="N298" s="33" t="str">
        <f t="shared" si="149"/>
        <v/>
      </c>
      <c r="O298" s="33" t="str">
        <f t="shared" si="150"/>
        <v/>
      </c>
      <c r="P298" s="33" t="str">
        <f t="shared" si="151"/>
        <v/>
      </c>
      <c r="Q298" s="33" t="str">
        <f t="shared" si="152"/>
        <v/>
      </c>
      <c r="R298" s="33" t="str">
        <f t="shared" si="153"/>
        <v/>
      </c>
      <c r="S298" s="27" t="str">
        <f t="shared" si="154"/>
        <v/>
      </c>
      <c r="T298" s="33" t="str">
        <f t="shared" si="155"/>
        <v/>
      </c>
      <c r="U298" s="33"/>
      <c r="V298" s="33" t="str">
        <f t="shared" si="156"/>
        <v/>
      </c>
      <c r="W298" s="33" t="str">
        <f t="shared" si="157"/>
        <v/>
      </c>
      <c r="X298" s="33" t="str">
        <f t="shared" si="158"/>
        <v/>
      </c>
      <c r="Y298" s="33" t="str">
        <f t="shared" si="159"/>
        <v/>
      </c>
      <c r="Z298" s="33" t="str">
        <f t="shared" si="160"/>
        <v/>
      </c>
      <c r="AA298" s="33" t="str">
        <f t="shared" si="161"/>
        <v/>
      </c>
    </row>
    <row r="299" spans="4:27" x14ac:dyDescent="0.25">
      <c r="D299" s="70">
        <v>12</v>
      </c>
      <c r="E299" s="27" t="str">
        <f t="shared" si="142"/>
        <v/>
      </c>
      <c r="F299" s="33" t="str">
        <f t="shared" si="143"/>
        <v/>
      </c>
      <c r="G299" s="33" t="str">
        <f t="shared" si="144"/>
        <v/>
      </c>
      <c r="H299" s="33" t="str">
        <f t="shared" si="145"/>
        <v/>
      </c>
      <c r="I299" s="33" t="str">
        <f t="shared" si="146"/>
        <v/>
      </c>
      <c r="J299" s="33" t="str">
        <f t="shared" si="147"/>
        <v/>
      </c>
      <c r="K299" s="33" t="str">
        <f t="shared" si="148"/>
        <v/>
      </c>
      <c r="L299" s="33"/>
      <c r="M299" s="33"/>
      <c r="N299" s="33" t="str">
        <f t="shared" si="149"/>
        <v/>
      </c>
      <c r="O299" s="33" t="str">
        <f t="shared" si="150"/>
        <v/>
      </c>
      <c r="P299" s="33" t="str">
        <f t="shared" si="151"/>
        <v/>
      </c>
      <c r="Q299" s="33" t="str">
        <f t="shared" si="152"/>
        <v/>
      </c>
      <c r="R299" s="33" t="str">
        <f t="shared" si="153"/>
        <v/>
      </c>
      <c r="S299" s="27" t="str">
        <f t="shared" si="154"/>
        <v/>
      </c>
      <c r="T299" s="33" t="str">
        <f t="shared" si="155"/>
        <v/>
      </c>
      <c r="U299" s="33"/>
      <c r="V299" s="33" t="str">
        <f t="shared" si="156"/>
        <v/>
      </c>
      <c r="W299" s="33" t="str">
        <f t="shared" si="157"/>
        <v/>
      </c>
      <c r="X299" s="33" t="str">
        <f t="shared" si="158"/>
        <v/>
      </c>
      <c r="Y299" s="33" t="str">
        <f t="shared" si="159"/>
        <v/>
      </c>
      <c r="Z299" s="33" t="str">
        <f t="shared" si="160"/>
        <v/>
      </c>
      <c r="AA299" s="33" t="str">
        <f t="shared" si="161"/>
        <v/>
      </c>
    </row>
    <row r="300" spans="4:27" x14ac:dyDescent="0.25">
      <c r="D300" s="70">
        <v>13</v>
      </c>
      <c r="E300" s="27" t="str">
        <f t="shared" si="142"/>
        <v/>
      </c>
      <c r="F300" s="33" t="str">
        <f t="shared" si="143"/>
        <v/>
      </c>
      <c r="G300" s="33" t="str">
        <f t="shared" si="144"/>
        <v/>
      </c>
      <c r="H300" s="33" t="str">
        <f t="shared" si="145"/>
        <v/>
      </c>
      <c r="I300" s="33" t="str">
        <f t="shared" si="146"/>
        <v/>
      </c>
      <c r="J300" s="33" t="str">
        <f t="shared" si="147"/>
        <v/>
      </c>
      <c r="K300" s="33" t="str">
        <f t="shared" si="148"/>
        <v/>
      </c>
      <c r="L300" s="33"/>
      <c r="M300" s="33"/>
      <c r="N300" s="33" t="str">
        <f t="shared" si="149"/>
        <v/>
      </c>
      <c r="O300" s="33" t="str">
        <f t="shared" si="150"/>
        <v/>
      </c>
      <c r="P300" s="33" t="str">
        <f t="shared" si="151"/>
        <v/>
      </c>
      <c r="Q300" s="33" t="str">
        <f t="shared" si="152"/>
        <v/>
      </c>
      <c r="R300" s="33" t="str">
        <f t="shared" si="153"/>
        <v/>
      </c>
      <c r="S300" s="27" t="str">
        <f t="shared" si="154"/>
        <v/>
      </c>
      <c r="T300" s="33" t="str">
        <f t="shared" si="155"/>
        <v/>
      </c>
      <c r="U300" s="33"/>
      <c r="V300" s="33" t="str">
        <f t="shared" si="156"/>
        <v/>
      </c>
      <c r="W300" s="33" t="str">
        <f t="shared" si="157"/>
        <v/>
      </c>
      <c r="X300" s="33" t="str">
        <f t="shared" si="158"/>
        <v/>
      </c>
      <c r="Y300" s="33" t="str">
        <f t="shared" si="159"/>
        <v/>
      </c>
      <c r="Z300" s="33" t="str">
        <f t="shared" si="160"/>
        <v/>
      </c>
      <c r="AA300" s="33" t="str">
        <f t="shared" si="161"/>
        <v/>
      </c>
    </row>
    <row r="301" spans="4:27" x14ac:dyDescent="0.25">
      <c r="D301" s="70">
        <v>14</v>
      </c>
      <c r="E301" s="27" t="str">
        <f t="shared" si="142"/>
        <v/>
      </c>
      <c r="F301" s="33" t="str">
        <f t="shared" si="143"/>
        <v/>
      </c>
      <c r="G301" s="33" t="str">
        <f t="shared" si="144"/>
        <v/>
      </c>
      <c r="H301" s="33" t="str">
        <f t="shared" si="145"/>
        <v/>
      </c>
      <c r="I301" s="33" t="str">
        <f t="shared" si="146"/>
        <v/>
      </c>
      <c r="J301" s="33" t="str">
        <f t="shared" si="147"/>
        <v/>
      </c>
      <c r="K301" s="33" t="str">
        <f t="shared" si="148"/>
        <v/>
      </c>
      <c r="L301" s="33"/>
      <c r="M301" s="33"/>
      <c r="N301" s="33" t="str">
        <f t="shared" si="149"/>
        <v/>
      </c>
      <c r="O301" s="33" t="str">
        <f t="shared" si="150"/>
        <v/>
      </c>
      <c r="P301" s="33" t="str">
        <f t="shared" si="151"/>
        <v/>
      </c>
      <c r="Q301" s="33" t="str">
        <f t="shared" si="152"/>
        <v/>
      </c>
      <c r="R301" s="33" t="str">
        <f t="shared" si="153"/>
        <v/>
      </c>
      <c r="S301" s="27" t="str">
        <f t="shared" si="154"/>
        <v/>
      </c>
      <c r="T301" s="33" t="str">
        <f t="shared" si="155"/>
        <v/>
      </c>
      <c r="U301" s="33"/>
      <c r="V301" s="33" t="str">
        <f t="shared" si="156"/>
        <v/>
      </c>
      <c r="W301" s="33" t="str">
        <f t="shared" si="157"/>
        <v/>
      </c>
      <c r="X301" s="33" t="str">
        <f t="shared" si="158"/>
        <v/>
      </c>
      <c r="Y301" s="33" t="str">
        <f t="shared" si="159"/>
        <v/>
      </c>
      <c r="Z301" s="33" t="str">
        <f t="shared" si="160"/>
        <v/>
      </c>
      <c r="AA301" s="33" t="str">
        <f t="shared" si="161"/>
        <v/>
      </c>
    </row>
    <row r="302" spans="4:27" x14ac:dyDescent="0.25">
      <c r="D302" s="70">
        <v>15</v>
      </c>
      <c r="E302" s="27" t="str">
        <f t="shared" si="142"/>
        <v/>
      </c>
      <c r="F302" s="33" t="str">
        <f t="shared" si="143"/>
        <v/>
      </c>
      <c r="G302" s="33" t="str">
        <f t="shared" si="144"/>
        <v/>
      </c>
      <c r="H302" s="33" t="str">
        <f t="shared" si="145"/>
        <v/>
      </c>
      <c r="I302" s="33" t="str">
        <f t="shared" si="146"/>
        <v/>
      </c>
      <c r="J302" s="33" t="str">
        <f t="shared" si="147"/>
        <v/>
      </c>
      <c r="K302" s="33" t="str">
        <f t="shared" si="148"/>
        <v/>
      </c>
      <c r="L302" s="33"/>
      <c r="M302" s="33"/>
      <c r="N302" s="33" t="str">
        <f t="shared" si="149"/>
        <v/>
      </c>
      <c r="O302" s="33" t="str">
        <f t="shared" si="150"/>
        <v/>
      </c>
      <c r="P302" s="33" t="str">
        <f t="shared" si="151"/>
        <v/>
      </c>
      <c r="Q302" s="33" t="str">
        <f t="shared" si="152"/>
        <v/>
      </c>
      <c r="R302" s="33" t="str">
        <f t="shared" si="153"/>
        <v/>
      </c>
      <c r="S302" s="27" t="str">
        <f t="shared" si="154"/>
        <v/>
      </c>
      <c r="T302" s="33" t="str">
        <f t="shared" si="155"/>
        <v/>
      </c>
      <c r="U302" s="33"/>
      <c r="V302" s="33" t="str">
        <f t="shared" si="156"/>
        <v/>
      </c>
      <c r="W302" s="33" t="str">
        <f t="shared" si="157"/>
        <v/>
      </c>
      <c r="X302" s="33" t="str">
        <f t="shared" si="158"/>
        <v/>
      </c>
      <c r="Y302" s="33" t="str">
        <f t="shared" si="159"/>
        <v/>
      </c>
      <c r="Z302" s="33" t="str">
        <f t="shared" si="160"/>
        <v/>
      </c>
      <c r="AA302" s="33" t="str">
        <f t="shared" si="161"/>
        <v/>
      </c>
    </row>
    <row r="303" spans="4:27" x14ac:dyDescent="0.25">
      <c r="D303" s="70">
        <v>16</v>
      </c>
      <c r="E303" s="27" t="str">
        <f t="shared" si="142"/>
        <v/>
      </c>
      <c r="F303" s="33" t="str">
        <f t="shared" si="143"/>
        <v/>
      </c>
      <c r="G303" s="33" t="str">
        <f t="shared" si="144"/>
        <v/>
      </c>
      <c r="H303" s="33" t="str">
        <f t="shared" si="145"/>
        <v/>
      </c>
      <c r="I303" s="33" t="str">
        <f t="shared" si="146"/>
        <v/>
      </c>
      <c r="J303" s="33" t="str">
        <f t="shared" si="147"/>
        <v/>
      </c>
      <c r="K303" s="33" t="str">
        <f t="shared" si="148"/>
        <v/>
      </c>
      <c r="L303" s="33"/>
      <c r="M303" s="33"/>
      <c r="N303" s="33" t="str">
        <f t="shared" si="149"/>
        <v/>
      </c>
      <c r="O303" s="33" t="str">
        <f t="shared" si="150"/>
        <v/>
      </c>
      <c r="P303" s="33" t="str">
        <f t="shared" si="151"/>
        <v/>
      </c>
      <c r="Q303" s="33" t="str">
        <f t="shared" si="152"/>
        <v/>
      </c>
      <c r="R303" s="33" t="str">
        <f t="shared" si="153"/>
        <v/>
      </c>
      <c r="S303" s="27" t="str">
        <f t="shared" si="154"/>
        <v/>
      </c>
      <c r="T303" s="33" t="str">
        <f t="shared" si="155"/>
        <v/>
      </c>
      <c r="U303" s="33"/>
      <c r="V303" s="33" t="str">
        <f t="shared" si="156"/>
        <v/>
      </c>
      <c r="W303" s="33" t="str">
        <f t="shared" si="157"/>
        <v/>
      </c>
      <c r="X303" s="33" t="str">
        <f t="shared" si="158"/>
        <v/>
      </c>
      <c r="Y303" s="33" t="str">
        <f t="shared" si="159"/>
        <v/>
      </c>
      <c r="Z303" s="33" t="str">
        <f t="shared" si="160"/>
        <v/>
      </c>
      <c r="AA303" s="33" t="str">
        <f t="shared" si="161"/>
        <v/>
      </c>
    </row>
    <row r="304" spans="4:27" x14ac:dyDescent="0.25">
      <c r="D304" s="70">
        <v>17</v>
      </c>
      <c r="E304" s="27" t="str">
        <f t="shared" si="142"/>
        <v/>
      </c>
      <c r="F304" s="33" t="str">
        <f t="shared" si="143"/>
        <v/>
      </c>
      <c r="G304" s="33" t="str">
        <f t="shared" si="144"/>
        <v/>
      </c>
      <c r="H304" s="33" t="str">
        <f t="shared" si="145"/>
        <v/>
      </c>
      <c r="I304" s="33" t="str">
        <f t="shared" si="146"/>
        <v/>
      </c>
      <c r="J304" s="33" t="str">
        <f t="shared" si="147"/>
        <v/>
      </c>
      <c r="K304" s="33" t="str">
        <f t="shared" si="148"/>
        <v/>
      </c>
      <c r="L304" s="33"/>
      <c r="M304" s="33"/>
      <c r="N304" s="33" t="str">
        <f t="shared" si="149"/>
        <v/>
      </c>
      <c r="O304" s="33" t="str">
        <f t="shared" si="150"/>
        <v/>
      </c>
      <c r="P304" s="33" t="str">
        <f t="shared" si="151"/>
        <v/>
      </c>
      <c r="Q304" s="33" t="str">
        <f t="shared" si="152"/>
        <v/>
      </c>
      <c r="R304" s="33" t="str">
        <f t="shared" si="153"/>
        <v/>
      </c>
      <c r="S304" s="27" t="str">
        <f t="shared" si="154"/>
        <v/>
      </c>
      <c r="T304" s="33" t="str">
        <f t="shared" si="155"/>
        <v/>
      </c>
      <c r="U304" s="33"/>
      <c r="V304" s="33" t="str">
        <f t="shared" si="156"/>
        <v/>
      </c>
      <c r="W304" s="33" t="str">
        <f t="shared" si="157"/>
        <v/>
      </c>
      <c r="X304" s="33" t="str">
        <f t="shared" si="158"/>
        <v/>
      </c>
      <c r="Y304" s="33" t="str">
        <f t="shared" si="159"/>
        <v/>
      </c>
      <c r="Z304" s="33" t="str">
        <f t="shared" si="160"/>
        <v/>
      </c>
      <c r="AA304" s="33" t="str">
        <f t="shared" si="161"/>
        <v/>
      </c>
    </row>
    <row r="305" spans="4:27" x14ac:dyDescent="0.25">
      <c r="D305" s="70">
        <v>18</v>
      </c>
      <c r="E305" s="27" t="str">
        <f t="shared" si="142"/>
        <v/>
      </c>
      <c r="F305" s="33" t="str">
        <f t="shared" si="143"/>
        <v/>
      </c>
      <c r="G305" s="33" t="str">
        <f t="shared" si="144"/>
        <v/>
      </c>
      <c r="H305" s="33" t="str">
        <f t="shared" si="145"/>
        <v/>
      </c>
      <c r="I305" s="33" t="str">
        <f t="shared" si="146"/>
        <v/>
      </c>
      <c r="J305" s="33" t="str">
        <f t="shared" si="147"/>
        <v/>
      </c>
      <c r="K305" s="33" t="str">
        <f t="shared" si="148"/>
        <v/>
      </c>
      <c r="L305" s="33"/>
      <c r="M305" s="33"/>
      <c r="N305" s="33" t="str">
        <f t="shared" si="149"/>
        <v/>
      </c>
      <c r="O305" s="33" t="str">
        <f t="shared" si="150"/>
        <v/>
      </c>
      <c r="P305" s="33" t="str">
        <f t="shared" si="151"/>
        <v/>
      </c>
      <c r="Q305" s="33" t="str">
        <f t="shared" si="152"/>
        <v/>
      </c>
      <c r="R305" s="33" t="str">
        <f t="shared" si="153"/>
        <v/>
      </c>
      <c r="S305" s="27" t="str">
        <f t="shared" si="154"/>
        <v/>
      </c>
      <c r="T305" s="33" t="str">
        <f t="shared" si="155"/>
        <v/>
      </c>
      <c r="U305" s="33"/>
      <c r="V305" s="33" t="str">
        <f t="shared" si="156"/>
        <v/>
      </c>
      <c r="W305" s="33" t="str">
        <f t="shared" si="157"/>
        <v/>
      </c>
      <c r="X305" s="33" t="str">
        <f t="shared" si="158"/>
        <v/>
      </c>
      <c r="Y305" s="33" t="str">
        <f t="shared" si="159"/>
        <v/>
      </c>
      <c r="Z305" s="33" t="str">
        <f t="shared" si="160"/>
        <v/>
      </c>
      <c r="AA305" s="33" t="str">
        <f t="shared" si="161"/>
        <v/>
      </c>
    </row>
    <row r="306" spans="4:27" x14ac:dyDescent="0.25">
      <c r="D306" s="70">
        <v>19</v>
      </c>
      <c r="E306" s="27" t="str">
        <f t="shared" si="142"/>
        <v/>
      </c>
      <c r="F306" s="33" t="str">
        <f t="shared" si="143"/>
        <v/>
      </c>
      <c r="G306" s="33" t="str">
        <f t="shared" si="144"/>
        <v/>
      </c>
      <c r="H306" s="33" t="str">
        <f t="shared" si="145"/>
        <v/>
      </c>
      <c r="I306" s="33" t="str">
        <f t="shared" si="146"/>
        <v/>
      </c>
      <c r="J306" s="33" t="str">
        <f t="shared" si="147"/>
        <v/>
      </c>
      <c r="K306" s="33" t="str">
        <f t="shared" si="148"/>
        <v/>
      </c>
      <c r="L306" s="33"/>
      <c r="M306" s="33"/>
      <c r="N306" s="33" t="str">
        <f t="shared" si="149"/>
        <v/>
      </c>
      <c r="O306" s="33" t="str">
        <f t="shared" si="150"/>
        <v/>
      </c>
      <c r="P306" s="33" t="str">
        <f t="shared" si="151"/>
        <v/>
      </c>
      <c r="Q306" s="33" t="str">
        <f t="shared" si="152"/>
        <v/>
      </c>
      <c r="R306" s="33" t="str">
        <f t="shared" si="153"/>
        <v/>
      </c>
      <c r="S306" s="27" t="str">
        <f t="shared" si="154"/>
        <v/>
      </c>
      <c r="T306" s="33" t="str">
        <f t="shared" si="155"/>
        <v/>
      </c>
      <c r="U306" s="33"/>
      <c r="V306" s="33" t="str">
        <f t="shared" si="156"/>
        <v/>
      </c>
      <c r="W306" s="33" t="str">
        <f t="shared" si="157"/>
        <v/>
      </c>
      <c r="X306" s="33" t="str">
        <f t="shared" si="158"/>
        <v/>
      </c>
      <c r="Y306" s="33" t="str">
        <f t="shared" si="159"/>
        <v/>
      </c>
      <c r="Z306" s="33" t="str">
        <f t="shared" si="160"/>
        <v/>
      </c>
      <c r="AA306" s="33" t="str">
        <f t="shared" si="161"/>
        <v/>
      </c>
    </row>
    <row r="307" spans="4:27" x14ac:dyDescent="0.25">
      <c r="D307" s="70">
        <v>20</v>
      </c>
      <c r="E307" s="27" t="str">
        <f t="shared" si="142"/>
        <v/>
      </c>
      <c r="F307" s="33" t="str">
        <f t="shared" si="143"/>
        <v/>
      </c>
      <c r="G307" s="33" t="str">
        <f t="shared" si="144"/>
        <v/>
      </c>
      <c r="H307" s="33" t="str">
        <f t="shared" si="145"/>
        <v/>
      </c>
      <c r="I307" s="33" t="str">
        <f t="shared" si="146"/>
        <v/>
      </c>
      <c r="J307" s="33" t="str">
        <f t="shared" si="147"/>
        <v/>
      </c>
      <c r="K307" s="33" t="str">
        <f t="shared" si="148"/>
        <v/>
      </c>
      <c r="L307" s="33"/>
      <c r="M307" s="33"/>
      <c r="N307" s="33" t="str">
        <f t="shared" si="149"/>
        <v/>
      </c>
      <c r="O307" s="33" t="str">
        <f t="shared" si="150"/>
        <v/>
      </c>
      <c r="P307" s="33" t="str">
        <f t="shared" si="151"/>
        <v/>
      </c>
      <c r="Q307" s="33" t="str">
        <f t="shared" si="152"/>
        <v/>
      </c>
      <c r="R307" s="33" t="str">
        <f t="shared" si="153"/>
        <v/>
      </c>
      <c r="S307" s="27" t="str">
        <f t="shared" si="154"/>
        <v/>
      </c>
      <c r="T307" s="33" t="str">
        <f t="shared" si="155"/>
        <v/>
      </c>
      <c r="U307" s="33"/>
      <c r="V307" s="33" t="str">
        <f t="shared" si="156"/>
        <v/>
      </c>
      <c r="W307" s="33" t="str">
        <f t="shared" si="157"/>
        <v/>
      </c>
      <c r="X307" s="33" t="str">
        <f t="shared" si="158"/>
        <v/>
      </c>
      <c r="Y307" s="33" t="str">
        <f t="shared" si="159"/>
        <v/>
      </c>
      <c r="Z307" s="33" t="str">
        <f t="shared" si="160"/>
        <v/>
      </c>
      <c r="AA307" s="33" t="str">
        <f t="shared" si="161"/>
        <v/>
      </c>
    </row>
    <row r="308" spans="4:27" x14ac:dyDescent="0.25">
      <c r="D308" s="70">
        <v>21</v>
      </c>
      <c r="E308" s="27" t="str">
        <f t="shared" si="142"/>
        <v/>
      </c>
      <c r="F308" s="33" t="str">
        <f t="shared" si="143"/>
        <v/>
      </c>
      <c r="G308" s="33" t="str">
        <f t="shared" si="144"/>
        <v/>
      </c>
      <c r="H308" s="33" t="str">
        <f t="shared" si="145"/>
        <v/>
      </c>
      <c r="I308" s="33" t="str">
        <f t="shared" si="146"/>
        <v/>
      </c>
      <c r="J308" s="33" t="str">
        <f t="shared" si="147"/>
        <v/>
      </c>
      <c r="K308" s="33" t="str">
        <f t="shared" si="148"/>
        <v/>
      </c>
      <c r="L308" s="33"/>
      <c r="M308" s="33"/>
      <c r="N308" s="33" t="str">
        <f t="shared" si="149"/>
        <v/>
      </c>
      <c r="O308" s="33" t="str">
        <f t="shared" si="150"/>
        <v/>
      </c>
      <c r="P308" s="33" t="str">
        <f t="shared" si="151"/>
        <v/>
      </c>
      <c r="Q308" s="33" t="str">
        <f t="shared" si="152"/>
        <v/>
      </c>
      <c r="R308" s="33" t="str">
        <f t="shared" si="153"/>
        <v/>
      </c>
      <c r="S308" s="27" t="str">
        <f t="shared" si="154"/>
        <v/>
      </c>
      <c r="T308" s="33" t="str">
        <f t="shared" si="155"/>
        <v/>
      </c>
      <c r="U308" s="33"/>
      <c r="V308" s="33" t="str">
        <f t="shared" si="156"/>
        <v/>
      </c>
      <c r="W308" s="33" t="str">
        <f t="shared" si="157"/>
        <v/>
      </c>
      <c r="X308" s="33" t="str">
        <f t="shared" si="158"/>
        <v/>
      </c>
      <c r="Y308" s="33" t="str">
        <f t="shared" si="159"/>
        <v/>
      </c>
      <c r="Z308" s="33" t="str">
        <f t="shared" si="160"/>
        <v/>
      </c>
      <c r="AA308" s="33" t="str">
        <f t="shared" si="161"/>
        <v/>
      </c>
    </row>
    <row r="309" spans="4:27" x14ac:dyDescent="0.25">
      <c r="D309" s="70">
        <v>22</v>
      </c>
      <c r="E309" s="27" t="str">
        <f t="shared" si="142"/>
        <v/>
      </c>
      <c r="F309" s="33" t="str">
        <f t="shared" si="143"/>
        <v/>
      </c>
      <c r="G309" s="33" t="str">
        <f t="shared" si="144"/>
        <v/>
      </c>
      <c r="H309" s="33" t="str">
        <f t="shared" si="145"/>
        <v/>
      </c>
      <c r="I309" s="33" t="str">
        <f t="shared" si="146"/>
        <v/>
      </c>
      <c r="J309" s="33" t="str">
        <f t="shared" si="147"/>
        <v/>
      </c>
      <c r="K309" s="33" t="str">
        <f t="shared" si="148"/>
        <v/>
      </c>
      <c r="L309" s="33"/>
      <c r="M309" s="33"/>
      <c r="N309" s="33" t="str">
        <f t="shared" si="149"/>
        <v/>
      </c>
      <c r="O309" s="33" t="str">
        <f t="shared" si="150"/>
        <v/>
      </c>
      <c r="P309" s="33" t="str">
        <f t="shared" si="151"/>
        <v/>
      </c>
      <c r="Q309" s="33" t="str">
        <f t="shared" si="152"/>
        <v/>
      </c>
      <c r="R309" s="33" t="str">
        <f t="shared" si="153"/>
        <v/>
      </c>
      <c r="S309" s="27" t="str">
        <f t="shared" si="154"/>
        <v/>
      </c>
      <c r="T309" s="33" t="str">
        <f t="shared" si="155"/>
        <v/>
      </c>
      <c r="U309" s="33"/>
      <c r="V309" s="33" t="str">
        <f t="shared" si="156"/>
        <v/>
      </c>
      <c r="W309" s="33" t="str">
        <f t="shared" si="157"/>
        <v/>
      </c>
      <c r="X309" s="33" t="str">
        <f t="shared" si="158"/>
        <v/>
      </c>
      <c r="Y309" s="33" t="str">
        <f t="shared" si="159"/>
        <v/>
      </c>
      <c r="Z309" s="33" t="str">
        <f t="shared" si="160"/>
        <v/>
      </c>
      <c r="AA309" s="33" t="str">
        <f t="shared" si="161"/>
        <v/>
      </c>
    </row>
    <row r="310" spans="4:27" x14ac:dyDescent="0.25">
      <c r="D310" s="70">
        <v>23</v>
      </c>
      <c r="E310" s="27" t="str">
        <f t="shared" si="142"/>
        <v/>
      </c>
      <c r="F310" s="33" t="str">
        <f t="shared" si="143"/>
        <v/>
      </c>
      <c r="G310" s="33" t="str">
        <f t="shared" si="144"/>
        <v/>
      </c>
      <c r="H310" s="33" t="str">
        <f t="shared" si="145"/>
        <v/>
      </c>
      <c r="I310" s="33" t="str">
        <f t="shared" si="146"/>
        <v/>
      </c>
      <c r="J310" s="33" t="str">
        <f t="shared" si="147"/>
        <v/>
      </c>
      <c r="K310" s="33" t="str">
        <f t="shared" si="148"/>
        <v/>
      </c>
      <c r="L310" s="33"/>
      <c r="M310" s="33"/>
      <c r="N310" s="33" t="str">
        <f t="shared" si="149"/>
        <v/>
      </c>
      <c r="O310" s="33" t="str">
        <f t="shared" si="150"/>
        <v/>
      </c>
      <c r="P310" s="33" t="str">
        <f t="shared" si="151"/>
        <v/>
      </c>
      <c r="Q310" s="33" t="str">
        <f t="shared" si="152"/>
        <v/>
      </c>
      <c r="R310" s="33" t="str">
        <f t="shared" si="153"/>
        <v/>
      </c>
      <c r="S310" s="27" t="str">
        <f t="shared" si="154"/>
        <v/>
      </c>
      <c r="T310" s="33" t="str">
        <f t="shared" si="155"/>
        <v/>
      </c>
      <c r="U310" s="33"/>
      <c r="V310" s="33" t="str">
        <f t="shared" si="156"/>
        <v/>
      </c>
      <c r="W310" s="33" t="str">
        <f t="shared" si="157"/>
        <v/>
      </c>
      <c r="X310" s="33" t="str">
        <f t="shared" si="158"/>
        <v/>
      </c>
      <c r="Y310" s="33" t="str">
        <f t="shared" si="159"/>
        <v/>
      </c>
      <c r="Z310" s="33" t="str">
        <f t="shared" si="160"/>
        <v/>
      </c>
      <c r="AA310" s="33" t="str">
        <f t="shared" si="161"/>
        <v/>
      </c>
    </row>
    <row r="311" spans="4:27" x14ac:dyDescent="0.25">
      <c r="D311" s="70">
        <v>24</v>
      </c>
      <c r="E311" s="27" t="str">
        <f t="shared" si="142"/>
        <v/>
      </c>
      <c r="F311" s="33" t="str">
        <f t="shared" si="143"/>
        <v/>
      </c>
      <c r="G311" s="33" t="str">
        <f t="shared" si="144"/>
        <v/>
      </c>
      <c r="H311" s="33" t="str">
        <f t="shared" si="145"/>
        <v/>
      </c>
      <c r="I311" s="33" t="str">
        <f t="shared" si="146"/>
        <v/>
      </c>
      <c r="J311" s="33" t="str">
        <f t="shared" si="147"/>
        <v/>
      </c>
      <c r="K311" s="33" t="str">
        <f t="shared" si="148"/>
        <v/>
      </c>
      <c r="L311" s="33"/>
      <c r="M311" s="33"/>
      <c r="N311" s="33" t="str">
        <f t="shared" si="149"/>
        <v/>
      </c>
      <c r="O311" s="33" t="str">
        <f t="shared" si="150"/>
        <v/>
      </c>
      <c r="P311" s="33" t="str">
        <f t="shared" si="151"/>
        <v/>
      </c>
      <c r="Q311" s="33" t="str">
        <f t="shared" si="152"/>
        <v/>
      </c>
      <c r="R311" s="33" t="str">
        <f t="shared" si="153"/>
        <v/>
      </c>
      <c r="S311" s="27" t="str">
        <f t="shared" si="154"/>
        <v/>
      </c>
      <c r="T311" s="33" t="str">
        <f t="shared" si="155"/>
        <v/>
      </c>
      <c r="U311" s="33"/>
      <c r="V311" s="33" t="str">
        <f t="shared" si="156"/>
        <v/>
      </c>
      <c r="W311" s="33" t="str">
        <f t="shared" si="157"/>
        <v/>
      </c>
      <c r="X311" s="33" t="str">
        <f t="shared" si="158"/>
        <v/>
      </c>
      <c r="Y311" s="33" t="str">
        <f t="shared" si="159"/>
        <v/>
      </c>
      <c r="Z311" s="33" t="str">
        <f t="shared" si="160"/>
        <v/>
      </c>
      <c r="AA311" s="33" t="str">
        <f t="shared" si="161"/>
        <v/>
      </c>
    </row>
    <row r="312" spans="4:27" x14ac:dyDescent="0.25">
      <c r="D312" s="70">
        <v>25</v>
      </c>
      <c r="E312" s="27" t="str">
        <f t="shared" si="142"/>
        <v/>
      </c>
      <c r="F312" s="33" t="str">
        <f t="shared" si="143"/>
        <v/>
      </c>
      <c r="G312" s="33" t="str">
        <f t="shared" si="144"/>
        <v/>
      </c>
      <c r="H312" s="33" t="str">
        <f t="shared" si="145"/>
        <v/>
      </c>
      <c r="I312" s="33" t="str">
        <f t="shared" si="146"/>
        <v/>
      </c>
      <c r="J312" s="33" t="str">
        <f t="shared" si="147"/>
        <v/>
      </c>
      <c r="K312" s="33" t="str">
        <f t="shared" si="148"/>
        <v/>
      </c>
      <c r="L312" s="33"/>
      <c r="M312" s="33"/>
      <c r="N312" s="33" t="str">
        <f t="shared" si="149"/>
        <v/>
      </c>
      <c r="O312" s="33" t="str">
        <f t="shared" si="150"/>
        <v/>
      </c>
      <c r="P312" s="33" t="str">
        <f t="shared" si="151"/>
        <v/>
      </c>
      <c r="Q312" s="33" t="str">
        <f t="shared" si="152"/>
        <v/>
      </c>
      <c r="R312" s="33" t="str">
        <f t="shared" si="153"/>
        <v/>
      </c>
      <c r="S312" s="27" t="str">
        <f t="shared" si="154"/>
        <v/>
      </c>
      <c r="T312" s="33" t="str">
        <f t="shared" si="155"/>
        <v/>
      </c>
      <c r="U312" s="33"/>
      <c r="V312" s="33" t="str">
        <f t="shared" si="156"/>
        <v/>
      </c>
      <c r="W312" s="33" t="str">
        <f t="shared" si="157"/>
        <v/>
      </c>
      <c r="X312" s="33" t="str">
        <f t="shared" si="158"/>
        <v/>
      </c>
      <c r="Y312" s="33" t="str">
        <f t="shared" si="159"/>
        <v/>
      </c>
      <c r="Z312" s="33" t="str">
        <f t="shared" si="160"/>
        <v/>
      </c>
      <c r="AA312" s="33" t="str">
        <f t="shared" si="161"/>
        <v/>
      </c>
    </row>
    <row r="313" spans="4:27" x14ac:dyDescent="0.25">
      <c r="D313" s="70">
        <v>26</v>
      </c>
      <c r="E313" s="27" t="str">
        <f t="shared" si="142"/>
        <v/>
      </c>
      <c r="F313" s="33" t="str">
        <f t="shared" si="143"/>
        <v/>
      </c>
      <c r="G313" s="33" t="str">
        <f t="shared" si="144"/>
        <v/>
      </c>
      <c r="H313" s="33" t="str">
        <f t="shared" si="145"/>
        <v/>
      </c>
      <c r="I313" s="33" t="str">
        <f t="shared" si="146"/>
        <v/>
      </c>
      <c r="J313" s="33" t="str">
        <f t="shared" si="147"/>
        <v/>
      </c>
      <c r="K313" s="33" t="str">
        <f t="shared" si="148"/>
        <v/>
      </c>
      <c r="L313" s="33"/>
      <c r="M313" s="33"/>
      <c r="N313" s="33" t="str">
        <f t="shared" si="149"/>
        <v/>
      </c>
      <c r="O313" s="33" t="str">
        <f t="shared" si="150"/>
        <v/>
      </c>
      <c r="P313" s="33" t="str">
        <f t="shared" si="151"/>
        <v/>
      </c>
      <c r="Q313" s="33" t="str">
        <f t="shared" si="152"/>
        <v/>
      </c>
      <c r="R313" s="33" t="str">
        <f t="shared" si="153"/>
        <v/>
      </c>
      <c r="S313" s="27" t="str">
        <f t="shared" si="154"/>
        <v/>
      </c>
      <c r="T313" s="33" t="str">
        <f t="shared" si="155"/>
        <v/>
      </c>
      <c r="U313" s="33"/>
      <c r="V313" s="33" t="str">
        <f t="shared" si="156"/>
        <v/>
      </c>
      <c r="W313" s="33" t="str">
        <f t="shared" si="157"/>
        <v/>
      </c>
      <c r="X313" s="33" t="str">
        <f t="shared" si="158"/>
        <v/>
      </c>
      <c r="Y313" s="33" t="str">
        <f t="shared" si="159"/>
        <v/>
      </c>
      <c r="Z313" s="33" t="str">
        <f t="shared" si="160"/>
        <v/>
      </c>
      <c r="AA313" s="33" t="str">
        <f t="shared" si="161"/>
        <v/>
      </c>
    </row>
    <row r="314" spans="4:27" x14ac:dyDescent="0.25">
      <c r="D314" s="70">
        <v>27</v>
      </c>
      <c r="E314" s="27" t="str">
        <f t="shared" si="142"/>
        <v/>
      </c>
      <c r="F314" s="33" t="str">
        <f t="shared" si="143"/>
        <v/>
      </c>
      <c r="G314" s="33" t="str">
        <f t="shared" si="144"/>
        <v/>
      </c>
      <c r="H314" s="33" t="str">
        <f t="shared" si="145"/>
        <v/>
      </c>
      <c r="I314" s="33" t="str">
        <f t="shared" si="146"/>
        <v/>
      </c>
      <c r="J314" s="33" t="str">
        <f t="shared" si="147"/>
        <v/>
      </c>
      <c r="K314" s="33" t="str">
        <f t="shared" si="148"/>
        <v/>
      </c>
      <c r="L314" s="33"/>
      <c r="M314" s="33"/>
      <c r="N314" s="33" t="str">
        <f t="shared" si="149"/>
        <v/>
      </c>
      <c r="O314" s="33" t="str">
        <f t="shared" si="150"/>
        <v/>
      </c>
      <c r="P314" s="33" t="str">
        <f t="shared" si="151"/>
        <v/>
      </c>
      <c r="Q314" s="33" t="str">
        <f t="shared" si="152"/>
        <v/>
      </c>
      <c r="R314" s="33" t="str">
        <f t="shared" si="153"/>
        <v/>
      </c>
      <c r="S314" s="27" t="str">
        <f t="shared" si="154"/>
        <v/>
      </c>
      <c r="T314" s="33" t="str">
        <f t="shared" si="155"/>
        <v/>
      </c>
      <c r="U314" s="33"/>
      <c r="V314" s="33" t="str">
        <f t="shared" si="156"/>
        <v/>
      </c>
      <c r="W314" s="33" t="str">
        <f t="shared" si="157"/>
        <v/>
      </c>
      <c r="X314" s="33" t="str">
        <f t="shared" si="158"/>
        <v/>
      </c>
      <c r="Y314" s="33" t="str">
        <f t="shared" si="159"/>
        <v/>
      </c>
      <c r="Z314" s="33" t="str">
        <f t="shared" si="160"/>
        <v/>
      </c>
      <c r="AA314" s="33" t="str">
        <f t="shared" si="161"/>
        <v/>
      </c>
    </row>
    <row r="315" spans="4:27" x14ac:dyDescent="0.25">
      <c r="D315" s="70">
        <v>28</v>
      </c>
      <c r="E315" s="27" t="str">
        <f t="shared" si="142"/>
        <v/>
      </c>
      <c r="F315" s="33" t="str">
        <f t="shared" si="143"/>
        <v/>
      </c>
      <c r="G315" s="33" t="str">
        <f t="shared" si="144"/>
        <v/>
      </c>
      <c r="H315" s="33" t="str">
        <f t="shared" si="145"/>
        <v/>
      </c>
      <c r="I315" s="33" t="str">
        <f t="shared" si="146"/>
        <v/>
      </c>
      <c r="J315" s="33" t="str">
        <f t="shared" si="147"/>
        <v/>
      </c>
      <c r="K315" s="33" t="str">
        <f t="shared" si="148"/>
        <v/>
      </c>
      <c r="L315" s="33"/>
      <c r="M315" s="33"/>
      <c r="N315" s="33" t="str">
        <f t="shared" si="149"/>
        <v/>
      </c>
      <c r="O315" s="33" t="str">
        <f t="shared" si="150"/>
        <v/>
      </c>
      <c r="P315" s="33" t="str">
        <f t="shared" si="151"/>
        <v/>
      </c>
      <c r="Q315" s="33" t="str">
        <f t="shared" si="152"/>
        <v/>
      </c>
      <c r="R315" s="33" t="str">
        <f t="shared" si="153"/>
        <v/>
      </c>
      <c r="S315" s="27" t="str">
        <f t="shared" si="154"/>
        <v/>
      </c>
      <c r="T315" s="33" t="str">
        <f t="shared" si="155"/>
        <v/>
      </c>
      <c r="U315" s="33"/>
      <c r="V315" s="33" t="str">
        <f t="shared" si="156"/>
        <v/>
      </c>
      <c r="W315" s="33" t="str">
        <f t="shared" si="157"/>
        <v/>
      </c>
      <c r="X315" s="33" t="str">
        <f t="shared" si="158"/>
        <v/>
      </c>
      <c r="Y315" s="33" t="str">
        <f t="shared" si="159"/>
        <v/>
      </c>
      <c r="Z315" s="33" t="str">
        <f t="shared" si="160"/>
        <v/>
      </c>
      <c r="AA315" s="33" t="str">
        <f t="shared" si="161"/>
        <v/>
      </c>
    </row>
    <row r="316" spans="4:27" x14ac:dyDescent="0.25">
      <c r="D316" s="70">
        <v>29</v>
      </c>
      <c r="E316" s="27" t="str">
        <f t="shared" si="142"/>
        <v/>
      </c>
      <c r="F316" s="33" t="str">
        <f t="shared" si="143"/>
        <v/>
      </c>
      <c r="G316" s="33" t="str">
        <f t="shared" si="144"/>
        <v/>
      </c>
      <c r="H316" s="33" t="str">
        <f t="shared" si="145"/>
        <v/>
      </c>
      <c r="I316" s="33" t="str">
        <f t="shared" si="146"/>
        <v/>
      </c>
      <c r="J316" s="33" t="str">
        <f t="shared" si="147"/>
        <v/>
      </c>
      <c r="K316" s="33" t="str">
        <f t="shared" si="148"/>
        <v/>
      </c>
      <c r="L316" s="33"/>
      <c r="M316" s="33"/>
      <c r="N316" s="33" t="str">
        <f t="shared" si="149"/>
        <v/>
      </c>
      <c r="O316" s="33" t="str">
        <f t="shared" si="150"/>
        <v/>
      </c>
      <c r="P316" s="33" t="str">
        <f t="shared" si="151"/>
        <v/>
      </c>
      <c r="Q316" s="33" t="str">
        <f t="shared" si="152"/>
        <v/>
      </c>
      <c r="R316" s="33" t="str">
        <f t="shared" si="153"/>
        <v/>
      </c>
      <c r="S316" s="27" t="str">
        <f t="shared" si="154"/>
        <v/>
      </c>
      <c r="T316" s="33" t="str">
        <f t="shared" si="155"/>
        <v/>
      </c>
      <c r="U316" s="33"/>
      <c r="V316" s="33" t="str">
        <f t="shared" si="156"/>
        <v/>
      </c>
      <c r="W316" s="33" t="str">
        <f t="shared" si="157"/>
        <v/>
      </c>
      <c r="X316" s="33" t="str">
        <f t="shared" si="158"/>
        <v/>
      </c>
      <c r="Y316" s="33" t="str">
        <f t="shared" si="159"/>
        <v/>
      </c>
      <c r="Z316" s="33" t="str">
        <f t="shared" si="160"/>
        <v/>
      </c>
      <c r="AA316" s="33" t="str">
        <f t="shared" si="161"/>
        <v/>
      </c>
    </row>
    <row r="317" spans="4:27" x14ac:dyDescent="0.25">
      <c r="D317" s="70">
        <v>30</v>
      </c>
      <c r="E317" s="27" t="str">
        <f t="shared" si="142"/>
        <v/>
      </c>
      <c r="F317" s="33" t="str">
        <f t="shared" si="143"/>
        <v/>
      </c>
      <c r="G317" s="33" t="str">
        <f t="shared" si="144"/>
        <v/>
      </c>
      <c r="H317" s="33" t="str">
        <f t="shared" si="145"/>
        <v/>
      </c>
      <c r="I317" s="33" t="str">
        <f t="shared" si="146"/>
        <v/>
      </c>
      <c r="J317" s="33" t="str">
        <f t="shared" si="147"/>
        <v/>
      </c>
      <c r="K317" s="33" t="str">
        <f t="shared" si="148"/>
        <v/>
      </c>
      <c r="L317" s="33"/>
      <c r="M317" s="33"/>
      <c r="N317" s="33" t="str">
        <f t="shared" si="149"/>
        <v/>
      </c>
      <c r="O317" s="33" t="str">
        <f t="shared" si="150"/>
        <v/>
      </c>
      <c r="P317" s="33" t="str">
        <f t="shared" si="151"/>
        <v/>
      </c>
      <c r="Q317" s="33" t="str">
        <f t="shared" si="152"/>
        <v/>
      </c>
      <c r="R317" s="33" t="str">
        <f t="shared" si="153"/>
        <v/>
      </c>
      <c r="S317" s="27" t="str">
        <f t="shared" si="154"/>
        <v/>
      </c>
      <c r="T317" s="33" t="str">
        <f t="shared" si="155"/>
        <v/>
      </c>
      <c r="U317" s="33"/>
      <c r="V317" s="33" t="str">
        <f t="shared" si="156"/>
        <v/>
      </c>
      <c r="W317" s="33" t="str">
        <f t="shared" si="157"/>
        <v/>
      </c>
      <c r="X317" s="33" t="str">
        <f t="shared" si="158"/>
        <v/>
      </c>
      <c r="Y317" s="33" t="str">
        <f t="shared" si="159"/>
        <v/>
      </c>
      <c r="Z317" s="33" t="str">
        <f t="shared" si="160"/>
        <v/>
      </c>
      <c r="AA317" s="33" t="str">
        <f t="shared" si="161"/>
        <v/>
      </c>
    </row>
    <row r="318" spans="4:27" x14ac:dyDescent="0.25">
      <c r="D318" s="70">
        <v>31</v>
      </c>
      <c r="E318" s="27" t="str">
        <f t="shared" si="142"/>
        <v/>
      </c>
      <c r="F318" s="33" t="str">
        <f t="shared" si="143"/>
        <v/>
      </c>
      <c r="G318" s="33" t="str">
        <f t="shared" si="144"/>
        <v/>
      </c>
      <c r="H318" s="33" t="str">
        <f t="shared" si="145"/>
        <v/>
      </c>
      <c r="I318" s="33" t="str">
        <f t="shared" si="146"/>
        <v/>
      </c>
      <c r="J318" s="33" t="str">
        <f t="shared" si="147"/>
        <v/>
      </c>
      <c r="K318" s="33" t="str">
        <f t="shared" si="148"/>
        <v/>
      </c>
      <c r="L318" s="33"/>
      <c r="M318" s="33"/>
      <c r="N318" s="33" t="str">
        <f t="shared" si="149"/>
        <v/>
      </c>
      <c r="O318" s="33" t="str">
        <f t="shared" si="150"/>
        <v/>
      </c>
      <c r="P318" s="33" t="str">
        <f t="shared" si="151"/>
        <v/>
      </c>
      <c r="Q318" s="33" t="str">
        <f t="shared" si="152"/>
        <v/>
      </c>
      <c r="R318" s="33" t="str">
        <f t="shared" si="153"/>
        <v/>
      </c>
      <c r="S318" s="27" t="str">
        <f t="shared" si="154"/>
        <v/>
      </c>
      <c r="T318" s="33" t="str">
        <f t="shared" si="155"/>
        <v/>
      </c>
      <c r="U318" s="33"/>
      <c r="V318" s="33" t="str">
        <f t="shared" si="156"/>
        <v/>
      </c>
      <c r="W318" s="33" t="str">
        <f t="shared" si="157"/>
        <v/>
      </c>
      <c r="X318" s="33" t="str">
        <f t="shared" si="158"/>
        <v/>
      </c>
      <c r="Y318" s="33" t="str">
        <f t="shared" si="159"/>
        <v/>
      </c>
      <c r="Z318" s="33" t="str">
        <f t="shared" si="160"/>
        <v/>
      </c>
      <c r="AA318" s="33" t="str">
        <f t="shared" si="161"/>
        <v/>
      </c>
    </row>
    <row r="319" spans="4:27" x14ac:dyDescent="0.25">
      <c r="D319" s="70">
        <v>32</v>
      </c>
      <c r="E319" s="27" t="str">
        <f t="shared" si="142"/>
        <v/>
      </c>
      <c r="F319" s="33" t="str">
        <f t="shared" si="143"/>
        <v/>
      </c>
      <c r="G319" s="33" t="str">
        <f t="shared" si="144"/>
        <v/>
      </c>
      <c r="H319" s="33" t="str">
        <f t="shared" si="145"/>
        <v/>
      </c>
      <c r="I319" s="33" t="str">
        <f t="shared" si="146"/>
        <v/>
      </c>
      <c r="J319" s="33" t="str">
        <f t="shared" si="147"/>
        <v/>
      </c>
      <c r="K319" s="33" t="str">
        <f t="shared" si="148"/>
        <v/>
      </c>
      <c r="L319" s="33"/>
      <c r="M319" s="33"/>
      <c r="N319" s="33" t="str">
        <f t="shared" si="149"/>
        <v/>
      </c>
      <c r="O319" s="33" t="str">
        <f t="shared" si="150"/>
        <v/>
      </c>
      <c r="P319" s="33" t="str">
        <f t="shared" si="151"/>
        <v/>
      </c>
      <c r="Q319" s="33" t="str">
        <f t="shared" si="152"/>
        <v/>
      </c>
      <c r="R319" s="33" t="str">
        <f t="shared" si="153"/>
        <v/>
      </c>
      <c r="S319" s="27" t="str">
        <f t="shared" si="154"/>
        <v/>
      </c>
      <c r="T319" s="33" t="str">
        <f t="shared" si="155"/>
        <v/>
      </c>
      <c r="U319" s="33"/>
      <c r="V319" s="33" t="str">
        <f t="shared" si="156"/>
        <v/>
      </c>
      <c r="W319" s="33" t="str">
        <f t="shared" si="157"/>
        <v/>
      </c>
      <c r="X319" s="33" t="str">
        <f t="shared" si="158"/>
        <v/>
      </c>
      <c r="Y319" s="33" t="str">
        <f t="shared" si="159"/>
        <v/>
      </c>
      <c r="Z319" s="33" t="str">
        <f t="shared" si="160"/>
        <v/>
      </c>
      <c r="AA319" s="33" t="str">
        <f t="shared" si="161"/>
        <v/>
      </c>
    </row>
    <row r="320" spans="4:27" x14ac:dyDescent="0.25">
      <c r="D320" s="70">
        <v>33</v>
      </c>
      <c r="E320" s="27" t="str">
        <f t="shared" ref="E320:E351" si="162">IFERROR(VLOOKUP(SMALL($D$157:$D$284,D320),$D$157:$AW$284,2,FALSE),"")</f>
        <v/>
      </c>
      <c r="F320" s="33" t="str">
        <f t="shared" ref="F320:F351" si="163">IFERROR(VLOOKUP(SMALL($D$157:$D$284,D320),$D$157:$AW$284,12,FALSE),"")</f>
        <v/>
      </c>
      <c r="G320" s="33" t="str">
        <f t="shared" ref="G320:G351" si="164">IFERROR(VLOOKUP(SMALL($D$157:$D$284,D320),$D$157:$AW$284,21,FALSE),"")</f>
        <v/>
      </c>
      <c r="H320" s="33" t="str">
        <f t="shared" ref="H320:H351" si="165">IFERROR(VLOOKUP(SMALL($D$157:$D$284,D320),$D$157:$AW$284,29,FALSE),"")</f>
        <v/>
      </c>
      <c r="I320" s="33" t="str">
        <f t="shared" ref="I320:I351" si="166">IFERROR(VLOOKUP(SMALL($D$157:$D$284,D320),$D$157:$AW$284,40,FALSE),"")</f>
        <v/>
      </c>
      <c r="J320" s="33" t="str">
        <f t="shared" ref="J320:J351" si="167">IFERROR(VLOOKUP(SMALL($D$157:$D$284,D320),$D$157:$AW$284,4,FALSE),"")</f>
        <v/>
      </c>
      <c r="K320" s="33" t="str">
        <f t="shared" ref="K320:K351" si="168">IFERROR(VLOOKUP(SMALL($D$157:$D$284,D320),$D$157:$AW$284,14,FALSE),"")</f>
        <v/>
      </c>
      <c r="L320" s="33"/>
      <c r="M320" s="33"/>
      <c r="N320" s="33" t="str">
        <f t="shared" ref="N320:N351" si="169">IFERROR(VLOOKUP(SMALL($D$157:$D$284,D320),$D$157:$AW$284,23,FALSE),"")</f>
        <v/>
      </c>
      <c r="O320" s="33" t="str">
        <f t="shared" ref="O320:O351" si="170">IFERROR(VLOOKUP(SMALL($D$157:$D$284,D320),$D$157:$AW$284,31,FALSE),"")</f>
        <v/>
      </c>
      <c r="P320" s="33" t="str">
        <f t="shared" ref="P320:P351" si="171">IFERROR(VLOOKUP(SMALL($D$157:$D$284,D320),$D$157:$AW$284,42,FALSE),"")</f>
        <v/>
      </c>
      <c r="Q320" s="33" t="str">
        <f t="shared" ref="Q320:Q351" si="172">IFERROR(VLOOKUP(SMALL($D$157:$D$284,D320),$D$157:$AW$284,6,FALSE),"")</f>
        <v/>
      </c>
      <c r="R320" s="33" t="str">
        <f t="shared" ref="R320:R351" si="173">IFERROR(VLOOKUP(SMALL($D$157:$D$284,D320),$D$157:$AW$284,16,FALSE),"")</f>
        <v/>
      </c>
      <c r="S320" s="27" t="str">
        <f t="shared" ref="S320:S351" si="174">IFERROR(VLOOKUP(SMALL($D$157:$D$284,D320),$D$157:$AW$284,25,FALSE),"")</f>
        <v/>
      </c>
      <c r="T320" s="33" t="str">
        <f t="shared" ref="T320:T351" si="175">IFERROR(VLOOKUP(SMALL($D$157:$D$284,D320),$D$157:$AW$284,33,FALSE),"")</f>
        <v/>
      </c>
      <c r="U320" s="33"/>
      <c r="V320" s="33" t="str">
        <f t="shared" ref="V320:V351" si="176">IFERROR(VLOOKUP(SMALL($D$157:$D$284,D320),$D$157:$AW$284,44,FALSE),"")</f>
        <v/>
      </c>
      <c r="W320" s="33" t="str">
        <f t="shared" ref="W320:W351" si="177">IFERROR(VLOOKUP(SMALL($D$157:$D$284,D320),$D$157:$AW$284,8,FALSE),"")</f>
        <v/>
      </c>
      <c r="X320" s="33" t="str">
        <f t="shared" ref="X320:X351" si="178">IFERROR(VLOOKUP(SMALL($D$157:$D$284,D320),$D$157:$AW$284,19,FALSE),"")</f>
        <v/>
      </c>
      <c r="Y320" s="33" t="str">
        <f t="shared" ref="Y320:Y351" si="179">IFERROR(VLOOKUP(SMALL($D$157:$D$284,D320),$D$157:$AW$284,27,FALSE),"")</f>
        <v/>
      </c>
      <c r="Z320" s="33" t="str">
        <f t="shared" ref="Z320:Z351" si="180">IFERROR(VLOOKUP(SMALL($D$157:$D$284,D320),$D$157:$AW$284,35,FALSE),"")</f>
        <v/>
      </c>
      <c r="AA320" s="33" t="str">
        <f t="shared" ref="AA320:AA351" si="181">IFERROR(VLOOKUP(SMALL($D$157:$D$284,D320),$D$157:$AW$284,46,FALSE),"")</f>
        <v/>
      </c>
    </row>
    <row r="321" spans="4:27" x14ac:dyDescent="0.25">
      <c r="D321" s="70">
        <v>34</v>
      </c>
      <c r="E321" s="27" t="str">
        <f t="shared" si="162"/>
        <v/>
      </c>
      <c r="F321" s="33" t="str">
        <f t="shared" si="163"/>
        <v/>
      </c>
      <c r="G321" s="33" t="str">
        <f t="shared" si="164"/>
        <v/>
      </c>
      <c r="H321" s="33" t="str">
        <f t="shared" si="165"/>
        <v/>
      </c>
      <c r="I321" s="33" t="str">
        <f t="shared" si="166"/>
        <v/>
      </c>
      <c r="J321" s="33" t="str">
        <f t="shared" si="167"/>
        <v/>
      </c>
      <c r="K321" s="33" t="str">
        <f t="shared" si="168"/>
        <v/>
      </c>
      <c r="L321" s="33"/>
      <c r="M321" s="33"/>
      <c r="N321" s="33" t="str">
        <f t="shared" si="169"/>
        <v/>
      </c>
      <c r="O321" s="33" t="str">
        <f t="shared" si="170"/>
        <v/>
      </c>
      <c r="P321" s="33" t="str">
        <f t="shared" si="171"/>
        <v/>
      </c>
      <c r="Q321" s="33" t="str">
        <f t="shared" si="172"/>
        <v/>
      </c>
      <c r="R321" s="33" t="str">
        <f t="shared" si="173"/>
        <v/>
      </c>
      <c r="S321" s="27" t="str">
        <f t="shared" si="174"/>
        <v/>
      </c>
      <c r="T321" s="33" t="str">
        <f t="shared" si="175"/>
        <v/>
      </c>
      <c r="U321" s="33"/>
      <c r="V321" s="33" t="str">
        <f t="shared" si="176"/>
        <v/>
      </c>
      <c r="W321" s="33" t="str">
        <f t="shared" si="177"/>
        <v/>
      </c>
      <c r="X321" s="33" t="str">
        <f t="shared" si="178"/>
        <v/>
      </c>
      <c r="Y321" s="33" t="str">
        <f t="shared" si="179"/>
        <v/>
      </c>
      <c r="Z321" s="33" t="str">
        <f t="shared" si="180"/>
        <v/>
      </c>
      <c r="AA321" s="33" t="str">
        <f t="shared" si="181"/>
        <v/>
      </c>
    </row>
    <row r="322" spans="4:27" x14ac:dyDescent="0.25">
      <c r="D322" s="70">
        <v>35</v>
      </c>
      <c r="E322" s="27" t="str">
        <f t="shared" si="162"/>
        <v/>
      </c>
      <c r="F322" s="33" t="str">
        <f t="shared" si="163"/>
        <v/>
      </c>
      <c r="G322" s="33" t="str">
        <f t="shared" si="164"/>
        <v/>
      </c>
      <c r="H322" s="33" t="str">
        <f t="shared" si="165"/>
        <v/>
      </c>
      <c r="I322" s="33" t="str">
        <f t="shared" si="166"/>
        <v/>
      </c>
      <c r="J322" s="33" t="str">
        <f t="shared" si="167"/>
        <v/>
      </c>
      <c r="K322" s="33" t="str">
        <f t="shared" si="168"/>
        <v/>
      </c>
      <c r="L322" s="33"/>
      <c r="M322" s="33"/>
      <c r="N322" s="33" t="str">
        <f t="shared" si="169"/>
        <v/>
      </c>
      <c r="O322" s="33" t="str">
        <f t="shared" si="170"/>
        <v/>
      </c>
      <c r="P322" s="33" t="str">
        <f t="shared" si="171"/>
        <v/>
      </c>
      <c r="Q322" s="33" t="str">
        <f t="shared" si="172"/>
        <v/>
      </c>
      <c r="R322" s="33" t="str">
        <f t="shared" si="173"/>
        <v/>
      </c>
      <c r="S322" s="27" t="str">
        <f t="shared" si="174"/>
        <v/>
      </c>
      <c r="T322" s="33" t="str">
        <f t="shared" si="175"/>
        <v/>
      </c>
      <c r="U322" s="33"/>
      <c r="V322" s="33" t="str">
        <f t="shared" si="176"/>
        <v/>
      </c>
      <c r="W322" s="33" t="str">
        <f t="shared" si="177"/>
        <v/>
      </c>
      <c r="X322" s="33" t="str">
        <f t="shared" si="178"/>
        <v/>
      </c>
      <c r="Y322" s="33" t="str">
        <f t="shared" si="179"/>
        <v/>
      </c>
      <c r="Z322" s="33" t="str">
        <f t="shared" si="180"/>
        <v/>
      </c>
      <c r="AA322" s="33" t="str">
        <f t="shared" si="181"/>
        <v/>
      </c>
    </row>
    <row r="323" spans="4:27" x14ac:dyDescent="0.25">
      <c r="D323" s="70">
        <v>36</v>
      </c>
      <c r="E323" s="27" t="str">
        <f t="shared" si="162"/>
        <v/>
      </c>
      <c r="F323" s="33" t="str">
        <f t="shared" si="163"/>
        <v/>
      </c>
      <c r="G323" s="33" t="str">
        <f t="shared" si="164"/>
        <v/>
      </c>
      <c r="H323" s="33" t="str">
        <f t="shared" si="165"/>
        <v/>
      </c>
      <c r="I323" s="33" t="str">
        <f t="shared" si="166"/>
        <v/>
      </c>
      <c r="J323" s="33" t="str">
        <f t="shared" si="167"/>
        <v/>
      </c>
      <c r="K323" s="33" t="str">
        <f t="shared" si="168"/>
        <v/>
      </c>
      <c r="L323" s="33"/>
      <c r="M323" s="33"/>
      <c r="N323" s="33" t="str">
        <f t="shared" si="169"/>
        <v/>
      </c>
      <c r="O323" s="33" t="str">
        <f t="shared" si="170"/>
        <v/>
      </c>
      <c r="P323" s="33" t="str">
        <f t="shared" si="171"/>
        <v/>
      </c>
      <c r="Q323" s="33" t="str">
        <f t="shared" si="172"/>
        <v/>
      </c>
      <c r="R323" s="33" t="str">
        <f t="shared" si="173"/>
        <v/>
      </c>
      <c r="S323" s="27" t="str">
        <f t="shared" si="174"/>
        <v/>
      </c>
      <c r="T323" s="33" t="str">
        <f t="shared" si="175"/>
        <v/>
      </c>
      <c r="U323" s="33"/>
      <c r="V323" s="33" t="str">
        <f t="shared" si="176"/>
        <v/>
      </c>
      <c r="W323" s="33" t="str">
        <f t="shared" si="177"/>
        <v/>
      </c>
      <c r="X323" s="33" t="str">
        <f t="shared" si="178"/>
        <v/>
      </c>
      <c r="Y323" s="33" t="str">
        <f t="shared" si="179"/>
        <v/>
      </c>
      <c r="Z323" s="33" t="str">
        <f t="shared" si="180"/>
        <v/>
      </c>
      <c r="AA323" s="33" t="str">
        <f t="shared" si="181"/>
        <v/>
      </c>
    </row>
    <row r="324" spans="4:27" x14ac:dyDescent="0.25">
      <c r="D324" s="70">
        <v>37</v>
      </c>
      <c r="E324" s="27" t="str">
        <f t="shared" si="162"/>
        <v/>
      </c>
      <c r="F324" s="33" t="str">
        <f t="shared" si="163"/>
        <v/>
      </c>
      <c r="G324" s="33" t="str">
        <f t="shared" si="164"/>
        <v/>
      </c>
      <c r="H324" s="33" t="str">
        <f t="shared" si="165"/>
        <v/>
      </c>
      <c r="I324" s="33" t="str">
        <f t="shared" si="166"/>
        <v/>
      </c>
      <c r="J324" s="33" t="str">
        <f t="shared" si="167"/>
        <v/>
      </c>
      <c r="K324" s="33" t="str">
        <f t="shared" si="168"/>
        <v/>
      </c>
      <c r="L324" s="33"/>
      <c r="M324" s="33"/>
      <c r="N324" s="33" t="str">
        <f t="shared" si="169"/>
        <v/>
      </c>
      <c r="O324" s="33" t="str">
        <f t="shared" si="170"/>
        <v/>
      </c>
      <c r="P324" s="33" t="str">
        <f t="shared" si="171"/>
        <v/>
      </c>
      <c r="Q324" s="33" t="str">
        <f t="shared" si="172"/>
        <v/>
      </c>
      <c r="R324" s="33" t="str">
        <f t="shared" si="173"/>
        <v/>
      </c>
      <c r="S324" s="27" t="str">
        <f t="shared" si="174"/>
        <v/>
      </c>
      <c r="T324" s="33" t="str">
        <f t="shared" si="175"/>
        <v/>
      </c>
      <c r="U324" s="33"/>
      <c r="V324" s="33" t="str">
        <f t="shared" si="176"/>
        <v/>
      </c>
      <c r="W324" s="33" t="str">
        <f t="shared" si="177"/>
        <v/>
      </c>
      <c r="X324" s="33" t="str">
        <f t="shared" si="178"/>
        <v/>
      </c>
      <c r="Y324" s="33" t="str">
        <f t="shared" si="179"/>
        <v/>
      </c>
      <c r="Z324" s="33" t="str">
        <f t="shared" si="180"/>
        <v/>
      </c>
      <c r="AA324" s="33" t="str">
        <f t="shared" si="181"/>
        <v/>
      </c>
    </row>
    <row r="325" spans="4:27" x14ac:dyDescent="0.25">
      <c r="D325" s="70">
        <v>38</v>
      </c>
      <c r="E325" s="27" t="str">
        <f t="shared" si="162"/>
        <v/>
      </c>
      <c r="F325" s="33" t="str">
        <f t="shared" si="163"/>
        <v/>
      </c>
      <c r="G325" s="33" t="str">
        <f t="shared" si="164"/>
        <v/>
      </c>
      <c r="H325" s="33" t="str">
        <f t="shared" si="165"/>
        <v/>
      </c>
      <c r="I325" s="33" t="str">
        <f t="shared" si="166"/>
        <v/>
      </c>
      <c r="J325" s="33" t="str">
        <f t="shared" si="167"/>
        <v/>
      </c>
      <c r="K325" s="33" t="str">
        <f t="shared" si="168"/>
        <v/>
      </c>
      <c r="L325" s="33"/>
      <c r="M325" s="33"/>
      <c r="N325" s="33" t="str">
        <f t="shared" si="169"/>
        <v/>
      </c>
      <c r="O325" s="33" t="str">
        <f t="shared" si="170"/>
        <v/>
      </c>
      <c r="P325" s="33" t="str">
        <f t="shared" si="171"/>
        <v/>
      </c>
      <c r="Q325" s="33" t="str">
        <f t="shared" si="172"/>
        <v/>
      </c>
      <c r="R325" s="33" t="str">
        <f t="shared" si="173"/>
        <v/>
      </c>
      <c r="S325" s="27" t="str">
        <f t="shared" si="174"/>
        <v/>
      </c>
      <c r="T325" s="33" t="str">
        <f t="shared" si="175"/>
        <v/>
      </c>
      <c r="U325" s="33"/>
      <c r="V325" s="33" t="str">
        <f t="shared" si="176"/>
        <v/>
      </c>
      <c r="W325" s="33" t="str">
        <f t="shared" si="177"/>
        <v/>
      </c>
      <c r="X325" s="33" t="str">
        <f t="shared" si="178"/>
        <v/>
      </c>
      <c r="Y325" s="33" t="str">
        <f t="shared" si="179"/>
        <v/>
      </c>
      <c r="Z325" s="33" t="str">
        <f t="shared" si="180"/>
        <v/>
      </c>
      <c r="AA325" s="33" t="str">
        <f t="shared" si="181"/>
        <v/>
      </c>
    </row>
    <row r="326" spans="4:27" x14ac:dyDescent="0.25">
      <c r="D326" s="70">
        <v>39</v>
      </c>
      <c r="E326" s="27" t="str">
        <f t="shared" si="162"/>
        <v/>
      </c>
      <c r="F326" s="33" t="str">
        <f t="shared" si="163"/>
        <v/>
      </c>
      <c r="G326" s="33" t="str">
        <f t="shared" si="164"/>
        <v/>
      </c>
      <c r="H326" s="33" t="str">
        <f t="shared" si="165"/>
        <v/>
      </c>
      <c r="I326" s="33" t="str">
        <f t="shared" si="166"/>
        <v/>
      </c>
      <c r="J326" s="33" t="str">
        <f t="shared" si="167"/>
        <v/>
      </c>
      <c r="K326" s="33" t="str">
        <f t="shared" si="168"/>
        <v/>
      </c>
      <c r="L326" s="33"/>
      <c r="M326" s="33"/>
      <c r="N326" s="33" t="str">
        <f t="shared" si="169"/>
        <v/>
      </c>
      <c r="O326" s="33" t="str">
        <f t="shared" si="170"/>
        <v/>
      </c>
      <c r="P326" s="33" t="str">
        <f t="shared" si="171"/>
        <v/>
      </c>
      <c r="Q326" s="33" t="str">
        <f t="shared" si="172"/>
        <v/>
      </c>
      <c r="R326" s="33" t="str">
        <f t="shared" si="173"/>
        <v/>
      </c>
      <c r="S326" s="27" t="str">
        <f t="shared" si="174"/>
        <v/>
      </c>
      <c r="T326" s="33" t="str">
        <f t="shared" si="175"/>
        <v/>
      </c>
      <c r="U326" s="33"/>
      <c r="V326" s="33" t="str">
        <f t="shared" si="176"/>
        <v/>
      </c>
      <c r="W326" s="33" t="str">
        <f t="shared" si="177"/>
        <v/>
      </c>
      <c r="X326" s="33" t="str">
        <f t="shared" si="178"/>
        <v/>
      </c>
      <c r="Y326" s="33" t="str">
        <f t="shared" si="179"/>
        <v/>
      </c>
      <c r="Z326" s="33" t="str">
        <f t="shared" si="180"/>
        <v/>
      </c>
      <c r="AA326" s="33" t="str">
        <f t="shared" si="181"/>
        <v/>
      </c>
    </row>
    <row r="327" spans="4:27" x14ac:dyDescent="0.25">
      <c r="D327" s="70">
        <v>40</v>
      </c>
      <c r="E327" s="27" t="str">
        <f t="shared" si="162"/>
        <v/>
      </c>
      <c r="F327" s="33" t="str">
        <f t="shared" si="163"/>
        <v/>
      </c>
      <c r="G327" s="33" t="str">
        <f t="shared" si="164"/>
        <v/>
      </c>
      <c r="H327" s="33" t="str">
        <f t="shared" si="165"/>
        <v/>
      </c>
      <c r="I327" s="33" t="str">
        <f t="shared" si="166"/>
        <v/>
      </c>
      <c r="J327" s="33" t="str">
        <f t="shared" si="167"/>
        <v/>
      </c>
      <c r="K327" s="33" t="str">
        <f t="shared" si="168"/>
        <v/>
      </c>
      <c r="L327" s="33"/>
      <c r="M327" s="33"/>
      <c r="N327" s="33" t="str">
        <f t="shared" si="169"/>
        <v/>
      </c>
      <c r="O327" s="33" t="str">
        <f t="shared" si="170"/>
        <v/>
      </c>
      <c r="P327" s="33" t="str">
        <f t="shared" si="171"/>
        <v/>
      </c>
      <c r="Q327" s="33" t="str">
        <f t="shared" si="172"/>
        <v/>
      </c>
      <c r="R327" s="33" t="str">
        <f t="shared" si="173"/>
        <v/>
      </c>
      <c r="S327" s="27" t="str">
        <f t="shared" si="174"/>
        <v/>
      </c>
      <c r="T327" s="33" t="str">
        <f t="shared" si="175"/>
        <v/>
      </c>
      <c r="U327" s="33"/>
      <c r="V327" s="33" t="str">
        <f t="shared" si="176"/>
        <v/>
      </c>
      <c r="W327" s="33" t="str">
        <f t="shared" si="177"/>
        <v/>
      </c>
      <c r="X327" s="33" t="str">
        <f t="shared" si="178"/>
        <v/>
      </c>
      <c r="Y327" s="33" t="str">
        <f t="shared" si="179"/>
        <v/>
      </c>
      <c r="Z327" s="33" t="str">
        <f t="shared" si="180"/>
        <v/>
      </c>
      <c r="AA327" s="33" t="str">
        <f t="shared" si="181"/>
        <v/>
      </c>
    </row>
    <row r="328" spans="4:27" x14ac:dyDescent="0.25">
      <c r="D328" s="70">
        <v>41</v>
      </c>
      <c r="E328" s="27" t="str">
        <f t="shared" si="162"/>
        <v/>
      </c>
      <c r="F328" s="33" t="str">
        <f t="shared" si="163"/>
        <v/>
      </c>
      <c r="G328" s="33" t="str">
        <f t="shared" si="164"/>
        <v/>
      </c>
      <c r="H328" s="33" t="str">
        <f t="shared" si="165"/>
        <v/>
      </c>
      <c r="I328" s="33" t="str">
        <f t="shared" si="166"/>
        <v/>
      </c>
      <c r="J328" s="33" t="str">
        <f t="shared" si="167"/>
        <v/>
      </c>
      <c r="K328" s="33" t="str">
        <f t="shared" si="168"/>
        <v/>
      </c>
      <c r="L328" s="33"/>
      <c r="M328" s="33"/>
      <c r="N328" s="33" t="str">
        <f t="shared" si="169"/>
        <v/>
      </c>
      <c r="O328" s="33" t="str">
        <f t="shared" si="170"/>
        <v/>
      </c>
      <c r="P328" s="33" t="str">
        <f t="shared" si="171"/>
        <v/>
      </c>
      <c r="Q328" s="33" t="str">
        <f t="shared" si="172"/>
        <v/>
      </c>
      <c r="R328" s="33" t="str">
        <f t="shared" si="173"/>
        <v/>
      </c>
      <c r="S328" s="27" t="str">
        <f t="shared" si="174"/>
        <v/>
      </c>
      <c r="T328" s="33" t="str">
        <f t="shared" si="175"/>
        <v/>
      </c>
      <c r="U328" s="33"/>
      <c r="V328" s="33" t="str">
        <f t="shared" si="176"/>
        <v/>
      </c>
      <c r="W328" s="33" t="str">
        <f t="shared" si="177"/>
        <v/>
      </c>
      <c r="X328" s="33" t="str">
        <f t="shared" si="178"/>
        <v/>
      </c>
      <c r="Y328" s="33" t="str">
        <f t="shared" si="179"/>
        <v/>
      </c>
      <c r="Z328" s="33" t="str">
        <f t="shared" si="180"/>
        <v/>
      </c>
      <c r="AA328" s="33" t="str">
        <f t="shared" si="181"/>
        <v/>
      </c>
    </row>
    <row r="329" spans="4:27" x14ac:dyDescent="0.25">
      <c r="D329" s="70">
        <v>42</v>
      </c>
      <c r="E329" s="27" t="str">
        <f t="shared" si="162"/>
        <v/>
      </c>
      <c r="F329" s="33" t="str">
        <f t="shared" si="163"/>
        <v/>
      </c>
      <c r="G329" s="33" t="str">
        <f t="shared" si="164"/>
        <v/>
      </c>
      <c r="H329" s="33" t="str">
        <f t="shared" si="165"/>
        <v/>
      </c>
      <c r="I329" s="33" t="str">
        <f t="shared" si="166"/>
        <v/>
      </c>
      <c r="J329" s="33" t="str">
        <f t="shared" si="167"/>
        <v/>
      </c>
      <c r="K329" s="33" t="str">
        <f t="shared" si="168"/>
        <v/>
      </c>
      <c r="L329" s="33"/>
      <c r="M329" s="33"/>
      <c r="N329" s="33" t="str">
        <f t="shared" si="169"/>
        <v/>
      </c>
      <c r="O329" s="33" t="str">
        <f t="shared" si="170"/>
        <v/>
      </c>
      <c r="P329" s="33" t="str">
        <f t="shared" si="171"/>
        <v/>
      </c>
      <c r="Q329" s="33" t="str">
        <f t="shared" si="172"/>
        <v/>
      </c>
      <c r="R329" s="33" t="str">
        <f t="shared" si="173"/>
        <v/>
      </c>
      <c r="S329" s="27" t="str">
        <f t="shared" si="174"/>
        <v/>
      </c>
      <c r="T329" s="33" t="str">
        <f t="shared" si="175"/>
        <v/>
      </c>
      <c r="U329" s="33"/>
      <c r="V329" s="33" t="str">
        <f t="shared" si="176"/>
        <v/>
      </c>
      <c r="W329" s="33" t="str">
        <f t="shared" si="177"/>
        <v/>
      </c>
      <c r="X329" s="33" t="str">
        <f t="shared" si="178"/>
        <v/>
      </c>
      <c r="Y329" s="33" t="str">
        <f t="shared" si="179"/>
        <v/>
      </c>
      <c r="Z329" s="33" t="str">
        <f t="shared" si="180"/>
        <v/>
      </c>
      <c r="AA329" s="33" t="str">
        <f t="shared" si="181"/>
        <v/>
      </c>
    </row>
    <row r="330" spans="4:27" x14ac:dyDescent="0.25">
      <c r="D330" s="70">
        <v>43</v>
      </c>
      <c r="E330" s="27" t="str">
        <f t="shared" si="162"/>
        <v/>
      </c>
      <c r="F330" s="33" t="str">
        <f t="shared" si="163"/>
        <v/>
      </c>
      <c r="G330" s="33" t="str">
        <f t="shared" si="164"/>
        <v/>
      </c>
      <c r="H330" s="33" t="str">
        <f t="shared" si="165"/>
        <v/>
      </c>
      <c r="I330" s="33" t="str">
        <f t="shared" si="166"/>
        <v/>
      </c>
      <c r="J330" s="33" t="str">
        <f t="shared" si="167"/>
        <v/>
      </c>
      <c r="K330" s="33" t="str">
        <f t="shared" si="168"/>
        <v/>
      </c>
      <c r="L330" s="33"/>
      <c r="M330" s="33"/>
      <c r="N330" s="33" t="str">
        <f t="shared" si="169"/>
        <v/>
      </c>
      <c r="O330" s="33" t="str">
        <f t="shared" si="170"/>
        <v/>
      </c>
      <c r="P330" s="33" t="str">
        <f t="shared" si="171"/>
        <v/>
      </c>
      <c r="Q330" s="33" t="str">
        <f t="shared" si="172"/>
        <v/>
      </c>
      <c r="R330" s="33" t="str">
        <f t="shared" si="173"/>
        <v/>
      </c>
      <c r="S330" s="27" t="str">
        <f t="shared" si="174"/>
        <v/>
      </c>
      <c r="T330" s="33" t="str">
        <f t="shared" si="175"/>
        <v/>
      </c>
      <c r="U330" s="33"/>
      <c r="V330" s="33" t="str">
        <f t="shared" si="176"/>
        <v/>
      </c>
      <c r="W330" s="33" t="str">
        <f t="shared" si="177"/>
        <v/>
      </c>
      <c r="X330" s="33" t="str">
        <f t="shared" si="178"/>
        <v/>
      </c>
      <c r="Y330" s="33" t="str">
        <f t="shared" si="179"/>
        <v/>
      </c>
      <c r="Z330" s="33" t="str">
        <f t="shared" si="180"/>
        <v/>
      </c>
      <c r="AA330" s="33" t="str">
        <f t="shared" si="181"/>
        <v/>
      </c>
    </row>
    <row r="331" spans="4:27" x14ac:dyDescent="0.25">
      <c r="D331" s="70">
        <v>44</v>
      </c>
      <c r="E331" s="27" t="str">
        <f t="shared" si="162"/>
        <v/>
      </c>
      <c r="F331" s="33" t="str">
        <f t="shared" si="163"/>
        <v/>
      </c>
      <c r="G331" s="33" t="str">
        <f t="shared" si="164"/>
        <v/>
      </c>
      <c r="H331" s="33" t="str">
        <f t="shared" si="165"/>
        <v/>
      </c>
      <c r="I331" s="33" t="str">
        <f t="shared" si="166"/>
        <v/>
      </c>
      <c r="J331" s="33" t="str">
        <f t="shared" si="167"/>
        <v/>
      </c>
      <c r="K331" s="33" t="str">
        <f t="shared" si="168"/>
        <v/>
      </c>
      <c r="L331" s="33"/>
      <c r="M331" s="33"/>
      <c r="N331" s="33" t="str">
        <f t="shared" si="169"/>
        <v/>
      </c>
      <c r="O331" s="33" t="str">
        <f t="shared" si="170"/>
        <v/>
      </c>
      <c r="P331" s="33" t="str">
        <f t="shared" si="171"/>
        <v/>
      </c>
      <c r="Q331" s="33" t="str">
        <f t="shared" si="172"/>
        <v/>
      </c>
      <c r="R331" s="33" t="str">
        <f t="shared" si="173"/>
        <v/>
      </c>
      <c r="S331" s="27" t="str">
        <f t="shared" si="174"/>
        <v/>
      </c>
      <c r="T331" s="33" t="str">
        <f t="shared" si="175"/>
        <v/>
      </c>
      <c r="U331" s="33"/>
      <c r="V331" s="33" t="str">
        <f t="shared" si="176"/>
        <v/>
      </c>
      <c r="W331" s="33" t="str">
        <f t="shared" si="177"/>
        <v/>
      </c>
      <c r="X331" s="33" t="str">
        <f t="shared" si="178"/>
        <v/>
      </c>
      <c r="Y331" s="33" t="str">
        <f t="shared" si="179"/>
        <v/>
      </c>
      <c r="Z331" s="33" t="str">
        <f t="shared" si="180"/>
        <v/>
      </c>
      <c r="AA331" s="33" t="str">
        <f t="shared" si="181"/>
        <v/>
      </c>
    </row>
    <row r="332" spans="4:27" x14ac:dyDescent="0.25">
      <c r="D332" s="70">
        <v>45</v>
      </c>
      <c r="E332" s="27" t="str">
        <f t="shared" si="162"/>
        <v/>
      </c>
      <c r="F332" s="33" t="str">
        <f t="shared" si="163"/>
        <v/>
      </c>
      <c r="G332" s="33" t="str">
        <f t="shared" si="164"/>
        <v/>
      </c>
      <c r="H332" s="33" t="str">
        <f t="shared" si="165"/>
        <v/>
      </c>
      <c r="I332" s="33" t="str">
        <f t="shared" si="166"/>
        <v/>
      </c>
      <c r="J332" s="33" t="str">
        <f t="shared" si="167"/>
        <v/>
      </c>
      <c r="K332" s="33" t="str">
        <f t="shared" si="168"/>
        <v/>
      </c>
      <c r="L332" s="33"/>
      <c r="M332" s="33"/>
      <c r="N332" s="33" t="str">
        <f t="shared" si="169"/>
        <v/>
      </c>
      <c r="O332" s="33" t="str">
        <f t="shared" si="170"/>
        <v/>
      </c>
      <c r="P332" s="33" t="str">
        <f t="shared" si="171"/>
        <v/>
      </c>
      <c r="Q332" s="33" t="str">
        <f t="shared" si="172"/>
        <v/>
      </c>
      <c r="R332" s="33" t="str">
        <f t="shared" si="173"/>
        <v/>
      </c>
      <c r="S332" s="27" t="str">
        <f t="shared" si="174"/>
        <v/>
      </c>
      <c r="T332" s="33" t="str">
        <f t="shared" si="175"/>
        <v/>
      </c>
      <c r="U332" s="33"/>
      <c r="V332" s="33" t="str">
        <f t="shared" si="176"/>
        <v/>
      </c>
      <c r="W332" s="33" t="str">
        <f t="shared" si="177"/>
        <v/>
      </c>
      <c r="X332" s="33" t="str">
        <f t="shared" si="178"/>
        <v/>
      </c>
      <c r="Y332" s="33" t="str">
        <f t="shared" si="179"/>
        <v/>
      </c>
      <c r="Z332" s="33" t="str">
        <f t="shared" si="180"/>
        <v/>
      </c>
      <c r="AA332" s="33" t="str">
        <f t="shared" si="181"/>
        <v/>
      </c>
    </row>
    <row r="333" spans="4:27" x14ac:dyDescent="0.25">
      <c r="D333" s="70">
        <v>46</v>
      </c>
      <c r="E333" s="27" t="str">
        <f t="shared" si="162"/>
        <v/>
      </c>
      <c r="F333" s="33" t="str">
        <f t="shared" si="163"/>
        <v/>
      </c>
      <c r="G333" s="33" t="str">
        <f t="shared" si="164"/>
        <v/>
      </c>
      <c r="H333" s="33" t="str">
        <f t="shared" si="165"/>
        <v/>
      </c>
      <c r="I333" s="33" t="str">
        <f t="shared" si="166"/>
        <v/>
      </c>
      <c r="J333" s="33" t="str">
        <f t="shared" si="167"/>
        <v/>
      </c>
      <c r="K333" s="33" t="str">
        <f t="shared" si="168"/>
        <v/>
      </c>
      <c r="L333" s="33"/>
      <c r="M333" s="33"/>
      <c r="N333" s="33" t="str">
        <f t="shared" si="169"/>
        <v/>
      </c>
      <c r="O333" s="33" t="str">
        <f t="shared" si="170"/>
        <v/>
      </c>
      <c r="P333" s="33" t="str">
        <f t="shared" si="171"/>
        <v/>
      </c>
      <c r="Q333" s="33" t="str">
        <f t="shared" si="172"/>
        <v/>
      </c>
      <c r="R333" s="33" t="str">
        <f t="shared" si="173"/>
        <v/>
      </c>
      <c r="S333" s="27" t="str">
        <f t="shared" si="174"/>
        <v/>
      </c>
      <c r="T333" s="33" t="str">
        <f t="shared" si="175"/>
        <v/>
      </c>
      <c r="U333" s="33"/>
      <c r="V333" s="33" t="str">
        <f t="shared" si="176"/>
        <v/>
      </c>
      <c r="W333" s="33" t="str">
        <f t="shared" si="177"/>
        <v/>
      </c>
      <c r="X333" s="33" t="str">
        <f t="shared" si="178"/>
        <v/>
      </c>
      <c r="Y333" s="33" t="str">
        <f t="shared" si="179"/>
        <v/>
      </c>
      <c r="Z333" s="33" t="str">
        <f t="shared" si="180"/>
        <v/>
      </c>
      <c r="AA333" s="33" t="str">
        <f t="shared" si="181"/>
        <v/>
      </c>
    </row>
    <row r="334" spans="4:27" x14ac:dyDescent="0.25">
      <c r="D334" s="70">
        <v>47</v>
      </c>
      <c r="E334" s="27" t="str">
        <f t="shared" si="162"/>
        <v/>
      </c>
      <c r="F334" s="33" t="str">
        <f t="shared" si="163"/>
        <v/>
      </c>
      <c r="G334" s="33" t="str">
        <f t="shared" si="164"/>
        <v/>
      </c>
      <c r="H334" s="33" t="str">
        <f t="shared" si="165"/>
        <v/>
      </c>
      <c r="I334" s="33" t="str">
        <f t="shared" si="166"/>
        <v/>
      </c>
      <c r="J334" s="33" t="str">
        <f t="shared" si="167"/>
        <v/>
      </c>
      <c r="K334" s="33" t="str">
        <f t="shared" si="168"/>
        <v/>
      </c>
      <c r="L334" s="33"/>
      <c r="M334" s="33"/>
      <c r="N334" s="33" t="str">
        <f t="shared" si="169"/>
        <v/>
      </c>
      <c r="O334" s="33" t="str">
        <f t="shared" si="170"/>
        <v/>
      </c>
      <c r="P334" s="33" t="str">
        <f t="shared" si="171"/>
        <v/>
      </c>
      <c r="Q334" s="33" t="str">
        <f t="shared" si="172"/>
        <v/>
      </c>
      <c r="R334" s="33" t="str">
        <f t="shared" si="173"/>
        <v/>
      </c>
      <c r="S334" s="27" t="str">
        <f t="shared" si="174"/>
        <v/>
      </c>
      <c r="T334" s="33" t="str">
        <f t="shared" si="175"/>
        <v/>
      </c>
      <c r="U334" s="33"/>
      <c r="V334" s="33" t="str">
        <f t="shared" si="176"/>
        <v/>
      </c>
      <c r="W334" s="33" t="str">
        <f t="shared" si="177"/>
        <v/>
      </c>
      <c r="X334" s="33" t="str">
        <f t="shared" si="178"/>
        <v/>
      </c>
      <c r="Y334" s="33" t="str">
        <f t="shared" si="179"/>
        <v/>
      </c>
      <c r="Z334" s="33" t="str">
        <f t="shared" si="180"/>
        <v/>
      </c>
      <c r="AA334" s="33" t="str">
        <f t="shared" si="181"/>
        <v/>
      </c>
    </row>
    <row r="335" spans="4:27" x14ac:dyDescent="0.25">
      <c r="D335" s="70">
        <v>48</v>
      </c>
      <c r="E335" s="27" t="str">
        <f t="shared" si="162"/>
        <v/>
      </c>
      <c r="F335" s="33" t="str">
        <f t="shared" si="163"/>
        <v/>
      </c>
      <c r="G335" s="33" t="str">
        <f t="shared" si="164"/>
        <v/>
      </c>
      <c r="H335" s="33" t="str">
        <f t="shared" si="165"/>
        <v/>
      </c>
      <c r="I335" s="33" t="str">
        <f t="shared" si="166"/>
        <v/>
      </c>
      <c r="J335" s="33" t="str">
        <f t="shared" si="167"/>
        <v/>
      </c>
      <c r="K335" s="33" t="str">
        <f t="shared" si="168"/>
        <v/>
      </c>
      <c r="L335" s="33"/>
      <c r="M335" s="33"/>
      <c r="N335" s="33" t="str">
        <f t="shared" si="169"/>
        <v/>
      </c>
      <c r="O335" s="33" t="str">
        <f t="shared" si="170"/>
        <v/>
      </c>
      <c r="P335" s="33" t="str">
        <f t="shared" si="171"/>
        <v/>
      </c>
      <c r="Q335" s="33" t="str">
        <f t="shared" si="172"/>
        <v/>
      </c>
      <c r="R335" s="33" t="str">
        <f t="shared" si="173"/>
        <v/>
      </c>
      <c r="S335" s="27" t="str">
        <f t="shared" si="174"/>
        <v/>
      </c>
      <c r="T335" s="33" t="str">
        <f t="shared" si="175"/>
        <v/>
      </c>
      <c r="U335" s="33"/>
      <c r="V335" s="33" t="str">
        <f t="shared" si="176"/>
        <v/>
      </c>
      <c r="W335" s="33" t="str">
        <f t="shared" si="177"/>
        <v/>
      </c>
      <c r="X335" s="33" t="str">
        <f t="shared" si="178"/>
        <v/>
      </c>
      <c r="Y335" s="33" t="str">
        <f t="shared" si="179"/>
        <v/>
      </c>
      <c r="Z335" s="33" t="str">
        <f t="shared" si="180"/>
        <v/>
      </c>
      <c r="AA335" s="33" t="str">
        <f t="shared" si="181"/>
        <v/>
      </c>
    </row>
    <row r="336" spans="4:27" x14ac:dyDescent="0.25">
      <c r="D336" s="70">
        <v>49</v>
      </c>
      <c r="E336" s="27" t="str">
        <f t="shared" si="162"/>
        <v/>
      </c>
      <c r="F336" s="33" t="str">
        <f t="shared" si="163"/>
        <v/>
      </c>
      <c r="G336" s="33" t="str">
        <f t="shared" si="164"/>
        <v/>
      </c>
      <c r="H336" s="33" t="str">
        <f t="shared" si="165"/>
        <v/>
      </c>
      <c r="I336" s="33" t="str">
        <f t="shared" si="166"/>
        <v/>
      </c>
      <c r="J336" s="33" t="str">
        <f t="shared" si="167"/>
        <v/>
      </c>
      <c r="K336" s="33" t="str">
        <f t="shared" si="168"/>
        <v/>
      </c>
      <c r="L336" s="33"/>
      <c r="M336" s="33"/>
      <c r="N336" s="33" t="str">
        <f t="shared" si="169"/>
        <v/>
      </c>
      <c r="O336" s="33" t="str">
        <f t="shared" si="170"/>
        <v/>
      </c>
      <c r="P336" s="33" t="str">
        <f t="shared" si="171"/>
        <v/>
      </c>
      <c r="Q336" s="33" t="str">
        <f t="shared" si="172"/>
        <v/>
      </c>
      <c r="R336" s="33" t="str">
        <f t="shared" si="173"/>
        <v/>
      </c>
      <c r="S336" s="27" t="str">
        <f t="shared" si="174"/>
        <v/>
      </c>
      <c r="T336" s="33" t="str">
        <f t="shared" si="175"/>
        <v/>
      </c>
      <c r="U336" s="33"/>
      <c r="V336" s="33" t="str">
        <f t="shared" si="176"/>
        <v/>
      </c>
      <c r="W336" s="33" t="str">
        <f t="shared" si="177"/>
        <v/>
      </c>
      <c r="X336" s="33" t="str">
        <f t="shared" si="178"/>
        <v/>
      </c>
      <c r="Y336" s="33" t="str">
        <f t="shared" si="179"/>
        <v/>
      </c>
      <c r="Z336" s="33" t="str">
        <f t="shared" si="180"/>
        <v/>
      </c>
      <c r="AA336" s="33" t="str">
        <f t="shared" si="181"/>
        <v/>
      </c>
    </row>
    <row r="337" spans="4:27" x14ac:dyDescent="0.25">
      <c r="D337" s="70">
        <v>50</v>
      </c>
      <c r="E337" s="27" t="str">
        <f t="shared" si="162"/>
        <v/>
      </c>
      <c r="F337" s="33" t="str">
        <f t="shared" si="163"/>
        <v/>
      </c>
      <c r="G337" s="33" t="str">
        <f t="shared" si="164"/>
        <v/>
      </c>
      <c r="H337" s="33" t="str">
        <f t="shared" si="165"/>
        <v/>
      </c>
      <c r="I337" s="33" t="str">
        <f t="shared" si="166"/>
        <v/>
      </c>
      <c r="J337" s="33" t="str">
        <f t="shared" si="167"/>
        <v/>
      </c>
      <c r="K337" s="33" t="str">
        <f t="shared" si="168"/>
        <v/>
      </c>
      <c r="L337" s="33"/>
      <c r="M337" s="33"/>
      <c r="N337" s="33" t="str">
        <f t="shared" si="169"/>
        <v/>
      </c>
      <c r="O337" s="33" t="str">
        <f t="shared" si="170"/>
        <v/>
      </c>
      <c r="P337" s="33" t="str">
        <f t="shared" si="171"/>
        <v/>
      </c>
      <c r="Q337" s="33" t="str">
        <f t="shared" si="172"/>
        <v/>
      </c>
      <c r="R337" s="33" t="str">
        <f t="shared" si="173"/>
        <v/>
      </c>
      <c r="S337" s="27" t="str">
        <f t="shared" si="174"/>
        <v/>
      </c>
      <c r="T337" s="33" t="str">
        <f t="shared" si="175"/>
        <v/>
      </c>
      <c r="U337" s="33"/>
      <c r="V337" s="33" t="str">
        <f t="shared" si="176"/>
        <v/>
      </c>
      <c r="W337" s="33" t="str">
        <f t="shared" si="177"/>
        <v/>
      </c>
      <c r="X337" s="33" t="str">
        <f t="shared" si="178"/>
        <v/>
      </c>
      <c r="Y337" s="33" t="str">
        <f t="shared" si="179"/>
        <v/>
      </c>
      <c r="Z337" s="33" t="str">
        <f t="shared" si="180"/>
        <v/>
      </c>
      <c r="AA337" s="33" t="str">
        <f t="shared" si="181"/>
        <v/>
      </c>
    </row>
    <row r="338" spans="4:27" x14ac:dyDescent="0.25">
      <c r="D338" s="70">
        <v>51</v>
      </c>
      <c r="E338" s="27" t="str">
        <f t="shared" si="162"/>
        <v/>
      </c>
      <c r="F338" s="33" t="str">
        <f t="shared" si="163"/>
        <v/>
      </c>
      <c r="G338" s="33" t="str">
        <f t="shared" si="164"/>
        <v/>
      </c>
      <c r="H338" s="33" t="str">
        <f t="shared" si="165"/>
        <v/>
      </c>
      <c r="I338" s="33" t="str">
        <f t="shared" si="166"/>
        <v/>
      </c>
      <c r="J338" s="33" t="str">
        <f t="shared" si="167"/>
        <v/>
      </c>
      <c r="K338" s="33" t="str">
        <f t="shared" si="168"/>
        <v/>
      </c>
      <c r="L338" s="33"/>
      <c r="M338" s="33"/>
      <c r="N338" s="33" t="str">
        <f t="shared" si="169"/>
        <v/>
      </c>
      <c r="O338" s="33" t="str">
        <f t="shared" si="170"/>
        <v/>
      </c>
      <c r="P338" s="33" t="str">
        <f t="shared" si="171"/>
        <v/>
      </c>
      <c r="Q338" s="33" t="str">
        <f t="shared" si="172"/>
        <v/>
      </c>
      <c r="R338" s="33" t="str">
        <f t="shared" si="173"/>
        <v/>
      </c>
      <c r="S338" s="27" t="str">
        <f t="shared" si="174"/>
        <v/>
      </c>
      <c r="T338" s="33" t="str">
        <f t="shared" si="175"/>
        <v/>
      </c>
      <c r="U338" s="33"/>
      <c r="V338" s="33" t="str">
        <f t="shared" si="176"/>
        <v/>
      </c>
      <c r="W338" s="33" t="str">
        <f t="shared" si="177"/>
        <v/>
      </c>
      <c r="X338" s="33" t="str">
        <f t="shared" si="178"/>
        <v/>
      </c>
      <c r="Y338" s="33" t="str">
        <f t="shared" si="179"/>
        <v/>
      </c>
      <c r="Z338" s="33" t="str">
        <f t="shared" si="180"/>
        <v/>
      </c>
      <c r="AA338" s="33" t="str">
        <f t="shared" si="181"/>
        <v/>
      </c>
    </row>
    <row r="339" spans="4:27" x14ac:dyDescent="0.25">
      <c r="D339" s="70">
        <v>52</v>
      </c>
      <c r="E339" s="27" t="str">
        <f t="shared" si="162"/>
        <v/>
      </c>
      <c r="F339" s="33" t="str">
        <f t="shared" si="163"/>
        <v/>
      </c>
      <c r="G339" s="33" t="str">
        <f t="shared" si="164"/>
        <v/>
      </c>
      <c r="H339" s="33" t="str">
        <f t="shared" si="165"/>
        <v/>
      </c>
      <c r="I339" s="33" t="str">
        <f t="shared" si="166"/>
        <v/>
      </c>
      <c r="J339" s="33" t="str">
        <f t="shared" si="167"/>
        <v/>
      </c>
      <c r="K339" s="33" t="str">
        <f t="shared" si="168"/>
        <v/>
      </c>
      <c r="L339" s="33"/>
      <c r="M339" s="33"/>
      <c r="N339" s="33" t="str">
        <f t="shared" si="169"/>
        <v/>
      </c>
      <c r="O339" s="33" t="str">
        <f t="shared" si="170"/>
        <v/>
      </c>
      <c r="P339" s="33" t="str">
        <f t="shared" si="171"/>
        <v/>
      </c>
      <c r="Q339" s="33" t="str">
        <f t="shared" si="172"/>
        <v/>
      </c>
      <c r="R339" s="33" t="str">
        <f t="shared" si="173"/>
        <v/>
      </c>
      <c r="S339" s="27" t="str">
        <f t="shared" si="174"/>
        <v/>
      </c>
      <c r="T339" s="33" t="str">
        <f t="shared" si="175"/>
        <v/>
      </c>
      <c r="U339" s="33"/>
      <c r="V339" s="33" t="str">
        <f t="shared" si="176"/>
        <v/>
      </c>
      <c r="W339" s="33" t="str">
        <f t="shared" si="177"/>
        <v/>
      </c>
      <c r="X339" s="33" t="str">
        <f t="shared" si="178"/>
        <v/>
      </c>
      <c r="Y339" s="33" t="str">
        <f t="shared" si="179"/>
        <v/>
      </c>
      <c r="Z339" s="33" t="str">
        <f t="shared" si="180"/>
        <v/>
      </c>
      <c r="AA339" s="33" t="str">
        <f t="shared" si="181"/>
        <v/>
      </c>
    </row>
    <row r="340" spans="4:27" x14ac:dyDescent="0.25">
      <c r="D340" s="70">
        <v>53</v>
      </c>
      <c r="E340" s="27" t="str">
        <f t="shared" si="162"/>
        <v/>
      </c>
      <c r="F340" s="33" t="str">
        <f t="shared" si="163"/>
        <v/>
      </c>
      <c r="G340" s="33" t="str">
        <f t="shared" si="164"/>
        <v/>
      </c>
      <c r="H340" s="33" t="str">
        <f t="shared" si="165"/>
        <v/>
      </c>
      <c r="I340" s="33" t="str">
        <f t="shared" si="166"/>
        <v/>
      </c>
      <c r="J340" s="33" t="str">
        <f t="shared" si="167"/>
        <v/>
      </c>
      <c r="K340" s="33" t="str">
        <f t="shared" si="168"/>
        <v/>
      </c>
      <c r="L340" s="33"/>
      <c r="M340" s="33"/>
      <c r="N340" s="33" t="str">
        <f t="shared" si="169"/>
        <v/>
      </c>
      <c r="O340" s="33" t="str">
        <f t="shared" si="170"/>
        <v/>
      </c>
      <c r="P340" s="33" t="str">
        <f t="shared" si="171"/>
        <v/>
      </c>
      <c r="Q340" s="33" t="str">
        <f t="shared" si="172"/>
        <v/>
      </c>
      <c r="R340" s="33" t="str">
        <f t="shared" si="173"/>
        <v/>
      </c>
      <c r="S340" s="27" t="str">
        <f t="shared" si="174"/>
        <v/>
      </c>
      <c r="T340" s="33" t="str">
        <f t="shared" si="175"/>
        <v/>
      </c>
      <c r="U340" s="33"/>
      <c r="V340" s="33" t="str">
        <f t="shared" si="176"/>
        <v/>
      </c>
      <c r="W340" s="33" t="str">
        <f t="shared" si="177"/>
        <v/>
      </c>
      <c r="X340" s="33" t="str">
        <f t="shared" si="178"/>
        <v/>
      </c>
      <c r="Y340" s="33" t="str">
        <f t="shared" si="179"/>
        <v/>
      </c>
      <c r="Z340" s="33" t="str">
        <f t="shared" si="180"/>
        <v/>
      </c>
      <c r="AA340" s="33" t="str">
        <f t="shared" si="181"/>
        <v/>
      </c>
    </row>
    <row r="341" spans="4:27" x14ac:dyDescent="0.25">
      <c r="D341" s="70">
        <v>54</v>
      </c>
      <c r="E341" s="27" t="str">
        <f t="shared" si="162"/>
        <v/>
      </c>
      <c r="F341" s="33" t="str">
        <f t="shared" si="163"/>
        <v/>
      </c>
      <c r="G341" s="33" t="str">
        <f t="shared" si="164"/>
        <v/>
      </c>
      <c r="H341" s="33" t="str">
        <f t="shared" si="165"/>
        <v/>
      </c>
      <c r="I341" s="33" t="str">
        <f t="shared" si="166"/>
        <v/>
      </c>
      <c r="J341" s="33" t="str">
        <f t="shared" si="167"/>
        <v/>
      </c>
      <c r="K341" s="33" t="str">
        <f t="shared" si="168"/>
        <v/>
      </c>
      <c r="L341" s="33"/>
      <c r="M341" s="33"/>
      <c r="N341" s="33" t="str">
        <f t="shared" si="169"/>
        <v/>
      </c>
      <c r="O341" s="33" t="str">
        <f t="shared" si="170"/>
        <v/>
      </c>
      <c r="P341" s="33" t="str">
        <f t="shared" si="171"/>
        <v/>
      </c>
      <c r="Q341" s="33" t="str">
        <f t="shared" si="172"/>
        <v/>
      </c>
      <c r="R341" s="33" t="str">
        <f t="shared" si="173"/>
        <v/>
      </c>
      <c r="S341" s="27" t="str">
        <f t="shared" si="174"/>
        <v/>
      </c>
      <c r="T341" s="33" t="str">
        <f t="shared" si="175"/>
        <v/>
      </c>
      <c r="U341" s="33"/>
      <c r="V341" s="33" t="str">
        <f t="shared" si="176"/>
        <v/>
      </c>
      <c r="W341" s="33" t="str">
        <f t="shared" si="177"/>
        <v/>
      </c>
      <c r="X341" s="33" t="str">
        <f t="shared" si="178"/>
        <v/>
      </c>
      <c r="Y341" s="33" t="str">
        <f t="shared" si="179"/>
        <v/>
      </c>
      <c r="Z341" s="33" t="str">
        <f t="shared" si="180"/>
        <v/>
      </c>
      <c r="AA341" s="33" t="str">
        <f t="shared" si="181"/>
        <v/>
      </c>
    </row>
    <row r="342" spans="4:27" x14ac:dyDescent="0.25">
      <c r="D342" s="70">
        <v>55</v>
      </c>
      <c r="E342" s="27" t="str">
        <f t="shared" si="162"/>
        <v/>
      </c>
      <c r="F342" s="33" t="str">
        <f t="shared" si="163"/>
        <v/>
      </c>
      <c r="G342" s="33" t="str">
        <f t="shared" si="164"/>
        <v/>
      </c>
      <c r="H342" s="33" t="str">
        <f t="shared" si="165"/>
        <v/>
      </c>
      <c r="I342" s="33" t="str">
        <f t="shared" si="166"/>
        <v/>
      </c>
      <c r="J342" s="33" t="str">
        <f t="shared" si="167"/>
        <v/>
      </c>
      <c r="K342" s="33" t="str">
        <f t="shared" si="168"/>
        <v/>
      </c>
      <c r="L342" s="33"/>
      <c r="M342" s="33"/>
      <c r="N342" s="33" t="str">
        <f t="shared" si="169"/>
        <v/>
      </c>
      <c r="O342" s="33" t="str">
        <f t="shared" si="170"/>
        <v/>
      </c>
      <c r="P342" s="33" t="str">
        <f t="shared" si="171"/>
        <v/>
      </c>
      <c r="Q342" s="33" t="str">
        <f t="shared" si="172"/>
        <v/>
      </c>
      <c r="R342" s="33" t="str">
        <f t="shared" si="173"/>
        <v/>
      </c>
      <c r="S342" s="27" t="str">
        <f t="shared" si="174"/>
        <v/>
      </c>
      <c r="T342" s="33" t="str">
        <f t="shared" si="175"/>
        <v/>
      </c>
      <c r="U342" s="33"/>
      <c r="V342" s="33" t="str">
        <f t="shared" si="176"/>
        <v/>
      </c>
      <c r="W342" s="33" t="str">
        <f t="shared" si="177"/>
        <v/>
      </c>
      <c r="X342" s="33" t="str">
        <f t="shared" si="178"/>
        <v/>
      </c>
      <c r="Y342" s="33" t="str">
        <f t="shared" si="179"/>
        <v/>
      </c>
      <c r="Z342" s="33" t="str">
        <f t="shared" si="180"/>
        <v/>
      </c>
      <c r="AA342" s="33" t="str">
        <f t="shared" si="181"/>
        <v/>
      </c>
    </row>
    <row r="343" spans="4:27" x14ac:dyDescent="0.25">
      <c r="D343" s="70">
        <v>56</v>
      </c>
      <c r="E343" s="27" t="str">
        <f t="shared" si="162"/>
        <v/>
      </c>
      <c r="F343" s="33" t="str">
        <f t="shared" si="163"/>
        <v/>
      </c>
      <c r="G343" s="33" t="str">
        <f t="shared" si="164"/>
        <v/>
      </c>
      <c r="H343" s="33" t="str">
        <f t="shared" si="165"/>
        <v/>
      </c>
      <c r="I343" s="33" t="str">
        <f t="shared" si="166"/>
        <v/>
      </c>
      <c r="J343" s="33" t="str">
        <f t="shared" si="167"/>
        <v/>
      </c>
      <c r="K343" s="33" t="str">
        <f t="shared" si="168"/>
        <v/>
      </c>
      <c r="L343" s="33"/>
      <c r="M343" s="33"/>
      <c r="N343" s="33" t="str">
        <f t="shared" si="169"/>
        <v/>
      </c>
      <c r="O343" s="33" t="str">
        <f t="shared" si="170"/>
        <v/>
      </c>
      <c r="P343" s="33" t="str">
        <f t="shared" si="171"/>
        <v/>
      </c>
      <c r="Q343" s="33" t="str">
        <f t="shared" si="172"/>
        <v/>
      </c>
      <c r="R343" s="33" t="str">
        <f t="shared" si="173"/>
        <v/>
      </c>
      <c r="S343" s="27" t="str">
        <f t="shared" si="174"/>
        <v/>
      </c>
      <c r="T343" s="33" t="str">
        <f t="shared" si="175"/>
        <v/>
      </c>
      <c r="U343" s="33"/>
      <c r="V343" s="33" t="str">
        <f t="shared" si="176"/>
        <v/>
      </c>
      <c r="W343" s="33" t="str">
        <f t="shared" si="177"/>
        <v/>
      </c>
      <c r="X343" s="33" t="str">
        <f t="shared" si="178"/>
        <v/>
      </c>
      <c r="Y343" s="33" t="str">
        <f t="shared" si="179"/>
        <v/>
      </c>
      <c r="Z343" s="33" t="str">
        <f t="shared" si="180"/>
        <v/>
      </c>
      <c r="AA343" s="33" t="str">
        <f t="shared" si="181"/>
        <v/>
      </c>
    </row>
    <row r="344" spans="4:27" x14ac:dyDescent="0.25">
      <c r="D344" s="70">
        <v>57</v>
      </c>
      <c r="E344" s="27" t="str">
        <f t="shared" si="162"/>
        <v/>
      </c>
      <c r="F344" s="33" t="str">
        <f t="shared" si="163"/>
        <v/>
      </c>
      <c r="G344" s="33" t="str">
        <f t="shared" si="164"/>
        <v/>
      </c>
      <c r="H344" s="33" t="str">
        <f t="shared" si="165"/>
        <v/>
      </c>
      <c r="I344" s="33" t="str">
        <f t="shared" si="166"/>
        <v/>
      </c>
      <c r="J344" s="33" t="str">
        <f t="shared" si="167"/>
        <v/>
      </c>
      <c r="K344" s="33" t="str">
        <f t="shared" si="168"/>
        <v/>
      </c>
      <c r="L344" s="33"/>
      <c r="M344" s="33"/>
      <c r="N344" s="33" t="str">
        <f t="shared" si="169"/>
        <v/>
      </c>
      <c r="O344" s="33" t="str">
        <f t="shared" si="170"/>
        <v/>
      </c>
      <c r="P344" s="33" t="str">
        <f t="shared" si="171"/>
        <v/>
      </c>
      <c r="Q344" s="33" t="str">
        <f t="shared" si="172"/>
        <v/>
      </c>
      <c r="R344" s="33" t="str">
        <f t="shared" si="173"/>
        <v/>
      </c>
      <c r="S344" s="27" t="str">
        <f t="shared" si="174"/>
        <v/>
      </c>
      <c r="T344" s="33" t="str">
        <f t="shared" si="175"/>
        <v/>
      </c>
      <c r="U344" s="33"/>
      <c r="V344" s="33" t="str">
        <f t="shared" si="176"/>
        <v/>
      </c>
      <c r="W344" s="33" t="str">
        <f t="shared" si="177"/>
        <v/>
      </c>
      <c r="X344" s="33" t="str">
        <f t="shared" si="178"/>
        <v/>
      </c>
      <c r="Y344" s="33" t="str">
        <f t="shared" si="179"/>
        <v/>
      </c>
      <c r="Z344" s="33" t="str">
        <f t="shared" si="180"/>
        <v/>
      </c>
      <c r="AA344" s="33" t="str">
        <f t="shared" si="181"/>
        <v/>
      </c>
    </row>
    <row r="345" spans="4:27" x14ac:dyDescent="0.25">
      <c r="D345" s="70">
        <v>58</v>
      </c>
      <c r="E345" s="27" t="str">
        <f t="shared" si="162"/>
        <v/>
      </c>
      <c r="F345" s="33" t="str">
        <f t="shared" si="163"/>
        <v/>
      </c>
      <c r="G345" s="33" t="str">
        <f t="shared" si="164"/>
        <v/>
      </c>
      <c r="H345" s="33" t="str">
        <f t="shared" si="165"/>
        <v/>
      </c>
      <c r="I345" s="33" t="str">
        <f t="shared" si="166"/>
        <v/>
      </c>
      <c r="J345" s="33" t="str">
        <f t="shared" si="167"/>
        <v/>
      </c>
      <c r="K345" s="33" t="str">
        <f t="shared" si="168"/>
        <v/>
      </c>
      <c r="L345" s="33"/>
      <c r="M345" s="33"/>
      <c r="N345" s="33" t="str">
        <f t="shared" si="169"/>
        <v/>
      </c>
      <c r="O345" s="33" t="str">
        <f t="shared" si="170"/>
        <v/>
      </c>
      <c r="P345" s="33" t="str">
        <f t="shared" si="171"/>
        <v/>
      </c>
      <c r="Q345" s="33" t="str">
        <f t="shared" si="172"/>
        <v/>
      </c>
      <c r="R345" s="33" t="str">
        <f t="shared" si="173"/>
        <v/>
      </c>
      <c r="S345" s="27" t="str">
        <f t="shared" si="174"/>
        <v/>
      </c>
      <c r="T345" s="33" t="str">
        <f t="shared" si="175"/>
        <v/>
      </c>
      <c r="U345" s="33"/>
      <c r="V345" s="33" t="str">
        <f t="shared" si="176"/>
        <v/>
      </c>
      <c r="W345" s="33" t="str">
        <f t="shared" si="177"/>
        <v/>
      </c>
      <c r="X345" s="33" t="str">
        <f t="shared" si="178"/>
        <v/>
      </c>
      <c r="Y345" s="33" t="str">
        <f t="shared" si="179"/>
        <v/>
      </c>
      <c r="Z345" s="33" t="str">
        <f t="shared" si="180"/>
        <v/>
      </c>
      <c r="AA345" s="33" t="str">
        <f t="shared" si="181"/>
        <v/>
      </c>
    </row>
    <row r="346" spans="4:27" x14ac:dyDescent="0.25">
      <c r="D346" s="70">
        <v>59</v>
      </c>
      <c r="E346" s="27" t="str">
        <f t="shared" si="162"/>
        <v/>
      </c>
      <c r="F346" s="33" t="str">
        <f t="shared" si="163"/>
        <v/>
      </c>
      <c r="G346" s="33" t="str">
        <f t="shared" si="164"/>
        <v/>
      </c>
      <c r="H346" s="33" t="str">
        <f t="shared" si="165"/>
        <v/>
      </c>
      <c r="I346" s="33" t="str">
        <f t="shared" si="166"/>
        <v/>
      </c>
      <c r="J346" s="33" t="str">
        <f t="shared" si="167"/>
        <v/>
      </c>
      <c r="K346" s="33" t="str">
        <f t="shared" si="168"/>
        <v/>
      </c>
      <c r="L346" s="33"/>
      <c r="M346" s="33"/>
      <c r="N346" s="33" t="str">
        <f t="shared" si="169"/>
        <v/>
      </c>
      <c r="O346" s="33" t="str">
        <f t="shared" si="170"/>
        <v/>
      </c>
      <c r="P346" s="33" t="str">
        <f t="shared" si="171"/>
        <v/>
      </c>
      <c r="Q346" s="33" t="str">
        <f t="shared" si="172"/>
        <v/>
      </c>
      <c r="R346" s="33" t="str">
        <f t="shared" si="173"/>
        <v/>
      </c>
      <c r="S346" s="27" t="str">
        <f t="shared" si="174"/>
        <v/>
      </c>
      <c r="T346" s="33" t="str">
        <f t="shared" si="175"/>
        <v/>
      </c>
      <c r="U346" s="33"/>
      <c r="V346" s="33" t="str">
        <f t="shared" si="176"/>
        <v/>
      </c>
      <c r="W346" s="33" t="str">
        <f t="shared" si="177"/>
        <v/>
      </c>
      <c r="X346" s="33" t="str">
        <f t="shared" si="178"/>
        <v/>
      </c>
      <c r="Y346" s="33" t="str">
        <f t="shared" si="179"/>
        <v/>
      </c>
      <c r="Z346" s="33" t="str">
        <f t="shared" si="180"/>
        <v/>
      </c>
      <c r="AA346" s="33" t="str">
        <f t="shared" si="181"/>
        <v/>
      </c>
    </row>
    <row r="347" spans="4:27" x14ac:dyDescent="0.25">
      <c r="D347" s="70">
        <v>60</v>
      </c>
      <c r="E347" s="27" t="str">
        <f t="shared" si="162"/>
        <v/>
      </c>
      <c r="F347" s="33" t="str">
        <f t="shared" si="163"/>
        <v/>
      </c>
      <c r="G347" s="33" t="str">
        <f t="shared" si="164"/>
        <v/>
      </c>
      <c r="H347" s="33" t="str">
        <f t="shared" si="165"/>
        <v/>
      </c>
      <c r="I347" s="33" t="str">
        <f t="shared" si="166"/>
        <v/>
      </c>
      <c r="J347" s="33" t="str">
        <f t="shared" si="167"/>
        <v/>
      </c>
      <c r="K347" s="33" t="str">
        <f t="shared" si="168"/>
        <v/>
      </c>
      <c r="L347" s="33"/>
      <c r="M347" s="33"/>
      <c r="N347" s="33" t="str">
        <f t="shared" si="169"/>
        <v/>
      </c>
      <c r="O347" s="33" t="str">
        <f t="shared" si="170"/>
        <v/>
      </c>
      <c r="P347" s="33" t="str">
        <f t="shared" si="171"/>
        <v/>
      </c>
      <c r="Q347" s="33" t="str">
        <f t="shared" si="172"/>
        <v/>
      </c>
      <c r="R347" s="33" t="str">
        <f t="shared" si="173"/>
        <v/>
      </c>
      <c r="S347" s="27" t="str">
        <f t="shared" si="174"/>
        <v/>
      </c>
      <c r="T347" s="33" t="str">
        <f t="shared" si="175"/>
        <v/>
      </c>
      <c r="U347" s="33"/>
      <c r="V347" s="33" t="str">
        <f t="shared" si="176"/>
        <v/>
      </c>
      <c r="W347" s="33" t="str">
        <f t="shared" si="177"/>
        <v/>
      </c>
      <c r="X347" s="33" t="str">
        <f t="shared" si="178"/>
        <v/>
      </c>
      <c r="Y347" s="33" t="str">
        <f t="shared" si="179"/>
        <v/>
      </c>
      <c r="Z347" s="33" t="str">
        <f t="shared" si="180"/>
        <v/>
      </c>
      <c r="AA347" s="33" t="str">
        <f t="shared" si="181"/>
        <v/>
      </c>
    </row>
    <row r="348" spans="4:27" x14ac:dyDescent="0.25">
      <c r="D348" s="70">
        <v>61</v>
      </c>
      <c r="E348" s="27" t="str">
        <f t="shared" si="162"/>
        <v/>
      </c>
      <c r="F348" s="33" t="str">
        <f t="shared" si="163"/>
        <v/>
      </c>
      <c r="G348" s="33" t="str">
        <f t="shared" si="164"/>
        <v/>
      </c>
      <c r="H348" s="33" t="str">
        <f t="shared" si="165"/>
        <v/>
      </c>
      <c r="I348" s="33" t="str">
        <f t="shared" si="166"/>
        <v/>
      </c>
      <c r="J348" s="33" t="str">
        <f t="shared" si="167"/>
        <v/>
      </c>
      <c r="K348" s="33" t="str">
        <f t="shared" si="168"/>
        <v/>
      </c>
      <c r="L348" s="33"/>
      <c r="M348" s="33"/>
      <c r="N348" s="33" t="str">
        <f t="shared" si="169"/>
        <v/>
      </c>
      <c r="O348" s="33" t="str">
        <f t="shared" si="170"/>
        <v/>
      </c>
      <c r="P348" s="33" t="str">
        <f t="shared" si="171"/>
        <v/>
      </c>
      <c r="Q348" s="33" t="str">
        <f t="shared" si="172"/>
        <v/>
      </c>
      <c r="R348" s="33" t="str">
        <f t="shared" si="173"/>
        <v/>
      </c>
      <c r="S348" s="27" t="str">
        <f t="shared" si="174"/>
        <v/>
      </c>
      <c r="T348" s="33" t="str">
        <f t="shared" si="175"/>
        <v/>
      </c>
      <c r="U348" s="33"/>
      <c r="V348" s="33" t="str">
        <f t="shared" si="176"/>
        <v/>
      </c>
      <c r="W348" s="33" t="str">
        <f t="shared" si="177"/>
        <v/>
      </c>
      <c r="X348" s="33" t="str">
        <f t="shared" si="178"/>
        <v/>
      </c>
      <c r="Y348" s="33" t="str">
        <f t="shared" si="179"/>
        <v/>
      </c>
      <c r="Z348" s="33" t="str">
        <f t="shared" si="180"/>
        <v/>
      </c>
      <c r="AA348" s="33" t="str">
        <f t="shared" si="181"/>
        <v/>
      </c>
    </row>
    <row r="349" spans="4:27" x14ac:dyDescent="0.25">
      <c r="D349" s="70">
        <v>62</v>
      </c>
      <c r="E349" s="27" t="str">
        <f t="shared" si="162"/>
        <v/>
      </c>
      <c r="F349" s="33" t="str">
        <f t="shared" si="163"/>
        <v/>
      </c>
      <c r="G349" s="33" t="str">
        <f t="shared" si="164"/>
        <v/>
      </c>
      <c r="H349" s="33" t="str">
        <f t="shared" si="165"/>
        <v/>
      </c>
      <c r="I349" s="33" t="str">
        <f t="shared" si="166"/>
        <v/>
      </c>
      <c r="J349" s="33" t="str">
        <f t="shared" si="167"/>
        <v/>
      </c>
      <c r="K349" s="33" t="str">
        <f t="shared" si="168"/>
        <v/>
      </c>
      <c r="L349" s="33"/>
      <c r="M349" s="33"/>
      <c r="N349" s="33" t="str">
        <f t="shared" si="169"/>
        <v/>
      </c>
      <c r="O349" s="33" t="str">
        <f t="shared" si="170"/>
        <v/>
      </c>
      <c r="P349" s="33" t="str">
        <f t="shared" si="171"/>
        <v/>
      </c>
      <c r="Q349" s="33" t="str">
        <f t="shared" si="172"/>
        <v/>
      </c>
      <c r="R349" s="33" t="str">
        <f t="shared" si="173"/>
        <v/>
      </c>
      <c r="S349" s="27" t="str">
        <f t="shared" si="174"/>
        <v/>
      </c>
      <c r="T349" s="33" t="str">
        <f t="shared" si="175"/>
        <v/>
      </c>
      <c r="U349" s="33"/>
      <c r="V349" s="33" t="str">
        <f t="shared" si="176"/>
        <v/>
      </c>
      <c r="W349" s="33" t="str">
        <f t="shared" si="177"/>
        <v/>
      </c>
      <c r="X349" s="33" t="str">
        <f t="shared" si="178"/>
        <v/>
      </c>
      <c r="Y349" s="33" t="str">
        <f t="shared" si="179"/>
        <v/>
      </c>
      <c r="Z349" s="33" t="str">
        <f t="shared" si="180"/>
        <v/>
      </c>
      <c r="AA349" s="33" t="str">
        <f t="shared" si="181"/>
        <v/>
      </c>
    </row>
    <row r="350" spans="4:27" x14ac:dyDescent="0.25">
      <c r="D350" s="70">
        <v>63</v>
      </c>
      <c r="E350" s="27" t="str">
        <f t="shared" si="162"/>
        <v/>
      </c>
      <c r="F350" s="33" t="str">
        <f t="shared" si="163"/>
        <v/>
      </c>
      <c r="G350" s="33" t="str">
        <f t="shared" si="164"/>
        <v/>
      </c>
      <c r="H350" s="33" t="str">
        <f t="shared" si="165"/>
        <v/>
      </c>
      <c r="I350" s="33" t="str">
        <f t="shared" si="166"/>
        <v/>
      </c>
      <c r="J350" s="33" t="str">
        <f t="shared" si="167"/>
        <v/>
      </c>
      <c r="K350" s="33" t="str">
        <f t="shared" si="168"/>
        <v/>
      </c>
      <c r="L350" s="33"/>
      <c r="M350" s="33"/>
      <c r="N350" s="33" t="str">
        <f t="shared" si="169"/>
        <v/>
      </c>
      <c r="O350" s="33" t="str">
        <f t="shared" si="170"/>
        <v/>
      </c>
      <c r="P350" s="33" t="str">
        <f t="shared" si="171"/>
        <v/>
      </c>
      <c r="Q350" s="33" t="str">
        <f t="shared" si="172"/>
        <v/>
      </c>
      <c r="R350" s="33" t="str">
        <f t="shared" si="173"/>
        <v/>
      </c>
      <c r="S350" s="27" t="str">
        <f t="shared" si="174"/>
        <v/>
      </c>
      <c r="T350" s="33" t="str">
        <f t="shared" si="175"/>
        <v/>
      </c>
      <c r="U350" s="33"/>
      <c r="V350" s="33" t="str">
        <f t="shared" si="176"/>
        <v/>
      </c>
      <c r="W350" s="33" t="str">
        <f t="shared" si="177"/>
        <v/>
      </c>
      <c r="X350" s="33" t="str">
        <f t="shared" si="178"/>
        <v/>
      </c>
      <c r="Y350" s="33" t="str">
        <f t="shared" si="179"/>
        <v/>
      </c>
      <c r="Z350" s="33" t="str">
        <f t="shared" si="180"/>
        <v/>
      </c>
      <c r="AA350" s="33" t="str">
        <f t="shared" si="181"/>
        <v/>
      </c>
    </row>
    <row r="351" spans="4:27" x14ac:dyDescent="0.25">
      <c r="D351" s="70">
        <v>64</v>
      </c>
      <c r="E351" s="27" t="str">
        <f t="shared" si="162"/>
        <v/>
      </c>
      <c r="F351" s="33" t="str">
        <f t="shared" si="163"/>
        <v/>
      </c>
      <c r="G351" s="33" t="str">
        <f t="shared" si="164"/>
        <v/>
      </c>
      <c r="H351" s="33" t="str">
        <f t="shared" si="165"/>
        <v/>
      </c>
      <c r="I351" s="33" t="str">
        <f t="shared" si="166"/>
        <v/>
      </c>
      <c r="J351" s="33" t="str">
        <f t="shared" si="167"/>
        <v/>
      </c>
      <c r="K351" s="33" t="str">
        <f t="shared" si="168"/>
        <v/>
      </c>
      <c r="L351" s="33"/>
      <c r="M351" s="33"/>
      <c r="N351" s="33" t="str">
        <f t="shared" si="169"/>
        <v/>
      </c>
      <c r="O351" s="33" t="str">
        <f t="shared" si="170"/>
        <v/>
      </c>
      <c r="P351" s="33" t="str">
        <f t="shared" si="171"/>
        <v/>
      </c>
      <c r="Q351" s="33" t="str">
        <f t="shared" si="172"/>
        <v/>
      </c>
      <c r="R351" s="33" t="str">
        <f t="shared" si="173"/>
        <v/>
      </c>
      <c r="S351" s="27" t="str">
        <f t="shared" si="174"/>
        <v/>
      </c>
      <c r="T351" s="33" t="str">
        <f t="shared" si="175"/>
        <v/>
      </c>
      <c r="U351" s="33"/>
      <c r="V351" s="33" t="str">
        <f t="shared" si="176"/>
        <v/>
      </c>
      <c r="W351" s="33" t="str">
        <f t="shared" si="177"/>
        <v/>
      </c>
      <c r="X351" s="33" t="str">
        <f t="shared" si="178"/>
        <v/>
      </c>
      <c r="Y351" s="33" t="str">
        <f t="shared" si="179"/>
        <v/>
      </c>
      <c r="Z351" s="33" t="str">
        <f t="shared" si="180"/>
        <v/>
      </c>
      <c r="AA351" s="33" t="str">
        <f t="shared" si="181"/>
        <v/>
      </c>
    </row>
    <row r="352" spans="4:27" x14ac:dyDescent="0.25">
      <c r="D352" s="70">
        <v>65</v>
      </c>
      <c r="E352" s="27" t="str">
        <f t="shared" ref="E352:E383" si="182">IFERROR(VLOOKUP(SMALL($D$157:$D$284,D352),$D$157:$AW$284,2,FALSE),"")</f>
        <v/>
      </c>
      <c r="F352" s="33" t="str">
        <f t="shared" ref="F352:F383" si="183">IFERROR(VLOOKUP(SMALL($D$157:$D$284,D352),$D$157:$AW$284,12,FALSE),"")</f>
        <v/>
      </c>
      <c r="G352" s="33" t="str">
        <f t="shared" ref="G352:G383" si="184">IFERROR(VLOOKUP(SMALL($D$157:$D$284,D352),$D$157:$AW$284,21,FALSE),"")</f>
        <v/>
      </c>
      <c r="H352" s="33" t="str">
        <f t="shared" ref="H352:H383" si="185">IFERROR(VLOOKUP(SMALL($D$157:$D$284,D352),$D$157:$AW$284,29,FALSE),"")</f>
        <v/>
      </c>
      <c r="I352" s="33" t="str">
        <f t="shared" ref="I352:I383" si="186">IFERROR(VLOOKUP(SMALL($D$157:$D$284,D352),$D$157:$AW$284,40,FALSE),"")</f>
        <v/>
      </c>
      <c r="J352" s="33" t="str">
        <f t="shared" ref="J352:J383" si="187">IFERROR(VLOOKUP(SMALL($D$157:$D$284,D352),$D$157:$AW$284,4,FALSE),"")</f>
        <v/>
      </c>
      <c r="K352" s="33" t="str">
        <f t="shared" ref="K352:K383" si="188">IFERROR(VLOOKUP(SMALL($D$157:$D$284,D352),$D$157:$AW$284,14,FALSE),"")</f>
        <v/>
      </c>
      <c r="L352" s="33"/>
      <c r="M352" s="33"/>
      <c r="N352" s="33" t="str">
        <f t="shared" ref="N352:N383" si="189">IFERROR(VLOOKUP(SMALL($D$157:$D$284,D352),$D$157:$AW$284,23,FALSE),"")</f>
        <v/>
      </c>
      <c r="O352" s="33" t="str">
        <f t="shared" ref="O352:O383" si="190">IFERROR(VLOOKUP(SMALL($D$157:$D$284,D352),$D$157:$AW$284,31,FALSE),"")</f>
        <v/>
      </c>
      <c r="P352" s="33" t="str">
        <f t="shared" ref="P352:P383" si="191">IFERROR(VLOOKUP(SMALL($D$157:$D$284,D352),$D$157:$AW$284,42,FALSE),"")</f>
        <v/>
      </c>
      <c r="Q352" s="33" t="str">
        <f t="shared" ref="Q352:Q383" si="192">IFERROR(VLOOKUP(SMALL($D$157:$D$284,D352),$D$157:$AW$284,6,FALSE),"")</f>
        <v/>
      </c>
      <c r="R352" s="33" t="str">
        <f t="shared" ref="R352:R383" si="193">IFERROR(VLOOKUP(SMALL($D$157:$D$284,D352),$D$157:$AW$284,16,FALSE),"")</f>
        <v/>
      </c>
      <c r="S352" s="27" t="str">
        <f t="shared" ref="S352:S383" si="194">IFERROR(VLOOKUP(SMALL($D$157:$D$284,D352),$D$157:$AW$284,25,FALSE),"")</f>
        <v/>
      </c>
      <c r="T352" s="33" t="str">
        <f t="shared" ref="T352:T383" si="195">IFERROR(VLOOKUP(SMALL($D$157:$D$284,D352),$D$157:$AW$284,33,FALSE),"")</f>
        <v/>
      </c>
      <c r="U352" s="33"/>
      <c r="V352" s="33" t="str">
        <f t="shared" ref="V352:V383" si="196">IFERROR(VLOOKUP(SMALL($D$157:$D$284,D352),$D$157:$AW$284,44,FALSE),"")</f>
        <v/>
      </c>
      <c r="W352" s="33" t="str">
        <f t="shared" ref="W352:W383" si="197">IFERROR(VLOOKUP(SMALL($D$157:$D$284,D352),$D$157:$AW$284,8,FALSE),"")</f>
        <v/>
      </c>
      <c r="X352" s="33" t="str">
        <f t="shared" ref="X352:X383" si="198">IFERROR(VLOOKUP(SMALL($D$157:$D$284,D352),$D$157:$AW$284,19,FALSE),"")</f>
        <v/>
      </c>
      <c r="Y352" s="33" t="str">
        <f t="shared" ref="Y352:Y383" si="199">IFERROR(VLOOKUP(SMALL($D$157:$D$284,D352),$D$157:$AW$284,27,FALSE),"")</f>
        <v/>
      </c>
      <c r="Z352" s="33" t="str">
        <f t="shared" ref="Z352:Z383" si="200">IFERROR(VLOOKUP(SMALL($D$157:$D$284,D352),$D$157:$AW$284,35,FALSE),"")</f>
        <v/>
      </c>
      <c r="AA352" s="33" t="str">
        <f t="shared" ref="AA352:AA383" si="201">IFERROR(VLOOKUP(SMALL($D$157:$D$284,D352),$D$157:$AW$284,46,FALSE),"")</f>
        <v/>
      </c>
    </row>
    <row r="353" spans="4:27" x14ac:dyDescent="0.25">
      <c r="D353" s="70">
        <v>66</v>
      </c>
      <c r="E353" s="27" t="str">
        <f t="shared" si="182"/>
        <v/>
      </c>
      <c r="F353" s="33" t="str">
        <f t="shared" si="183"/>
        <v/>
      </c>
      <c r="G353" s="33" t="str">
        <f t="shared" si="184"/>
        <v/>
      </c>
      <c r="H353" s="33" t="str">
        <f t="shared" si="185"/>
        <v/>
      </c>
      <c r="I353" s="33" t="str">
        <f t="shared" si="186"/>
        <v/>
      </c>
      <c r="J353" s="33" t="str">
        <f t="shared" si="187"/>
        <v/>
      </c>
      <c r="K353" s="33" t="str">
        <f t="shared" si="188"/>
        <v/>
      </c>
      <c r="L353" s="33"/>
      <c r="M353" s="33"/>
      <c r="N353" s="33" t="str">
        <f t="shared" si="189"/>
        <v/>
      </c>
      <c r="O353" s="33" t="str">
        <f t="shared" si="190"/>
        <v/>
      </c>
      <c r="P353" s="33" t="str">
        <f t="shared" si="191"/>
        <v/>
      </c>
      <c r="Q353" s="33" t="str">
        <f t="shared" si="192"/>
        <v/>
      </c>
      <c r="R353" s="33" t="str">
        <f t="shared" si="193"/>
        <v/>
      </c>
      <c r="S353" s="27" t="str">
        <f t="shared" si="194"/>
        <v/>
      </c>
      <c r="T353" s="33" t="str">
        <f t="shared" si="195"/>
        <v/>
      </c>
      <c r="U353" s="33"/>
      <c r="V353" s="33" t="str">
        <f t="shared" si="196"/>
        <v/>
      </c>
      <c r="W353" s="33" t="str">
        <f t="shared" si="197"/>
        <v/>
      </c>
      <c r="X353" s="33" t="str">
        <f t="shared" si="198"/>
        <v/>
      </c>
      <c r="Y353" s="33" t="str">
        <f t="shared" si="199"/>
        <v/>
      </c>
      <c r="Z353" s="33" t="str">
        <f t="shared" si="200"/>
        <v/>
      </c>
      <c r="AA353" s="33" t="str">
        <f t="shared" si="201"/>
        <v/>
      </c>
    </row>
    <row r="354" spans="4:27" x14ac:dyDescent="0.25">
      <c r="D354" s="70">
        <v>67</v>
      </c>
      <c r="E354" s="27" t="str">
        <f t="shared" si="182"/>
        <v/>
      </c>
      <c r="F354" s="33" t="str">
        <f t="shared" si="183"/>
        <v/>
      </c>
      <c r="G354" s="33" t="str">
        <f t="shared" si="184"/>
        <v/>
      </c>
      <c r="H354" s="33" t="str">
        <f t="shared" si="185"/>
        <v/>
      </c>
      <c r="I354" s="33" t="str">
        <f t="shared" si="186"/>
        <v/>
      </c>
      <c r="J354" s="33" t="str">
        <f t="shared" si="187"/>
        <v/>
      </c>
      <c r="K354" s="33" t="str">
        <f t="shared" si="188"/>
        <v/>
      </c>
      <c r="L354" s="33"/>
      <c r="M354" s="33"/>
      <c r="N354" s="33" t="str">
        <f t="shared" si="189"/>
        <v/>
      </c>
      <c r="O354" s="33" t="str">
        <f t="shared" si="190"/>
        <v/>
      </c>
      <c r="P354" s="33" t="str">
        <f t="shared" si="191"/>
        <v/>
      </c>
      <c r="Q354" s="33" t="str">
        <f t="shared" si="192"/>
        <v/>
      </c>
      <c r="R354" s="33" t="str">
        <f t="shared" si="193"/>
        <v/>
      </c>
      <c r="S354" s="27" t="str">
        <f t="shared" si="194"/>
        <v/>
      </c>
      <c r="T354" s="33" t="str">
        <f t="shared" si="195"/>
        <v/>
      </c>
      <c r="U354" s="33"/>
      <c r="V354" s="33" t="str">
        <f t="shared" si="196"/>
        <v/>
      </c>
      <c r="W354" s="33" t="str">
        <f t="shared" si="197"/>
        <v/>
      </c>
      <c r="X354" s="33" t="str">
        <f t="shared" si="198"/>
        <v/>
      </c>
      <c r="Y354" s="33" t="str">
        <f t="shared" si="199"/>
        <v/>
      </c>
      <c r="Z354" s="33" t="str">
        <f t="shared" si="200"/>
        <v/>
      </c>
      <c r="AA354" s="33" t="str">
        <f t="shared" si="201"/>
        <v/>
      </c>
    </row>
    <row r="355" spans="4:27" x14ac:dyDescent="0.25">
      <c r="D355" s="70">
        <v>68</v>
      </c>
      <c r="E355" s="27" t="str">
        <f t="shared" si="182"/>
        <v/>
      </c>
      <c r="F355" s="33" t="str">
        <f t="shared" si="183"/>
        <v/>
      </c>
      <c r="G355" s="33" t="str">
        <f t="shared" si="184"/>
        <v/>
      </c>
      <c r="H355" s="33" t="str">
        <f t="shared" si="185"/>
        <v/>
      </c>
      <c r="I355" s="33" t="str">
        <f t="shared" si="186"/>
        <v/>
      </c>
      <c r="J355" s="33" t="str">
        <f t="shared" si="187"/>
        <v/>
      </c>
      <c r="K355" s="33" t="str">
        <f t="shared" si="188"/>
        <v/>
      </c>
      <c r="L355" s="33"/>
      <c r="M355" s="33"/>
      <c r="N355" s="33" t="str">
        <f t="shared" si="189"/>
        <v/>
      </c>
      <c r="O355" s="33" t="str">
        <f t="shared" si="190"/>
        <v/>
      </c>
      <c r="P355" s="33" t="str">
        <f t="shared" si="191"/>
        <v/>
      </c>
      <c r="Q355" s="33" t="str">
        <f t="shared" si="192"/>
        <v/>
      </c>
      <c r="R355" s="33" t="str">
        <f t="shared" si="193"/>
        <v/>
      </c>
      <c r="S355" s="27" t="str">
        <f t="shared" si="194"/>
        <v/>
      </c>
      <c r="T355" s="33" t="str">
        <f t="shared" si="195"/>
        <v/>
      </c>
      <c r="U355" s="33"/>
      <c r="V355" s="33" t="str">
        <f t="shared" si="196"/>
        <v/>
      </c>
      <c r="W355" s="33" t="str">
        <f t="shared" si="197"/>
        <v/>
      </c>
      <c r="X355" s="33" t="str">
        <f t="shared" si="198"/>
        <v/>
      </c>
      <c r="Y355" s="33" t="str">
        <f t="shared" si="199"/>
        <v/>
      </c>
      <c r="Z355" s="33" t="str">
        <f t="shared" si="200"/>
        <v/>
      </c>
      <c r="AA355" s="33" t="str">
        <f t="shared" si="201"/>
        <v/>
      </c>
    </row>
    <row r="356" spans="4:27" x14ac:dyDescent="0.25">
      <c r="D356" s="70">
        <v>69</v>
      </c>
      <c r="E356" s="27" t="str">
        <f t="shared" si="182"/>
        <v/>
      </c>
      <c r="F356" s="33" t="str">
        <f t="shared" si="183"/>
        <v/>
      </c>
      <c r="G356" s="33" t="str">
        <f t="shared" si="184"/>
        <v/>
      </c>
      <c r="H356" s="33" t="str">
        <f t="shared" si="185"/>
        <v/>
      </c>
      <c r="I356" s="33" t="str">
        <f t="shared" si="186"/>
        <v/>
      </c>
      <c r="J356" s="33" t="str">
        <f t="shared" si="187"/>
        <v/>
      </c>
      <c r="K356" s="33" t="str">
        <f t="shared" si="188"/>
        <v/>
      </c>
      <c r="L356" s="33"/>
      <c r="M356" s="33"/>
      <c r="N356" s="33" t="str">
        <f t="shared" si="189"/>
        <v/>
      </c>
      <c r="O356" s="33" t="str">
        <f t="shared" si="190"/>
        <v/>
      </c>
      <c r="P356" s="33" t="str">
        <f t="shared" si="191"/>
        <v/>
      </c>
      <c r="Q356" s="33" t="str">
        <f t="shared" si="192"/>
        <v/>
      </c>
      <c r="R356" s="33" t="str">
        <f t="shared" si="193"/>
        <v/>
      </c>
      <c r="S356" s="27" t="str">
        <f t="shared" si="194"/>
        <v/>
      </c>
      <c r="T356" s="33" t="str">
        <f t="shared" si="195"/>
        <v/>
      </c>
      <c r="U356" s="33"/>
      <c r="V356" s="33" t="str">
        <f t="shared" si="196"/>
        <v/>
      </c>
      <c r="W356" s="33" t="str">
        <f t="shared" si="197"/>
        <v/>
      </c>
      <c r="X356" s="33" t="str">
        <f t="shared" si="198"/>
        <v/>
      </c>
      <c r="Y356" s="33" t="str">
        <f t="shared" si="199"/>
        <v/>
      </c>
      <c r="Z356" s="33" t="str">
        <f t="shared" si="200"/>
        <v/>
      </c>
      <c r="AA356" s="33" t="str">
        <f t="shared" si="201"/>
        <v/>
      </c>
    </row>
    <row r="357" spans="4:27" x14ac:dyDescent="0.25">
      <c r="D357" s="70">
        <v>70</v>
      </c>
      <c r="E357" s="27" t="str">
        <f t="shared" si="182"/>
        <v/>
      </c>
      <c r="F357" s="33" t="str">
        <f t="shared" si="183"/>
        <v/>
      </c>
      <c r="G357" s="33" t="str">
        <f t="shared" si="184"/>
        <v/>
      </c>
      <c r="H357" s="33" t="str">
        <f t="shared" si="185"/>
        <v/>
      </c>
      <c r="I357" s="33" t="str">
        <f t="shared" si="186"/>
        <v/>
      </c>
      <c r="J357" s="33" t="str">
        <f t="shared" si="187"/>
        <v/>
      </c>
      <c r="K357" s="33" t="str">
        <f t="shared" si="188"/>
        <v/>
      </c>
      <c r="L357" s="33"/>
      <c r="M357" s="33"/>
      <c r="N357" s="33" t="str">
        <f t="shared" si="189"/>
        <v/>
      </c>
      <c r="O357" s="33" t="str">
        <f t="shared" si="190"/>
        <v/>
      </c>
      <c r="P357" s="33" t="str">
        <f t="shared" si="191"/>
        <v/>
      </c>
      <c r="Q357" s="33" t="str">
        <f t="shared" si="192"/>
        <v/>
      </c>
      <c r="R357" s="33" t="str">
        <f t="shared" si="193"/>
        <v/>
      </c>
      <c r="S357" s="27" t="str">
        <f t="shared" si="194"/>
        <v/>
      </c>
      <c r="T357" s="33" t="str">
        <f t="shared" si="195"/>
        <v/>
      </c>
      <c r="U357" s="33"/>
      <c r="V357" s="33" t="str">
        <f t="shared" si="196"/>
        <v/>
      </c>
      <c r="W357" s="33" t="str">
        <f t="shared" si="197"/>
        <v/>
      </c>
      <c r="X357" s="33" t="str">
        <f t="shared" si="198"/>
        <v/>
      </c>
      <c r="Y357" s="33" t="str">
        <f t="shared" si="199"/>
        <v/>
      </c>
      <c r="Z357" s="33" t="str">
        <f t="shared" si="200"/>
        <v/>
      </c>
      <c r="AA357" s="33" t="str">
        <f t="shared" si="201"/>
        <v/>
      </c>
    </row>
    <row r="358" spans="4:27" x14ac:dyDescent="0.25">
      <c r="D358" s="70">
        <v>71</v>
      </c>
      <c r="E358" s="27" t="str">
        <f t="shared" si="182"/>
        <v/>
      </c>
      <c r="F358" s="33" t="str">
        <f t="shared" si="183"/>
        <v/>
      </c>
      <c r="G358" s="33" t="str">
        <f t="shared" si="184"/>
        <v/>
      </c>
      <c r="H358" s="33" t="str">
        <f t="shared" si="185"/>
        <v/>
      </c>
      <c r="I358" s="33" t="str">
        <f t="shared" si="186"/>
        <v/>
      </c>
      <c r="J358" s="33" t="str">
        <f t="shared" si="187"/>
        <v/>
      </c>
      <c r="K358" s="33" t="str">
        <f t="shared" si="188"/>
        <v/>
      </c>
      <c r="L358" s="33"/>
      <c r="M358" s="33"/>
      <c r="N358" s="33" t="str">
        <f t="shared" si="189"/>
        <v/>
      </c>
      <c r="O358" s="33" t="str">
        <f t="shared" si="190"/>
        <v/>
      </c>
      <c r="P358" s="33" t="str">
        <f t="shared" si="191"/>
        <v/>
      </c>
      <c r="Q358" s="33" t="str">
        <f t="shared" si="192"/>
        <v/>
      </c>
      <c r="R358" s="33" t="str">
        <f t="shared" si="193"/>
        <v/>
      </c>
      <c r="S358" s="27" t="str">
        <f t="shared" si="194"/>
        <v/>
      </c>
      <c r="T358" s="33" t="str">
        <f t="shared" si="195"/>
        <v/>
      </c>
      <c r="U358" s="33"/>
      <c r="V358" s="33" t="str">
        <f t="shared" si="196"/>
        <v/>
      </c>
      <c r="W358" s="33" t="str">
        <f t="shared" si="197"/>
        <v/>
      </c>
      <c r="X358" s="33" t="str">
        <f t="shared" si="198"/>
        <v/>
      </c>
      <c r="Y358" s="33" t="str">
        <f t="shared" si="199"/>
        <v/>
      </c>
      <c r="Z358" s="33" t="str">
        <f t="shared" si="200"/>
        <v/>
      </c>
      <c r="AA358" s="33" t="str">
        <f t="shared" si="201"/>
        <v/>
      </c>
    </row>
    <row r="359" spans="4:27" x14ac:dyDescent="0.25">
      <c r="D359" s="70">
        <v>72</v>
      </c>
      <c r="E359" s="27" t="str">
        <f t="shared" si="182"/>
        <v/>
      </c>
      <c r="F359" s="33" t="str">
        <f t="shared" si="183"/>
        <v/>
      </c>
      <c r="G359" s="33" t="str">
        <f t="shared" si="184"/>
        <v/>
      </c>
      <c r="H359" s="33" t="str">
        <f t="shared" si="185"/>
        <v/>
      </c>
      <c r="I359" s="33" t="str">
        <f t="shared" si="186"/>
        <v/>
      </c>
      <c r="J359" s="33" t="str">
        <f t="shared" si="187"/>
        <v/>
      </c>
      <c r="K359" s="33" t="str">
        <f t="shared" si="188"/>
        <v/>
      </c>
      <c r="L359" s="33"/>
      <c r="M359" s="33"/>
      <c r="N359" s="33" t="str">
        <f t="shared" si="189"/>
        <v/>
      </c>
      <c r="O359" s="33" t="str">
        <f t="shared" si="190"/>
        <v/>
      </c>
      <c r="P359" s="33" t="str">
        <f t="shared" si="191"/>
        <v/>
      </c>
      <c r="Q359" s="33" t="str">
        <f t="shared" si="192"/>
        <v/>
      </c>
      <c r="R359" s="33" t="str">
        <f t="shared" si="193"/>
        <v/>
      </c>
      <c r="S359" s="27" t="str">
        <f t="shared" si="194"/>
        <v/>
      </c>
      <c r="T359" s="33" t="str">
        <f t="shared" si="195"/>
        <v/>
      </c>
      <c r="U359" s="33"/>
      <c r="V359" s="33" t="str">
        <f t="shared" si="196"/>
        <v/>
      </c>
      <c r="W359" s="33" t="str">
        <f t="shared" si="197"/>
        <v/>
      </c>
      <c r="X359" s="33" t="str">
        <f t="shared" si="198"/>
        <v/>
      </c>
      <c r="Y359" s="33" t="str">
        <f t="shared" si="199"/>
        <v/>
      </c>
      <c r="Z359" s="33" t="str">
        <f t="shared" si="200"/>
        <v/>
      </c>
      <c r="AA359" s="33" t="str">
        <f t="shared" si="201"/>
        <v/>
      </c>
    </row>
    <row r="360" spans="4:27" x14ac:dyDescent="0.25">
      <c r="D360" s="70">
        <v>73</v>
      </c>
      <c r="E360" s="27" t="str">
        <f t="shared" si="182"/>
        <v/>
      </c>
      <c r="F360" s="33" t="str">
        <f t="shared" si="183"/>
        <v/>
      </c>
      <c r="G360" s="33" t="str">
        <f t="shared" si="184"/>
        <v/>
      </c>
      <c r="H360" s="33" t="str">
        <f t="shared" si="185"/>
        <v/>
      </c>
      <c r="I360" s="33" t="str">
        <f t="shared" si="186"/>
        <v/>
      </c>
      <c r="J360" s="33" t="str">
        <f t="shared" si="187"/>
        <v/>
      </c>
      <c r="K360" s="33" t="str">
        <f t="shared" si="188"/>
        <v/>
      </c>
      <c r="L360" s="33"/>
      <c r="M360" s="33"/>
      <c r="N360" s="33" t="str">
        <f t="shared" si="189"/>
        <v/>
      </c>
      <c r="O360" s="33" t="str">
        <f t="shared" si="190"/>
        <v/>
      </c>
      <c r="P360" s="33" t="str">
        <f t="shared" si="191"/>
        <v/>
      </c>
      <c r="Q360" s="33" t="str">
        <f t="shared" si="192"/>
        <v/>
      </c>
      <c r="R360" s="33" t="str">
        <f t="shared" si="193"/>
        <v/>
      </c>
      <c r="S360" s="27" t="str">
        <f t="shared" si="194"/>
        <v/>
      </c>
      <c r="T360" s="33" t="str">
        <f t="shared" si="195"/>
        <v/>
      </c>
      <c r="U360" s="33"/>
      <c r="V360" s="33" t="str">
        <f t="shared" si="196"/>
        <v/>
      </c>
      <c r="W360" s="33" t="str">
        <f t="shared" si="197"/>
        <v/>
      </c>
      <c r="X360" s="33" t="str">
        <f t="shared" si="198"/>
        <v/>
      </c>
      <c r="Y360" s="33" t="str">
        <f t="shared" si="199"/>
        <v/>
      </c>
      <c r="Z360" s="33" t="str">
        <f t="shared" si="200"/>
        <v/>
      </c>
      <c r="AA360" s="33" t="str">
        <f t="shared" si="201"/>
        <v/>
      </c>
    </row>
    <row r="361" spans="4:27" x14ac:dyDescent="0.25">
      <c r="D361" s="70">
        <v>74</v>
      </c>
      <c r="E361" s="27" t="str">
        <f t="shared" si="182"/>
        <v/>
      </c>
      <c r="F361" s="33" t="str">
        <f t="shared" si="183"/>
        <v/>
      </c>
      <c r="G361" s="33" t="str">
        <f t="shared" si="184"/>
        <v/>
      </c>
      <c r="H361" s="33" t="str">
        <f t="shared" si="185"/>
        <v/>
      </c>
      <c r="I361" s="33" t="str">
        <f t="shared" si="186"/>
        <v/>
      </c>
      <c r="J361" s="33" t="str">
        <f t="shared" si="187"/>
        <v/>
      </c>
      <c r="K361" s="33" t="str">
        <f t="shared" si="188"/>
        <v/>
      </c>
      <c r="L361" s="33"/>
      <c r="M361" s="33"/>
      <c r="N361" s="33" t="str">
        <f t="shared" si="189"/>
        <v/>
      </c>
      <c r="O361" s="33" t="str">
        <f t="shared" si="190"/>
        <v/>
      </c>
      <c r="P361" s="33" t="str">
        <f t="shared" si="191"/>
        <v/>
      </c>
      <c r="Q361" s="33" t="str">
        <f t="shared" si="192"/>
        <v/>
      </c>
      <c r="R361" s="33" t="str">
        <f t="shared" si="193"/>
        <v/>
      </c>
      <c r="S361" s="27" t="str">
        <f t="shared" si="194"/>
        <v/>
      </c>
      <c r="T361" s="33" t="str">
        <f t="shared" si="195"/>
        <v/>
      </c>
      <c r="U361" s="33"/>
      <c r="V361" s="33" t="str">
        <f t="shared" si="196"/>
        <v/>
      </c>
      <c r="W361" s="33" t="str">
        <f t="shared" si="197"/>
        <v/>
      </c>
      <c r="X361" s="33" t="str">
        <f t="shared" si="198"/>
        <v/>
      </c>
      <c r="Y361" s="33" t="str">
        <f t="shared" si="199"/>
        <v/>
      </c>
      <c r="Z361" s="33" t="str">
        <f t="shared" si="200"/>
        <v/>
      </c>
      <c r="AA361" s="33" t="str">
        <f t="shared" si="201"/>
        <v/>
      </c>
    </row>
    <row r="362" spans="4:27" x14ac:dyDescent="0.25">
      <c r="D362" s="70">
        <v>75</v>
      </c>
      <c r="E362" s="27" t="str">
        <f t="shared" si="182"/>
        <v/>
      </c>
      <c r="F362" s="33" t="str">
        <f t="shared" si="183"/>
        <v/>
      </c>
      <c r="G362" s="33" t="str">
        <f t="shared" si="184"/>
        <v/>
      </c>
      <c r="H362" s="33" t="str">
        <f t="shared" si="185"/>
        <v/>
      </c>
      <c r="I362" s="33" t="str">
        <f t="shared" si="186"/>
        <v/>
      </c>
      <c r="J362" s="33" t="str">
        <f t="shared" si="187"/>
        <v/>
      </c>
      <c r="K362" s="33" t="str">
        <f t="shared" si="188"/>
        <v/>
      </c>
      <c r="L362" s="33"/>
      <c r="M362" s="33"/>
      <c r="N362" s="33" t="str">
        <f t="shared" si="189"/>
        <v/>
      </c>
      <c r="O362" s="33" t="str">
        <f t="shared" si="190"/>
        <v/>
      </c>
      <c r="P362" s="33" t="str">
        <f t="shared" si="191"/>
        <v/>
      </c>
      <c r="Q362" s="33" t="str">
        <f t="shared" si="192"/>
        <v/>
      </c>
      <c r="R362" s="33" t="str">
        <f t="shared" si="193"/>
        <v/>
      </c>
      <c r="S362" s="27" t="str">
        <f t="shared" si="194"/>
        <v/>
      </c>
      <c r="T362" s="33" t="str">
        <f t="shared" si="195"/>
        <v/>
      </c>
      <c r="U362" s="33"/>
      <c r="V362" s="33" t="str">
        <f t="shared" si="196"/>
        <v/>
      </c>
      <c r="W362" s="33" t="str">
        <f t="shared" si="197"/>
        <v/>
      </c>
      <c r="X362" s="33" t="str">
        <f t="shared" si="198"/>
        <v/>
      </c>
      <c r="Y362" s="33" t="str">
        <f t="shared" si="199"/>
        <v/>
      </c>
      <c r="Z362" s="33" t="str">
        <f t="shared" si="200"/>
        <v/>
      </c>
      <c r="AA362" s="33" t="str">
        <f t="shared" si="201"/>
        <v/>
      </c>
    </row>
    <row r="363" spans="4:27" x14ac:dyDescent="0.25">
      <c r="D363" s="70">
        <v>76</v>
      </c>
      <c r="E363" s="27" t="str">
        <f t="shared" si="182"/>
        <v/>
      </c>
      <c r="F363" s="33" t="str">
        <f t="shared" si="183"/>
        <v/>
      </c>
      <c r="G363" s="33" t="str">
        <f t="shared" si="184"/>
        <v/>
      </c>
      <c r="H363" s="33" t="str">
        <f t="shared" si="185"/>
        <v/>
      </c>
      <c r="I363" s="33" t="str">
        <f t="shared" si="186"/>
        <v/>
      </c>
      <c r="J363" s="33" t="str">
        <f t="shared" si="187"/>
        <v/>
      </c>
      <c r="K363" s="33" t="str">
        <f t="shared" si="188"/>
        <v/>
      </c>
      <c r="L363" s="33"/>
      <c r="M363" s="33"/>
      <c r="N363" s="33" t="str">
        <f t="shared" si="189"/>
        <v/>
      </c>
      <c r="O363" s="33" t="str">
        <f t="shared" si="190"/>
        <v/>
      </c>
      <c r="P363" s="33" t="str">
        <f t="shared" si="191"/>
        <v/>
      </c>
      <c r="Q363" s="33" t="str">
        <f t="shared" si="192"/>
        <v/>
      </c>
      <c r="R363" s="33" t="str">
        <f t="shared" si="193"/>
        <v/>
      </c>
      <c r="S363" s="27" t="str">
        <f t="shared" si="194"/>
        <v/>
      </c>
      <c r="T363" s="33" t="str">
        <f t="shared" si="195"/>
        <v/>
      </c>
      <c r="U363" s="33"/>
      <c r="V363" s="33" t="str">
        <f t="shared" si="196"/>
        <v/>
      </c>
      <c r="W363" s="33" t="str">
        <f t="shared" si="197"/>
        <v/>
      </c>
      <c r="X363" s="33" t="str">
        <f t="shared" si="198"/>
        <v/>
      </c>
      <c r="Y363" s="33" t="str">
        <f t="shared" si="199"/>
        <v/>
      </c>
      <c r="Z363" s="33" t="str">
        <f t="shared" si="200"/>
        <v/>
      </c>
      <c r="AA363" s="33" t="str">
        <f t="shared" si="201"/>
        <v/>
      </c>
    </row>
    <row r="364" spans="4:27" x14ac:dyDescent="0.25">
      <c r="D364" s="70">
        <v>77</v>
      </c>
      <c r="E364" s="27" t="str">
        <f t="shared" si="182"/>
        <v/>
      </c>
      <c r="F364" s="33" t="str">
        <f t="shared" si="183"/>
        <v/>
      </c>
      <c r="G364" s="33" t="str">
        <f t="shared" si="184"/>
        <v/>
      </c>
      <c r="H364" s="33" t="str">
        <f t="shared" si="185"/>
        <v/>
      </c>
      <c r="I364" s="33" t="str">
        <f t="shared" si="186"/>
        <v/>
      </c>
      <c r="J364" s="33" t="str">
        <f t="shared" si="187"/>
        <v/>
      </c>
      <c r="K364" s="33" t="str">
        <f t="shared" si="188"/>
        <v/>
      </c>
      <c r="L364" s="33"/>
      <c r="M364" s="33"/>
      <c r="N364" s="33" t="str">
        <f t="shared" si="189"/>
        <v/>
      </c>
      <c r="O364" s="33" t="str">
        <f t="shared" si="190"/>
        <v/>
      </c>
      <c r="P364" s="33" t="str">
        <f t="shared" si="191"/>
        <v/>
      </c>
      <c r="Q364" s="33" t="str">
        <f t="shared" si="192"/>
        <v/>
      </c>
      <c r="R364" s="33" t="str">
        <f t="shared" si="193"/>
        <v/>
      </c>
      <c r="S364" s="27" t="str">
        <f t="shared" si="194"/>
        <v/>
      </c>
      <c r="T364" s="33" t="str">
        <f t="shared" si="195"/>
        <v/>
      </c>
      <c r="U364" s="33"/>
      <c r="V364" s="33" t="str">
        <f t="shared" si="196"/>
        <v/>
      </c>
      <c r="W364" s="33" t="str">
        <f t="shared" si="197"/>
        <v/>
      </c>
      <c r="X364" s="33" t="str">
        <f t="shared" si="198"/>
        <v/>
      </c>
      <c r="Y364" s="33" t="str">
        <f t="shared" si="199"/>
        <v/>
      </c>
      <c r="Z364" s="33" t="str">
        <f t="shared" si="200"/>
        <v/>
      </c>
      <c r="AA364" s="33" t="str">
        <f t="shared" si="201"/>
        <v/>
      </c>
    </row>
    <row r="365" spans="4:27" x14ac:dyDescent="0.25">
      <c r="D365" s="70">
        <v>78</v>
      </c>
      <c r="E365" s="27" t="str">
        <f t="shared" si="182"/>
        <v/>
      </c>
      <c r="F365" s="33" t="str">
        <f t="shared" si="183"/>
        <v/>
      </c>
      <c r="G365" s="33" t="str">
        <f t="shared" si="184"/>
        <v/>
      </c>
      <c r="H365" s="33" t="str">
        <f t="shared" si="185"/>
        <v/>
      </c>
      <c r="I365" s="33" t="str">
        <f t="shared" si="186"/>
        <v/>
      </c>
      <c r="J365" s="33" t="str">
        <f t="shared" si="187"/>
        <v/>
      </c>
      <c r="K365" s="33" t="str">
        <f t="shared" si="188"/>
        <v/>
      </c>
      <c r="L365" s="33"/>
      <c r="M365" s="33"/>
      <c r="N365" s="33" t="str">
        <f t="shared" si="189"/>
        <v/>
      </c>
      <c r="O365" s="33" t="str">
        <f t="shared" si="190"/>
        <v/>
      </c>
      <c r="P365" s="33" t="str">
        <f t="shared" si="191"/>
        <v/>
      </c>
      <c r="Q365" s="33" t="str">
        <f t="shared" si="192"/>
        <v/>
      </c>
      <c r="R365" s="33" t="str">
        <f t="shared" si="193"/>
        <v/>
      </c>
      <c r="S365" s="27" t="str">
        <f t="shared" si="194"/>
        <v/>
      </c>
      <c r="T365" s="33" t="str">
        <f t="shared" si="195"/>
        <v/>
      </c>
      <c r="U365" s="33"/>
      <c r="V365" s="33" t="str">
        <f t="shared" si="196"/>
        <v/>
      </c>
      <c r="W365" s="33" t="str">
        <f t="shared" si="197"/>
        <v/>
      </c>
      <c r="X365" s="33" t="str">
        <f t="shared" si="198"/>
        <v/>
      </c>
      <c r="Y365" s="33" t="str">
        <f t="shared" si="199"/>
        <v/>
      </c>
      <c r="Z365" s="33" t="str">
        <f t="shared" si="200"/>
        <v/>
      </c>
      <c r="AA365" s="33" t="str">
        <f t="shared" si="201"/>
        <v/>
      </c>
    </row>
    <row r="366" spans="4:27" x14ac:dyDescent="0.25">
      <c r="D366" s="70">
        <v>79</v>
      </c>
      <c r="E366" s="27" t="str">
        <f t="shared" si="182"/>
        <v/>
      </c>
      <c r="F366" s="33" t="str">
        <f t="shared" si="183"/>
        <v/>
      </c>
      <c r="G366" s="33" t="str">
        <f t="shared" si="184"/>
        <v/>
      </c>
      <c r="H366" s="33" t="str">
        <f t="shared" si="185"/>
        <v/>
      </c>
      <c r="I366" s="33" t="str">
        <f t="shared" si="186"/>
        <v/>
      </c>
      <c r="J366" s="33" t="str">
        <f t="shared" si="187"/>
        <v/>
      </c>
      <c r="K366" s="33" t="str">
        <f t="shared" si="188"/>
        <v/>
      </c>
      <c r="L366" s="33"/>
      <c r="M366" s="33"/>
      <c r="N366" s="33" t="str">
        <f t="shared" si="189"/>
        <v/>
      </c>
      <c r="O366" s="33" t="str">
        <f t="shared" si="190"/>
        <v/>
      </c>
      <c r="P366" s="33" t="str">
        <f t="shared" si="191"/>
        <v/>
      </c>
      <c r="Q366" s="33" t="str">
        <f t="shared" si="192"/>
        <v/>
      </c>
      <c r="R366" s="33" t="str">
        <f t="shared" si="193"/>
        <v/>
      </c>
      <c r="S366" s="27" t="str">
        <f t="shared" si="194"/>
        <v/>
      </c>
      <c r="T366" s="33" t="str">
        <f t="shared" si="195"/>
        <v/>
      </c>
      <c r="U366" s="33"/>
      <c r="V366" s="33" t="str">
        <f t="shared" si="196"/>
        <v/>
      </c>
      <c r="W366" s="33" t="str">
        <f t="shared" si="197"/>
        <v/>
      </c>
      <c r="X366" s="33" t="str">
        <f t="shared" si="198"/>
        <v/>
      </c>
      <c r="Y366" s="33" t="str">
        <f t="shared" si="199"/>
        <v/>
      </c>
      <c r="Z366" s="33" t="str">
        <f t="shared" si="200"/>
        <v/>
      </c>
      <c r="AA366" s="33" t="str">
        <f t="shared" si="201"/>
        <v/>
      </c>
    </row>
    <row r="367" spans="4:27" x14ac:dyDescent="0.25">
      <c r="D367" s="70">
        <v>80</v>
      </c>
      <c r="E367" s="27" t="str">
        <f t="shared" si="182"/>
        <v/>
      </c>
      <c r="F367" s="33" t="str">
        <f t="shared" si="183"/>
        <v/>
      </c>
      <c r="G367" s="33" t="str">
        <f t="shared" si="184"/>
        <v/>
      </c>
      <c r="H367" s="33" t="str">
        <f t="shared" si="185"/>
        <v/>
      </c>
      <c r="I367" s="33" t="str">
        <f t="shared" si="186"/>
        <v/>
      </c>
      <c r="J367" s="33" t="str">
        <f t="shared" si="187"/>
        <v/>
      </c>
      <c r="K367" s="33" t="str">
        <f t="shared" si="188"/>
        <v/>
      </c>
      <c r="L367" s="33"/>
      <c r="M367" s="33"/>
      <c r="N367" s="33" t="str">
        <f t="shared" si="189"/>
        <v/>
      </c>
      <c r="O367" s="33" t="str">
        <f t="shared" si="190"/>
        <v/>
      </c>
      <c r="P367" s="33" t="str">
        <f t="shared" si="191"/>
        <v/>
      </c>
      <c r="Q367" s="33" t="str">
        <f t="shared" si="192"/>
        <v/>
      </c>
      <c r="R367" s="33" t="str">
        <f t="shared" si="193"/>
        <v/>
      </c>
      <c r="S367" s="27" t="str">
        <f t="shared" si="194"/>
        <v/>
      </c>
      <c r="T367" s="33" t="str">
        <f t="shared" si="195"/>
        <v/>
      </c>
      <c r="U367" s="33"/>
      <c r="V367" s="33" t="str">
        <f t="shared" si="196"/>
        <v/>
      </c>
      <c r="W367" s="33" t="str">
        <f t="shared" si="197"/>
        <v/>
      </c>
      <c r="X367" s="33" t="str">
        <f t="shared" si="198"/>
        <v/>
      </c>
      <c r="Y367" s="33" t="str">
        <f t="shared" si="199"/>
        <v/>
      </c>
      <c r="Z367" s="33" t="str">
        <f t="shared" si="200"/>
        <v/>
      </c>
      <c r="AA367" s="33" t="str">
        <f t="shared" si="201"/>
        <v/>
      </c>
    </row>
    <row r="368" spans="4:27" x14ac:dyDescent="0.25">
      <c r="D368" s="70">
        <v>81</v>
      </c>
      <c r="E368" s="27" t="str">
        <f t="shared" si="182"/>
        <v/>
      </c>
      <c r="F368" s="33" t="str">
        <f t="shared" si="183"/>
        <v/>
      </c>
      <c r="G368" s="33" t="str">
        <f t="shared" si="184"/>
        <v/>
      </c>
      <c r="H368" s="33" t="str">
        <f t="shared" si="185"/>
        <v/>
      </c>
      <c r="I368" s="33" t="str">
        <f t="shared" si="186"/>
        <v/>
      </c>
      <c r="J368" s="33" t="str">
        <f t="shared" si="187"/>
        <v/>
      </c>
      <c r="K368" s="33" t="str">
        <f t="shared" si="188"/>
        <v/>
      </c>
      <c r="L368" s="33"/>
      <c r="M368" s="33"/>
      <c r="N368" s="33" t="str">
        <f t="shared" si="189"/>
        <v/>
      </c>
      <c r="O368" s="33" t="str">
        <f t="shared" si="190"/>
        <v/>
      </c>
      <c r="P368" s="33" t="str">
        <f t="shared" si="191"/>
        <v/>
      </c>
      <c r="Q368" s="33" t="str">
        <f t="shared" si="192"/>
        <v/>
      </c>
      <c r="R368" s="33" t="str">
        <f t="shared" si="193"/>
        <v/>
      </c>
      <c r="S368" s="27" t="str">
        <f t="shared" si="194"/>
        <v/>
      </c>
      <c r="T368" s="33" t="str">
        <f t="shared" si="195"/>
        <v/>
      </c>
      <c r="U368" s="33"/>
      <c r="V368" s="33" t="str">
        <f t="shared" si="196"/>
        <v/>
      </c>
      <c r="W368" s="33" t="str">
        <f t="shared" si="197"/>
        <v/>
      </c>
      <c r="X368" s="33" t="str">
        <f t="shared" si="198"/>
        <v/>
      </c>
      <c r="Y368" s="33" t="str">
        <f t="shared" si="199"/>
        <v/>
      </c>
      <c r="Z368" s="33" t="str">
        <f t="shared" si="200"/>
        <v/>
      </c>
      <c r="AA368" s="33" t="str">
        <f t="shared" si="201"/>
        <v/>
      </c>
    </row>
    <row r="369" spans="4:27" x14ac:dyDescent="0.25">
      <c r="D369" s="70">
        <v>82</v>
      </c>
      <c r="E369" s="27" t="str">
        <f t="shared" si="182"/>
        <v/>
      </c>
      <c r="F369" s="33" t="str">
        <f t="shared" si="183"/>
        <v/>
      </c>
      <c r="G369" s="33" t="str">
        <f t="shared" si="184"/>
        <v/>
      </c>
      <c r="H369" s="33" t="str">
        <f t="shared" si="185"/>
        <v/>
      </c>
      <c r="I369" s="33" t="str">
        <f t="shared" si="186"/>
        <v/>
      </c>
      <c r="J369" s="33" t="str">
        <f t="shared" si="187"/>
        <v/>
      </c>
      <c r="K369" s="33" t="str">
        <f t="shared" si="188"/>
        <v/>
      </c>
      <c r="L369" s="33"/>
      <c r="M369" s="33"/>
      <c r="N369" s="33" t="str">
        <f t="shared" si="189"/>
        <v/>
      </c>
      <c r="O369" s="33" t="str">
        <f t="shared" si="190"/>
        <v/>
      </c>
      <c r="P369" s="33" t="str">
        <f t="shared" si="191"/>
        <v/>
      </c>
      <c r="Q369" s="33" t="str">
        <f t="shared" si="192"/>
        <v/>
      </c>
      <c r="R369" s="33" t="str">
        <f t="shared" si="193"/>
        <v/>
      </c>
      <c r="S369" s="27" t="str">
        <f t="shared" si="194"/>
        <v/>
      </c>
      <c r="T369" s="33" t="str">
        <f t="shared" si="195"/>
        <v/>
      </c>
      <c r="U369" s="33"/>
      <c r="V369" s="33" t="str">
        <f t="shared" si="196"/>
        <v/>
      </c>
      <c r="W369" s="33" t="str">
        <f t="shared" si="197"/>
        <v/>
      </c>
      <c r="X369" s="33" t="str">
        <f t="shared" si="198"/>
        <v/>
      </c>
      <c r="Y369" s="33" t="str">
        <f t="shared" si="199"/>
        <v/>
      </c>
      <c r="Z369" s="33" t="str">
        <f t="shared" si="200"/>
        <v/>
      </c>
      <c r="AA369" s="33" t="str">
        <f t="shared" si="201"/>
        <v/>
      </c>
    </row>
    <row r="370" spans="4:27" x14ac:dyDescent="0.25">
      <c r="D370" s="70">
        <v>83</v>
      </c>
      <c r="E370" s="27" t="str">
        <f t="shared" si="182"/>
        <v/>
      </c>
      <c r="F370" s="33" t="str">
        <f t="shared" si="183"/>
        <v/>
      </c>
      <c r="G370" s="33" t="str">
        <f t="shared" si="184"/>
        <v/>
      </c>
      <c r="H370" s="33" t="str">
        <f t="shared" si="185"/>
        <v/>
      </c>
      <c r="I370" s="33" t="str">
        <f t="shared" si="186"/>
        <v/>
      </c>
      <c r="J370" s="33" t="str">
        <f t="shared" si="187"/>
        <v/>
      </c>
      <c r="K370" s="33" t="str">
        <f t="shared" si="188"/>
        <v/>
      </c>
      <c r="L370" s="33"/>
      <c r="M370" s="33"/>
      <c r="N370" s="33" t="str">
        <f t="shared" si="189"/>
        <v/>
      </c>
      <c r="O370" s="33" t="str">
        <f t="shared" si="190"/>
        <v/>
      </c>
      <c r="P370" s="33" t="str">
        <f t="shared" si="191"/>
        <v/>
      </c>
      <c r="Q370" s="33" t="str">
        <f t="shared" si="192"/>
        <v/>
      </c>
      <c r="R370" s="33" t="str">
        <f t="shared" si="193"/>
        <v/>
      </c>
      <c r="S370" s="27" t="str">
        <f t="shared" si="194"/>
        <v/>
      </c>
      <c r="T370" s="33" t="str">
        <f t="shared" si="195"/>
        <v/>
      </c>
      <c r="U370" s="33"/>
      <c r="V370" s="33" t="str">
        <f t="shared" si="196"/>
        <v/>
      </c>
      <c r="W370" s="33" t="str">
        <f t="shared" si="197"/>
        <v/>
      </c>
      <c r="X370" s="33" t="str">
        <f t="shared" si="198"/>
        <v/>
      </c>
      <c r="Y370" s="33" t="str">
        <f t="shared" si="199"/>
        <v/>
      </c>
      <c r="Z370" s="33" t="str">
        <f t="shared" si="200"/>
        <v/>
      </c>
      <c r="AA370" s="33" t="str">
        <f t="shared" si="201"/>
        <v/>
      </c>
    </row>
    <row r="371" spans="4:27" x14ac:dyDescent="0.25">
      <c r="D371" s="70">
        <v>84</v>
      </c>
      <c r="E371" s="27" t="str">
        <f t="shared" si="182"/>
        <v/>
      </c>
      <c r="F371" s="33" t="str">
        <f t="shared" si="183"/>
        <v/>
      </c>
      <c r="G371" s="33" t="str">
        <f t="shared" si="184"/>
        <v/>
      </c>
      <c r="H371" s="33" t="str">
        <f t="shared" si="185"/>
        <v/>
      </c>
      <c r="I371" s="33" t="str">
        <f t="shared" si="186"/>
        <v/>
      </c>
      <c r="J371" s="33" t="str">
        <f t="shared" si="187"/>
        <v/>
      </c>
      <c r="K371" s="33" t="str">
        <f t="shared" si="188"/>
        <v/>
      </c>
      <c r="L371" s="33"/>
      <c r="M371" s="33"/>
      <c r="N371" s="33" t="str">
        <f t="shared" si="189"/>
        <v/>
      </c>
      <c r="O371" s="33" t="str">
        <f t="shared" si="190"/>
        <v/>
      </c>
      <c r="P371" s="33" t="str">
        <f t="shared" si="191"/>
        <v/>
      </c>
      <c r="Q371" s="33" t="str">
        <f t="shared" si="192"/>
        <v/>
      </c>
      <c r="R371" s="33" t="str">
        <f t="shared" si="193"/>
        <v/>
      </c>
      <c r="S371" s="27" t="str">
        <f t="shared" si="194"/>
        <v/>
      </c>
      <c r="T371" s="33" t="str">
        <f t="shared" si="195"/>
        <v/>
      </c>
      <c r="U371" s="33"/>
      <c r="V371" s="33" t="str">
        <f t="shared" si="196"/>
        <v/>
      </c>
      <c r="W371" s="33" t="str">
        <f t="shared" si="197"/>
        <v/>
      </c>
      <c r="X371" s="33" t="str">
        <f t="shared" si="198"/>
        <v/>
      </c>
      <c r="Y371" s="33" t="str">
        <f t="shared" si="199"/>
        <v/>
      </c>
      <c r="Z371" s="33" t="str">
        <f t="shared" si="200"/>
        <v/>
      </c>
      <c r="AA371" s="33" t="str">
        <f t="shared" si="201"/>
        <v/>
      </c>
    </row>
    <row r="372" spans="4:27" x14ac:dyDescent="0.25">
      <c r="D372" s="70">
        <v>85</v>
      </c>
      <c r="E372" s="27" t="str">
        <f t="shared" si="182"/>
        <v/>
      </c>
      <c r="F372" s="33" t="str">
        <f t="shared" si="183"/>
        <v/>
      </c>
      <c r="G372" s="33" t="str">
        <f t="shared" si="184"/>
        <v/>
      </c>
      <c r="H372" s="33" t="str">
        <f t="shared" si="185"/>
        <v/>
      </c>
      <c r="I372" s="33" t="str">
        <f t="shared" si="186"/>
        <v/>
      </c>
      <c r="J372" s="33" t="str">
        <f t="shared" si="187"/>
        <v/>
      </c>
      <c r="K372" s="33" t="str">
        <f t="shared" si="188"/>
        <v/>
      </c>
      <c r="L372" s="33"/>
      <c r="M372" s="33"/>
      <c r="N372" s="33" t="str">
        <f t="shared" si="189"/>
        <v/>
      </c>
      <c r="O372" s="33" t="str">
        <f t="shared" si="190"/>
        <v/>
      </c>
      <c r="P372" s="33" t="str">
        <f t="shared" si="191"/>
        <v/>
      </c>
      <c r="Q372" s="33" t="str">
        <f t="shared" si="192"/>
        <v/>
      </c>
      <c r="R372" s="33" t="str">
        <f t="shared" si="193"/>
        <v/>
      </c>
      <c r="S372" s="27" t="str">
        <f t="shared" si="194"/>
        <v/>
      </c>
      <c r="T372" s="33" t="str">
        <f t="shared" si="195"/>
        <v/>
      </c>
      <c r="U372" s="33"/>
      <c r="V372" s="33" t="str">
        <f t="shared" si="196"/>
        <v/>
      </c>
      <c r="W372" s="33" t="str">
        <f t="shared" si="197"/>
        <v/>
      </c>
      <c r="X372" s="33" t="str">
        <f t="shared" si="198"/>
        <v/>
      </c>
      <c r="Y372" s="33" t="str">
        <f t="shared" si="199"/>
        <v/>
      </c>
      <c r="Z372" s="33" t="str">
        <f t="shared" si="200"/>
        <v/>
      </c>
      <c r="AA372" s="33" t="str">
        <f t="shared" si="201"/>
        <v/>
      </c>
    </row>
    <row r="373" spans="4:27" x14ac:dyDescent="0.25">
      <c r="D373" s="70">
        <v>86</v>
      </c>
      <c r="E373" s="27" t="str">
        <f t="shared" si="182"/>
        <v/>
      </c>
      <c r="F373" s="33" t="str">
        <f t="shared" si="183"/>
        <v/>
      </c>
      <c r="G373" s="33" t="str">
        <f t="shared" si="184"/>
        <v/>
      </c>
      <c r="H373" s="33" t="str">
        <f t="shared" si="185"/>
        <v/>
      </c>
      <c r="I373" s="33" t="str">
        <f t="shared" si="186"/>
        <v/>
      </c>
      <c r="J373" s="33" t="str">
        <f t="shared" si="187"/>
        <v/>
      </c>
      <c r="K373" s="33" t="str">
        <f t="shared" si="188"/>
        <v/>
      </c>
      <c r="L373" s="33"/>
      <c r="M373" s="33"/>
      <c r="N373" s="33" t="str">
        <f t="shared" si="189"/>
        <v/>
      </c>
      <c r="O373" s="33" t="str">
        <f t="shared" si="190"/>
        <v/>
      </c>
      <c r="P373" s="33" t="str">
        <f t="shared" si="191"/>
        <v/>
      </c>
      <c r="Q373" s="33" t="str">
        <f t="shared" si="192"/>
        <v/>
      </c>
      <c r="R373" s="33" t="str">
        <f t="shared" si="193"/>
        <v/>
      </c>
      <c r="S373" s="27" t="str">
        <f t="shared" si="194"/>
        <v/>
      </c>
      <c r="T373" s="33" t="str">
        <f t="shared" si="195"/>
        <v/>
      </c>
      <c r="U373" s="33"/>
      <c r="V373" s="33" t="str">
        <f t="shared" si="196"/>
        <v/>
      </c>
      <c r="W373" s="33" t="str">
        <f t="shared" si="197"/>
        <v/>
      </c>
      <c r="X373" s="33" t="str">
        <f t="shared" si="198"/>
        <v/>
      </c>
      <c r="Y373" s="33" t="str">
        <f t="shared" si="199"/>
        <v/>
      </c>
      <c r="Z373" s="33" t="str">
        <f t="shared" si="200"/>
        <v/>
      </c>
      <c r="AA373" s="33" t="str">
        <f t="shared" si="201"/>
        <v/>
      </c>
    </row>
    <row r="374" spans="4:27" x14ac:dyDescent="0.25">
      <c r="D374" s="70">
        <v>87</v>
      </c>
      <c r="E374" s="27" t="str">
        <f t="shared" si="182"/>
        <v/>
      </c>
      <c r="F374" s="33" t="str">
        <f t="shared" si="183"/>
        <v/>
      </c>
      <c r="G374" s="33" t="str">
        <f t="shared" si="184"/>
        <v/>
      </c>
      <c r="H374" s="33" t="str">
        <f t="shared" si="185"/>
        <v/>
      </c>
      <c r="I374" s="33" t="str">
        <f t="shared" si="186"/>
        <v/>
      </c>
      <c r="J374" s="33" t="str">
        <f t="shared" si="187"/>
        <v/>
      </c>
      <c r="K374" s="33" t="str">
        <f t="shared" si="188"/>
        <v/>
      </c>
      <c r="L374" s="33"/>
      <c r="M374" s="33"/>
      <c r="N374" s="33" t="str">
        <f t="shared" si="189"/>
        <v/>
      </c>
      <c r="O374" s="33" t="str">
        <f t="shared" si="190"/>
        <v/>
      </c>
      <c r="P374" s="33" t="str">
        <f t="shared" si="191"/>
        <v/>
      </c>
      <c r="Q374" s="33" t="str">
        <f t="shared" si="192"/>
        <v/>
      </c>
      <c r="R374" s="33" t="str">
        <f t="shared" si="193"/>
        <v/>
      </c>
      <c r="S374" s="27" t="str">
        <f t="shared" si="194"/>
        <v/>
      </c>
      <c r="T374" s="33" t="str">
        <f t="shared" si="195"/>
        <v/>
      </c>
      <c r="U374" s="33"/>
      <c r="V374" s="33" t="str">
        <f t="shared" si="196"/>
        <v/>
      </c>
      <c r="W374" s="33" t="str">
        <f t="shared" si="197"/>
        <v/>
      </c>
      <c r="X374" s="33" t="str">
        <f t="shared" si="198"/>
        <v/>
      </c>
      <c r="Y374" s="33" t="str">
        <f t="shared" si="199"/>
        <v/>
      </c>
      <c r="Z374" s="33" t="str">
        <f t="shared" si="200"/>
        <v/>
      </c>
      <c r="AA374" s="33" t="str">
        <f t="shared" si="201"/>
        <v/>
      </c>
    </row>
    <row r="375" spans="4:27" x14ac:dyDescent="0.25">
      <c r="D375" s="70">
        <v>88</v>
      </c>
      <c r="E375" s="27" t="str">
        <f t="shared" si="182"/>
        <v/>
      </c>
      <c r="F375" s="33" t="str">
        <f t="shared" si="183"/>
        <v/>
      </c>
      <c r="G375" s="33" t="str">
        <f t="shared" si="184"/>
        <v/>
      </c>
      <c r="H375" s="33" t="str">
        <f t="shared" si="185"/>
        <v/>
      </c>
      <c r="I375" s="33" t="str">
        <f t="shared" si="186"/>
        <v/>
      </c>
      <c r="J375" s="33" t="str">
        <f t="shared" si="187"/>
        <v/>
      </c>
      <c r="K375" s="33" t="str">
        <f t="shared" si="188"/>
        <v/>
      </c>
      <c r="L375" s="33"/>
      <c r="M375" s="33"/>
      <c r="N375" s="33" t="str">
        <f t="shared" si="189"/>
        <v/>
      </c>
      <c r="O375" s="33" t="str">
        <f t="shared" si="190"/>
        <v/>
      </c>
      <c r="P375" s="33" t="str">
        <f t="shared" si="191"/>
        <v/>
      </c>
      <c r="Q375" s="33" t="str">
        <f t="shared" si="192"/>
        <v/>
      </c>
      <c r="R375" s="33" t="str">
        <f t="shared" si="193"/>
        <v/>
      </c>
      <c r="S375" s="27" t="str">
        <f t="shared" si="194"/>
        <v/>
      </c>
      <c r="T375" s="33" t="str">
        <f t="shared" si="195"/>
        <v/>
      </c>
      <c r="U375" s="33"/>
      <c r="V375" s="33" t="str">
        <f t="shared" si="196"/>
        <v/>
      </c>
      <c r="W375" s="33" t="str">
        <f t="shared" si="197"/>
        <v/>
      </c>
      <c r="X375" s="33" t="str">
        <f t="shared" si="198"/>
        <v/>
      </c>
      <c r="Y375" s="33" t="str">
        <f t="shared" si="199"/>
        <v/>
      </c>
      <c r="Z375" s="33" t="str">
        <f t="shared" si="200"/>
        <v/>
      </c>
      <c r="AA375" s="33" t="str">
        <f t="shared" si="201"/>
        <v/>
      </c>
    </row>
    <row r="376" spans="4:27" x14ac:dyDescent="0.25">
      <c r="D376" s="70">
        <v>89</v>
      </c>
      <c r="E376" s="27" t="str">
        <f t="shared" si="182"/>
        <v/>
      </c>
      <c r="F376" s="33" t="str">
        <f t="shared" si="183"/>
        <v/>
      </c>
      <c r="G376" s="33" t="str">
        <f t="shared" si="184"/>
        <v/>
      </c>
      <c r="H376" s="33" t="str">
        <f t="shared" si="185"/>
        <v/>
      </c>
      <c r="I376" s="33" t="str">
        <f t="shared" si="186"/>
        <v/>
      </c>
      <c r="J376" s="33" t="str">
        <f t="shared" si="187"/>
        <v/>
      </c>
      <c r="K376" s="33" t="str">
        <f t="shared" si="188"/>
        <v/>
      </c>
      <c r="L376" s="33"/>
      <c r="M376" s="33"/>
      <c r="N376" s="33" t="str">
        <f t="shared" si="189"/>
        <v/>
      </c>
      <c r="O376" s="33" t="str">
        <f t="shared" si="190"/>
        <v/>
      </c>
      <c r="P376" s="33" t="str">
        <f t="shared" si="191"/>
        <v/>
      </c>
      <c r="Q376" s="33" t="str">
        <f t="shared" si="192"/>
        <v/>
      </c>
      <c r="R376" s="33" t="str">
        <f t="shared" si="193"/>
        <v/>
      </c>
      <c r="S376" s="27" t="str">
        <f t="shared" si="194"/>
        <v/>
      </c>
      <c r="T376" s="33" t="str">
        <f t="shared" si="195"/>
        <v/>
      </c>
      <c r="U376" s="33"/>
      <c r="V376" s="33" t="str">
        <f t="shared" si="196"/>
        <v/>
      </c>
      <c r="W376" s="33" t="str">
        <f t="shared" si="197"/>
        <v/>
      </c>
      <c r="X376" s="33" t="str">
        <f t="shared" si="198"/>
        <v/>
      </c>
      <c r="Y376" s="33" t="str">
        <f t="shared" si="199"/>
        <v/>
      </c>
      <c r="Z376" s="33" t="str">
        <f t="shared" si="200"/>
        <v/>
      </c>
      <c r="AA376" s="33" t="str">
        <f t="shared" si="201"/>
        <v/>
      </c>
    </row>
    <row r="377" spans="4:27" x14ac:dyDescent="0.25">
      <c r="D377" s="70">
        <v>90</v>
      </c>
      <c r="E377" s="27" t="str">
        <f t="shared" si="182"/>
        <v/>
      </c>
      <c r="F377" s="33" t="str">
        <f t="shared" si="183"/>
        <v/>
      </c>
      <c r="G377" s="33" t="str">
        <f t="shared" si="184"/>
        <v/>
      </c>
      <c r="H377" s="33" t="str">
        <f t="shared" si="185"/>
        <v/>
      </c>
      <c r="I377" s="33" t="str">
        <f t="shared" si="186"/>
        <v/>
      </c>
      <c r="J377" s="33" t="str">
        <f t="shared" si="187"/>
        <v/>
      </c>
      <c r="K377" s="33" t="str">
        <f t="shared" si="188"/>
        <v/>
      </c>
      <c r="L377" s="33"/>
      <c r="M377" s="33"/>
      <c r="N377" s="33" t="str">
        <f t="shared" si="189"/>
        <v/>
      </c>
      <c r="O377" s="33" t="str">
        <f t="shared" si="190"/>
        <v/>
      </c>
      <c r="P377" s="33" t="str">
        <f t="shared" si="191"/>
        <v/>
      </c>
      <c r="Q377" s="33" t="str">
        <f t="shared" si="192"/>
        <v/>
      </c>
      <c r="R377" s="33" t="str">
        <f t="shared" si="193"/>
        <v/>
      </c>
      <c r="S377" s="27" t="str">
        <f t="shared" si="194"/>
        <v/>
      </c>
      <c r="T377" s="33" t="str">
        <f t="shared" si="195"/>
        <v/>
      </c>
      <c r="U377" s="33"/>
      <c r="V377" s="33" t="str">
        <f t="shared" si="196"/>
        <v/>
      </c>
      <c r="W377" s="33" t="str">
        <f t="shared" si="197"/>
        <v/>
      </c>
      <c r="X377" s="33" t="str">
        <f t="shared" si="198"/>
        <v/>
      </c>
      <c r="Y377" s="33" t="str">
        <f t="shared" si="199"/>
        <v/>
      </c>
      <c r="Z377" s="33" t="str">
        <f t="shared" si="200"/>
        <v/>
      </c>
      <c r="AA377" s="33" t="str">
        <f t="shared" si="201"/>
        <v/>
      </c>
    </row>
    <row r="378" spans="4:27" x14ac:dyDescent="0.25">
      <c r="D378" s="70">
        <v>91</v>
      </c>
      <c r="E378" s="27" t="str">
        <f t="shared" si="182"/>
        <v/>
      </c>
      <c r="F378" s="33" t="str">
        <f t="shared" si="183"/>
        <v/>
      </c>
      <c r="G378" s="33" t="str">
        <f t="shared" si="184"/>
        <v/>
      </c>
      <c r="H378" s="33" t="str">
        <f t="shared" si="185"/>
        <v/>
      </c>
      <c r="I378" s="33" t="str">
        <f t="shared" si="186"/>
        <v/>
      </c>
      <c r="J378" s="33" t="str">
        <f t="shared" si="187"/>
        <v/>
      </c>
      <c r="K378" s="33" t="str">
        <f t="shared" si="188"/>
        <v/>
      </c>
      <c r="L378" s="33"/>
      <c r="M378" s="33"/>
      <c r="N378" s="33" t="str">
        <f t="shared" si="189"/>
        <v/>
      </c>
      <c r="O378" s="33" t="str">
        <f t="shared" si="190"/>
        <v/>
      </c>
      <c r="P378" s="33" t="str">
        <f t="shared" si="191"/>
        <v/>
      </c>
      <c r="Q378" s="33" t="str">
        <f t="shared" si="192"/>
        <v/>
      </c>
      <c r="R378" s="33" t="str">
        <f t="shared" si="193"/>
        <v/>
      </c>
      <c r="S378" s="27" t="str">
        <f t="shared" si="194"/>
        <v/>
      </c>
      <c r="T378" s="33" t="str">
        <f t="shared" si="195"/>
        <v/>
      </c>
      <c r="U378" s="33"/>
      <c r="V378" s="33" t="str">
        <f t="shared" si="196"/>
        <v/>
      </c>
      <c r="W378" s="33" t="str">
        <f t="shared" si="197"/>
        <v/>
      </c>
      <c r="X378" s="33" t="str">
        <f t="shared" si="198"/>
        <v/>
      </c>
      <c r="Y378" s="33" t="str">
        <f t="shared" si="199"/>
        <v/>
      </c>
      <c r="Z378" s="33" t="str">
        <f t="shared" si="200"/>
        <v/>
      </c>
      <c r="AA378" s="33" t="str">
        <f t="shared" si="201"/>
        <v/>
      </c>
    </row>
    <row r="379" spans="4:27" x14ac:dyDescent="0.25">
      <c r="D379" s="70">
        <v>92</v>
      </c>
      <c r="E379" s="27" t="str">
        <f t="shared" si="182"/>
        <v/>
      </c>
      <c r="F379" s="33" t="str">
        <f t="shared" si="183"/>
        <v/>
      </c>
      <c r="G379" s="33" t="str">
        <f t="shared" si="184"/>
        <v/>
      </c>
      <c r="H379" s="33" t="str">
        <f t="shared" si="185"/>
        <v/>
      </c>
      <c r="I379" s="33" t="str">
        <f t="shared" si="186"/>
        <v/>
      </c>
      <c r="J379" s="33" t="str">
        <f t="shared" si="187"/>
        <v/>
      </c>
      <c r="K379" s="33" t="str">
        <f t="shared" si="188"/>
        <v/>
      </c>
      <c r="L379" s="33"/>
      <c r="M379" s="33"/>
      <c r="N379" s="33" t="str">
        <f t="shared" si="189"/>
        <v/>
      </c>
      <c r="O379" s="33" t="str">
        <f t="shared" si="190"/>
        <v/>
      </c>
      <c r="P379" s="33" t="str">
        <f t="shared" si="191"/>
        <v/>
      </c>
      <c r="Q379" s="33" t="str">
        <f t="shared" si="192"/>
        <v/>
      </c>
      <c r="R379" s="33" t="str">
        <f t="shared" si="193"/>
        <v/>
      </c>
      <c r="S379" s="27" t="str">
        <f t="shared" si="194"/>
        <v/>
      </c>
      <c r="T379" s="33" t="str">
        <f t="shared" si="195"/>
        <v/>
      </c>
      <c r="U379" s="33"/>
      <c r="V379" s="33" t="str">
        <f t="shared" si="196"/>
        <v/>
      </c>
      <c r="W379" s="33" t="str">
        <f t="shared" si="197"/>
        <v/>
      </c>
      <c r="X379" s="33" t="str">
        <f t="shared" si="198"/>
        <v/>
      </c>
      <c r="Y379" s="33" t="str">
        <f t="shared" si="199"/>
        <v/>
      </c>
      <c r="Z379" s="33" t="str">
        <f t="shared" si="200"/>
        <v/>
      </c>
      <c r="AA379" s="33" t="str">
        <f t="shared" si="201"/>
        <v/>
      </c>
    </row>
    <row r="380" spans="4:27" x14ac:dyDescent="0.25">
      <c r="D380" s="70">
        <v>93</v>
      </c>
      <c r="E380" s="27" t="str">
        <f t="shared" si="182"/>
        <v/>
      </c>
      <c r="F380" s="33" t="str">
        <f t="shared" si="183"/>
        <v/>
      </c>
      <c r="G380" s="33" t="str">
        <f t="shared" si="184"/>
        <v/>
      </c>
      <c r="H380" s="33" t="str">
        <f t="shared" si="185"/>
        <v/>
      </c>
      <c r="I380" s="33" t="str">
        <f t="shared" si="186"/>
        <v/>
      </c>
      <c r="J380" s="33" t="str">
        <f t="shared" si="187"/>
        <v/>
      </c>
      <c r="K380" s="33" t="str">
        <f t="shared" si="188"/>
        <v/>
      </c>
      <c r="L380" s="33"/>
      <c r="M380" s="33"/>
      <c r="N380" s="33" t="str">
        <f t="shared" si="189"/>
        <v/>
      </c>
      <c r="O380" s="33" t="str">
        <f t="shared" si="190"/>
        <v/>
      </c>
      <c r="P380" s="33" t="str">
        <f t="shared" si="191"/>
        <v/>
      </c>
      <c r="Q380" s="33" t="str">
        <f t="shared" si="192"/>
        <v/>
      </c>
      <c r="R380" s="33" t="str">
        <f t="shared" si="193"/>
        <v/>
      </c>
      <c r="S380" s="27" t="str">
        <f t="shared" si="194"/>
        <v/>
      </c>
      <c r="T380" s="33" t="str">
        <f t="shared" si="195"/>
        <v/>
      </c>
      <c r="U380" s="33"/>
      <c r="V380" s="33" t="str">
        <f t="shared" si="196"/>
        <v/>
      </c>
      <c r="W380" s="33" t="str">
        <f t="shared" si="197"/>
        <v/>
      </c>
      <c r="X380" s="33" t="str">
        <f t="shared" si="198"/>
        <v/>
      </c>
      <c r="Y380" s="33" t="str">
        <f t="shared" si="199"/>
        <v/>
      </c>
      <c r="Z380" s="33" t="str">
        <f t="shared" si="200"/>
        <v/>
      </c>
      <c r="AA380" s="33" t="str">
        <f t="shared" si="201"/>
        <v/>
      </c>
    </row>
    <row r="381" spans="4:27" x14ac:dyDescent="0.25">
      <c r="D381" s="70">
        <v>94</v>
      </c>
      <c r="E381" s="27" t="str">
        <f t="shared" si="182"/>
        <v/>
      </c>
      <c r="F381" s="33" t="str">
        <f t="shared" si="183"/>
        <v/>
      </c>
      <c r="G381" s="33" t="str">
        <f t="shared" si="184"/>
        <v/>
      </c>
      <c r="H381" s="33" t="str">
        <f t="shared" si="185"/>
        <v/>
      </c>
      <c r="I381" s="33" t="str">
        <f t="shared" si="186"/>
        <v/>
      </c>
      <c r="J381" s="33" t="str">
        <f t="shared" si="187"/>
        <v/>
      </c>
      <c r="K381" s="33" t="str">
        <f t="shared" si="188"/>
        <v/>
      </c>
      <c r="L381" s="33"/>
      <c r="M381" s="33"/>
      <c r="N381" s="33" t="str">
        <f t="shared" si="189"/>
        <v/>
      </c>
      <c r="O381" s="33" t="str">
        <f t="shared" si="190"/>
        <v/>
      </c>
      <c r="P381" s="33" t="str">
        <f t="shared" si="191"/>
        <v/>
      </c>
      <c r="Q381" s="33" t="str">
        <f t="shared" si="192"/>
        <v/>
      </c>
      <c r="R381" s="33" t="str">
        <f t="shared" si="193"/>
        <v/>
      </c>
      <c r="S381" s="27" t="str">
        <f t="shared" si="194"/>
        <v/>
      </c>
      <c r="T381" s="33" t="str">
        <f t="shared" si="195"/>
        <v/>
      </c>
      <c r="U381" s="33"/>
      <c r="V381" s="33" t="str">
        <f t="shared" si="196"/>
        <v/>
      </c>
      <c r="W381" s="33" t="str">
        <f t="shared" si="197"/>
        <v/>
      </c>
      <c r="X381" s="33" t="str">
        <f t="shared" si="198"/>
        <v/>
      </c>
      <c r="Y381" s="33" t="str">
        <f t="shared" si="199"/>
        <v/>
      </c>
      <c r="Z381" s="33" t="str">
        <f t="shared" si="200"/>
        <v/>
      </c>
      <c r="AA381" s="33" t="str">
        <f t="shared" si="201"/>
        <v/>
      </c>
    </row>
    <row r="382" spans="4:27" x14ac:dyDescent="0.25">
      <c r="D382" s="70">
        <v>95</v>
      </c>
      <c r="E382" s="27" t="str">
        <f t="shared" si="182"/>
        <v/>
      </c>
      <c r="F382" s="33" t="str">
        <f t="shared" si="183"/>
        <v/>
      </c>
      <c r="G382" s="33" t="str">
        <f t="shared" si="184"/>
        <v/>
      </c>
      <c r="H382" s="33" t="str">
        <f t="shared" si="185"/>
        <v/>
      </c>
      <c r="I382" s="33" t="str">
        <f t="shared" si="186"/>
        <v/>
      </c>
      <c r="J382" s="33" t="str">
        <f t="shared" si="187"/>
        <v/>
      </c>
      <c r="K382" s="33" t="str">
        <f t="shared" si="188"/>
        <v/>
      </c>
      <c r="L382" s="33"/>
      <c r="M382" s="33"/>
      <c r="N382" s="33" t="str">
        <f t="shared" si="189"/>
        <v/>
      </c>
      <c r="O382" s="33" t="str">
        <f t="shared" si="190"/>
        <v/>
      </c>
      <c r="P382" s="33" t="str">
        <f t="shared" si="191"/>
        <v/>
      </c>
      <c r="Q382" s="33" t="str">
        <f t="shared" si="192"/>
        <v/>
      </c>
      <c r="R382" s="33" t="str">
        <f t="shared" si="193"/>
        <v/>
      </c>
      <c r="S382" s="27" t="str">
        <f t="shared" si="194"/>
        <v/>
      </c>
      <c r="T382" s="33" t="str">
        <f t="shared" si="195"/>
        <v/>
      </c>
      <c r="U382" s="33"/>
      <c r="V382" s="33" t="str">
        <f t="shared" si="196"/>
        <v/>
      </c>
      <c r="W382" s="33" t="str">
        <f t="shared" si="197"/>
        <v/>
      </c>
      <c r="X382" s="33" t="str">
        <f t="shared" si="198"/>
        <v/>
      </c>
      <c r="Y382" s="33" t="str">
        <f t="shared" si="199"/>
        <v/>
      </c>
      <c r="Z382" s="33" t="str">
        <f t="shared" si="200"/>
        <v/>
      </c>
      <c r="AA382" s="33" t="str">
        <f t="shared" si="201"/>
        <v/>
      </c>
    </row>
    <row r="383" spans="4:27" x14ac:dyDescent="0.25">
      <c r="D383" s="70">
        <v>96</v>
      </c>
      <c r="E383" s="27" t="str">
        <f t="shared" si="182"/>
        <v/>
      </c>
      <c r="F383" s="33" t="str">
        <f t="shared" si="183"/>
        <v/>
      </c>
      <c r="G383" s="33" t="str">
        <f t="shared" si="184"/>
        <v/>
      </c>
      <c r="H383" s="33" t="str">
        <f t="shared" si="185"/>
        <v/>
      </c>
      <c r="I383" s="33" t="str">
        <f t="shared" si="186"/>
        <v/>
      </c>
      <c r="J383" s="33" t="str">
        <f t="shared" si="187"/>
        <v/>
      </c>
      <c r="K383" s="33" t="str">
        <f t="shared" si="188"/>
        <v/>
      </c>
      <c r="L383" s="33"/>
      <c r="M383" s="33"/>
      <c r="N383" s="33" t="str">
        <f t="shared" si="189"/>
        <v/>
      </c>
      <c r="O383" s="33" t="str">
        <f t="shared" si="190"/>
        <v/>
      </c>
      <c r="P383" s="33" t="str">
        <f t="shared" si="191"/>
        <v/>
      </c>
      <c r="Q383" s="33" t="str">
        <f t="shared" si="192"/>
        <v/>
      </c>
      <c r="R383" s="33" t="str">
        <f t="shared" si="193"/>
        <v/>
      </c>
      <c r="S383" s="27" t="str">
        <f t="shared" si="194"/>
        <v/>
      </c>
      <c r="T383" s="33" t="str">
        <f t="shared" si="195"/>
        <v/>
      </c>
      <c r="U383" s="33"/>
      <c r="V383" s="33" t="str">
        <f t="shared" si="196"/>
        <v/>
      </c>
      <c r="W383" s="33" t="str">
        <f t="shared" si="197"/>
        <v/>
      </c>
      <c r="X383" s="33" t="str">
        <f t="shared" si="198"/>
        <v/>
      </c>
      <c r="Y383" s="33" t="str">
        <f t="shared" si="199"/>
        <v/>
      </c>
      <c r="Z383" s="33" t="str">
        <f t="shared" si="200"/>
        <v/>
      </c>
      <c r="AA383" s="33" t="str">
        <f t="shared" si="201"/>
        <v/>
      </c>
    </row>
    <row r="384" spans="4:27" x14ac:dyDescent="0.25">
      <c r="D384" s="70">
        <v>97</v>
      </c>
      <c r="E384" s="27" t="str">
        <f t="shared" ref="E384:E415" si="202">IFERROR(VLOOKUP(SMALL($D$157:$D$284,D384),$D$157:$AW$284,2,FALSE),"")</f>
        <v/>
      </c>
      <c r="F384" s="33" t="str">
        <f t="shared" ref="F384:F415" si="203">IFERROR(VLOOKUP(SMALL($D$157:$D$284,D384),$D$157:$AW$284,12,FALSE),"")</f>
        <v/>
      </c>
      <c r="G384" s="33" t="str">
        <f t="shared" ref="G384:G415" si="204">IFERROR(VLOOKUP(SMALL($D$157:$D$284,D384),$D$157:$AW$284,21,FALSE),"")</f>
        <v/>
      </c>
      <c r="H384" s="33" t="str">
        <f t="shared" ref="H384:H415" si="205">IFERROR(VLOOKUP(SMALL($D$157:$D$284,D384),$D$157:$AW$284,29,FALSE),"")</f>
        <v/>
      </c>
      <c r="I384" s="33" t="str">
        <f t="shared" ref="I384:I415" si="206">IFERROR(VLOOKUP(SMALL($D$157:$D$284,D384),$D$157:$AW$284,40,FALSE),"")</f>
        <v/>
      </c>
      <c r="J384" s="33" t="str">
        <f t="shared" ref="J384:J415" si="207">IFERROR(VLOOKUP(SMALL($D$157:$D$284,D384),$D$157:$AW$284,4,FALSE),"")</f>
        <v/>
      </c>
      <c r="K384" s="33" t="str">
        <f t="shared" ref="K384:K415" si="208">IFERROR(VLOOKUP(SMALL($D$157:$D$284,D384),$D$157:$AW$284,14,FALSE),"")</f>
        <v/>
      </c>
      <c r="L384" s="33"/>
      <c r="M384" s="33"/>
      <c r="N384" s="33" t="str">
        <f t="shared" ref="N384:N415" si="209">IFERROR(VLOOKUP(SMALL($D$157:$D$284,D384),$D$157:$AW$284,23,FALSE),"")</f>
        <v/>
      </c>
      <c r="O384" s="33" t="str">
        <f t="shared" ref="O384:O415" si="210">IFERROR(VLOOKUP(SMALL($D$157:$D$284,D384),$D$157:$AW$284,31,FALSE),"")</f>
        <v/>
      </c>
      <c r="P384" s="33" t="str">
        <f t="shared" ref="P384:P415" si="211">IFERROR(VLOOKUP(SMALL($D$157:$D$284,D384),$D$157:$AW$284,42,FALSE),"")</f>
        <v/>
      </c>
      <c r="Q384" s="33" t="str">
        <f t="shared" ref="Q384:Q415" si="212">IFERROR(VLOOKUP(SMALL($D$157:$D$284,D384),$D$157:$AW$284,6,FALSE),"")</f>
        <v/>
      </c>
      <c r="R384" s="33" t="str">
        <f t="shared" ref="R384:R415" si="213">IFERROR(VLOOKUP(SMALL($D$157:$D$284,D384),$D$157:$AW$284,16,FALSE),"")</f>
        <v/>
      </c>
      <c r="S384" s="27" t="str">
        <f t="shared" ref="S384:S415" si="214">IFERROR(VLOOKUP(SMALL($D$157:$D$284,D384),$D$157:$AW$284,25,FALSE),"")</f>
        <v/>
      </c>
      <c r="T384" s="33" t="str">
        <f t="shared" ref="T384:T415" si="215">IFERROR(VLOOKUP(SMALL($D$157:$D$284,D384),$D$157:$AW$284,33,FALSE),"")</f>
        <v/>
      </c>
      <c r="U384" s="33"/>
      <c r="V384" s="33" t="str">
        <f t="shared" ref="V384:V415" si="216">IFERROR(VLOOKUP(SMALL($D$157:$D$284,D384),$D$157:$AW$284,44,FALSE),"")</f>
        <v/>
      </c>
      <c r="W384" s="33" t="str">
        <f t="shared" ref="W384:W415" si="217">IFERROR(VLOOKUP(SMALL($D$157:$D$284,D384),$D$157:$AW$284,8,FALSE),"")</f>
        <v/>
      </c>
      <c r="X384" s="33" t="str">
        <f t="shared" ref="X384:X415" si="218">IFERROR(VLOOKUP(SMALL($D$157:$D$284,D384),$D$157:$AW$284,19,FALSE),"")</f>
        <v/>
      </c>
      <c r="Y384" s="33" t="str">
        <f t="shared" ref="Y384:Y415" si="219">IFERROR(VLOOKUP(SMALL($D$157:$D$284,D384),$D$157:$AW$284,27,FALSE),"")</f>
        <v/>
      </c>
      <c r="Z384" s="33" t="str">
        <f t="shared" ref="Z384:Z415" si="220">IFERROR(VLOOKUP(SMALL($D$157:$D$284,D384),$D$157:$AW$284,35,FALSE),"")</f>
        <v/>
      </c>
      <c r="AA384" s="33" t="str">
        <f t="shared" ref="AA384:AA415" si="221">IFERROR(VLOOKUP(SMALL($D$157:$D$284,D384),$D$157:$AW$284,46,FALSE),"")</f>
        <v/>
      </c>
    </row>
    <row r="385" spans="4:27" x14ac:dyDescent="0.25">
      <c r="D385" s="70">
        <v>98</v>
      </c>
      <c r="E385" s="27" t="str">
        <f t="shared" si="202"/>
        <v/>
      </c>
      <c r="F385" s="33" t="str">
        <f t="shared" si="203"/>
        <v/>
      </c>
      <c r="G385" s="33" t="str">
        <f t="shared" si="204"/>
        <v/>
      </c>
      <c r="H385" s="33" t="str">
        <f t="shared" si="205"/>
        <v/>
      </c>
      <c r="I385" s="33" t="str">
        <f t="shared" si="206"/>
        <v/>
      </c>
      <c r="J385" s="33" t="str">
        <f t="shared" si="207"/>
        <v/>
      </c>
      <c r="K385" s="33" t="str">
        <f t="shared" si="208"/>
        <v/>
      </c>
      <c r="L385" s="33"/>
      <c r="M385" s="33"/>
      <c r="N385" s="33" t="str">
        <f t="shared" si="209"/>
        <v/>
      </c>
      <c r="O385" s="33" t="str">
        <f t="shared" si="210"/>
        <v/>
      </c>
      <c r="P385" s="33" t="str">
        <f t="shared" si="211"/>
        <v/>
      </c>
      <c r="Q385" s="33" t="str">
        <f t="shared" si="212"/>
        <v/>
      </c>
      <c r="R385" s="33" t="str">
        <f t="shared" si="213"/>
        <v/>
      </c>
      <c r="S385" s="27" t="str">
        <f t="shared" si="214"/>
        <v/>
      </c>
      <c r="T385" s="33" t="str">
        <f t="shared" si="215"/>
        <v/>
      </c>
      <c r="U385" s="33"/>
      <c r="V385" s="33" t="str">
        <f t="shared" si="216"/>
        <v/>
      </c>
      <c r="W385" s="33" t="str">
        <f t="shared" si="217"/>
        <v/>
      </c>
      <c r="X385" s="33" t="str">
        <f t="shared" si="218"/>
        <v/>
      </c>
      <c r="Y385" s="33" t="str">
        <f t="shared" si="219"/>
        <v/>
      </c>
      <c r="Z385" s="33" t="str">
        <f t="shared" si="220"/>
        <v/>
      </c>
      <c r="AA385" s="33" t="str">
        <f t="shared" si="221"/>
        <v/>
      </c>
    </row>
    <row r="386" spans="4:27" x14ac:dyDescent="0.25">
      <c r="D386" s="70">
        <v>99</v>
      </c>
      <c r="E386" s="27" t="str">
        <f t="shared" si="202"/>
        <v/>
      </c>
      <c r="F386" s="33" t="str">
        <f t="shared" si="203"/>
        <v/>
      </c>
      <c r="G386" s="33" t="str">
        <f t="shared" si="204"/>
        <v/>
      </c>
      <c r="H386" s="33" t="str">
        <f t="shared" si="205"/>
        <v/>
      </c>
      <c r="I386" s="33" t="str">
        <f t="shared" si="206"/>
        <v/>
      </c>
      <c r="J386" s="33" t="str">
        <f t="shared" si="207"/>
        <v/>
      </c>
      <c r="K386" s="33" t="str">
        <f t="shared" si="208"/>
        <v/>
      </c>
      <c r="L386" s="33"/>
      <c r="M386" s="33"/>
      <c r="N386" s="33" t="str">
        <f t="shared" si="209"/>
        <v/>
      </c>
      <c r="O386" s="33" t="str">
        <f t="shared" si="210"/>
        <v/>
      </c>
      <c r="P386" s="33" t="str">
        <f t="shared" si="211"/>
        <v/>
      </c>
      <c r="Q386" s="33" t="str">
        <f t="shared" si="212"/>
        <v/>
      </c>
      <c r="R386" s="33" t="str">
        <f t="shared" si="213"/>
        <v/>
      </c>
      <c r="S386" s="27" t="str">
        <f t="shared" si="214"/>
        <v/>
      </c>
      <c r="T386" s="33" t="str">
        <f t="shared" si="215"/>
        <v/>
      </c>
      <c r="U386" s="33"/>
      <c r="V386" s="33" t="str">
        <f t="shared" si="216"/>
        <v/>
      </c>
      <c r="W386" s="33" t="str">
        <f t="shared" si="217"/>
        <v/>
      </c>
      <c r="X386" s="33" t="str">
        <f t="shared" si="218"/>
        <v/>
      </c>
      <c r="Y386" s="33" t="str">
        <f t="shared" si="219"/>
        <v/>
      </c>
      <c r="Z386" s="33" t="str">
        <f t="shared" si="220"/>
        <v/>
      </c>
      <c r="AA386" s="33" t="str">
        <f t="shared" si="221"/>
        <v/>
      </c>
    </row>
    <row r="387" spans="4:27" x14ac:dyDescent="0.25">
      <c r="D387" s="70">
        <v>100</v>
      </c>
      <c r="E387" s="27" t="str">
        <f t="shared" si="202"/>
        <v/>
      </c>
      <c r="F387" s="33" t="str">
        <f t="shared" si="203"/>
        <v/>
      </c>
      <c r="G387" s="33" t="str">
        <f t="shared" si="204"/>
        <v/>
      </c>
      <c r="H387" s="33" t="str">
        <f t="shared" si="205"/>
        <v/>
      </c>
      <c r="I387" s="33" t="str">
        <f t="shared" si="206"/>
        <v/>
      </c>
      <c r="J387" s="33" t="str">
        <f t="shared" si="207"/>
        <v/>
      </c>
      <c r="K387" s="33" t="str">
        <f t="shared" si="208"/>
        <v/>
      </c>
      <c r="L387" s="33"/>
      <c r="M387" s="33"/>
      <c r="N387" s="33" t="str">
        <f t="shared" si="209"/>
        <v/>
      </c>
      <c r="O387" s="33" t="str">
        <f t="shared" si="210"/>
        <v/>
      </c>
      <c r="P387" s="33" t="str">
        <f t="shared" si="211"/>
        <v/>
      </c>
      <c r="Q387" s="33" t="str">
        <f t="shared" si="212"/>
        <v/>
      </c>
      <c r="R387" s="33" t="str">
        <f t="shared" si="213"/>
        <v/>
      </c>
      <c r="S387" s="27" t="str">
        <f t="shared" si="214"/>
        <v/>
      </c>
      <c r="T387" s="33" t="str">
        <f t="shared" si="215"/>
        <v/>
      </c>
      <c r="U387" s="33"/>
      <c r="V387" s="33" t="str">
        <f t="shared" si="216"/>
        <v/>
      </c>
      <c r="W387" s="33" t="str">
        <f t="shared" si="217"/>
        <v/>
      </c>
      <c r="X387" s="33" t="str">
        <f t="shared" si="218"/>
        <v/>
      </c>
      <c r="Y387" s="33" t="str">
        <f t="shared" si="219"/>
        <v/>
      </c>
      <c r="Z387" s="33" t="str">
        <f t="shared" si="220"/>
        <v/>
      </c>
      <c r="AA387" s="33" t="str">
        <f t="shared" si="221"/>
        <v/>
      </c>
    </row>
    <row r="388" spans="4:27" x14ac:dyDescent="0.25">
      <c r="D388" s="70">
        <v>101</v>
      </c>
      <c r="E388" s="27" t="str">
        <f t="shared" si="202"/>
        <v/>
      </c>
      <c r="F388" s="33" t="str">
        <f t="shared" si="203"/>
        <v/>
      </c>
      <c r="G388" s="33" t="str">
        <f t="shared" si="204"/>
        <v/>
      </c>
      <c r="H388" s="33" t="str">
        <f t="shared" si="205"/>
        <v/>
      </c>
      <c r="I388" s="33" t="str">
        <f t="shared" si="206"/>
        <v/>
      </c>
      <c r="J388" s="33" t="str">
        <f t="shared" si="207"/>
        <v/>
      </c>
      <c r="K388" s="33" t="str">
        <f t="shared" si="208"/>
        <v/>
      </c>
      <c r="L388" s="33"/>
      <c r="M388" s="33"/>
      <c r="N388" s="33" t="str">
        <f t="shared" si="209"/>
        <v/>
      </c>
      <c r="O388" s="33" t="str">
        <f t="shared" si="210"/>
        <v/>
      </c>
      <c r="P388" s="33" t="str">
        <f t="shared" si="211"/>
        <v/>
      </c>
      <c r="Q388" s="33" t="str">
        <f t="shared" si="212"/>
        <v/>
      </c>
      <c r="R388" s="33" t="str">
        <f t="shared" si="213"/>
        <v/>
      </c>
      <c r="S388" s="27" t="str">
        <f t="shared" si="214"/>
        <v/>
      </c>
      <c r="T388" s="33" t="str">
        <f t="shared" si="215"/>
        <v/>
      </c>
      <c r="U388" s="33"/>
      <c r="V388" s="33" t="str">
        <f t="shared" si="216"/>
        <v/>
      </c>
      <c r="W388" s="33" t="str">
        <f t="shared" si="217"/>
        <v/>
      </c>
      <c r="X388" s="33" t="str">
        <f t="shared" si="218"/>
        <v/>
      </c>
      <c r="Y388" s="33" t="str">
        <f t="shared" si="219"/>
        <v/>
      </c>
      <c r="Z388" s="33" t="str">
        <f t="shared" si="220"/>
        <v/>
      </c>
      <c r="AA388" s="33" t="str">
        <f t="shared" si="221"/>
        <v/>
      </c>
    </row>
    <row r="389" spans="4:27" x14ac:dyDescent="0.25">
      <c r="D389" s="70">
        <v>102</v>
      </c>
      <c r="E389" s="27" t="str">
        <f t="shared" si="202"/>
        <v/>
      </c>
      <c r="F389" s="33" t="str">
        <f t="shared" si="203"/>
        <v/>
      </c>
      <c r="G389" s="33" t="str">
        <f t="shared" si="204"/>
        <v/>
      </c>
      <c r="H389" s="33" t="str">
        <f t="shared" si="205"/>
        <v/>
      </c>
      <c r="I389" s="33" t="str">
        <f t="shared" si="206"/>
        <v/>
      </c>
      <c r="J389" s="33" t="str">
        <f t="shared" si="207"/>
        <v/>
      </c>
      <c r="K389" s="33" t="str">
        <f t="shared" si="208"/>
        <v/>
      </c>
      <c r="L389" s="33"/>
      <c r="M389" s="33"/>
      <c r="N389" s="33" t="str">
        <f t="shared" si="209"/>
        <v/>
      </c>
      <c r="O389" s="33" t="str">
        <f t="shared" si="210"/>
        <v/>
      </c>
      <c r="P389" s="33" t="str">
        <f t="shared" si="211"/>
        <v/>
      </c>
      <c r="Q389" s="33" t="str">
        <f t="shared" si="212"/>
        <v/>
      </c>
      <c r="R389" s="33" t="str">
        <f t="shared" si="213"/>
        <v/>
      </c>
      <c r="S389" s="27" t="str">
        <f t="shared" si="214"/>
        <v/>
      </c>
      <c r="T389" s="33" t="str">
        <f t="shared" si="215"/>
        <v/>
      </c>
      <c r="U389" s="33"/>
      <c r="V389" s="33" t="str">
        <f t="shared" si="216"/>
        <v/>
      </c>
      <c r="W389" s="33" t="str">
        <f t="shared" si="217"/>
        <v/>
      </c>
      <c r="X389" s="33" t="str">
        <f t="shared" si="218"/>
        <v/>
      </c>
      <c r="Y389" s="33" t="str">
        <f t="shared" si="219"/>
        <v/>
      </c>
      <c r="Z389" s="33" t="str">
        <f t="shared" si="220"/>
        <v/>
      </c>
      <c r="AA389" s="33" t="str">
        <f t="shared" si="221"/>
        <v/>
      </c>
    </row>
    <row r="390" spans="4:27" x14ac:dyDescent="0.25">
      <c r="D390" s="70">
        <v>103</v>
      </c>
      <c r="E390" s="27" t="str">
        <f t="shared" si="202"/>
        <v/>
      </c>
      <c r="F390" s="33" t="str">
        <f t="shared" si="203"/>
        <v/>
      </c>
      <c r="G390" s="33" t="str">
        <f t="shared" si="204"/>
        <v/>
      </c>
      <c r="H390" s="33" t="str">
        <f t="shared" si="205"/>
        <v/>
      </c>
      <c r="I390" s="33" t="str">
        <f t="shared" si="206"/>
        <v/>
      </c>
      <c r="J390" s="33" t="str">
        <f t="shared" si="207"/>
        <v/>
      </c>
      <c r="K390" s="33" t="str">
        <f t="shared" si="208"/>
        <v/>
      </c>
      <c r="L390" s="33"/>
      <c r="M390" s="33"/>
      <c r="N390" s="33" t="str">
        <f t="shared" si="209"/>
        <v/>
      </c>
      <c r="O390" s="33" t="str">
        <f t="shared" si="210"/>
        <v/>
      </c>
      <c r="P390" s="33" t="str">
        <f t="shared" si="211"/>
        <v/>
      </c>
      <c r="Q390" s="33" t="str">
        <f t="shared" si="212"/>
        <v/>
      </c>
      <c r="R390" s="33" t="str">
        <f t="shared" si="213"/>
        <v/>
      </c>
      <c r="S390" s="27" t="str">
        <f t="shared" si="214"/>
        <v/>
      </c>
      <c r="T390" s="33" t="str">
        <f t="shared" si="215"/>
        <v/>
      </c>
      <c r="U390" s="33"/>
      <c r="V390" s="33" t="str">
        <f t="shared" si="216"/>
        <v/>
      </c>
      <c r="W390" s="33" t="str">
        <f t="shared" si="217"/>
        <v/>
      </c>
      <c r="X390" s="33" t="str">
        <f t="shared" si="218"/>
        <v/>
      </c>
      <c r="Y390" s="33" t="str">
        <f t="shared" si="219"/>
        <v/>
      </c>
      <c r="Z390" s="33" t="str">
        <f t="shared" si="220"/>
        <v/>
      </c>
      <c r="AA390" s="33" t="str">
        <f t="shared" si="221"/>
        <v/>
      </c>
    </row>
    <row r="391" spans="4:27" x14ac:dyDescent="0.25">
      <c r="D391" s="70">
        <v>104</v>
      </c>
      <c r="E391" s="27" t="str">
        <f t="shared" si="202"/>
        <v/>
      </c>
      <c r="F391" s="33" t="str">
        <f t="shared" si="203"/>
        <v/>
      </c>
      <c r="G391" s="33" t="str">
        <f t="shared" si="204"/>
        <v/>
      </c>
      <c r="H391" s="33" t="str">
        <f t="shared" si="205"/>
        <v/>
      </c>
      <c r="I391" s="33" t="str">
        <f t="shared" si="206"/>
        <v/>
      </c>
      <c r="J391" s="33" t="str">
        <f t="shared" si="207"/>
        <v/>
      </c>
      <c r="K391" s="33" t="str">
        <f t="shared" si="208"/>
        <v/>
      </c>
      <c r="L391" s="33"/>
      <c r="M391" s="33"/>
      <c r="N391" s="33" t="str">
        <f t="shared" si="209"/>
        <v/>
      </c>
      <c r="O391" s="33" t="str">
        <f t="shared" si="210"/>
        <v/>
      </c>
      <c r="P391" s="33" t="str">
        <f t="shared" si="211"/>
        <v/>
      </c>
      <c r="Q391" s="33" t="str">
        <f t="shared" si="212"/>
        <v/>
      </c>
      <c r="R391" s="33" t="str">
        <f t="shared" si="213"/>
        <v/>
      </c>
      <c r="S391" s="27" t="str">
        <f t="shared" si="214"/>
        <v/>
      </c>
      <c r="T391" s="33" t="str">
        <f t="shared" si="215"/>
        <v/>
      </c>
      <c r="U391" s="33"/>
      <c r="V391" s="33" t="str">
        <f t="shared" si="216"/>
        <v/>
      </c>
      <c r="W391" s="33" t="str">
        <f t="shared" si="217"/>
        <v/>
      </c>
      <c r="X391" s="33" t="str">
        <f t="shared" si="218"/>
        <v/>
      </c>
      <c r="Y391" s="33" t="str">
        <f t="shared" si="219"/>
        <v/>
      </c>
      <c r="Z391" s="33" t="str">
        <f t="shared" si="220"/>
        <v/>
      </c>
      <c r="AA391" s="33" t="str">
        <f t="shared" si="221"/>
        <v/>
      </c>
    </row>
    <row r="392" spans="4:27" x14ac:dyDescent="0.25">
      <c r="D392" s="70">
        <v>105</v>
      </c>
      <c r="E392" s="27" t="str">
        <f t="shared" si="202"/>
        <v/>
      </c>
      <c r="F392" s="33" t="str">
        <f t="shared" si="203"/>
        <v/>
      </c>
      <c r="G392" s="33" t="str">
        <f t="shared" si="204"/>
        <v/>
      </c>
      <c r="H392" s="33" t="str">
        <f t="shared" si="205"/>
        <v/>
      </c>
      <c r="I392" s="33" t="str">
        <f t="shared" si="206"/>
        <v/>
      </c>
      <c r="J392" s="33" t="str">
        <f t="shared" si="207"/>
        <v/>
      </c>
      <c r="K392" s="33" t="str">
        <f t="shared" si="208"/>
        <v/>
      </c>
      <c r="L392" s="33"/>
      <c r="M392" s="33"/>
      <c r="N392" s="33" t="str">
        <f t="shared" si="209"/>
        <v/>
      </c>
      <c r="O392" s="33" t="str">
        <f t="shared" si="210"/>
        <v/>
      </c>
      <c r="P392" s="33" t="str">
        <f t="shared" si="211"/>
        <v/>
      </c>
      <c r="Q392" s="33" t="str">
        <f t="shared" si="212"/>
        <v/>
      </c>
      <c r="R392" s="33" t="str">
        <f t="shared" si="213"/>
        <v/>
      </c>
      <c r="S392" s="27" t="str">
        <f t="shared" si="214"/>
        <v/>
      </c>
      <c r="T392" s="33" t="str">
        <f t="shared" si="215"/>
        <v/>
      </c>
      <c r="U392" s="33"/>
      <c r="V392" s="33" t="str">
        <f t="shared" si="216"/>
        <v/>
      </c>
      <c r="W392" s="33" t="str">
        <f t="shared" si="217"/>
        <v/>
      </c>
      <c r="X392" s="33" t="str">
        <f t="shared" si="218"/>
        <v/>
      </c>
      <c r="Y392" s="33" t="str">
        <f t="shared" si="219"/>
        <v/>
      </c>
      <c r="Z392" s="33" t="str">
        <f t="shared" si="220"/>
        <v/>
      </c>
      <c r="AA392" s="33" t="str">
        <f t="shared" si="221"/>
        <v/>
      </c>
    </row>
    <row r="393" spans="4:27" x14ac:dyDescent="0.25">
      <c r="D393" s="70">
        <v>106</v>
      </c>
      <c r="E393" s="27" t="str">
        <f t="shared" si="202"/>
        <v/>
      </c>
      <c r="F393" s="33" t="str">
        <f t="shared" si="203"/>
        <v/>
      </c>
      <c r="G393" s="33" t="str">
        <f t="shared" si="204"/>
        <v/>
      </c>
      <c r="H393" s="33" t="str">
        <f t="shared" si="205"/>
        <v/>
      </c>
      <c r="I393" s="33" t="str">
        <f t="shared" si="206"/>
        <v/>
      </c>
      <c r="J393" s="33" t="str">
        <f t="shared" si="207"/>
        <v/>
      </c>
      <c r="K393" s="33" t="str">
        <f t="shared" si="208"/>
        <v/>
      </c>
      <c r="L393" s="33"/>
      <c r="M393" s="33"/>
      <c r="N393" s="33" t="str">
        <f t="shared" si="209"/>
        <v/>
      </c>
      <c r="O393" s="33" t="str">
        <f t="shared" si="210"/>
        <v/>
      </c>
      <c r="P393" s="33" t="str">
        <f t="shared" si="211"/>
        <v/>
      </c>
      <c r="Q393" s="33" t="str">
        <f t="shared" si="212"/>
        <v/>
      </c>
      <c r="R393" s="33" t="str">
        <f t="shared" si="213"/>
        <v/>
      </c>
      <c r="S393" s="27" t="str">
        <f t="shared" si="214"/>
        <v/>
      </c>
      <c r="T393" s="33" t="str">
        <f t="shared" si="215"/>
        <v/>
      </c>
      <c r="U393" s="33"/>
      <c r="V393" s="33" t="str">
        <f t="shared" si="216"/>
        <v/>
      </c>
      <c r="W393" s="33" t="str">
        <f t="shared" si="217"/>
        <v/>
      </c>
      <c r="X393" s="33" t="str">
        <f t="shared" si="218"/>
        <v/>
      </c>
      <c r="Y393" s="33" t="str">
        <f t="shared" si="219"/>
        <v/>
      </c>
      <c r="Z393" s="33" t="str">
        <f t="shared" si="220"/>
        <v/>
      </c>
      <c r="AA393" s="33" t="str">
        <f t="shared" si="221"/>
        <v/>
      </c>
    </row>
    <row r="394" spans="4:27" x14ac:dyDescent="0.25">
      <c r="D394" s="70">
        <v>107</v>
      </c>
      <c r="E394" s="27" t="str">
        <f t="shared" si="202"/>
        <v/>
      </c>
      <c r="F394" s="33" t="str">
        <f t="shared" si="203"/>
        <v/>
      </c>
      <c r="G394" s="33" t="str">
        <f t="shared" si="204"/>
        <v/>
      </c>
      <c r="H394" s="33" t="str">
        <f t="shared" si="205"/>
        <v/>
      </c>
      <c r="I394" s="33" t="str">
        <f t="shared" si="206"/>
        <v/>
      </c>
      <c r="J394" s="33" t="str">
        <f t="shared" si="207"/>
        <v/>
      </c>
      <c r="K394" s="33" t="str">
        <f t="shared" si="208"/>
        <v/>
      </c>
      <c r="L394" s="33"/>
      <c r="M394" s="33"/>
      <c r="N394" s="33" t="str">
        <f t="shared" si="209"/>
        <v/>
      </c>
      <c r="O394" s="33" t="str">
        <f t="shared" si="210"/>
        <v/>
      </c>
      <c r="P394" s="33" t="str">
        <f t="shared" si="211"/>
        <v/>
      </c>
      <c r="Q394" s="33" t="str">
        <f t="shared" si="212"/>
        <v/>
      </c>
      <c r="R394" s="33" t="str">
        <f t="shared" si="213"/>
        <v/>
      </c>
      <c r="S394" s="27" t="str">
        <f t="shared" si="214"/>
        <v/>
      </c>
      <c r="T394" s="33" t="str">
        <f t="shared" si="215"/>
        <v/>
      </c>
      <c r="U394" s="33"/>
      <c r="V394" s="33" t="str">
        <f t="shared" si="216"/>
        <v/>
      </c>
      <c r="W394" s="33" t="str">
        <f t="shared" si="217"/>
        <v/>
      </c>
      <c r="X394" s="33" t="str">
        <f t="shared" si="218"/>
        <v/>
      </c>
      <c r="Y394" s="33" t="str">
        <f t="shared" si="219"/>
        <v/>
      </c>
      <c r="Z394" s="33" t="str">
        <f t="shared" si="220"/>
        <v/>
      </c>
      <c r="AA394" s="33" t="str">
        <f t="shared" si="221"/>
        <v/>
      </c>
    </row>
    <row r="395" spans="4:27" x14ac:dyDescent="0.25">
      <c r="D395" s="70">
        <v>108</v>
      </c>
      <c r="E395" s="27" t="str">
        <f t="shared" si="202"/>
        <v/>
      </c>
      <c r="F395" s="33" t="str">
        <f t="shared" si="203"/>
        <v/>
      </c>
      <c r="G395" s="33" t="str">
        <f t="shared" si="204"/>
        <v/>
      </c>
      <c r="H395" s="33" t="str">
        <f t="shared" si="205"/>
        <v/>
      </c>
      <c r="I395" s="33" t="str">
        <f t="shared" si="206"/>
        <v/>
      </c>
      <c r="J395" s="33" t="str">
        <f t="shared" si="207"/>
        <v/>
      </c>
      <c r="K395" s="33" t="str">
        <f t="shared" si="208"/>
        <v/>
      </c>
      <c r="L395" s="33"/>
      <c r="M395" s="33"/>
      <c r="N395" s="33" t="str">
        <f t="shared" si="209"/>
        <v/>
      </c>
      <c r="O395" s="33" t="str">
        <f t="shared" si="210"/>
        <v/>
      </c>
      <c r="P395" s="33" t="str">
        <f t="shared" si="211"/>
        <v/>
      </c>
      <c r="Q395" s="33" t="str">
        <f t="shared" si="212"/>
        <v/>
      </c>
      <c r="R395" s="33" t="str">
        <f t="shared" si="213"/>
        <v/>
      </c>
      <c r="S395" s="27" t="str">
        <f t="shared" si="214"/>
        <v/>
      </c>
      <c r="T395" s="33" t="str">
        <f t="shared" si="215"/>
        <v/>
      </c>
      <c r="U395" s="33"/>
      <c r="V395" s="33" t="str">
        <f t="shared" si="216"/>
        <v/>
      </c>
      <c r="W395" s="33" t="str">
        <f t="shared" si="217"/>
        <v/>
      </c>
      <c r="X395" s="33" t="str">
        <f t="shared" si="218"/>
        <v/>
      </c>
      <c r="Y395" s="33" t="str">
        <f t="shared" si="219"/>
        <v/>
      </c>
      <c r="Z395" s="33" t="str">
        <f t="shared" si="220"/>
        <v/>
      </c>
      <c r="AA395" s="33" t="str">
        <f t="shared" si="221"/>
        <v/>
      </c>
    </row>
    <row r="396" spans="4:27" x14ac:dyDescent="0.25">
      <c r="D396" s="70">
        <v>109</v>
      </c>
      <c r="E396" s="27" t="str">
        <f t="shared" si="202"/>
        <v/>
      </c>
      <c r="F396" s="33" t="str">
        <f t="shared" si="203"/>
        <v/>
      </c>
      <c r="G396" s="33" t="str">
        <f t="shared" si="204"/>
        <v/>
      </c>
      <c r="H396" s="33" t="str">
        <f t="shared" si="205"/>
        <v/>
      </c>
      <c r="I396" s="33" t="str">
        <f t="shared" si="206"/>
        <v/>
      </c>
      <c r="J396" s="33" t="str">
        <f t="shared" si="207"/>
        <v/>
      </c>
      <c r="K396" s="33" t="str">
        <f t="shared" si="208"/>
        <v/>
      </c>
      <c r="L396" s="33"/>
      <c r="M396" s="33"/>
      <c r="N396" s="33" t="str">
        <f t="shared" si="209"/>
        <v/>
      </c>
      <c r="O396" s="33" t="str">
        <f t="shared" si="210"/>
        <v/>
      </c>
      <c r="P396" s="33" t="str">
        <f t="shared" si="211"/>
        <v/>
      </c>
      <c r="Q396" s="33" t="str">
        <f t="shared" si="212"/>
        <v/>
      </c>
      <c r="R396" s="33" t="str">
        <f t="shared" si="213"/>
        <v/>
      </c>
      <c r="S396" s="27" t="str">
        <f t="shared" si="214"/>
        <v/>
      </c>
      <c r="T396" s="33" t="str">
        <f t="shared" si="215"/>
        <v/>
      </c>
      <c r="U396" s="33"/>
      <c r="V396" s="33" t="str">
        <f t="shared" si="216"/>
        <v/>
      </c>
      <c r="W396" s="33" t="str">
        <f t="shared" si="217"/>
        <v/>
      </c>
      <c r="X396" s="33" t="str">
        <f t="shared" si="218"/>
        <v/>
      </c>
      <c r="Y396" s="33" t="str">
        <f t="shared" si="219"/>
        <v/>
      </c>
      <c r="Z396" s="33" t="str">
        <f t="shared" si="220"/>
        <v/>
      </c>
      <c r="AA396" s="33" t="str">
        <f t="shared" si="221"/>
        <v/>
      </c>
    </row>
    <row r="397" spans="4:27" x14ac:dyDescent="0.25">
      <c r="D397" s="70">
        <v>110</v>
      </c>
      <c r="E397" s="27" t="str">
        <f t="shared" si="202"/>
        <v/>
      </c>
      <c r="F397" s="33" t="str">
        <f t="shared" si="203"/>
        <v/>
      </c>
      <c r="G397" s="33" t="str">
        <f t="shared" si="204"/>
        <v/>
      </c>
      <c r="H397" s="33" t="str">
        <f t="shared" si="205"/>
        <v/>
      </c>
      <c r="I397" s="33" t="str">
        <f t="shared" si="206"/>
        <v/>
      </c>
      <c r="J397" s="33" t="str">
        <f t="shared" si="207"/>
        <v/>
      </c>
      <c r="K397" s="33" t="str">
        <f t="shared" si="208"/>
        <v/>
      </c>
      <c r="L397" s="33"/>
      <c r="M397" s="33"/>
      <c r="N397" s="33" t="str">
        <f t="shared" si="209"/>
        <v/>
      </c>
      <c r="O397" s="33" t="str">
        <f t="shared" si="210"/>
        <v/>
      </c>
      <c r="P397" s="33" t="str">
        <f t="shared" si="211"/>
        <v/>
      </c>
      <c r="Q397" s="33" t="str">
        <f t="shared" si="212"/>
        <v/>
      </c>
      <c r="R397" s="33" t="str">
        <f t="shared" si="213"/>
        <v/>
      </c>
      <c r="S397" s="27" t="str">
        <f t="shared" si="214"/>
        <v/>
      </c>
      <c r="T397" s="33" t="str">
        <f t="shared" si="215"/>
        <v/>
      </c>
      <c r="U397" s="33"/>
      <c r="V397" s="33" t="str">
        <f t="shared" si="216"/>
        <v/>
      </c>
      <c r="W397" s="33" t="str">
        <f t="shared" si="217"/>
        <v/>
      </c>
      <c r="X397" s="33" t="str">
        <f t="shared" si="218"/>
        <v/>
      </c>
      <c r="Y397" s="33" t="str">
        <f t="shared" si="219"/>
        <v/>
      </c>
      <c r="Z397" s="33" t="str">
        <f t="shared" si="220"/>
        <v/>
      </c>
      <c r="AA397" s="33" t="str">
        <f t="shared" si="221"/>
        <v/>
      </c>
    </row>
    <row r="398" spans="4:27" x14ac:dyDescent="0.25">
      <c r="D398" s="70">
        <v>111</v>
      </c>
      <c r="E398" s="27" t="str">
        <f t="shared" si="202"/>
        <v/>
      </c>
      <c r="F398" s="33" t="str">
        <f t="shared" si="203"/>
        <v/>
      </c>
      <c r="G398" s="33" t="str">
        <f t="shared" si="204"/>
        <v/>
      </c>
      <c r="H398" s="33" t="str">
        <f t="shared" si="205"/>
        <v/>
      </c>
      <c r="I398" s="33" t="str">
        <f t="shared" si="206"/>
        <v/>
      </c>
      <c r="J398" s="33" t="str">
        <f t="shared" si="207"/>
        <v/>
      </c>
      <c r="K398" s="33" t="str">
        <f t="shared" si="208"/>
        <v/>
      </c>
      <c r="L398" s="33"/>
      <c r="M398" s="33"/>
      <c r="N398" s="33" t="str">
        <f t="shared" si="209"/>
        <v/>
      </c>
      <c r="O398" s="33" t="str">
        <f t="shared" si="210"/>
        <v/>
      </c>
      <c r="P398" s="33" t="str">
        <f t="shared" si="211"/>
        <v/>
      </c>
      <c r="Q398" s="33" t="str">
        <f t="shared" si="212"/>
        <v/>
      </c>
      <c r="R398" s="33" t="str">
        <f t="shared" si="213"/>
        <v/>
      </c>
      <c r="S398" s="27" t="str">
        <f t="shared" si="214"/>
        <v/>
      </c>
      <c r="T398" s="33" t="str">
        <f t="shared" si="215"/>
        <v/>
      </c>
      <c r="U398" s="33"/>
      <c r="V398" s="33" t="str">
        <f t="shared" si="216"/>
        <v/>
      </c>
      <c r="W398" s="33" t="str">
        <f t="shared" si="217"/>
        <v/>
      </c>
      <c r="X398" s="33" t="str">
        <f t="shared" si="218"/>
        <v/>
      </c>
      <c r="Y398" s="33" t="str">
        <f t="shared" si="219"/>
        <v/>
      </c>
      <c r="Z398" s="33" t="str">
        <f t="shared" si="220"/>
        <v/>
      </c>
      <c r="AA398" s="33" t="str">
        <f t="shared" si="221"/>
        <v/>
      </c>
    </row>
    <row r="399" spans="4:27" x14ac:dyDescent="0.25">
      <c r="D399" s="70">
        <v>112</v>
      </c>
      <c r="E399" s="27" t="str">
        <f t="shared" si="202"/>
        <v/>
      </c>
      <c r="F399" s="33" t="str">
        <f t="shared" si="203"/>
        <v/>
      </c>
      <c r="G399" s="33" t="str">
        <f t="shared" si="204"/>
        <v/>
      </c>
      <c r="H399" s="33" t="str">
        <f t="shared" si="205"/>
        <v/>
      </c>
      <c r="I399" s="33" t="str">
        <f t="shared" si="206"/>
        <v/>
      </c>
      <c r="J399" s="33" t="str">
        <f t="shared" si="207"/>
        <v/>
      </c>
      <c r="K399" s="33" t="str">
        <f t="shared" si="208"/>
        <v/>
      </c>
      <c r="L399" s="33"/>
      <c r="M399" s="33"/>
      <c r="N399" s="33" t="str">
        <f t="shared" si="209"/>
        <v/>
      </c>
      <c r="O399" s="33" t="str">
        <f t="shared" si="210"/>
        <v/>
      </c>
      <c r="P399" s="33" t="str">
        <f t="shared" si="211"/>
        <v/>
      </c>
      <c r="Q399" s="33" t="str">
        <f t="shared" si="212"/>
        <v/>
      </c>
      <c r="R399" s="33" t="str">
        <f t="shared" si="213"/>
        <v/>
      </c>
      <c r="S399" s="27" t="str">
        <f t="shared" si="214"/>
        <v/>
      </c>
      <c r="T399" s="33" t="str">
        <f t="shared" si="215"/>
        <v/>
      </c>
      <c r="U399" s="33"/>
      <c r="V399" s="33" t="str">
        <f t="shared" si="216"/>
        <v/>
      </c>
      <c r="W399" s="33" t="str">
        <f t="shared" si="217"/>
        <v/>
      </c>
      <c r="X399" s="33" t="str">
        <f t="shared" si="218"/>
        <v/>
      </c>
      <c r="Y399" s="33" t="str">
        <f t="shared" si="219"/>
        <v/>
      </c>
      <c r="Z399" s="33" t="str">
        <f t="shared" si="220"/>
        <v/>
      </c>
      <c r="AA399" s="33" t="str">
        <f t="shared" si="221"/>
        <v/>
      </c>
    </row>
    <row r="400" spans="4:27" x14ac:dyDescent="0.25">
      <c r="D400" s="70">
        <v>113</v>
      </c>
      <c r="E400" s="27" t="str">
        <f t="shared" si="202"/>
        <v/>
      </c>
      <c r="F400" s="33" t="str">
        <f t="shared" si="203"/>
        <v/>
      </c>
      <c r="G400" s="33" t="str">
        <f t="shared" si="204"/>
        <v/>
      </c>
      <c r="H400" s="33" t="str">
        <f t="shared" si="205"/>
        <v/>
      </c>
      <c r="I400" s="33" t="str">
        <f t="shared" si="206"/>
        <v/>
      </c>
      <c r="J400" s="33" t="str">
        <f t="shared" si="207"/>
        <v/>
      </c>
      <c r="K400" s="33" t="str">
        <f t="shared" si="208"/>
        <v/>
      </c>
      <c r="L400" s="33"/>
      <c r="M400" s="33"/>
      <c r="N400" s="33" t="str">
        <f t="shared" si="209"/>
        <v/>
      </c>
      <c r="O400" s="33" t="str">
        <f t="shared" si="210"/>
        <v/>
      </c>
      <c r="P400" s="33" t="str">
        <f t="shared" si="211"/>
        <v/>
      </c>
      <c r="Q400" s="33" t="str">
        <f t="shared" si="212"/>
        <v/>
      </c>
      <c r="R400" s="33" t="str">
        <f t="shared" si="213"/>
        <v/>
      </c>
      <c r="S400" s="27" t="str">
        <f t="shared" si="214"/>
        <v/>
      </c>
      <c r="T400" s="33" t="str">
        <f t="shared" si="215"/>
        <v/>
      </c>
      <c r="U400" s="33"/>
      <c r="V400" s="33" t="str">
        <f t="shared" si="216"/>
        <v/>
      </c>
      <c r="W400" s="33" t="str">
        <f t="shared" si="217"/>
        <v/>
      </c>
      <c r="X400" s="33" t="str">
        <f t="shared" si="218"/>
        <v/>
      </c>
      <c r="Y400" s="33" t="str">
        <f t="shared" si="219"/>
        <v/>
      </c>
      <c r="Z400" s="33" t="str">
        <f t="shared" si="220"/>
        <v/>
      </c>
      <c r="AA400" s="33" t="str">
        <f t="shared" si="221"/>
        <v/>
      </c>
    </row>
    <row r="401" spans="4:27" x14ac:dyDescent="0.25">
      <c r="D401" s="70">
        <v>114</v>
      </c>
      <c r="E401" s="27" t="str">
        <f t="shared" si="202"/>
        <v/>
      </c>
      <c r="F401" s="33" t="str">
        <f t="shared" si="203"/>
        <v/>
      </c>
      <c r="G401" s="33" t="str">
        <f t="shared" si="204"/>
        <v/>
      </c>
      <c r="H401" s="33" t="str">
        <f t="shared" si="205"/>
        <v/>
      </c>
      <c r="I401" s="33" t="str">
        <f t="shared" si="206"/>
        <v/>
      </c>
      <c r="J401" s="33" t="str">
        <f t="shared" si="207"/>
        <v/>
      </c>
      <c r="K401" s="33" t="str">
        <f t="shared" si="208"/>
        <v/>
      </c>
      <c r="L401" s="33"/>
      <c r="M401" s="33"/>
      <c r="N401" s="33" t="str">
        <f t="shared" si="209"/>
        <v/>
      </c>
      <c r="O401" s="33" t="str">
        <f t="shared" si="210"/>
        <v/>
      </c>
      <c r="P401" s="33" t="str">
        <f t="shared" si="211"/>
        <v/>
      </c>
      <c r="Q401" s="33" t="str">
        <f t="shared" si="212"/>
        <v/>
      </c>
      <c r="R401" s="33" t="str">
        <f t="shared" si="213"/>
        <v/>
      </c>
      <c r="S401" s="27" t="str">
        <f t="shared" si="214"/>
        <v/>
      </c>
      <c r="T401" s="33" t="str">
        <f t="shared" si="215"/>
        <v/>
      </c>
      <c r="U401" s="33"/>
      <c r="V401" s="33" t="str">
        <f t="shared" si="216"/>
        <v/>
      </c>
      <c r="W401" s="33" t="str">
        <f t="shared" si="217"/>
        <v/>
      </c>
      <c r="X401" s="33" t="str">
        <f t="shared" si="218"/>
        <v/>
      </c>
      <c r="Y401" s="33" t="str">
        <f t="shared" si="219"/>
        <v/>
      </c>
      <c r="Z401" s="33" t="str">
        <f t="shared" si="220"/>
        <v/>
      </c>
      <c r="AA401" s="33" t="str">
        <f t="shared" si="221"/>
        <v/>
      </c>
    </row>
    <row r="402" spans="4:27" x14ac:dyDescent="0.25">
      <c r="D402" s="70">
        <v>115</v>
      </c>
      <c r="E402" s="27" t="str">
        <f t="shared" si="202"/>
        <v/>
      </c>
      <c r="F402" s="33" t="str">
        <f t="shared" si="203"/>
        <v/>
      </c>
      <c r="G402" s="33" t="str">
        <f t="shared" si="204"/>
        <v/>
      </c>
      <c r="H402" s="33" t="str">
        <f t="shared" si="205"/>
        <v/>
      </c>
      <c r="I402" s="33" t="str">
        <f t="shared" si="206"/>
        <v/>
      </c>
      <c r="J402" s="33" t="str">
        <f t="shared" si="207"/>
        <v/>
      </c>
      <c r="K402" s="33" t="str">
        <f t="shared" si="208"/>
        <v/>
      </c>
      <c r="L402" s="33"/>
      <c r="M402" s="33"/>
      <c r="N402" s="33" t="str">
        <f t="shared" si="209"/>
        <v/>
      </c>
      <c r="O402" s="33" t="str">
        <f t="shared" si="210"/>
        <v/>
      </c>
      <c r="P402" s="33" t="str">
        <f t="shared" si="211"/>
        <v/>
      </c>
      <c r="Q402" s="33" t="str">
        <f t="shared" si="212"/>
        <v/>
      </c>
      <c r="R402" s="33" t="str">
        <f t="shared" si="213"/>
        <v/>
      </c>
      <c r="S402" s="27" t="str">
        <f t="shared" si="214"/>
        <v/>
      </c>
      <c r="T402" s="33" t="str">
        <f t="shared" si="215"/>
        <v/>
      </c>
      <c r="U402" s="33"/>
      <c r="V402" s="33" t="str">
        <f t="shared" si="216"/>
        <v/>
      </c>
      <c r="W402" s="33" t="str">
        <f t="shared" si="217"/>
        <v/>
      </c>
      <c r="X402" s="33" t="str">
        <f t="shared" si="218"/>
        <v/>
      </c>
      <c r="Y402" s="33" t="str">
        <f t="shared" si="219"/>
        <v/>
      </c>
      <c r="Z402" s="33" t="str">
        <f t="shared" si="220"/>
        <v/>
      </c>
      <c r="AA402" s="33" t="str">
        <f t="shared" si="221"/>
        <v/>
      </c>
    </row>
    <row r="403" spans="4:27" x14ac:dyDescent="0.25">
      <c r="D403" s="70">
        <v>116</v>
      </c>
      <c r="E403" s="27" t="str">
        <f t="shared" si="202"/>
        <v/>
      </c>
      <c r="F403" s="33" t="str">
        <f t="shared" si="203"/>
        <v/>
      </c>
      <c r="G403" s="33" t="str">
        <f t="shared" si="204"/>
        <v/>
      </c>
      <c r="H403" s="33" t="str">
        <f t="shared" si="205"/>
        <v/>
      </c>
      <c r="I403" s="33" t="str">
        <f t="shared" si="206"/>
        <v/>
      </c>
      <c r="J403" s="33" t="str">
        <f t="shared" si="207"/>
        <v/>
      </c>
      <c r="K403" s="33" t="str">
        <f t="shared" si="208"/>
        <v/>
      </c>
      <c r="L403" s="33"/>
      <c r="M403" s="33"/>
      <c r="N403" s="33" t="str">
        <f t="shared" si="209"/>
        <v/>
      </c>
      <c r="O403" s="33" t="str">
        <f t="shared" si="210"/>
        <v/>
      </c>
      <c r="P403" s="33" t="str">
        <f t="shared" si="211"/>
        <v/>
      </c>
      <c r="Q403" s="33" t="str">
        <f t="shared" si="212"/>
        <v/>
      </c>
      <c r="R403" s="33" t="str">
        <f t="shared" si="213"/>
        <v/>
      </c>
      <c r="S403" s="27" t="str">
        <f t="shared" si="214"/>
        <v/>
      </c>
      <c r="T403" s="33" t="str">
        <f t="shared" si="215"/>
        <v/>
      </c>
      <c r="U403" s="33"/>
      <c r="V403" s="33" t="str">
        <f t="shared" si="216"/>
        <v/>
      </c>
      <c r="W403" s="33" t="str">
        <f t="shared" si="217"/>
        <v/>
      </c>
      <c r="X403" s="33" t="str">
        <f t="shared" si="218"/>
        <v/>
      </c>
      <c r="Y403" s="33" t="str">
        <f t="shared" si="219"/>
        <v/>
      </c>
      <c r="Z403" s="33" t="str">
        <f t="shared" si="220"/>
        <v/>
      </c>
      <c r="AA403" s="33" t="str">
        <f t="shared" si="221"/>
        <v/>
      </c>
    </row>
    <row r="404" spans="4:27" x14ac:dyDescent="0.25">
      <c r="D404" s="70">
        <v>117</v>
      </c>
      <c r="E404" s="27" t="str">
        <f t="shared" si="202"/>
        <v/>
      </c>
      <c r="F404" s="33" t="str">
        <f t="shared" si="203"/>
        <v/>
      </c>
      <c r="G404" s="33" t="str">
        <f t="shared" si="204"/>
        <v/>
      </c>
      <c r="H404" s="33" t="str">
        <f t="shared" si="205"/>
        <v/>
      </c>
      <c r="I404" s="33" t="str">
        <f t="shared" si="206"/>
        <v/>
      </c>
      <c r="J404" s="33" t="str">
        <f t="shared" si="207"/>
        <v/>
      </c>
      <c r="K404" s="33" t="str">
        <f t="shared" si="208"/>
        <v/>
      </c>
      <c r="L404" s="33"/>
      <c r="M404" s="33"/>
      <c r="N404" s="33" t="str">
        <f t="shared" si="209"/>
        <v/>
      </c>
      <c r="O404" s="33" t="str">
        <f t="shared" si="210"/>
        <v/>
      </c>
      <c r="P404" s="33" t="str">
        <f t="shared" si="211"/>
        <v/>
      </c>
      <c r="Q404" s="33" t="str">
        <f t="shared" si="212"/>
        <v/>
      </c>
      <c r="R404" s="33" t="str">
        <f t="shared" si="213"/>
        <v/>
      </c>
      <c r="S404" s="27" t="str">
        <f t="shared" si="214"/>
        <v/>
      </c>
      <c r="T404" s="33" t="str">
        <f t="shared" si="215"/>
        <v/>
      </c>
      <c r="U404" s="33"/>
      <c r="V404" s="33" t="str">
        <f t="shared" si="216"/>
        <v/>
      </c>
      <c r="W404" s="33" t="str">
        <f t="shared" si="217"/>
        <v/>
      </c>
      <c r="X404" s="33" t="str">
        <f t="shared" si="218"/>
        <v/>
      </c>
      <c r="Y404" s="33" t="str">
        <f t="shared" si="219"/>
        <v/>
      </c>
      <c r="Z404" s="33" t="str">
        <f t="shared" si="220"/>
        <v/>
      </c>
      <c r="AA404" s="33" t="str">
        <f t="shared" si="221"/>
        <v/>
      </c>
    </row>
    <row r="405" spans="4:27" x14ac:dyDescent="0.25">
      <c r="D405" s="70">
        <v>118</v>
      </c>
      <c r="E405" s="27" t="str">
        <f t="shared" si="202"/>
        <v/>
      </c>
      <c r="F405" s="33" t="str">
        <f t="shared" si="203"/>
        <v/>
      </c>
      <c r="G405" s="33" t="str">
        <f t="shared" si="204"/>
        <v/>
      </c>
      <c r="H405" s="33" t="str">
        <f t="shared" si="205"/>
        <v/>
      </c>
      <c r="I405" s="33" t="str">
        <f t="shared" si="206"/>
        <v/>
      </c>
      <c r="J405" s="33" t="str">
        <f t="shared" si="207"/>
        <v/>
      </c>
      <c r="K405" s="33" t="str">
        <f t="shared" si="208"/>
        <v/>
      </c>
      <c r="L405" s="33"/>
      <c r="M405" s="33"/>
      <c r="N405" s="33" t="str">
        <f t="shared" si="209"/>
        <v/>
      </c>
      <c r="O405" s="33" t="str">
        <f t="shared" si="210"/>
        <v/>
      </c>
      <c r="P405" s="33" t="str">
        <f t="shared" si="211"/>
        <v/>
      </c>
      <c r="Q405" s="33" t="str">
        <f t="shared" si="212"/>
        <v/>
      </c>
      <c r="R405" s="33" t="str">
        <f t="shared" si="213"/>
        <v/>
      </c>
      <c r="S405" s="27" t="str">
        <f t="shared" si="214"/>
        <v/>
      </c>
      <c r="T405" s="33" t="str">
        <f t="shared" si="215"/>
        <v/>
      </c>
      <c r="U405" s="33"/>
      <c r="V405" s="33" t="str">
        <f t="shared" si="216"/>
        <v/>
      </c>
      <c r="W405" s="33" t="str">
        <f t="shared" si="217"/>
        <v/>
      </c>
      <c r="X405" s="33" t="str">
        <f t="shared" si="218"/>
        <v/>
      </c>
      <c r="Y405" s="33" t="str">
        <f t="shared" si="219"/>
        <v/>
      </c>
      <c r="Z405" s="33" t="str">
        <f t="shared" si="220"/>
        <v/>
      </c>
      <c r="AA405" s="33" t="str">
        <f t="shared" si="221"/>
        <v/>
      </c>
    </row>
    <row r="406" spans="4:27" x14ac:dyDescent="0.25">
      <c r="D406" s="70">
        <v>119</v>
      </c>
      <c r="E406" s="27" t="str">
        <f t="shared" si="202"/>
        <v/>
      </c>
      <c r="F406" s="33" t="str">
        <f t="shared" si="203"/>
        <v/>
      </c>
      <c r="G406" s="33" t="str">
        <f t="shared" si="204"/>
        <v/>
      </c>
      <c r="H406" s="33" t="str">
        <f t="shared" si="205"/>
        <v/>
      </c>
      <c r="I406" s="33" t="str">
        <f t="shared" si="206"/>
        <v/>
      </c>
      <c r="J406" s="33" t="str">
        <f t="shared" si="207"/>
        <v/>
      </c>
      <c r="K406" s="33" t="str">
        <f t="shared" si="208"/>
        <v/>
      </c>
      <c r="L406" s="33"/>
      <c r="M406" s="33"/>
      <c r="N406" s="33" t="str">
        <f t="shared" si="209"/>
        <v/>
      </c>
      <c r="O406" s="33" t="str">
        <f t="shared" si="210"/>
        <v/>
      </c>
      <c r="P406" s="33" t="str">
        <f t="shared" si="211"/>
        <v/>
      </c>
      <c r="Q406" s="33" t="str">
        <f t="shared" si="212"/>
        <v/>
      </c>
      <c r="R406" s="33" t="str">
        <f t="shared" si="213"/>
        <v/>
      </c>
      <c r="S406" s="27" t="str">
        <f t="shared" si="214"/>
        <v/>
      </c>
      <c r="T406" s="33" t="str">
        <f t="shared" si="215"/>
        <v/>
      </c>
      <c r="U406" s="33"/>
      <c r="V406" s="33" t="str">
        <f t="shared" si="216"/>
        <v/>
      </c>
      <c r="W406" s="33" t="str">
        <f t="shared" si="217"/>
        <v/>
      </c>
      <c r="X406" s="33" t="str">
        <f t="shared" si="218"/>
        <v/>
      </c>
      <c r="Y406" s="33" t="str">
        <f t="shared" si="219"/>
        <v/>
      </c>
      <c r="Z406" s="33" t="str">
        <f t="shared" si="220"/>
        <v/>
      </c>
      <c r="AA406" s="33" t="str">
        <f t="shared" si="221"/>
        <v/>
      </c>
    </row>
    <row r="407" spans="4:27" x14ac:dyDescent="0.25">
      <c r="D407" s="70">
        <v>120</v>
      </c>
      <c r="E407" s="27" t="str">
        <f t="shared" si="202"/>
        <v/>
      </c>
      <c r="F407" s="33" t="str">
        <f t="shared" si="203"/>
        <v/>
      </c>
      <c r="G407" s="33" t="str">
        <f t="shared" si="204"/>
        <v/>
      </c>
      <c r="H407" s="33" t="str">
        <f t="shared" si="205"/>
        <v/>
      </c>
      <c r="I407" s="33" t="str">
        <f t="shared" si="206"/>
        <v/>
      </c>
      <c r="J407" s="33" t="str">
        <f t="shared" si="207"/>
        <v/>
      </c>
      <c r="K407" s="33" t="str">
        <f t="shared" si="208"/>
        <v/>
      </c>
      <c r="L407" s="33"/>
      <c r="M407" s="33"/>
      <c r="N407" s="33" t="str">
        <f t="shared" si="209"/>
        <v/>
      </c>
      <c r="O407" s="33" t="str">
        <f t="shared" si="210"/>
        <v/>
      </c>
      <c r="P407" s="33" t="str">
        <f t="shared" si="211"/>
        <v/>
      </c>
      <c r="Q407" s="33" t="str">
        <f t="shared" si="212"/>
        <v/>
      </c>
      <c r="R407" s="33" t="str">
        <f t="shared" si="213"/>
        <v/>
      </c>
      <c r="S407" s="27" t="str">
        <f t="shared" si="214"/>
        <v/>
      </c>
      <c r="T407" s="33" t="str">
        <f t="shared" si="215"/>
        <v/>
      </c>
      <c r="U407" s="33"/>
      <c r="V407" s="33" t="str">
        <f t="shared" si="216"/>
        <v/>
      </c>
      <c r="W407" s="33" t="str">
        <f t="shared" si="217"/>
        <v/>
      </c>
      <c r="X407" s="33" t="str">
        <f t="shared" si="218"/>
        <v/>
      </c>
      <c r="Y407" s="33" t="str">
        <f t="shared" si="219"/>
        <v/>
      </c>
      <c r="Z407" s="33" t="str">
        <f t="shared" si="220"/>
        <v/>
      </c>
      <c r="AA407" s="33" t="str">
        <f t="shared" si="221"/>
        <v/>
      </c>
    </row>
    <row r="408" spans="4:27" x14ac:dyDescent="0.25">
      <c r="D408" s="70">
        <v>121</v>
      </c>
      <c r="E408" s="27" t="str">
        <f t="shared" si="202"/>
        <v/>
      </c>
      <c r="F408" s="33" t="str">
        <f t="shared" si="203"/>
        <v/>
      </c>
      <c r="G408" s="33" t="str">
        <f t="shared" si="204"/>
        <v/>
      </c>
      <c r="H408" s="33" t="str">
        <f t="shared" si="205"/>
        <v/>
      </c>
      <c r="I408" s="33" t="str">
        <f t="shared" si="206"/>
        <v/>
      </c>
      <c r="J408" s="33" t="str">
        <f t="shared" si="207"/>
        <v/>
      </c>
      <c r="K408" s="33" t="str">
        <f t="shared" si="208"/>
        <v/>
      </c>
      <c r="L408" s="33"/>
      <c r="M408" s="33"/>
      <c r="N408" s="33" t="str">
        <f t="shared" si="209"/>
        <v/>
      </c>
      <c r="O408" s="33" t="str">
        <f t="shared" si="210"/>
        <v/>
      </c>
      <c r="P408" s="33" t="str">
        <f t="shared" si="211"/>
        <v/>
      </c>
      <c r="Q408" s="33" t="str">
        <f t="shared" si="212"/>
        <v/>
      </c>
      <c r="R408" s="33" t="str">
        <f t="shared" si="213"/>
        <v/>
      </c>
      <c r="S408" s="27" t="str">
        <f t="shared" si="214"/>
        <v/>
      </c>
      <c r="T408" s="33" t="str">
        <f t="shared" si="215"/>
        <v/>
      </c>
      <c r="U408" s="33"/>
      <c r="V408" s="33" t="str">
        <f t="shared" si="216"/>
        <v/>
      </c>
      <c r="W408" s="33" t="str">
        <f t="shared" si="217"/>
        <v/>
      </c>
      <c r="X408" s="33" t="str">
        <f t="shared" si="218"/>
        <v/>
      </c>
      <c r="Y408" s="33" t="str">
        <f t="shared" si="219"/>
        <v/>
      </c>
      <c r="Z408" s="33" t="str">
        <f t="shared" si="220"/>
        <v/>
      </c>
      <c r="AA408" s="33" t="str">
        <f t="shared" si="221"/>
        <v/>
      </c>
    </row>
    <row r="409" spans="4:27" x14ac:dyDescent="0.25">
      <c r="D409" s="70">
        <v>122</v>
      </c>
      <c r="E409" s="27" t="str">
        <f t="shared" si="202"/>
        <v/>
      </c>
      <c r="F409" s="33" t="str">
        <f t="shared" si="203"/>
        <v/>
      </c>
      <c r="G409" s="33" t="str">
        <f t="shared" si="204"/>
        <v/>
      </c>
      <c r="H409" s="33" t="str">
        <f t="shared" si="205"/>
        <v/>
      </c>
      <c r="I409" s="33" t="str">
        <f t="shared" si="206"/>
        <v/>
      </c>
      <c r="J409" s="33" t="str">
        <f t="shared" si="207"/>
        <v/>
      </c>
      <c r="K409" s="33" t="str">
        <f t="shared" si="208"/>
        <v/>
      </c>
      <c r="L409" s="33"/>
      <c r="M409" s="33"/>
      <c r="N409" s="33" t="str">
        <f t="shared" si="209"/>
        <v/>
      </c>
      <c r="O409" s="33" t="str">
        <f t="shared" si="210"/>
        <v/>
      </c>
      <c r="P409" s="33" t="str">
        <f t="shared" si="211"/>
        <v/>
      </c>
      <c r="Q409" s="33" t="str">
        <f t="shared" si="212"/>
        <v/>
      </c>
      <c r="R409" s="33" t="str">
        <f t="shared" si="213"/>
        <v/>
      </c>
      <c r="S409" s="27" t="str">
        <f t="shared" si="214"/>
        <v/>
      </c>
      <c r="T409" s="33" t="str">
        <f t="shared" si="215"/>
        <v/>
      </c>
      <c r="U409" s="33"/>
      <c r="V409" s="33" t="str">
        <f t="shared" si="216"/>
        <v/>
      </c>
      <c r="W409" s="33" t="str">
        <f t="shared" si="217"/>
        <v/>
      </c>
      <c r="X409" s="33" t="str">
        <f t="shared" si="218"/>
        <v/>
      </c>
      <c r="Y409" s="33" t="str">
        <f t="shared" si="219"/>
        <v/>
      </c>
      <c r="Z409" s="33" t="str">
        <f t="shared" si="220"/>
        <v/>
      </c>
      <c r="AA409" s="33" t="str">
        <f t="shared" si="221"/>
        <v/>
      </c>
    </row>
    <row r="410" spans="4:27" x14ac:dyDescent="0.25">
      <c r="D410" s="70">
        <v>123</v>
      </c>
      <c r="E410" s="27" t="str">
        <f t="shared" si="202"/>
        <v/>
      </c>
      <c r="F410" s="33" t="str">
        <f t="shared" si="203"/>
        <v/>
      </c>
      <c r="G410" s="33" t="str">
        <f t="shared" si="204"/>
        <v/>
      </c>
      <c r="H410" s="33" t="str">
        <f t="shared" si="205"/>
        <v/>
      </c>
      <c r="I410" s="33" t="str">
        <f t="shared" si="206"/>
        <v/>
      </c>
      <c r="J410" s="33" t="str">
        <f t="shared" si="207"/>
        <v/>
      </c>
      <c r="K410" s="33" t="str">
        <f t="shared" si="208"/>
        <v/>
      </c>
      <c r="L410" s="33"/>
      <c r="M410" s="33"/>
      <c r="N410" s="33" t="str">
        <f t="shared" si="209"/>
        <v/>
      </c>
      <c r="O410" s="33" t="str">
        <f t="shared" si="210"/>
        <v/>
      </c>
      <c r="P410" s="33" t="str">
        <f t="shared" si="211"/>
        <v/>
      </c>
      <c r="Q410" s="33" t="str">
        <f t="shared" si="212"/>
        <v/>
      </c>
      <c r="R410" s="33" t="str">
        <f t="shared" si="213"/>
        <v/>
      </c>
      <c r="S410" s="27" t="str">
        <f t="shared" si="214"/>
        <v/>
      </c>
      <c r="T410" s="33" t="str">
        <f t="shared" si="215"/>
        <v/>
      </c>
      <c r="U410" s="33"/>
      <c r="V410" s="33" t="str">
        <f t="shared" si="216"/>
        <v/>
      </c>
      <c r="W410" s="33" t="str">
        <f t="shared" si="217"/>
        <v/>
      </c>
      <c r="X410" s="33" t="str">
        <f t="shared" si="218"/>
        <v/>
      </c>
      <c r="Y410" s="33" t="str">
        <f t="shared" si="219"/>
        <v/>
      </c>
      <c r="Z410" s="33" t="str">
        <f t="shared" si="220"/>
        <v/>
      </c>
      <c r="AA410" s="33" t="str">
        <f t="shared" si="221"/>
        <v/>
      </c>
    </row>
    <row r="411" spans="4:27" x14ac:dyDescent="0.25">
      <c r="D411" s="70">
        <v>124</v>
      </c>
      <c r="E411" s="27" t="str">
        <f t="shared" si="202"/>
        <v/>
      </c>
      <c r="F411" s="33" t="str">
        <f t="shared" si="203"/>
        <v/>
      </c>
      <c r="G411" s="33" t="str">
        <f t="shared" si="204"/>
        <v/>
      </c>
      <c r="H411" s="33" t="str">
        <f t="shared" si="205"/>
        <v/>
      </c>
      <c r="I411" s="33" t="str">
        <f t="shared" si="206"/>
        <v/>
      </c>
      <c r="J411" s="33" t="str">
        <f t="shared" si="207"/>
        <v/>
      </c>
      <c r="K411" s="33" t="str">
        <f t="shared" si="208"/>
        <v/>
      </c>
      <c r="L411" s="33"/>
      <c r="M411" s="33"/>
      <c r="N411" s="33" t="str">
        <f t="shared" si="209"/>
        <v/>
      </c>
      <c r="O411" s="33" t="str">
        <f t="shared" si="210"/>
        <v/>
      </c>
      <c r="P411" s="33" t="str">
        <f t="shared" si="211"/>
        <v/>
      </c>
      <c r="Q411" s="33" t="str">
        <f t="shared" si="212"/>
        <v/>
      </c>
      <c r="R411" s="33" t="str">
        <f t="shared" si="213"/>
        <v/>
      </c>
      <c r="S411" s="27" t="str">
        <f t="shared" si="214"/>
        <v/>
      </c>
      <c r="T411" s="33" t="str">
        <f t="shared" si="215"/>
        <v/>
      </c>
      <c r="U411" s="33"/>
      <c r="V411" s="33" t="str">
        <f t="shared" si="216"/>
        <v/>
      </c>
      <c r="W411" s="33" t="str">
        <f t="shared" si="217"/>
        <v/>
      </c>
      <c r="X411" s="33" t="str">
        <f t="shared" si="218"/>
        <v/>
      </c>
      <c r="Y411" s="33" t="str">
        <f t="shared" si="219"/>
        <v/>
      </c>
      <c r="Z411" s="33" t="str">
        <f t="shared" si="220"/>
        <v/>
      </c>
      <c r="AA411" s="33" t="str">
        <f t="shared" si="221"/>
        <v/>
      </c>
    </row>
    <row r="412" spans="4:27" x14ac:dyDescent="0.25">
      <c r="D412" s="70">
        <v>125</v>
      </c>
      <c r="E412" s="27" t="str">
        <f t="shared" si="202"/>
        <v/>
      </c>
      <c r="F412" s="33" t="str">
        <f t="shared" si="203"/>
        <v/>
      </c>
      <c r="G412" s="33" t="str">
        <f t="shared" si="204"/>
        <v/>
      </c>
      <c r="H412" s="33" t="str">
        <f t="shared" si="205"/>
        <v/>
      </c>
      <c r="I412" s="33" t="str">
        <f t="shared" si="206"/>
        <v/>
      </c>
      <c r="J412" s="33" t="str">
        <f t="shared" si="207"/>
        <v/>
      </c>
      <c r="K412" s="33" t="str">
        <f t="shared" si="208"/>
        <v/>
      </c>
      <c r="L412" s="33"/>
      <c r="M412" s="33"/>
      <c r="N412" s="33" t="str">
        <f t="shared" si="209"/>
        <v/>
      </c>
      <c r="O412" s="33" t="str">
        <f t="shared" si="210"/>
        <v/>
      </c>
      <c r="P412" s="33" t="str">
        <f t="shared" si="211"/>
        <v/>
      </c>
      <c r="Q412" s="33" t="str">
        <f t="shared" si="212"/>
        <v/>
      </c>
      <c r="R412" s="33" t="str">
        <f t="shared" si="213"/>
        <v/>
      </c>
      <c r="S412" s="27" t="str">
        <f t="shared" si="214"/>
        <v/>
      </c>
      <c r="T412" s="33" t="str">
        <f t="shared" si="215"/>
        <v/>
      </c>
      <c r="U412" s="33"/>
      <c r="V412" s="33" t="str">
        <f t="shared" si="216"/>
        <v/>
      </c>
      <c r="W412" s="33" t="str">
        <f t="shared" si="217"/>
        <v/>
      </c>
      <c r="X412" s="33" t="str">
        <f t="shared" si="218"/>
        <v/>
      </c>
      <c r="Y412" s="33" t="str">
        <f t="shared" si="219"/>
        <v/>
      </c>
      <c r="Z412" s="33" t="str">
        <f t="shared" si="220"/>
        <v/>
      </c>
      <c r="AA412" s="33" t="str">
        <f t="shared" si="221"/>
        <v/>
      </c>
    </row>
    <row r="413" spans="4:27" x14ac:dyDescent="0.25">
      <c r="D413" s="70">
        <v>126</v>
      </c>
      <c r="E413" s="27" t="str">
        <f t="shared" si="202"/>
        <v/>
      </c>
      <c r="F413" s="33" t="str">
        <f t="shared" si="203"/>
        <v/>
      </c>
      <c r="G413" s="33" t="str">
        <f t="shared" si="204"/>
        <v/>
      </c>
      <c r="H413" s="33" t="str">
        <f t="shared" si="205"/>
        <v/>
      </c>
      <c r="I413" s="33" t="str">
        <f t="shared" si="206"/>
        <v/>
      </c>
      <c r="J413" s="33" t="str">
        <f t="shared" si="207"/>
        <v/>
      </c>
      <c r="K413" s="33" t="str">
        <f t="shared" si="208"/>
        <v/>
      </c>
      <c r="L413" s="33"/>
      <c r="M413" s="33"/>
      <c r="N413" s="33" t="str">
        <f t="shared" si="209"/>
        <v/>
      </c>
      <c r="O413" s="33" t="str">
        <f t="shared" si="210"/>
        <v/>
      </c>
      <c r="P413" s="33" t="str">
        <f t="shared" si="211"/>
        <v/>
      </c>
      <c r="Q413" s="33" t="str">
        <f t="shared" si="212"/>
        <v/>
      </c>
      <c r="R413" s="33" t="str">
        <f t="shared" si="213"/>
        <v/>
      </c>
      <c r="S413" s="27" t="str">
        <f t="shared" si="214"/>
        <v/>
      </c>
      <c r="T413" s="33" t="str">
        <f t="shared" si="215"/>
        <v/>
      </c>
      <c r="U413" s="33"/>
      <c r="V413" s="33" t="str">
        <f t="shared" si="216"/>
        <v/>
      </c>
      <c r="W413" s="33" t="str">
        <f t="shared" si="217"/>
        <v/>
      </c>
      <c r="X413" s="33" t="str">
        <f t="shared" si="218"/>
        <v/>
      </c>
      <c r="Y413" s="33" t="str">
        <f t="shared" si="219"/>
        <v/>
      </c>
      <c r="Z413" s="33" t="str">
        <f t="shared" si="220"/>
        <v/>
      </c>
      <c r="AA413" s="33" t="str">
        <f t="shared" si="221"/>
        <v/>
      </c>
    </row>
    <row r="414" spans="4:27" x14ac:dyDescent="0.25">
      <c r="D414" s="70">
        <v>127</v>
      </c>
      <c r="E414" s="27" t="str">
        <f t="shared" si="202"/>
        <v/>
      </c>
      <c r="F414" s="33" t="str">
        <f t="shared" si="203"/>
        <v/>
      </c>
      <c r="G414" s="33" t="str">
        <f t="shared" si="204"/>
        <v/>
      </c>
      <c r="H414" s="33" t="str">
        <f t="shared" si="205"/>
        <v/>
      </c>
      <c r="I414" s="33" t="str">
        <f t="shared" si="206"/>
        <v/>
      </c>
      <c r="J414" s="33" t="str">
        <f t="shared" si="207"/>
        <v/>
      </c>
      <c r="K414" s="33" t="str">
        <f t="shared" si="208"/>
        <v/>
      </c>
      <c r="L414" s="33"/>
      <c r="M414" s="33"/>
      <c r="N414" s="33" t="str">
        <f t="shared" si="209"/>
        <v/>
      </c>
      <c r="O414" s="33" t="str">
        <f t="shared" si="210"/>
        <v/>
      </c>
      <c r="P414" s="33" t="str">
        <f t="shared" si="211"/>
        <v/>
      </c>
      <c r="Q414" s="33" t="str">
        <f t="shared" si="212"/>
        <v/>
      </c>
      <c r="R414" s="33" t="str">
        <f t="shared" si="213"/>
        <v/>
      </c>
      <c r="S414" s="27" t="str">
        <f t="shared" si="214"/>
        <v/>
      </c>
      <c r="T414" s="33" t="str">
        <f t="shared" si="215"/>
        <v/>
      </c>
      <c r="U414" s="33"/>
      <c r="V414" s="33" t="str">
        <f t="shared" si="216"/>
        <v/>
      </c>
      <c r="W414" s="33" t="str">
        <f t="shared" si="217"/>
        <v/>
      </c>
      <c r="X414" s="33" t="str">
        <f t="shared" si="218"/>
        <v/>
      </c>
      <c r="Y414" s="33" t="str">
        <f t="shared" si="219"/>
        <v/>
      </c>
      <c r="Z414" s="33" t="str">
        <f t="shared" si="220"/>
        <v/>
      </c>
      <c r="AA414" s="33" t="str">
        <f t="shared" si="221"/>
        <v/>
      </c>
    </row>
    <row r="415" spans="4:27" x14ac:dyDescent="0.25">
      <c r="D415" s="70">
        <v>128</v>
      </c>
      <c r="E415" s="27" t="str">
        <f t="shared" si="202"/>
        <v/>
      </c>
      <c r="F415" s="33" t="str">
        <f t="shared" si="203"/>
        <v/>
      </c>
      <c r="G415" s="33" t="str">
        <f t="shared" si="204"/>
        <v/>
      </c>
      <c r="H415" s="33" t="str">
        <f t="shared" si="205"/>
        <v/>
      </c>
      <c r="I415" s="33" t="str">
        <f t="shared" si="206"/>
        <v/>
      </c>
      <c r="J415" s="33" t="str">
        <f t="shared" si="207"/>
        <v/>
      </c>
      <c r="K415" s="33" t="str">
        <f t="shared" si="208"/>
        <v/>
      </c>
      <c r="L415" s="33"/>
      <c r="M415" s="33"/>
      <c r="N415" s="33" t="str">
        <f t="shared" si="209"/>
        <v/>
      </c>
      <c r="O415" s="33" t="str">
        <f t="shared" si="210"/>
        <v/>
      </c>
      <c r="P415" s="33" t="str">
        <f t="shared" si="211"/>
        <v/>
      </c>
      <c r="Q415" s="33" t="str">
        <f t="shared" si="212"/>
        <v/>
      </c>
      <c r="R415" s="33" t="str">
        <f t="shared" si="213"/>
        <v/>
      </c>
      <c r="S415" s="27" t="str">
        <f t="shared" si="214"/>
        <v/>
      </c>
      <c r="T415" s="33" t="str">
        <f t="shared" si="215"/>
        <v/>
      </c>
      <c r="U415" s="33"/>
      <c r="V415" s="33" t="str">
        <f t="shared" si="216"/>
        <v/>
      </c>
      <c r="W415" s="33" t="str">
        <f t="shared" si="217"/>
        <v/>
      </c>
      <c r="X415" s="33" t="str">
        <f t="shared" si="218"/>
        <v/>
      </c>
      <c r="Y415" s="33" t="str">
        <f t="shared" si="219"/>
        <v/>
      </c>
      <c r="Z415" s="33" t="str">
        <f t="shared" si="220"/>
        <v/>
      </c>
      <c r="AA415" s="33" t="str">
        <f t="shared" si="221"/>
        <v/>
      </c>
    </row>
    <row r="425" spans="5:41" ht="15.75" customHeight="1" thickBot="1" x14ac:dyDescent="0.3"/>
    <row r="426" spans="5:41" ht="18.75" customHeight="1" thickBot="1" x14ac:dyDescent="0.3">
      <c r="E426" s="602" t="s">
        <v>535</v>
      </c>
      <c r="F426" s="544"/>
      <c r="G426" s="544"/>
      <c r="H426" s="544"/>
      <c r="I426" s="544"/>
      <c r="J426" s="544"/>
      <c r="K426" s="544"/>
      <c r="L426" s="544"/>
      <c r="M426" s="544"/>
      <c r="N426" s="544"/>
      <c r="O426" s="545"/>
      <c r="R426" s="602" t="s">
        <v>535</v>
      </c>
      <c r="S426" s="544"/>
      <c r="T426" s="544"/>
      <c r="U426" s="544"/>
      <c r="V426" s="544"/>
      <c r="W426" s="544"/>
      <c r="X426" s="544"/>
      <c r="Y426" s="544"/>
      <c r="Z426" s="544"/>
      <c r="AA426" s="545"/>
      <c r="AD426" s="602" t="s">
        <v>535</v>
      </c>
      <c r="AE426" s="544"/>
      <c r="AF426" s="544"/>
      <c r="AG426" s="544"/>
      <c r="AH426" s="544"/>
      <c r="AI426" s="544"/>
      <c r="AJ426" s="544"/>
      <c r="AK426" s="544"/>
      <c r="AL426" s="545"/>
      <c r="AM426" s="224"/>
      <c r="AN426" s="224"/>
      <c r="AO426" s="224"/>
    </row>
    <row r="427" spans="5:41" x14ac:dyDescent="0.25">
      <c r="E427" s="610" t="s">
        <v>41</v>
      </c>
      <c r="F427" s="598" t="s">
        <v>9</v>
      </c>
      <c r="G427" s="598" t="s">
        <v>495</v>
      </c>
      <c r="H427" s="598" t="s">
        <v>376</v>
      </c>
      <c r="I427" s="599" t="s">
        <v>529</v>
      </c>
      <c r="J427" s="547"/>
      <c r="K427" s="547"/>
      <c r="L427" s="547"/>
      <c r="M427" s="547"/>
      <c r="N427" s="547"/>
      <c r="O427" s="548"/>
      <c r="R427" s="610" t="s">
        <v>41</v>
      </c>
      <c r="S427" s="598" t="s">
        <v>9</v>
      </c>
      <c r="T427" s="598" t="s">
        <v>495</v>
      </c>
      <c r="U427" s="238"/>
      <c r="V427" s="598" t="s">
        <v>520</v>
      </c>
      <c r="W427" s="599" t="s">
        <v>370</v>
      </c>
      <c r="X427" s="547"/>
      <c r="Y427" s="547"/>
      <c r="Z427" s="547"/>
      <c r="AA427" s="548"/>
      <c r="AD427" s="610" t="s">
        <v>41</v>
      </c>
      <c r="AE427" s="598" t="s">
        <v>9</v>
      </c>
      <c r="AF427" s="598" t="s">
        <v>495</v>
      </c>
      <c r="AG427" s="598" t="s">
        <v>520</v>
      </c>
      <c r="AH427" s="599" t="s">
        <v>370</v>
      </c>
      <c r="AI427" s="547"/>
      <c r="AJ427" s="547"/>
      <c r="AK427" s="547"/>
      <c r="AL427" s="548"/>
      <c r="AM427" s="225"/>
      <c r="AN427" s="225"/>
      <c r="AO427" s="225"/>
    </row>
    <row r="428" spans="5:41" x14ac:dyDescent="0.25">
      <c r="E428" s="611"/>
      <c r="F428" s="591"/>
      <c r="G428" s="591"/>
      <c r="H428" s="591"/>
      <c r="I428" s="84">
        <v>0.8</v>
      </c>
      <c r="J428" s="84">
        <v>0.96</v>
      </c>
      <c r="K428" s="84">
        <v>1.1200000000000001</v>
      </c>
      <c r="L428" s="84"/>
      <c r="M428" s="84"/>
      <c r="N428" s="84">
        <v>1.3</v>
      </c>
      <c r="O428" s="100">
        <v>1.5</v>
      </c>
      <c r="R428" s="611"/>
      <c r="S428" s="591"/>
      <c r="T428" s="591"/>
      <c r="U428" s="239"/>
      <c r="V428" s="591"/>
      <c r="W428" s="84">
        <v>0.8</v>
      </c>
      <c r="X428" s="84">
        <v>0.96</v>
      </c>
      <c r="Y428" s="84">
        <v>1.1200000000000001</v>
      </c>
      <c r="Z428" s="84">
        <v>1.3</v>
      </c>
      <c r="AA428" s="100">
        <v>1.5</v>
      </c>
      <c r="AD428" s="611"/>
      <c r="AE428" s="591"/>
      <c r="AF428" s="591"/>
      <c r="AG428" s="591"/>
      <c r="AH428" s="84">
        <v>0.8</v>
      </c>
      <c r="AI428" s="84">
        <v>0.96</v>
      </c>
      <c r="AJ428" s="84">
        <v>1.1200000000000001</v>
      </c>
      <c r="AK428" s="84">
        <v>1.3</v>
      </c>
      <c r="AL428" s="100">
        <v>1.5</v>
      </c>
      <c r="AM428" s="225"/>
      <c r="AN428" s="225"/>
      <c r="AO428" s="225"/>
    </row>
    <row r="429" spans="5:41" x14ac:dyDescent="0.25">
      <c r="E429" s="603">
        <v>0.25</v>
      </c>
      <c r="F429" s="633"/>
      <c r="G429" s="609" t="s">
        <v>471</v>
      </c>
      <c r="H429" s="87" t="s">
        <v>522</v>
      </c>
      <c r="I429" s="88">
        <v>1</v>
      </c>
      <c r="J429" s="88">
        <v>1</v>
      </c>
      <c r="K429" s="88">
        <v>1</v>
      </c>
      <c r="L429" s="88">
        <v>1</v>
      </c>
      <c r="M429" s="88">
        <v>1</v>
      </c>
      <c r="N429" s="88">
        <v>1</v>
      </c>
      <c r="O429" s="88">
        <v>1</v>
      </c>
      <c r="P429">
        <v>1.141494838324278</v>
      </c>
      <c r="R429" s="603">
        <v>0.35</v>
      </c>
      <c r="S429" s="633"/>
      <c r="T429" s="609" t="s">
        <v>471</v>
      </c>
      <c r="U429" s="235"/>
      <c r="V429" s="87" t="s">
        <v>522</v>
      </c>
      <c r="W429" s="88">
        <v>1</v>
      </c>
      <c r="X429" s="88">
        <v>1</v>
      </c>
      <c r="Y429" s="88">
        <v>1</v>
      </c>
      <c r="Z429" s="88">
        <v>1</v>
      </c>
      <c r="AA429" s="88">
        <v>1</v>
      </c>
      <c r="AD429" s="603">
        <v>0.45</v>
      </c>
      <c r="AE429" s="633"/>
      <c r="AF429" s="609" t="s">
        <v>471</v>
      </c>
      <c r="AG429" s="87" t="s">
        <v>522</v>
      </c>
      <c r="AH429" s="88">
        <v>1</v>
      </c>
      <c r="AI429" s="88">
        <v>1</v>
      </c>
      <c r="AJ429" s="88">
        <v>1</v>
      </c>
      <c r="AK429" s="88">
        <v>1</v>
      </c>
      <c r="AL429" s="88">
        <v>1</v>
      </c>
      <c r="AM429" s="226"/>
      <c r="AN429" s="226"/>
      <c r="AO429" s="226"/>
    </row>
    <row r="430" spans="5:41" x14ac:dyDescent="0.25">
      <c r="E430" s="604"/>
      <c r="F430" s="589"/>
      <c r="G430" s="589"/>
      <c r="H430" s="90" t="s">
        <v>523</v>
      </c>
      <c r="I430" s="91">
        <v>1</v>
      </c>
      <c r="J430" s="91">
        <v>1</v>
      </c>
      <c r="K430" s="91">
        <v>1</v>
      </c>
      <c r="L430" s="91">
        <v>1</v>
      </c>
      <c r="M430" s="91">
        <v>1</v>
      </c>
      <c r="N430" s="91">
        <v>1</v>
      </c>
      <c r="O430" s="91">
        <v>1</v>
      </c>
      <c r="P430">
        <v>1.164902487082506</v>
      </c>
      <c r="R430" s="604"/>
      <c r="S430" s="589"/>
      <c r="T430" s="589"/>
      <c r="U430" s="236"/>
      <c r="V430" s="90" t="s">
        <v>523</v>
      </c>
      <c r="W430" s="91">
        <v>1</v>
      </c>
      <c r="X430" s="91">
        <v>1</v>
      </c>
      <c r="Y430" s="91">
        <v>1</v>
      </c>
      <c r="Z430" s="91">
        <v>1</v>
      </c>
      <c r="AA430" s="91">
        <v>1</v>
      </c>
      <c r="AD430" s="604"/>
      <c r="AE430" s="589"/>
      <c r="AF430" s="589"/>
      <c r="AG430" s="90" t="s">
        <v>523</v>
      </c>
      <c r="AH430" s="91">
        <v>1</v>
      </c>
      <c r="AI430" s="91">
        <v>1</v>
      </c>
      <c r="AJ430" s="91">
        <v>1</v>
      </c>
      <c r="AK430" s="91">
        <v>1</v>
      </c>
      <c r="AL430" s="91">
        <v>1</v>
      </c>
      <c r="AM430" s="226"/>
      <c r="AN430" s="226"/>
      <c r="AO430" s="226"/>
    </row>
    <row r="431" spans="5:41" x14ac:dyDescent="0.25">
      <c r="E431" s="604"/>
      <c r="F431" s="589"/>
      <c r="G431" s="589"/>
      <c r="H431" s="90" t="s">
        <v>524</v>
      </c>
      <c r="I431" s="91">
        <v>1</v>
      </c>
      <c r="J431" s="91">
        <v>1</v>
      </c>
      <c r="K431" s="91">
        <v>1</v>
      </c>
      <c r="L431" s="91">
        <v>1</v>
      </c>
      <c r="M431" s="91">
        <v>1</v>
      </c>
      <c r="N431" s="91">
        <v>1</v>
      </c>
      <c r="O431" s="91">
        <v>1</v>
      </c>
      <c r="P431">
        <v>1.236253260851861</v>
      </c>
      <c r="R431" s="604"/>
      <c r="S431" s="589"/>
      <c r="T431" s="589"/>
      <c r="U431" s="236"/>
      <c r="V431" s="90" t="s">
        <v>524</v>
      </c>
      <c r="W431" s="91">
        <v>1</v>
      </c>
      <c r="X431" s="91">
        <v>1</v>
      </c>
      <c r="Y431" s="91">
        <v>1</v>
      </c>
      <c r="Z431" s="91">
        <v>1</v>
      </c>
      <c r="AA431" s="91">
        <v>1</v>
      </c>
      <c r="AD431" s="604"/>
      <c r="AE431" s="589"/>
      <c r="AF431" s="589"/>
      <c r="AG431" s="90" t="s">
        <v>524</v>
      </c>
      <c r="AH431" s="91">
        <v>1</v>
      </c>
      <c r="AI431" s="91">
        <v>1</v>
      </c>
      <c r="AJ431" s="91">
        <v>1</v>
      </c>
      <c r="AK431" s="91">
        <v>1</v>
      </c>
      <c r="AL431" s="91">
        <v>1</v>
      </c>
      <c r="AM431" s="226"/>
      <c r="AN431" s="226"/>
      <c r="AO431" s="226"/>
    </row>
    <row r="432" spans="5:41" x14ac:dyDescent="0.25">
      <c r="E432" s="604"/>
      <c r="F432" s="589"/>
      <c r="G432" s="609" t="s">
        <v>7</v>
      </c>
      <c r="H432" s="87" t="s">
        <v>522</v>
      </c>
      <c r="I432" s="88">
        <v>1</v>
      </c>
      <c r="J432" s="88">
        <v>1</v>
      </c>
      <c r="K432" s="88">
        <v>1</v>
      </c>
      <c r="L432" s="88">
        <v>1</v>
      </c>
      <c r="M432" s="88">
        <v>1</v>
      </c>
      <c r="N432" s="88">
        <v>1</v>
      </c>
      <c r="O432" s="88">
        <v>1</v>
      </c>
      <c r="P432">
        <v>1.141494838324278</v>
      </c>
      <c r="R432" s="604"/>
      <c r="S432" s="589"/>
      <c r="T432" s="609" t="s">
        <v>7</v>
      </c>
      <c r="U432" s="235"/>
      <c r="V432" s="87" t="s">
        <v>522</v>
      </c>
      <c r="W432" s="88">
        <v>1</v>
      </c>
      <c r="X432" s="88">
        <v>1</v>
      </c>
      <c r="Y432" s="88">
        <v>1</v>
      </c>
      <c r="Z432" s="88">
        <v>1</v>
      </c>
      <c r="AA432" s="88">
        <v>1</v>
      </c>
      <c r="AD432" s="604"/>
      <c r="AE432" s="589"/>
      <c r="AF432" s="609" t="s">
        <v>7</v>
      </c>
      <c r="AG432" s="87" t="s">
        <v>522</v>
      </c>
      <c r="AH432" s="88">
        <v>1</v>
      </c>
      <c r="AI432" s="88">
        <v>1</v>
      </c>
      <c r="AJ432" s="88">
        <v>1</v>
      </c>
      <c r="AK432" s="88">
        <v>1</v>
      </c>
      <c r="AL432" s="88">
        <v>1</v>
      </c>
      <c r="AM432" s="226"/>
      <c r="AN432" s="226"/>
      <c r="AO432" s="226"/>
    </row>
    <row r="433" spans="5:41" x14ac:dyDescent="0.25">
      <c r="E433" s="604"/>
      <c r="F433" s="589"/>
      <c r="G433" s="589"/>
      <c r="H433" s="90" t="s">
        <v>523</v>
      </c>
      <c r="I433" s="91">
        <v>1</v>
      </c>
      <c r="J433" s="91">
        <v>1</v>
      </c>
      <c r="K433" s="91">
        <v>1</v>
      </c>
      <c r="L433" s="91">
        <v>1</v>
      </c>
      <c r="M433" s="91">
        <v>1</v>
      </c>
      <c r="N433" s="91">
        <v>1</v>
      </c>
      <c r="O433" s="91">
        <v>1</v>
      </c>
      <c r="P433">
        <v>1.164902487082506</v>
      </c>
      <c r="R433" s="604"/>
      <c r="S433" s="589"/>
      <c r="T433" s="589"/>
      <c r="U433" s="236"/>
      <c r="V433" s="90" t="s">
        <v>523</v>
      </c>
      <c r="W433" s="91">
        <v>1</v>
      </c>
      <c r="X433" s="91">
        <v>1</v>
      </c>
      <c r="Y433" s="91">
        <v>1</v>
      </c>
      <c r="Z433" s="91">
        <v>1</v>
      </c>
      <c r="AA433" s="91">
        <v>1</v>
      </c>
      <c r="AD433" s="604"/>
      <c r="AE433" s="589"/>
      <c r="AF433" s="589"/>
      <c r="AG433" s="90" t="s">
        <v>523</v>
      </c>
      <c r="AH433" s="91">
        <v>1</v>
      </c>
      <c r="AI433" s="91">
        <v>1</v>
      </c>
      <c r="AJ433" s="91">
        <v>1</v>
      </c>
      <c r="AK433" s="91">
        <v>1</v>
      </c>
      <c r="AL433" s="91">
        <v>1</v>
      </c>
      <c r="AM433" s="226"/>
      <c r="AN433" s="226"/>
      <c r="AO433" s="226"/>
    </row>
    <row r="434" spans="5:41" x14ac:dyDescent="0.25">
      <c r="E434" s="604"/>
      <c r="F434" s="589"/>
      <c r="G434" s="589"/>
      <c r="H434" s="90" t="s">
        <v>524</v>
      </c>
      <c r="I434" s="91">
        <v>1</v>
      </c>
      <c r="J434" s="91">
        <v>1</v>
      </c>
      <c r="K434" s="91">
        <v>1</v>
      </c>
      <c r="L434" s="91">
        <v>1</v>
      </c>
      <c r="M434" s="91">
        <v>1</v>
      </c>
      <c r="N434" s="91">
        <v>1</v>
      </c>
      <c r="O434" s="91">
        <v>1</v>
      </c>
      <c r="P434">
        <v>1.236253260851861</v>
      </c>
      <c r="R434" s="604"/>
      <c r="S434" s="589"/>
      <c r="T434" s="589"/>
      <c r="U434" s="236"/>
      <c r="V434" s="90" t="s">
        <v>524</v>
      </c>
      <c r="W434" s="91">
        <v>1</v>
      </c>
      <c r="X434" s="91">
        <v>1</v>
      </c>
      <c r="Y434" s="91">
        <v>1</v>
      </c>
      <c r="Z434" s="91">
        <v>1</v>
      </c>
      <c r="AA434" s="91">
        <v>1</v>
      </c>
      <c r="AD434" s="604"/>
      <c r="AE434" s="589"/>
      <c r="AF434" s="589"/>
      <c r="AG434" s="90" t="s">
        <v>524</v>
      </c>
      <c r="AH434" s="91">
        <v>1</v>
      </c>
      <c r="AI434" s="91">
        <v>1</v>
      </c>
      <c r="AJ434" s="91">
        <v>1</v>
      </c>
      <c r="AK434" s="91">
        <v>1</v>
      </c>
      <c r="AL434" s="91">
        <v>1</v>
      </c>
      <c r="AM434" s="226"/>
      <c r="AN434" s="226"/>
      <c r="AO434" s="226"/>
    </row>
    <row r="435" spans="5:41" x14ac:dyDescent="0.25">
      <c r="E435" s="604"/>
      <c r="F435" s="619"/>
      <c r="G435" s="609" t="s">
        <v>471</v>
      </c>
      <c r="H435" s="87" t="s">
        <v>522</v>
      </c>
      <c r="I435" s="88">
        <v>1</v>
      </c>
      <c r="J435" s="88">
        <v>1</v>
      </c>
      <c r="K435" s="88">
        <v>1</v>
      </c>
      <c r="L435" s="88">
        <v>1</v>
      </c>
      <c r="M435" s="88">
        <v>1</v>
      </c>
      <c r="N435" s="88">
        <v>1</v>
      </c>
      <c r="O435" s="88">
        <v>1</v>
      </c>
      <c r="P435">
        <v>1.141494838324278</v>
      </c>
      <c r="R435" s="604"/>
      <c r="S435" s="619"/>
      <c r="T435" s="609" t="s">
        <v>471</v>
      </c>
      <c r="U435" s="235"/>
      <c r="V435" s="87" t="s">
        <v>522</v>
      </c>
      <c r="W435" s="88">
        <v>1</v>
      </c>
      <c r="X435" s="88">
        <v>1</v>
      </c>
      <c r="Y435" s="88">
        <v>1</v>
      </c>
      <c r="Z435" s="88">
        <v>1</v>
      </c>
      <c r="AA435" s="88">
        <v>1</v>
      </c>
      <c r="AB435">
        <v>1.141494838324278</v>
      </c>
      <c r="AD435" s="604"/>
      <c r="AE435" s="619"/>
      <c r="AF435" s="609" t="s">
        <v>471</v>
      </c>
      <c r="AG435" s="87" t="s">
        <v>522</v>
      </c>
      <c r="AH435" s="88">
        <v>1</v>
      </c>
      <c r="AI435" s="88">
        <v>1</v>
      </c>
      <c r="AJ435" s="88">
        <v>1</v>
      </c>
      <c r="AK435" s="88">
        <v>1</v>
      </c>
      <c r="AL435" s="88">
        <v>1</v>
      </c>
      <c r="AM435" s="226"/>
      <c r="AN435" s="226"/>
      <c r="AO435" s="226"/>
    </row>
    <row r="436" spans="5:41" x14ac:dyDescent="0.25">
      <c r="E436" s="604"/>
      <c r="F436" s="589"/>
      <c r="G436" s="589"/>
      <c r="H436" s="90" t="s">
        <v>523</v>
      </c>
      <c r="I436" s="91">
        <v>1</v>
      </c>
      <c r="J436" s="91">
        <v>1</v>
      </c>
      <c r="K436" s="91">
        <v>1</v>
      </c>
      <c r="L436" s="91">
        <v>1</v>
      </c>
      <c r="M436" s="91">
        <v>1</v>
      </c>
      <c r="N436" s="91">
        <v>1</v>
      </c>
      <c r="O436" s="91">
        <v>1</v>
      </c>
      <c r="P436">
        <v>1.2757126700481001</v>
      </c>
      <c r="R436" s="604"/>
      <c r="S436" s="589"/>
      <c r="T436" s="589"/>
      <c r="U436" s="236"/>
      <c r="V436" s="90" t="s">
        <v>523</v>
      </c>
      <c r="W436" s="91">
        <v>1</v>
      </c>
      <c r="X436" s="91">
        <v>1</v>
      </c>
      <c r="Y436" s="91">
        <v>1</v>
      </c>
      <c r="Z436" s="91">
        <v>1</v>
      </c>
      <c r="AA436" s="91">
        <v>1</v>
      </c>
      <c r="AB436">
        <v>1.1150641383144619</v>
      </c>
      <c r="AD436" s="604"/>
      <c r="AE436" s="589"/>
      <c r="AF436" s="589"/>
      <c r="AG436" s="90" t="s">
        <v>523</v>
      </c>
      <c r="AH436" s="91">
        <v>1</v>
      </c>
      <c r="AI436" s="91">
        <v>1</v>
      </c>
      <c r="AJ436" s="91">
        <v>1</v>
      </c>
      <c r="AK436" s="91">
        <v>1</v>
      </c>
      <c r="AL436" s="91">
        <v>1</v>
      </c>
      <c r="AM436" s="226"/>
      <c r="AN436" s="226"/>
      <c r="AO436" s="226"/>
    </row>
    <row r="437" spans="5:41" x14ac:dyDescent="0.25">
      <c r="E437" s="604"/>
      <c r="F437" s="589"/>
      <c r="G437" s="589"/>
      <c r="H437" s="90" t="s">
        <v>524</v>
      </c>
      <c r="I437" s="91">
        <v>1</v>
      </c>
      <c r="J437" s="91">
        <v>1</v>
      </c>
      <c r="K437" s="91">
        <v>1</v>
      </c>
      <c r="L437" s="91">
        <v>1</v>
      </c>
      <c r="M437" s="91">
        <v>1</v>
      </c>
      <c r="N437" s="91">
        <v>1</v>
      </c>
      <c r="O437" s="91">
        <v>1</v>
      </c>
      <c r="P437">
        <v>1.488414325822526</v>
      </c>
      <c r="R437" s="604"/>
      <c r="S437" s="589"/>
      <c r="T437" s="589"/>
      <c r="U437" s="236"/>
      <c r="V437" s="90" t="s">
        <v>524</v>
      </c>
      <c r="W437" s="91">
        <v>1</v>
      </c>
      <c r="X437" s="91">
        <v>1</v>
      </c>
      <c r="Y437" s="91">
        <v>1</v>
      </c>
      <c r="Z437" s="91">
        <v>1</v>
      </c>
      <c r="AA437" s="91">
        <v>1</v>
      </c>
      <c r="AB437">
        <v>1.193425618877777</v>
      </c>
      <c r="AD437" s="604"/>
      <c r="AE437" s="589"/>
      <c r="AF437" s="589"/>
      <c r="AG437" s="90" t="s">
        <v>524</v>
      </c>
      <c r="AH437" s="91">
        <v>1</v>
      </c>
      <c r="AI437" s="91">
        <v>1</v>
      </c>
      <c r="AJ437" s="91">
        <v>1</v>
      </c>
      <c r="AK437" s="91">
        <v>1</v>
      </c>
      <c r="AL437" s="91">
        <v>1</v>
      </c>
      <c r="AM437" s="226"/>
      <c r="AN437" s="226"/>
      <c r="AO437" s="226"/>
    </row>
    <row r="438" spans="5:41" x14ac:dyDescent="0.25">
      <c r="E438" s="604"/>
      <c r="F438" s="589"/>
      <c r="G438" s="609" t="s">
        <v>7</v>
      </c>
      <c r="H438" s="87" t="s">
        <v>522</v>
      </c>
      <c r="I438" s="88">
        <v>1</v>
      </c>
      <c r="J438" s="88">
        <v>1</v>
      </c>
      <c r="K438" s="88">
        <v>1</v>
      </c>
      <c r="L438" s="88">
        <v>1</v>
      </c>
      <c r="M438" s="88">
        <v>1</v>
      </c>
      <c r="N438" s="88">
        <v>1</v>
      </c>
      <c r="O438" s="88">
        <v>1</v>
      </c>
      <c r="R438" s="604"/>
      <c r="S438" s="589"/>
      <c r="T438" s="609" t="s">
        <v>7</v>
      </c>
      <c r="U438" s="235"/>
      <c r="V438" s="87" t="s">
        <v>522</v>
      </c>
      <c r="W438" s="88">
        <v>1</v>
      </c>
      <c r="X438" s="88">
        <v>1</v>
      </c>
      <c r="Y438" s="88">
        <v>1</v>
      </c>
      <c r="Z438" s="88">
        <v>1</v>
      </c>
      <c r="AA438" s="88">
        <v>1</v>
      </c>
      <c r="AD438" s="604"/>
      <c r="AE438" s="589"/>
      <c r="AF438" s="609" t="s">
        <v>7</v>
      </c>
      <c r="AG438" s="87" t="s">
        <v>522</v>
      </c>
      <c r="AH438" s="88">
        <v>1</v>
      </c>
      <c r="AI438" s="88">
        <v>1</v>
      </c>
      <c r="AJ438" s="88">
        <v>1</v>
      </c>
      <c r="AK438" s="88">
        <v>1</v>
      </c>
      <c r="AL438" s="88">
        <v>1</v>
      </c>
      <c r="AM438" s="226"/>
      <c r="AN438" s="226"/>
      <c r="AO438" s="226"/>
    </row>
    <row r="439" spans="5:41" x14ac:dyDescent="0.25">
      <c r="E439" s="604"/>
      <c r="F439" s="589"/>
      <c r="G439" s="589"/>
      <c r="H439" s="90" t="s">
        <v>523</v>
      </c>
      <c r="I439" s="91">
        <v>1</v>
      </c>
      <c r="J439" s="91">
        <v>1</v>
      </c>
      <c r="K439" s="91">
        <v>1</v>
      </c>
      <c r="L439" s="91">
        <v>1</v>
      </c>
      <c r="M439" s="91">
        <v>1</v>
      </c>
      <c r="N439" s="91">
        <v>1</v>
      </c>
      <c r="O439" s="91">
        <v>1</v>
      </c>
      <c r="R439" s="604"/>
      <c r="S439" s="589"/>
      <c r="T439" s="589"/>
      <c r="U439" s="236"/>
      <c r="V439" s="90" t="s">
        <v>523</v>
      </c>
      <c r="W439" s="91">
        <v>1</v>
      </c>
      <c r="X439" s="91">
        <v>1</v>
      </c>
      <c r="Y439" s="91">
        <v>1</v>
      </c>
      <c r="Z439" s="91">
        <v>1</v>
      </c>
      <c r="AA439" s="91">
        <v>1</v>
      </c>
      <c r="AD439" s="604"/>
      <c r="AE439" s="589"/>
      <c r="AF439" s="589"/>
      <c r="AG439" s="90" t="s">
        <v>523</v>
      </c>
      <c r="AH439" s="91">
        <v>1</v>
      </c>
      <c r="AI439" s="91">
        <v>1</v>
      </c>
      <c r="AJ439" s="91">
        <v>1</v>
      </c>
      <c r="AK439" s="91">
        <v>1</v>
      </c>
      <c r="AL439" s="91">
        <v>1</v>
      </c>
      <c r="AM439" s="226"/>
      <c r="AN439" s="226"/>
      <c r="AO439" s="226"/>
    </row>
    <row r="440" spans="5:41" x14ac:dyDescent="0.25">
      <c r="E440" s="604"/>
      <c r="F440" s="589"/>
      <c r="G440" s="589"/>
      <c r="H440" s="112" t="s">
        <v>524</v>
      </c>
      <c r="I440" s="91">
        <v>1</v>
      </c>
      <c r="J440" s="91">
        <v>1</v>
      </c>
      <c r="K440" s="91">
        <v>1</v>
      </c>
      <c r="L440" s="91">
        <v>1</v>
      </c>
      <c r="M440" s="91">
        <v>1</v>
      </c>
      <c r="N440" s="91">
        <v>1</v>
      </c>
      <c r="O440" s="91">
        <v>1</v>
      </c>
      <c r="R440" s="604"/>
      <c r="S440" s="589"/>
      <c r="T440" s="589"/>
      <c r="U440" s="236"/>
      <c r="V440" s="90" t="s">
        <v>524</v>
      </c>
      <c r="W440" s="91">
        <v>1</v>
      </c>
      <c r="X440" s="91">
        <v>1</v>
      </c>
      <c r="Y440" s="91">
        <v>1</v>
      </c>
      <c r="Z440" s="91">
        <v>1</v>
      </c>
      <c r="AA440" s="91">
        <v>1</v>
      </c>
      <c r="AD440" s="604"/>
      <c r="AE440" s="589"/>
      <c r="AF440" s="589"/>
      <c r="AG440" s="90" t="s">
        <v>524</v>
      </c>
      <c r="AH440" s="91">
        <v>1</v>
      </c>
      <c r="AI440" s="91">
        <v>1</v>
      </c>
      <c r="AJ440" s="91">
        <v>1</v>
      </c>
      <c r="AK440" s="91">
        <v>1</v>
      </c>
      <c r="AL440" s="91">
        <v>1</v>
      </c>
      <c r="AM440" s="226"/>
      <c r="AN440" s="226"/>
      <c r="AO440" s="226"/>
    </row>
    <row r="441" spans="5:41" x14ac:dyDescent="0.25">
      <c r="E441" s="604"/>
      <c r="F441" s="621"/>
      <c r="G441" s="609" t="s">
        <v>471</v>
      </c>
      <c r="H441" s="87" t="s">
        <v>522</v>
      </c>
      <c r="I441" s="88">
        <v>1</v>
      </c>
      <c r="J441" s="88">
        <v>1</v>
      </c>
      <c r="K441" s="88">
        <v>1</v>
      </c>
      <c r="L441" s="88">
        <v>1</v>
      </c>
      <c r="M441" s="88">
        <v>1</v>
      </c>
      <c r="N441" s="88">
        <v>1</v>
      </c>
      <c r="O441" s="88">
        <v>1</v>
      </c>
      <c r="R441" s="604"/>
      <c r="S441" s="621"/>
      <c r="T441" s="609" t="s">
        <v>471</v>
      </c>
      <c r="U441" s="235"/>
      <c r="V441" s="87" t="s">
        <v>522</v>
      </c>
      <c r="W441" s="88">
        <v>1</v>
      </c>
      <c r="X441" s="88">
        <v>1</v>
      </c>
      <c r="Y441" s="88">
        <v>1</v>
      </c>
      <c r="Z441" s="88">
        <v>1</v>
      </c>
      <c r="AA441" s="88">
        <v>1</v>
      </c>
      <c r="AD441" s="604"/>
      <c r="AE441" s="621"/>
      <c r="AF441" s="609" t="s">
        <v>471</v>
      </c>
      <c r="AG441" s="87" t="s">
        <v>522</v>
      </c>
      <c r="AH441" s="88">
        <v>1</v>
      </c>
      <c r="AI441" s="88">
        <v>1</v>
      </c>
      <c r="AJ441" s="88">
        <v>1</v>
      </c>
      <c r="AK441" s="88">
        <v>1</v>
      </c>
      <c r="AL441" s="88">
        <v>1</v>
      </c>
      <c r="AM441" s="226"/>
      <c r="AN441" s="226"/>
      <c r="AO441" s="226"/>
    </row>
    <row r="442" spans="5:41" x14ac:dyDescent="0.25">
      <c r="E442" s="604"/>
      <c r="F442" s="589"/>
      <c r="G442" s="589"/>
      <c r="H442" s="90" t="s">
        <v>523</v>
      </c>
      <c r="I442" s="91">
        <v>1</v>
      </c>
      <c r="J442" s="91">
        <v>1</v>
      </c>
      <c r="K442" s="91">
        <v>1</v>
      </c>
      <c r="L442" s="91">
        <v>1</v>
      </c>
      <c r="M442" s="91">
        <v>1</v>
      </c>
      <c r="N442" s="91">
        <v>1</v>
      </c>
      <c r="O442" s="91">
        <v>1</v>
      </c>
      <c r="R442" s="604"/>
      <c r="S442" s="589"/>
      <c r="T442" s="589"/>
      <c r="U442" s="236"/>
      <c r="V442" s="90" t="s">
        <v>523</v>
      </c>
      <c r="W442" s="91">
        <v>1</v>
      </c>
      <c r="X442" s="91">
        <v>1</v>
      </c>
      <c r="Y442" s="91">
        <v>1</v>
      </c>
      <c r="Z442" s="91">
        <v>1</v>
      </c>
      <c r="AA442" s="91">
        <v>1</v>
      </c>
      <c r="AD442" s="604"/>
      <c r="AE442" s="589"/>
      <c r="AF442" s="589"/>
      <c r="AG442" s="90" t="s">
        <v>523</v>
      </c>
      <c r="AH442" s="91">
        <v>1</v>
      </c>
      <c r="AI442" s="91">
        <v>1</v>
      </c>
      <c r="AJ442" s="91">
        <v>1</v>
      </c>
      <c r="AK442" s="91">
        <v>1</v>
      </c>
      <c r="AL442" s="91">
        <v>1</v>
      </c>
      <c r="AM442" s="226"/>
      <c r="AN442" s="226"/>
      <c r="AO442" s="226"/>
    </row>
    <row r="443" spans="5:41" x14ac:dyDescent="0.25">
      <c r="E443" s="604"/>
      <c r="F443" s="589"/>
      <c r="G443" s="589"/>
      <c r="H443" s="109" t="s">
        <v>524</v>
      </c>
      <c r="I443" s="96">
        <v>1</v>
      </c>
      <c r="J443" s="96">
        <v>1</v>
      </c>
      <c r="K443" s="96">
        <v>1</v>
      </c>
      <c r="L443" s="96">
        <v>1</v>
      </c>
      <c r="M443" s="96">
        <v>1</v>
      </c>
      <c r="N443" s="96">
        <v>1</v>
      </c>
      <c r="O443" s="96">
        <v>1</v>
      </c>
      <c r="R443" s="604"/>
      <c r="S443" s="589"/>
      <c r="T443" s="589"/>
      <c r="U443" s="236"/>
      <c r="V443" s="109" t="s">
        <v>524</v>
      </c>
      <c r="W443" s="96">
        <v>1</v>
      </c>
      <c r="X443" s="96">
        <v>1</v>
      </c>
      <c r="Y443" s="96">
        <v>1</v>
      </c>
      <c r="Z443" s="96">
        <v>1</v>
      </c>
      <c r="AA443" s="96">
        <v>1</v>
      </c>
      <c r="AD443" s="604"/>
      <c r="AE443" s="589"/>
      <c r="AF443" s="589"/>
      <c r="AG443" s="109" t="s">
        <v>524</v>
      </c>
      <c r="AH443" s="96">
        <v>1</v>
      </c>
      <c r="AI443" s="96">
        <v>1</v>
      </c>
      <c r="AJ443" s="96">
        <v>1</v>
      </c>
      <c r="AK443" s="96">
        <v>1</v>
      </c>
      <c r="AL443" s="96">
        <v>1</v>
      </c>
      <c r="AM443" s="226"/>
      <c r="AN443" s="226"/>
      <c r="AO443" s="226"/>
    </row>
    <row r="444" spans="5:41" x14ac:dyDescent="0.25">
      <c r="E444" s="604"/>
      <c r="F444" s="589"/>
      <c r="G444" s="609" t="s">
        <v>7</v>
      </c>
      <c r="H444" s="111" t="s">
        <v>522</v>
      </c>
      <c r="I444" s="91">
        <v>1</v>
      </c>
      <c r="J444" s="91">
        <v>1</v>
      </c>
      <c r="K444" s="91">
        <v>1</v>
      </c>
      <c r="L444" s="91">
        <v>1</v>
      </c>
      <c r="M444" s="91">
        <v>1</v>
      </c>
      <c r="N444" s="91">
        <v>1</v>
      </c>
      <c r="O444" s="91">
        <v>1</v>
      </c>
      <c r="R444" s="604"/>
      <c r="S444" s="589"/>
      <c r="T444" s="609" t="s">
        <v>7</v>
      </c>
      <c r="U444" s="236"/>
      <c r="V444" s="111" t="s">
        <v>522</v>
      </c>
      <c r="W444" s="91">
        <v>1</v>
      </c>
      <c r="X444" s="91">
        <v>1</v>
      </c>
      <c r="Y444" s="91">
        <v>1</v>
      </c>
      <c r="Z444" s="91">
        <v>1</v>
      </c>
      <c r="AA444" s="91">
        <v>1</v>
      </c>
      <c r="AD444" s="604"/>
      <c r="AE444" s="589"/>
      <c r="AF444" s="609" t="s">
        <v>7</v>
      </c>
      <c r="AG444" s="111" t="s">
        <v>522</v>
      </c>
      <c r="AH444" s="91">
        <v>1</v>
      </c>
      <c r="AI444" s="91">
        <v>1</v>
      </c>
      <c r="AJ444" s="91">
        <v>1</v>
      </c>
      <c r="AK444" s="91">
        <v>1</v>
      </c>
      <c r="AL444" s="91">
        <v>1</v>
      </c>
      <c r="AM444" s="226"/>
      <c r="AN444" s="226"/>
      <c r="AO444" s="226"/>
    </row>
    <row r="445" spans="5:41" x14ac:dyDescent="0.25">
      <c r="E445" s="604"/>
      <c r="F445" s="589"/>
      <c r="G445" s="589"/>
      <c r="H445" s="90" t="s">
        <v>523</v>
      </c>
      <c r="I445" s="91">
        <v>1</v>
      </c>
      <c r="J445" s="91">
        <v>1</v>
      </c>
      <c r="K445" s="91">
        <v>1</v>
      </c>
      <c r="L445" s="91">
        <v>1</v>
      </c>
      <c r="M445" s="91">
        <v>1</v>
      </c>
      <c r="N445" s="91">
        <v>1</v>
      </c>
      <c r="O445" s="91">
        <v>1</v>
      </c>
      <c r="R445" s="604"/>
      <c r="S445" s="589"/>
      <c r="T445" s="589"/>
      <c r="U445" s="236"/>
      <c r="V445" s="90" t="s">
        <v>523</v>
      </c>
      <c r="W445" s="91">
        <v>1</v>
      </c>
      <c r="X445" s="91">
        <v>1</v>
      </c>
      <c r="Y445" s="91">
        <v>1</v>
      </c>
      <c r="Z445" s="91">
        <v>1</v>
      </c>
      <c r="AA445" s="91">
        <v>1</v>
      </c>
      <c r="AD445" s="604"/>
      <c r="AE445" s="589"/>
      <c r="AF445" s="589"/>
      <c r="AG445" s="90" t="s">
        <v>523</v>
      </c>
      <c r="AH445" s="91">
        <v>1</v>
      </c>
      <c r="AI445" s="91">
        <v>1</v>
      </c>
      <c r="AJ445" s="91">
        <v>1</v>
      </c>
      <c r="AK445" s="91">
        <v>1</v>
      </c>
      <c r="AL445" s="91">
        <v>1</v>
      </c>
      <c r="AM445" s="226"/>
      <c r="AN445" s="226"/>
      <c r="AO445" s="226"/>
    </row>
    <row r="446" spans="5:41" x14ac:dyDescent="0.25">
      <c r="E446" s="604"/>
      <c r="F446" s="589"/>
      <c r="G446" s="589"/>
      <c r="H446" s="112" t="s">
        <v>524</v>
      </c>
      <c r="I446" s="91">
        <v>1</v>
      </c>
      <c r="J446" s="91">
        <v>1</v>
      </c>
      <c r="K446" s="91">
        <v>1</v>
      </c>
      <c r="L446" s="91">
        <v>1</v>
      </c>
      <c r="M446" s="91">
        <v>1</v>
      </c>
      <c r="N446" s="91">
        <v>1</v>
      </c>
      <c r="O446" s="91">
        <v>1</v>
      </c>
      <c r="R446" s="604"/>
      <c r="S446" s="589"/>
      <c r="T446" s="589"/>
      <c r="U446" s="236"/>
      <c r="V446" s="112" t="s">
        <v>524</v>
      </c>
      <c r="W446" s="91">
        <v>1</v>
      </c>
      <c r="X446" s="91">
        <v>1</v>
      </c>
      <c r="Y446" s="91">
        <v>1</v>
      </c>
      <c r="Z446" s="91">
        <v>1</v>
      </c>
      <c r="AA446" s="91">
        <v>1</v>
      </c>
      <c r="AD446" s="604"/>
      <c r="AE446" s="589"/>
      <c r="AF446" s="589"/>
      <c r="AG446" s="112" t="s">
        <v>524</v>
      </c>
      <c r="AH446" s="91">
        <v>1</v>
      </c>
      <c r="AI446" s="91">
        <v>1</v>
      </c>
      <c r="AJ446" s="91">
        <v>1</v>
      </c>
      <c r="AK446" s="91">
        <v>1</v>
      </c>
      <c r="AL446" s="91">
        <v>1</v>
      </c>
      <c r="AM446" s="226"/>
      <c r="AN446" s="226"/>
      <c r="AO446" s="226"/>
    </row>
    <row r="447" spans="5:41" x14ac:dyDescent="0.25">
      <c r="E447" s="604"/>
      <c r="F447" s="625"/>
      <c r="G447" s="609" t="s">
        <v>471</v>
      </c>
      <c r="H447" s="87" t="s">
        <v>522</v>
      </c>
      <c r="I447" s="88">
        <v>1</v>
      </c>
      <c r="J447" s="88">
        <v>1</v>
      </c>
      <c r="K447" s="88">
        <v>1</v>
      </c>
      <c r="L447" s="88">
        <v>1</v>
      </c>
      <c r="M447" s="88">
        <v>1</v>
      </c>
      <c r="N447" s="88">
        <v>1</v>
      </c>
      <c r="O447" s="88">
        <v>1</v>
      </c>
      <c r="R447" s="604"/>
      <c r="S447" s="625"/>
      <c r="T447" s="609" t="s">
        <v>471</v>
      </c>
      <c r="U447" s="235"/>
      <c r="V447" s="87" t="s">
        <v>522</v>
      </c>
      <c r="W447" s="88">
        <v>1</v>
      </c>
      <c r="X447" s="88">
        <v>1</v>
      </c>
      <c r="Y447" s="88">
        <v>1</v>
      </c>
      <c r="Z447" s="88">
        <v>1</v>
      </c>
      <c r="AA447" s="88">
        <v>1</v>
      </c>
      <c r="AD447" s="604"/>
      <c r="AE447" s="625"/>
      <c r="AF447" s="609" t="s">
        <v>471</v>
      </c>
      <c r="AG447" s="87" t="s">
        <v>522</v>
      </c>
      <c r="AH447" s="88">
        <v>1</v>
      </c>
      <c r="AI447" s="88">
        <v>1</v>
      </c>
      <c r="AJ447" s="88">
        <v>1</v>
      </c>
      <c r="AK447" s="88">
        <v>1</v>
      </c>
      <c r="AL447" s="88">
        <v>1</v>
      </c>
      <c r="AM447" s="226"/>
      <c r="AN447" s="226"/>
      <c r="AO447" s="226"/>
    </row>
    <row r="448" spans="5:41" x14ac:dyDescent="0.25">
      <c r="E448" s="604"/>
      <c r="F448" s="589"/>
      <c r="G448" s="589"/>
      <c r="H448" s="90" t="s">
        <v>523</v>
      </c>
      <c r="I448" s="91">
        <v>1</v>
      </c>
      <c r="J448" s="91">
        <v>1</v>
      </c>
      <c r="K448" s="91">
        <v>1</v>
      </c>
      <c r="L448" s="91">
        <v>1</v>
      </c>
      <c r="M448" s="91">
        <v>1</v>
      </c>
      <c r="N448" s="91">
        <v>1</v>
      </c>
      <c r="O448" s="91">
        <v>1</v>
      </c>
      <c r="R448" s="604"/>
      <c r="S448" s="589"/>
      <c r="T448" s="589"/>
      <c r="U448" s="236"/>
      <c r="V448" s="90" t="s">
        <v>523</v>
      </c>
      <c r="W448" s="91">
        <v>1</v>
      </c>
      <c r="X448" s="91">
        <v>1</v>
      </c>
      <c r="Y448" s="91">
        <v>1</v>
      </c>
      <c r="Z448" s="91">
        <v>1</v>
      </c>
      <c r="AA448" s="91">
        <v>1</v>
      </c>
      <c r="AD448" s="604"/>
      <c r="AE448" s="589"/>
      <c r="AF448" s="589"/>
      <c r="AG448" s="90" t="s">
        <v>523</v>
      </c>
      <c r="AH448" s="91">
        <v>1</v>
      </c>
      <c r="AI448" s="91">
        <v>1</v>
      </c>
      <c r="AJ448" s="91">
        <v>1</v>
      </c>
      <c r="AK448" s="91">
        <v>1</v>
      </c>
      <c r="AL448" s="91">
        <v>1</v>
      </c>
      <c r="AM448" s="226"/>
      <c r="AN448" s="226"/>
      <c r="AO448" s="226"/>
    </row>
    <row r="449" spans="5:41" x14ac:dyDescent="0.25">
      <c r="E449" s="604"/>
      <c r="F449" s="589"/>
      <c r="G449" s="589"/>
      <c r="H449" s="109" t="s">
        <v>524</v>
      </c>
      <c r="I449" s="96">
        <v>1</v>
      </c>
      <c r="J449" s="96">
        <v>1</v>
      </c>
      <c r="K449" s="96">
        <v>1</v>
      </c>
      <c r="L449" s="96">
        <v>1</v>
      </c>
      <c r="M449" s="96">
        <v>1</v>
      </c>
      <c r="N449" s="96">
        <v>1</v>
      </c>
      <c r="O449" s="96">
        <v>1</v>
      </c>
      <c r="R449" s="604"/>
      <c r="S449" s="589"/>
      <c r="T449" s="589"/>
      <c r="U449" s="236"/>
      <c r="V449" s="109" t="s">
        <v>524</v>
      </c>
      <c r="W449" s="96">
        <v>1</v>
      </c>
      <c r="X449" s="96">
        <v>1</v>
      </c>
      <c r="Y449" s="96">
        <v>1</v>
      </c>
      <c r="Z449" s="96">
        <v>1</v>
      </c>
      <c r="AA449" s="96">
        <v>1</v>
      </c>
      <c r="AD449" s="604"/>
      <c r="AE449" s="589"/>
      <c r="AF449" s="589"/>
      <c r="AG449" s="109" t="s">
        <v>524</v>
      </c>
      <c r="AH449" s="96">
        <v>1</v>
      </c>
      <c r="AI449" s="96">
        <v>1</v>
      </c>
      <c r="AJ449" s="96">
        <v>1</v>
      </c>
      <c r="AK449" s="96">
        <v>1</v>
      </c>
      <c r="AL449" s="96">
        <v>1</v>
      </c>
      <c r="AM449" s="226"/>
      <c r="AN449" s="226"/>
      <c r="AO449" s="226"/>
    </row>
    <row r="450" spans="5:41" x14ac:dyDescent="0.25">
      <c r="E450" s="604"/>
      <c r="F450" s="589"/>
      <c r="G450" s="609" t="s">
        <v>7</v>
      </c>
      <c r="H450" s="111" t="s">
        <v>522</v>
      </c>
      <c r="I450" s="91">
        <v>1</v>
      </c>
      <c r="J450" s="91">
        <v>1</v>
      </c>
      <c r="K450" s="91">
        <v>1</v>
      </c>
      <c r="L450" s="91">
        <v>1</v>
      </c>
      <c r="M450" s="91">
        <v>1</v>
      </c>
      <c r="N450" s="91">
        <v>1</v>
      </c>
      <c r="O450" s="91">
        <v>1</v>
      </c>
      <c r="R450" s="604"/>
      <c r="S450" s="589"/>
      <c r="T450" s="609" t="s">
        <v>7</v>
      </c>
      <c r="U450" s="236"/>
      <c r="V450" s="111" t="s">
        <v>522</v>
      </c>
      <c r="W450" s="91">
        <v>1</v>
      </c>
      <c r="X450" s="91">
        <v>1</v>
      </c>
      <c r="Y450" s="91">
        <v>1</v>
      </c>
      <c r="Z450" s="91">
        <v>1</v>
      </c>
      <c r="AA450" s="91">
        <v>1</v>
      </c>
      <c r="AD450" s="604"/>
      <c r="AE450" s="589"/>
      <c r="AF450" s="609" t="s">
        <v>7</v>
      </c>
      <c r="AG450" s="111" t="s">
        <v>522</v>
      </c>
      <c r="AH450" s="91">
        <v>1</v>
      </c>
      <c r="AI450" s="91">
        <v>1</v>
      </c>
      <c r="AJ450" s="91">
        <v>1</v>
      </c>
      <c r="AK450" s="91">
        <v>1</v>
      </c>
      <c r="AL450" s="91">
        <v>1</v>
      </c>
      <c r="AM450" s="226"/>
      <c r="AN450" s="226"/>
      <c r="AO450" s="226"/>
    </row>
    <row r="451" spans="5:41" x14ac:dyDescent="0.25">
      <c r="E451" s="604"/>
      <c r="F451" s="589"/>
      <c r="G451" s="589"/>
      <c r="H451" s="90" t="s">
        <v>523</v>
      </c>
      <c r="I451" s="91">
        <v>1</v>
      </c>
      <c r="J451" s="91">
        <v>1</v>
      </c>
      <c r="K451" s="91">
        <v>1</v>
      </c>
      <c r="L451" s="91">
        <v>1</v>
      </c>
      <c r="M451" s="91">
        <v>1</v>
      </c>
      <c r="N451" s="91">
        <v>1</v>
      </c>
      <c r="O451" s="91">
        <v>1</v>
      </c>
      <c r="R451" s="604"/>
      <c r="S451" s="589"/>
      <c r="T451" s="589"/>
      <c r="U451" s="236"/>
      <c r="V451" s="90" t="s">
        <v>523</v>
      </c>
      <c r="W451" s="91">
        <v>1</v>
      </c>
      <c r="X451" s="91">
        <v>1</v>
      </c>
      <c r="Y451" s="91">
        <v>1</v>
      </c>
      <c r="Z451" s="91">
        <v>1</v>
      </c>
      <c r="AA451" s="91">
        <v>1</v>
      </c>
      <c r="AD451" s="604"/>
      <c r="AE451" s="589"/>
      <c r="AF451" s="589"/>
      <c r="AG451" s="90" t="s">
        <v>523</v>
      </c>
      <c r="AH451" s="91">
        <v>1</v>
      </c>
      <c r="AI451" s="91">
        <v>1</v>
      </c>
      <c r="AJ451" s="91">
        <v>1</v>
      </c>
      <c r="AK451" s="91">
        <v>1</v>
      </c>
      <c r="AL451" s="91">
        <v>1</v>
      </c>
      <c r="AM451" s="226"/>
      <c r="AN451" s="226"/>
      <c r="AO451" s="226"/>
    </row>
    <row r="452" spans="5:41" x14ac:dyDescent="0.25">
      <c r="E452" s="604"/>
      <c r="F452" s="589"/>
      <c r="G452" s="589"/>
      <c r="H452" s="90" t="s">
        <v>524</v>
      </c>
      <c r="I452" s="91">
        <v>1</v>
      </c>
      <c r="J452" s="91">
        <v>1</v>
      </c>
      <c r="K452" s="91">
        <v>1</v>
      </c>
      <c r="L452" s="91">
        <v>1</v>
      </c>
      <c r="M452" s="91">
        <v>1</v>
      </c>
      <c r="N452" s="91">
        <v>1</v>
      </c>
      <c r="O452" s="91">
        <v>1</v>
      </c>
      <c r="R452" s="604"/>
      <c r="S452" s="589"/>
      <c r="T452" s="589"/>
      <c r="U452" s="236"/>
      <c r="V452" s="90" t="s">
        <v>524</v>
      </c>
      <c r="W452" s="91">
        <v>1</v>
      </c>
      <c r="X452" s="91">
        <v>1</v>
      </c>
      <c r="Y452" s="91">
        <v>1</v>
      </c>
      <c r="Z452" s="91">
        <v>1</v>
      </c>
      <c r="AA452" s="91">
        <v>1</v>
      </c>
      <c r="AD452" s="604"/>
      <c r="AE452" s="589"/>
      <c r="AF452" s="589"/>
      <c r="AG452" s="90" t="s">
        <v>524</v>
      </c>
      <c r="AH452" s="91">
        <v>1</v>
      </c>
      <c r="AI452" s="91">
        <v>1</v>
      </c>
      <c r="AJ452" s="91">
        <v>1</v>
      </c>
      <c r="AK452" s="91">
        <v>1</v>
      </c>
      <c r="AL452" s="91">
        <v>1</v>
      </c>
      <c r="AM452" s="226"/>
      <c r="AN452" s="226"/>
      <c r="AO452" s="226"/>
    </row>
    <row r="453" spans="5:41" x14ac:dyDescent="0.25">
      <c r="E453" s="604"/>
      <c r="F453" s="623"/>
      <c r="G453" s="609" t="s">
        <v>471</v>
      </c>
      <c r="H453" s="87" t="s">
        <v>522</v>
      </c>
      <c r="I453" s="88">
        <v>1</v>
      </c>
      <c r="J453" s="88">
        <v>1</v>
      </c>
      <c r="K453" s="88">
        <v>1</v>
      </c>
      <c r="L453" s="88">
        <v>1</v>
      </c>
      <c r="M453" s="88">
        <v>1</v>
      </c>
      <c r="N453" s="88">
        <v>1</v>
      </c>
      <c r="O453" s="88">
        <v>1</v>
      </c>
      <c r="P453">
        <v>1.141494838324278</v>
      </c>
      <c r="R453" s="604"/>
      <c r="S453" s="623"/>
      <c r="T453" s="609" t="s">
        <v>471</v>
      </c>
      <c r="U453" s="235"/>
      <c r="V453" s="87" t="s">
        <v>522</v>
      </c>
      <c r="W453" s="88">
        <v>1</v>
      </c>
      <c r="X453" s="88">
        <v>1</v>
      </c>
      <c r="Y453" s="88">
        <v>1</v>
      </c>
      <c r="Z453" s="88">
        <v>1</v>
      </c>
      <c r="AA453" s="88">
        <v>1</v>
      </c>
      <c r="AD453" s="604"/>
      <c r="AE453" s="623"/>
      <c r="AF453" s="609" t="s">
        <v>471</v>
      </c>
      <c r="AG453" s="87" t="s">
        <v>522</v>
      </c>
      <c r="AH453" s="88">
        <v>1</v>
      </c>
      <c r="AI453" s="88">
        <v>1</v>
      </c>
      <c r="AJ453" s="88">
        <v>1</v>
      </c>
      <c r="AK453" s="88">
        <v>1</v>
      </c>
      <c r="AL453" s="88">
        <v>1</v>
      </c>
      <c r="AM453" s="226"/>
      <c r="AN453" s="226"/>
      <c r="AO453" s="226"/>
    </row>
    <row r="454" spans="5:41" x14ac:dyDescent="0.25">
      <c r="E454" s="604"/>
      <c r="F454" s="589"/>
      <c r="G454" s="589"/>
      <c r="H454" s="90" t="s">
        <v>523</v>
      </c>
      <c r="I454" s="91">
        <v>1</v>
      </c>
      <c r="J454" s="91">
        <v>1</v>
      </c>
      <c r="K454" s="91">
        <v>1</v>
      </c>
      <c r="L454" s="91">
        <v>1</v>
      </c>
      <c r="M454" s="91">
        <v>1</v>
      </c>
      <c r="N454" s="91">
        <v>1</v>
      </c>
      <c r="O454" s="91">
        <v>1</v>
      </c>
      <c r="P454">
        <v>1.182520727525971</v>
      </c>
      <c r="R454" s="604"/>
      <c r="S454" s="589"/>
      <c r="T454" s="589"/>
      <c r="U454" s="236"/>
      <c r="V454" s="90" t="s">
        <v>523</v>
      </c>
      <c r="W454" s="91">
        <v>1</v>
      </c>
      <c r="X454" s="91">
        <v>1</v>
      </c>
      <c r="Y454" s="91">
        <v>1</v>
      </c>
      <c r="Z454" s="91">
        <v>1</v>
      </c>
      <c r="AA454" s="91">
        <v>1</v>
      </c>
      <c r="AD454" s="604"/>
      <c r="AE454" s="589"/>
      <c r="AF454" s="589"/>
      <c r="AG454" s="90" t="s">
        <v>523</v>
      </c>
      <c r="AH454" s="91">
        <v>1</v>
      </c>
      <c r="AI454" s="91">
        <v>1</v>
      </c>
      <c r="AJ454" s="91">
        <v>1</v>
      </c>
      <c r="AK454" s="91">
        <v>1</v>
      </c>
      <c r="AL454" s="91">
        <v>1</v>
      </c>
      <c r="AM454" s="226"/>
      <c r="AN454" s="226"/>
      <c r="AO454" s="226"/>
    </row>
    <row r="455" spans="5:41" x14ac:dyDescent="0.25">
      <c r="E455" s="604"/>
      <c r="F455" s="589"/>
      <c r="G455" s="589"/>
      <c r="H455" s="90" t="s">
        <v>524</v>
      </c>
      <c r="I455" s="96">
        <v>1</v>
      </c>
      <c r="J455" s="96">
        <v>1</v>
      </c>
      <c r="K455" s="96">
        <v>1</v>
      </c>
      <c r="L455" s="96">
        <v>1</v>
      </c>
      <c r="M455" s="96">
        <v>1</v>
      </c>
      <c r="N455" s="96">
        <v>1</v>
      </c>
      <c r="O455" s="96">
        <v>1</v>
      </c>
      <c r="P455">
        <v>1.2151988502084199</v>
      </c>
      <c r="R455" s="604"/>
      <c r="S455" s="589"/>
      <c r="T455" s="589"/>
      <c r="U455" s="236"/>
      <c r="V455" s="90" t="s">
        <v>524</v>
      </c>
      <c r="W455" s="96">
        <v>1</v>
      </c>
      <c r="X455" s="96">
        <v>1</v>
      </c>
      <c r="Y455" s="96">
        <v>1</v>
      </c>
      <c r="Z455" s="96">
        <v>1</v>
      </c>
      <c r="AA455" s="96">
        <v>1</v>
      </c>
      <c r="AD455" s="604"/>
      <c r="AE455" s="589"/>
      <c r="AF455" s="589"/>
      <c r="AG455" s="90" t="s">
        <v>524</v>
      </c>
      <c r="AH455" s="96">
        <v>1</v>
      </c>
      <c r="AI455" s="96">
        <v>1</v>
      </c>
      <c r="AJ455" s="96">
        <v>1</v>
      </c>
      <c r="AK455" s="96">
        <v>1</v>
      </c>
      <c r="AL455" s="96">
        <v>1</v>
      </c>
      <c r="AM455" s="226"/>
      <c r="AN455" s="226"/>
      <c r="AO455" s="226"/>
    </row>
    <row r="456" spans="5:41" x14ac:dyDescent="0.25">
      <c r="E456" s="604"/>
      <c r="F456" s="589"/>
      <c r="G456" s="614" t="s">
        <v>7</v>
      </c>
      <c r="H456" s="87" t="s">
        <v>522</v>
      </c>
      <c r="I456" s="91">
        <v>1</v>
      </c>
      <c r="J456" s="91">
        <v>1</v>
      </c>
      <c r="K456" s="91">
        <v>1</v>
      </c>
      <c r="L456" s="91">
        <v>1</v>
      </c>
      <c r="M456" s="91">
        <v>1</v>
      </c>
      <c r="N456" s="91">
        <v>1</v>
      </c>
      <c r="O456" s="91">
        <v>1</v>
      </c>
      <c r="R456" s="604"/>
      <c r="S456" s="589"/>
      <c r="T456" s="614" t="s">
        <v>7</v>
      </c>
      <c r="U456" s="235"/>
      <c r="V456" s="87" t="s">
        <v>522</v>
      </c>
      <c r="W456" s="91">
        <v>1</v>
      </c>
      <c r="X456" s="91">
        <v>1</v>
      </c>
      <c r="Y456" s="91">
        <v>1</v>
      </c>
      <c r="Z456" s="91">
        <v>1</v>
      </c>
      <c r="AA456" s="91">
        <v>1</v>
      </c>
      <c r="AD456" s="604"/>
      <c r="AE456" s="589"/>
      <c r="AF456" s="614" t="s">
        <v>7</v>
      </c>
      <c r="AG456" s="87" t="s">
        <v>522</v>
      </c>
      <c r="AH456" s="91">
        <v>1</v>
      </c>
      <c r="AI456" s="91">
        <v>1</v>
      </c>
      <c r="AJ456" s="91">
        <v>1</v>
      </c>
      <c r="AK456" s="91">
        <v>1</v>
      </c>
      <c r="AL456" s="91">
        <v>1</v>
      </c>
      <c r="AM456" s="226"/>
      <c r="AN456" s="226"/>
      <c r="AO456" s="226"/>
    </row>
    <row r="457" spans="5:41" x14ac:dyDescent="0.25">
      <c r="E457" s="604"/>
      <c r="F457" s="589"/>
      <c r="G457" s="589"/>
      <c r="H457" s="90" t="s">
        <v>523</v>
      </c>
      <c r="I457" s="91">
        <v>1</v>
      </c>
      <c r="J457" s="91">
        <v>1</v>
      </c>
      <c r="K457" s="91">
        <v>1</v>
      </c>
      <c r="L457" s="91">
        <v>1</v>
      </c>
      <c r="M457" s="91">
        <v>1</v>
      </c>
      <c r="N457" s="91">
        <v>1</v>
      </c>
      <c r="O457" s="91">
        <v>1</v>
      </c>
      <c r="R457" s="604"/>
      <c r="S457" s="589"/>
      <c r="T457" s="589"/>
      <c r="U457" s="236"/>
      <c r="V457" s="90" t="s">
        <v>523</v>
      </c>
      <c r="W457" s="91">
        <v>1</v>
      </c>
      <c r="X457" s="91">
        <v>1</v>
      </c>
      <c r="Y457" s="91">
        <v>1</v>
      </c>
      <c r="Z457" s="91">
        <v>1</v>
      </c>
      <c r="AA457" s="91">
        <v>1</v>
      </c>
      <c r="AD457" s="604"/>
      <c r="AE457" s="589"/>
      <c r="AF457" s="589"/>
      <c r="AG457" s="90" t="s">
        <v>523</v>
      </c>
      <c r="AH457" s="91">
        <v>1</v>
      </c>
      <c r="AI457" s="91">
        <v>1</v>
      </c>
      <c r="AJ457" s="91">
        <v>1</v>
      </c>
      <c r="AK457" s="91">
        <v>1</v>
      </c>
      <c r="AL457" s="91">
        <v>1</v>
      </c>
      <c r="AM457" s="226"/>
      <c r="AN457" s="226"/>
      <c r="AO457" s="226"/>
    </row>
    <row r="458" spans="5:41" ht="15.75" customHeight="1" thickBot="1" x14ac:dyDescent="0.3">
      <c r="E458" s="605"/>
      <c r="F458" s="608"/>
      <c r="G458" s="608"/>
      <c r="H458" s="98" t="s">
        <v>524</v>
      </c>
      <c r="I458" s="99">
        <v>1</v>
      </c>
      <c r="J458" s="99">
        <v>1</v>
      </c>
      <c r="K458" s="99">
        <v>1</v>
      </c>
      <c r="L458" s="99">
        <v>1</v>
      </c>
      <c r="M458" s="99">
        <v>1</v>
      </c>
      <c r="N458" s="99">
        <v>1</v>
      </c>
      <c r="O458" s="99">
        <v>1</v>
      </c>
      <c r="R458" s="605"/>
      <c r="S458" s="608"/>
      <c r="T458" s="608"/>
      <c r="U458" s="237"/>
      <c r="V458" s="98" t="s">
        <v>524</v>
      </c>
      <c r="W458" s="99">
        <v>1</v>
      </c>
      <c r="X458" s="99">
        <v>1</v>
      </c>
      <c r="Y458" s="99">
        <v>1</v>
      </c>
      <c r="Z458" s="99">
        <v>1</v>
      </c>
      <c r="AA458" s="99">
        <v>1</v>
      </c>
      <c r="AD458" s="605"/>
      <c r="AE458" s="608"/>
      <c r="AF458" s="608"/>
      <c r="AG458" s="98" t="s">
        <v>524</v>
      </c>
      <c r="AH458" s="99">
        <v>1</v>
      </c>
      <c r="AI458" s="99">
        <v>1</v>
      </c>
      <c r="AJ458" s="99">
        <v>1</v>
      </c>
      <c r="AK458" s="99">
        <v>1</v>
      </c>
      <c r="AL458" s="99">
        <v>1</v>
      </c>
      <c r="AM458" s="226"/>
      <c r="AN458" s="226"/>
      <c r="AO458" s="226"/>
    </row>
  </sheetData>
  <mergeCells count="176">
    <mergeCell ref="CD9:CD13"/>
    <mergeCell ref="BO18:BO19"/>
    <mergeCell ref="CC2:CE2"/>
    <mergeCell ref="W12:W15"/>
    <mergeCell ref="S441:S446"/>
    <mergeCell ref="AV3:BK3"/>
    <mergeCell ref="T432:T434"/>
    <mergeCell ref="BO20:BO21"/>
    <mergeCell ref="B2:T2"/>
    <mergeCell ref="AE427:AE428"/>
    <mergeCell ref="BO2:CA2"/>
    <mergeCell ref="R429:R458"/>
    <mergeCell ref="BO6:BO7"/>
    <mergeCell ref="W2:AP2"/>
    <mergeCell ref="R427:R428"/>
    <mergeCell ref="T427:T428"/>
    <mergeCell ref="C4:C23"/>
    <mergeCell ref="G456:G458"/>
    <mergeCell ref="C62:C67"/>
    <mergeCell ref="D62:D64"/>
    <mergeCell ref="W427:AA427"/>
    <mergeCell ref="E429:E458"/>
    <mergeCell ref="G51:G53"/>
    <mergeCell ref="F69:F74"/>
    <mergeCell ref="AD426:AL426"/>
    <mergeCell ref="AA3:AP3"/>
    <mergeCell ref="G63:G65"/>
    <mergeCell ref="AH427:AL427"/>
    <mergeCell ref="W36:W39"/>
    <mergeCell ref="T435:T437"/>
    <mergeCell ref="D48:D49"/>
    <mergeCell ref="T450:T452"/>
    <mergeCell ref="AF441:AF443"/>
    <mergeCell ref="AF450:AF452"/>
    <mergeCell ref="G438:G440"/>
    <mergeCell ref="G427:G428"/>
    <mergeCell ref="D4:D7"/>
    <mergeCell ref="BQ3:CA3"/>
    <mergeCell ref="BO4:BO5"/>
    <mergeCell ref="AE441:AE446"/>
    <mergeCell ref="C48:C49"/>
    <mergeCell ref="F49:F50"/>
    <mergeCell ref="B47:J47"/>
    <mergeCell ref="AE435:AE440"/>
    <mergeCell ref="F429:F434"/>
    <mergeCell ref="B36:B39"/>
    <mergeCell ref="BP14:BP23"/>
    <mergeCell ref="D77:D79"/>
    <mergeCell ref="G78:G80"/>
    <mergeCell ref="W8:W11"/>
    <mergeCell ref="B20:B23"/>
    <mergeCell ref="T441:T443"/>
    <mergeCell ref="D20:D23"/>
    <mergeCell ref="W4:W7"/>
    <mergeCell ref="F427:F428"/>
    <mergeCell ref="AF432:AF434"/>
    <mergeCell ref="H427:H428"/>
    <mergeCell ref="B12:B15"/>
    <mergeCell ref="B48:B49"/>
    <mergeCell ref="AR4:AR7"/>
    <mergeCell ref="BO16:BO17"/>
    <mergeCell ref="CD4:CD8"/>
    <mergeCell ref="AF438:AF440"/>
    <mergeCell ref="G72:G74"/>
    <mergeCell ref="G453:G455"/>
    <mergeCell ref="AR16:AR19"/>
    <mergeCell ref="G435:G437"/>
    <mergeCell ref="V427:V428"/>
    <mergeCell ref="B28:B31"/>
    <mergeCell ref="D28:D31"/>
    <mergeCell ref="BO12:BO13"/>
    <mergeCell ref="G57:G59"/>
    <mergeCell ref="AR36:AR39"/>
    <mergeCell ref="D12:D15"/>
    <mergeCell ref="S447:S452"/>
    <mergeCell ref="BO8:BO9"/>
    <mergeCell ref="AR20:AR23"/>
    <mergeCell ref="AD427:AD428"/>
    <mergeCell ref="BO14:BO15"/>
    <mergeCell ref="AS4:AS23"/>
    <mergeCell ref="B4:B7"/>
    <mergeCell ref="F441:F446"/>
    <mergeCell ref="AF447:AF449"/>
    <mergeCell ref="T444:T446"/>
    <mergeCell ref="B32:B35"/>
    <mergeCell ref="AR2:BH2"/>
    <mergeCell ref="B16:B19"/>
    <mergeCell ref="AF444:AF446"/>
    <mergeCell ref="AF453:AF455"/>
    <mergeCell ref="D56:D58"/>
    <mergeCell ref="G447:G449"/>
    <mergeCell ref="C74:C79"/>
    <mergeCell ref="S429:S434"/>
    <mergeCell ref="C68:C73"/>
    <mergeCell ref="AR8:AR11"/>
    <mergeCell ref="H49:H50"/>
    <mergeCell ref="E48:O48"/>
    <mergeCell ref="D36:D39"/>
    <mergeCell ref="F453:F458"/>
    <mergeCell ref="T438:T440"/>
    <mergeCell ref="W28:W31"/>
    <mergeCell ref="D74:D76"/>
    <mergeCell ref="T429:T431"/>
    <mergeCell ref="E427:E428"/>
    <mergeCell ref="D71:D73"/>
    <mergeCell ref="AF429:AF431"/>
    <mergeCell ref="W20:W23"/>
    <mergeCell ref="D40:D43"/>
    <mergeCell ref="G60:G62"/>
    <mergeCell ref="B24:B27"/>
    <mergeCell ref="G69:G71"/>
    <mergeCell ref="C24:C43"/>
    <mergeCell ref="D24:D27"/>
    <mergeCell ref="S427:S428"/>
    <mergeCell ref="F435:F440"/>
    <mergeCell ref="G66:G68"/>
    <mergeCell ref="AR32:AR35"/>
    <mergeCell ref="D8:D11"/>
    <mergeCell ref="AE429:AE434"/>
    <mergeCell ref="G75:G77"/>
    <mergeCell ref="B8:B11"/>
    <mergeCell ref="X4:X23"/>
    <mergeCell ref="D16:D19"/>
    <mergeCell ref="F51:F56"/>
    <mergeCell ref="AG427:AG428"/>
    <mergeCell ref="D50:D52"/>
    <mergeCell ref="I49:O49"/>
    <mergeCell ref="D59:D61"/>
    <mergeCell ref="C50:C55"/>
    <mergeCell ref="AR40:AR43"/>
    <mergeCell ref="AD429:AD458"/>
    <mergeCell ref="AE447:AE452"/>
    <mergeCell ref="AR24:AR27"/>
    <mergeCell ref="W16:W19"/>
    <mergeCell ref="E426:O426"/>
    <mergeCell ref="E49:E50"/>
    <mergeCell ref="D32:D35"/>
    <mergeCell ref="G49:G50"/>
    <mergeCell ref="AF435:AF437"/>
    <mergeCell ref="I427:O427"/>
    <mergeCell ref="BP4:BP13"/>
    <mergeCell ref="E51:E80"/>
    <mergeCell ref="D65:D67"/>
    <mergeCell ref="F75:F80"/>
    <mergeCell ref="R426:AA426"/>
    <mergeCell ref="AR12:AR15"/>
    <mergeCell ref="AS24:AS43"/>
    <mergeCell ref="BO10:BO11"/>
    <mergeCell ref="AF427:AF428"/>
    <mergeCell ref="B50:B79"/>
    <mergeCell ref="S453:S458"/>
    <mergeCell ref="G432:G434"/>
    <mergeCell ref="S435:S440"/>
    <mergeCell ref="T447:T449"/>
    <mergeCell ref="W32:W35"/>
    <mergeCell ref="AE453:AE458"/>
    <mergeCell ref="AR28:AR31"/>
    <mergeCell ref="G429:G431"/>
    <mergeCell ref="F447:F452"/>
    <mergeCell ref="C56:C61"/>
    <mergeCell ref="T453:T455"/>
    <mergeCell ref="G444:G446"/>
    <mergeCell ref="T456:T458"/>
    <mergeCell ref="AF456:AF458"/>
    <mergeCell ref="G441:G443"/>
    <mergeCell ref="G450:G452"/>
    <mergeCell ref="B40:B43"/>
    <mergeCell ref="F57:F62"/>
    <mergeCell ref="D53:D55"/>
    <mergeCell ref="G54:G56"/>
    <mergeCell ref="BO22:BO23"/>
    <mergeCell ref="W40:W43"/>
    <mergeCell ref="D68:D70"/>
    <mergeCell ref="F63:F68"/>
    <mergeCell ref="W24:W27"/>
    <mergeCell ref="X24:X43"/>
  </mergeCells>
  <conditionalFormatting sqref="I51:O80">
    <cfRule type="colorScale" priority="17">
      <colorScale>
        <cfvo type="num" val="1"/>
        <cfvo type="max"/>
        <color theme="0"/>
        <color rgb="FF00B050"/>
      </colorScale>
    </cfRule>
  </conditionalFormatting>
  <conditionalFormatting sqref="I435:O458">
    <cfRule type="colorScale" priority="16">
      <colorScale>
        <cfvo type="num" val="1"/>
        <cfvo type="max"/>
        <color theme="0"/>
        <color rgb="FF00B050"/>
      </colorScale>
    </cfRule>
  </conditionalFormatting>
  <conditionalFormatting sqref="I429:O434">
    <cfRule type="colorScale" priority="15">
      <colorScale>
        <cfvo type="num" val="1"/>
        <cfvo type="max"/>
        <color theme="0"/>
        <color rgb="FF00B050"/>
      </colorScale>
    </cfRule>
  </conditionalFormatting>
  <conditionalFormatting sqref="W435:AA440 W453:AA458">
    <cfRule type="colorScale" priority="14">
      <colorScale>
        <cfvo type="num" val="1"/>
        <cfvo type="max"/>
        <color theme="0"/>
        <color rgb="FF00B050"/>
      </colorScale>
    </cfRule>
  </conditionalFormatting>
  <conditionalFormatting sqref="W429:AA434">
    <cfRule type="colorScale" priority="13">
      <colorScale>
        <cfvo type="num" val="1"/>
        <cfvo type="max"/>
        <color theme="0"/>
        <color rgb="FF00B050"/>
      </colorScale>
    </cfRule>
  </conditionalFormatting>
  <conditionalFormatting sqref="AH435:AO440 AH453:AO458">
    <cfRule type="colorScale" priority="12">
      <colorScale>
        <cfvo type="num" val="1"/>
        <cfvo type="max"/>
        <color theme="0"/>
        <color rgb="FF00B050"/>
      </colorScale>
    </cfRule>
  </conditionalFormatting>
  <conditionalFormatting sqref="AH429:AO434">
    <cfRule type="colorScale" priority="11">
      <colorScale>
        <cfvo type="num" val="1"/>
        <cfvo type="max"/>
        <color theme="0"/>
        <color rgb="FF00B050"/>
      </colorScale>
    </cfRule>
  </conditionalFormatting>
  <conditionalFormatting sqref="W441:AA452">
    <cfRule type="colorScale" priority="10">
      <colorScale>
        <cfvo type="num" val="1"/>
        <cfvo type="max"/>
        <color theme="0"/>
        <color rgb="FF00B050"/>
      </colorScale>
    </cfRule>
  </conditionalFormatting>
  <conditionalFormatting sqref="AH441:AO452">
    <cfRule type="colorScale" priority="9">
      <colorScale>
        <cfvo type="num" val="1"/>
        <cfvo type="max"/>
        <color theme="0"/>
        <color rgb="FF00B050"/>
      </colorScale>
    </cfRule>
  </conditionalFormatting>
  <conditionalFormatting sqref="Q4:U43">
    <cfRule type="colorScale" priority="7">
      <colorScale>
        <cfvo type="num" val="-4"/>
        <cfvo type="num" val="0"/>
        <cfvo type="num" val="4"/>
        <color indexed="10"/>
        <color indexed="9"/>
        <color indexed="40"/>
      </colorScale>
    </cfRule>
    <cfRule type="colorScale" priority="8">
      <colorScale>
        <cfvo type="num" val="-4"/>
        <cfvo type="num" val="0"/>
        <cfvo type="num" val="4"/>
        <color indexed="10"/>
        <color indexed="9"/>
        <color indexed="40"/>
      </colorScale>
    </cfRule>
  </conditionalFormatting>
  <conditionalFormatting sqref="F4:P43">
    <cfRule type="colorScale" priority="1">
      <colorScale>
        <cfvo type="num" val="-4"/>
        <cfvo type="num" val="0"/>
        <cfvo type="num" val="4"/>
        <color indexed="10"/>
        <color indexed="9"/>
        <color indexed="40"/>
      </colorScale>
    </cfRule>
    <cfRule type="colorScale" priority="2">
      <colorScale>
        <cfvo type="num" val="-4"/>
        <cfvo type="num" val="0"/>
        <cfvo type="num" val="4"/>
        <color indexed="10"/>
        <color indexed="9"/>
        <color indexed="40"/>
      </colorScale>
    </cfRule>
  </conditionalFormatting>
  <pageMargins left="0.7" right="0.7" top="0.75" bottom="0.75" header="0.3" footer="0.3"/>
  <pageSetup scale="39"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pageSetUpPr fitToPage="1"/>
  </sheetPr>
  <dimension ref="A2:BK506"/>
  <sheetViews>
    <sheetView zoomScale="70" zoomScaleNormal="70" workbookViewId="0">
      <selection activeCell="K15" sqref="K15"/>
    </sheetView>
  </sheetViews>
  <sheetFormatPr defaultRowHeight="15" x14ac:dyDescent="0.25"/>
  <cols>
    <col min="2" max="21" width="15.7109375" customWidth="1"/>
    <col min="22" max="25" width="16.7109375" bestFit="1" customWidth="1"/>
    <col min="26" max="26" width="23.28515625" bestFit="1" customWidth="1"/>
    <col min="27" max="27" width="16.7109375" bestFit="1" customWidth="1"/>
    <col min="28" max="28" width="15.85546875" bestFit="1" customWidth="1"/>
    <col min="30" max="30" width="15.85546875" bestFit="1" customWidth="1"/>
    <col min="32" max="32" width="15.85546875" bestFit="1" customWidth="1"/>
    <col min="34" max="34" width="15.85546875" bestFit="1" customWidth="1"/>
    <col min="36" max="36" width="15.85546875" bestFit="1" customWidth="1"/>
    <col min="38" max="38" width="15.85546875" bestFit="1" customWidth="1"/>
    <col min="39" max="41" width="15.85546875" customWidth="1"/>
    <col min="43" max="43" width="15.85546875" bestFit="1" customWidth="1"/>
    <col min="45" max="45" width="21.5703125" bestFit="1" customWidth="1"/>
    <col min="46" max="46" width="12.7109375" bestFit="1" customWidth="1"/>
    <col min="47" max="47" width="15.85546875" bestFit="1" customWidth="1"/>
    <col min="49" max="49" width="15.85546875" bestFit="1" customWidth="1"/>
  </cols>
  <sheetData>
    <row r="2" spans="1:63" ht="15" customHeight="1" x14ac:dyDescent="0.25">
      <c r="A2" t="str">
        <f>"Tilt ="&amp;Inputs!B33</f>
        <v>Tilt =XX</v>
      </c>
      <c r="B2" s="537"/>
      <c r="C2" s="538"/>
      <c r="D2" s="538"/>
      <c r="E2" s="538"/>
      <c r="F2" s="538"/>
      <c r="G2" s="538"/>
      <c r="H2" s="538"/>
      <c r="I2" s="538"/>
      <c r="J2" s="538"/>
      <c r="K2" s="542" t="s">
        <v>539</v>
      </c>
      <c r="L2" s="538"/>
      <c r="M2" s="538"/>
      <c r="N2" s="538"/>
      <c r="O2" s="538"/>
      <c r="P2" s="538"/>
      <c r="Q2" s="538"/>
      <c r="R2" s="538"/>
      <c r="S2" s="538"/>
      <c r="T2" s="539"/>
      <c r="U2" s="215"/>
      <c r="W2" s="632" t="s">
        <v>531</v>
      </c>
      <c r="X2" s="572"/>
      <c r="Y2" s="572"/>
      <c r="Z2" s="572"/>
      <c r="AA2" s="572"/>
      <c r="AB2" s="572"/>
      <c r="AC2" s="572"/>
      <c r="AD2" s="572"/>
      <c r="AE2" s="572"/>
      <c r="AF2" s="572"/>
      <c r="AG2" s="572"/>
      <c r="AH2" s="572"/>
      <c r="AI2" s="572"/>
      <c r="AJ2" s="572"/>
      <c r="AK2" s="572"/>
      <c r="AL2" s="572"/>
      <c r="AM2" s="572"/>
      <c r="AN2" s="572"/>
      <c r="AO2" s="572"/>
      <c r="AP2" s="554"/>
      <c r="AR2" s="632" t="s">
        <v>532</v>
      </c>
      <c r="AS2" s="572"/>
      <c r="AT2" s="572"/>
      <c r="AU2" s="572"/>
      <c r="AV2" s="572"/>
      <c r="AW2" s="572"/>
      <c r="AX2" s="572"/>
      <c r="AY2" s="572"/>
      <c r="AZ2" s="572"/>
      <c r="BA2" s="572"/>
      <c r="BB2" s="572"/>
      <c r="BC2" s="572"/>
      <c r="BD2" s="572"/>
      <c r="BE2" s="572"/>
      <c r="BF2" s="572"/>
      <c r="BG2" s="572"/>
      <c r="BH2" s="554"/>
      <c r="BI2" s="215"/>
      <c r="BJ2" s="215"/>
      <c r="BK2" s="215"/>
    </row>
    <row r="3" spans="1:63" ht="15" customHeight="1" x14ac:dyDescent="0.25">
      <c r="B3" s="34" t="s">
        <v>9</v>
      </c>
      <c r="C3" s="34" t="s">
        <v>495</v>
      </c>
      <c r="D3" s="41" t="s">
        <v>515</v>
      </c>
      <c r="E3" s="218" t="s">
        <v>496</v>
      </c>
      <c r="F3" s="529"/>
      <c r="G3" s="530"/>
      <c r="H3" s="530"/>
      <c r="I3" s="530"/>
      <c r="J3" s="530"/>
      <c r="K3" s="531" t="s">
        <v>497</v>
      </c>
      <c r="L3" s="530"/>
      <c r="M3" s="530"/>
      <c r="N3" s="530"/>
      <c r="O3" s="530"/>
      <c r="P3" s="530"/>
      <c r="Q3" s="530"/>
      <c r="R3" s="530"/>
      <c r="S3" s="530"/>
      <c r="T3" s="530"/>
      <c r="U3" s="532"/>
      <c r="W3" s="34" t="s">
        <v>9</v>
      </c>
      <c r="X3" s="34" t="s">
        <v>495</v>
      </c>
      <c r="Y3" s="41" t="s">
        <v>515</v>
      </c>
      <c r="Z3" s="41" t="s">
        <v>496</v>
      </c>
      <c r="AA3" s="613" t="s">
        <v>497</v>
      </c>
      <c r="AB3" s="572"/>
      <c r="AC3" s="572"/>
      <c r="AD3" s="572"/>
      <c r="AE3" s="572"/>
      <c r="AF3" s="572"/>
      <c r="AG3" s="572"/>
      <c r="AH3" s="572"/>
      <c r="AI3" s="572"/>
      <c r="AJ3" s="572"/>
      <c r="AK3" s="572"/>
      <c r="AL3" s="572"/>
      <c r="AM3" s="572"/>
      <c r="AN3" s="572"/>
      <c r="AO3" s="572"/>
      <c r="AP3" s="554"/>
      <c r="AR3" s="34" t="s">
        <v>9</v>
      </c>
      <c r="AS3" s="34" t="s">
        <v>495</v>
      </c>
      <c r="AT3" s="41" t="s">
        <v>515</v>
      </c>
      <c r="AU3" s="41" t="s">
        <v>496</v>
      </c>
      <c r="AV3" s="600" t="s">
        <v>497</v>
      </c>
      <c r="AW3" s="601"/>
      <c r="AX3" s="601"/>
      <c r="AY3" s="601"/>
      <c r="AZ3" s="601"/>
      <c r="BA3" s="601"/>
      <c r="BB3" s="601"/>
      <c r="BC3" s="601"/>
      <c r="BD3" s="601"/>
      <c r="BE3" s="601"/>
      <c r="BF3" s="601"/>
      <c r="BG3" s="601"/>
      <c r="BH3" s="601"/>
      <c r="BI3" s="601"/>
      <c r="BJ3" s="601"/>
      <c r="BK3" s="601"/>
    </row>
    <row r="4" spans="1:63" x14ac:dyDescent="0.25">
      <c r="B4" s="638"/>
      <c r="C4" s="637" t="s">
        <v>6</v>
      </c>
      <c r="D4" s="588"/>
      <c r="E4" s="150"/>
      <c r="F4" s="152"/>
      <c r="G4" s="152"/>
      <c r="H4" s="152"/>
      <c r="I4" s="152"/>
      <c r="J4" s="152"/>
      <c r="K4" s="152"/>
      <c r="L4" s="152"/>
      <c r="M4" s="152"/>
      <c r="N4" s="152"/>
      <c r="O4" s="152"/>
      <c r="P4" s="152"/>
      <c r="Q4" s="152"/>
      <c r="R4" s="152"/>
      <c r="S4" s="152"/>
      <c r="T4" s="152"/>
      <c r="U4" s="152"/>
      <c r="V4" s="33"/>
      <c r="W4" s="638"/>
      <c r="X4" s="637" t="s">
        <v>6</v>
      </c>
      <c r="Y4" s="50">
        <v>-0.29873454583506281</v>
      </c>
      <c r="Z4" s="24" t="s">
        <v>498</v>
      </c>
      <c r="AA4" s="50" t="str">
        <f>IF(F4=""," ",F4*Inputs!$B$39)</f>
        <v xml:space="preserve"> </v>
      </c>
      <c r="AB4" s="50" t="str">
        <f>IF(G4=""," ",G4*Inputs!$B$39)</f>
        <v xml:space="preserve"> </v>
      </c>
      <c r="AC4" s="50" t="str">
        <f>IF(H4=""," ",H4*Inputs!$B$39)</f>
        <v xml:space="preserve"> </v>
      </c>
      <c r="AD4" s="50" t="str">
        <f>IF(I4=""," ",I4*Inputs!$B$39)</f>
        <v xml:space="preserve"> </v>
      </c>
      <c r="AE4" s="50" t="str">
        <f>IF(J4=""," ",J4*Inputs!$B$39)</f>
        <v xml:space="preserve"> </v>
      </c>
      <c r="AF4" s="50" t="str">
        <f>IF(K4=""," ",K4*Inputs!$B$39)</f>
        <v xml:space="preserve"> </v>
      </c>
      <c r="AG4" s="50" t="str">
        <f>IF(L4=""," ",L4*Inputs!$B$39)</f>
        <v xml:space="preserve"> </v>
      </c>
      <c r="AH4" s="50" t="str">
        <f>IF(M4=""," ",M4*Inputs!$B$39)</f>
        <v xml:space="preserve"> </v>
      </c>
      <c r="AI4" s="50" t="str">
        <f>IF(N4=""," ",N4*Inputs!$B$39)</f>
        <v xml:space="preserve"> </v>
      </c>
      <c r="AJ4" s="50" t="str">
        <f>IF(O4=""," ",O4*Inputs!$B$39)</f>
        <v xml:space="preserve"> </v>
      </c>
      <c r="AK4" s="50" t="str">
        <f>IF(P4=""," ",P4*Inputs!$B$39)</f>
        <v xml:space="preserve"> </v>
      </c>
      <c r="AL4" s="50" t="str">
        <f>IF(Q4=""," ",Q4*Inputs!$B$39)</f>
        <v xml:space="preserve"> </v>
      </c>
      <c r="AM4" s="50" t="str">
        <f>IF(R4=""," ",R4*Inputs!$B$39)</f>
        <v xml:space="preserve"> </v>
      </c>
      <c r="AN4" s="50" t="str">
        <f>IF(S4=""," ",S4*Inputs!$B$39)</f>
        <v xml:space="preserve"> </v>
      </c>
      <c r="AO4" s="50" t="str">
        <f>IF(T4=""," ",T4*Inputs!$B$39)</f>
        <v xml:space="preserve"> </v>
      </c>
      <c r="AP4" s="50" t="str">
        <f>IF(U4=""," ",U4*Inputs!$B$39)</f>
        <v xml:space="preserve"> </v>
      </c>
      <c r="AR4" s="638"/>
      <c r="AS4" s="637" t="s">
        <v>6</v>
      </c>
      <c r="AT4" s="50">
        <v>-0.29873454583506281</v>
      </c>
      <c r="AU4" s="24" t="s">
        <v>498</v>
      </c>
      <c r="AV4" s="50" t="str">
        <f>IF(AA4=" "," ",AA4*Inputs!$B$57)</f>
        <v xml:space="preserve"> </v>
      </c>
      <c r="AW4" s="50" t="str">
        <f>IF(AB4=" "," ",AB4*Inputs!$B$57)</f>
        <v xml:space="preserve"> </v>
      </c>
      <c r="AX4" s="50" t="str">
        <f>IF(AC4=" "," ",AC4*Inputs!$B$57)</f>
        <v xml:space="preserve"> </v>
      </c>
      <c r="AY4" s="50" t="str">
        <f>IF(AD4=" "," ",AD4*Inputs!$B$57)</f>
        <v xml:space="preserve"> </v>
      </c>
      <c r="AZ4" s="50" t="str">
        <f>IF(AE4=" "," ",AE4*Inputs!$B$57)</f>
        <v xml:space="preserve"> </v>
      </c>
      <c r="BA4" s="50" t="str">
        <f>IF(AF4=" "," ",AF4*Inputs!$B$57)</f>
        <v xml:space="preserve"> </v>
      </c>
      <c r="BB4" s="50" t="str">
        <f>IF(AG4=" "," ",AG4*Inputs!$B$57)</f>
        <v xml:space="preserve"> </v>
      </c>
      <c r="BC4" s="50" t="str">
        <f>IF(AH4=" "," ",AH4*Inputs!$B$57)</f>
        <v xml:space="preserve"> </v>
      </c>
      <c r="BD4" s="50" t="str">
        <f>IF(AI4=" "," ",AI4*Inputs!$B$57)</f>
        <v xml:space="preserve"> </v>
      </c>
      <c r="BE4" s="50" t="str">
        <f>IF(AJ4=" "," ",AJ4*Inputs!$B$57)</f>
        <v xml:space="preserve"> </v>
      </c>
      <c r="BF4" s="50" t="str">
        <f>IF(AK4=" "," ",AK4*Inputs!$B$57)</f>
        <v xml:space="preserve"> </v>
      </c>
      <c r="BG4" s="50" t="str">
        <f>IF(AL4=" "," ",AL4*Inputs!$B$57)</f>
        <v xml:space="preserve"> </v>
      </c>
      <c r="BH4" s="50" t="str">
        <f>IF(AM4=" "," ",AM4*Inputs!$B$57)</f>
        <v xml:space="preserve"> </v>
      </c>
      <c r="BI4" s="50" t="str">
        <f>IF(AN4=" "," ",AN4*Inputs!$B$57)</f>
        <v xml:space="preserve"> </v>
      </c>
      <c r="BJ4" s="50" t="str">
        <f>IF(AO4=" "," ",AO4*Inputs!$B$57)</f>
        <v xml:space="preserve"> </v>
      </c>
      <c r="BK4" s="50" t="str">
        <f>IF(AP4=" "," ",AP4*Inputs!$B$57)</f>
        <v xml:space="preserve"> </v>
      </c>
    </row>
    <row r="5" spans="1:63" x14ac:dyDescent="0.25">
      <c r="B5" s="589"/>
      <c r="C5" s="555"/>
      <c r="D5" s="589"/>
      <c r="E5" s="21"/>
      <c r="F5" s="152"/>
      <c r="G5" s="152"/>
      <c r="H5" s="152"/>
      <c r="I5" s="152"/>
      <c r="J5" s="152"/>
      <c r="K5" s="152"/>
      <c r="L5" s="152"/>
      <c r="M5" s="152"/>
      <c r="N5" s="152"/>
      <c r="O5" s="152"/>
      <c r="P5" s="152"/>
      <c r="Q5" s="152"/>
      <c r="R5" s="152"/>
      <c r="S5" s="152"/>
      <c r="T5" s="152"/>
      <c r="U5" s="152"/>
      <c r="W5" s="589"/>
      <c r="X5" s="555"/>
      <c r="Y5" s="51"/>
      <c r="Z5" s="27" t="s">
        <v>499</v>
      </c>
      <c r="AA5" s="50" t="str">
        <f>IF(F5=""," ",F5*Inputs!$B$39)</f>
        <v xml:space="preserve"> </v>
      </c>
      <c r="AB5" s="50" t="str">
        <f>IF(G5=""," ",G5*Inputs!$B$39)</f>
        <v xml:space="preserve"> </v>
      </c>
      <c r="AC5" s="50" t="str">
        <f>IF(H5=""," ",H5*Inputs!$B$39)</f>
        <v xml:space="preserve"> </v>
      </c>
      <c r="AD5" s="50" t="str">
        <f>IF(I5=""," ",I5*Inputs!$B$39)</f>
        <v xml:space="preserve"> </v>
      </c>
      <c r="AE5" s="50" t="str">
        <f>IF(J5=""," ",J5*Inputs!$B$39)</f>
        <v xml:space="preserve"> </v>
      </c>
      <c r="AF5" s="50" t="str">
        <f>IF(K5=""," ",K5*Inputs!$B$39)</f>
        <v xml:space="preserve"> </v>
      </c>
      <c r="AG5" s="50" t="str">
        <f>IF(L5=""," ",L5*Inputs!$B$39)</f>
        <v xml:space="preserve"> </v>
      </c>
      <c r="AH5" s="50" t="str">
        <f>IF(M5=""," ",M5*Inputs!$B$39)</f>
        <v xml:space="preserve"> </v>
      </c>
      <c r="AI5" s="50" t="str">
        <f>IF(N5=""," ",N5*Inputs!$B$39)</f>
        <v xml:space="preserve"> </v>
      </c>
      <c r="AJ5" s="50" t="str">
        <f>IF(O5=""," ",O5*Inputs!$B$39)</f>
        <v xml:space="preserve"> </v>
      </c>
      <c r="AK5" s="50" t="str">
        <f>IF(P5=""," ",P5*Inputs!$B$39)</f>
        <v xml:space="preserve"> </v>
      </c>
      <c r="AL5" s="50" t="str">
        <f>IF(Q5=""," ",Q5*Inputs!$B$39)</f>
        <v xml:space="preserve"> </v>
      </c>
      <c r="AM5" s="50" t="str">
        <f>IF(R5=""," ",R5*Inputs!$B$39)</f>
        <v xml:space="preserve"> </v>
      </c>
      <c r="AN5" s="50" t="str">
        <f>IF(S5=""," ",S5*Inputs!$B$39)</f>
        <v xml:space="preserve"> </v>
      </c>
      <c r="AO5" s="50" t="str">
        <f>IF(T5=""," ",T5*Inputs!$B$39)</f>
        <v xml:space="preserve"> </v>
      </c>
      <c r="AP5" s="50" t="str">
        <f>IF(U5=""," ",U5*Inputs!$B$39)</f>
        <v xml:space="preserve"> </v>
      </c>
      <c r="AR5" s="589"/>
      <c r="AS5" s="555"/>
      <c r="AT5" s="51"/>
      <c r="AU5" s="27" t="s">
        <v>499</v>
      </c>
      <c r="AV5" s="50" t="str">
        <f>IF(AA5=" "," ",AA5*Inputs!$B$57)</f>
        <v xml:space="preserve"> </v>
      </c>
      <c r="AW5" s="50" t="str">
        <f>IF(AB5=" "," ",AB5*Inputs!$B$57)</f>
        <v xml:space="preserve"> </v>
      </c>
      <c r="AX5" s="50" t="str">
        <f>IF(AC5=" "," ",AC5*Inputs!$B$57)</f>
        <v xml:space="preserve"> </v>
      </c>
      <c r="AY5" s="50" t="str">
        <f>IF(AD5=" "," ",AD5*Inputs!$B$57)</f>
        <v xml:space="preserve"> </v>
      </c>
      <c r="AZ5" s="50" t="str">
        <f>IF(AE5=" "," ",AE5*Inputs!$B$57)</f>
        <v xml:space="preserve"> </v>
      </c>
      <c r="BA5" s="50" t="str">
        <f>IF(AF5=" "," ",AF5*Inputs!$B$57)</f>
        <v xml:space="preserve"> </v>
      </c>
      <c r="BB5" s="50" t="str">
        <f>IF(AG5=" "," ",AG5*Inputs!$B$57)</f>
        <v xml:space="preserve"> </v>
      </c>
      <c r="BC5" s="50" t="str">
        <f>IF(AH5=" "," ",AH5*Inputs!$B$57)</f>
        <v xml:space="preserve"> </v>
      </c>
      <c r="BD5" s="50" t="str">
        <f>IF(AI5=" "," ",AI5*Inputs!$B$57)</f>
        <v xml:space="preserve"> </v>
      </c>
      <c r="BE5" s="50" t="str">
        <f>IF(AJ5=" "," ",AJ5*Inputs!$B$57)</f>
        <v xml:space="preserve"> </v>
      </c>
      <c r="BF5" s="50" t="str">
        <f>IF(AK5=" "," ",AK5*Inputs!$B$57)</f>
        <v xml:space="preserve"> </v>
      </c>
      <c r="BG5" s="50" t="str">
        <f>IF(AL5=" "," ",AL5*Inputs!$B$57)</f>
        <v xml:space="preserve"> </v>
      </c>
      <c r="BH5" s="50" t="str">
        <f>IF(AM5=" "," ",AM5*Inputs!$B$57)</f>
        <v xml:space="preserve"> </v>
      </c>
      <c r="BI5" s="50" t="str">
        <f>IF(AN5=" "," ",AN5*Inputs!$B$57)</f>
        <v xml:space="preserve"> </v>
      </c>
      <c r="BJ5" s="50" t="str">
        <f>IF(AO5=" "," ",AO5*Inputs!$B$57)</f>
        <v xml:space="preserve"> </v>
      </c>
      <c r="BK5" s="50" t="str">
        <f>IF(AP5=" "," ",AP5*Inputs!$B$57)</f>
        <v xml:space="preserve"> </v>
      </c>
    </row>
    <row r="6" spans="1:63" x14ac:dyDescent="0.25">
      <c r="B6" s="589"/>
      <c r="C6" s="555"/>
      <c r="D6" s="589"/>
      <c r="E6" s="21"/>
      <c r="F6" s="152"/>
      <c r="G6" s="152"/>
      <c r="H6" s="152"/>
      <c r="I6" s="152"/>
      <c r="J6" s="152"/>
      <c r="K6" s="152"/>
      <c r="L6" s="152"/>
      <c r="M6" s="152"/>
      <c r="N6" s="152"/>
      <c r="O6" s="152"/>
      <c r="P6" s="152"/>
      <c r="Q6" s="152"/>
      <c r="R6" s="152"/>
      <c r="S6" s="152"/>
      <c r="T6" s="152"/>
      <c r="U6" s="152"/>
      <c r="W6" s="589"/>
      <c r="X6" s="555"/>
      <c r="Y6" s="51"/>
      <c r="Z6" s="27" t="s">
        <v>500</v>
      </c>
      <c r="AA6" s="50" t="str">
        <f>IF(F6=""," ",F6*Inputs!$B$39)</f>
        <v xml:space="preserve"> </v>
      </c>
      <c r="AB6" s="50" t="str">
        <f>IF(G6=""," ",G6*Inputs!$B$39)</f>
        <v xml:space="preserve"> </v>
      </c>
      <c r="AC6" s="50" t="str">
        <f>IF(H6=""," ",H6*Inputs!$B$39)</f>
        <v xml:space="preserve"> </v>
      </c>
      <c r="AD6" s="50" t="str">
        <f>IF(I6=""," ",I6*Inputs!$B$39)</f>
        <v xml:space="preserve"> </v>
      </c>
      <c r="AE6" s="50" t="str">
        <f>IF(J6=""," ",J6*Inputs!$B$39)</f>
        <v xml:space="preserve"> </v>
      </c>
      <c r="AF6" s="50" t="str">
        <f>IF(K6=""," ",K6*Inputs!$B$39)</f>
        <v xml:space="preserve"> </v>
      </c>
      <c r="AG6" s="50" t="str">
        <f>IF(L6=""," ",L6*Inputs!$B$39)</f>
        <v xml:space="preserve"> </v>
      </c>
      <c r="AH6" s="50" t="str">
        <f>IF(M6=""," ",M6*Inputs!$B$39)</f>
        <v xml:space="preserve"> </v>
      </c>
      <c r="AI6" s="50" t="str">
        <f>IF(N6=""," ",N6*Inputs!$B$39)</f>
        <v xml:space="preserve"> </v>
      </c>
      <c r="AJ6" s="50" t="str">
        <f>IF(O6=""," ",O6*Inputs!$B$39)</f>
        <v xml:space="preserve"> </v>
      </c>
      <c r="AK6" s="50" t="str">
        <f>IF(P6=""," ",P6*Inputs!$B$39)</f>
        <v xml:space="preserve"> </v>
      </c>
      <c r="AL6" s="50" t="str">
        <f>IF(Q6=""," ",Q6*Inputs!$B$39)</f>
        <v xml:space="preserve"> </v>
      </c>
      <c r="AM6" s="50" t="str">
        <f>IF(R6=""," ",R6*Inputs!$B$39)</f>
        <v xml:space="preserve"> </v>
      </c>
      <c r="AN6" s="50" t="str">
        <f>IF(S6=""," ",S6*Inputs!$B$39)</f>
        <v xml:space="preserve"> </v>
      </c>
      <c r="AO6" s="50" t="str">
        <f>IF(T6=""," ",T6*Inputs!$B$39)</f>
        <v xml:space="preserve"> </v>
      </c>
      <c r="AP6" s="50" t="str">
        <f>IF(U6=""," ",U6*Inputs!$B$39)</f>
        <v xml:space="preserve"> </v>
      </c>
      <c r="AR6" s="589"/>
      <c r="AS6" s="555"/>
      <c r="AT6" s="51"/>
      <c r="AU6" s="27" t="s">
        <v>500</v>
      </c>
      <c r="AV6" s="50" t="str">
        <f>IF(AA6=" "," ",AA6*Inputs!$B$57)</f>
        <v xml:space="preserve"> </v>
      </c>
      <c r="AW6" s="50" t="str">
        <f>IF(AB6=" "," ",AB6*Inputs!$B$57)</f>
        <v xml:space="preserve"> </v>
      </c>
      <c r="AX6" s="50" t="str">
        <f>IF(AC6=" "," ",AC6*Inputs!$B$57)</f>
        <v xml:space="preserve"> </v>
      </c>
      <c r="AY6" s="50" t="str">
        <f>IF(AD6=" "," ",AD6*Inputs!$B$57)</f>
        <v xml:space="preserve"> </v>
      </c>
      <c r="AZ6" s="50" t="str">
        <f>IF(AE6=" "," ",AE6*Inputs!$B$57)</f>
        <v xml:space="preserve"> </v>
      </c>
      <c r="BA6" s="50" t="str">
        <f>IF(AF6=" "," ",AF6*Inputs!$B$57)</f>
        <v xml:space="preserve"> </v>
      </c>
      <c r="BB6" s="50" t="str">
        <f>IF(AG6=" "," ",AG6*Inputs!$B$57)</f>
        <v xml:space="preserve"> </v>
      </c>
      <c r="BC6" s="50" t="str">
        <f>IF(AH6=" "," ",AH6*Inputs!$B$57)</f>
        <v xml:space="preserve"> </v>
      </c>
      <c r="BD6" s="50" t="str">
        <f>IF(AI6=" "," ",AI6*Inputs!$B$57)</f>
        <v xml:space="preserve"> </v>
      </c>
      <c r="BE6" s="50" t="str">
        <f>IF(AJ6=" "," ",AJ6*Inputs!$B$57)</f>
        <v xml:space="preserve"> </v>
      </c>
      <c r="BF6" s="50" t="str">
        <f>IF(AK6=" "," ",AK6*Inputs!$B$57)</f>
        <v xml:space="preserve"> </v>
      </c>
      <c r="BG6" s="50" t="str">
        <f>IF(AL6=" "," ",AL6*Inputs!$B$57)</f>
        <v xml:space="preserve"> </v>
      </c>
      <c r="BH6" s="50" t="str">
        <f>IF(AM6=" "," ",AM6*Inputs!$B$57)</f>
        <v xml:space="preserve"> </v>
      </c>
      <c r="BI6" s="50" t="str">
        <f>IF(AN6=" "," ",AN6*Inputs!$B$57)</f>
        <v xml:space="preserve"> </v>
      </c>
      <c r="BJ6" s="50" t="str">
        <f>IF(AO6=" "," ",AO6*Inputs!$B$57)</f>
        <v xml:space="preserve"> </v>
      </c>
      <c r="BK6" s="50" t="str">
        <f>IF(AP6=" "," ",AP6*Inputs!$B$57)</f>
        <v xml:space="preserve"> </v>
      </c>
    </row>
    <row r="7" spans="1:63" x14ac:dyDescent="0.25">
      <c r="B7" s="589"/>
      <c r="C7" s="555"/>
      <c r="D7" s="589"/>
      <c r="E7" s="21"/>
      <c r="F7" s="152"/>
      <c r="G7" s="152"/>
      <c r="H7" s="152"/>
      <c r="I7" s="152"/>
      <c r="J7" s="152"/>
      <c r="K7" s="152"/>
      <c r="L7" s="152"/>
      <c r="M7" s="152"/>
      <c r="N7" s="152"/>
      <c r="O7" s="152"/>
      <c r="P7" s="152"/>
      <c r="Q7" s="152"/>
      <c r="R7" s="152"/>
      <c r="S7" s="152"/>
      <c r="T7" s="152"/>
      <c r="U7" s="152"/>
      <c r="W7" s="589"/>
      <c r="X7" s="555"/>
      <c r="Y7" s="52"/>
      <c r="Z7" s="29" t="s">
        <v>501</v>
      </c>
      <c r="AA7" s="50" t="str">
        <f>IF(F7=""," ",F7*Inputs!$B$39)</f>
        <v xml:space="preserve"> </v>
      </c>
      <c r="AB7" s="50" t="str">
        <f>IF(G7=""," ",G7*Inputs!$B$39)</f>
        <v xml:space="preserve"> </v>
      </c>
      <c r="AC7" s="50" t="str">
        <f>IF(H7=""," ",H7*Inputs!$B$39)</f>
        <v xml:space="preserve"> </v>
      </c>
      <c r="AD7" s="50" t="str">
        <f>IF(I7=""," ",I7*Inputs!$B$39)</f>
        <v xml:space="preserve"> </v>
      </c>
      <c r="AE7" s="50" t="str">
        <f>IF(J7=""," ",J7*Inputs!$B$39)</f>
        <v xml:space="preserve"> </v>
      </c>
      <c r="AF7" s="50" t="str">
        <f>IF(K7=""," ",K7*Inputs!$B$39)</f>
        <v xml:space="preserve"> </v>
      </c>
      <c r="AG7" s="50" t="str">
        <f>IF(L7=""," ",L7*Inputs!$B$39)</f>
        <v xml:space="preserve"> </v>
      </c>
      <c r="AH7" s="50" t="str">
        <f>IF(M7=""," ",M7*Inputs!$B$39)</f>
        <v xml:space="preserve"> </v>
      </c>
      <c r="AI7" s="50" t="str">
        <f>IF(N7=""," ",N7*Inputs!$B$39)</f>
        <v xml:space="preserve"> </v>
      </c>
      <c r="AJ7" s="50" t="str">
        <f>IF(O7=""," ",O7*Inputs!$B$39)</f>
        <v xml:space="preserve"> </v>
      </c>
      <c r="AK7" s="50" t="str">
        <f>IF(P7=""," ",P7*Inputs!$B$39)</f>
        <v xml:space="preserve"> </v>
      </c>
      <c r="AL7" s="50" t="str">
        <f>IF(Q7=""," ",Q7*Inputs!$B$39)</f>
        <v xml:space="preserve"> </v>
      </c>
      <c r="AM7" s="50" t="str">
        <f>IF(R7=""," ",R7*Inputs!$B$39)</f>
        <v xml:space="preserve"> </v>
      </c>
      <c r="AN7" s="50" t="str">
        <f>IF(S7=""," ",S7*Inputs!$B$39)</f>
        <v xml:space="preserve"> </v>
      </c>
      <c r="AO7" s="50" t="str">
        <f>IF(T7=""," ",T7*Inputs!$B$39)</f>
        <v xml:space="preserve"> </v>
      </c>
      <c r="AP7" s="50" t="str">
        <f>IF(U7=""," ",U7*Inputs!$B$39)</f>
        <v xml:space="preserve"> </v>
      </c>
      <c r="AR7" s="589"/>
      <c r="AS7" s="555"/>
      <c r="AT7" s="52"/>
      <c r="AU7" s="29" t="s">
        <v>501</v>
      </c>
      <c r="AV7" s="50" t="str">
        <f>IF(AA7=" "," ",AA7*Inputs!$B$57)</f>
        <v xml:space="preserve"> </v>
      </c>
      <c r="AW7" s="50" t="str">
        <f>IF(AB7=" "," ",AB7*Inputs!$B$57)</f>
        <v xml:space="preserve"> </v>
      </c>
      <c r="AX7" s="50" t="str">
        <f>IF(AC7=" "," ",AC7*Inputs!$B$57)</f>
        <v xml:space="preserve"> </v>
      </c>
      <c r="AY7" s="50" t="str">
        <f>IF(AD7=" "," ",AD7*Inputs!$B$57)</f>
        <v xml:space="preserve"> </v>
      </c>
      <c r="AZ7" s="50" t="str">
        <f>IF(AE7=" "," ",AE7*Inputs!$B$57)</f>
        <v xml:space="preserve"> </v>
      </c>
      <c r="BA7" s="50" t="str">
        <f>IF(AF7=" "," ",AF7*Inputs!$B$57)</f>
        <v xml:space="preserve"> </v>
      </c>
      <c r="BB7" s="50" t="str">
        <f>IF(AG7=" "," ",AG7*Inputs!$B$57)</f>
        <v xml:space="preserve"> </v>
      </c>
      <c r="BC7" s="50" t="str">
        <f>IF(AH7=" "," ",AH7*Inputs!$B$57)</f>
        <v xml:space="preserve"> </v>
      </c>
      <c r="BD7" s="50" t="str">
        <f>IF(AI7=" "," ",AI7*Inputs!$B$57)</f>
        <v xml:space="preserve"> </v>
      </c>
      <c r="BE7" s="50" t="str">
        <f>IF(AJ7=" "," ",AJ7*Inputs!$B$57)</f>
        <v xml:space="preserve"> </v>
      </c>
      <c r="BF7" s="50" t="str">
        <f>IF(AK7=" "," ",AK7*Inputs!$B$57)</f>
        <v xml:space="preserve"> </v>
      </c>
      <c r="BG7" s="50" t="str">
        <f>IF(AL7=" "," ",AL7*Inputs!$B$57)</f>
        <v xml:space="preserve"> </v>
      </c>
      <c r="BH7" s="50" t="str">
        <f>IF(AM7=" "," ",AM7*Inputs!$B$57)</f>
        <v xml:space="preserve"> </v>
      </c>
      <c r="BI7" s="50" t="str">
        <f>IF(AN7=" "," ",AN7*Inputs!$B$57)</f>
        <v xml:space="preserve"> </v>
      </c>
      <c r="BJ7" s="50" t="str">
        <f>IF(AO7=" "," ",AO7*Inputs!$B$57)</f>
        <v xml:space="preserve"> </v>
      </c>
      <c r="BK7" s="50" t="str">
        <f>IF(AP7=" "," ",AP7*Inputs!$B$57)</f>
        <v xml:space="preserve"> </v>
      </c>
    </row>
    <row r="8" spans="1:63" x14ac:dyDescent="0.25">
      <c r="B8" s="596"/>
      <c r="C8" s="555"/>
      <c r="D8" s="588"/>
      <c r="E8" s="150"/>
      <c r="F8" s="151"/>
      <c r="G8" s="151"/>
      <c r="H8" s="151"/>
      <c r="I8" s="151"/>
      <c r="J8" s="151"/>
      <c r="K8" s="151"/>
      <c r="L8" s="151"/>
      <c r="M8" s="151"/>
      <c r="N8" s="151"/>
      <c r="O8" s="151"/>
      <c r="P8" s="151"/>
      <c r="Q8" s="151"/>
      <c r="R8" s="151"/>
      <c r="S8" s="151"/>
      <c r="T8" s="151"/>
      <c r="U8" s="151"/>
      <c r="W8" s="596"/>
      <c r="X8" s="555"/>
      <c r="Y8" s="50">
        <v>-0.32864588288967661</v>
      </c>
      <c r="Z8" s="24" t="s">
        <v>498</v>
      </c>
      <c r="AA8" s="50" t="str">
        <f>IF(F8=""," ",F8*Inputs!$B$39)</f>
        <v xml:space="preserve"> </v>
      </c>
      <c r="AB8" s="50" t="str">
        <f>IF(G8=""," ",G8*Inputs!$B$39)</f>
        <v xml:space="preserve"> </v>
      </c>
      <c r="AC8" s="50" t="str">
        <f>IF(H8=""," ",H8*Inputs!$B$39)</f>
        <v xml:space="preserve"> </v>
      </c>
      <c r="AD8" s="50" t="str">
        <f>IF(I8=""," ",I8*Inputs!$B$39)</f>
        <v xml:space="preserve"> </v>
      </c>
      <c r="AE8" s="50" t="str">
        <f>IF(J8=""," ",J8*Inputs!$B$39)</f>
        <v xml:space="preserve"> </v>
      </c>
      <c r="AF8" s="50" t="str">
        <f>IF(K8=""," ",K8*Inputs!$B$39)</f>
        <v xml:space="preserve"> </v>
      </c>
      <c r="AG8" s="50" t="str">
        <f>IF(L8=""," ",L8*Inputs!$B$39)</f>
        <v xml:space="preserve"> </v>
      </c>
      <c r="AH8" s="50" t="str">
        <f>IF(M8=""," ",M8*Inputs!$B$39)</f>
        <v xml:space="preserve"> </v>
      </c>
      <c r="AI8" s="50" t="str">
        <f>IF(N8=""," ",N8*Inputs!$B$39)</f>
        <v xml:space="preserve"> </v>
      </c>
      <c r="AJ8" s="50" t="str">
        <f>IF(O8=""," ",O8*Inputs!$B$39)</f>
        <v xml:space="preserve"> </v>
      </c>
      <c r="AK8" s="50" t="str">
        <f>IF(P8=""," ",P8*Inputs!$B$39)</f>
        <v xml:space="preserve"> </v>
      </c>
      <c r="AL8" s="50" t="str">
        <f>IF(Q8=""," ",Q8*Inputs!$B$39)</f>
        <v xml:space="preserve"> </v>
      </c>
      <c r="AM8" s="50" t="str">
        <f>IF(R8=""," ",R8*Inputs!$B$39)</f>
        <v xml:space="preserve"> </v>
      </c>
      <c r="AN8" s="50" t="str">
        <f>IF(S8=""," ",S8*Inputs!$B$39)</f>
        <v xml:space="preserve"> </v>
      </c>
      <c r="AO8" s="50" t="str">
        <f>IF(T8=""," ",T8*Inputs!$B$39)</f>
        <v xml:space="preserve"> </v>
      </c>
      <c r="AP8" s="50" t="str">
        <f>IF(U8=""," ",U8*Inputs!$B$39)</f>
        <v xml:space="preserve"> </v>
      </c>
      <c r="AR8" s="596"/>
      <c r="AS8" s="555"/>
      <c r="AT8" s="50">
        <v>-0.32864588288967661</v>
      </c>
      <c r="AU8" s="24" t="s">
        <v>498</v>
      </c>
      <c r="AV8" s="50" t="str">
        <f>IF(AA8=" "," ",AA8*Inputs!$B$59)</f>
        <v xml:space="preserve"> </v>
      </c>
      <c r="AW8" s="50" t="str">
        <f>IF(AB8=" "," ",AB8*Inputs!$B$59)</f>
        <v xml:space="preserve"> </v>
      </c>
      <c r="AX8" s="50" t="str">
        <f>IF(AC8=" "," ",AC8*Inputs!$B$59)</f>
        <v xml:space="preserve"> </v>
      </c>
      <c r="AY8" s="50" t="str">
        <f>IF(AD8=" "," ",AD8*Inputs!$B$59)</f>
        <v xml:space="preserve"> </v>
      </c>
      <c r="AZ8" s="50" t="str">
        <f>IF(AE8=" "," ",AE8*Inputs!$B$59)</f>
        <v xml:space="preserve"> </v>
      </c>
      <c r="BA8" s="50" t="str">
        <f>IF(AF8=" "," ",AF8*Inputs!$B$59)</f>
        <v xml:space="preserve"> </v>
      </c>
      <c r="BB8" s="50" t="str">
        <f>IF(AG8=" "," ",AG8*Inputs!$B$59)</f>
        <v xml:space="preserve"> </v>
      </c>
      <c r="BC8" s="50" t="str">
        <f>IF(AH8=" "," ",AH8*Inputs!$B$59)</f>
        <v xml:space="preserve"> </v>
      </c>
      <c r="BD8" s="50" t="str">
        <f>IF(AI8=" "," ",AI8*Inputs!$B$59)</f>
        <v xml:space="preserve"> </v>
      </c>
      <c r="BE8" s="50" t="str">
        <f>IF(AJ8=" "," ",AJ8*Inputs!$B$59)</f>
        <v xml:space="preserve"> </v>
      </c>
      <c r="BF8" s="50" t="str">
        <f>IF(AK8=" "," ",AK8*Inputs!$B$59)</f>
        <v xml:space="preserve"> </v>
      </c>
      <c r="BG8" s="50" t="str">
        <f>IF(AL8=" "," ",AL8*Inputs!$B$59)</f>
        <v xml:space="preserve"> </v>
      </c>
      <c r="BH8" s="50" t="str">
        <f>IF(AM8=" "," ",AM8*Inputs!$B$59)</f>
        <v xml:space="preserve"> </v>
      </c>
      <c r="BI8" s="50" t="str">
        <f>IF(AN8=" "," ",AN8*Inputs!$B$59)</f>
        <v xml:space="preserve"> </v>
      </c>
      <c r="BJ8" s="50" t="str">
        <f>IF(AO8=" "," ",AO8*Inputs!$B$59)</f>
        <v xml:space="preserve"> </v>
      </c>
      <c r="BK8" s="50" t="str">
        <f>IF(AP8=" "," ",AP8*Inputs!$B$59)</f>
        <v xml:space="preserve"> </v>
      </c>
    </row>
    <row r="9" spans="1:63" x14ac:dyDescent="0.25">
      <c r="B9" s="589"/>
      <c r="C9" s="555"/>
      <c r="D9" s="589"/>
      <c r="E9" s="21"/>
      <c r="F9" s="152"/>
      <c r="G9" s="152"/>
      <c r="H9" s="152"/>
      <c r="I9" s="152"/>
      <c r="J9" s="152"/>
      <c r="K9" s="152"/>
      <c r="L9" s="152"/>
      <c r="M9" s="152"/>
      <c r="N9" s="152"/>
      <c r="O9" s="152"/>
      <c r="P9" s="152"/>
      <c r="Q9" s="152"/>
      <c r="R9" s="152"/>
      <c r="S9" s="152"/>
      <c r="T9" s="152"/>
      <c r="U9" s="152"/>
      <c r="W9" s="589"/>
      <c r="X9" s="555"/>
      <c r="Y9" s="51"/>
      <c r="Z9" s="27" t="s">
        <v>499</v>
      </c>
      <c r="AA9" s="50" t="str">
        <f>IF(F9=""," ",F9*Inputs!$B$39)</f>
        <v xml:space="preserve"> </v>
      </c>
      <c r="AB9" s="50" t="str">
        <f>IF(G9=""," ",G9*Inputs!$B$39)</f>
        <v xml:space="preserve"> </v>
      </c>
      <c r="AC9" s="50" t="str">
        <f>IF(H9=""," ",H9*Inputs!$B$39)</f>
        <v xml:space="preserve"> </v>
      </c>
      <c r="AD9" s="50" t="str">
        <f>IF(I9=""," ",I9*Inputs!$B$39)</f>
        <v xml:space="preserve"> </v>
      </c>
      <c r="AE9" s="50" t="str">
        <f>IF(J9=""," ",J9*Inputs!$B$39)</f>
        <v xml:space="preserve"> </v>
      </c>
      <c r="AF9" s="50" t="str">
        <f>IF(K9=""," ",K9*Inputs!$B$39)</f>
        <v xml:space="preserve"> </v>
      </c>
      <c r="AG9" s="50" t="str">
        <f>IF(L9=""," ",L9*Inputs!$B$39)</f>
        <v xml:space="preserve"> </v>
      </c>
      <c r="AH9" s="50" t="str">
        <f>IF(M9=""," ",M9*Inputs!$B$39)</f>
        <v xml:space="preserve"> </v>
      </c>
      <c r="AI9" s="50" t="str">
        <f>IF(N9=""," ",N9*Inputs!$B$39)</f>
        <v xml:space="preserve"> </v>
      </c>
      <c r="AJ9" s="50" t="str">
        <f>IF(O9=""," ",O9*Inputs!$B$39)</f>
        <v xml:space="preserve"> </v>
      </c>
      <c r="AK9" s="50" t="str">
        <f>IF(P9=""," ",P9*Inputs!$B$39)</f>
        <v xml:space="preserve"> </v>
      </c>
      <c r="AL9" s="50" t="str">
        <f>IF(Q9=""," ",Q9*Inputs!$B$39)</f>
        <v xml:space="preserve"> </v>
      </c>
      <c r="AM9" s="50" t="str">
        <f>IF(R9=""," ",R9*Inputs!$B$39)</f>
        <v xml:space="preserve"> </v>
      </c>
      <c r="AN9" s="50" t="str">
        <f>IF(S9=""," ",S9*Inputs!$B$39)</f>
        <v xml:space="preserve"> </v>
      </c>
      <c r="AO9" s="50" t="str">
        <f>IF(T9=""," ",T9*Inputs!$B$39)</f>
        <v xml:space="preserve"> </v>
      </c>
      <c r="AP9" s="50" t="str">
        <f>IF(U9=""," ",U9*Inputs!$B$39)</f>
        <v xml:space="preserve"> </v>
      </c>
      <c r="AR9" s="589"/>
      <c r="AS9" s="555"/>
      <c r="AT9" s="51"/>
      <c r="AU9" s="27" t="s">
        <v>499</v>
      </c>
      <c r="AV9" s="50" t="str">
        <f>IF(AA9=" "," ",AA9*Inputs!$B$59)</f>
        <v xml:space="preserve"> </v>
      </c>
      <c r="AW9" s="50" t="str">
        <f>IF(AB9=" "," ",AB9*Inputs!$B$59)</f>
        <v xml:space="preserve"> </v>
      </c>
      <c r="AX9" s="50" t="str">
        <f>IF(AC9=" "," ",AC9*Inputs!$B$59)</f>
        <v xml:space="preserve"> </v>
      </c>
      <c r="AY9" s="50" t="str">
        <f>IF(AD9=" "," ",AD9*Inputs!$B$59)</f>
        <v xml:space="preserve"> </v>
      </c>
      <c r="AZ9" s="50" t="str">
        <f>IF(AE9=" "," ",AE9*Inputs!$B$59)</f>
        <v xml:space="preserve"> </v>
      </c>
      <c r="BA9" s="50" t="str">
        <f>IF(AF9=" "," ",AF9*Inputs!$B$59)</f>
        <v xml:space="preserve"> </v>
      </c>
      <c r="BB9" s="50" t="str">
        <f>IF(AG9=" "," ",AG9*Inputs!$B$59)</f>
        <v xml:space="preserve"> </v>
      </c>
      <c r="BC9" s="50" t="str">
        <f>IF(AH9=" "," ",AH9*Inputs!$B$59)</f>
        <v xml:space="preserve"> </v>
      </c>
      <c r="BD9" s="50" t="str">
        <f>IF(AI9=" "," ",AI9*Inputs!$B$59)</f>
        <v xml:space="preserve"> </v>
      </c>
      <c r="BE9" s="50" t="str">
        <f>IF(AJ9=" "," ",AJ9*Inputs!$B$59)</f>
        <v xml:space="preserve"> </v>
      </c>
      <c r="BF9" s="50" t="str">
        <f>IF(AK9=" "," ",AK9*Inputs!$B$59)</f>
        <v xml:space="preserve"> </v>
      </c>
      <c r="BG9" s="50" t="str">
        <f>IF(AL9=" "," ",AL9*Inputs!$B$59)</f>
        <v xml:space="preserve"> </v>
      </c>
      <c r="BH9" s="50" t="str">
        <f>IF(AM9=" "," ",AM9*Inputs!$B$59)</f>
        <v xml:space="preserve"> </v>
      </c>
      <c r="BI9" s="50" t="str">
        <f>IF(AN9=" "," ",AN9*Inputs!$B$59)</f>
        <v xml:space="preserve"> </v>
      </c>
      <c r="BJ9" s="50" t="str">
        <f>IF(AO9=" "," ",AO9*Inputs!$B$59)</f>
        <v xml:space="preserve"> </v>
      </c>
      <c r="BK9" s="50" t="str">
        <f>IF(AP9=" "," ",AP9*Inputs!$B$59)</f>
        <v xml:space="preserve"> </v>
      </c>
    </row>
    <row r="10" spans="1:63" x14ac:dyDescent="0.25">
      <c r="B10" s="589"/>
      <c r="C10" s="555"/>
      <c r="D10" s="589"/>
      <c r="E10" s="21"/>
      <c r="F10" s="152"/>
      <c r="G10" s="152"/>
      <c r="H10" s="152"/>
      <c r="I10" s="152"/>
      <c r="J10" s="152"/>
      <c r="K10" s="152"/>
      <c r="L10" s="152"/>
      <c r="M10" s="152"/>
      <c r="N10" s="152"/>
      <c r="O10" s="152"/>
      <c r="P10" s="152"/>
      <c r="Q10" s="152"/>
      <c r="R10" s="152"/>
      <c r="S10" s="152"/>
      <c r="T10" s="152"/>
      <c r="U10" s="152"/>
      <c r="W10" s="589"/>
      <c r="X10" s="555"/>
      <c r="Y10" s="51"/>
      <c r="Z10" s="27" t="s">
        <v>500</v>
      </c>
      <c r="AA10" s="50" t="str">
        <f>IF(F10=""," ",F10*Inputs!$B$39)</f>
        <v xml:space="preserve"> </v>
      </c>
      <c r="AB10" s="50" t="str">
        <f>IF(G10=""," ",G10*Inputs!$B$39)</f>
        <v xml:space="preserve"> </v>
      </c>
      <c r="AC10" s="50" t="str">
        <f>IF(H10=""," ",H10*Inputs!$B$39)</f>
        <v xml:space="preserve"> </v>
      </c>
      <c r="AD10" s="50" t="str">
        <f>IF(I10=""," ",I10*Inputs!$B$39)</f>
        <v xml:space="preserve"> </v>
      </c>
      <c r="AE10" s="50" t="str">
        <f>IF(J10=""," ",J10*Inputs!$B$39)</f>
        <v xml:space="preserve"> </v>
      </c>
      <c r="AF10" s="50" t="str">
        <f>IF(K10=""," ",K10*Inputs!$B$39)</f>
        <v xml:space="preserve"> </v>
      </c>
      <c r="AG10" s="50" t="str">
        <f>IF(L10=""," ",L10*Inputs!$B$39)</f>
        <v xml:space="preserve"> </v>
      </c>
      <c r="AH10" s="50" t="str">
        <f>IF(M10=""," ",M10*Inputs!$B$39)</f>
        <v xml:space="preserve"> </v>
      </c>
      <c r="AI10" s="50" t="str">
        <f>IF(N10=""," ",N10*Inputs!$B$39)</f>
        <v xml:space="preserve"> </v>
      </c>
      <c r="AJ10" s="50" t="str">
        <f>IF(O10=""," ",O10*Inputs!$B$39)</f>
        <v xml:space="preserve"> </v>
      </c>
      <c r="AK10" s="50" t="str">
        <f>IF(P10=""," ",P10*Inputs!$B$39)</f>
        <v xml:space="preserve"> </v>
      </c>
      <c r="AL10" s="50" t="str">
        <f>IF(Q10=""," ",Q10*Inputs!$B$39)</f>
        <v xml:space="preserve"> </v>
      </c>
      <c r="AM10" s="50" t="str">
        <f>IF(R10=""," ",R10*Inputs!$B$39)</f>
        <v xml:space="preserve"> </v>
      </c>
      <c r="AN10" s="50" t="str">
        <f>IF(S10=""," ",S10*Inputs!$B$39)</f>
        <v xml:space="preserve"> </v>
      </c>
      <c r="AO10" s="50" t="str">
        <f>IF(T10=""," ",T10*Inputs!$B$39)</f>
        <v xml:space="preserve"> </v>
      </c>
      <c r="AP10" s="50" t="str">
        <f>IF(U10=""," ",U10*Inputs!$B$39)</f>
        <v xml:space="preserve"> </v>
      </c>
      <c r="AR10" s="589"/>
      <c r="AS10" s="555"/>
      <c r="AT10" s="51"/>
      <c r="AU10" s="27" t="s">
        <v>500</v>
      </c>
      <c r="AV10" s="50" t="str">
        <f>IF(AA10=" "," ",AA10*Inputs!$B$59)</f>
        <v xml:space="preserve"> </v>
      </c>
      <c r="AW10" s="50" t="str">
        <f>IF(AB10=" "," ",AB10*Inputs!$B$59)</f>
        <v xml:space="preserve"> </v>
      </c>
      <c r="AX10" s="50" t="str">
        <f>IF(AC10=" "," ",AC10*Inputs!$B$59)</f>
        <v xml:space="preserve"> </v>
      </c>
      <c r="AY10" s="50" t="str">
        <f>IF(AD10=" "," ",AD10*Inputs!$B$59)</f>
        <v xml:space="preserve"> </v>
      </c>
      <c r="AZ10" s="50" t="str">
        <f>IF(AE10=" "," ",AE10*Inputs!$B$59)</f>
        <v xml:space="preserve"> </v>
      </c>
      <c r="BA10" s="50" t="str">
        <f>IF(AF10=" "," ",AF10*Inputs!$B$59)</f>
        <v xml:space="preserve"> </v>
      </c>
      <c r="BB10" s="50" t="str">
        <f>IF(AG10=" "," ",AG10*Inputs!$B$59)</f>
        <v xml:space="preserve"> </v>
      </c>
      <c r="BC10" s="50" t="str">
        <f>IF(AH10=" "," ",AH10*Inputs!$B$59)</f>
        <v xml:space="preserve"> </v>
      </c>
      <c r="BD10" s="50" t="str">
        <f>IF(AI10=" "," ",AI10*Inputs!$B$59)</f>
        <v xml:space="preserve"> </v>
      </c>
      <c r="BE10" s="50" t="str">
        <f>IF(AJ10=" "," ",AJ10*Inputs!$B$59)</f>
        <v xml:space="preserve"> </v>
      </c>
      <c r="BF10" s="50" t="str">
        <f>IF(AK10=" "," ",AK10*Inputs!$B$59)</f>
        <v xml:space="preserve"> </v>
      </c>
      <c r="BG10" s="50" t="str">
        <f>IF(AL10=" "," ",AL10*Inputs!$B$59)</f>
        <v xml:space="preserve"> </v>
      </c>
      <c r="BH10" s="50" t="str">
        <f>IF(AM10=" "," ",AM10*Inputs!$B$59)</f>
        <v xml:space="preserve"> </v>
      </c>
      <c r="BI10" s="50" t="str">
        <f>IF(AN10=" "," ",AN10*Inputs!$B$59)</f>
        <v xml:space="preserve"> </v>
      </c>
      <c r="BJ10" s="50" t="str">
        <f>IF(AO10=" "," ",AO10*Inputs!$B$59)</f>
        <v xml:space="preserve"> </v>
      </c>
      <c r="BK10" s="50" t="str">
        <f>IF(AP10=" "," ",AP10*Inputs!$B$59)</f>
        <v xml:space="preserve"> </v>
      </c>
    </row>
    <row r="11" spans="1:63" x14ac:dyDescent="0.25">
      <c r="B11" s="589"/>
      <c r="C11" s="555"/>
      <c r="D11" s="589"/>
      <c r="E11" s="21"/>
      <c r="F11" s="152"/>
      <c r="G11" s="152"/>
      <c r="H11" s="152"/>
      <c r="I11" s="152"/>
      <c r="J11" s="152"/>
      <c r="K11" s="152"/>
      <c r="L11" s="152"/>
      <c r="M11" s="152"/>
      <c r="N11" s="152"/>
      <c r="O11" s="152"/>
      <c r="P11" s="152"/>
      <c r="Q11" s="152"/>
      <c r="R11" s="152"/>
      <c r="S11" s="152"/>
      <c r="T11" s="152"/>
      <c r="U11" s="152"/>
      <c r="W11" s="589"/>
      <c r="X11" s="555"/>
      <c r="Y11" s="52"/>
      <c r="Z11" s="29" t="s">
        <v>501</v>
      </c>
      <c r="AA11" s="50" t="str">
        <f>IF(F11=""," ",F11*Inputs!$B$39)</f>
        <v xml:space="preserve"> </v>
      </c>
      <c r="AB11" s="50" t="str">
        <f>IF(G11=""," ",G11*Inputs!$B$39)</f>
        <v xml:space="preserve"> </v>
      </c>
      <c r="AC11" s="50" t="str">
        <f>IF(H11=""," ",H11*Inputs!$B$39)</f>
        <v xml:space="preserve"> </v>
      </c>
      <c r="AD11" s="50" t="str">
        <f>IF(I11=""," ",I11*Inputs!$B$39)</f>
        <v xml:space="preserve"> </v>
      </c>
      <c r="AE11" s="50" t="str">
        <f>IF(J11=""," ",J11*Inputs!$B$39)</f>
        <v xml:space="preserve"> </v>
      </c>
      <c r="AF11" s="50" t="str">
        <f>IF(K11=""," ",K11*Inputs!$B$39)</f>
        <v xml:space="preserve"> </v>
      </c>
      <c r="AG11" s="50" t="str">
        <f>IF(L11=""," ",L11*Inputs!$B$39)</f>
        <v xml:space="preserve"> </v>
      </c>
      <c r="AH11" s="50" t="str">
        <f>IF(M11=""," ",M11*Inputs!$B$39)</f>
        <v xml:space="preserve"> </v>
      </c>
      <c r="AI11" s="50" t="str">
        <f>IF(N11=""," ",N11*Inputs!$B$39)</f>
        <v xml:space="preserve"> </v>
      </c>
      <c r="AJ11" s="50" t="str">
        <f>IF(O11=""," ",O11*Inputs!$B$39)</f>
        <v xml:space="preserve"> </v>
      </c>
      <c r="AK11" s="50" t="str">
        <f>IF(P11=""," ",P11*Inputs!$B$39)</f>
        <v xml:space="preserve"> </v>
      </c>
      <c r="AL11" s="50" t="str">
        <f>IF(Q11=""," ",Q11*Inputs!$B$39)</f>
        <v xml:space="preserve"> </v>
      </c>
      <c r="AM11" s="50" t="str">
        <f>IF(R11=""," ",R11*Inputs!$B$39)</f>
        <v xml:space="preserve"> </v>
      </c>
      <c r="AN11" s="50" t="str">
        <f>IF(S11=""," ",S11*Inputs!$B$39)</f>
        <v xml:space="preserve"> </v>
      </c>
      <c r="AO11" s="50" t="str">
        <f>IF(T11=""," ",T11*Inputs!$B$39)</f>
        <v xml:space="preserve"> </v>
      </c>
      <c r="AP11" s="50" t="str">
        <f>IF(U11=""," ",U11*Inputs!$B$39)</f>
        <v xml:space="preserve"> </v>
      </c>
      <c r="AR11" s="589"/>
      <c r="AS11" s="555"/>
      <c r="AT11" s="52"/>
      <c r="AU11" s="29" t="s">
        <v>501</v>
      </c>
      <c r="AV11" s="50" t="str">
        <f>IF(AA11=" "," ",AA11*Inputs!$B$59)</f>
        <v xml:space="preserve"> </v>
      </c>
      <c r="AW11" s="50" t="str">
        <f>IF(AB11=" "," ",AB11*Inputs!$B$59)</f>
        <v xml:space="preserve"> </v>
      </c>
      <c r="AX11" s="50" t="str">
        <f>IF(AC11=" "," ",AC11*Inputs!$B$59)</f>
        <v xml:space="preserve"> </v>
      </c>
      <c r="AY11" s="50" t="str">
        <f>IF(AD11=" "," ",AD11*Inputs!$B$59)</f>
        <v xml:space="preserve"> </v>
      </c>
      <c r="AZ11" s="50" t="str">
        <f>IF(AE11=" "," ",AE11*Inputs!$B$59)</f>
        <v xml:space="preserve"> </v>
      </c>
      <c r="BA11" s="50" t="str">
        <f>IF(AF11=" "," ",AF11*Inputs!$B$59)</f>
        <v xml:space="preserve"> </v>
      </c>
      <c r="BB11" s="50" t="str">
        <f>IF(AG11=" "," ",AG11*Inputs!$B$59)</f>
        <v xml:space="preserve"> </v>
      </c>
      <c r="BC11" s="50" t="str">
        <f>IF(AH11=" "," ",AH11*Inputs!$B$59)</f>
        <v xml:space="preserve"> </v>
      </c>
      <c r="BD11" s="50" t="str">
        <f>IF(AI11=" "," ",AI11*Inputs!$B$59)</f>
        <v xml:space="preserve"> </v>
      </c>
      <c r="BE11" s="50" t="str">
        <f>IF(AJ11=" "," ",AJ11*Inputs!$B$59)</f>
        <v xml:space="preserve"> </v>
      </c>
      <c r="BF11" s="50" t="str">
        <f>IF(AK11=" "," ",AK11*Inputs!$B$59)</f>
        <v xml:space="preserve"> </v>
      </c>
      <c r="BG11" s="50" t="str">
        <f>IF(AL11=" "," ",AL11*Inputs!$B$59)</f>
        <v xml:space="preserve"> </v>
      </c>
      <c r="BH11" s="50" t="str">
        <f>IF(AM11=" "," ",AM11*Inputs!$B$59)</f>
        <v xml:space="preserve"> </v>
      </c>
      <c r="BI11" s="50" t="str">
        <f>IF(AN11=" "," ",AN11*Inputs!$B$59)</f>
        <v xml:space="preserve"> </v>
      </c>
      <c r="BJ11" s="50" t="str">
        <f>IF(AO11=" "," ",AO11*Inputs!$B$59)</f>
        <v xml:space="preserve"> </v>
      </c>
      <c r="BK11" s="50" t="str">
        <f>IF(AP11=" "," ",AP11*Inputs!$B$59)</f>
        <v xml:space="preserve"> </v>
      </c>
    </row>
    <row r="12" spans="1:63" x14ac:dyDescent="0.25">
      <c r="B12" s="630"/>
      <c r="C12" s="555"/>
      <c r="D12" s="588"/>
      <c r="E12" s="150"/>
      <c r="F12" s="151"/>
      <c r="G12" s="151"/>
      <c r="H12" s="151"/>
      <c r="I12" s="151"/>
      <c r="J12" s="151"/>
      <c r="K12" s="151"/>
      <c r="L12" s="151"/>
      <c r="M12" s="151"/>
      <c r="N12" s="151"/>
      <c r="O12" s="151"/>
      <c r="P12" s="151"/>
      <c r="Q12" s="151"/>
      <c r="R12" s="151"/>
      <c r="S12" s="151"/>
      <c r="T12" s="151"/>
      <c r="U12" s="151"/>
      <c r="W12" s="630"/>
      <c r="X12" s="555"/>
      <c r="Y12" s="50">
        <v>-0.30635383209925598</v>
      </c>
      <c r="Z12" s="24" t="s">
        <v>498</v>
      </c>
      <c r="AA12" s="50" t="str">
        <f>IF(F12=""," ",F12*Inputs!$B$39)</f>
        <v xml:space="preserve"> </v>
      </c>
      <c r="AB12" s="50" t="str">
        <f>IF(G12=""," ",G12*Inputs!$B$39)</f>
        <v xml:space="preserve"> </v>
      </c>
      <c r="AC12" s="50" t="str">
        <f>IF(H12=""," ",H12*Inputs!$B$39)</f>
        <v xml:space="preserve"> </v>
      </c>
      <c r="AD12" s="50" t="str">
        <f>IF(I12=""," ",I12*Inputs!$B$39)</f>
        <v xml:space="preserve"> </v>
      </c>
      <c r="AE12" s="50" t="str">
        <f>IF(J12=""," ",J12*Inputs!$B$39)</f>
        <v xml:space="preserve"> </v>
      </c>
      <c r="AF12" s="50" t="str">
        <f>IF(K12=""," ",K12*Inputs!$B$39)</f>
        <v xml:space="preserve"> </v>
      </c>
      <c r="AG12" s="50" t="str">
        <f>IF(L12=""," ",L12*Inputs!$B$39)</f>
        <v xml:space="preserve"> </v>
      </c>
      <c r="AH12" s="50" t="str">
        <f>IF(M12=""," ",M12*Inputs!$B$39)</f>
        <v xml:space="preserve"> </v>
      </c>
      <c r="AI12" s="50" t="str">
        <f>IF(N12=""," ",N12*Inputs!$B$39)</f>
        <v xml:space="preserve"> </v>
      </c>
      <c r="AJ12" s="50" t="str">
        <f>IF(O12=""," ",O12*Inputs!$B$39)</f>
        <v xml:space="preserve"> </v>
      </c>
      <c r="AK12" s="50" t="str">
        <f>IF(P12=""," ",P12*Inputs!$B$39)</f>
        <v xml:space="preserve"> </v>
      </c>
      <c r="AL12" s="50" t="str">
        <f>IF(Q12=""," ",Q12*Inputs!$B$39)</f>
        <v xml:space="preserve"> </v>
      </c>
      <c r="AM12" s="50" t="str">
        <f>IF(R12=""," ",R12*Inputs!$B$39)</f>
        <v xml:space="preserve"> </v>
      </c>
      <c r="AN12" s="50" t="str">
        <f>IF(S12=""," ",S12*Inputs!$B$39)</f>
        <v xml:space="preserve"> </v>
      </c>
      <c r="AO12" s="50" t="str">
        <f>IF(T12=""," ",T12*Inputs!$B$39)</f>
        <v xml:space="preserve"> </v>
      </c>
      <c r="AP12" s="50" t="str">
        <f>IF(U12=""," ",U12*Inputs!$B$39)</f>
        <v xml:space="preserve"> </v>
      </c>
      <c r="AR12" s="630"/>
      <c r="AS12" s="555"/>
      <c r="AT12" s="50">
        <v>-0.30635383209925598</v>
      </c>
      <c r="AU12" s="24" t="s">
        <v>498</v>
      </c>
      <c r="AV12" s="50" t="str">
        <f>IF(AA12=" "," ",AA12*Inputs!$B$61)</f>
        <v xml:space="preserve"> </v>
      </c>
      <c r="AW12" s="50" t="str">
        <f>IF(AB12=" "," ",AB12*Inputs!$B$61)</f>
        <v xml:space="preserve"> </v>
      </c>
      <c r="AX12" s="50" t="str">
        <f>IF(AC12=" "," ",AC12*Inputs!$B$61)</f>
        <v xml:space="preserve"> </v>
      </c>
      <c r="AY12" s="50" t="str">
        <f>IF(AD12=" "," ",AD12*Inputs!$B$61)</f>
        <v xml:space="preserve"> </v>
      </c>
      <c r="AZ12" s="50" t="str">
        <f>IF(AE12=" "," ",AE12*Inputs!$B$61)</f>
        <v xml:space="preserve"> </v>
      </c>
      <c r="BA12" s="50" t="str">
        <f>IF(AF12=" "," ",AF12*Inputs!$B$61)</f>
        <v xml:space="preserve"> </v>
      </c>
      <c r="BB12" s="50" t="str">
        <f>IF(AG12=" "," ",AG12*Inputs!$B$61)</f>
        <v xml:space="preserve"> </v>
      </c>
      <c r="BC12" s="50" t="str">
        <f>IF(AH12=" "," ",AH12*Inputs!$B$61)</f>
        <v xml:space="preserve"> </v>
      </c>
      <c r="BD12" s="50" t="str">
        <f>IF(AI12=" "," ",AI12*Inputs!$B$61)</f>
        <v xml:space="preserve"> </v>
      </c>
      <c r="BE12" s="50" t="str">
        <f>IF(AJ12=" "," ",AJ12*Inputs!$B$61)</f>
        <v xml:space="preserve"> </v>
      </c>
      <c r="BF12" s="50" t="str">
        <f>IF(AK12=" "," ",AK12*Inputs!$B$61)</f>
        <v xml:space="preserve"> </v>
      </c>
      <c r="BG12" s="50" t="str">
        <f>IF(AL12=" "," ",AL12*Inputs!$B$61)</f>
        <v xml:space="preserve"> </v>
      </c>
      <c r="BH12" s="50" t="str">
        <f>IF(AM12=" "," ",AM12*Inputs!$B$61)</f>
        <v xml:space="preserve"> </v>
      </c>
      <c r="BI12" s="50" t="str">
        <f>IF(AN12=" "," ",AN12*Inputs!$B$61)</f>
        <v xml:space="preserve"> </v>
      </c>
      <c r="BJ12" s="50" t="str">
        <f>IF(AO12=" "," ",AO12*Inputs!$B$61)</f>
        <v xml:space="preserve"> </v>
      </c>
      <c r="BK12" s="50" t="str">
        <f>IF(AP12=" "," ",AP12*Inputs!$B$61)</f>
        <v xml:space="preserve"> </v>
      </c>
    </row>
    <row r="13" spans="1:63" x14ac:dyDescent="0.25">
      <c r="B13" s="589"/>
      <c r="C13" s="555"/>
      <c r="D13" s="589"/>
      <c r="E13" s="21"/>
      <c r="F13" s="152"/>
      <c r="G13" s="152"/>
      <c r="H13" s="152"/>
      <c r="I13" s="152"/>
      <c r="J13" s="152"/>
      <c r="K13" s="152"/>
      <c r="L13" s="152"/>
      <c r="M13" s="152"/>
      <c r="N13" s="152"/>
      <c r="O13" s="152"/>
      <c r="P13" s="152"/>
      <c r="Q13" s="152"/>
      <c r="R13" s="152"/>
      <c r="S13" s="152"/>
      <c r="T13" s="152"/>
      <c r="U13" s="152"/>
      <c r="W13" s="589"/>
      <c r="X13" s="555"/>
      <c r="Y13" s="51"/>
      <c r="Z13" s="27" t="s">
        <v>499</v>
      </c>
      <c r="AA13" s="50" t="str">
        <f>IF(F13=""," ",F13*Inputs!$B$39)</f>
        <v xml:space="preserve"> </v>
      </c>
      <c r="AB13" s="50" t="str">
        <f>IF(G13=""," ",G13*Inputs!$B$39)</f>
        <v xml:space="preserve"> </v>
      </c>
      <c r="AC13" s="50" t="str">
        <f>IF(H13=""," ",H13*Inputs!$B$39)</f>
        <v xml:space="preserve"> </v>
      </c>
      <c r="AD13" s="50" t="str">
        <f>IF(I13=""," ",I13*Inputs!$B$39)</f>
        <v xml:space="preserve"> </v>
      </c>
      <c r="AE13" s="50" t="str">
        <f>IF(J13=""," ",J13*Inputs!$B$39)</f>
        <v xml:space="preserve"> </v>
      </c>
      <c r="AF13" s="50" t="str">
        <f>IF(K13=""," ",K13*Inputs!$B$39)</f>
        <v xml:space="preserve"> </v>
      </c>
      <c r="AG13" s="50" t="str">
        <f>IF(L13=""," ",L13*Inputs!$B$39)</f>
        <v xml:space="preserve"> </v>
      </c>
      <c r="AH13" s="50" t="str">
        <f>IF(M13=""," ",M13*Inputs!$B$39)</f>
        <v xml:space="preserve"> </v>
      </c>
      <c r="AI13" s="50" t="str">
        <f>IF(N13=""," ",N13*Inputs!$B$39)</f>
        <v xml:space="preserve"> </v>
      </c>
      <c r="AJ13" s="50" t="str">
        <f>IF(O13=""," ",O13*Inputs!$B$39)</f>
        <v xml:space="preserve"> </v>
      </c>
      <c r="AK13" s="50" t="str">
        <f>IF(P13=""," ",P13*Inputs!$B$39)</f>
        <v xml:space="preserve"> </v>
      </c>
      <c r="AL13" s="50" t="str">
        <f>IF(Q13=""," ",Q13*Inputs!$B$39)</f>
        <v xml:space="preserve"> </v>
      </c>
      <c r="AM13" s="50" t="str">
        <f>IF(R13=""," ",R13*Inputs!$B$39)</f>
        <v xml:space="preserve"> </v>
      </c>
      <c r="AN13" s="50" t="str">
        <f>IF(S13=""," ",S13*Inputs!$B$39)</f>
        <v xml:space="preserve"> </v>
      </c>
      <c r="AO13" s="50" t="str">
        <f>IF(T13=""," ",T13*Inputs!$B$39)</f>
        <v xml:space="preserve"> </v>
      </c>
      <c r="AP13" s="50" t="str">
        <f>IF(U13=""," ",U13*Inputs!$B$39)</f>
        <v xml:space="preserve"> </v>
      </c>
      <c r="AR13" s="589"/>
      <c r="AS13" s="555"/>
      <c r="AT13" s="51"/>
      <c r="AU13" s="27" t="s">
        <v>499</v>
      </c>
      <c r="AV13" s="50" t="str">
        <f>IF(AA13=" "," ",AA13*Inputs!$B$61)</f>
        <v xml:space="preserve"> </v>
      </c>
      <c r="AW13" s="50" t="str">
        <f>IF(AB13=" "," ",AB13*Inputs!$B$61)</f>
        <v xml:space="preserve"> </v>
      </c>
      <c r="AX13" s="50" t="str">
        <f>IF(AC13=" "," ",AC13*Inputs!$B$61)</f>
        <v xml:space="preserve"> </v>
      </c>
      <c r="AY13" s="50" t="str">
        <f>IF(AD13=" "," ",AD13*Inputs!$B$61)</f>
        <v xml:space="preserve"> </v>
      </c>
      <c r="AZ13" s="50" t="str">
        <f>IF(AE13=" "," ",AE13*Inputs!$B$61)</f>
        <v xml:space="preserve"> </v>
      </c>
      <c r="BA13" s="50" t="str">
        <f>IF(AF13=" "," ",AF13*Inputs!$B$61)</f>
        <v xml:space="preserve"> </v>
      </c>
      <c r="BB13" s="50" t="str">
        <f>IF(AG13=" "," ",AG13*Inputs!$B$61)</f>
        <v xml:space="preserve"> </v>
      </c>
      <c r="BC13" s="50" t="str">
        <f>IF(AH13=" "," ",AH13*Inputs!$B$61)</f>
        <v xml:space="preserve"> </v>
      </c>
      <c r="BD13" s="50" t="str">
        <f>IF(AI13=" "," ",AI13*Inputs!$B$61)</f>
        <v xml:space="preserve"> </v>
      </c>
      <c r="BE13" s="50" t="str">
        <f>IF(AJ13=" "," ",AJ13*Inputs!$B$61)</f>
        <v xml:space="preserve"> </v>
      </c>
      <c r="BF13" s="50" t="str">
        <f>IF(AK13=" "," ",AK13*Inputs!$B$61)</f>
        <v xml:space="preserve"> </v>
      </c>
      <c r="BG13" s="50" t="str">
        <f>IF(AL13=" "," ",AL13*Inputs!$B$61)</f>
        <v xml:space="preserve"> </v>
      </c>
      <c r="BH13" s="50" t="str">
        <f>IF(AM13=" "," ",AM13*Inputs!$B$61)</f>
        <v xml:space="preserve"> </v>
      </c>
      <c r="BI13" s="50" t="str">
        <f>IF(AN13=" "," ",AN13*Inputs!$B$61)</f>
        <v xml:space="preserve"> </v>
      </c>
      <c r="BJ13" s="50" t="str">
        <f>IF(AO13=" "," ",AO13*Inputs!$B$61)</f>
        <v xml:space="preserve"> </v>
      </c>
      <c r="BK13" s="50" t="str">
        <f>IF(AP13=" "," ",AP13*Inputs!$B$61)</f>
        <v xml:space="preserve"> </v>
      </c>
    </row>
    <row r="14" spans="1:63" x14ac:dyDescent="0.25">
      <c r="B14" s="589"/>
      <c r="C14" s="555"/>
      <c r="D14" s="589"/>
      <c r="E14" s="21"/>
      <c r="F14" s="152"/>
      <c r="G14" s="152"/>
      <c r="H14" s="152"/>
      <c r="I14" s="152"/>
      <c r="J14" s="152"/>
      <c r="K14" s="152"/>
      <c r="L14" s="152"/>
      <c r="M14" s="152"/>
      <c r="N14" s="152"/>
      <c r="O14" s="152"/>
      <c r="P14" s="152"/>
      <c r="Q14" s="152"/>
      <c r="R14" s="152"/>
      <c r="S14" s="152"/>
      <c r="T14" s="152"/>
      <c r="U14" s="152"/>
      <c r="W14" s="589"/>
      <c r="X14" s="555"/>
      <c r="Y14" s="51"/>
      <c r="Z14" s="27" t="s">
        <v>500</v>
      </c>
      <c r="AA14" s="50" t="str">
        <f>IF(F14=""," ",F14*Inputs!$B$39)</f>
        <v xml:space="preserve"> </v>
      </c>
      <c r="AB14" s="50" t="str">
        <f>IF(G14=""," ",G14*Inputs!$B$39)</f>
        <v xml:space="preserve"> </v>
      </c>
      <c r="AC14" s="50" t="str">
        <f>IF(H14=""," ",H14*Inputs!$B$39)</f>
        <v xml:space="preserve"> </v>
      </c>
      <c r="AD14" s="50" t="str">
        <f>IF(I14=""," ",I14*Inputs!$B$39)</f>
        <v xml:space="preserve"> </v>
      </c>
      <c r="AE14" s="50" t="str">
        <f>IF(J14=""," ",J14*Inputs!$B$39)</f>
        <v xml:space="preserve"> </v>
      </c>
      <c r="AF14" s="50" t="str">
        <f>IF(K14=""," ",K14*Inputs!$B$39)</f>
        <v xml:space="preserve"> </v>
      </c>
      <c r="AG14" s="50" t="str">
        <f>IF(L14=""," ",L14*Inputs!$B$39)</f>
        <v xml:space="preserve"> </v>
      </c>
      <c r="AH14" s="50" t="str">
        <f>IF(M14=""," ",M14*Inputs!$B$39)</f>
        <v xml:space="preserve"> </v>
      </c>
      <c r="AI14" s="50" t="str">
        <f>IF(N14=""," ",N14*Inputs!$B$39)</f>
        <v xml:space="preserve"> </v>
      </c>
      <c r="AJ14" s="50" t="str">
        <f>IF(O14=""," ",O14*Inputs!$B$39)</f>
        <v xml:space="preserve"> </v>
      </c>
      <c r="AK14" s="50" t="str">
        <f>IF(P14=""," ",P14*Inputs!$B$39)</f>
        <v xml:space="preserve"> </v>
      </c>
      <c r="AL14" s="50" t="str">
        <f>IF(Q14=""," ",Q14*Inputs!$B$39)</f>
        <v xml:space="preserve"> </v>
      </c>
      <c r="AM14" s="50" t="str">
        <f>IF(R14=""," ",R14*Inputs!$B$39)</f>
        <v xml:space="preserve"> </v>
      </c>
      <c r="AN14" s="50" t="str">
        <f>IF(S14=""," ",S14*Inputs!$B$39)</f>
        <v xml:space="preserve"> </v>
      </c>
      <c r="AO14" s="50" t="str">
        <f>IF(T14=""," ",T14*Inputs!$B$39)</f>
        <v xml:space="preserve"> </v>
      </c>
      <c r="AP14" s="50" t="str">
        <f>IF(U14=""," ",U14*Inputs!$B$39)</f>
        <v xml:space="preserve"> </v>
      </c>
      <c r="AR14" s="589"/>
      <c r="AS14" s="555"/>
      <c r="AT14" s="51"/>
      <c r="AU14" s="27" t="s">
        <v>500</v>
      </c>
      <c r="AV14" s="50" t="str">
        <f>IF(AA14=" "," ",AA14*Inputs!$B$61)</f>
        <v xml:space="preserve"> </v>
      </c>
      <c r="AW14" s="50" t="str">
        <f>IF(AB14=" "," ",AB14*Inputs!$B$61)</f>
        <v xml:space="preserve"> </v>
      </c>
      <c r="AX14" s="50" t="str">
        <f>IF(AC14=" "," ",AC14*Inputs!$B$61)</f>
        <v xml:space="preserve"> </v>
      </c>
      <c r="AY14" s="50" t="str">
        <f>IF(AD14=" "," ",AD14*Inputs!$B$61)</f>
        <v xml:space="preserve"> </v>
      </c>
      <c r="AZ14" s="50" t="str">
        <f>IF(AE14=" "," ",AE14*Inputs!$B$61)</f>
        <v xml:space="preserve"> </v>
      </c>
      <c r="BA14" s="50" t="str">
        <f>IF(AF14=" "," ",AF14*Inputs!$B$61)</f>
        <v xml:space="preserve"> </v>
      </c>
      <c r="BB14" s="50" t="str">
        <f>IF(AG14=" "," ",AG14*Inputs!$B$61)</f>
        <v xml:space="preserve"> </v>
      </c>
      <c r="BC14" s="50" t="str">
        <f>IF(AH14=" "," ",AH14*Inputs!$B$61)</f>
        <v xml:space="preserve"> </v>
      </c>
      <c r="BD14" s="50" t="str">
        <f>IF(AI14=" "," ",AI14*Inputs!$B$61)</f>
        <v xml:space="preserve"> </v>
      </c>
      <c r="BE14" s="50" t="str">
        <f>IF(AJ14=" "," ",AJ14*Inputs!$B$61)</f>
        <v xml:space="preserve"> </v>
      </c>
      <c r="BF14" s="50" t="str">
        <f>IF(AK14=" "," ",AK14*Inputs!$B$61)</f>
        <v xml:space="preserve"> </v>
      </c>
      <c r="BG14" s="50" t="str">
        <f>IF(AL14=" "," ",AL14*Inputs!$B$61)</f>
        <v xml:space="preserve"> </v>
      </c>
      <c r="BH14" s="50" t="str">
        <f>IF(AM14=" "," ",AM14*Inputs!$B$61)</f>
        <v xml:space="preserve"> </v>
      </c>
      <c r="BI14" s="50" t="str">
        <f>IF(AN14=" "," ",AN14*Inputs!$B$61)</f>
        <v xml:space="preserve"> </v>
      </c>
      <c r="BJ14" s="50" t="str">
        <f>IF(AO14=" "," ",AO14*Inputs!$B$61)</f>
        <v xml:space="preserve"> </v>
      </c>
      <c r="BK14" s="50" t="str">
        <f>IF(AP14=" "," ",AP14*Inputs!$B$61)</f>
        <v xml:space="preserve"> </v>
      </c>
    </row>
    <row r="15" spans="1:63" x14ac:dyDescent="0.25">
      <c r="B15" s="589"/>
      <c r="C15" s="555"/>
      <c r="D15" s="589"/>
      <c r="E15" s="21"/>
      <c r="F15" s="152"/>
      <c r="G15" s="152"/>
      <c r="H15" s="152"/>
      <c r="I15" s="152"/>
      <c r="J15" s="152"/>
      <c r="K15" s="152"/>
      <c r="L15" s="152"/>
      <c r="M15" s="152"/>
      <c r="N15" s="152"/>
      <c r="O15" s="152"/>
      <c r="P15" s="152"/>
      <c r="Q15" s="152"/>
      <c r="R15" s="152"/>
      <c r="S15" s="152"/>
      <c r="T15" s="152"/>
      <c r="U15" s="152"/>
      <c r="W15" s="589"/>
      <c r="X15" s="555"/>
      <c r="Y15" s="52"/>
      <c r="Z15" s="29" t="s">
        <v>501</v>
      </c>
      <c r="AA15" s="50" t="str">
        <f>IF(F15=""," ",F15*Inputs!$B$39)</f>
        <v xml:space="preserve"> </v>
      </c>
      <c r="AB15" s="50" t="str">
        <f>IF(G15=""," ",G15*Inputs!$B$39)</f>
        <v xml:space="preserve"> </v>
      </c>
      <c r="AC15" s="50" t="str">
        <f>IF(H15=""," ",H15*Inputs!$B$39)</f>
        <v xml:space="preserve"> </v>
      </c>
      <c r="AD15" s="50" t="str">
        <f>IF(I15=""," ",I15*Inputs!$B$39)</f>
        <v xml:space="preserve"> </v>
      </c>
      <c r="AE15" s="50" t="str">
        <f>IF(J15=""," ",J15*Inputs!$B$39)</f>
        <v xml:space="preserve"> </v>
      </c>
      <c r="AF15" s="50" t="str">
        <f>IF(K15=""," ",K15*Inputs!$B$39)</f>
        <v xml:space="preserve"> </v>
      </c>
      <c r="AG15" s="50" t="str">
        <f>IF(L15=""," ",L15*Inputs!$B$39)</f>
        <v xml:space="preserve"> </v>
      </c>
      <c r="AH15" s="50" t="str">
        <f>IF(M15=""," ",M15*Inputs!$B$39)</f>
        <v xml:space="preserve"> </v>
      </c>
      <c r="AI15" s="50" t="str">
        <f>IF(N15=""," ",N15*Inputs!$B$39)</f>
        <v xml:space="preserve"> </v>
      </c>
      <c r="AJ15" s="50" t="str">
        <f>IF(O15=""," ",O15*Inputs!$B$39)</f>
        <v xml:space="preserve"> </v>
      </c>
      <c r="AK15" s="50" t="str">
        <f>IF(P15=""," ",P15*Inputs!$B$39)</f>
        <v xml:space="preserve"> </v>
      </c>
      <c r="AL15" s="50" t="str">
        <f>IF(Q15=""," ",Q15*Inputs!$B$39)</f>
        <v xml:space="preserve"> </v>
      </c>
      <c r="AM15" s="50" t="str">
        <f>IF(R15=""," ",R15*Inputs!$B$39)</f>
        <v xml:space="preserve"> </v>
      </c>
      <c r="AN15" s="50" t="str">
        <f>IF(S15=""," ",S15*Inputs!$B$39)</f>
        <v xml:space="preserve"> </v>
      </c>
      <c r="AO15" s="50" t="str">
        <f>IF(T15=""," ",T15*Inputs!$B$39)</f>
        <v xml:space="preserve"> </v>
      </c>
      <c r="AP15" s="50" t="str">
        <f>IF(U15=""," ",U15*Inputs!$B$39)</f>
        <v xml:space="preserve"> </v>
      </c>
      <c r="AR15" s="589"/>
      <c r="AS15" s="555"/>
      <c r="AT15" s="52"/>
      <c r="AU15" s="29" t="s">
        <v>501</v>
      </c>
      <c r="AV15" s="50" t="str">
        <f>IF(AA15=" "," ",AA15*Inputs!$B$61)</f>
        <v xml:space="preserve"> </v>
      </c>
      <c r="AW15" s="50" t="str">
        <f>IF(AB15=" "," ",AB15*Inputs!$B$61)</f>
        <v xml:space="preserve"> </v>
      </c>
      <c r="AX15" s="50" t="str">
        <f>IF(AC15=" "," ",AC15*Inputs!$B$61)</f>
        <v xml:space="preserve"> </v>
      </c>
      <c r="AY15" s="50" t="str">
        <f>IF(AD15=" "," ",AD15*Inputs!$B$61)</f>
        <v xml:space="preserve"> </v>
      </c>
      <c r="AZ15" s="50" t="str">
        <f>IF(AE15=" "," ",AE15*Inputs!$B$61)</f>
        <v xml:space="preserve"> </v>
      </c>
      <c r="BA15" s="50" t="str">
        <f>IF(AF15=" "," ",AF15*Inputs!$B$61)</f>
        <v xml:space="preserve"> </v>
      </c>
      <c r="BB15" s="50" t="str">
        <f>IF(AG15=" "," ",AG15*Inputs!$B$61)</f>
        <v xml:space="preserve"> </v>
      </c>
      <c r="BC15" s="50" t="str">
        <f>IF(AH15=" "," ",AH15*Inputs!$B$61)</f>
        <v xml:space="preserve"> </v>
      </c>
      <c r="BD15" s="50" t="str">
        <f>IF(AI15=" "," ",AI15*Inputs!$B$61)</f>
        <v xml:space="preserve"> </v>
      </c>
      <c r="BE15" s="50" t="str">
        <f>IF(AJ15=" "," ",AJ15*Inputs!$B$61)</f>
        <v xml:space="preserve"> </v>
      </c>
      <c r="BF15" s="50" t="str">
        <f>IF(AK15=" "," ",AK15*Inputs!$B$61)</f>
        <v xml:space="preserve"> </v>
      </c>
      <c r="BG15" s="50" t="str">
        <f>IF(AL15=" "," ",AL15*Inputs!$B$61)</f>
        <v xml:space="preserve"> </v>
      </c>
      <c r="BH15" s="50" t="str">
        <f>IF(AM15=" "," ",AM15*Inputs!$B$61)</f>
        <v xml:space="preserve"> </v>
      </c>
      <c r="BI15" s="50" t="str">
        <f>IF(AN15=" "," ",AN15*Inputs!$B$61)</f>
        <v xml:space="preserve"> </v>
      </c>
      <c r="BJ15" s="50" t="str">
        <f>IF(AO15=" "," ",AO15*Inputs!$B$61)</f>
        <v xml:space="preserve"> </v>
      </c>
      <c r="BK15" s="50" t="str">
        <f>IF(AP15=" "," ",AP15*Inputs!$B$61)</f>
        <v xml:space="preserve"> </v>
      </c>
    </row>
    <row r="16" spans="1:63" x14ac:dyDescent="0.25">
      <c r="B16" s="626"/>
      <c r="C16" s="555"/>
      <c r="D16" s="588"/>
      <c r="E16" s="150"/>
      <c r="F16" s="151"/>
      <c r="G16" s="151"/>
      <c r="H16" s="151"/>
      <c r="I16" s="151"/>
      <c r="J16" s="151"/>
      <c r="K16" s="151"/>
      <c r="L16" s="151"/>
      <c r="M16" s="151"/>
      <c r="N16" s="151"/>
      <c r="O16" s="151"/>
      <c r="P16" s="151"/>
      <c r="Q16" s="151"/>
      <c r="R16" s="151"/>
      <c r="S16" s="151"/>
      <c r="T16" s="151"/>
      <c r="U16" s="151"/>
      <c r="W16" s="626"/>
      <c r="X16" s="555"/>
      <c r="Y16" s="50">
        <v>-0.1039814284525291</v>
      </c>
      <c r="Z16" s="24" t="s">
        <v>498</v>
      </c>
      <c r="AA16" s="50" t="str">
        <f>IF(F16=""," ",F16*Inputs!$B$39)</f>
        <v xml:space="preserve"> </v>
      </c>
      <c r="AB16" s="50" t="str">
        <f>IF(G16=""," ",G16*Inputs!$B$39)</f>
        <v xml:space="preserve"> </v>
      </c>
      <c r="AC16" s="50" t="str">
        <f>IF(H16=""," ",H16*Inputs!$B$39)</f>
        <v xml:space="preserve"> </v>
      </c>
      <c r="AD16" s="50" t="str">
        <f>IF(I16=""," ",I16*Inputs!$B$39)</f>
        <v xml:space="preserve"> </v>
      </c>
      <c r="AE16" s="50" t="str">
        <f>IF(J16=""," ",J16*Inputs!$B$39)</f>
        <v xml:space="preserve"> </v>
      </c>
      <c r="AF16" s="50" t="str">
        <f>IF(K16=""," ",K16*Inputs!$B$39)</f>
        <v xml:space="preserve"> </v>
      </c>
      <c r="AG16" s="50" t="str">
        <f>IF(L16=""," ",L16*Inputs!$B$39)</f>
        <v xml:space="preserve"> </v>
      </c>
      <c r="AH16" s="50" t="str">
        <f>IF(M16=""," ",M16*Inputs!$B$39)</f>
        <v xml:space="preserve"> </v>
      </c>
      <c r="AI16" s="50" t="str">
        <f>IF(N16=""," ",N16*Inputs!$B$39)</f>
        <v xml:space="preserve"> </v>
      </c>
      <c r="AJ16" s="50" t="str">
        <f>IF(O16=""," ",O16*Inputs!$B$39)</f>
        <v xml:space="preserve"> </v>
      </c>
      <c r="AK16" s="50" t="str">
        <f>IF(P16=""," ",P16*Inputs!$B$39)</f>
        <v xml:space="preserve"> </v>
      </c>
      <c r="AL16" s="50" t="str">
        <f>IF(Q16=""," ",Q16*Inputs!$B$39)</f>
        <v xml:space="preserve"> </v>
      </c>
      <c r="AM16" s="50" t="str">
        <f>IF(R16=""," ",R16*Inputs!$B$39)</f>
        <v xml:space="preserve"> </v>
      </c>
      <c r="AN16" s="50" t="str">
        <f>IF(S16=""," ",S16*Inputs!$B$39)</f>
        <v xml:space="preserve"> </v>
      </c>
      <c r="AO16" s="50" t="str">
        <f>IF(T16=""," ",T16*Inputs!$B$39)</f>
        <v xml:space="preserve"> </v>
      </c>
      <c r="AP16" s="50" t="str">
        <f>IF(U16=""," ",U16*Inputs!$B$39)</f>
        <v xml:space="preserve"> </v>
      </c>
      <c r="AR16" s="626"/>
      <c r="AS16" s="555"/>
      <c r="AT16" s="50">
        <v>-0.1039814284525291</v>
      </c>
      <c r="AU16" s="24" t="s">
        <v>498</v>
      </c>
      <c r="AV16" s="50" t="str">
        <f>IF(AA16=" "," ",AA16*Inputs!$B$63)</f>
        <v xml:space="preserve"> </v>
      </c>
      <c r="AW16" s="50" t="str">
        <f>IF(AB16=" "," ",AB16*Inputs!$B$63)</f>
        <v xml:space="preserve"> </v>
      </c>
      <c r="AX16" s="50" t="str">
        <f>IF(AC16=" "," ",AC16*Inputs!$B$63)</f>
        <v xml:space="preserve"> </v>
      </c>
      <c r="AY16" s="50" t="str">
        <f>IF(AD16=" "," ",AD16*Inputs!$B$63)</f>
        <v xml:space="preserve"> </v>
      </c>
      <c r="AZ16" s="50" t="str">
        <f>IF(AE16=" "," ",AE16*Inputs!$B$63)</f>
        <v xml:space="preserve"> </v>
      </c>
      <c r="BA16" s="50" t="str">
        <f>IF(AF16=" "," ",AF16*Inputs!$B$63)</f>
        <v xml:space="preserve"> </v>
      </c>
      <c r="BB16" s="50" t="str">
        <f>IF(AG16=" "," ",AG16*Inputs!$B$63)</f>
        <v xml:space="preserve"> </v>
      </c>
      <c r="BC16" s="50" t="str">
        <f>IF(AH16=" "," ",AH16*Inputs!$B$63)</f>
        <v xml:space="preserve"> </v>
      </c>
      <c r="BD16" s="50" t="str">
        <f>IF(AI16=" "," ",AI16*Inputs!$B$63)</f>
        <v xml:space="preserve"> </v>
      </c>
      <c r="BE16" s="50" t="str">
        <f>IF(AJ16=" "," ",AJ16*Inputs!$B$63)</f>
        <v xml:space="preserve"> </v>
      </c>
      <c r="BF16" s="50" t="str">
        <f>IF(AK16=" "," ",AK16*Inputs!$B$63)</f>
        <v xml:space="preserve"> </v>
      </c>
      <c r="BG16" s="50" t="str">
        <f>IF(AL16=" "," ",AL16*Inputs!$B$63)</f>
        <v xml:space="preserve"> </v>
      </c>
      <c r="BH16" s="50" t="str">
        <f>IF(AM16=" "," ",AM16*Inputs!$B$63)</f>
        <v xml:space="preserve"> </v>
      </c>
      <c r="BI16" s="50" t="str">
        <f>IF(AN16=" "," ",AN16*Inputs!$B$63)</f>
        <v xml:space="preserve"> </v>
      </c>
      <c r="BJ16" s="50" t="str">
        <f>IF(AO16=" "," ",AO16*Inputs!$B$63)</f>
        <v xml:space="preserve"> </v>
      </c>
      <c r="BK16" s="50" t="str">
        <f>IF(AP16=" "," ",AP16*Inputs!$B$63)</f>
        <v xml:space="preserve"> </v>
      </c>
    </row>
    <row r="17" spans="2:63" x14ac:dyDescent="0.25">
      <c r="B17" s="589"/>
      <c r="C17" s="555"/>
      <c r="D17" s="589"/>
      <c r="E17" s="21"/>
      <c r="F17" s="152"/>
      <c r="G17" s="152"/>
      <c r="H17" s="152"/>
      <c r="I17" s="152"/>
      <c r="J17" s="152"/>
      <c r="K17" s="152"/>
      <c r="L17" s="152"/>
      <c r="M17" s="152"/>
      <c r="N17" s="152"/>
      <c r="O17" s="152"/>
      <c r="P17" s="152"/>
      <c r="Q17" s="152"/>
      <c r="R17" s="152"/>
      <c r="S17" s="152"/>
      <c r="T17" s="152"/>
      <c r="U17" s="152"/>
      <c r="W17" s="589"/>
      <c r="X17" s="555"/>
      <c r="Y17" s="51"/>
      <c r="Z17" s="27" t="s">
        <v>499</v>
      </c>
      <c r="AA17" s="50" t="str">
        <f>IF(F17=""," ",F17*Inputs!$B$39)</f>
        <v xml:space="preserve"> </v>
      </c>
      <c r="AB17" s="50" t="str">
        <f>IF(G17=""," ",G17*Inputs!$B$39)</f>
        <v xml:space="preserve"> </v>
      </c>
      <c r="AC17" s="50" t="str">
        <f>IF(H17=""," ",H17*Inputs!$B$39)</f>
        <v xml:space="preserve"> </v>
      </c>
      <c r="AD17" s="50" t="str">
        <f>IF(I17=""," ",I17*Inputs!$B$39)</f>
        <v xml:space="preserve"> </v>
      </c>
      <c r="AE17" s="50" t="str">
        <f>IF(J17=""," ",J17*Inputs!$B$39)</f>
        <v xml:space="preserve"> </v>
      </c>
      <c r="AF17" s="50" t="str">
        <f>IF(K17=""," ",K17*Inputs!$B$39)</f>
        <v xml:space="preserve"> </v>
      </c>
      <c r="AG17" s="50" t="str">
        <f>IF(L17=""," ",L17*Inputs!$B$39)</f>
        <v xml:space="preserve"> </v>
      </c>
      <c r="AH17" s="50" t="str">
        <f>IF(M17=""," ",M17*Inputs!$B$39)</f>
        <v xml:space="preserve"> </v>
      </c>
      <c r="AI17" s="50" t="str">
        <f>IF(N17=""," ",N17*Inputs!$B$39)</f>
        <v xml:space="preserve"> </v>
      </c>
      <c r="AJ17" s="50" t="str">
        <f>IF(O17=""," ",O17*Inputs!$B$39)</f>
        <v xml:space="preserve"> </v>
      </c>
      <c r="AK17" s="50" t="str">
        <f>IF(P17=""," ",P17*Inputs!$B$39)</f>
        <v xml:space="preserve"> </v>
      </c>
      <c r="AL17" s="50" t="str">
        <f>IF(Q17=""," ",Q17*Inputs!$B$39)</f>
        <v xml:space="preserve"> </v>
      </c>
      <c r="AM17" s="50" t="str">
        <f>IF(R17=""," ",R17*Inputs!$B$39)</f>
        <v xml:space="preserve"> </v>
      </c>
      <c r="AN17" s="50" t="str">
        <f>IF(S17=""," ",S17*Inputs!$B$39)</f>
        <v xml:space="preserve"> </v>
      </c>
      <c r="AO17" s="50" t="str">
        <f>IF(T17=""," ",T17*Inputs!$B$39)</f>
        <v xml:space="preserve"> </v>
      </c>
      <c r="AP17" s="50" t="str">
        <f>IF(U17=""," ",U17*Inputs!$B$39)</f>
        <v xml:space="preserve"> </v>
      </c>
      <c r="AR17" s="589"/>
      <c r="AS17" s="555"/>
      <c r="AT17" s="51"/>
      <c r="AU17" s="27" t="s">
        <v>499</v>
      </c>
      <c r="AV17" s="50" t="str">
        <f>IF(AA17=" "," ",AA17*Inputs!$B$63)</f>
        <v xml:space="preserve"> </v>
      </c>
      <c r="AW17" s="50" t="str">
        <f>IF(AB17=" "," ",AB17*Inputs!$B$63)</f>
        <v xml:space="preserve"> </v>
      </c>
      <c r="AX17" s="50" t="str">
        <f>IF(AC17=" "," ",AC17*Inputs!$B$63)</f>
        <v xml:space="preserve"> </v>
      </c>
      <c r="AY17" s="50" t="str">
        <f>IF(AD17=" "," ",AD17*Inputs!$B$63)</f>
        <v xml:space="preserve"> </v>
      </c>
      <c r="AZ17" s="50" t="str">
        <f>IF(AE17=" "," ",AE17*Inputs!$B$63)</f>
        <v xml:space="preserve"> </v>
      </c>
      <c r="BA17" s="50" t="str">
        <f>IF(AF17=" "," ",AF17*Inputs!$B$63)</f>
        <v xml:space="preserve"> </v>
      </c>
      <c r="BB17" s="50" t="str">
        <f>IF(AG17=" "," ",AG17*Inputs!$B$63)</f>
        <v xml:space="preserve"> </v>
      </c>
      <c r="BC17" s="50" t="str">
        <f>IF(AH17=" "," ",AH17*Inputs!$B$63)</f>
        <v xml:space="preserve"> </v>
      </c>
      <c r="BD17" s="50" t="str">
        <f>IF(AI17=" "," ",AI17*Inputs!$B$63)</f>
        <v xml:space="preserve"> </v>
      </c>
      <c r="BE17" s="50" t="str">
        <f>IF(AJ17=" "," ",AJ17*Inputs!$B$63)</f>
        <v xml:space="preserve"> </v>
      </c>
      <c r="BF17" s="50" t="str">
        <f>IF(AK17=" "," ",AK17*Inputs!$B$63)</f>
        <v xml:space="preserve"> </v>
      </c>
      <c r="BG17" s="50" t="str">
        <f>IF(AL17=" "," ",AL17*Inputs!$B$63)</f>
        <v xml:space="preserve"> </v>
      </c>
      <c r="BH17" s="50" t="str">
        <f>IF(AM17=" "," ",AM17*Inputs!$B$63)</f>
        <v xml:space="preserve"> </v>
      </c>
      <c r="BI17" s="50" t="str">
        <f>IF(AN17=" "," ",AN17*Inputs!$B$63)</f>
        <v xml:space="preserve"> </v>
      </c>
      <c r="BJ17" s="50" t="str">
        <f>IF(AO17=" "," ",AO17*Inputs!$B$63)</f>
        <v xml:space="preserve"> </v>
      </c>
      <c r="BK17" s="50" t="str">
        <f>IF(AP17=" "," ",AP17*Inputs!$B$63)</f>
        <v xml:space="preserve"> </v>
      </c>
    </row>
    <row r="18" spans="2:63" x14ac:dyDescent="0.25">
      <c r="B18" s="589"/>
      <c r="C18" s="555"/>
      <c r="D18" s="589"/>
      <c r="E18" s="21"/>
      <c r="F18" s="152"/>
      <c r="G18" s="152"/>
      <c r="H18" s="152"/>
      <c r="I18" s="152"/>
      <c r="J18" s="152"/>
      <c r="K18" s="152"/>
      <c r="L18" s="152"/>
      <c r="M18" s="152"/>
      <c r="N18" s="152"/>
      <c r="O18" s="152"/>
      <c r="P18" s="152"/>
      <c r="Q18" s="152"/>
      <c r="R18" s="152"/>
      <c r="S18" s="152"/>
      <c r="T18" s="152"/>
      <c r="U18" s="152"/>
      <c r="W18" s="589"/>
      <c r="X18" s="555"/>
      <c r="Y18" s="51"/>
      <c r="Z18" s="27" t="s">
        <v>500</v>
      </c>
      <c r="AA18" s="50" t="str">
        <f>IF(F18=""," ",F18*Inputs!$B$39)</f>
        <v xml:space="preserve"> </v>
      </c>
      <c r="AB18" s="50" t="str">
        <f>IF(G18=""," ",G18*Inputs!$B$39)</f>
        <v xml:space="preserve"> </v>
      </c>
      <c r="AC18" s="50" t="str">
        <f>IF(H18=""," ",H18*Inputs!$B$39)</f>
        <v xml:space="preserve"> </v>
      </c>
      <c r="AD18" s="50" t="str">
        <f>IF(I18=""," ",I18*Inputs!$B$39)</f>
        <v xml:space="preserve"> </v>
      </c>
      <c r="AE18" s="50" t="str">
        <f>IF(J18=""," ",J18*Inputs!$B$39)</f>
        <v xml:space="preserve"> </v>
      </c>
      <c r="AF18" s="50" t="str">
        <f>IF(K18=""," ",K18*Inputs!$B$39)</f>
        <v xml:space="preserve"> </v>
      </c>
      <c r="AG18" s="50" t="str">
        <f>IF(L18=""," ",L18*Inputs!$B$39)</f>
        <v xml:space="preserve"> </v>
      </c>
      <c r="AH18" s="50" t="str">
        <f>IF(M18=""," ",M18*Inputs!$B$39)</f>
        <v xml:space="preserve"> </v>
      </c>
      <c r="AI18" s="50" t="str">
        <f>IF(N18=""," ",N18*Inputs!$B$39)</f>
        <v xml:space="preserve"> </v>
      </c>
      <c r="AJ18" s="50" t="str">
        <f>IF(O18=""," ",O18*Inputs!$B$39)</f>
        <v xml:space="preserve"> </v>
      </c>
      <c r="AK18" s="50" t="str">
        <f>IF(P18=""," ",P18*Inputs!$B$39)</f>
        <v xml:space="preserve"> </v>
      </c>
      <c r="AL18" s="50" t="str">
        <f>IF(Q18=""," ",Q18*Inputs!$B$39)</f>
        <v xml:space="preserve"> </v>
      </c>
      <c r="AM18" s="50" t="str">
        <f>IF(R18=""," ",R18*Inputs!$B$39)</f>
        <v xml:space="preserve"> </v>
      </c>
      <c r="AN18" s="50" t="str">
        <f>IF(S18=""," ",S18*Inputs!$B$39)</f>
        <v xml:space="preserve"> </v>
      </c>
      <c r="AO18" s="50" t="str">
        <f>IF(T18=""," ",T18*Inputs!$B$39)</f>
        <v xml:space="preserve"> </v>
      </c>
      <c r="AP18" s="50" t="str">
        <f>IF(U18=""," ",U18*Inputs!$B$39)</f>
        <v xml:space="preserve"> </v>
      </c>
      <c r="AR18" s="589"/>
      <c r="AS18" s="555"/>
      <c r="AT18" s="51"/>
      <c r="AU18" s="27" t="s">
        <v>500</v>
      </c>
      <c r="AV18" s="50" t="str">
        <f>IF(AA18=" "," ",AA18*Inputs!$B$63)</f>
        <v xml:space="preserve"> </v>
      </c>
      <c r="AW18" s="50" t="str">
        <f>IF(AB18=" "," ",AB18*Inputs!$B$63)</f>
        <v xml:space="preserve"> </v>
      </c>
      <c r="AX18" s="50" t="str">
        <f>IF(AC18=" "," ",AC18*Inputs!$B$63)</f>
        <v xml:space="preserve"> </v>
      </c>
      <c r="AY18" s="50" t="str">
        <f>IF(AD18=" "," ",AD18*Inputs!$B$63)</f>
        <v xml:space="preserve"> </v>
      </c>
      <c r="AZ18" s="50" t="str">
        <f>IF(AE18=" "," ",AE18*Inputs!$B$63)</f>
        <v xml:space="preserve"> </v>
      </c>
      <c r="BA18" s="50" t="str">
        <f>IF(AF18=" "," ",AF18*Inputs!$B$63)</f>
        <v xml:space="preserve"> </v>
      </c>
      <c r="BB18" s="50" t="str">
        <f>IF(AG18=" "," ",AG18*Inputs!$B$63)</f>
        <v xml:space="preserve"> </v>
      </c>
      <c r="BC18" s="50" t="str">
        <f>IF(AH18=" "," ",AH18*Inputs!$B$63)</f>
        <v xml:space="preserve"> </v>
      </c>
      <c r="BD18" s="50" t="str">
        <f>IF(AI18=" "," ",AI18*Inputs!$B$63)</f>
        <v xml:space="preserve"> </v>
      </c>
      <c r="BE18" s="50" t="str">
        <f>IF(AJ18=" "," ",AJ18*Inputs!$B$63)</f>
        <v xml:space="preserve"> </v>
      </c>
      <c r="BF18" s="50" t="str">
        <f>IF(AK18=" "," ",AK18*Inputs!$B$63)</f>
        <v xml:space="preserve"> </v>
      </c>
      <c r="BG18" s="50" t="str">
        <f>IF(AL18=" "," ",AL18*Inputs!$B$63)</f>
        <v xml:space="preserve"> </v>
      </c>
      <c r="BH18" s="50" t="str">
        <f>IF(AM18=" "," ",AM18*Inputs!$B$63)</f>
        <v xml:space="preserve"> </v>
      </c>
      <c r="BI18" s="50" t="str">
        <f>IF(AN18=" "," ",AN18*Inputs!$B$63)</f>
        <v xml:space="preserve"> </v>
      </c>
      <c r="BJ18" s="50" t="str">
        <f>IF(AO18=" "," ",AO18*Inputs!$B$63)</f>
        <v xml:space="preserve"> </v>
      </c>
      <c r="BK18" s="50" t="str">
        <f>IF(AP18=" "," ",AP18*Inputs!$B$63)</f>
        <v xml:space="preserve"> </v>
      </c>
    </row>
    <row r="19" spans="2:63" x14ac:dyDescent="0.25">
      <c r="B19" s="589"/>
      <c r="C19" s="555"/>
      <c r="D19" s="589"/>
      <c r="E19" s="21"/>
      <c r="F19" s="152"/>
      <c r="G19" s="152"/>
      <c r="H19" s="152"/>
      <c r="I19" s="152"/>
      <c r="J19" s="152"/>
      <c r="K19" s="152"/>
      <c r="L19" s="152"/>
      <c r="M19" s="152"/>
      <c r="N19" s="152"/>
      <c r="O19" s="152"/>
      <c r="P19" s="152"/>
      <c r="Q19" s="152"/>
      <c r="R19" s="152"/>
      <c r="S19" s="152"/>
      <c r="T19" s="152"/>
      <c r="U19" s="152"/>
      <c r="W19" s="589"/>
      <c r="X19" s="555"/>
      <c r="Y19" s="52"/>
      <c r="Z19" s="29" t="s">
        <v>501</v>
      </c>
      <c r="AA19" s="50" t="str">
        <f>IF(F19=""," ",F19*Inputs!$B$39)</f>
        <v xml:space="preserve"> </v>
      </c>
      <c r="AB19" s="50" t="str">
        <f>IF(G19=""," ",G19*Inputs!$B$39)</f>
        <v xml:space="preserve"> </v>
      </c>
      <c r="AC19" s="50" t="str">
        <f>IF(H19=""," ",H19*Inputs!$B$39)</f>
        <v xml:space="preserve"> </v>
      </c>
      <c r="AD19" s="50" t="str">
        <f>IF(I19=""," ",I19*Inputs!$B$39)</f>
        <v xml:space="preserve"> </v>
      </c>
      <c r="AE19" s="50" t="str">
        <f>IF(J19=""," ",J19*Inputs!$B$39)</f>
        <v xml:space="preserve"> </v>
      </c>
      <c r="AF19" s="50" t="str">
        <f>IF(K19=""," ",K19*Inputs!$B$39)</f>
        <v xml:space="preserve"> </v>
      </c>
      <c r="AG19" s="50" t="str">
        <f>IF(L19=""," ",L19*Inputs!$B$39)</f>
        <v xml:space="preserve"> </v>
      </c>
      <c r="AH19" s="50" t="str">
        <f>IF(M19=""," ",M19*Inputs!$B$39)</f>
        <v xml:space="preserve"> </v>
      </c>
      <c r="AI19" s="50" t="str">
        <f>IF(N19=""," ",N19*Inputs!$B$39)</f>
        <v xml:space="preserve"> </v>
      </c>
      <c r="AJ19" s="50" t="str">
        <f>IF(O19=""," ",O19*Inputs!$B$39)</f>
        <v xml:space="preserve"> </v>
      </c>
      <c r="AK19" s="50" t="str">
        <f>IF(P19=""," ",P19*Inputs!$B$39)</f>
        <v xml:space="preserve"> </v>
      </c>
      <c r="AL19" s="50" t="str">
        <f>IF(Q19=""," ",Q19*Inputs!$B$39)</f>
        <v xml:space="preserve"> </v>
      </c>
      <c r="AM19" s="50" t="str">
        <f>IF(R19=""," ",R19*Inputs!$B$39)</f>
        <v xml:space="preserve"> </v>
      </c>
      <c r="AN19" s="50" t="str">
        <f>IF(S19=""," ",S19*Inputs!$B$39)</f>
        <v xml:space="preserve"> </v>
      </c>
      <c r="AO19" s="50" t="str">
        <f>IF(T19=""," ",T19*Inputs!$B$39)</f>
        <v xml:space="preserve"> </v>
      </c>
      <c r="AP19" s="50" t="str">
        <f>IF(U19=""," ",U19*Inputs!$B$39)</f>
        <v xml:space="preserve"> </v>
      </c>
      <c r="AR19" s="589"/>
      <c r="AS19" s="555"/>
      <c r="AT19" s="52"/>
      <c r="AU19" s="29" t="s">
        <v>501</v>
      </c>
      <c r="AV19" s="50" t="str">
        <f>IF(AA19=" "," ",AA19*Inputs!$B$63)</f>
        <v xml:space="preserve"> </v>
      </c>
      <c r="AW19" s="50" t="str">
        <f>IF(AB19=" "," ",AB19*Inputs!$B$63)</f>
        <v xml:space="preserve"> </v>
      </c>
      <c r="AX19" s="50" t="str">
        <f>IF(AC19=" "," ",AC19*Inputs!$B$63)</f>
        <v xml:space="preserve"> </v>
      </c>
      <c r="AY19" s="50" t="str">
        <f>IF(AD19=" "," ",AD19*Inputs!$B$63)</f>
        <v xml:space="preserve"> </v>
      </c>
      <c r="AZ19" s="50" t="str">
        <f>IF(AE19=" "," ",AE19*Inputs!$B$63)</f>
        <v xml:space="preserve"> </v>
      </c>
      <c r="BA19" s="50" t="str">
        <f>IF(AF19=" "," ",AF19*Inputs!$B$63)</f>
        <v xml:space="preserve"> </v>
      </c>
      <c r="BB19" s="50" t="str">
        <f>IF(AG19=" "," ",AG19*Inputs!$B$63)</f>
        <v xml:space="preserve"> </v>
      </c>
      <c r="BC19" s="50" t="str">
        <f>IF(AH19=" "," ",AH19*Inputs!$B$63)</f>
        <v xml:space="preserve"> </v>
      </c>
      <c r="BD19" s="50" t="str">
        <f>IF(AI19=" "," ",AI19*Inputs!$B$63)</f>
        <v xml:space="preserve"> </v>
      </c>
      <c r="BE19" s="50" t="str">
        <f>IF(AJ19=" "," ",AJ19*Inputs!$B$63)</f>
        <v xml:space="preserve"> </v>
      </c>
      <c r="BF19" s="50" t="str">
        <f>IF(AK19=" "," ",AK19*Inputs!$B$63)</f>
        <v xml:space="preserve"> </v>
      </c>
      <c r="BG19" s="50" t="str">
        <f>IF(AL19=" "," ",AL19*Inputs!$B$63)</f>
        <v xml:space="preserve"> </v>
      </c>
      <c r="BH19" s="50" t="str">
        <f>IF(AM19=" "," ",AM19*Inputs!$B$63)</f>
        <v xml:space="preserve"> </v>
      </c>
      <c r="BI19" s="50" t="str">
        <f>IF(AN19=" "," ",AN19*Inputs!$B$63)</f>
        <v xml:space="preserve"> </v>
      </c>
      <c r="BJ19" s="50" t="str">
        <f>IF(AO19=" "," ",AO19*Inputs!$B$63)</f>
        <v xml:space="preserve"> </v>
      </c>
      <c r="BK19" s="50" t="str">
        <f>IF(AP19=" "," ",AP19*Inputs!$B$63)</f>
        <v xml:space="preserve"> </v>
      </c>
    </row>
    <row r="20" spans="2:63" x14ac:dyDescent="0.25">
      <c r="B20" s="620"/>
      <c r="C20" s="555"/>
      <c r="D20" s="595"/>
      <c r="E20" s="150"/>
      <c r="F20" s="151"/>
      <c r="G20" s="151"/>
      <c r="H20" s="151"/>
      <c r="I20" s="151"/>
      <c r="J20" s="151"/>
      <c r="K20" s="151"/>
      <c r="L20" s="151"/>
      <c r="M20" s="151"/>
      <c r="N20" s="151"/>
      <c r="O20" s="151"/>
      <c r="P20" s="151"/>
      <c r="Q20" s="151"/>
      <c r="R20" s="151"/>
      <c r="S20" s="151"/>
      <c r="T20" s="151"/>
      <c r="U20" s="151"/>
      <c r="W20" s="620"/>
      <c r="X20" s="555"/>
      <c r="Y20" s="50">
        <v>-0.16845209414775281</v>
      </c>
      <c r="Z20" s="24" t="s">
        <v>498</v>
      </c>
      <c r="AA20" s="50" t="str">
        <f>IF(F20=""," ",F20*Inputs!$B$39)</f>
        <v xml:space="preserve"> </v>
      </c>
      <c r="AB20" s="50" t="str">
        <f>IF(G20=""," ",G20*Inputs!$B$39)</f>
        <v xml:space="preserve"> </v>
      </c>
      <c r="AC20" s="50" t="str">
        <f>IF(H20=""," ",H20*Inputs!$B$39)</f>
        <v xml:space="preserve"> </v>
      </c>
      <c r="AD20" s="50" t="str">
        <f>IF(I20=""," ",I20*Inputs!$B$39)</f>
        <v xml:space="preserve"> </v>
      </c>
      <c r="AE20" s="50" t="str">
        <f>IF(J20=""," ",J20*Inputs!$B$39)</f>
        <v xml:space="preserve"> </v>
      </c>
      <c r="AF20" s="50" t="str">
        <f>IF(K20=""," ",K20*Inputs!$B$39)</f>
        <v xml:space="preserve"> </v>
      </c>
      <c r="AG20" s="50" t="str">
        <f>IF(L20=""," ",L20*Inputs!$B$39)</f>
        <v xml:space="preserve"> </v>
      </c>
      <c r="AH20" s="50" t="str">
        <f>IF(M20=""," ",M20*Inputs!$B$39)</f>
        <v xml:space="preserve"> </v>
      </c>
      <c r="AI20" s="50" t="str">
        <f>IF(N20=""," ",N20*Inputs!$B$39)</f>
        <v xml:space="preserve"> </v>
      </c>
      <c r="AJ20" s="50" t="str">
        <f>IF(O20=""," ",O20*Inputs!$B$39)</f>
        <v xml:space="preserve"> </v>
      </c>
      <c r="AK20" s="50" t="str">
        <f>IF(P20=""," ",P20*Inputs!$B$39)</f>
        <v xml:space="preserve"> </v>
      </c>
      <c r="AL20" s="50" t="str">
        <f>IF(Q20=""," ",Q20*Inputs!$B$39)</f>
        <v xml:space="preserve"> </v>
      </c>
      <c r="AM20" s="50" t="str">
        <f>IF(R20=""," ",R20*Inputs!$B$39)</f>
        <v xml:space="preserve"> </v>
      </c>
      <c r="AN20" s="50" t="str">
        <f>IF(S20=""," ",S20*Inputs!$B$39)</f>
        <v xml:space="preserve"> </v>
      </c>
      <c r="AO20" s="50" t="str">
        <f>IF(T20=""," ",T20*Inputs!$B$39)</f>
        <v xml:space="preserve"> </v>
      </c>
      <c r="AP20" s="50" t="str">
        <f>IF(U20=""," ",U20*Inputs!$B$39)</f>
        <v xml:space="preserve"> </v>
      </c>
      <c r="AR20" s="620"/>
      <c r="AS20" s="555"/>
      <c r="AT20" s="50">
        <v>-0.16845209414775281</v>
      </c>
      <c r="AU20" s="24" t="s">
        <v>498</v>
      </c>
      <c r="AV20" s="50" t="str">
        <f>IF(AA20=" "," ",AA20*Inputs!$B$65)</f>
        <v xml:space="preserve"> </v>
      </c>
      <c r="AW20" s="50" t="str">
        <f>IF(AB20=" "," ",AB20*Inputs!$B$65)</f>
        <v xml:space="preserve"> </v>
      </c>
      <c r="AX20" s="50" t="str">
        <f>IF(AC20=" "," ",AC20*Inputs!$B$65)</f>
        <v xml:space="preserve"> </v>
      </c>
      <c r="AY20" s="50" t="str">
        <f>IF(AD20=" "," ",AD20*Inputs!$B$65)</f>
        <v xml:space="preserve"> </v>
      </c>
      <c r="AZ20" s="50" t="str">
        <f>IF(AE20=" "," ",AE20*Inputs!$B$65)</f>
        <v xml:space="preserve"> </v>
      </c>
      <c r="BA20" s="50" t="str">
        <f>IF(AF20=" "," ",AF20*Inputs!$B$65)</f>
        <v xml:space="preserve"> </v>
      </c>
      <c r="BB20" s="50" t="str">
        <f>IF(AG20=" "," ",AG20*Inputs!$B$65)</f>
        <v xml:space="preserve"> </v>
      </c>
      <c r="BC20" s="50" t="str">
        <f>IF(AH20=" "," ",AH20*Inputs!$B$65)</f>
        <v xml:space="preserve"> </v>
      </c>
      <c r="BD20" s="50" t="str">
        <f>IF(AI20=" "," ",AI20*Inputs!$B$65)</f>
        <v xml:space="preserve"> </v>
      </c>
      <c r="BE20" s="50" t="str">
        <f>IF(AJ20=" "," ",AJ20*Inputs!$B$65)</f>
        <v xml:space="preserve"> </v>
      </c>
      <c r="BF20" s="50" t="str">
        <f>IF(AK20=" "," ",AK20*Inputs!$B$65)</f>
        <v xml:space="preserve"> </v>
      </c>
      <c r="BG20" s="50" t="str">
        <f>IF(AL20=" "," ",AL20*Inputs!$B$65)</f>
        <v xml:space="preserve"> </v>
      </c>
      <c r="BH20" s="50" t="str">
        <f>IF(AM20=" "," ",AM20*Inputs!$B$65)</f>
        <v xml:space="preserve"> </v>
      </c>
      <c r="BI20" s="50" t="str">
        <f>IF(AN20=" "," ",AN20*Inputs!$B$65)</f>
        <v xml:space="preserve"> </v>
      </c>
      <c r="BJ20" s="50" t="str">
        <f>IF(AO20=" "," ",AO20*Inputs!$B$65)</f>
        <v xml:space="preserve"> </v>
      </c>
      <c r="BK20" s="50" t="str">
        <f>IF(AP20=" "," ",AP20*Inputs!$B$65)</f>
        <v xml:space="preserve"> </v>
      </c>
    </row>
    <row r="21" spans="2:63" x14ac:dyDescent="0.25">
      <c r="B21" s="589"/>
      <c r="C21" s="555"/>
      <c r="D21" s="589"/>
      <c r="E21" s="21"/>
      <c r="F21" s="152"/>
      <c r="G21" s="152"/>
      <c r="H21" s="152"/>
      <c r="I21" s="152"/>
      <c r="J21" s="152"/>
      <c r="K21" s="152"/>
      <c r="L21" s="152"/>
      <c r="M21" s="152"/>
      <c r="N21" s="152"/>
      <c r="O21" s="152"/>
      <c r="P21" s="152"/>
      <c r="Q21" s="152"/>
      <c r="R21" s="152"/>
      <c r="S21" s="152"/>
      <c r="T21" s="152"/>
      <c r="U21" s="152"/>
      <c r="W21" s="589"/>
      <c r="X21" s="555"/>
      <c r="Y21" s="51"/>
      <c r="Z21" s="27" t="s">
        <v>499</v>
      </c>
      <c r="AA21" s="50" t="str">
        <f>IF(F21=""," ",F21*Inputs!$B$39)</f>
        <v xml:space="preserve"> </v>
      </c>
      <c r="AB21" s="50" t="str">
        <f>IF(G21=""," ",G21*Inputs!$B$39)</f>
        <v xml:space="preserve"> </v>
      </c>
      <c r="AC21" s="50" t="str">
        <f>IF(H21=""," ",H21*Inputs!$B$39)</f>
        <v xml:space="preserve"> </v>
      </c>
      <c r="AD21" s="50" t="str">
        <f>IF(I21=""," ",I21*Inputs!$B$39)</f>
        <v xml:space="preserve"> </v>
      </c>
      <c r="AE21" s="50" t="str">
        <f>IF(J21=""," ",J21*Inputs!$B$39)</f>
        <v xml:space="preserve"> </v>
      </c>
      <c r="AF21" s="50" t="str">
        <f>IF(K21=""," ",K21*Inputs!$B$39)</f>
        <v xml:space="preserve"> </v>
      </c>
      <c r="AG21" s="50" t="str">
        <f>IF(L21=""," ",L21*Inputs!$B$39)</f>
        <v xml:space="preserve"> </v>
      </c>
      <c r="AH21" s="50" t="str">
        <f>IF(M21=""," ",M21*Inputs!$B$39)</f>
        <v xml:space="preserve"> </v>
      </c>
      <c r="AI21" s="50" t="str">
        <f>IF(N21=""," ",N21*Inputs!$B$39)</f>
        <v xml:space="preserve"> </v>
      </c>
      <c r="AJ21" s="50" t="str">
        <f>IF(O21=""," ",O21*Inputs!$B$39)</f>
        <v xml:space="preserve"> </v>
      </c>
      <c r="AK21" s="50" t="str">
        <f>IF(P21=""," ",P21*Inputs!$B$39)</f>
        <v xml:space="preserve"> </v>
      </c>
      <c r="AL21" s="50" t="str">
        <f>IF(Q21=""," ",Q21*Inputs!$B$39)</f>
        <v xml:space="preserve"> </v>
      </c>
      <c r="AM21" s="50" t="str">
        <f>IF(R21=""," ",R21*Inputs!$B$39)</f>
        <v xml:space="preserve"> </v>
      </c>
      <c r="AN21" s="50" t="str">
        <f>IF(S21=""," ",S21*Inputs!$B$39)</f>
        <v xml:space="preserve"> </v>
      </c>
      <c r="AO21" s="50" t="str">
        <f>IF(T21=""," ",T21*Inputs!$B$39)</f>
        <v xml:space="preserve"> </v>
      </c>
      <c r="AP21" s="50" t="str">
        <f>IF(U21=""," ",U21*Inputs!$B$39)</f>
        <v xml:space="preserve"> </v>
      </c>
      <c r="AR21" s="589"/>
      <c r="AS21" s="555"/>
      <c r="AT21" s="51"/>
      <c r="AU21" s="27" t="s">
        <v>499</v>
      </c>
      <c r="AV21" s="50" t="str">
        <f>IF(AA21=" "," ",AA21*Inputs!$B$65)</f>
        <v xml:space="preserve"> </v>
      </c>
      <c r="AW21" s="50" t="str">
        <f>IF(AB21=" "," ",AB21*Inputs!$B$65)</f>
        <v xml:space="preserve"> </v>
      </c>
      <c r="AX21" s="50" t="str">
        <f>IF(AC21=" "," ",AC21*Inputs!$B$65)</f>
        <v xml:space="preserve"> </v>
      </c>
      <c r="AY21" s="50" t="str">
        <f>IF(AD21=" "," ",AD21*Inputs!$B$65)</f>
        <v xml:space="preserve"> </v>
      </c>
      <c r="AZ21" s="50" t="str">
        <f>IF(AE21=" "," ",AE21*Inputs!$B$65)</f>
        <v xml:space="preserve"> </v>
      </c>
      <c r="BA21" s="50" t="str">
        <f>IF(AF21=" "," ",AF21*Inputs!$B$65)</f>
        <v xml:space="preserve"> </v>
      </c>
      <c r="BB21" s="50" t="str">
        <f>IF(AG21=" "," ",AG21*Inputs!$B$65)</f>
        <v xml:space="preserve"> </v>
      </c>
      <c r="BC21" s="50" t="str">
        <f>IF(AH21=" "," ",AH21*Inputs!$B$65)</f>
        <v xml:space="preserve"> </v>
      </c>
      <c r="BD21" s="50" t="str">
        <f>IF(AI21=" "," ",AI21*Inputs!$B$65)</f>
        <v xml:space="preserve"> </v>
      </c>
      <c r="BE21" s="50" t="str">
        <f>IF(AJ21=" "," ",AJ21*Inputs!$B$65)</f>
        <v xml:space="preserve"> </v>
      </c>
      <c r="BF21" s="50" t="str">
        <f>IF(AK21=" "," ",AK21*Inputs!$B$65)</f>
        <v xml:space="preserve"> </v>
      </c>
      <c r="BG21" s="50" t="str">
        <f>IF(AL21=" "," ",AL21*Inputs!$B$65)</f>
        <v xml:space="preserve"> </v>
      </c>
      <c r="BH21" s="50" t="str">
        <f>IF(AM21=" "," ",AM21*Inputs!$B$65)</f>
        <v xml:space="preserve"> </v>
      </c>
      <c r="BI21" s="50" t="str">
        <f>IF(AN21=" "," ",AN21*Inputs!$B$65)</f>
        <v xml:space="preserve"> </v>
      </c>
      <c r="BJ21" s="50" t="str">
        <f>IF(AO21=" "," ",AO21*Inputs!$B$65)</f>
        <v xml:space="preserve"> </v>
      </c>
      <c r="BK21" s="50" t="str">
        <f>IF(AP21=" "," ",AP21*Inputs!$B$65)</f>
        <v xml:space="preserve"> </v>
      </c>
    </row>
    <row r="22" spans="2:63" x14ac:dyDescent="0.25">
      <c r="B22" s="589"/>
      <c r="C22" s="555"/>
      <c r="D22" s="589"/>
      <c r="E22" s="21"/>
      <c r="F22" s="152"/>
      <c r="G22" s="152"/>
      <c r="H22" s="152"/>
      <c r="I22" s="152"/>
      <c r="J22" s="152"/>
      <c r="K22" s="152"/>
      <c r="L22" s="152"/>
      <c r="M22" s="152"/>
      <c r="N22" s="152"/>
      <c r="O22" s="152"/>
      <c r="P22" s="152"/>
      <c r="Q22" s="152"/>
      <c r="R22" s="152"/>
      <c r="S22" s="152"/>
      <c r="T22" s="152"/>
      <c r="U22" s="152"/>
      <c r="W22" s="589"/>
      <c r="X22" s="555"/>
      <c r="Y22" s="51"/>
      <c r="Z22" s="27" t="s">
        <v>500</v>
      </c>
      <c r="AA22" s="50" t="str">
        <f>IF(F22=""," ",F22*Inputs!$B$39)</f>
        <v xml:space="preserve"> </v>
      </c>
      <c r="AB22" s="50" t="str">
        <f>IF(G22=""," ",G22*Inputs!$B$39)</f>
        <v xml:space="preserve"> </v>
      </c>
      <c r="AC22" s="50" t="str">
        <f>IF(H22=""," ",H22*Inputs!$B$39)</f>
        <v xml:space="preserve"> </v>
      </c>
      <c r="AD22" s="50" t="str">
        <f>IF(I22=""," ",I22*Inputs!$B$39)</f>
        <v xml:space="preserve"> </v>
      </c>
      <c r="AE22" s="50" t="str">
        <f>IF(J22=""," ",J22*Inputs!$B$39)</f>
        <v xml:space="preserve"> </v>
      </c>
      <c r="AF22" s="50" t="str">
        <f>IF(K22=""," ",K22*Inputs!$B$39)</f>
        <v xml:space="preserve"> </v>
      </c>
      <c r="AG22" s="50" t="str">
        <f>IF(L22=""," ",L22*Inputs!$B$39)</f>
        <v xml:space="preserve"> </v>
      </c>
      <c r="AH22" s="50" t="str">
        <f>IF(M22=""," ",M22*Inputs!$B$39)</f>
        <v xml:space="preserve"> </v>
      </c>
      <c r="AI22" s="50" t="str">
        <f>IF(N22=""," ",N22*Inputs!$B$39)</f>
        <v xml:space="preserve"> </v>
      </c>
      <c r="AJ22" s="50" t="str">
        <f>IF(O22=""," ",O22*Inputs!$B$39)</f>
        <v xml:space="preserve"> </v>
      </c>
      <c r="AK22" s="50" t="str">
        <f>IF(P22=""," ",P22*Inputs!$B$39)</f>
        <v xml:space="preserve"> </v>
      </c>
      <c r="AL22" s="50" t="str">
        <f>IF(Q22=""," ",Q22*Inputs!$B$39)</f>
        <v xml:space="preserve"> </v>
      </c>
      <c r="AM22" s="50" t="str">
        <f>IF(R22=""," ",R22*Inputs!$B$39)</f>
        <v xml:space="preserve"> </v>
      </c>
      <c r="AN22" s="50" t="str">
        <f>IF(S22=""," ",S22*Inputs!$B$39)</f>
        <v xml:space="preserve"> </v>
      </c>
      <c r="AO22" s="50" t="str">
        <f>IF(T22=""," ",T22*Inputs!$B$39)</f>
        <v xml:space="preserve"> </v>
      </c>
      <c r="AP22" s="50" t="str">
        <f>IF(U22=""," ",U22*Inputs!$B$39)</f>
        <v xml:space="preserve"> </v>
      </c>
      <c r="AR22" s="589"/>
      <c r="AS22" s="555"/>
      <c r="AT22" s="51"/>
      <c r="AU22" s="27" t="s">
        <v>500</v>
      </c>
      <c r="AV22" s="50" t="str">
        <f>IF(AA22=" "," ",AA22*Inputs!$B$65)</f>
        <v xml:space="preserve"> </v>
      </c>
      <c r="AW22" s="50" t="str">
        <f>IF(AB22=" "," ",AB22*Inputs!$B$65)</f>
        <v xml:space="preserve"> </v>
      </c>
      <c r="AX22" s="50" t="str">
        <f>IF(AC22=" "," ",AC22*Inputs!$B$65)</f>
        <v xml:space="preserve"> </v>
      </c>
      <c r="AY22" s="50" t="str">
        <f>IF(AD22=" "," ",AD22*Inputs!$B$65)</f>
        <v xml:space="preserve"> </v>
      </c>
      <c r="AZ22" s="50" t="str">
        <f>IF(AE22=" "," ",AE22*Inputs!$B$65)</f>
        <v xml:space="preserve"> </v>
      </c>
      <c r="BA22" s="50" t="str">
        <f>IF(AF22=" "," ",AF22*Inputs!$B$65)</f>
        <v xml:space="preserve"> </v>
      </c>
      <c r="BB22" s="50" t="str">
        <f>IF(AG22=" "," ",AG22*Inputs!$B$65)</f>
        <v xml:space="preserve"> </v>
      </c>
      <c r="BC22" s="50" t="str">
        <f>IF(AH22=" "," ",AH22*Inputs!$B$65)</f>
        <v xml:space="preserve"> </v>
      </c>
      <c r="BD22" s="50" t="str">
        <f>IF(AI22=" "," ",AI22*Inputs!$B$65)</f>
        <v xml:space="preserve"> </v>
      </c>
      <c r="BE22" s="50" t="str">
        <f>IF(AJ22=" "," ",AJ22*Inputs!$B$65)</f>
        <v xml:space="preserve"> </v>
      </c>
      <c r="BF22" s="50" t="str">
        <f>IF(AK22=" "," ",AK22*Inputs!$B$65)</f>
        <v xml:space="preserve"> </v>
      </c>
      <c r="BG22" s="50" t="str">
        <f>IF(AL22=" "," ",AL22*Inputs!$B$65)</f>
        <v xml:space="preserve"> </v>
      </c>
      <c r="BH22" s="50" t="str">
        <f>IF(AM22=" "," ",AM22*Inputs!$B$65)</f>
        <v xml:space="preserve"> </v>
      </c>
      <c r="BI22" s="50" t="str">
        <f>IF(AN22=" "," ",AN22*Inputs!$B$65)</f>
        <v xml:space="preserve"> </v>
      </c>
      <c r="BJ22" s="50" t="str">
        <f>IF(AO22=" "," ",AO22*Inputs!$B$65)</f>
        <v xml:space="preserve"> </v>
      </c>
      <c r="BK22" s="50" t="str">
        <f>IF(AP22=" "," ",AP22*Inputs!$B$65)</f>
        <v xml:space="preserve"> </v>
      </c>
    </row>
    <row r="23" spans="2:63" x14ac:dyDescent="0.25">
      <c r="B23" s="591"/>
      <c r="C23" s="555"/>
      <c r="D23" s="591"/>
      <c r="E23" s="21"/>
      <c r="F23" s="152"/>
      <c r="G23" s="152"/>
      <c r="H23" s="152"/>
      <c r="I23" s="152"/>
      <c r="J23" s="152"/>
      <c r="K23" s="152"/>
      <c r="L23" s="152"/>
      <c r="M23" s="152"/>
      <c r="N23" s="152"/>
      <c r="O23" s="152"/>
      <c r="P23" s="152"/>
      <c r="Q23" s="152"/>
      <c r="R23" s="152"/>
      <c r="S23" s="152"/>
      <c r="T23" s="152"/>
      <c r="U23" s="152"/>
      <c r="W23" s="591"/>
      <c r="X23" s="555"/>
      <c r="Y23" s="52"/>
      <c r="Z23" s="29" t="s">
        <v>501</v>
      </c>
      <c r="AA23" s="50" t="str">
        <f>IF(F23=""," ",F23*Inputs!$B$39)</f>
        <v xml:space="preserve"> </v>
      </c>
      <c r="AB23" s="50" t="str">
        <f>IF(G23=""," ",G23*Inputs!$B$39)</f>
        <v xml:space="preserve"> </v>
      </c>
      <c r="AC23" s="50" t="str">
        <f>IF(H23=""," ",H23*Inputs!$B$39)</f>
        <v xml:space="preserve"> </v>
      </c>
      <c r="AD23" s="50" t="str">
        <f>IF(I23=""," ",I23*Inputs!$B$39)</f>
        <v xml:space="preserve"> </v>
      </c>
      <c r="AE23" s="50" t="str">
        <f>IF(J23=""," ",J23*Inputs!$B$39)</f>
        <v xml:space="preserve"> </v>
      </c>
      <c r="AF23" s="50" t="str">
        <f>IF(K23=""," ",K23*Inputs!$B$39)</f>
        <v xml:space="preserve"> </v>
      </c>
      <c r="AG23" s="50" t="str">
        <f>IF(L23=""," ",L23*Inputs!$B$39)</f>
        <v xml:space="preserve"> </v>
      </c>
      <c r="AH23" s="50" t="str">
        <f>IF(M23=""," ",M23*Inputs!$B$39)</f>
        <v xml:space="preserve"> </v>
      </c>
      <c r="AI23" s="50" t="str">
        <f>IF(N23=""," ",N23*Inputs!$B$39)</f>
        <v xml:space="preserve"> </v>
      </c>
      <c r="AJ23" s="50" t="str">
        <f>IF(O23=""," ",O23*Inputs!$B$39)</f>
        <v xml:space="preserve"> </v>
      </c>
      <c r="AK23" s="50" t="str">
        <f>IF(P23=""," ",P23*Inputs!$B$39)</f>
        <v xml:space="preserve"> </v>
      </c>
      <c r="AL23" s="50" t="str">
        <f>IF(Q23=""," ",Q23*Inputs!$B$39)</f>
        <v xml:space="preserve"> </v>
      </c>
      <c r="AM23" s="50" t="str">
        <f>IF(R23=""," ",R23*Inputs!$B$39)</f>
        <v xml:space="preserve"> </v>
      </c>
      <c r="AN23" s="50" t="str">
        <f>IF(S23=""," ",S23*Inputs!$B$39)</f>
        <v xml:space="preserve"> </v>
      </c>
      <c r="AO23" s="50" t="str">
        <f>IF(T23=""," ",T23*Inputs!$B$39)</f>
        <v xml:space="preserve"> </v>
      </c>
      <c r="AP23" s="50" t="str">
        <f>IF(U23=""," ",U23*Inputs!$B$39)</f>
        <v xml:space="preserve"> </v>
      </c>
      <c r="AR23" s="591"/>
      <c r="AS23" s="555"/>
      <c r="AT23" s="52"/>
      <c r="AU23" s="29" t="s">
        <v>501</v>
      </c>
      <c r="AV23" s="50" t="str">
        <f>IF(AA23=" "," ",AA23*Inputs!$B$65)</f>
        <v xml:space="preserve"> </v>
      </c>
      <c r="AW23" s="50" t="str">
        <f>IF(AB23=" "," ",AB23*Inputs!$B$65)</f>
        <v xml:space="preserve"> </v>
      </c>
      <c r="AX23" s="50" t="str">
        <f>IF(AC23=" "," ",AC23*Inputs!$B$65)</f>
        <v xml:space="preserve"> </v>
      </c>
      <c r="AY23" s="50" t="str">
        <f>IF(AD23=" "," ",AD23*Inputs!$B$65)</f>
        <v xml:space="preserve"> </v>
      </c>
      <c r="AZ23" s="50" t="str">
        <f>IF(AE23=" "," ",AE23*Inputs!$B$65)</f>
        <v xml:space="preserve"> </v>
      </c>
      <c r="BA23" s="50" t="str">
        <f>IF(AF23=" "," ",AF23*Inputs!$B$65)</f>
        <v xml:space="preserve"> </v>
      </c>
      <c r="BB23" s="50" t="str">
        <f>IF(AG23=" "," ",AG23*Inputs!$B$65)</f>
        <v xml:space="preserve"> </v>
      </c>
      <c r="BC23" s="50" t="str">
        <f>IF(AH23=" "," ",AH23*Inputs!$B$65)</f>
        <v xml:space="preserve"> </v>
      </c>
      <c r="BD23" s="50" t="str">
        <f>IF(AI23=" "," ",AI23*Inputs!$B$65)</f>
        <v xml:space="preserve"> </v>
      </c>
      <c r="BE23" s="50" t="str">
        <f>IF(AJ23=" "," ",AJ23*Inputs!$B$65)</f>
        <v xml:space="preserve"> </v>
      </c>
      <c r="BF23" s="50" t="str">
        <f>IF(AK23=" "," ",AK23*Inputs!$B$65)</f>
        <v xml:space="preserve"> </v>
      </c>
      <c r="BG23" s="50" t="str">
        <f>IF(AL23=" "," ",AL23*Inputs!$B$65)</f>
        <v xml:space="preserve"> </v>
      </c>
      <c r="BH23" s="50" t="str">
        <f>IF(AM23=" "," ",AM23*Inputs!$B$65)</f>
        <v xml:space="preserve"> </v>
      </c>
      <c r="BI23" s="50" t="str">
        <f>IF(AN23=" "," ",AN23*Inputs!$B$65)</f>
        <v xml:space="preserve"> </v>
      </c>
      <c r="BJ23" s="50" t="str">
        <f>IF(AO23=" "," ",AO23*Inputs!$B$65)</f>
        <v xml:space="preserve"> </v>
      </c>
      <c r="BK23" s="50" t="str">
        <f>IF(AP23=" "," ",AP23*Inputs!$B$65)</f>
        <v xml:space="preserve"> </v>
      </c>
    </row>
    <row r="24" spans="2:63" ht="15" customHeight="1" x14ac:dyDescent="0.25">
      <c r="B24" s="590"/>
      <c r="C24" s="622" t="s">
        <v>7</v>
      </c>
      <c r="D24" s="595"/>
      <c r="E24" s="150"/>
      <c r="F24" s="151"/>
      <c r="G24" s="151"/>
      <c r="H24" s="151"/>
      <c r="I24" s="151"/>
      <c r="J24" s="151"/>
      <c r="K24" s="151"/>
      <c r="L24" s="151"/>
      <c r="M24" s="151"/>
      <c r="N24" s="151"/>
      <c r="O24" s="151"/>
      <c r="P24" s="151"/>
      <c r="Q24" s="151"/>
      <c r="R24" s="151"/>
      <c r="S24" s="151"/>
      <c r="T24" s="151"/>
      <c r="U24" s="151"/>
      <c r="W24" s="590"/>
      <c r="X24" s="622" t="s">
        <v>7</v>
      </c>
      <c r="Y24" s="50">
        <v>0.12424225628182441</v>
      </c>
      <c r="Z24" s="24" t="s">
        <v>498</v>
      </c>
      <c r="AA24" s="50" t="str">
        <f>IF(F24=""," ",F24*Inputs!$B$39)</f>
        <v xml:space="preserve"> </v>
      </c>
      <c r="AB24" s="50" t="str">
        <f>IF(G24=""," ",G24*Inputs!$B$39)</f>
        <v xml:space="preserve"> </v>
      </c>
      <c r="AC24" s="50" t="str">
        <f>IF(H24=""," ",H24*Inputs!$B$39)</f>
        <v xml:space="preserve"> </v>
      </c>
      <c r="AD24" s="50" t="str">
        <f>IF(I24=""," ",I24*Inputs!$B$39)</f>
        <v xml:space="preserve"> </v>
      </c>
      <c r="AE24" s="50" t="str">
        <f>IF(J24=""," ",J24*Inputs!$B$39)</f>
        <v xml:space="preserve"> </v>
      </c>
      <c r="AF24" s="50" t="str">
        <f>IF(K24=""," ",K24*Inputs!$B$39)</f>
        <v xml:space="preserve"> </v>
      </c>
      <c r="AG24" s="50" t="str">
        <f>IF(L24=""," ",L24*Inputs!$B$39)</f>
        <v xml:space="preserve"> </v>
      </c>
      <c r="AH24" s="50" t="str">
        <f>IF(M24=""," ",M24*Inputs!$B$39)</f>
        <v xml:space="preserve"> </v>
      </c>
      <c r="AI24" s="50" t="str">
        <f>IF(N24=""," ",N24*Inputs!$B$39)</f>
        <v xml:space="preserve"> </v>
      </c>
      <c r="AJ24" s="50" t="str">
        <f>IF(O24=""," ",O24*Inputs!$B$39)</f>
        <v xml:space="preserve"> </v>
      </c>
      <c r="AK24" s="50" t="str">
        <f>IF(P24=""," ",P24*Inputs!$B$39)</f>
        <v xml:space="preserve"> </v>
      </c>
      <c r="AL24" s="50" t="str">
        <f>IF(Q24=""," ",Q24*Inputs!$B$39)</f>
        <v xml:space="preserve"> </v>
      </c>
      <c r="AM24" s="50" t="str">
        <f>IF(R24=""," ",R24*Inputs!$B$39)</f>
        <v xml:space="preserve"> </v>
      </c>
      <c r="AN24" s="50" t="str">
        <f>IF(S24=""," ",S24*Inputs!$B$39)</f>
        <v xml:space="preserve"> </v>
      </c>
      <c r="AO24" s="50" t="str">
        <f>IF(T24=""," ",T24*Inputs!$B$39)</f>
        <v xml:space="preserve"> </v>
      </c>
      <c r="AP24" s="50" t="str">
        <f>IF(U24=""," ",U24*Inputs!$B$39)</f>
        <v xml:space="preserve"> </v>
      </c>
      <c r="AR24" s="590"/>
      <c r="AS24" s="622" t="s">
        <v>7</v>
      </c>
      <c r="AT24" s="50">
        <v>0.12424225628182441</v>
      </c>
      <c r="AU24" s="24" t="s">
        <v>498</v>
      </c>
      <c r="AV24" s="50" t="str">
        <f>IF(AA24=" "," ",AA24*Inputs!$B$58)</f>
        <v xml:space="preserve"> </v>
      </c>
      <c r="AW24" s="50" t="str">
        <f>IF(AB24=" "," ",AB24*Inputs!$B$58)</f>
        <v xml:space="preserve"> </v>
      </c>
      <c r="AX24" s="50" t="str">
        <f>IF(AC24=" "," ",AC24*Inputs!$B$58)</f>
        <v xml:space="preserve"> </v>
      </c>
      <c r="AY24" s="50" t="str">
        <f>IF(AD24=" "," ",AD24*Inputs!$B$58)</f>
        <v xml:space="preserve"> </v>
      </c>
      <c r="AZ24" s="50" t="str">
        <f>IF(AE24=" "," ",AE24*Inputs!$B$58)</f>
        <v xml:space="preserve"> </v>
      </c>
      <c r="BA24" s="50" t="str">
        <f>IF(AF24=" "," ",AF24*Inputs!$B$58)</f>
        <v xml:space="preserve"> </v>
      </c>
      <c r="BB24" s="50" t="str">
        <f>IF(AG24=" "," ",AG24*Inputs!$B$58)</f>
        <v xml:space="preserve"> </v>
      </c>
      <c r="BC24" s="50" t="str">
        <f>IF(AH24=" "," ",AH24*Inputs!$B$58)</f>
        <v xml:space="preserve"> </v>
      </c>
      <c r="BD24" s="50" t="str">
        <f>IF(AI24=" "," ",AI24*Inputs!$B$58)</f>
        <v xml:space="preserve"> </v>
      </c>
      <c r="BE24" s="50" t="str">
        <f>IF(AJ24=" "," ",AJ24*Inputs!$B$58)</f>
        <v xml:space="preserve"> </v>
      </c>
      <c r="BF24" s="50" t="str">
        <f>IF(AK24=" "," ",AK24*Inputs!$B$58)</f>
        <v xml:space="preserve"> </v>
      </c>
      <c r="BG24" s="50" t="str">
        <f>IF(AL24=" "," ",AL24*Inputs!$B$58)</f>
        <v xml:space="preserve"> </v>
      </c>
      <c r="BH24" s="50" t="str">
        <f>IF(AM24=" "," ",AM24*Inputs!$B$58)</f>
        <v xml:space="preserve"> </v>
      </c>
      <c r="BI24" s="50" t="str">
        <f>IF(AN24=" "," ",AN24*Inputs!$B$58)</f>
        <v xml:space="preserve"> </v>
      </c>
      <c r="BJ24" s="50" t="str">
        <f>IF(AO24=" "," ",AO24*Inputs!$B$58)</f>
        <v xml:space="preserve"> </v>
      </c>
      <c r="BK24" s="50" t="str">
        <f>IF(AP24=" "," ",AP24*Inputs!$B$58)</f>
        <v xml:space="preserve"> </v>
      </c>
    </row>
    <row r="25" spans="2:63" x14ac:dyDescent="0.25">
      <c r="B25" s="589"/>
      <c r="C25" s="555"/>
      <c r="D25" s="589"/>
      <c r="E25" s="21"/>
      <c r="F25" s="152"/>
      <c r="G25" s="152"/>
      <c r="H25" s="152"/>
      <c r="I25" s="152"/>
      <c r="J25" s="152"/>
      <c r="K25" s="152"/>
      <c r="L25" s="152"/>
      <c r="M25" s="152"/>
      <c r="N25" s="152"/>
      <c r="O25" s="152"/>
      <c r="P25" s="152"/>
      <c r="Q25" s="152"/>
      <c r="R25" s="152"/>
      <c r="S25" s="152"/>
      <c r="T25" s="152"/>
      <c r="U25" s="152"/>
      <c r="W25" s="589"/>
      <c r="X25" s="555"/>
      <c r="Y25" s="51"/>
      <c r="Z25" s="27" t="s">
        <v>499</v>
      </c>
      <c r="AA25" s="50" t="str">
        <f>IF(F25=""," ",F25*Inputs!$B$39)</f>
        <v xml:space="preserve"> </v>
      </c>
      <c r="AB25" s="50" t="str">
        <f>IF(G25=""," ",G25*Inputs!$B$39)</f>
        <v xml:space="preserve"> </v>
      </c>
      <c r="AC25" s="50" t="str">
        <f>IF(H25=""," ",H25*Inputs!$B$39)</f>
        <v xml:space="preserve"> </v>
      </c>
      <c r="AD25" s="50" t="str">
        <f>IF(I25=""," ",I25*Inputs!$B$39)</f>
        <v xml:space="preserve"> </v>
      </c>
      <c r="AE25" s="50" t="str">
        <f>IF(J25=""," ",J25*Inputs!$B$39)</f>
        <v xml:space="preserve"> </v>
      </c>
      <c r="AF25" s="50" t="str">
        <f>IF(K25=""," ",K25*Inputs!$B$39)</f>
        <v xml:space="preserve"> </v>
      </c>
      <c r="AG25" s="50" t="str">
        <f>IF(L25=""," ",L25*Inputs!$B$39)</f>
        <v xml:space="preserve"> </v>
      </c>
      <c r="AH25" s="50" t="str">
        <f>IF(M25=""," ",M25*Inputs!$B$39)</f>
        <v xml:space="preserve"> </v>
      </c>
      <c r="AI25" s="50" t="str">
        <f>IF(N25=""," ",N25*Inputs!$B$39)</f>
        <v xml:space="preserve"> </v>
      </c>
      <c r="AJ25" s="50" t="str">
        <f>IF(O25=""," ",O25*Inputs!$B$39)</f>
        <v xml:space="preserve"> </v>
      </c>
      <c r="AK25" s="50" t="str">
        <f>IF(P25=""," ",P25*Inputs!$B$39)</f>
        <v xml:space="preserve"> </v>
      </c>
      <c r="AL25" s="50" t="str">
        <f>IF(Q25=""," ",Q25*Inputs!$B$39)</f>
        <v xml:space="preserve"> </v>
      </c>
      <c r="AM25" s="50" t="str">
        <f>IF(R25=""," ",R25*Inputs!$B$39)</f>
        <v xml:space="preserve"> </v>
      </c>
      <c r="AN25" s="50" t="str">
        <f>IF(S25=""," ",S25*Inputs!$B$39)</f>
        <v xml:space="preserve"> </v>
      </c>
      <c r="AO25" s="50" t="str">
        <f>IF(T25=""," ",T25*Inputs!$B$39)</f>
        <v xml:space="preserve"> </v>
      </c>
      <c r="AP25" s="50" t="str">
        <f>IF(U25=""," ",U25*Inputs!$B$39)</f>
        <v xml:space="preserve"> </v>
      </c>
      <c r="AR25" s="589"/>
      <c r="AS25" s="555"/>
      <c r="AT25" s="51"/>
      <c r="AU25" s="27" t="s">
        <v>499</v>
      </c>
      <c r="AV25" s="50" t="str">
        <f>IF(AA25=" "," ",AA25*Inputs!$B$58)</f>
        <v xml:space="preserve"> </v>
      </c>
      <c r="AW25" s="50" t="str">
        <f>IF(AB25=" "," ",AB25*Inputs!$B$58)</f>
        <v xml:space="preserve"> </v>
      </c>
      <c r="AX25" s="50" t="str">
        <f>IF(AC25=" "," ",AC25*Inputs!$B$58)</f>
        <v xml:space="preserve"> </v>
      </c>
      <c r="AY25" s="50" t="str">
        <f>IF(AD25=" "," ",AD25*Inputs!$B$58)</f>
        <v xml:space="preserve"> </v>
      </c>
      <c r="AZ25" s="50" t="str">
        <f>IF(AE25=" "," ",AE25*Inputs!$B$58)</f>
        <v xml:space="preserve"> </v>
      </c>
      <c r="BA25" s="50" t="str">
        <f>IF(AF25=" "," ",AF25*Inputs!$B$58)</f>
        <v xml:space="preserve"> </v>
      </c>
      <c r="BB25" s="50" t="str">
        <f>IF(AG25=" "," ",AG25*Inputs!$B$58)</f>
        <v xml:space="preserve"> </v>
      </c>
      <c r="BC25" s="50" t="str">
        <f>IF(AH25=" "," ",AH25*Inputs!$B$58)</f>
        <v xml:space="preserve"> </v>
      </c>
      <c r="BD25" s="50" t="str">
        <f>IF(AI25=" "," ",AI25*Inputs!$B$58)</f>
        <v xml:space="preserve"> </v>
      </c>
      <c r="BE25" s="50" t="str">
        <f>IF(AJ25=" "," ",AJ25*Inputs!$B$58)</f>
        <v xml:space="preserve"> </v>
      </c>
      <c r="BF25" s="50" t="str">
        <f>IF(AK25=" "," ",AK25*Inputs!$B$58)</f>
        <v xml:space="preserve"> </v>
      </c>
      <c r="BG25" s="50" t="str">
        <f>IF(AL25=" "," ",AL25*Inputs!$B$58)</f>
        <v xml:space="preserve"> </v>
      </c>
      <c r="BH25" s="50" t="str">
        <f>IF(AM25=" "," ",AM25*Inputs!$B$58)</f>
        <v xml:space="preserve"> </v>
      </c>
      <c r="BI25" s="50" t="str">
        <f>IF(AN25=" "," ",AN25*Inputs!$B$58)</f>
        <v xml:space="preserve"> </v>
      </c>
      <c r="BJ25" s="50" t="str">
        <f>IF(AO25=" "," ",AO25*Inputs!$B$58)</f>
        <v xml:space="preserve"> </v>
      </c>
      <c r="BK25" s="50" t="str">
        <f>IF(AP25=" "," ",AP25*Inputs!$B$58)</f>
        <v xml:space="preserve"> </v>
      </c>
    </row>
    <row r="26" spans="2:63" x14ac:dyDescent="0.25">
      <c r="B26" s="589"/>
      <c r="C26" s="555"/>
      <c r="D26" s="589"/>
      <c r="E26" s="21"/>
      <c r="F26" s="152"/>
      <c r="G26" s="152"/>
      <c r="H26" s="152"/>
      <c r="I26" s="152"/>
      <c r="J26" s="152"/>
      <c r="K26" s="152"/>
      <c r="L26" s="152"/>
      <c r="M26" s="152"/>
      <c r="N26" s="152"/>
      <c r="O26" s="152"/>
      <c r="P26" s="152"/>
      <c r="Q26" s="152"/>
      <c r="R26" s="152"/>
      <c r="S26" s="152"/>
      <c r="T26" s="152"/>
      <c r="U26" s="152"/>
      <c r="W26" s="589"/>
      <c r="X26" s="555"/>
      <c r="Y26" s="51"/>
      <c r="Z26" s="27" t="s">
        <v>500</v>
      </c>
      <c r="AA26" s="50" t="str">
        <f>IF(F26=""," ",F26*Inputs!$B$39)</f>
        <v xml:space="preserve"> </v>
      </c>
      <c r="AB26" s="50" t="str">
        <f>IF(G26=""," ",G26*Inputs!$B$39)</f>
        <v xml:space="preserve"> </v>
      </c>
      <c r="AC26" s="50" t="str">
        <f>IF(H26=""," ",H26*Inputs!$B$39)</f>
        <v xml:space="preserve"> </v>
      </c>
      <c r="AD26" s="50" t="str">
        <f>IF(I26=""," ",I26*Inputs!$B$39)</f>
        <v xml:space="preserve"> </v>
      </c>
      <c r="AE26" s="50" t="str">
        <f>IF(J26=""," ",J26*Inputs!$B$39)</f>
        <v xml:space="preserve"> </v>
      </c>
      <c r="AF26" s="50" t="str">
        <f>IF(K26=""," ",K26*Inputs!$B$39)</f>
        <v xml:space="preserve"> </v>
      </c>
      <c r="AG26" s="50" t="str">
        <f>IF(L26=""," ",L26*Inputs!$B$39)</f>
        <v xml:space="preserve"> </v>
      </c>
      <c r="AH26" s="50" t="str">
        <f>IF(M26=""," ",M26*Inputs!$B$39)</f>
        <v xml:space="preserve"> </v>
      </c>
      <c r="AI26" s="50" t="str">
        <f>IF(N26=""," ",N26*Inputs!$B$39)</f>
        <v xml:space="preserve"> </v>
      </c>
      <c r="AJ26" s="50" t="str">
        <f>IF(O26=""," ",O26*Inputs!$B$39)</f>
        <v xml:space="preserve"> </v>
      </c>
      <c r="AK26" s="50" t="str">
        <f>IF(P26=""," ",P26*Inputs!$B$39)</f>
        <v xml:space="preserve"> </v>
      </c>
      <c r="AL26" s="50" t="str">
        <f>IF(Q26=""," ",Q26*Inputs!$B$39)</f>
        <v xml:space="preserve"> </v>
      </c>
      <c r="AM26" s="50" t="str">
        <f>IF(R26=""," ",R26*Inputs!$B$39)</f>
        <v xml:space="preserve"> </v>
      </c>
      <c r="AN26" s="50" t="str">
        <f>IF(S26=""," ",S26*Inputs!$B$39)</f>
        <v xml:space="preserve"> </v>
      </c>
      <c r="AO26" s="50" t="str">
        <f>IF(T26=""," ",T26*Inputs!$B$39)</f>
        <v xml:space="preserve"> </v>
      </c>
      <c r="AP26" s="50" t="str">
        <f>IF(U26=""," ",U26*Inputs!$B$39)</f>
        <v xml:space="preserve"> </v>
      </c>
      <c r="AR26" s="589"/>
      <c r="AS26" s="555"/>
      <c r="AT26" s="51"/>
      <c r="AU26" s="27" t="s">
        <v>500</v>
      </c>
      <c r="AV26" s="50" t="str">
        <f>IF(AA26=" "," ",AA26*Inputs!$B$58)</f>
        <v xml:space="preserve"> </v>
      </c>
      <c r="AW26" s="50" t="str">
        <f>IF(AB26=" "," ",AB26*Inputs!$B$58)</f>
        <v xml:space="preserve"> </v>
      </c>
      <c r="AX26" s="50" t="str">
        <f>IF(AC26=" "," ",AC26*Inputs!$B$58)</f>
        <v xml:space="preserve"> </v>
      </c>
      <c r="AY26" s="50" t="str">
        <f>IF(AD26=" "," ",AD26*Inputs!$B$58)</f>
        <v xml:space="preserve"> </v>
      </c>
      <c r="AZ26" s="50" t="str">
        <f>IF(AE26=" "," ",AE26*Inputs!$B$58)</f>
        <v xml:space="preserve"> </v>
      </c>
      <c r="BA26" s="50" t="str">
        <f>IF(AF26=" "," ",AF26*Inputs!$B$58)</f>
        <v xml:space="preserve"> </v>
      </c>
      <c r="BB26" s="50" t="str">
        <f>IF(AG26=" "," ",AG26*Inputs!$B$58)</f>
        <v xml:space="preserve"> </v>
      </c>
      <c r="BC26" s="50" t="str">
        <f>IF(AH26=" "," ",AH26*Inputs!$B$58)</f>
        <v xml:space="preserve"> </v>
      </c>
      <c r="BD26" s="50" t="str">
        <f>IF(AI26=" "," ",AI26*Inputs!$B$58)</f>
        <v xml:space="preserve"> </v>
      </c>
      <c r="BE26" s="50" t="str">
        <f>IF(AJ26=" "," ",AJ26*Inputs!$B$58)</f>
        <v xml:space="preserve"> </v>
      </c>
      <c r="BF26" s="50" t="str">
        <f>IF(AK26=" "," ",AK26*Inputs!$B$58)</f>
        <v xml:space="preserve"> </v>
      </c>
      <c r="BG26" s="50" t="str">
        <f>IF(AL26=" "," ",AL26*Inputs!$B$58)</f>
        <v xml:space="preserve"> </v>
      </c>
      <c r="BH26" s="50" t="str">
        <f>IF(AM26=" "," ",AM26*Inputs!$B$58)</f>
        <v xml:space="preserve"> </v>
      </c>
      <c r="BI26" s="50" t="str">
        <f>IF(AN26=" "," ",AN26*Inputs!$B$58)</f>
        <v xml:space="preserve"> </v>
      </c>
      <c r="BJ26" s="50" t="str">
        <f>IF(AO26=" "," ",AO26*Inputs!$B$58)</f>
        <v xml:space="preserve"> </v>
      </c>
      <c r="BK26" s="50" t="str">
        <f>IF(AP26=" "," ",AP26*Inputs!$B$58)</f>
        <v xml:space="preserve"> </v>
      </c>
    </row>
    <row r="27" spans="2:63" x14ac:dyDescent="0.25">
      <c r="B27" s="591"/>
      <c r="C27" s="555"/>
      <c r="D27" s="591"/>
      <c r="E27" s="149"/>
      <c r="F27" s="153"/>
      <c r="G27" s="153"/>
      <c r="H27" s="153"/>
      <c r="I27" s="153"/>
      <c r="J27" s="153"/>
      <c r="K27" s="153"/>
      <c r="L27" s="153"/>
      <c r="M27" s="153"/>
      <c r="N27" s="153"/>
      <c r="O27" s="153"/>
      <c r="P27" s="153"/>
      <c r="Q27" s="153"/>
      <c r="R27" s="153"/>
      <c r="S27" s="153"/>
      <c r="T27" s="153"/>
      <c r="U27" s="153"/>
      <c r="W27" s="591"/>
      <c r="X27" s="555"/>
      <c r="Y27" s="52"/>
      <c r="Z27" s="29" t="s">
        <v>501</v>
      </c>
      <c r="AA27" s="50" t="str">
        <f>IF(F27=""," ",F27*Inputs!$B$39)</f>
        <v xml:space="preserve"> </v>
      </c>
      <c r="AB27" s="50" t="str">
        <f>IF(G27=""," ",G27*Inputs!$B$39)</f>
        <v xml:space="preserve"> </v>
      </c>
      <c r="AC27" s="50" t="str">
        <f>IF(H27=""," ",H27*Inputs!$B$39)</f>
        <v xml:space="preserve"> </v>
      </c>
      <c r="AD27" s="50" t="str">
        <f>IF(I27=""," ",I27*Inputs!$B$39)</f>
        <v xml:space="preserve"> </v>
      </c>
      <c r="AE27" s="50" t="str">
        <f>IF(J27=""," ",J27*Inputs!$B$39)</f>
        <v xml:space="preserve"> </v>
      </c>
      <c r="AF27" s="50" t="str">
        <f>IF(K27=""," ",K27*Inputs!$B$39)</f>
        <v xml:space="preserve"> </v>
      </c>
      <c r="AG27" s="50" t="str">
        <f>IF(L27=""," ",L27*Inputs!$B$39)</f>
        <v xml:space="preserve"> </v>
      </c>
      <c r="AH27" s="50" t="str">
        <f>IF(M27=""," ",M27*Inputs!$B$39)</f>
        <v xml:space="preserve"> </v>
      </c>
      <c r="AI27" s="50" t="str">
        <f>IF(N27=""," ",N27*Inputs!$B$39)</f>
        <v xml:space="preserve"> </v>
      </c>
      <c r="AJ27" s="50" t="str">
        <f>IF(O27=""," ",O27*Inputs!$B$39)</f>
        <v xml:space="preserve"> </v>
      </c>
      <c r="AK27" s="50" t="str">
        <f>IF(P27=""," ",P27*Inputs!$B$39)</f>
        <v xml:space="preserve"> </v>
      </c>
      <c r="AL27" s="50" t="str">
        <f>IF(Q27=""," ",Q27*Inputs!$B$39)</f>
        <v xml:space="preserve"> </v>
      </c>
      <c r="AM27" s="50" t="str">
        <f>IF(R27=""," ",R27*Inputs!$B$39)</f>
        <v xml:space="preserve"> </v>
      </c>
      <c r="AN27" s="50" t="str">
        <f>IF(S27=""," ",S27*Inputs!$B$39)</f>
        <v xml:space="preserve"> </v>
      </c>
      <c r="AO27" s="50" t="str">
        <f>IF(T27=""," ",T27*Inputs!$B$39)</f>
        <v xml:space="preserve"> </v>
      </c>
      <c r="AP27" s="50" t="str">
        <f>IF(U27=""," ",U27*Inputs!$B$39)</f>
        <v xml:space="preserve"> </v>
      </c>
      <c r="AR27" s="591"/>
      <c r="AS27" s="555"/>
      <c r="AT27" s="52"/>
      <c r="AU27" s="29" t="s">
        <v>501</v>
      </c>
      <c r="AV27" s="50" t="str">
        <f>IF(AA27=" "," ",AA27*Inputs!$B$58)</f>
        <v xml:space="preserve"> </v>
      </c>
      <c r="AW27" s="50" t="str">
        <f>IF(AB27=" "," ",AB27*Inputs!$B$58)</f>
        <v xml:space="preserve"> </v>
      </c>
      <c r="AX27" s="50" t="str">
        <f>IF(AC27=" "," ",AC27*Inputs!$B$58)</f>
        <v xml:space="preserve"> </v>
      </c>
      <c r="AY27" s="50" t="str">
        <f>IF(AD27=" "," ",AD27*Inputs!$B$58)</f>
        <v xml:space="preserve"> </v>
      </c>
      <c r="AZ27" s="50" t="str">
        <f>IF(AE27=" "," ",AE27*Inputs!$B$58)</f>
        <v xml:space="preserve"> </v>
      </c>
      <c r="BA27" s="50" t="str">
        <f>IF(AF27=" "," ",AF27*Inputs!$B$58)</f>
        <v xml:space="preserve"> </v>
      </c>
      <c r="BB27" s="50" t="str">
        <f>IF(AG27=" "," ",AG27*Inputs!$B$58)</f>
        <v xml:space="preserve"> </v>
      </c>
      <c r="BC27" s="50" t="str">
        <f>IF(AH27=" "," ",AH27*Inputs!$B$58)</f>
        <v xml:space="preserve"> </v>
      </c>
      <c r="BD27" s="50" t="str">
        <f>IF(AI27=" "," ",AI27*Inputs!$B$58)</f>
        <v xml:space="preserve"> </v>
      </c>
      <c r="BE27" s="50" t="str">
        <f>IF(AJ27=" "," ",AJ27*Inputs!$B$58)</f>
        <v xml:space="preserve"> </v>
      </c>
      <c r="BF27" s="50" t="str">
        <f>IF(AK27=" "," ",AK27*Inputs!$B$58)</f>
        <v xml:space="preserve"> </v>
      </c>
      <c r="BG27" s="50" t="str">
        <f>IF(AL27=" "," ",AL27*Inputs!$B$58)</f>
        <v xml:space="preserve"> </v>
      </c>
      <c r="BH27" s="50" t="str">
        <f>IF(AM27=" "," ",AM27*Inputs!$B$58)</f>
        <v xml:space="preserve"> </v>
      </c>
      <c r="BI27" s="50" t="str">
        <f>IF(AN27=" "," ",AN27*Inputs!$B$58)</f>
        <v xml:space="preserve"> </v>
      </c>
      <c r="BJ27" s="50" t="str">
        <f>IF(AO27=" "," ",AO27*Inputs!$B$58)</f>
        <v xml:space="preserve"> </v>
      </c>
      <c r="BK27" s="50" t="str">
        <f>IF(AP27=" "," ",AP27*Inputs!$B$58)</f>
        <v xml:space="preserve"> </v>
      </c>
    </row>
    <row r="28" spans="2:63" x14ac:dyDescent="0.25">
      <c r="B28" s="593"/>
      <c r="C28" s="555"/>
      <c r="D28" s="595"/>
      <c r="E28" s="21"/>
      <c r="F28" s="152"/>
      <c r="G28" s="152"/>
      <c r="H28" s="152"/>
      <c r="I28" s="152"/>
      <c r="J28" s="152"/>
      <c r="K28" s="152"/>
      <c r="L28" s="152"/>
      <c r="M28" s="152"/>
      <c r="N28" s="152"/>
      <c r="O28" s="152"/>
      <c r="P28" s="152"/>
      <c r="Q28" s="152"/>
      <c r="R28" s="152"/>
      <c r="S28" s="152"/>
      <c r="T28" s="152"/>
      <c r="U28" s="152"/>
      <c r="W28" s="593"/>
      <c r="X28" s="555"/>
      <c r="Y28" s="50">
        <v>0.16788767307110419</v>
      </c>
      <c r="Z28" s="24" t="s">
        <v>498</v>
      </c>
      <c r="AA28" s="50" t="str">
        <f>IF(F28=""," ",F28*Inputs!$B$39)</f>
        <v xml:space="preserve"> </v>
      </c>
      <c r="AB28" s="50" t="str">
        <f>IF(G28=""," ",G28*Inputs!$B$39)</f>
        <v xml:space="preserve"> </v>
      </c>
      <c r="AC28" s="50" t="str">
        <f>IF(H28=""," ",H28*Inputs!$B$39)</f>
        <v xml:space="preserve"> </v>
      </c>
      <c r="AD28" s="50" t="str">
        <f>IF(I28=""," ",I28*Inputs!$B$39)</f>
        <v xml:space="preserve"> </v>
      </c>
      <c r="AE28" s="50" t="str">
        <f>IF(J28=""," ",J28*Inputs!$B$39)</f>
        <v xml:space="preserve"> </v>
      </c>
      <c r="AF28" s="50" t="str">
        <f>IF(K28=""," ",K28*Inputs!$B$39)</f>
        <v xml:space="preserve"> </v>
      </c>
      <c r="AG28" s="50" t="str">
        <f>IF(L28=""," ",L28*Inputs!$B$39)</f>
        <v xml:space="preserve"> </v>
      </c>
      <c r="AH28" s="50" t="str">
        <f>IF(M28=""," ",M28*Inputs!$B$39)</f>
        <v xml:space="preserve"> </v>
      </c>
      <c r="AI28" s="50" t="str">
        <f>IF(N28=""," ",N28*Inputs!$B$39)</f>
        <v xml:space="preserve"> </v>
      </c>
      <c r="AJ28" s="50" t="str">
        <f>IF(O28=""," ",O28*Inputs!$B$39)</f>
        <v xml:space="preserve"> </v>
      </c>
      <c r="AK28" s="50" t="str">
        <f>IF(P28=""," ",P28*Inputs!$B$39)</f>
        <v xml:space="preserve"> </v>
      </c>
      <c r="AL28" s="50" t="str">
        <f>IF(Q28=""," ",Q28*Inputs!$B$39)</f>
        <v xml:space="preserve"> </v>
      </c>
      <c r="AM28" s="50" t="str">
        <f>IF(R28=""," ",R28*Inputs!$B$39)</f>
        <v xml:space="preserve"> </v>
      </c>
      <c r="AN28" s="50" t="str">
        <f>IF(S28=""," ",S28*Inputs!$B$39)</f>
        <v xml:space="preserve"> </v>
      </c>
      <c r="AO28" s="50" t="str">
        <f>IF(T28=""," ",T28*Inputs!$B$39)</f>
        <v xml:space="preserve"> </v>
      </c>
      <c r="AP28" s="50" t="str">
        <f>IF(U28=""," ",U28*Inputs!$B$39)</f>
        <v xml:space="preserve"> </v>
      </c>
      <c r="AR28" s="593"/>
      <c r="AS28" s="555"/>
      <c r="AT28" s="50">
        <v>0.16788767307110419</v>
      </c>
      <c r="AU28" s="24" t="s">
        <v>498</v>
      </c>
      <c r="AV28" s="50" t="str">
        <f>IF(AA28=" "," ",AA28*Inputs!$B$60)</f>
        <v xml:space="preserve"> </v>
      </c>
      <c r="AW28" s="50" t="str">
        <f>IF(AB28=" "," ",AB28*Inputs!$B$60)</f>
        <v xml:space="preserve"> </v>
      </c>
      <c r="AX28" s="50" t="str">
        <f>IF(AC28=" "," ",AC28*Inputs!$B$60)</f>
        <v xml:space="preserve"> </v>
      </c>
      <c r="AY28" s="50" t="str">
        <f>IF(AD28=" "," ",AD28*Inputs!$B$60)</f>
        <v xml:space="preserve"> </v>
      </c>
      <c r="AZ28" s="50" t="str">
        <f>IF(AE28=" "," ",AE28*Inputs!$B$60)</f>
        <v xml:space="preserve"> </v>
      </c>
      <c r="BA28" s="50" t="str">
        <f>IF(AF28=" "," ",AF28*Inputs!$B$60)</f>
        <v xml:space="preserve"> </v>
      </c>
      <c r="BB28" s="50" t="str">
        <f>IF(AG28=" "," ",AG28*Inputs!$B$60)</f>
        <v xml:space="preserve"> </v>
      </c>
      <c r="BC28" s="50" t="str">
        <f>IF(AH28=" "," ",AH28*Inputs!$B$60)</f>
        <v xml:space="preserve"> </v>
      </c>
      <c r="BD28" s="50" t="str">
        <f>IF(AI28=" "," ",AI28*Inputs!$B$60)</f>
        <v xml:space="preserve"> </v>
      </c>
      <c r="BE28" s="50" t="str">
        <f>IF(AJ28=" "," ",AJ28*Inputs!$B$60)</f>
        <v xml:space="preserve"> </v>
      </c>
      <c r="BF28" s="50" t="str">
        <f>IF(AK28=" "," ",AK28*Inputs!$B$60)</f>
        <v xml:space="preserve"> </v>
      </c>
      <c r="BG28" s="50" t="str">
        <f>IF(AL28=" "," ",AL28*Inputs!$B$60)</f>
        <v xml:space="preserve"> </v>
      </c>
      <c r="BH28" s="50" t="str">
        <f>IF(AM28=" "," ",AM28*Inputs!$B$60)</f>
        <v xml:space="preserve"> </v>
      </c>
      <c r="BI28" s="50" t="str">
        <f>IF(AN28=" "," ",AN28*Inputs!$B$60)</f>
        <v xml:space="preserve"> </v>
      </c>
      <c r="BJ28" s="50" t="str">
        <f>IF(AO28=" "," ",AO28*Inputs!$B$60)</f>
        <v xml:space="preserve"> </v>
      </c>
      <c r="BK28" s="50" t="str">
        <f>IF(AP28=" "," ",AP28*Inputs!$B$60)</f>
        <v xml:space="preserve"> </v>
      </c>
    </row>
    <row r="29" spans="2:63" x14ac:dyDescent="0.25">
      <c r="B29" s="589"/>
      <c r="C29" s="555"/>
      <c r="D29" s="589"/>
      <c r="E29" s="21"/>
      <c r="F29" s="152"/>
      <c r="G29" s="152"/>
      <c r="H29" s="152"/>
      <c r="I29" s="152"/>
      <c r="J29" s="152"/>
      <c r="K29" s="152"/>
      <c r="L29" s="152"/>
      <c r="M29" s="152"/>
      <c r="N29" s="152"/>
      <c r="O29" s="152"/>
      <c r="P29" s="152"/>
      <c r="Q29" s="152"/>
      <c r="R29" s="152"/>
      <c r="S29" s="152"/>
      <c r="T29" s="152"/>
      <c r="U29" s="152"/>
      <c r="W29" s="589"/>
      <c r="X29" s="555"/>
      <c r="Y29" s="51"/>
      <c r="Z29" s="27" t="s">
        <v>499</v>
      </c>
      <c r="AA29" s="50" t="str">
        <f>IF(F29=""," ",F29*Inputs!$B$39)</f>
        <v xml:space="preserve"> </v>
      </c>
      <c r="AB29" s="50" t="str">
        <f>IF(G29=""," ",G29*Inputs!$B$39)</f>
        <v xml:space="preserve"> </v>
      </c>
      <c r="AC29" s="50" t="str">
        <f>IF(H29=""," ",H29*Inputs!$B$39)</f>
        <v xml:space="preserve"> </v>
      </c>
      <c r="AD29" s="50" t="str">
        <f>IF(I29=""," ",I29*Inputs!$B$39)</f>
        <v xml:space="preserve"> </v>
      </c>
      <c r="AE29" s="50" t="str">
        <f>IF(J29=""," ",J29*Inputs!$B$39)</f>
        <v xml:space="preserve"> </v>
      </c>
      <c r="AF29" s="50" t="str">
        <f>IF(K29=""," ",K29*Inputs!$B$39)</f>
        <v xml:space="preserve"> </v>
      </c>
      <c r="AG29" s="50" t="str">
        <f>IF(L29=""," ",L29*Inputs!$B$39)</f>
        <v xml:space="preserve"> </v>
      </c>
      <c r="AH29" s="50" t="str">
        <f>IF(M29=""," ",M29*Inputs!$B$39)</f>
        <v xml:space="preserve"> </v>
      </c>
      <c r="AI29" s="50" t="str">
        <f>IF(N29=""," ",N29*Inputs!$B$39)</f>
        <v xml:space="preserve"> </v>
      </c>
      <c r="AJ29" s="50" t="str">
        <f>IF(O29=""," ",O29*Inputs!$B$39)</f>
        <v xml:space="preserve"> </v>
      </c>
      <c r="AK29" s="50" t="str">
        <f>IF(P29=""," ",P29*Inputs!$B$39)</f>
        <v xml:space="preserve"> </v>
      </c>
      <c r="AL29" s="50" t="str">
        <f>IF(Q29=""," ",Q29*Inputs!$B$39)</f>
        <v xml:space="preserve"> </v>
      </c>
      <c r="AM29" s="50" t="str">
        <f>IF(R29=""," ",R29*Inputs!$B$39)</f>
        <v xml:space="preserve"> </v>
      </c>
      <c r="AN29" s="50" t="str">
        <f>IF(S29=""," ",S29*Inputs!$B$39)</f>
        <v xml:space="preserve"> </v>
      </c>
      <c r="AO29" s="50" t="str">
        <f>IF(T29=""," ",T29*Inputs!$B$39)</f>
        <v xml:space="preserve"> </v>
      </c>
      <c r="AP29" s="50" t="str">
        <f>IF(U29=""," ",U29*Inputs!$B$39)</f>
        <v xml:space="preserve"> </v>
      </c>
      <c r="AR29" s="589"/>
      <c r="AS29" s="555"/>
      <c r="AT29" s="51"/>
      <c r="AU29" s="27" t="s">
        <v>499</v>
      </c>
      <c r="AV29" s="50" t="str">
        <f>IF(AA29=" "," ",AA29*Inputs!$B$60)</f>
        <v xml:space="preserve"> </v>
      </c>
      <c r="AW29" s="50" t="str">
        <f>IF(AB29=" "," ",AB29*Inputs!$B$60)</f>
        <v xml:space="preserve"> </v>
      </c>
      <c r="AX29" s="50" t="str">
        <f>IF(AC29=" "," ",AC29*Inputs!$B$60)</f>
        <v xml:space="preserve"> </v>
      </c>
      <c r="AY29" s="50" t="str">
        <f>IF(AD29=" "," ",AD29*Inputs!$B$60)</f>
        <v xml:space="preserve"> </v>
      </c>
      <c r="AZ29" s="50" t="str">
        <f>IF(AE29=" "," ",AE29*Inputs!$B$60)</f>
        <v xml:space="preserve"> </v>
      </c>
      <c r="BA29" s="50" t="str">
        <f>IF(AF29=" "," ",AF29*Inputs!$B$60)</f>
        <v xml:space="preserve"> </v>
      </c>
      <c r="BB29" s="50" t="str">
        <f>IF(AG29=" "," ",AG29*Inputs!$B$60)</f>
        <v xml:space="preserve"> </v>
      </c>
      <c r="BC29" s="50" t="str">
        <f>IF(AH29=" "," ",AH29*Inputs!$B$60)</f>
        <v xml:space="preserve"> </v>
      </c>
      <c r="BD29" s="50" t="str">
        <f>IF(AI29=" "," ",AI29*Inputs!$B$60)</f>
        <v xml:space="preserve"> </v>
      </c>
      <c r="BE29" s="50" t="str">
        <f>IF(AJ29=" "," ",AJ29*Inputs!$B$60)</f>
        <v xml:space="preserve"> </v>
      </c>
      <c r="BF29" s="50" t="str">
        <f>IF(AK29=" "," ",AK29*Inputs!$B$60)</f>
        <v xml:space="preserve"> </v>
      </c>
      <c r="BG29" s="50" t="str">
        <f>IF(AL29=" "," ",AL29*Inputs!$B$60)</f>
        <v xml:space="preserve"> </v>
      </c>
      <c r="BH29" s="50" t="str">
        <f>IF(AM29=" "," ",AM29*Inputs!$B$60)</f>
        <v xml:space="preserve"> </v>
      </c>
      <c r="BI29" s="50" t="str">
        <f>IF(AN29=" "," ",AN29*Inputs!$B$60)</f>
        <v xml:space="preserve"> </v>
      </c>
      <c r="BJ29" s="50" t="str">
        <f>IF(AO29=" "," ",AO29*Inputs!$B$60)</f>
        <v xml:space="preserve"> </v>
      </c>
      <c r="BK29" s="50" t="str">
        <f>IF(AP29=" "," ",AP29*Inputs!$B$60)</f>
        <v xml:space="preserve"> </v>
      </c>
    </row>
    <row r="30" spans="2:63" x14ac:dyDescent="0.25">
      <c r="B30" s="589"/>
      <c r="C30" s="555"/>
      <c r="D30" s="589"/>
      <c r="E30" s="21"/>
      <c r="F30" s="152"/>
      <c r="G30" s="152"/>
      <c r="H30" s="152"/>
      <c r="I30" s="152"/>
      <c r="J30" s="152"/>
      <c r="K30" s="152"/>
      <c r="L30" s="152"/>
      <c r="M30" s="152"/>
      <c r="N30" s="152"/>
      <c r="O30" s="152"/>
      <c r="P30" s="152"/>
      <c r="Q30" s="152"/>
      <c r="R30" s="152"/>
      <c r="S30" s="152"/>
      <c r="T30" s="152"/>
      <c r="U30" s="152"/>
      <c r="W30" s="589"/>
      <c r="X30" s="555"/>
      <c r="Y30" s="51"/>
      <c r="Z30" s="27" t="s">
        <v>500</v>
      </c>
      <c r="AA30" s="50" t="str">
        <f>IF(F30=""," ",F30*Inputs!$B$39)</f>
        <v xml:space="preserve"> </v>
      </c>
      <c r="AB30" s="50" t="str">
        <f>IF(G30=""," ",G30*Inputs!$B$39)</f>
        <v xml:space="preserve"> </v>
      </c>
      <c r="AC30" s="50" t="str">
        <f>IF(H30=""," ",H30*Inputs!$B$39)</f>
        <v xml:space="preserve"> </v>
      </c>
      <c r="AD30" s="50" t="str">
        <f>IF(I30=""," ",I30*Inputs!$B$39)</f>
        <v xml:space="preserve"> </v>
      </c>
      <c r="AE30" s="50" t="str">
        <f>IF(J30=""," ",J30*Inputs!$B$39)</f>
        <v xml:space="preserve"> </v>
      </c>
      <c r="AF30" s="50" t="str">
        <f>IF(K30=""," ",K30*Inputs!$B$39)</f>
        <v xml:space="preserve"> </v>
      </c>
      <c r="AG30" s="50" t="str">
        <f>IF(L30=""," ",L30*Inputs!$B$39)</f>
        <v xml:space="preserve"> </v>
      </c>
      <c r="AH30" s="50" t="str">
        <f>IF(M30=""," ",M30*Inputs!$B$39)</f>
        <v xml:space="preserve"> </v>
      </c>
      <c r="AI30" s="50" t="str">
        <f>IF(N30=""," ",N30*Inputs!$B$39)</f>
        <v xml:space="preserve"> </v>
      </c>
      <c r="AJ30" s="50" t="str">
        <f>IF(O30=""," ",O30*Inputs!$B$39)</f>
        <v xml:space="preserve"> </v>
      </c>
      <c r="AK30" s="50" t="str">
        <f>IF(P30=""," ",P30*Inputs!$B$39)</f>
        <v xml:space="preserve"> </v>
      </c>
      <c r="AL30" s="50" t="str">
        <f>IF(Q30=""," ",Q30*Inputs!$B$39)</f>
        <v xml:space="preserve"> </v>
      </c>
      <c r="AM30" s="50" t="str">
        <f>IF(R30=""," ",R30*Inputs!$B$39)</f>
        <v xml:space="preserve"> </v>
      </c>
      <c r="AN30" s="50" t="str">
        <f>IF(S30=""," ",S30*Inputs!$B$39)</f>
        <v xml:space="preserve"> </v>
      </c>
      <c r="AO30" s="50" t="str">
        <f>IF(T30=""," ",T30*Inputs!$B$39)</f>
        <v xml:space="preserve"> </v>
      </c>
      <c r="AP30" s="50" t="str">
        <f>IF(U30=""," ",U30*Inputs!$B$39)</f>
        <v xml:space="preserve"> </v>
      </c>
      <c r="AR30" s="589"/>
      <c r="AS30" s="555"/>
      <c r="AT30" s="51"/>
      <c r="AU30" s="27" t="s">
        <v>500</v>
      </c>
      <c r="AV30" s="50" t="str">
        <f>IF(AA30=" "," ",AA30*Inputs!$B$60)</f>
        <v xml:space="preserve"> </v>
      </c>
      <c r="AW30" s="50" t="str">
        <f>IF(AB30=" "," ",AB30*Inputs!$B$60)</f>
        <v xml:space="preserve"> </v>
      </c>
      <c r="AX30" s="50" t="str">
        <f>IF(AC30=" "," ",AC30*Inputs!$B$60)</f>
        <v xml:space="preserve"> </v>
      </c>
      <c r="AY30" s="50" t="str">
        <f>IF(AD30=" "," ",AD30*Inputs!$B$60)</f>
        <v xml:space="preserve"> </v>
      </c>
      <c r="AZ30" s="50" t="str">
        <f>IF(AE30=" "," ",AE30*Inputs!$B$60)</f>
        <v xml:space="preserve"> </v>
      </c>
      <c r="BA30" s="50" t="str">
        <f>IF(AF30=" "," ",AF30*Inputs!$B$60)</f>
        <v xml:space="preserve"> </v>
      </c>
      <c r="BB30" s="50" t="str">
        <f>IF(AG30=" "," ",AG30*Inputs!$B$60)</f>
        <v xml:space="preserve"> </v>
      </c>
      <c r="BC30" s="50" t="str">
        <f>IF(AH30=" "," ",AH30*Inputs!$B$60)</f>
        <v xml:space="preserve"> </v>
      </c>
      <c r="BD30" s="50" t="str">
        <f>IF(AI30=" "," ",AI30*Inputs!$B$60)</f>
        <v xml:space="preserve"> </v>
      </c>
      <c r="BE30" s="50" t="str">
        <f>IF(AJ30=" "," ",AJ30*Inputs!$B$60)</f>
        <v xml:space="preserve"> </v>
      </c>
      <c r="BF30" s="50" t="str">
        <f>IF(AK30=" "," ",AK30*Inputs!$B$60)</f>
        <v xml:space="preserve"> </v>
      </c>
      <c r="BG30" s="50" t="str">
        <f>IF(AL30=" "," ",AL30*Inputs!$B$60)</f>
        <v xml:space="preserve"> </v>
      </c>
      <c r="BH30" s="50" t="str">
        <f>IF(AM30=" "," ",AM30*Inputs!$B$60)</f>
        <v xml:space="preserve"> </v>
      </c>
      <c r="BI30" s="50" t="str">
        <f>IF(AN30=" "," ",AN30*Inputs!$B$60)</f>
        <v xml:space="preserve"> </v>
      </c>
      <c r="BJ30" s="50" t="str">
        <f>IF(AO30=" "," ",AO30*Inputs!$B$60)</f>
        <v xml:space="preserve"> </v>
      </c>
      <c r="BK30" s="50" t="str">
        <f>IF(AP30=" "," ",AP30*Inputs!$B$60)</f>
        <v xml:space="preserve"> </v>
      </c>
    </row>
    <row r="31" spans="2:63" x14ac:dyDescent="0.25">
      <c r="B31" s="591"/>
      <c r="C31" s="555"/>
      <c r="D31" s="591"/>
      <c r="E31" s="149"/>
      <c r="F31" s="153"/>
      <c r="G31" s="153"/>
      <c r="H31" s="153"/>
      <c r="I31" s="153"/>
      <c r="J31" s="153"/>
      <c r="K31" s="153"/>
      <c r="L31" s="153"/>
      <c r="M31" s="153"/>
      <c r="N31" s="153"/>
      <c r="O31" s="153"/>
      <c r="P31" s="153"/>
      <c r="Q31" s="153"/>
      <c r="R31" s="153"/>
      <c r="S31" s="153"/>
      <c r="T31" s="153"/>
      <c r="U31" s="153"/>
      <c r="W31" s="591"/>
      <c r="X31" s="555"/>
      <c r="Y31" s="52"/>
      <c r="Z31" s="29" t="s">
        <v>501</v>
      </c>
      <c r="AA31" s="50" t="str">
        <f>IF(F31=""," ",F31*Inputs!$B$39)</f>
        <v xml:space="preserve"> </v>
      </c>
      <c r="AB31" s="50" t="str">
        <f>IF(G31=""," ",G31*Inputs!$B$39)</f>
        <v xml:space="preserve"> </v>
      </c>
      <c r="AC31" s="50" t="str">
        <f>IF(H31=""," ",H31*Inputs!$B$39)</f>
        <v xml:space="preserve"> </v>
      </c>
      <c r="AD31" s="50" t="str">
        <f>IF(I31=""," ",I31*Inputs!$B$39)</f>
        <v xml:space="preserve"> </v>
      </c>
      <c r="AE31" s="50" t="str">
        <f>IF(J31=""," ",J31*Inputs!$B$39)</f>
        <v xml:space="preserve"> </v>
      </c>
      <c r="AF31" s="50" t="str">
        <f>IF(K31=""," ",K31*Inputs!$B$39)</f>
        <v xml:space="preserve"> </v>
      </c>
      <c r="AG31" s="50" t="str">
        <f>IF(L31=""," ",L31*Inputs!$B$39)</f>
        <v xml:space="preserve"> </v>
      </c>
      <c r="AH31" s="50" t="str">
        <f>IF(M31=""," ",M31*Inputs!$B$39)</f>
        <v xml:space="preserve"> </v>
      </c>
      <c r="AI31" s="50" t="str">
        <f>IF(N31=""," ",N31*Inputs!$B$39)</f>
        <v xml:space="preserve"> </v>
      </c>
      <c r="AJ31" s="50" t="str">
        <f>IF(O31=""," ",O31*Inputs!$B$39)</f>
        <v xml:space="preserve"> </v>
      </c>
      <c r="AK31" s="50" t="str">
        <f>IF(P31=""," ",P31*Inputs!$B$39)</f>
        <v xml:space="preserve"> </v>
      </c>
      <c r="AL31" s="50" t="str">
        <f>IF(Q31=""," ",Q31*Inputs!$B$39)</f>
        <v xml:space="preserve"> </v>
      </c>
      <c r="AM31" s="50" t="str">
        <f>IF(R31=""," ",R31*Inputs!$B$39)</f>
        <v xml:space="preserve"> </v>
      </c>
      <c r="AN31" s="50" t="str">
        <f>IF(S31=""," ",S31*Inputs!$B$39)</f>
        <v xml:space="preserve"> </v>
      </c>
      <c r="AO31" s="50" t="str">
        <f>IF(T31=""," ",T31*Inputs!$B$39)</f>
        <v xml:space="preserve"> </v>
      </c>
      <c r="AP31" s="50" t="str">
        <f>IF(U31=""," ",U31*Inputs!$B$39)</f>
        <v xml:space="preserve"> </v>
      </c>
      <c r="AR31" s="591"/>
      <c r="AS31" s="555"/>
      <c r="AT31" s="52"/>
      <c r="AU31" s="29" t="s">
        <v>501</v>
      </c>
      <c r="AV31" s="50" t="str">
        <f>IF(AA31=" "," ",AA31*Inputs!$B$60)</f>
        <v xml:space="preserve"> </v>
      </c>
      <c r="AW31" s="50" t="str">
        <f>IF(AB31=" "," ",AB31*Inputs!$B$60)</f>
        <v xml:space="preserve"> </v>
      </c>
      <c r="AX31" s="50" t="str">
        <f>IF(AC31=" "," ",AC31*Inputs!$B$60)</f>
        <v xml:space="preserve"> </v>
      </c>
      <c r="AY31" s="50" t="str">
        <f>IF(AD31=" "," ",AD31*Inputs!$B$60)</f>
        <v xml:space="preserve"> </v>
      </c>
      <c r="AZ31" s="50" t="str">
        <f>IF(AE31=" "," ",AE31*Inputs!$B$60)</f>
        <v xml:space="preserve"> </v>
      </c>
      <c r="BA31" s="50" t="str">
        <f>IF(AF31=" "," ",AF31*Inputs!$B$60)</f>
        <v xml:space="preserve"> </v>
      </c>
      <c r="BB31" s="50" t="str">
        <f>IF(AG31=" "," ",AG31*Inputs!$B$60)</f>
        <v xml:space="preserve"> </v>
      </c>
      <c r="BC31" s="50" t="str">
        <f>IF(AH31=" "," ",AH31*Inputs!$B$60)</f>
        <v xml:space="preserve"> </v>
      </c>
      <c r="BD31" s="50" t="str">
        <f>IF(AI31=" "," ",AI31*Inputs!$B$60)</f>
        <v xml:space="preserve"> </v>
      </c>
      <c r="BE31" s="50" t="str">
        <f>IF(AJ31=" "," ",AJ31*Inputs!$B$60)</f>
        <v xml:space="preserve"> </v>
      </c>
      <c r="BF31" s="50" t="str">
        <f>IF(AK31=" "," ",AK31*Inputs!$B$60)</f>
        <v xml:space="preserve"> </v>
      </c>
      <c r="BG31" s="50" t="str">
        <f>IF(AL31=" "," ",AL31*Inputs!$B$60)</f>
        <v xml:space="preserve"> </v>
      </c>
      <c r="BH31" s="50" t="str">
        <f>IF(AM31=" "," ",AM31*Inputs!$B$60)</f>
        <v xml:space="preserve"> </v>
      </c>
      <c r="BI31" s="50" t="str">
        <f>IF(AN31=" "," ",AN31*Inputs!$B$60)</f>
        <v xml:space="preserve"> </v>
      </c>
      <c r="BJ31" s="50" t="str">
        <f>IF(AO31=" "," ",AO31*Inputs!$B$60)</f>
        <v xml:space="preserve"> </v>
      </c>
      <c r="BK31" s="50" t="str">
        <f>IF(AP31=" "," ",AP31*Inputs!$B$60)</f>
        <v xml:space="preserve"> </v>
      </c>
    </row>
    <row r="32" spans="2:63" x14ac:dyDescent="0.25">
      <c r="B32" s="624"/>
      <c r="C32" s="555"/>
      <c r="D32" s="595"/>
      <c r="E32" s="21"/>
      <c r="F32" s="152"/>
      <c r="G32" s="152"/>
      <c r="H32" s="152"/>
      <c r="I32" s="152"/>
      <c r="J32" s="152"/>
      <c r="K32" s="152"/>
      <c r="L32" s="152"/>
      <c r="M32" s="152"/>
      <c r="N32" s="152"/>
      <c r="O32" s="152"/>
      <c r="P32" s="152"/>
      <c r="Q32" s="152"/>
      <c r="R32" s="152"/>
      <c r="S32" s="152"/>
      <c r="T32" s="152"/>
      <c r="U32" s="152"/>
      <c r="W32" s="624"/>
      <c r="X32" s="555"/>
      <c r="Y32" s="50">
        <v>9.1918062047410862E-2</v>
      </c>
      <c r="Z32" s="24" t="s">
        <v>498</v>
      </c>
      <c r="AA32" s="50" t="str">
        <f>IF(F32=""," ",F32*Inputs!$B$39)</f>
        <v xml:space="preserve"> </v>
      </c>
      <c r="AB32" s="50" t="str">
        <f>IF(G32=""," ",G32*Inputs!$B$39)</f>
        <v xml:space="preserve"> </v>
      </c>
      <c r="AC32" s="50" t="str">
        <f>IF(H32=""," ",H32*Inputs!$B$39)</f>
        <v xml:space="preserve"> </v>
      </c>
      <c r="AD32" s="50" t="str">
        <f>IF(I32=""," ",I32*Inputs!$B$39)</f>
        <v xml:space="preserve"> </v>
      </c>
      <c r="AE32" s="50" t="str">
        <f>IF(J32=""," ",J32*Inputs!$B$39)</f>
        <v xml:space="preserve"> </v>
      </c>
      <c r="AF32" s="50" t="str">
        <f>IF(K32=""," ",K32*Inputs!$B$39)</f>
        <v xml:space="preserve"> </v>
      </c>
      <c r="AG32" s="50" t="str">
        <f>IF(L32=""," ",L32*Inputs!$B$39)</f>
        <v xml:space="preserve"> </v>
      </c>
      <c r="AH32" s="50" t="str">
        <f>IF(M32=""," ",M32*Inputs!$B$39)</f>
        <v xml:space="preserve"> </v>
      </c>
      <c r="AI32" s="50" t="str">
        <f>IF(N32=""," ",N32*Inputs!$B$39)</f>
        <v xml:space="preserve"> </v>
      </c>
      <c r="AJ32" s="50" t="str">
        <f>IF(O32=""," ",O32*Inputs!$B$39)</f>
        <v xml:space="preserve"> </v>
      </c>
      <c r="AK32" s="50" t="str">
        <f>IF(P32=""," ",P32*Inputs!$B$39)</f>
        <v xml:space="preserve"> </v>
      </c>
      <c r="AL32" s="50" t="str">
        <f>IF(Q32=""," ",Q32*Inputs!$B$39)</f>
        <v xml:space="preserve"> </v>
      </c>
      <c r="AM32" s="50" t="str">
        <f>IF(R32=""," ",R32*Inputs!$B$39)</f>
        <v xml:space="preserve"> </v>
      </c>
      <c r="AN32" s="50" t="str">
        <f>IF(S32=""," ",S32*Inputs!$B$39)</f>
        <v xml:space="preserve"> </v>
      </c>
      <c r="AO32" s="50" t="str">
        <f>IF(T32=""," ",T32*Inputs!$B$39)</f>
        <v xml:space="preserve"> </v>
      </c>
      <c r="AP32" s="50" t="str">
        <f>IF(U32=""," ",U32*Inputs!$B$39)</f>
        <v xml:space="preserve"> </v>
      </c>
      <c r="AR32" s="624"/>
      <c r="AS32" s="555"/>
      <c r="AT32" s="50">
        <v>9.1918062047410862E-2</v>
      </c>
      <c r="AU32" s="24" t="s">
        <v>498</v>
      </c>
      <c r="AV32" s="50" t="str">
        <f>IF(AA32=" "," ",AA32*Inputs!$B$62)</f>
        <v xml:space="preserve"> </v>
      </c>
      <c r="AW32" s="50" t="str">
        <f>IF(AB32=" "," ",AB32*Inputs!$B$62)</f>
        <v xml:space="preserve"> </v>
      </c>
      <c r="AX32" s="50" t="str">
        <f>IF(AC32=" "," ",AC32*Inputs!$B$62)</f>
        <v xml:space="preserve"> </v>
      </c>
      <c r="AY32" s="50" t="str">
        <f>IF(AD32=" "," ",AD32*Inputs!$B$62)</f>
        <v xml:space="preserve"> </v>
      </c>
      <c r="AZ32" s="50" t="str">
        <f>IF(AE32=" "," ",AE32*Inputs!$B$62)</f>
        <v xml:space="preserve"> </v>
      </c>
      <c r="BA32" s="50" t="str">
        <f>IF(AF32=" "," ",AF32*Inputs!$B$62)</f>
        <v xml:space="preserve"> </v>
      </c>
      <c r="BB32" s="50" t="str">
        <f>IF(AG32=" "," ",AG32*Inputs!$B$62)</f>
        <v xml:space="preserve"> </v>
      </c>
      <c r="BC32" s="50" t="str">
        <f>IF(AH32=" "," ",AH32*Inputs!$B$62)</f>
        <v xml:space="preserve"> </v>
      </c>
      <c r="BD32" s="50" t="str">
        <f>IF(AI32=" "," ",AI32*Inputs!$B$62)</f>
        <v xml:space="preserve"> </v>
      </c>
      <c r="BE32" s="50" t="str">
        <f>IF(AJ32=" "," ",AJ32*Inputs!$B$62)</f>
        <v xml:space="preserve"> </v>
      </c>
      <c r="BF32" s="50" t="str">
        <f>IF(AK32=" "," ",AK32*Inputs!$B$62)</f>
        <v xml:space="preserve"> </v>
      </c>
      <c r="BG32" s="50" t="str">
        <f>IF(AL32=" "," ",AL32*Inputs!$B$62)</f>
        <v xml:space="preserve"> </v>
      </c>
      <c r="BH32" s="50" t="str">
        <f>IF(AM32=" "," ",AM32*Inputs!$B$62)</f>
        <v xml:space="preserve"> </v>
      </c>
      <c r="BI32" s="50" t="str">
        <f>IF(AN32=" "," ",AN32*Inputs!$B$62)</f>
        <v xml:space="preserve"> </v>
      </c>
      <c r="BJ32" s="50" t="str">
        <f>IF(AO32=" "," ",AO32*Inputs!$B$62)</f>
        <v xml:space="preserve"> </v>
      </c>
      <c r="BK32" s="50" t="str">
        <f>IF(AP32=" "," ",AP32*Inputs!$B$62)</f>
        <v xml:space="preserve"> </v>
      </c>
    </row>
    <row r="33" spans="2:63" x14ac:dyDescent="0.25">
      <c r="B33" s="589"/>
      <c r="C33" s="555"/>
      <c r="D33" s="589"/>
      <c r="E33" s="21"/>
      <c r="F33" s="152"/>
      <c r="G33" s="152"/>
      <c r="H33" s="152"/>
      <c r="I33" s="152"/>
      <c r="J33" s="152"/>
      <c r="K33" s="152"/>
      <c r="L33" s="152"/>
      <c r="M33" s="152"/>
      <c r="N33" s="152"/>
      <c r="O33" s="152"/>
      <c r="P33" s="152"/>
      <c r="Q33" s="152"/>
      <c r="R33" s="152"/>
      <c r="S33" s="152"/>
      <c r="T33" s="152"/>
      <c r="U33" s="152"/>
      <c r="W33" s="589"/>
      <c r="X33" s="555"/>
      <c r="Y33" s="51"/>
      <c r="Z33" s="27" t="s">
        <v>499</v>
      </c>
      <c r="AA33" s="50" t="str">
        <f>IF(F33=""," ",F33*Inputs!$B$39)</f>
        <v xml:space="preserve"> </v>
      </c>
      <c r="AB33" s="50" t="str">
        <f>IF(G33=""," ",G33*Inputs!$B$39)</f>
        <v xml:space="preserve"> </v>
      </c>
      <c r="AC33" s="50" t="str">
        <f>IF(H33=""," ",H33*Inputs!$B$39)</f>
        <v xml:space="preserve"> </v>
      </c>
      <c r="AD33" s="50" t="str">
        <f>IF(I33=""," ",I33*Inputs!$B$39)</f>
        <v xml:space="preserve"> </v>
      </c>
      <c r="AE33" s="50" t="str">
        <f>IF(J33=""," ",J33*Inputs!$B$39)</f>
        <v xml:space="preserve"> </v>
      </c>
      <c r="AF33" s="50" t="str">
        <f>IF(K33=""," ",K33*Inputs!$B$39)</f>
        <v xml:space="preserve"> </v>
      </c>
      <c r="AG33" s="50" t="str">
        <f>IF(L33=""," ",L33*Inputs!$B$39)</f>
        <v xml:space="preserve"> </v>
      </c>
      <c r="AH33" s="50" t="str">
        <f>IF(M33=""," ",M33*Inputs!$B$39)</f>
        <v xml:space="preserve"> </v>
      </c>
      <c r="AI33" s="50" t="str">
        <f>IF(N33=""," ",N33*Inputs!$B$39)</f>
        <v xml:space="preserve"> </v>
      </c>
      <c r="AJ33" s="50" t="str">
        <f>IF(O33=""," ",O33*Inputs!$B$39)</f>
        <v xml:space="preserve"> </v>
      </c>
      <c r="AK33" s="50" t="str">
        <f>IF(P33=""," ",P33*Inputs!$B$39)</f>
        <v xml:space="preserve"> </v>
      </c>
      <c r="AL33" s="50" t="str">
        <f>IF(Q33=""," ",Q33*Inputs!$B$39)</f>
        <v xml:space="preserve"> </v>
      </c>
      <c r="AM33" s="50" t="str">
        <f>IF(R33=""," ",R33*Inputs!$B$39)</f>
        <v xml:space="preserve"> </v>
      </c>
      <c r="AN33" s="50" t="str">
        <f>IF(S33=""," ",S33*Inputs!$B$39)</f>
        <v xml:space="preserve"> </v>
      </c>
      <c r="AO33" s="50" t="str">
        <f>IF(T33=""," ",T33*Inputs!$B$39)</f>
        <v xml:space="preserve"> </v>
      </c>
      <c r="AP33" s="50" t="str">
        <f>IF(U33=""," ",U33*Inputs!$B$39)</f>
        <v xml:space="preserve"> </v>
      </c>
      <c r="AR33" s="589"/>
      <c r="AS33" s="555"/>
      <c r="AT33" s="51"/>
      <c r="AU33" s="27" t="s">
        <v>499</v>
      </c>
      <c r="AV33" s="50" t="str">
        <f>IF(AA33=" "," ",AA33*Inputs!$B$62)</f>
        <v xml:space="preserve"> </v>
      </c>
      <c r="AW33" s="50" t="str">
        <f>IF(AB33=" "," ",AB33*Inputs!$B$62)</f>
        <v xml:space="preserve"> </v>
      </c>
      <c r="AX33" s="50" t="str">
        <f>IF(AC33=" "," ",AC33*Inputs!$B$62)</f>
        <v xml:space="preserve"> </v>
      </c>
      <c r="AY33" s="50" t="str">
        <f>IF(AD33=" "," ",AD33*Inputs!$B$62)</f>
        <v xml:space="preserve"> </v>
      </c>
      <c r="AZ33" s="50" t="str">
        <f>IF(AE33=" "," ",AE33*Inputs!$B$62)</f>
        <v xml:space="preserve"> </v>
      </c>
      <c r="BA33" s="50" t="str">
        <f>IF(AF33=" "," ",AF33*Inputs!$B$62)</f>
        <v xml:space="preserve"> </v>
      </c>
      <c r="BB33" s="50" t="str">
        <f>IF(AG33=" "," ",AG33*Inputs!$B$62)</f>
        <v xml:space="preserve"> </v>
      </c>
      <c r="BC33" s="50" t="str">
        <f>IF(AH33=" "," ",AH33*Inputs!$B$62)</f>
        <v xml:space="preserve"> </v>
      </c>
      <c r="BD33" s="50" t="str">
        <f>IF(AI33=" "," ",AI33*Inputs!$B$62)</f>
        <v xml:space="preserve"> </v>
      </c>
      <c r="BE33" s="50" t="str">
        <f>IF(AJ33=" "," ",AJ33*Inputs!$B$62)</f>
        <v xml:space="preserve"> </v>
      </c>
      <c r="BF33" s="50" t="str">
        <f>IF(AK33=" "," ",AK33*Inputs!$B$62)</f>
        <v xml:space="preserve"> </v>
      </c>
      <c r="BG33" s="50" t="str">
        <f>IF(AL33=" "," ",AL33*Inputs!$B$62)</f>
        <v xml:space="preserve"> </v>
      </c>
      <c r="BH33" s="50" t="str">
        <f>IF(AM33=" "," ",AM33*Inputs!$B$62)</f>
        <v xml:space="preserve"> </v>
      </c>
      <c r="BI33" s="50" t="str">
        <f>IF(AN33=" "," ",AN33*Inputs!$B$62)</f>
        <v xml:space="preserve"> </v>
      </c>
      <c r="BJ33" s="50" t="str">
        <f>IF(AO33=" "," ",AO33*Inputs!$B$62)</f>
        <v xml:space="preserve"> </v>
      </c>
      <c r="BK33" s="50" t="str">
        <f>IF(AP33=" "," ",AP33*Inputs!$B$62)</f>
        <v xml:space="preserve"> </v>
      </c>
    </row>
    <row r="34" spans="2:63" x14ac:dyDescent="0.25">
      <c r="B34" s="589"/>
      <c r="C34" s="555"/>
      <c r="D34" s="589"/>
      <c r="E34" s="21"/>
      <c r="F34" s="152"/>
      <c r="G34" s="152"/>
      <c r="H34" s="152"/>
      <c r="I34" s="152"/>
      <c r="J34" s="152"/>
      <c r="K34" s="152"/>
      <c r="L34" s="152"/>
      <c r="M34" s="152"/>
      <c r="N34" s="152"/>
      <c r="O34" s="152"/>
      <c r="P34" s="152"/>
      <c r="Q34" s="152"/>
      <c r="R34" s="152"/>
      <c r="S34" s="152"/>
      <c r="T34" s="152"/>
      <c r="U34" s="152"/>
      <c r="W34" s="589"/>
      <c r="X34" s="555"/>
      <c r="Y34" s="51"/>
      <c r="Z34" s="27" t="s">
        <v>500</v>
      </c>
      <c r="AA34" s="50" t="str">
        <f>IF(F34=""," ",F34*Inputs!$B$39)</f>
        <v xml:space="preserve"> </v>
      </c>
      <c r="AB34" s="50" t="str">
        <f>IF(G34=""," ",G34*Inputs!$B$39)</f>
        <v xml:space="preserve"> </v>
      </c>
      <c r="AC34" s="50" t="str">
        <f>IF(H34=""," ",H34*Inputs!$B$39)</f>
        <v xml:space="preserve"> </v>
      </c>
      <c r="AD34" s="50" t="str">
        <f>IF(I34=""," ",I34*Inputs!$B$39)</f>
        <v xml:space="preserve"> </v>
      </c>
      <c r="AE34" s="50" t="str">
        <f>IF(J34=""," ",J34*Inputs!$B$39)</f>
        <v xml:space="preserve"> </v>
      </c>
      <c r="AF34" s="50" t="str">
        <f>IF(K34=""," ",K34*Inputs!$B$39)</f>
        <v xml:space="preserve"> </v>
      </c>
      <c r="AG34" s="50" t="str">
        <f>IF(L34=""," ",L34*Inputs!$B$39)</f>
        <v xml:space="preserve"> </v>
      </c>
      <c r="AH34" s="50" t="str">
        <f>IF(M34=""," ",M34*Inputs!$B$39)</f>
        <v xml:space="preserve"> </v>
      </c>
      <c r="AI34" s="50" t="str">
        <f>IF(N34=""," ",N34*Inputs!$B$39)</f>
        <v xml:space="preserve"> </v>
      </c>
      <c r="AJ34" s="50" t="str">
        <f>IF(O34=""," ",O34*Inputs!$B$39)</f>
        <v xml:space="preserve"> </v>
      </c>
      <c r="AK34" s="50" t="str">
        <f>IF(P34=""," ",P34*Inputs!$B$39)</f>
        <v xml:space="preserve"> </v>
      </c>
      <c r="AL34" s="50" t="str">
        <f>IF(Q34=""," ",Q34*Inputs!$B$39)</f>
        <v xml:space="preserve"> </v>
      </c>
      <c r="AM34" s="50" t="str">
        <f>IF(R34=""," ",R34*Inputs!$B$39)</f>
        <v xml:space="preserve"> </v>
      </c>
      <c r="AN34" s="50" t="str">
        <f>IF(S34=""," ",S34*Inputs!$B$39)</f>
        <v xml:space="preserve"> </v>
      </c>
      <c r="AO34" s="50" t="str">
        <f>IF(T34=""," ",T34*Inputs!$B$39)</f>
        <v xml:space="preserve"> </v>
      </c>
      <c r="AP34" s="50" t="str">
        <f>IF(U34=""," ",U34*Inputs!$B$39)</f>
        <v xml:space="preserve"> </v>
      </c>
      <c r="AR34" s="589"/>
      <c r="AS34" s="555"/>
      <c r="AT34" s="51"/>
      <c r="AU34" s="27" t="s">
        <v>500</v>
      </c>
      <c r="AV34" s="50" t="str">
        <f>IF(AA34=" "," ",AA34*Inputs!$B$62)</f>
        <v xml:space="preserve"> </v>
      </c>
      <c r="AW34" s="50" t="str">
        <f>IF(AB34=" "," ",AB34*Inputs!$B$62)</f>
        <v xml:space="preserve"> </v>
      </c>
      <c r="AX34" s="50" t="str">
        <f>IF(AC34=" "," ",AC34*Inputs!$B$62)</f>
        <v xml:space="preserve"> </v>
      </c>
      <c r="AY34" s="50" t="str">
        <f>IF(AD34=" "," ",AD34*Inputs!$B$62)</f>
        <v xml:space="preserve"> </v>
      </c>
      <c r="AZ34" s="50" t="str">
        <f>IF(AE34=" "," ",AE34*Inputs!$B$62)</f>
        <v xml:space="preserve"> </v>
      </c>
      <c r="BA34" s="50" t="str">
        <f>IF(AF34=" "," ",AF34*Inputs!$B$62)</f>
        <v xml:space="preserve"> </v>
      </c>
      <c r="BB34" s="50" t="str">
        <f>IF(AG34=" "," ",AG34*Inputs!$B$62)</f>
        <v xml:space="preserve"> </v>
      </c>
      <c r="BC34" s="50" t="str">
        <f>IF(AH34=" "," ",AH34*Inputs!$B$62)</f>
        <v xml:space="preserve"> </v>
      </c>
      <c r="BD34" s="50" t="str">
        <f>IF(AI34=" "," ",AI34*Inputs!$B$62)</f>
        <v xml:space="preserve"> </v>
      </c>
      <c r="BE34" s="50" t="str">
        <f>IF(AJ34=" "," ",AJ34*Inputs!$B$62)</f>
        <v xml:space="preserve"> </v>
      </c>
      <c r="BF34" s="50" t="str">
        <f>IF(AK34=" "," ",AK34*Inputs!$B$62)</f>
        <v xml:space="preserve"> </v>
      </c>
      <c r="BG34" s="50" t="str">
        <f>IF(AL34=" "," ",AL34*Inputs!$B$62)</f>
        <v xml:space="preserve"> </v>
      </c>
      <c r="BH34" s="50" t="str">
        <f>IF(AM34=" "," ",AM34*Inputs!$B$62)</f>
        <v xml:space="preserve"> </v>
      </c>
      <c r="BI34" s="50" t="str">
        <f>IF(AN34=" "," ",AN34*Inputs!$B$62)</f>
        <v xml:space="preserve"> </v>
      </c>
      <c r="BJ34" s="50" t="str">
        <f>IF(AO34=" "," ",AO34*Inputs!$B$62)</f>
        <v xml:space="preserve"> </v>
      </c>
      <c r="BK34" s="50" t="str">
        <f>IF(AP34=" "," ",AP34*Inputs!$B$62)</f>
        <v xml:space="preserve"> </v>
      </c>
    </row>
    <row r="35" spans="2:63" x14ac:dyDescent="0.25">
      <c r="B35" s="591"/>
      <c r="C35" s="555"/>
      <c r="D35" s="591"/>
      <c r="E35" s="149"/>
      <c r="F35" s="153"/>
      <c r="G35" s="153"/>
      <c r="H35" s="153"/>
      <c r="I35" s="153"/>
      <c r="J35" s="153"/>
      <c r="K35" s="153"/>
      <c r="L35" s="153"/>
      <c r="M35" s="153"/>
      <c r="N35" s="153"/>
      <c r="O35" s="153"/>
      <c r="P35" s="153"/>
      <c r="Q35" s="153"/>
      <c r="R35" s="153"/>
      <c r="S35" s="153"/>
      <c r="T35" s="153"/>
      <c r="U35" s="153"/>
      <c r="W35" s="591"/>
      <c r="X35" s="555"/>
      <c r="Y35" s="52"/>
      <c r="Z35" s="29" t="s">
        <v>501</v>
      </c>
      <c r="AA35" s="50" t="str">
        <f>IF(F35=""," ",F35*Inputs!$B$39)</f>
        <v xml:space="preserve"> </v>
      </c>
      <c r="AB35" s="50" t="str">
        <f>IF(G35=""," ",G35*Inputs!$B$39)</f>
        <v xml:space="preserve"> </v>
      </c>
      <c r="AC35" s="50" t="str">
        <f>IF(H35=""," ",H35*Inputs!$B$39)</f>
        <v xml:space="preserve"> </v>
      </c>
      <c r="AD35" s="50" t="str">
        <f>IF(I35=""," ",I35*Inputs!$B$39)</f>
        <v xml:space="preserve"> </v>
      </c>
      <c r="AE35" s="50" t="str">
        <f>IF(J35=""," ",J35*Inputs!$B$39)</f>
        <v xml:space="preserve"> </v>
      </c>
      <c r="AF35" s="50" t="str">
        <f>IF(K35=""," ",K35*Inputs!$B$39)</f>
        <v xml:space="preserve"> </v>
      </c>
      <c r="AG35" s="50" t="str">
        <f>IF(L35=""," ",L35*Inputs!$B$39)</f>
        <v xml:space="preserve"> </v>
      </c>
      <c r="AH35" s="50" t="str">
        <f>IF(M35=""," ",M35*Inputs!$B$39)</f>
        <v xml:space="preserve"> </v>
      </c>
      <c r="AI35" s="50" t="str">
        <f>IF(N35=""," ",N35*Inputs!$B$39)</f>
        <v xml:space="preserve"> </v>
      </c>
      <c r="AJ35" s="50" t="str">
        <f>IF(O35=""," ",O35*Inputs!$B$39)</f>
        <v xml:space="preserve"> </v>
      </c>
      <c r="AK35" s="50" t="str">
        <f>IF(P35=""," ",P35*Inputs!$B$39)</f>
        <v xml:space="preserve"> </v>
      </c>
      <c r="AL35" s="50" t="str">
        <f>IF(Q35=""," ",Q35*Inputs!$B$39)</f>
        <v xml:space="preserve"> </v>
      </c>
      <c r="AM35" s="50" t="str">
        <f>IF(R35=""," ",R35*Inputs!$B$39)</f>
        <v xml:space="preserve"> </v>
      </c>
      <c r="AN35" s="50" t="str">
        <f>IF(S35=""," ",S35*Inputs!$B$39)</f>
        <v xml:space="preserve"> </v>
      </c>
      <c r="AO35" s="50" t="str">
        <f>IF(T35=""," ",T35*Inputs!$B$39)</f>
        <v xml:space="preserve"> </v>
      </c>
      <c r="AP35" s="50" t="str">
        <f>IF(U35=""," ",U35*Inputs!$B$39)</f>
        <v xml:space="preserve"> </v>
      </c>
      <c r="AR35" s="591"/>
      <c r="AS35" s="555"/>
      <c r="AT35" s="52"/>
      <c r="AU35" s="29" t="s">
        <v>501</v>
      </c>
      <c r="AV35" s="50" t="str">
        <f>IF(AA35=" "," ",AA35*Inputs!$B$62)</f>
        <v xml:space="preserve"> </v>
      </c>
      <c r="AW35" s="50" t="str">
        <f>IF(AB35=" "," ",AB35*Inputs!$B$62)</f>
        <v xml:space="preserve"> </v>
      </c>
      <c r="AX35" s="50" t="str">
        <f>IF(AC35=" "," ",AC35*Inputs!$B$62)</f>
        <v xml:space="preserve"> </v>
      </c>
      <c r="AY35" s="50" t="str">
        <f>IF(AD35=" "," ",AD35*Inputs!$B$62)</f>
        <v xml:space="preserve"> </v>
      </c>
      <c r="AZ35" s="50" t="str">
        <f>IF(AE35=" "," ",AE35*Inputs!$B$62)</f>
        <v xml:space="preserve"> </v>
      </c>
      <c r="BA35" s="50" t="str">
        <f>IF(AF35=" "," ",AF35*Inputs!$B$62)</f>
        <v xml:space="preserve"> </v>
      </c>
      <c r="BB35" s="50" t="str">
        <f>IF(AG35=" "," ",AG35*Inputs!$B$62)</f>
        <v xml:space="preserve"> </v>
      </c>
      <c r="BC35" s="50" t="str">
        <f>IF(AH35=" "," ",AH35*Inputs!$B$62)</f>
        <v xml:space="preserve"> </v>
      </c>
      <c r="BD35" s="50" t="str">
        <f>IF(AI35=" "," ",AI35*Inputs!$B$62)</f>
        <v xml:space="preserve"> </v>
      </c>
      <c r="BE35" s="50" t="str">
        <f>IF(AJ35=" "," ",AJ35*Inputs!$B$62)</f>
        <v xml:space="preserve"> </v>
      </c>
      <c r="BF35" s="50" t="str">
        <f>IF(AK35=" "," ",AK35*Inputs!$B$62)</f>
        <v xml:space="preserve"> </v>
      </c>
      <c r="BG35" s="50" t="str">
        <f>IF(AL35=" "," ",AL35*Inputs!$B$62)</f>
        <v xml:space="preserve"> </v>
      </c>
      <c r="BH35" s="50" t="str">
        <f>IF(AM35=" "," ",AM35*Inputs!$B$62)</f>
        <v xml:space="preserve"> </v>
      </c>
      <c r="BI35" s="50" t="str">
        <f>IF(AN35=" "," ",AN35*Inputs!$B$62)</f>
        <v xml:space="preserve"> </v>
      </c>
      <c r="BJ35" s="50" t="str">
        <f>IF(AO35=" "," ",AO35*Inputs!$B$62)</f>
        <v xml:space="preserve"> </v>
      </c>
      <c r="BK35" s="50" t="str">
        <f>IF(AP35=" "," ",AP35*Inputs!$B$62)</f>
        <v xml:space="preserve"> </v>
      </c>
    </row>
    <row r="36" spans="2:63" x14ac:dyDescent="0.25">
      <c r="B36" s="631"/>
      <c r="C36" s="555"/>
      <c r="D36" s="595"/>
      <c r="E36" s="21"/>
      <c r="F36" s="152"/>
      <c r="G36" s="152"/>
      <c r="H36" s="152"/>
      <c r="I36" s="152"/>
      <c r="J36" s="152"/>
      <c r="K36" s="152"/>
      <c r="L36" s="152"/>
      <c r="M36" s="152"/>
      <c r="N36" s="152"/>
      <c r="O36" s="152"/>
      <c r="P36" s="152"/>
      <c r="Q36" s="152"/>
      <c r="R36" s="152"/>
      <c r="S36" s="152"/>
      <c r="T36" s="152"/>
      <c r="U36" s="152"/>
      <c r="W36" s="631"/>
      <c r="X36" s="555"/>
      <c r="Y36" s="50">
        <v>7.4300775395316127E-2</v>
      </c>
      <c r="Z36" s="24" t="s">
        <v>498</v>
      </c>
      <c r="AA36" s="50" t="str">
        <f>IF(F36=""," ",F36*Inputs!$B$39)</f>
        <v xml:space="preserve"> </v>
      </c>
      <c r="AB36" s="50" t="str">
        <f>IF(G36=""," ",G36*Inputs!$B$39)</f>
        <v xml:space="preserve"> </v>
      </c>
      <c r="AC36" s="50" t="str">
        <f>IF(H36=""," ",H36*Inputs!$B$39)</f>
        <v xml:space="preserve"> </v>
      </c>
      <c r="AD36" s="50" t="str">
        <f>IF(I36=""," ",I36*Inputs!$B$39)</f>
        <v xml:space="preserve"> </v>
      </c>
      <c r="AE36" s="50" t="str">
        <f>IF(J36=""," ",J36*Inputs!$B$39)</f>
        <v xml:space="preserve"> </v>
      </c>
      <c r="AF36" s="50" t="str">
        <f>IF(K36=""," ",K36*Inputs!$B$39)</f>
        <v xml:space="preserve"> </v>
      </c>
      <c r="AG36" s="50" t="str">
        <f>IF(L36=""," ",L36*Inputs!$B$39)</f>
        <v xml:space="preserve"> </v>
      </c>
      <c r="AH36" s="50" t="str">
        <f>IF(M36=""," ",M36*Inputs!$B$39)</f>
        <v xml:space="preserve"> </v>
      </c>
      <c r="AI36" s="50" t="str">
        <f>IF(N36=""," ",N36*Inputs!$B$39)</f>
        <v xml:space="preserve"> </v>
      </c>
      <c r="AJ36" s="50" t="str">
        <f>IF(O36=""," ",O36*Inputs!$B$39)</f>
        <v xml:space="preserve"> </v>
      </c>
      <c r="AK36" s="50" t="str">
        <f>IF(P36=""," ",P36*Inputs!$B$39)</f>
        <v xml:space="preserve"> </v>
      </c>
      <c r="AL36" s="50" t="str">
        <f>IF(Q36=""," ",Q36*Inputs!$B$39)</f>
        <v xml:space="preserve"> </v>
      </c>
      <c r="AM36" s="50" t="str">
        <f>IF(R36=""," ",R36*Inputs!$B$39)</f>
        <v xml:space="preserve"> </v>
      </c>
      <c r="AN36" s="50" t="str">
        <f>IF(S36=""," ",S36*Inputs!$B$39)</f>
        <v xml:space="preserve"> </v>
      </c>
      <c r="AO36" s="50" t="str">
        <f>IF(T36=""," ",T36*Inputs!$B$39)</f>
        <v xml:space="preserve"> </v>
      </c>
      <c r="AP36" s="50" t="str">
        <f>IF(U36=""," ",U36*Inputs!$B$39)</f>
        <v xml:space="preserve"> </v>
      </c>
      <c r="AR36" s="631"/>
      <c r="AS36" s="555"/>
      <c r="AT36" s="50">
        <v>7.4300775395316127E-2</v>
      </c>
      <c r="AU36" s="24" t="s">
        <v>498</v>
      </c>
      <c r="AV36" s="50" t="str">
        <f>IF(AA36=" "," ",AA36*Inputs!$B$64)</f>
        <v xml:space="preserve"> </v>
      </c>
      <c r="AW36" s="50" t="str">
        <f>IF(AB36=" "," ",AB36*Inputs!$B$64)</f>
        <v xml:space="preserve"> </v>
      </c>
      <c r="AX36" s="50" t="str">
        <f>IF(AC36=" "," ",AC36*Inputs!$B$64)</f>
        <v xml:space="preserve"> </v>
      </c>
      <c r="AY36" s="50" t="str">
        <f>IF(AD36=" "," ",AD36*Inputs!$B$64)</f>
        <v xml:space="preserve"> </v>
      </c>
      <c r="AZ36" s="50" t="str">
        <f>IF(AE36=" "," ",AE36*Inputs!$B$64)</f>
        <v xml:space="preserve"> </v>
      </c>
      <c r="BA36" s="50" t="str">
        <f>IF(AF36=" "," ",AF36*Inputs!$B$64)</f>
        <v xml:space="preserve"> </v>
      </c>
      <c r="BB36" s="50" t="str">
        <f>IF(AG36=" "," ",AG36*Inputs!$B$64)</f>
        <v xml:space="preserve"> </v>
      </c>
      <c r="BC36" s="50" t="str">
        <f>IF(AH36=" "," ",AH36*Inputs!$B$64)</f>
        <v xml:space="preserve"> </v>
      </c>
      <c r="BD36" s="50" t="str">
        <f>IF(AI36=" "," ",AI36*Inputs!$B$64)</f>
        <v xml:space="preserve"> </v>
      </c>
      <c r="BE36" s="50" t="str">
        <f>IF(AJ36=" "," ",AJ36*Inputs!$B$64)</f>
        <v xml:space="preserve"> </v>
      </c>
      <c r="BF36" s="50" t="str">
        <f>IF(AK36=" "," ",AK36*Inputs!$B$64)</f>
        <v xml:space="preserve"> </v>
      </c>
      <c r="BG36" s="50" t="str">
        <f>IF(AL36=" "," ",AL36*Inputs!$B$64)</f>
        <v xml:space="preserve"> </v>
      </c>
      <c r="BH36" s="50" t="str">
        <f>IF(AM36=" "," ",AM36*Inputs!$B$64)</f>
        <v xml:space="preserve"> </v>
      </c>
      <c r="BI36" s="50" t="str">
        <f>IF(AN36=" "," ",AN36*Inputs!$B$64)</f>
        <v xml:space="preserve"> </v>
      </c>
      <c r="BJ36" s="50" t="str">
        <f>IF(AO36=" "," ",AO36*Inputs!$B$64)</f>
        <v xml:space="preserve"> </v>
      </c>
      <c r="BK36" s="50" t="str">
        <f>IF(AP36=" "," ",AP36*Inputs!$B$64)</f>
        <v xml:space="preserve"> </v>
      </c>
    </row>
    <row r="37" spans="2:63" x14ac:dyDescent="0.25">
      <c r="B37" s="589"/>
      <c r="C37" s="555"/>
      <c r="D37" s="589"/>
      <c r="E37" s="21"/>
      <c r="F37" s="152"/>
      <c r="G37" s="152"/>
      <c r="H37" s="152"/>
      <c r="I37" s="152"/>
      <c r="J37" s="152"/>
      <c r="K37" s="152"/>
      <c r="L37" s="152"/>
      <c r="M37" s="152"/>
      <c r="N37" s="152"/>
      <c r="O37" s="152"/>
      <c r="P37" s="152"/>
      <c r="Q37" s="152"/>
      <c r="R37" s="152"/>
      <c r="S37" s="152"/>
      <c r="T37" s="152"/>
      <c r="U37" s="152"/>
      <c r="W37" s="589"/>
      <c r="X37" s="555"/>
      <c r="Y37" s="51"/>
      <c r="Z37" s="27" t="s">
        <v>499</v>
      </c>
      <c r="AA37" s="50" t="str">
        <f>IF(F37=""," ",F37*Inputs!$B$39)</f>
        <v xml:space="preserve"> </v>
      </c>
      <c r="AB37" s="50" t="str">
        <f>IF(G37=""," ",G37*Inputs!$B$39)</f>
        <v xml:space="preserve"> </v>
      </c>
      <c r="AC37" s="50" t="str">
        <f>IF(H37=""," ",H37*Inputs!$B$39)</f>
        <v xml:space="preserve"> </v>
      </c>
      <c r="AD37" s="50" t="str">
        <f>IF(I37=""," ",I37*Inputs!$B$39)</f>
        <v xml:space="preserve"> </v>
      </c>
      <c r="AE37" s="50" t="str">
        <f>IF(J37=""," ",J37*Inputs!$B$39)</f>
        <v xml:space="preserve"> </v>
      </c>
      <c r="AF37" s="50" t="str">
        <f>IF(K37=""," ",K37*Inputs!$B$39)</f>
        <v xml:space="preserve"> </v>
      </c>
      <c r="AG37" s="50" t="str">
        <f>IF(L37=""," ",L37*Inputs!$B$39)</f>
        <v xml:space="preserve"> </v>
      </c>
      <c r="AH37" s="50" t="str">
        <f>IF(M37=""," ",M37*Inputs!$B$39)</f>
        <v xml:space="preserve"> </v>
      </c>
      <c r="AI37" s="50" t="str">
        <f>IF(N37=""," ",N37*Inputs!$B$39)</f>
        <v xml:space="preserve"> </v>
      </c>
      <c r="AJ37" s="50" t="str">
        <f>IF(O37=""," ",O37*Inputs!$B$39)</f>
        <v xml:space="preserve"> </v>
      </c>
      <c r="AK37" s="50" t="str">
        <f>IF(P37=""," ",P37*Inputs!$B$39)</f>
        <v xml:space="preserve"> </v>
      </c>
      <c r="AL37" s="50" t="str">
        <f>IF(Q37=""," ",Q37*Inputs!$B$39)</f>
        <v xml:space="preserve"> </v>
      </c>
      <c r="AM37" s="50" t="str">
        <f>IF(R37=""," ",R37*Inputs!$B$39)</f>
        <v xml:space="preserve"> </v>
      </c>
      <c r="AN37" s="50" t="str">
        <f>IF(S37=""," ",S37*Inputs!$B$39)</f>
        <v xml:space="preserve"> </v>
      </c>
      <c r="AO37" s="50" t="str">
        <f>IF(T37=""," ",T37*Inputs!$B$39)</f>
        <v xml:space="preserve"> </v>
      </c>
      <c r="AP37" s="50" t="str">
        <f>IF(U37=""," ",U37*Inputs!$B$39)</f>
        <v xml:space="preserve"> </v>
      </c>
      <c r="AR37" s="589"/>
      <c r="AS37" s="555"/>
      <c r="AT37" s="51"/>
      <c r="AU37" s="27" t="s">
        <v>499</v>
      </c>
      <c r="AV37" s="50" t="str">
        <f>IF(AA37=" "," ",AA37*Inputs!$B$64)</f>
        <v xml:space="preserve"> </v>
      </c>
      <c r="AW37" s="50" t="str">
        <f>IF(AB37=" "," ",AB37*Inputs!$B$64)</f>
        <v xml:space="preserve"> </v>
      </c>
      <c r="AX37" s="50" t="str">
        <f>IF(AC37=" "," ",AC37*Inputs!$B$64)</f>
        <v xml:space="preserve"> </v>
      </c>
      <c r="AY37" s="50" t="str">
        <f>IF(AD37=" "," ",AD37*Inputs!$B$64)</f>
        <v xml:space="preserve"> </v>
      </c>
      <c r="AZ37" s="50" t="str">
        <f>IF(AE37=" "," ",AE37*Inputs!$B$64)</f>
        <v xml:space="preserve"> </v>
      </c>
      <c r="BA37" s="50" t="str">
        <f>IF(AF37=" "," ",AF37*Inputs!$B$64)</f>
        <v xml:space="preserve"> </v>
      </c>
      <c r="BB37" s="50" t="str">
        <f>IF(AG37=" "," ",AG37*Inputs!$B$64)</f>
        <v xml:space="preserve"> </v>
      </c>
      <c r="BC37" s="50" t="str">
        <f>IF(AH37=" "," ",AH37*Inputs!$B$64)</f>
        <v xml:space="preserve"> </v>
      </c>
      <c r="BD37" s="50" t="str">
        <f>IF(AI37=" "," ",AI37*Inputs!$B$64)</f>
        <v xml:space="preserve"> </v>
      </c>
      <c r="BE37" s="50" t="str">
        <f>IF(AJ37=" "," ",AJ37*Inputs!$B$64)</f>
        <v xml:space="preserve"> </v>
      </c>
      <c r="BF37" s="50" t="str">
        <f>IF(AK37=" "," ",AK37*Inputs!$B$64)</f>
        <v xml:space="preserve"> </v>
      </c>
      <c r="BG37" s="50" t="str">
        <f>IF(AL37=" "," ",AL37*Inputs!$B$64)</f>
        <v xml:space="preserve"> </v>
      </c>
      <c r="BH37" s="50" t="str">
        <f>IF(AM37=" "," ",AM37*Inputs!$B$64)</f>
        <v xml:space="preserve"> </v>
      </c>
      <c r="BI37" s="50" t="str">
        <f>IF(AN37=" "," ",AN37*Inputs!$B$64)</f>
        <v xml:space="preserve"> </v>
      </c>
      <c r="BJ37" s="50" t="str">
        <f>IF(AO37=" "," ",AO37*Inputs!$B$64)</f>
        <v xml:space="preserve"> </v>
      </c>
      <c r="BK37" s="50" t="str">
        <f>IF(AP37=" "," ",AP37*Inputs!$B$64)</f>
        <v xml:space="preserve"> </v>
      </c>
    </row>
    <row r="38" spans="2:63" x14ac:dyDescent="0.25">
      <c r="B38" s="589"/>
      <c r="C38" s="555"/>
      <c r="D38" s="589"/>
      <c r="E38" s="21"/>
      <c r="F38" s="152"/>
      <c r="G38" s="152"/>
      <c r="H38" s="152"/>
      <c r="I38" s="152"/>
      <c r="J38" s="152"/>
      <c r="K38" s="152"/>
      <c r="L38" s="152"/>
      <c r="M38" s="152"/>
      <c r="N38" s="152"/>
      <c r="O38" s="152"/>
      <c r="P38" s="152"/>
      <c r="Q38" s="152"/>
      <c r="R38" s="152"/>
      <c r="S38" s="152"/>
      <c r="T38" s="152"/>
      <c r="U38" s="152"/>
      <c r="W38" s="589"/>
      <c r="X38" s="555"/>
      <c r="Y38" s="51"/>
      <c r="Z38" s="27" t="s">
        <v>500</v>
      </c>
      <c r="AA38" s="50" t="str">
        <f>IF(F38=""," ",F38*Inputs!$B$39)</f>
        <v xml:space="preserve"> </v>
      </c>
      <c r="AB38" s="50" t="str">
        <f>IF(G38=""," ",G38*Inputs!$B$39)</f>
        <v xml:space="preserve"> </v>
      </c>
      <c r="AC38" s="50" t="str">
        <f>IF(H38=""," ",H38*Inputs!$B$39)</f>
        <v xml:space="preserve"> </v>
      </c>
      <c r="AD38" s="50" t="str">
        <f>IF(I38=""," ",I38*Inputs!$B$39)</f>
        <v xml:space="preserve"> </v>
      </c>
      <c r="AE38" s="50" t="str">
        <f>IF(J38=""," ",J38*Inputs!$B$39)</f>
        <v xml:space="preserve"> </v>
      </c>
      <c r="AF38" s="50" t="str">
        <f>IF(K38=""," ",K38*Inputs!$B$39)</f>
        <v xml:space="preserve"> </v>
      </c>
      <c r="AG38" s="50" t="str">
        <f>IF(L38=""," ",L38*Inputs!$B$39)</f>
        <v xml:space="preserve"> </v>
      </c>
      <c r="AH38" s="50" t="str">
        <f>IF(M38=""," ",M38*Inputs!$B$39)</f>
        <v xml:space="preserve"> </v>
      </c>
      <c r="AI38" s="50" t="str">
        <f>IF(N38=""," ",N38*Inputs!$B$39)</f>
        <v xml:space="preserve"> </v>
      </c>
      <c r="AJ38" s="50" t="str">
        <f>IF(O38=""," ",O38*Inputs!$B$39)</f>
        <v xml:space="preserve"> </v>
      </c>
      <c r="AK38" s="50" t="str">
        <f>IF(P38=""," ",P38*Inputs!$B$39)</f>
        <v xml:space="preserve"> </v>
      </c>
      <c r="AL38" s="50" t="str">
        <f>IF(Q38=""," ",Q38*Inputs!$B$39)</f>
        <v xml:space="preserve"> </v>
      </c>
      <c r="AM38" s="50" t="str">
        <f>IF(R38=""," ",R38*Inputs!$B$39)</f>
        <v xml:space="preserve"> </v>
      </c>
      <c r="AN38" s="50" t="str">
        <f>IF(S38=""," ",S38*Inputs!$B$39)</f>
        <v xml:space="preserve"> </v>
      </c>
      <c r="AO38" s="50" t="str">
        <f>IF(T38=""," ",T38*Inputs!$B$39)</f>
        <v xml:space="preserve"> </v>
      </c>
      <c r="AP38" s="50" t="str">
        <f>IF(U38=""," ",U38*Inputs!$B$39)</f>
        <v xml:space="preserve"> </v>
      </c>
      <c r="AR38" s="589"/>
      <c r="AS38" s="555"/>
      <c r="AT38" s="51"/>
      <c r="AU38" s="27" t="s">
        <v>500</v>
      </c>
      <c r="AV38" s="50" t="str">
        <f>IF(AA38=" "," ",AA38*Inputs!$B$64)</f>
        <v xml:space="preserve"> </v>
      </c>
      <c r="AW38" s="50" t="str">
        <f>IF(AB38=" "," ",AB38*Inputs!$B$64)</f>
        <v xml:space="preserve"> </v>
      </c>
      <c r="AX38" s="50" t="str">
        <f>IF(AC38=" "," ",AC38*Inputs!$B$64)</f>
        <v xml:space="preserve"> </v>
      </c>
      <c r="AY38" s="50" t="str">
        <f>IF(AD38=" "," ",AD38*Inputs!$B$64)</f>
        <v xml:space="preserve"> </v>
      </c>
      <c r="AZ38" s="50" t="str">
        <f>IF(AE38=" "," ",AE38*Inputs!$B$64)</f>
        <v xml:space="preserve"> </v>
      </c>
      <c r="BA38" s="50" t="str">
        <f>IF(AF38=" "," ",AF38*Inputs!$B$64)</f>
        <v xml:space="preserve"> </v>
      </c>
      <c r="BB38" s="50" t="str">
        <f>IF(AG38=" "," ",AG38*Inputs!$B$64)</f>
        <v xml:space="preserve"> </v>
      </c>
      <c r="BC38" s="50" t="str">
        <f>IF(AH38=" "," ",AH38*Inputs!$B$64)</f>
        <v xml:space="preserve"> </v>
      </c>
      <c r="BD38" s="50" t="str">
        <f>IF(AI38=" "," ",AI38*Inputs!$B$64)</f>
        <v xml:space="preserve"> </v>
      </c>
      <c r="BE38" s="50" t="str">
        <f>IF(AJ38=" "," ",AJ38*Inputs!$B$64)</f>
        <v xml:space="preserve"> </v>
      </c>
      <c r="BF38" s="50" t="str">
        <f>IF(AK38=" "," ",AK38*Inputs!$B$64)</f>
        <v xml:space="preserve"> </v>
      </c>
      <c r="BG38" s="50" t="str">
        <f>IF(AL38=" "," ",AL38*Inputs!$B$64)</f>
        <v xml:space="preserve"> </v>
      </c>
      <c r="BH38" s="50" t="str">
        <f>IF(AM38=" "," ",AM38*Inputs!$B$64)</f>
        <v xml:space="preserve"> </v>
      </c>
      <c r="BI38" s="50" t="str">
        <f>IF(AN38=" "," ",AN38*Inputs!$B$64)</f>
        <v xml:space="preserve"> </v>
      </c>
      <c r="BJ38" s="50" t="str">
        <f>IF(AO38=" "," ",AO38*Inputs!$B$64)</f>
        <v xml:space="preserve"> </v>
      </c>
      <c r="BK38" s="50" t="str">
        <f>IF(AP38=" "," ",AP38*Inputs!$B$64)</f>
        <v xml:space="preserve"> </v>
      </c>
    </row>
    <row r="39" spans="2:63" x14ac:dyDescent="0.25">
      <c r="B39" s="591"/>
      <c r="C39" s="555"/>
      <c r="D39" s="591"/>
      <c r="E39" s="149"/>
      <c r="F39" s="153"/>
      <c r="G39" s="153"/>
      <c r="H39" s="153"/>
      <c r="I39" s="153"/>
      <c r="J39" s="153"/>
      <c r="K39" s="153"/>
      <c r="L39" s="153"/>
      <c r="M39" s="153"/>
      <c r="N39" s="153"/>
      <c r="O39" s="153"/>
      <c r="P39" s="153"/>
      <c r="Q39" s="153"/>
      <c r="R39" s="153"/>
      <c r="S39" s="153"/>
      <c r="T39" s="153"/>
      <c r="U39" s="153"/>
      <c r="W39" s="591"/>
      <c r="X39" s="555"/>
      <c r="Y39" s="52"/>
      <c r="Z39" s="29" t="s">
        <v>501</v>
      </c>
      <c r="AA39" s="50" t="str">
        <f>IF(F39=""," ",F39*Inputs!$B$39)</f>
        <v xml:space="preserve"> </v>
      </c>
      <c r="AB39" s="50" t="str">
        <f>IF(G39=""," ",G39*Inputs!$B$39)</f>
        <v xml:space="preserve"> </v>
      </c>
      <c r="AC39" s="50" t="str">
        <f>IF(H39=""," ",H39*Inputs!$B$39)</f>
        <v xml:space="preserve"> </v>
      </c>
      <c r="AD39" s="50" t="str">
        <f>IF(I39=""," ",I39*Inputs!$B$39)</f>
        <v xml:space="preserve"> </v>
      </c>
      <c r="AE39" s="50" t="str">
        <f>IF(J39=""," ",J39*Inputs!$B$39)</f>
        <v xml:space="preserve"> </v>
      </c>
      <c r="AF39" s="50" t="str">
        <f>IF(K39=""," ",K39*Inputs!$B$39)</f>
        <v xml:space="preserve"> </v>
      </c>
      <c r="AG39" s="50" t="str">
        <f>IF(L39=""," ",L39*Inputs!$B$39)</f>
        <v xml:space="preserve"> </v>
      </c>
      <c r="AH39" s="50" t="str">
        <f>IF(M39=""," ",M39*Inputs!$B$39)</f>
        <v xml:space="preserve"> </v>
      </c>
      <c r="AI39" s="50" t="str">
        <f>IF(N39=""," ",N39*Inputs!$B$39)</f>
        <v xml:space="preserve"> </v>
      </c>
      <c r="AJ39" s="50" t="str">
        <f>IF(O39=""," ",O39*Inputs!$B$39)</f>
        <v xml:space="preserve"> </v>
      </c>
      <c r="AK39" s="50" t="str">
        <f>IF(P39=""," ",P39*Inputs!$B$39)</f>
        <v xml:space="preserve"> </v>
      </c>
      <c r="AL39" s="50" t="str">
        <f>IF(Q39=""," ",Q39*Inputs!$B$39)</f>
        <v xml:space="preserve"> </v>
      </c>
      <c r="AM39" s="50" t="str">
        <f>IF(R39=""," ",R39*Inputs!$B$39)</f>
        <v xml:space="preserve"> </v>
      </c>
      <c r="AN39" s="50" t="str">
        <f>IF(S39=""," ",S39*Inputs!$B$39)</f>
        <v xml:space="preserve"> </v>
      </c>
      <c r="AO39" s="50" t="str">
        <f>IF(T39=""," ",T39*Inputs!$B$39)</f>
        <v xml:space="preserve"> </v>
      </c>
      <c r="AP39" s="50" t="str">
        <f>IF(U39=""," ",U39*Inputs!$B$39)</f>
        <v xml:space="preserve"> </v>
      </c>
      <c r="AR39" s="591"/>
      <c r="AS39" s="555"/>
      <c r="AT39" s="52"/>
      <c r="AU39" s="29" t="s">
        <v>501</v>
      </c>
      <c r="AV39" s="50" t="str">
        <f>IF(AA39=" "," ",AA39*Inputs!$B$64)</f>
        <v xml:space="preserve"> </v>
      </c>
      <c r="AW39" s="50" t="str">
        <f>IF(AB39=" "," ",AB39*Inputs!$B$64)</f>
        <v xml:space="preserve"> </v>
      </c>
      <c r="AX39" s="50" t="str">
        <f>IF(AC39=" "," ",AC39*Inputs!$B$64)</f>
        <v xml:space="preserve"> </v>
      </c>
      <c r="AY39" s="50" t="str">
        <f>IF(AD39=" "," ",AD39*Inputs!$B$64)</f>
        <v xml:space="preserve"> </v>
      </c>
      <c r="AZ39" s="50" t="str">
        <f>IF(AE39=" "," ",AE39*Inputs!$B$64)</f>
        <v xml:space="preserve"> </v>
      </c>
      <c r="BA39" s="50" t="str">
        <f>IF(AF39=" "," ",AF39*Inputs!$B$64)</f>
        <v xml:space="preserve"> </v>
      </c>
      <c r="BB39" s="50" t="str">
        <f>IF(AG39=" "," ",AG39*Inputs!$B$64)</f>
        <v xml:space="preserve"> </v>
      </c>
      <c r="BC39" s="50" t="str">
        <f>IF(AH39=" "," ",AH39*Inputs!$B$64)</f>
        <v xml:space="preserve"> </v>
      </c>
      <c r="BD39" s="50" t="str">
        <f>IF(AI39=" "," ",AI39*Inputs!$B$64)</f>
        <v xml:space="preserve"> </v>
      </c>
      <c r="BE39" s="50" t="str">
        <f>IF(AJ39=" "," ",AJ39*Inputs!$B$64)</f>
        <v xml:space="preserve"> </v>
      </c>
      <c r="BF39" s="50" t="str">
        <f>IF(AK39=" "," ",AK39*Inputs!$B$64)</f>
        <v xml:space="preserve"> </v>
      </c>
      <c r="BG39" s="50" t="str">
        <f>IF(AL39=" "," ",AL39*Inputs!$B$64)</f>
        <v xml:space="preserve"> </v>
      </c>
      <c r="BH39" s="50" t="str">
        <f>IF(AM39=" "," ",AM39*Inputs!$B$64)</f>
        <v xml:space="preserve"> </v>
      </c>
      <c r="BI39" s="50" t="str">
        <f>IF(AN39=" "," ",AN39*Inputs!$B$64)</f>
        <v xml:space="preserve"> </v>
      </c>
      <c r="BJ39" s="50" t="str">
        <f>IF(AO39=" "," ",AO39*Inputs!$B$64)</f>
        <v xml:space="preserve"> </v>
      </c>
      <c r="BK39" s="50" t="str">
        <f>IF(AP39=" "," ",AP39*Inputs!$B$64)</f>
        <v xml:space="preserve"> </v>
      </c>
    </row>
    <row r="40" spans="2:63" x14ac:dyDescent="0.25">
      <c r="B40" s="620"/>
      <c r="C40" s="555"/>
      <c r="D40" s="595"/>
      <c r="E40" s="21"/>
      <c r="F40" s="152"/>
      <c r="G40" s="152"/>
      <c r="H40" s="152"/>
      <c r="I40" s="152"/>
      <c r="J40" s="152"/>
      <c r="K40" s="152"/>
      <c r="L40" s="152"/>
      <c r="M40" s="152"/>
      <c r="N40" s="152"/>
      <c r="O40" s="152"/>
      <c r="P40" s="152"/>
      <c r="Q40" s="152"/>
      <c r="R40" s="152"/>
      <c r="S40" s="152"/>
      <c r="T40" s="152"/>
      <c r="U40" s="152"/>
      <c r="W40" s="620"/>
      <c r="X40" s="555"/>
      <c r="Y40" s="51">
        <v>8.4591310228981517E-2</v>
      </c>
      <c r="Z40" s="27" t="s">
        <v>498</v>
      </c>
      <c r="AA40" s="50" t="str">
        <f>IF(F40=""," ",F40*Inputs!$B$39)</f>
        <v xml:space="preserve"> </v>
      </c>
      <c r="AB40" s="50" t="str">
        <f>IF(G40=""," ",G40*Inputs!$B$39)</f>
        <v xml:space="preserve"> </v>
      </c>
      <c r="AC40" s="50" t="str">
        <f>IF(H40=""," ",H40*Inputs!$B$39)</f>
        <v xml:space="preserve"> </v>
      </c>
      <c r="AD40" s="50" t="str">
        <f>IF(I40=""," ",I40*Inputs!$B$39)</f>
        <v xml:space="preserve"> </v>
      </c>
      <c r="AE40" s="50" t="str">
        <f>IF(J40=""," ",J40*Inputs!$B$39)</f>
        <v xml:space="preserve"> </v>
      </c>
      <c r="AF40" s="50" t="str">
        <f>IF(K40=""," ",K40*Inputs!$B$39)</f>
        <v xml:space="preserve"> </v>
      </c>
      <c r="AG40" s="50" t="str">
        <f>IF(L40=""," ",L40*Inputs!$B$39)</f>
        <v xml:space="preserve"> </v>
      </c>
      <c r="AH40" s="50" t="str">
        <f>IF(M40=""," ",M40*Inputs!$B$39)</f>
        <v xml:space="preserve"> </v>
      </c>
      <c r="AI40" s="50" t="str">
        <f>IF(N40=""," ",N40*Inputs!$B$39)</f>
        <v xml:space="preserve"> </v>
      </c>
      <c r="AJ40" s="50" t="str">
        <f>IF(O40=""," ",O40*Inputs!$B$39)</f>
        <v xml:space="preserve"> </v>
      </c>
      <c r="AK40" s="50" t="str">
        <f>IF(P40=""," ",P40*Inputs!$B$39)</f>
        <v xml:space="preserve"> </v>
      </c>
      <c r="AL40" s="50" t="str">
        <f>IF(Q40=""," ",Q40*Inputs!$B$39)</f>
        <v xml:space="preserve"> </v>
      </c>
      <c r="AM40" s="50" t="str">
        <f>IF(R40=""," ",R40*Inputs!$B$39)</f>
        <v xml:space="preserve"> </v>
      </c>
      <c r="AN40" s="50" t="str">
        <f>IF(S40=""," ",S40*Inputs!$B$39)</f>
        <v xml:space="preserve"> </v>
      </c>
      <c r="AO40" s="50" t="str">
        <f>IF(T40=""," ",T40*Inputs!$B$39)</f>
        <v xml:space="preserve"> </v>
      </c>
      <c r="AP40" s="50" t="str">
        <f>IF(U40=""," ",U40*Inputs!$B$39)</f>
        <v xml:space="preserve"> </v>
      </c>
      <c r="AR40" s="620"/>
      <c r="AS40" s="555"/>
      <c r="AT40" s="51">
        <v>8.4591310228981517E-2</v>
      </c>
      <c r="AU40" s="33" t="s">
        <v>498</v>
      </c>
      <c r="AV40" s="50" t="str">
        <f>IF(AA40=" "," ",AA40*Inputs!$B$66)</f>
        <v xml:space="preserve"> </v>
      </c>
      <c r="AW40" s="50" t="str">
        <f>IF(AB40=" "," ",AB40*Inputs!$B$66)</f>
        <v xml:space="preserve"> </v>
      </c>
      <c r="AX40" s="50" t="str">
        <f>IF(AC40=" "," ",AC40*Inputs!$B$66)</f>
        <v xml:space="preserve"> </v>
      </c>
      <c r="AY40" s="50" t="str">
        <f>IF(AD40=" "," ",AD40*Inputs!$B$66)</f>
        <v xml:space="preserve"> </v>
      </c>
      <c r="AZ40" s="50" t="str">
        <f>IF(AE40=" "," ",AE40*Inputs!$B$66)</f>
        <v xml:space="preserve"> </v>
      </c>
      <c r="BA40" s="50" t="str">
        <f>IF(AF40=" "," ",AF40*Inputs!$B$66)</f>
        <v xml:space="preserve"> </v>
      </c>
      <c r="BB40" s="50" t="str">
        <f>IF(AG40=" "," ",AG40*Inputs!$B$66)</f>
        <v xml:space="preserve"> </v>
      </c>
      <c r="BC40" s="50" t="str">
        <f>IF(AH40=" "," ",AH40*Inputs!$B$66)</f>
        <v xml:space="preserve"> </v>
      </c>
      <c r="BD40" s="50" t="str">
        <f>IF(AI40=" "," ",AI40*Inputs!$B$66)</f>
        <v xml:space="preserve"> </v>
      </c>
      <c r="BE40" s="50" t="str">
        <f>IF(AJ40=" "," ",AJ40*Inputs!$B$66)</f>
        <v xml:space="preserve"> </v>
      </c>
      <c r="BF40" s="50" t="str">
        <f>IF(AK40=" "," ",AK40*Inputs!$B$66)</f>
        <v xml:space="preserve"> </v>
      </c>
      <c r="BG40" s="50" t="str">
        <f>IF(AL40=" "," ",AL40*Inputs!$B$66)</f>
        <v xml:space="preserve"> </v>
      </c>
      <c r="BH40" s="50" t="str">
        <f>IF(AM40=" "," ",AM40*Inputs!$B$66)</f>
        <v xml:space="preserve"> </v>
      </c>
      <c r="BI40" s="50" t="str">
        <f>IF(AN40=" "," ",AN40*Inputs!$B$66)</f>
        <v xml:space="preserve"> </v>
      </c>
      <c r="BJ40" s="50" t="str">
        <f>IF(AO40=" "," ",AO40*Inputs!$B$66)</f>
        <v xml:space="preserve"> </v>
      </c>
      <c r="BK40" s="50" t="str">
        <f>IF(AP40=" "," ",AP40*Inputs!$B$66)</f>
        <v xml:space="preserve"> </v>
      </c>
    </row>
    <row r="41" spans="2:63" x14ac:dyDescent="0.25">
      <c r="B41" s="589"/>
      <c r="C41" s="555"/>
      <c r="D41" s="589"/>
      <c r="E41" s="21"/>
      <c r="F41" s="152"/>
      <c r="G41" s="152"/>
      <c r="H41" s="152"/>
      <c r="I41" s="152"/>
      <c r="J41" s="152"/>
      <c r="K41" s="152"/>
      <c r="L41" s="152"/>
      <c r="M41" s="152"/>
      <c r="N41" s="152"/>
      <c r="O41" s="152"/>
      <c r="P41" s="152"/>
      <c r="Q41" s="152"/>
      <c r="R41" s="152"/>
      <c r="S41" s="152"/>
      <c r="T41" s="152"/>
      <c r="U41" s="152"/>
      <c r="W41" s="589"/>
      <c r="X41" s="555"/>
      <c r="Y41" s="51"/>
      <c r="Z41" s="27" t="s">
        <v>499</v>
      </c>
      <c r="AA41" s="50" t="str">
        <f>IF(F41=""," ",F41*Inputs!$B$39)</f>
        <v xml:space="preserve"> </v>
      </c>
      <c r="AB41" s="50" t="str">
        <f>IF(G41=""," ",G41*Inputs!$B$39)</f>
        <v xml:space="preserve"> </v>
      </c>
      <c r="AC41" s="50" t="str">
        <f>IF(H41=""," ",H41*Inputs!$B$39)</f>
        <v xml:space="preserve"> </v>
      </c>
      <c r="AD41" s="50" t="str">
        <f>IF(I41=""," ",I41*Inputs!$B$39)</f>
        <v xml:space="preserve"> </v>
      </c>
      <c r="AE41" s="50" t="str">
        <f>IF(J41=""," ",J41*Inputs!$B$39)</f>
        <v xml:space="preserve"> </v>
      </c>
      <c r="AF41" s="50" t="str">
        <f>IF(K41=""," ",K41*Inputs!$B$39)</f>
        <v xml:space="preserve"> </v>
      </c>
      <c r="AG41" s="50" t="str">
        <f>IF(L41=""," ",L41*Inputs!$B$39)</f>
        <v xml:space="preserve"> </v>
      </c>
      <c r="AH41" s="50" t="str">
        <f>IF(M41=""," ",M41*Inputs!$B$39)</f>
        <v xml:space="preserve"> </v>
      </c>
      <c r="AI41" s="50" t="str">
        <f>IF(N41=""," ",N41*Inputs!$B$39)</f>
        <v xml:space="preserve"> </v>
      </c>
      <c r="AJ41" s="50" t="str">
        <f>IF(O41=""," ",O41*Inputs!$B$39)</f>
        <v xml:space="preserve"> </v>
      </c>
      <c r="AK41" s="50" t="str">
        <f>IF(P41=""," ",P41*Inputs!$B$39)</f>
        <v xml:space="preserve"> </v>
      </c>
      <c r="AL41" s="50" t="str">
        <f>IF(Q41=""," ",Q41*Inputs!$B$39)</f>
        <v xml:space="preserve"> </v>
      </c>
      <c r="AM41" s="50" t="str">
        <f>IF(R41=""," ",R41*Inputs!$B$39)</f>
        <v xml:space="preserve"> </v>
      </c>
      <c r="AN41" s="50" t="str">
        <f>IF(S41=""," ",S41*Inputs!$B$39)</f>
        <v xml:space="preserve"> </v>
      </c>
      <c r="AO41" s="50" t="str">
        <f>IF(T41=""," ",T41*Inputs!$B$39)</f>
        <v xml:space="preserve"> </v>
      </c>
      <c r="AP41" s="50" t="str">
        <f>IF(U41=""," ",U41*Inputs!$B$39)</f>
        <v xml:space="preserve"> </v>
      </c>
      <c r="AR41" s="589"/>
      <c r="AS41" s="555"/>
      <c r="AT41" s="51"/>
      <c r="AU41" s="33" t="s">
        <v>499</v>
      </c>
      <c r="AV41" s="50" t="str">
        <f>IF(AA41=" "," ",AA41*Inputs!$B$66)</f>
        <v xml:space="preserve"> </v>
      </c>
      <c r="AW41" s="50" t="str">
        <f>IF(AB41=" "," ",AB41*Inputs!$B$66)</f>
        <v xml:space="preserve"> </v>
      </c>
      <c r="AX41" s="50" t="str">
        <f>IF(AC41=" "," ",AC41*Inputs!$B$66)</f>
        <v xml:space="preserve"> </v>
      </c>
      <c r="AY41" s="50" t="str">
        <f>IF(AD41=" "," ",AD41*Inputs!$B$66)</f>
        <v xml:space="preserve"> </v>
      </c>
      <c r="AZ41" s="50" t="str">
        <f>IF(AE41=" "," ",AE41*Inputs!$B$66)</f>
        <v xml:space="preserve"> </v>
      </c>
      <c r="BA41" s="50" t="str">
        <f>IF(AF41=" "," ",AF41*Inputs!$B$66)</f>
        <v xml:space="preserve"> </v>
      </c>
      <c r="BB41" s="50" t="str">
        <f>IF(AG41=" "," ",AG41*Inputs!$B$66)</f>
        <v xml:space="preserve"> </v>
      </c>
      <c r="BC41" s="50" t="str">
        <f>IF(AH41=" "," ",AH41*Inputs!$B$66)</f>
        <v xml:space="preserve"> </v>
      </c>
      <c r="BD41" s="50" t="str">
        <f>IF(AI41=" "," ",AI41*Inputs!$B$66)</f>
        <v xml:space="preserve"> </v>
      </c>
      <c r="BE41" s="50" t="str">
        <f>IF(AJ41=" "," ",AJ41*Inputs!$B$66)</f>
        <v xml:space="preserve"> </v>
      </c>
      <c r="BF41" s="50" t="str">
        <f>IF(AK41=" "," ",AK41*Inputs!$B$66)</f>
        <v xml:space="preserve"> </v>
      </c>
      <c r="BG41" s="50" t="str">
        <f>IF(AL41=" "," ",AL41*Inputs!$B$66)</f>
        <v xml:space="preserve"> </v>
      </c>
      <c r="BH41" s="50" t="str">
        <f>IF(AM41=" "," ",AM41*Inputs!$B$66)</f>
        <v xml:space="preserve"> </v>
      </c>
      <c r="BI41" s="50" t="str">
        <f>IF(AN41=" "," ",AN41*Inputs!$B$66)</f>
        <v xml:space="preserve"> </v>
      </c>
      <c r="BJ41" s="50" t="str">
        <f>IF(AO41=" "," ",AO41*Inputs!$B$66)</f>
        <v xml:space="preserve"> </v>
      </c>
      <c r="BK41" s="50" t="str">
        <f>IF(AP41=" "," ",AP41*Inputs!$B$66)</f>
        <v xml:space="preserve"> </v>
      </c>
    </row>
    <row r="42" spans="2:63" x14ac:dyDescent="0.25">
      <c r="B42" s="589"/>
      <c r="C42" s="555"/>
      <c r="D42" s="589"/>
      <c r="E42" s="21"/>
      <c r="F42" s="152"/>
      <c r="G42" s="152"/>
      <c r="H42" s="152"/>
      <c r="I42" s="152"/>
      <c r="J42" s="152"/>
      <c r="K42" s="152"/>
      <c r="L42" s="152"/>
      <c r="M42" s="152"/>
      <c r="N42" s="152"/>
      <c r="O42" s="152"/>
      <c r="P42" s="152"/>
      <c r="Q42" s="152"/>
      <c r="R42" s="152"/>
      <c r="S42" s="152"/>
      <c r="T42" s="152"/>
      <c r="U42" s="152"/>
      <c r="W42" s="589"/>
      <c r="X42" s="555"/>
      <c r="Y42" s="51"/>
      <c r="Z42" s="27" t="s">
        <v>500</v>
      </c>
      <c r="AA42" s="50" t="str">
        <f>IF(F42=""," ",F42*Inputs!$B$39)</f>
        <v xml:space="preserve"> </v>
      </c>
      <c r="AB42" s="50" t="str">
        <f>IF(G42=""," ",G42*Inputs!$B$39)</f>
        <v xml:space="preserve"> </v>
      </c>
      <c r="AC42" s="50" t="str">
        <f>IF(H42=""," ",H42*Inputs!$B$39)</f>
        <v xml:space="preserve"> </v>
      </c>
      <c r="AD42" s="50" t="str">
        <f>IF(I42=""," ",I42*Inputs!$B$39)</f>
        <v xml:space="preserve"> </v>
      </c>
      <c r="AE42" s="50" t="str">
        <f>IF(J42=""," ",J42*Inputs!$B$39)</f>
        <v xml:space="preserve"> </v>
      </c>
      <c r="AF42" s="50" t="str">
        <f>IF(K42=""," ",K42*Inputs!$B$39)</f>
        <v xml:space="preserve"> </v>
      </c>
      <c r="AG42" s="50" t="str">
        <f>IF(L42=""," ",L42*Inputs!$B$39)</f>
        <v xml:space="preserve"> </v>
      </c>
      <c r="AH42" s="50" t="str">
        <f>IF(M42=""," ",M42*Inputs!$B$39)</f>
        <v xml:space="preserve"> </v>
      </c>
      <c r="AI42" s="50" t="str">
        <f>IF(N42=""," ",N42*Inputs!$B$39)</f>
        <v xml:space="preserve"> </v>
      </c>
      <c r="AJ42" s="50" t="str">
        <f>IF(O42=""," ",O42*Inputs!$B$39)</f>
        <v xml:space="preserve"> </v>
      </c>
      <c r="AK42" s="50" t="str">
        <f>IF(P42=""," ",P42*Inputs!$B$39)</f>
        <v xml:space="preserve"> </v>
      </c>
      <c r="AL42" s="50" t="str">
        <f>IF(Q42=""," ",Q42*Inputs!$B$39)</f>
        <v xml:space="preserve"> </v>
      </c>
      <c r="AM42" s="50" t="str">
        <f>IF(R42=""," ",R42*Inputs!$B$39)</f>
        <v xml:space="preserve"> </v>
      </c>
      <c r="AN42" s="50" t="str">
        <f>IF(S42=""," ",S42*Inputs!$B$39)</f>
        <v xml:space="preserve"> </v>
      </c>
      <c r="AO42" s="50" t="str">
        <f>IF(T42=""," ",T42*Inputs!$B$39)</f>
        <v xml:space="preserve"> </v>
      </c>
      <c r="AP42" s="50" t="str">
        <f>IF(U42=""," ",U42*Inputs!$B$39)</f>
        <v xml:space="preserve"> </v>
      </c>
      <c r="AR42" s="589"/>
      <c r="AS42" s="555"/>
      <c r="AT42" s="51"/>
      <c r="AU42" s="33" t="s">
        <v>500</v>
      </c>
      <c r="AV42" s="50" t="str">
        <f>IF(AA42=" "," ",AA42*Inputs!$B$66)</f>
        <v xml:space="preserve"> </v>
      </c>
      <c r="AW42" s="50" t="str">
        <f>IF(AB42=" "," ",AB42*Inputs!$B$66)</f>
        <v xml:space="preserve"> </v>
      </c>
      <c r="AX42" s="50" t="str">
        <f>IF(AC42=" "," ",AC42*Inputs!$B$66)</f>
        <v xml:space="preserve"> </v>
      </c>
      <c r="AY42" s="50" t="str">
        <f>IF(AD42=" "," ",AD42*Inputs!$B$66)</f>
        <v xml:space="preserve"> </v>
      </c>
      <c r="AZ42" s="50" t="str">
        <f>IF(AE42=" "," ",AE42*Inputs!$B$66)</f>
        <v xml:space="preserve"> </v>
      </c>
      <c r="BA42" s="50" t="str">
        <f>IF(AF42=" "," ",AF42*Inputs!$B$66)</f>
        <v xml:space="preserve"> </v>
      </c>
      <c r="BB42" s="50" t="str">
        <f>IF(AG42=" "," ",AG42*Inputs!$B$66)</f>
        <v xml:space="preserve"> </v>
      </c>
      <c r="BC42" s="50" t="str">
        <f>IF(AH42=" "," ",AH42*Inputs!$B$66)</f>
        <v xml:space="preserve"> </v>
      </c>
      <c r="BD42" s="50" t="str">
        <f>IF(AI42=" "," ",AI42*Inputs!$B$66)</f>
        <v xml:space="preserve"> </v>
      </c>
      <c r="BE42" s="50" t="str">
        <f>IF(AJ42=" "," ",AJ42*Inputs!$B$66)</f>
        <v xml:space="preserve"> </v>
      </c>
      <c r="BF42" s="50" t="str">
        <f>IF(AK42=" "," ",AK42*Inputs!$B$66)</f>
        <v xml:space="preserve"> </v>
      </c>
      <c r="BG42" s="50" t="str">
        <f>IF(AL42=" "," ",AL42*Inputs!$B$66)</f>
        <v xml:space="preserve"> </v>
      </c>
      <c r="BH42" s="50" t="str">
        <f>IF(AM42=" "," ",AM42*Inputs!$B$66)</f>
        <v xml:space="preserve"> </v>
      </c>
      <c r="BI42" s="50" t="str">
        <f>IF(AN42=" "," ",AN42*Inputs!$B$66)</f>
        <v xml:space="preserve"> </v>
      </c>
      <c r="BJ42" s="50" t="str">
        <f>IF(AO42=" "," ",AO42*Inputs!$B$66)</f>
        <v xml:space="preserve"> </v>
      </c>
      <c r="BK42" s="50" t="str">
        <f>IF(AP42=" "," ",AP42*Inputs!$B$66)</f>
        <v xml:space="preserve"> </v>
      </c>
    </row>
    <row r="43" spans="2:63" x14ac:dyDescent="0.25">
      <c r="B43" s="591"/>
      <c r="C43" s="560"/>
      <c r="D43" s="591"/>
      <c r="E43" s="149"/>
      <c r="F43" s="153"/>
      <c r="G43" s="153"/>
      <c r="H43" s="153"/>
      <c r="I43" s="153"/>
      <c r="J43" s="153"/>
      <c r="K43" s="153"/>
      <c r="L43" s="153"/>
      <c r="M43" s="153"/>
      <c r="N43" s="153"/>
      <c r="O43" s="153"/>
      <c r="P43" s="153"/>
      <c r="Q43" s="153"/>
      <c r="R43" s="153"/>
      <c r="S43" s="153"/>
      <c r="T43" s="153"/>
      <c r="U43" s="153"/>
      <c r="W43" s="591"/>
      <c r="X43" s="560"/>
      <c r="Y43" s="52"/>
      <c r="Z43" s="29" t="s">
        <v>501</v>
      </c>
      <c r="AA43" s="50" t="str">
        <f>IF(F43=""," ",F43*Inputs!$B$39)</f>
        <v xml:space="preserve"> </v>
      </c>
      <c r="AB43" s="50" t="str">
        <f>IF(G43=""," ",G43*Inputs!$B$39)</f>
        <v xml:space="preserve"> </v>
      </c>
      <c r="AC43" s="50" t="str">
        <f>IF(H43=""," ",H43*Inputs!$B$39)</f>
        <v xml:space="preserve"> </v>
      </c>
      <c r="AD43" s="50" t="str">
        <f>IF(I43=""," ",I43*Inputs!$B$39)</f>
        <v xml:space="preserve"> </v>
      </c>
      <c r="AE43" s="50" t="str">
        <f>IF(J43=""," ",J43*Inputs!$B$39)</f>
        <v xml:space="preserve"> </v>
      </c>
      <c r="AF43" s="50" t="str">
        <f>IF(K43=""," ",K43*Inputs!$B$39)</f>
        <v xml:space="preserve"> </v>
      </c>
      <c r="AG43" s="50" t="str">
        <f>IF(L43=""," ",L43*Inputs!$B$39)</f>
        <v xml:space="preserve"> </v>
      </c>
      <c r="AH43" s="50" t="str">
        <f>IF(M43=""," ",M43*Inputs!$B$39)</f>
        <v xml:space="preserve"> </v>
      </c>
      <c r="AI43" s="50" t="str">
        <f>IF(N43=""," ",N43*Inputs!$B$39)</f>
        <v xml:space="preserve"> </v>
      </c>
      <c r="AJ43" s="50" t="str">
        <f>IF(O43=""," ",O43*Inputs!$B$39)</f>
        <v xml:space="preserve"> </v>
      </c>
      <c r="AK43" s="50" t="str">
        <f>IF(P43=""," ",P43*Inputs!$B$39)</f>
        <v xml:space="preserve"> </v>
      </c>
      <c r="AL43" s="50" t="str">
        <f>IF(Q43=""," ",Q43*Inputs!$B$39)</f>
        <v xml:space="preserve"> </v>
      </c>
      <c r="AM43" s="50" t="str">
        <f>IF(R43=""," ",R43*Inputs!$B$39)</f>
        <v xml:space="preserve"> </v>
      </c>
      <c r="AN43" s="50" t="str">
        <f>IF(S43=""," ",S43*Inputs!$B$39)</f>
        <v xml:space="preserve"> </v>
      </c>
      <c r="AO43" s="50" t="str">
        <f>IF(T43=""," ",T43*Inputs!$B$39)</f>
        <v xml:space="preserve"> </v>
      </c>
      <c r="AP43" s="50" t="str">
        <f>IF(U43=""," ",U43*Inputs!$B$39)</f>
        <v xml:space="preserve"> </v>
      </c>
      <c r="AR43" s="591"/>
      <c r="AS43" s="560"/>
      <c r="AT43" s="52"/>
      <c r="AU43" s="6" t="s">
        <v>501</v>
      </c>
      <c r="AV43" s="50" t="str">
        <f>IF(AA43=" "," ",AA43*Inputs!$B$66)</f>
        <v xml:space="preserve"> </v>
      </c>
      <c r="AW43" s="50" t="str">
        <f>IF(AB43=" "," ",AB43*Inputs!$B$66)</f>
        <v xml:space="preserve"> </v>
      </c>
      <c r="AX43" s="50" t="str">
        <f>IF(AC43=" "," ",AC43*Inputs!$B$66)</f>
        <v xml:space="preserve"> </v>
      </c>
      <c r="AY43" s="50" t="str">
        <f>IF(AD43=" "," ",AD43*Inputs!$B$66)</f>
        <v xml:space="preserve"> </v>
      </c>
      <c r="AZ43" s="50" t="str">
        <f>IF(AE43=" "," ",AE43*Inputs!$B$66)</f>
        <v xml:space="preserve"> </v>
      </c>
      <c r="BA43" s="50" t="str">
        <f>IF(AF43=" "," ",AF43*Inputs!$B$66)</f>
        <v xml:space="preserve"> </v>
      </c>
      <c r="BB43" s="50" t="str">
        <f>IF(AG43=" "," ",AG43*Inputs!$B$66)</f>
        <v xml:space="preserve"> </v>
      </c>
      <c r="BC43" s="50" t="str">
        <f>IF(AH43=" "," ",AH43*Inputs!$B$66)</f>
        <v xml:space="preserve"> </v>
      </c>
      <c r="BD43" s="50" t="str">
        <f>IF(AI43=" "," ",AI43*Inputs!$B$66)</f>
        <v xml:space="preserve"> </v>
      </c>
      <c r="BE43" s="50" t="str">
        <f>IF(AJ43=" "," ",AJ43*Inputs!$B$66)</f>
        <v xml:space="preserve"> </v>
      </c>
      <c r="BF43" s="50" t="str">
        <f>IF(AK43=" "," ",AK43*Inputs!$B$66)</f>
        <v xml:space="preserve"> </v>
      </c>
      <c r="BG43" s="50" t="str">
        <f>IF(AL43=" "," ",AL43*Inputs!$B$66)</f>
        <v xml:space="preserve"> </v>
      </c>
      <c r="BH43" s="50" t="str">
        <f>IF(AM43=" "," ",AM43*Inputs!$B$66)</f>
        <v xml:space="preserve"> </v>
      </c>
      <c r="BI43" s="50" t="str">
        <f>IF(AN43=" "," ",AN43*Inputs!$B$66)</f>
        <v xml:space="preserve"> </v>
      </c>
      <c r="BJ43" s="50" t="str">
        <f>IF(AO43=" "," ",AO43*Inputs!$B$66)</f>
        <v xml:space="preserve"> </v>
      </c>
      <c r="BK43" s="50" t="str">
        <f>IF(AP43=" "," ",AP43*Inputs!$B$66)</f>
        <v xml:space="preserve"> </v>
      </c>
    </row>
    <row r="47" spans="2:63" ht="15.75" customHeight="1" thickBot="1" x14ac:dyDescent="0.3">
      <c r="B47" s="565"/>
      <c r="C47" s="565"/>
      <c r="D47" s="565"/>
      <c r="E47" s="565"/>
      <c r="F47" s="565"/>
      <c r="G47" s="565"/>
      <c r="H47" s="565"/>
      <c r="I47" s="565"/>
      <c r="J47" s="565"/>
    </row>
    <row r="48" spans="2:63" ht="18.75" customHeight="1" thickBot="1" x14ac:dyDescent="0.3">
      <c r="B48" s="565"/>
      <c r="C48" s="565"/>
      <c r="D48" s="565"/>
      <c r="E48" s="602" t="s">
        <v>535</v>
      </c>
      <c r="F48" s="544"/>
      <c r="G48" s="544"/>
      <c r="H48" s="544"/>
      <c r="I48" s="544"/>
      <c r="J48" s="544"/>
      <c r="K48" s="544"/>
      <c r="L48" s="544"/>
      <c r="M48" s="544"/>
      <c r="N48" s="544"/>
      <c r="O48" s="545"/>
      <c r="P48" s="146" t="s">
        <v>284</v>
      </c>
      <c r="Q48" s="146" t="str">
        <f>Inputs!B33</f>
        <v>XX</v>
      </c>
    </row>
    <row r="49" spans="2:17" x14ac:dyDescent="0.25">
      <c r="B49" s="565"/>
      <c r="C49" s="565"/>
      <c r="D49" s="565"/>
      <c r="E49" s="610" t="s">
        <v>41</v>
      </c>
      <c r="F49" s="598" t="s">
        <v>9</v>
      </c>
      <c r="G49" s="598" t="s">
        <v>495</v>
      </c>
      <c r="H49" s="598" t="s">
        <v>520</v>
      </c>
      <c r="I49" s="599" t="s">
        <v>370</v>
      </c>
      <c r="J49" s="547"/>
      <c r="K49" s="547"/>
      <c r="L49" s="547"/>
      <c r="M49" s="547"/>
      <c r="N49" s="547"/>
      <c r="O49" s="548"/>
    </row>
    <row r="50" spans="2:17" x14ac:dyDescent="0.25">
      <c r="B50" s="565"/>
      <c r="C50" s="565"/>
      <c r="D50" s="565"/>
      <c r="E50" s="611"/>
      <c r="F50" s="591"/>
      <c r="G50" s="591"/>
      <c r="H50" s="591"/>
      <c r="I50" s="84">
        <v>0.8</v>
      </c>
      <c r="J50" s="84">
        <v>0.96</v>
      </c>
      <c r="K50" s="84">
        <v>1.1200000000000001</v>
      </c>
      <c r="L50" s="84"/>
      <c r="M50" s="84"/>
      <c r="N50" s="84">
        <v>1.3</v>
      </c>
      <c r="O50" s="100">
        <v>1.5</v>
      </c>
      <c r="Q50" s="86" t="e">
        <f>Inputs!B67</f>
        <v>#VALUE!</v>
      </c>
    </row>
    <row r="51" spans="2:17" x14ac:dyDescent="0.25">
      <c r="B51" s="565"/>
      <c r="C51" s="565"/>
      <c r="D51" s="565"/>
      <c r="E51" s="603" t="str">
        <f>Inputs!B7</f>
        <v>XX</v>
      </c>
      <c r="F51" s="633"/>
      <c r="G51" s="609" t="s">
        <v>471</v>
      </c>
      <c r="H51" s="87" t="s">
        <v>522</v>
      </c>
      <c r="I51" s="88">
        <f t="shared" ref="I51:I80" si="0">IF(AND($E$51&gt;=0.25,$E$51&lt;0.35),I429,IF(AND($E$51&gt;=0.35,$E$51&lt;0.45),W429,AH429))</f>
        <v>1</v>
      </c>
      <c r="J51" s="88">
        <f t="shared" ref="J51:J80" si="1">IF(AND($E$51&gt;=0.25,$E$51&lt;0.35),J429,IF(AND($E$51&gt;=0.35,$E$51&lt;0.45),X429,AI429))</f>
        <v>1.1391296477793049</v>
      </c>
      <c r="K51" s="88">
        <f t="shared" ref="K51:K80" si="2">IF(AND($E$51&gt;=0.25,$E$51&lt;0.35),K429,IF(AND($E$51&gt;=0.35,$E$51&lt;0.45),Y429,AJ429))</f>
        <v>1.1734054524357891</v>
      </c>
      <c r="L51" s="88"/>
      <c r="M51" s="88"/>
      <c r="N51" s="88">
        <f t="shared" ref="N51:N80" si="3">IF(AND($E$51&gt;=0.25,$E$51&lt;0.35),N429,IF(AND($E$51&gt;=0.35,$E$51&lt;0.45),Z429,AK429))</f>
        <v>1.207618452137091</v>
      </c>
      <c r="O51" s="88">
        <f t="shared" ref="O51:O80" si="4">IF(AND($E$51&gt;=0.25,$E$51&lt;0.35),O429,IF(AND($E$51&gt;=0.35,$E$51&lt;0.45),AA429,AL429))</f>
        <v>1.2414948383242781</v>
      </c>
      <c r="P51" s="102">
        <v>0</v>
      </c>
      <c r="Q51" s="26" t="e">
        <f>IF(VALUE($Q$50)&lt;=0.8,"1",IF(AND(VALUE($Q$50)&gt;0.8,VALUE($Q$50)&lt;=0.96),FORECAST(VALUE($Q$50),I51:J51,$I$50:$J$50),IF(AND(VALUE($Q$50)&gt;0.96,VALUE($Q$50)&lt;=1.12),FORECAST(VALUE($Q$50),J51:K51,$J$50:$K$50),IF(AND(VALUE($Q$50)&gt;1.12,VALUE($Q$50)&lt;=1.3),FORECAST(VALUE($Q$50),K51:N51,$K$50:$N$50),FORECAST(VALUE($Q$50),N51:O51,$N$50:$O$50)))))</f>
        <v>#VALUE!</v>
      </c>
    </row>
    <row r="52" spans="2:17" x14ac:dyDescent="0.25">
      <c r="B52" s="565"/>
      <c r="C52" s="565"/>
      <c r="D52" s="565"/>
      <c r="E52" s="604"/>
      <c r="F52" s="589"/>
      <c r="G52" s="589"/>
      <c r="H52" s="90" t="s">
        <v>523</v>
      </c>
      <c r="I52" s="88">
        <f t="shared" si="0"/>
        <v>1</v>
      </c>
      <c r="J52" s="88">
        <f t="shared" si="1"/>
        <v>1.1852947843390751</v>
      </c>
      <c r="K52" s="88">
        <f t="shared" si="2"/>
        <v>1.2210933510551769</v>
      </c>
      <c r="L52" s="88"/>
      <c r="M52" s="88"/>
      <c r="N52" s="88">
        <f t="shared" si="3"/>
        <v>1.256826322597052</v>
      </c>
      <c r="O52" s="88">
        <f t="shared" si="4"/>
        <v>1.2922077259857261</v>
      </c>
      <c r="P52" s="104"/>
      <c r="Q52" s="145" t="e">
        <f>IF($Q$48=0,Q51,Q53)</f>
        <v>#VALUE!</v>
      </c>
    </row>
    <row r="53" spans="2:17" x14ac:dyDescent="0.25">
      <c r="B53" s="565"/>
      <c r="C53" s="565"/>
      <c r="D53" s="565"/>
      <c r="E53" s="604"/>
      <c r="F53" s="589"/>
      <c r="G53" s="589"/>
      <c r="H53" s="90" t="s">
        <v>524</v>
      </c>
      <c r="I53" s="88">
        <f t="shared" si="0"/>
        <v>1</v>
      </c>
      <c r="J53" s="88">
        <f t="shared" si="1"/>
        <v>1.1762306029763161</v>
      </c>
      <c r="K53" s="88">
        <f t="shared" si="2"/>
        <v>1.252461205952633</v>
      </c>
      <c r="L53" s="88"/>
      <c r="M53" s="88"/>
      <c r="N53" s="88">
        <f t="shared" si="3"/>
        <v>1.289193975294866</v>
      </c>
      <c r="O53" s="88">
        <f t="shared" si="4"/>
        <v>1.3255653397126721</v>
      </c>
      <c r="P53" s="105">
        <v>55</v>
      </c>
      <c r="Q53" s="26" t="e">
        <f>IF(VALUE($Q$50)&lt;=0.8,"1",IF(AND(VALUE($Q$50)&gt;0.8,VALUE($Q$50)&lt;=0.96),FORECAST(VALUE($Q$50),I53:J53,$I$50:$J$50),IF(AND(VALUE($Q$50)&gt;0.96,VALUE($Q$50)&lt;=1.12),FORECAST(VALUE($Q$50),J53:K53,$J$50:$K$50),IF(AND(VALUE($Q$50)&gt;1.12,VALUE($Q$50)&lt;=1.3),FORECAST(VALUE($Q$50),K53:N53,$K$50:$N$50),FORECAST(VALUE($Q$50),N53:O53,$N$50:$O$50)))))</f>
        <v>#VALUE!</v>
      </c>
    </row>
    <row r="54" spans="2:17" x14ac:dyDescent="0.25">
      <c r="B54" s="565"/>
      <c r="C54" s="565"/>
      <c r="D54" s="565"/>
      <c r="E54" s="604"/>
      <c r="F54" s="589"/>
      <c r="G54" s="609" t="s">
        <v>7</v>
      </c>
      <c r="H54" s="87" t="s">
        <v>522</v>
      </c>
      <c r="I54" s="88">
        <f t="shared" si="0"/>
        <v>1</v>
      </c>
      <c r="J54" s="88">
        <f t="shared" si="1"/>
        <v>1.1391296477793049</v>
      </c>
      <c r="K54" s="88">
        <f t="shared" si="2"/>
        <v>1.1734054524357891</v>
      </c>
      <c r="L54" s="88"/>
      <c r="M54" s="88"/>
      <c r="N54" s="88">
        <f t="shared" si="3"/>
        <v>1.207618452137091</v>
      </c>
      <c r="O54" s="88">
        <f t="shared" si="4"/>
        <v>1.2414948383242781</v>
      </c>
      <c r="P54" s="102">
        <v>0</v>
      </c>
      <c r="Q54" s="26" t="e">
        <f>IF(VALUE($Q$50)&lt;=0.8,"1",IF(AND(VALUE($Q$50)&gt;0.8,VALUE($Q$50)&lt;=0.96),FORECAST(VALUE($Q$50),I54:J54,$I$50:$J$50),IF(AND(VALUE($Q$50)&gt;0.96,VALUE($Q$50)&lt;=1.12),FORECAST(VALUE($Q$50),J54:K54,$J$50:$K$50),IF(AND(VALUE($Q$50)&gt;1.12,VALUE($Q$50)&lt;=1.3),FORECAST(VALUE($Q$50),K54:N54,$K$50:$N$50),FORECAST(VALUE($Q$50),N54:O54,$N$50:$O$50)))))</f>
        <v>#VALUE!</v>
      </c>
    </row>
    <row r="55" spans="2:17" x14ac:dyDescent="0.25">
      <c r="B55" s="565"/>
      <c r="C55" s="565"/>
      <c r="D55" s="565"/>
      <c r="E55" s="604"/>
      <c r="F55" s="589"/>
      <c r="G55" s="589"/>
      <c r="H55" s="90" t="s">
        <v>523</v>
      </c>
      <c r="I55" s="88">
        <f t="shared" si="0"/>
        <v>1</v>
      </c>
      <c r="J55" s="88">
        <f t="shared" si="1"/>
        <v>1.1537815121044741</v>
      </c>
      <c r="K55" s="88">
        <f t="shared" si="2"/>
        <v>1.188540610102204</v>
      </c>
      <c r="L55" s="88"/>
      <c r="M55" s="88"/>
      <c r="N55" s="88">
        <f t="shared" si="3"/>
        <v>1.223236017586645</v>
      </c>
      <c r="O55" s="88">
        <f t="shared" si="4"/>
        <v>1.2575900652622729</v>
      </c>
      <c r="P55" s="104"/>
      <c r="Q55" s="145" t="e">
        <f>IF($Q$48=0,Q54,Q56)</f>
        <v>#VALUE!</v>
      </c>
    </row>
    <row r="56" spans="2:17" x14ac:dyDescent="0.25">
      <c r="B56" s="565"/>
      <c r="C56" s="565"/>
      <c r="D56" s="565"/>
      <c r="E56" s="604"/>
      <c r="F56" s="589"/>
      <c r="G56" s="589"/>
      <c r="H56" s="90" t="s">
        <v>524</v>
      </c>
      <c r="I56" s="88">
        <f t="shared" si="0"/>
        <v>1</v>
      </c>
      <c r="J56" s="88">
        <f t="shared" si="1"/>
        <v>1.168035844903629</v>
      </c>
      <c r="K56" s="88">
        <f t="shared" si="2"/>
        <v>1.236071689807257</v>
      </c>
      <c r="L56" s="88"/>
      <c r="M56" s="88"/>
      <c r="N56" s="88">
        <f t="shared" si="3"/>
        <v>1.272282070792216</v>
      </c>
      <c r="O56" s="88">
        <f t="shared" si="4"/>
        <v>1.3081361865067469</v>
      </c>
      <c r="P56" s="105">
        <v>55</v>
      </c>
      <c r="Q56" s="26" t="e">
        <f>IF(VALUE($Q$50)&lt;=0.8,"1",IF(AND(VALUE($Q$50)&gt;0.8,VALUE($Q$50)&lt;=0.96),FORECAST(VALUE($Q$50),I56:J56,$I$50:$J$50),IF(AND(VALUE($Q$50)&gt;0.96,VALUE($Q$50)&lt;=1.12),FORECAST(VALUE($Q$50),J56:K56,$J$50:$K$50),IF(AND(VALUE($Q$50)&gt;1.12,VALUE($Q$50)&lt;=1.3),FORECAST(VALUE($Q$50),K56:N56,$K$50:$N$50),FORECAST(VALUE($Q$50),N56:O56,$N$50:$O$50)))))</f>
        <v>#VALUE!</v>
      </c>
    </row>
    <row r="57" spans="2:17" x14ac:dyDescent="0.25">
      <c r="B57" s="565"/>
      <c r="C57" s="565"/>
      <c r="D57" s="565"/>
      <c r="E57" s="604"/>
      <c r="F57" s="619"/>
      <c r="G57" s="609" t="s">
        <v>471</v>
      </c>
      <c r="H57" s="87" t="s">
        <v>522</v>
      </c>
      <c r="I57" s="88">
        <f t="shared" si="0"/>
        <v>1</v>
      </c>
      <c r="J57" s="88">
        <f t="shared" si="1"/>
        <v>1.0391296477793051</v>
      </c>
      <c r="K57" s="88">
        <f t="shared" si="2"/>
        <v>1.073405452435789</v>
      </c>
      <c r="L57" s="88"/>
      <c r="M57" s="88"/>
      <c r="N57" s="88">
        <f t="shared" si="3"/>
        <v>1.1076184521370911</v>
      </c>
      <c r="O57" s="88">
        <f t="shared" si="4"/>
        <v>1.141494838324278</v>
      </c>
      <c r="P57" s="106">
        <v>0</v>
      </c>
      <c r="Q57" s="26" t="e">
        <f>IF(VALUE($Q$50)&lt;=0.8,"1",IF(AND(VALUE($Q$50)&gt;0.8,VALUE($Q$50)&lt;=0.96),FORECAST(VALUE($Q$50),I57:J57,$I$50:$J$50),IF(AND(VALUE($Q$50)&gt;0.96,VALUE($Q$50)&lt;=1.12),FORECAST(VALUE($Q$50),J57:K57,$J$50:$K$50),IF(AND(VALUE($Q$50)&gt;1.12,VALUE($Q$50)&lt;=1.3),FORECAST(VALUE($Q$50),K57:N57,$K$50:$N$50),FORECAST(VALUE($Q$50),N57:O57,$N$50:$O$50)))))</f>
        <v>#VALUE!</v>
      </c>
    </row>
    <row r="58" spans="2:17" x14ac:dyDescent="0.25">
      <c r="B58" s="565"/>
      <c r="C58" s="565"/>
      <c r="D58" s="565"/>
      <c r="E58" s="604"/>
      <c r="F58" s="589"/>
      <c r="G58" s="589"/>
      <c r="H58" s="90" t="s">
        <v>523</v>
      </c>
      <c r="I58" s="88">
        <f t="shared" si="0"/>
        <v>1</v>
      </c>
      <c r="J58" s="88">
        <f t="shared" si="1"/>
        <v>1.097041049150985</v>
      </c>
      <c r="K58" s="88">
        <f t="shared" si="2"/>
        <v>1.1332270676917919</v>
      </c>
      <c r="L58" s="88"/>
      <c r="M58" s="88"/>
      <c r="N58" s="88">
        <f t="shared" si="3"/>
        <v>1.169346781114587</v>
      </c>
      <c r="O58" s="88">
        <f t="shared" si="4"/>
        <v>1.205111121323392</v>
      </c>
      <c r="P58" s="107"/>
      <c r="Q58" s="145" t="e">
        <f>IF($Q$48=0,Q57,Q59)</f>
        <v>#VALUE!</v>
      </c>
    </row>
    <row r="59" spans="2:17" x14ac:dyDescent="0.25">
      <c r="B59" s="565"/>
      <c r="C59" s="565"/>
      <c r="D59" s="565"/>
      <c r="E59" s="604"/>
      <c r="F59" s="589"/>
      <c r="G59" s="589"/>
      <c r="H59" s="90" t="s">
        <v>524</v>
      </c>
      <c r="I59" s="88">
        <f t="shared" si="0"/>
        <v>1</v>
      </c>
      <c r="J59" s="88">
        <f t="shared" si="1"/>
        <v>1.0248979699703771</v>
      </c>
      <c r="K59" s="88">
        <f t="shared" si="2"/>
        <v>1.049795939940753</v>
      </c>
      <c r="L59" s="88"/>
      <c r="M59" s="88"/>
      <c r="N59" s="88">
        <f t="shared" si="3"/>
        <v>1.0832564260023041</v>
      </c>
      <c r="O59" s="88">
        <f t="shared" si="4"/>
        <v>1.116387702351304</v>
      </c>
      <c r="P59" s="108">
        <v>55</v>
      </c>
      <c r="Q59" s="26" t="e">
        <f>IF(VALUE($Q$50)&lt;=0.8,"1",IF(AND(VALUE($Q$50)&gt;0.8,VALUE($Q$50)&lt;=0.96),FORECAST(VALUE($Q$50),I59:J59,$I$50:$J$50),IF(AND(VALUE($Q$50)&gt;0.96,VALUE($Q$50)&lt;=1.12),FORECAST(VALUE($Q$50),J59:K59,$J$50:$K$50),IF(AND(VALUE($Q$50)&gt;1.12,VALUE($Q$50)&lt;=1.3),FORECAST(VALUE($Q$50),K59:N59,$K$50:$N$50),FORECAST(VALUE($Q$50),N59:O59,$N$50:$O$50)))))</f>
        <v>#VALUE!</v>
      </c>
    </row>
    <row r="60" spans="2:17" x14ac:dyDescent="0.25">
      <c r="B60" s="565"/>
      <c r="C60" s="565"/>
      <c r="D60" s="565"/>
      <c r="E60" s="604"/>
      <c r="F60" s="589"/>
      <c r="G60" s="609" t="s">
        <v>7</v>
      </c>
      <c r="H60" s="87" t="s">
        <v>522</v>
      </c>
      <c r="I60" s="88">
        <f t="shared" si="0"/>
        <v>1</v>
      </c>
      <c r="J60" s="88">
        <f t="shared" si="1"/>
        <v>1.0391296477793051</v>
      </c>
      <c r="K60" s="88">
        <f t="shared" si="2"/>
        <v>1.073405452435789</v>
      </c>
      <c r="L60" s="88"/>
      <c r="M60" s="88"/>
      <c r="N60" s="88">
        <f t="shared" si="3"/>
        <v>1.1076184521370911</v>
      </c>
      <c r="O60" s="88">
        <f t="shared" si="4"/>
        <v>1.141494838324278</v>
      </c>
      <c r="P60" s="106">
        <v>0</v>
      </c>
      <c r="Q60" s="26" t="e">
        <f>IF(VALUE($Q$50)&lt;=0.8,"1",IF(AND(VALUE($Q$50)&gt;0.8,VALUE($Q$50)&lt;=0.96),FORECAST(VALUE($Q$50),I60:J60,$I$50:$J$50),IF(AND(VALUE($Q$50)&gt;0.96,VALUE($Q$50)&lt;=1.12),FORECAST(VALUE($Q$50),J60:K60,$J$50:$K$50),IF(AND(VALUE($Q$50)&gt;1.12,VALUE($Q$50)&lt;=1.3),FORECAST(VALUE($Q$50),K60:N60,$K$50:$N$50),FORECAST(VALUE($Q$50),N60:O60,$N$50:$O$50)))))</f>
        <v>#VALUE!</v>
      </c>
    </row>
    <row r="61" spans="2:17" x14ac:dyDescent="0.25">
      <c r="B61" s="565"/>
      <c r="C61" s="565"/>
      <c r="D61" s="565"/>
      <c r="E61" s="604"/>
      <c r="F61" s="589"/>
      <c r="G61" s="589"/>
      <c r="H61" s="90" t="s">
        <v>523</v>
      </c>
      <c r="I61" s="88">
        <f t="shared" si="0"/>
        <v>1</v>
      </c>
      <c r="J61" s="88">
        <f t="shared" si="1"/>
        <v>1.061057143177687</v>
      </c>
      <c r="K61" s="88">
        <f t="shared" si="2"/>
        <v>1.0960562286591251</v>
      </c>
      <c r="L61" s="88"/>
      <c r="M61" s="88"/>
      <c r="N61" s="88">
        <f t="shared" si="3"/>
        <v>1.130991183888419</v>
      </c>
      <c r="O61" s="88">
        <f t="shared" si="4"/>
        <v>1.165582422455981</v>
      </c>
      <c r="P61" s="107"/>
      <c r="Q61" s="145" t="e">
        <f>IF($Q$48=0,Q60,Q62)</f>
        <v>#VALUE!</v>
      </c>
    </row>
    <row r="62" spans="2:17" x14ac:dyDescent="0.25">
      <c r="B62" s="565"/>
      <c r="C62" s="565"/>
      <c r="D62" s="565"/>
      <c r="E62" s="604"/>
      <c r="F62" s="589"/>
      <c r="G62" s="589"/>
      <c r="H62" s="90" t="s">
        <v>524</v>
      </c>
      <c r="I62" s="88">
        <f t="shared" si="0"/>
        <v>1</v>
      </c>
      <c r="J62" s="88">
        <f t="shared" si="1"/>
        <v>1.089404492986193</v>
      </c>
      <c r="K62" s="88">
        <f t="shared" si="2"/>
        <v>1.1788089859723869</v>
      </c>
      <c r="L62" s="88"/>
      <c r="M62" s="88"/>
      <c r="N62" s="88">
        <f t="shared" si="3"/>
        <v>1.2163815466422121</v>
      </c>
      <c r="O62" s="88">
        <f t="shared" si="4"/>
        <v>1.253584439881769</v>
      </c>
      <c r="P62" s="108">
        <v>55</v>
      </c>
      <c r="Q62" s="26" t="e">
        <f>IF(VALUE($Q$50)&lt;=0.8,"1",IF(AND(VALUE($Q$50)&gt;0.8,VALUE($Q$50)&lt;=0.96),FORECAST(VALUE($Q$50),I62:J62,$I$50:$J$50),IF(AND(VALUE($Q$50)&gt;0.96,VALUE($Q$50)&lt;=1.12),FORECAST(VALUE($Q$50),J62:K62,$J$50:$K$50),IF(AND(VALUE($Q$50)&gt;1.12,VALUE($Q$50)&lt;=1.3),FORECAST(VALUE($Q$50),K62:N62,$K$50:$N$50),FORECAST(VALUE($Q$50),N62:O62,$N$50:$O$50)))))</f>
        <v>#VALUE!</v>
      </c>
    </row>
    <row r="63" spans="2:17" x14ac:dyDescent="0.25">
      <c r="B63" s="565"/>
      <c r="C63" s="565"/>
      <c r="D63" s="565"/>
      <c r="E63" s="604"/>
      <c r="F63" s="621"/>
      <c r="G63" s="609" t="s">
        <v>471</v>
      </c>
      <c r="H63" s="87" t="s">
        <v>522</v>
      </c>
      <c r="I63" s="88">
        <f t="shared" si="0"/>
        <v>1</v>
      </c>
      <c r="J63" s="88">
        <f t="shared" si="1"/>
        <v>1.1391296477793049</v>
      </c>
      <c r="K63" s="88">
        <f t="shared" si="2"/>
        <v>1.1734054524357891</v>
      </c>
      <c r="L63" s="88"/>
      <c r="M63" s="88"/>
      <c r="N63" s="88">
        <f t="shared" si="3"/>
        <v>1.207618452137091</v>
      </c>
      <c r="O63" s="88">
        <f t="shared" si="4"/>
        <v>1.2414948383242781</v>
      </c>
      <c r="P63" s="89">
        <v>0</v>
      </c>
      <c r="Q63" s="26" t="e">
        <f>IF(VALUE($Q$50)&lt;=0.8,"1",IF(AND(VALUE($Q$50)&gt;0.8,VALUE($Q$50)&lt;=0.96),FORECAST(VALUE($Q$50),I63:J63,$I$50:$J$50),IF(AND(VALUE($Q$50)&gt;0.96,VALUE($Q$50)&lt;=1.12),FORECAST(VALUE($Q$50),J63:K63,$J$50:$K$50),IF(AND(VALUE($Q$50)&gt;1.12,VALUE($Q$50)&lt;=1.3),FORECAST(VALUE($Q$50),K63:N63,$K$50:$N$50),FORECAST(VALUE($Q$50),N63:O63,$N$50:$O$50)))))</f>
        <v>#VALUE!</v>
      </c>
    </row>
    <row r="64" spans="2:17" x14ac:dyDescent="0.25">
      <c r="B64" s="565"/>
      <c r="C64" s="565"/>
      <c r="D64" s="565"/>
      <c r="E64" s="604"/>
      <c r="F64" s="589"/>
      <c r="G64" s="589"/>
      <c r="H64" s="90" t="s">
        <v>523</v>
      </c>
      <c r="I64" s="88">
        <f t="shared" si="0"/>
        <v>1</v>
      </c>
      <c r="J64" s="88">
        <f t="shared" si="1"/>
        <v>1.175336301382095</v>
      </c>
      <c r="K64" s="88">
        <f t="shared" si="2"/>
        <v>1.2108063864527761</v>
      </c>
      <c r="L64" s="88"/>
      <c r="M64" s="88"/>
      <c r="N64" s="88">
        <f t="shared" si="3"/>
        <v>1.2462114782395499</v>
      </c>
      <c r="O64" s="88">
        <f t="shared" si="4"/>
        <v>1.281268227803545</v>
      </c>
      <c r="P64" s="92"/>
      <c r="Q64" s="145" t="e">
        <f>IF($Q$48=0,Q63,Q65)</f>
        <v>#VALUE!</v>
      </c>
    </row>
    <row r="65" spans="2:17" x14ac:dyDescent="0.25">
      <c r="B65" s="565"/>
      <c r="C65" s="565"/>
      <c r="D65" s="565"/>
      <c r="E65" s="604"/>
      <c r="F65" s="589"/>
      <c r="G65" s="589"/>
      <c r="H65" s="109" t="s">
        <v>524</v>
      </c>
      <c r="I65" s="88">
        <f t="shared" si="0"/>
        <v>1</v>
      </c>
      <c r="J65" s="88">
        <f t="shared" si="1"/>
        <v>1.1916152978727299</v>
      </c>
      <c r="K65" s="88">
        <f t="shared" si="2"/>
        <v>1.2832305957454599</v>
      </c>
      <c r="L65" s="88"/>
      <c r="M65" s="88"/>
      <c r="N65" s="88">
        <f t="shared" si="3"/>
        <v>1.3209440878159051</v>
      </c>
      <c r="O65" s="88">
        <f t="shared" si="4"/>
        <v>1.3582865258657679</v>
      </c>
      <c r="P65" s="93">
        <v>55</v>
      </c>
      <c r="Q65" s="26" t="e">
        <f>IF(VALUE($Q$50)&lt;=0.8,"1",IF(AND(VALUE($Q$50)&gt;0.8,VALUE($Q$50)&lt;=0.96),FORECAST(VALUE($Q$50),I65:J65,$I$50:$J$50),IF(AND(VALUE($Q$50)&gt;0.96,VALUE($Q$50)&lt;=1.12),FORECAST(VALUE($Q$50),J65:K65,$J$50:$K$50),IF(AND(VALUE($Q$50)&gt;1.12,VALUE($Q$50)&lt;=1.3),FORECAST(VALUE($Q$50),K65:N65,$K$50:$N$50),FORECAST(VALUE($Q$50),N65:O65,$N$50:$O$50)))))</f>
        <v>#VALUE!</v>
      </c>
    </row>
    <row r="66" spans="2:17" x14ac:dyDescent="0.25">
      <c r="B66" s="565"/>
      <c r="C66" s="565"/>
      <c r="D66" s="565"/>
      <c r="E66" s="604"/>
      <c r="F66" s="589"/>
      <c r="G66" s="609" t="s">
        <v>7</v>
      </c>
      <c r="H66" s="111" t="s">
        <v>522</v>
      </c>
      <c r="I66" s="88">
        <f t="shared" si="0"/>
        <v>1</v>
      </c>
      <c r="J66" s="88">
        <f t="shared" si="1"/>
        <v>1.1391296477793049</v>
      </c>
      <c r="K66" s="88">
        <f t="shared" si="2"/>
        <v>1.1734054524357891</v>
      </c>
      <c r="L66" s="88"/>
      <c r="M66" s="88"/>
      <c r="N66" s="88">
        <f t="shared" si="3"/>
        <v>1.207618452137091</v>
      </c>
      <c r="O66" s="88">
        <f t="shared" si="4"/>
        <v>1.2414948383242781</v>
      </c>
      <c r="P66" s="89">
        <v>0</v>
      </c>
      <c r="Q66" s="26" t="e">
        <f>IF(VALUE($Q$50)&lt;=0.8,"1",IF(AND(VALUE($Q$50)&gt;0.8,VALUE($Q$50)&lt;=0.96),FORECAST(VALUE($Q$50),I66:J66,$I$50:$J$50),IF(AND(VALUE($Q$50)&gt;0.96,VALUE($Q$50)&lt;=1.12),FORECAST(VALUE($Q$50),J66:K66,$J$50:$K$50),IF(AND(VALUE($Q$50)&gt;1.12,VALUE($Q$50)&lt;=1.3),FORECAST(VALUE($Q$50),K66:N66,$K$50:$N$50),FORECAST(VALUE($Q$50),N66:O66,$N$50:$O$50)))))</f>
        <v>#VALUE!</v>
      </c>
    </row>
    <row r="67" spans="2:17" x14ac:dyDescent="0.25">
      <c r="B67" s="565"/>
      <c r="C67" s="565"/>
      <c r="D67" s="565"/>
      <c r="E67" s="604"/>
      <c r="F67" s="589"/>
      <c r="G67" s="589"/>
      <c r="H67" s="90" t="s">
        <v>523</v>
      </c>
      <c r="I67" s="88">
        <f t="shared" si="0"/>
        <v>1</v>
      </c>
      <c r="J67" s="88">
        <f t="shared" si="1"/>
        <v>1.18409360571559</v>
      </c>
      <c r="K67" s="88">
        <f t="shared" si="2"/>
        <v>1.2198525514239149</v>
      </c>
      <c r="L67" s="88"/>
      <c r="M67" s="88"/>
      <c r="N67" s="88">
        <f t="shared" si="3"/>
        <v>1.255545974557202</v>
      </c>
      <c r="O67" s="88">
        <f t="shared" si="4"/>
        <v>1.290888218644612</v>
      </c>
      <c r="P67" s="92"/>
      <c r="Q67" s="145" t="e">
        <f>IF($Q$48=0,Q66,Q68)</f>
        <v>#VALUE!</v>
      </c>
    </row>
    <row r="68" spans="2:17" x14ac:dyDescent="0.25">
      <c r="B68" s="565"/>
      <c r="C68" s="565"/>
      <c r="D68" s="565"/>
      <c r="E68" s="604"/>
      <c r="F68" s="589"/>
      <c r="G68" s="589"/>
      <c r="H68" s="112" t="s">
        <v>524</v>
      </c>
      <c r="I68" s="88">
        <f t="shared" si="0"/>
        <v>1</v>
      </c>
      <c r="J68" s="88">
        <f t="shared" si="1"/>
        <v>1.1709340186458539</v>
      </c>
      <c r="K68" s="88">
        <f t="shared" si="2"/>
        <v>1.241868037291709</v>
      </c>
      <c r="L68" s="88"/>
      <c r="M68" s="88"/>
      <c r="N68" s="88">
        <f t="shared" si="3"/>
        <v>1.2782631671376921</v>
      </c>
      <c r="O68" s="88">
        <f t="shared" si="4"/>
        <v>1.3143002140134279</v>
      </c>
      <c r="P68" s="93">
        <v>55</v>
      </c>
      <c r="Q68" s="26" t="e">
        <f>IF(VALUE($Q$50)&lt;=0.8,"1",IF(AND(VALUE($Q$50)&gt;0.8,VALUE($Q$50)&lt;=0.96),FORECAST(VALUE($Q$50),I68:J68,$I$50:$J$50),IF(AND(VALUE($Q$50)&gt;0.96,VALUE($Q$50)&lt;=1.12),FORECAST(VALUE($Q$50),J68:K68,$J$50:$K$50),IF(AND(VALUE($Q$50)&gt;1.12,VALUE($Q$50)&lt;=1.3),FORECAST(VALUE($Q$50),K68:N68,$K$50:$N$50),FORECAST(VALUE($Q$50),N68:O68,$N$50:$O$50)))))</f>
        <v>#VALUE!</v>
      </c>
    </row>
    <row r="69" spans="2:17" x14ac:dyDescent="0.25">
      <c r="B69" s="565"/>
      <c r="C69" s="565"/>
      <c r="D69" s="565"/>
      <c r="E69" s="604"/>
      <c r="F69" s="625"/>
      <c r="G69" s="609" t="s">
        <v>471</v>
      </c>
      <c r="H69" s="87" t="s">
        <v>522</v>
      </c>
      <c r="I69" s="88">
        <f t="shared" si="0"/>
        <v>1</v>
      </c>
      <c r="J69" s="88">
        <f t="shared" si="1"/>
        <v>1.0391296477793051</v>
      </c>
      <c r="K69" s="88">
        <f t="shared" si="2"/>
        <v>1.073405452435789</v>
      </c>
      <c r="L69" s="88"/>
      <c r="M69" s="88"/>
      <c r="N69" s="88">
        <f t="shared" si="3"/>
        <v>1.1076184521370911</v>
      </c>
      <c r="O69" s="88">
        <f t="shared" si="4"/>
        <v>1.141494838324278</v>
      </c>
      <c r="P69" s="113">
        <v>0</v>
      </c>
      <c r="Q69" s="26" t="e">
        <f>IF(VALUE($Q$50)&lt;=0.8,"1",IF(AND(VALUE($Q$50)&gt;0.8,VALUE($Q$50)&lt;=0.96),FORECAST(VALUE($Q$50),I69:J69,$I$50:$J$50),IF(AND(VALUE($Q$50)&gt;0.96,VALUE($Q$50)&lt;=1.12),FORECAST(VALUE($Q$50),J69:K69,$J$50:$K$50),IF(AND(VALUE($Q$50)&gt;1.12,VALUE($Q$50)&lt;=1.3),FORECAST(VALUE($Q$50),K69:N69,$K$50:$N$50),FORECAST(VALUE($Q$50),N69:O69,$N$50:$O$50)))))</f>
        <v>#VALUE!</v>
      </c>
    </row>
    <row r="70" spans="2:17" x14ac:dyDescent="0.25">
      <c r="B70" s="565"/>
      <c r="C70" s="565"/>
      <c r="D70" s="565"/>
      <c r="E70" s="604"/>
      <c r="F70" s="589"/>
      <c r="G70" s="589"/>
      <c r="H70" s="90" t="s">
        <v>523</v>
      </c>
      <c r="I70" s="88">
        <f t="shared" si="0"/>
        <v>1</v>
      </c>
      <c r="J70" s="88">
        <f t="shared" si="1"/>
        <v>1.0032717660151671</v>
      </c>
      <c r="K70" s="88">
        <f t="shared" si="2"/>
        <v>1.0363647945345551</v>
      </c>
      <c r="L70" s="88"/>
      <c r="M70" s="88"/>
      <c r="N70" s="88">
        <f t="shared" si="3"/>
        <v>1.069397185347728</v>
      </c>
      <c r="O70" s="88">
        <f t="shared" si="4"/>
        <v>1.1021045783750221</v>
      </c>
      <c r="P70" s="114"/>
      <c r="Q70" s="145" t="e">
        <f>IF($Q$48=0,Q69,Q71)</f>
        <v>#VALUE!</v>
      </c>
    </row>
    <row r="71" spans="2:17" x14ac:dyDescent="0.25">
      <c r="B71" s="565"/>
      <c r="C71" s="565"/>
      <c r="D71" s="565"/>
      <c r="E71" s="604"/>
      <c r="F71" s="589"/>
      <c r="G71" s="589"/>
      <c r="H71" s="109" t="s">
        <v>524</v>
      </c>
      <c r="I71" s="88">
        <f t="shared" si="0"/>
        <v>1</v>
      </c>
      <c r="J71" s="88">
        <f t="shared" si="1"/>
        <v>1.128707173755122</v>
      </c>
      <c r="K71" s="88">
        <f t="shared" si="2"/>
        <v>1.182455134410128</v>
      </c>
      <c r="L71" s="88"/>
      <c r="M71" s="88"/>
      <c r="N71" s="88">
        <f t="shared" si="3"/>
        <v>1.220143909950232</v>
      </c>
      <c r="O71" s="88">
        <f t="shared" si="4"/>
        <v>1.2574618746497781</v>
      </c>
      <c r="P71" s="115">
        <v>55</v>
      </c>
      <c r="Q71" s="26" t="e">
        <f>IF(VALUE($Q$50)&lt;=0.8,"1",IF(AND(VALUE($Q$50)&gt;0.8,VALUE($Q$50)&lt;=0.96),FORECAST(VALUE($Q$50),I71:J71,$I$50:$J$50),IF(AND(VALUE($Q$50)&gt;0.96,VALUE($Q$50)&lt;=1.12),FORECAST(VALUE($Q$50),J71:K71,$J$50:$K$50),IF(AND(VALUE($Q$50)&gt;1.12,VALUE($Q$50)&lt;=1.3),FORECAST(VALUE($Q$50),K71:N71,$K$50:$N$50),FORECAST(VALUE($Q$50),N71:O71,$N$50:$O$50)))))</f>
        <v>#VALUE!</v>
      </c>
    </row>
    <row r="72" spans="2:17" x14ac:dyDescent="0.25">
      <c r="B72" s="565"/>
      <c r="C72" s="565"/>
      <c r="D72" s="565"/>
      <c r="E72" s="604"/>
      <c r="F72" s="589"/>
      <c r="G72" s="609" t="s">
        <v>7</v>
      </c>
      <c r="H72" s="111" t="s">
        <v>522</v>
      </c>
      <c r="I72" s="88">
        <f t="shared" si="0"/>
        <v>1</v>
      </c>
      <c r="J72" s="88">
        <f t="shared" si="1"/>
        <v>1.0391296477793051</v>
      </c>
      <c r="K72" s="88">
        <f t="shared" si="2"/>
        <v>1.073405452435789</v>
      </c>
      <c r="L72" s="88"/>
      <c r="M72" s="88"/>
      <c r="N72" s="88">
        <f t="shared" si="3"/>
        <v>1.1076184521370911</v>
      </c>
      <c r="O72" s="88">
        <f t="shared" si="4"/>
        <v>1.141494838324278</v>
      </c>
      <c r="P72" s="113">
        <v>0</v>
      </c>
      <c r="Q72" s="26" t="e">
        <f>IF(VALUE($Q$50)&lt;=0.8,"1",IF(AND(VALUE($Q$50)&gt;0.8,VALUE($Q$50)&lt;=0.96),FORECAST(VALUE($Q$50),I72:J72,$I$50:$J$50),IF(AND(VALUE($Q$50)&gt;0.96,VALUE($Q$50)&lt;=1.12),FORECAST(VALUE($Q$50),J72:K72,$J$50:$K$50),IF(AND(VALUE($Q$50)&gt;1.12,VALUE($Q$50)&lt;=1.3),FORECAST(VALUE($Q$50),K72:N72,$K$50:$N$50),FORECAST(VALUE($Q$50),N72:O72,$N$50:$O$50)))))</f>
        <v>#VALUE!</v>
      </c>
    </row>
    <row r="73" spans="2:17" x14ac:dyDescent="0.25">
      <c r="B73" s="565"/>
      <c r="C73" s="565"/>
      <c r="D73" s="565"/>
      <c r="E73" s="604"/>
      <c r="F73" s="589"/>
      <c r="G73" s="589"/>
      <c r="H73" s="90" t="s">
        <v>523</v>
      </c>
      <c r="I73" s="88">
        <f t="shared" si="0"/>
        <v>1</v>
      </c>
      <c r="J73" s="88">
        <f t="shared" si="1"/>
        <v>1.1743612098894209</v>
      </c>
      <c r="K73" s="88">
        <f t="shared" si="2"/>
        <v>1.2130976423570581</v>
      </c>
      <c r="L73" s="88"/>
      <c r="M73" s="88"/>
      <c r="N73" s="88">
        <f t="shared" si="3"/>
        <v>1.251763096479199</v>
      </c>
      <c r="O73" s="88">
        <f t="shared" si="4"/>
        <v>1.2900481304540119</v>
      </c>
      <c r="P73" s="114"/>
      <c r="Q73" s="145" t="e">
        <f>IF($Q$48=0,Q72,Q74)</f>
        <v>#VALUE!</v>
      </c>
    </row>
    <row r="74" spans="2:17" x14ac:dyDescent="0.25">
      <c r="B74" s="565"/>
      <c r="C74" s="565"/>
      <c r="D74" s="565"/>
      <c r="E74" s="604"/>
      <c r="F74" s="589"/>
      <c r="G74" s="589"/>
      <c r="H74" s="90" t="s">
        <v>524</v>
      </c>
      <c r="I74" s="88">
        <f t="shared" si="0"/>
        <v>1</v>
      </c>
      <c r="J74" s="88">
        <f t="shared" si="1"/>
        <v>1.0823753609018829</v>
      </c>
      <c r="K74" s="88">
        <f t="shared" si="2"/>
        <v>1.133917044754353</v>
      </c>
      <c r="L74" s="88"/>
      <c r="M74" s="88"/>
      <c r="N74" s="88">
        <f t="shared" si="3"/>
        <v>1.170058750039572</v>
      </c>
      <c r="O74" s="88">
        <f t="shared" si="4"/>
        <v>1.205844865738132</v>
      </c>
      <c r="P74" s="115">
        <v>55</v>
      </c>
      <c r="Q74" s="26" t="e">
        <f>IF(VALUE($Q$50)&lt;=0.8,"1",IF(AND(VALUE($Q$50)&gt;0.8,VALUE($Q$50)&lt;=0.96),FORECAST(VALUE($Q$50),I74:J74,$I$50:$J$50),IF(AND(VALUE($Q$50)&gt;0.96,VALUE($Q$50)&lt;=1.12),FORECAST(VALUE($Q$50),J74:K74,$J$50:$K$50),IF(AND(VALUE($Q$50)&gt;1.12,VALUE($Q$50)&lt;=1.3),FORECAST(VALUE($Q$50),K74:N74,$K$50:$N$50),FORECAST(VALUE($Q$50),N74:O74,$N$50:$O$50)))))</f>
        <v>#VALUE!</v>
      </c>
    </row>
    <row r="75" spans="2:17" x14ac:dyDescent="0.25">
      <c r="B75" s="565"/>
      <c r="C75" s="565"/>
      <c r="D75" s="565"/>
      <c r="E75" s="604"/>
      <c r="F75" s="623"/>
      <c r="G75" s="609" t="s">
        <v>471</v>
      </c>
      <c r="H75" s="87" t="s">
        <v>522</v>
      </c>
      <c r="I75" s="88">
        <f t="shared" si="0"/>
        <v>1</v>
      </c>
      <c r="J75" s="88">
        <f t="shared" si="1"/>
        <v>1.0391296477793051</v>
      </c>
      <c r="K75" s="88">
        <f t="shared" si="2"/>
        <v>1.073405452435789</v>
      </c>
      <c r="L75" s="88"/>
      <c r="M75" s="88"/>
      <c r="N75" s="88">
        <f t="shared" si="3"/>
        <v>1.1076184521370911</v>
      </c>
      <c r="O75" s="88">
        <f t="shared" si="4"/>
        <v>1.141494838324278</v>
      </c>
      <c r="P75" s="116">
        <v>0</v>
      </c>
      <c r="Q75" s="26" t="e">
        <f>IF(VALUE($Q$50)&lt;=0.8,"1",IF(AND(VALUE($Q$50)&gt;0.8,VALUE($Q$50)&lt;=0.96),FORECAST(VALUE($Q$50),I75:J75,$I$50:$J$50),IF(AND(VALUE($Q$50)&gt;0.96,VALUE($Q$50)&lt;=1.12),FORECAST(VALUE($Q$50),J75:K75,$J$50:$K$50),IF(AND(VALUE($Q$50)&gt;1.12,VALUE($Q$50)&lt;=1.3),FORECAST(VALUE($Q$50),K75:N75,$K$50:$N$50),FORECAST(VALUE($Q$50),N75:O75,$N$50:$O$50)))))</f>
        <v>#VALUE!</v>
      </c>
    </row>
    <row r="76" spans="2:17" x14ac:dyDescent="0.25">
      <c r="B76" s="565"/>
      <c r="C76" s="565"/>
      <c r="D76" s="565"/>
      <c r="E76" s="604"/>
      <c r="F76" s="589"/>
      <c r="G76" s="589"/>
      <c r="H76" s="90" t="s">
        <v>523</v>
      </c>
      <c r="I76" s="88">
        <f t="shared" si="0"/>
        <v>1</v>
      </c>
      <c r="J76" s="88">
        <f t="shared" si="1"/>
        <v>1.0379365502206639</v>
      </c>
      <c r="K76" s="88">
        <f t="shared" si="2"/>
        <v>1.072173000424175</v>
      </c>
      <c r="L76" s="88"/>
      <c r="M76" s="88"/>
      <c r="N76" s="88">
        <f t="shared" si="3"/>
        <v>1.106346717783274</v>
      </c>
      <c r="O76" s="88">
        <f t="shared" si="4"/>
        <v>1.1401842081178191</v>
      </c>
      <c r="P76" s="117"/>
      <c r="Q76" s="145" t="e">
        <f>IF($Q$48=0,Q75,Q77)</f>
        <v>#VALUE!</v>
      </c>
    </row>
    <row r="77" spans="2:17" x14ac:dyDescent="0.25">
      <c r="B77" s="565"/>
      <c r="C77" s="565"/>
      <c r="D77" s="565"/>
      <c r="E77" s="604"/>
      <c r="F77" s="589"/>
      <c r="G77" s="589"/>
      <c r="H77" s="90" t="s">
        <v>524</v>
      </c>
      <c r="I77" s="88">
        <f t="shared" si="0"/>
        <v>1</v>
      </c>
      <c r="J77" s="88">
        <f t="shared" si="1"/>
        <v>1.0664656029572079</v>
      </c>
      <c r="K77" s="88">
        <f t="shared" si="2"/>
        <v>1.1172496792885029</v>
      </c>
      <c r="L77" s="88"/>
      <c r="M77" s="88"/>
      <c r="N77" s="88">
        <f t="shared" si="3"/>
        <v>1.152860140235052</v>
      </c>
      <c r="O77" s="88">
        <f t="shared" si="4"/>
        <v>1.1881202383808189</v>
      </c>
      <c r="P77" s="118">
        <v>55</v>
      </c>
      <c r="Q77" s="26" t="e">
        <f>IF(VALUE($Q$50)&lt;=0.8,"1",IF(AND(VALUE($Q$50)&gt;0.8,VALUE($Q$50)&lt;=0.96),FORECAST(VALUE($Q$50),I77:J77,$I$50:$J$50),IF(AND(VALUE($Q$50)&gt;0.96,VALUE($Q$50)&lt;=1.12),FORECAST(VALUE($Q$50),J77:K77,$J$50:$K$50),IF(AND(VALUE($Q$50)&gt;1.12,VALUE($Q$50)&lt;=1.3),FORECAST(VALUE($Q$50),K77:N77,$K$50:$N$50),FORECAST(VALUE($Q$50),N77:O77,$N$50:$O$50)))))</f>
        <v>#VALUE!</v>
      </c>
    </row>
    <row r="78" spans="2:17" x14ac:dyDescent="0.25">
      <c r="B78" s="565"/>
      <c r="C78" s="565"/>
      <c r="D78" s="565"/>
      <c r="E78" s="604"/>
      <c r="F78" s="589"/>
      <c r="G78" s="614" t="s">
        <v>7</v>
      </c>
      <c r="H78" s="87" t="s">
        <v>522</v>
      </c>
      <c r="I78" s="88">
        <f t="shared" si="0"/>
        <v>1</v>
      </c>
      <c r="J78" s="88">
        <f t="shared" si="1"/>
        <v>1.0391296477793051</v>
      </c>
      <c r="K78" s="88">
        <f t="shared" si="2"/>
        <v>1.073405452435789</v>
      </c>
      <c r="L78" s="88"/>
      <c r="M78" s="88"/>
      <c r="N78" s="88">
        <f t="shared" si="3"/>
        <v>1.1076184521370911</v>
      </c>
      <c r="O78" s="88">
        <f t="shared" si="4"/>
        <v>1.141494838324278</v>
      </c>
      <c r="P78" s="116">
        <v>0</v>
      </c>
      <c r="Q78" s="26" t="e">
        <f>IF(VALUE($Q$50)&lt;=0.8,"1",IF(AND(VALUE($Q$50)&gt;0.8,VALUE($Q$50)&lt;=0.96),FORECAST(VALUE($Q$50),I78:J78,$I$50:$J$50),IF(AND(VALUE($Q$50)&gt;0.96,VALUE($Q$50)&lt;=1.12),FORECAST(VALUE($Q$50),J78:K78,$J$50:$K$50),IF(AND(VALUE($Q$50)&gt;1.12,VALUE($Q$50)&lt;=1.3),FORECAST(VALUE($Q$50),K78:N78,$K$50:$N$50),FORECAST(VALUE($Q$50),N78:O78,$N$50:$O$50)))))</f>
        <v>#VALUE!</v>
      </c>
    </row>
    <row r="79" spans="2:17" x14ac:dyDescent="0.25">
      <c r="B79" s="565"/>
      <c r="C79" s="565"/>
      <c r="D79" s="565"/>
      <c r="E79" s="604"/>
      <c r="F79" s="589"/>
      <c r="G79" s="589"/>
      <c r="H79" s="90" t="s">
        <v>523</v>
      </c>
      <c r="I79" s="88">
        <f t="shared" si="0"/>
        <v>1</v>
      </c>
      <c r="J79" s="88">
        <f t="shared" si="1"/>
        <v>1.141252347345256</v>
      </c>
      <c r="K79" s="88">
        <f t="shared" si="2"/>
        <v>1.178896680374302</v>
      </c>
      <c r="L79" s="88"/>
      <c r="M79" s="88"/>
      <c r="N79" s="88">
        <f t="shared" si="3"/>
        <v>1.2164720361562069</v>
      </c>
      <c r="O79" s="88">
        <f t="shared" si="4"/>
        <v>1.2536776970074051</v>
      </c>
      <c r="P79" s="117"/>
      <c r="Q79" s="145" t="e">
        <f>IF($Q$48=0,Q78,Q80)</f>
        <v>#VALUE!</v>
      </c>
    </row>
    <row r="80" spans="2:17" ht="15.75" customHeight="1" thickBot="1" x14ac:dyDescent="0.3">
      <c r="E80" s="605"/>
      <c r="F80" s="608"/>
      <c r="G80" s="608"/>
      <c r="H80" s="98" t="s">
        <v>524</v>
      </c>
      <c r="I80" s="88">
        <f t="shared" si="0"/>
        <v>1</v>
      </c>
      <c r="J80" s="88">
        <f t="shared" si="1"/>
        <v>1.0433798980356059</v>
      </c>
      <c r="K80" s="88">
        <f t="shared" si="2"/>
        <v>1.086759796071211</v>
      </c>
      <c r="L80" s="88"/>
      <c r="M80" s="88"/>
      <c r="N80" s="88">
        <f t="shared" si="3"/>
        <v>1.121398443093172</v>
      </c>
      <c r="O80" s="88">
        <f t="shared" si="4"/>
        <v>1.1556962887589211</v>
      </c>
      <c r="P80" s="118">
        <v>55</v>
      </c>
      <c r="Q80" s="26" t="e">
        <f>IF(VALUE($Q$50)&lt;=0.8,"1",IF(AND(VALUE($Q$50)&gt;0.8,VALUE($Q$50)&lt;=0.96),FORECAST(VALUE($Q$50),I80:J80,$I$50:$J$50),IF(AND(VALUE($Q$50)&gt;0.96,VALUE($Q$50)&lt;=1.12),FORECAST(VALUE($Q$50),J80:K80,$J$50:$K$50),IF(AND(VALUE($Q$50)&gt;1.12,VALUE($Q$50)&lt;=1.3),FORECAST(VALUE($Q$50),K80:N80,$K$50:$N$50),FORECAST(VALUE($Q$50),N80:O80,$N$50:$O$50)))))</f>
        <v>#VALUE!</v>
      </c>
    </row>
    <row r="83" spans="4:49" ht="21.75" customHeight="1" x14ac:dyDescent="0.25"/>
    <row r="89" spans="4:49" ht="15" customHeight="1" x14ac:dyDescent="0.25">
      <c r="D89">
        <v>1</v>
      </c>
      <c r="E89">
        <v>2</v>
      </c>
      <c r="F89">
        <v>3</v>
      </c>
      <c r="G89">
        <v>4</v>
      </c>
      <c r="H89">
        <v>5</v>
      </c>
      <c r="I89">
        <v>6</v>
      </c>
      <c r="J89">
        <v>7</v>
      </c>
      <c r="K89">
        <v>8</v>
      </c>
      <c r="L89">
        <v>9</v>
      </c>
      <c r="M89">
        <v>10</v>
      </c>
      <c r="N89">
        <v>11</v>
      </c>
      <c r="O89">
        <v>12</v>
      </c>
      <c r="P89">
        <v>13</v>
      </c>
      <c r="Q89">
        <v>14</v>
      </c>
      <c r="R89">
        <v>15</v>
      </c>
      <c r="S89">
        <v>16</v>
      </c>
      <c r="T89">
        <v>17</v>
      </c>
      <c r="U89">
        <v>18</v>
      </c>
      <c r="V89">
        <v>19</v>
      </c>
      <c r="W89">
        <v>20</v>
      </c>
      <c r="X89">
        <v>21</v>
      </c>
      <c r="Y89">
        <v>22</v>
      </c>
      <c r="Z89">
        <v>23</v>
      </c>
      <c r="AA89">
        <v>24</v>
      </c>
      <c r="AB89">
        <v>25</v>
      </c>
      <c r="AC89">
        <v>26</v>
      </c>
      <c r="AD89">
        <v>27</v>
      </c>
      <c r="AE89">
        <v>28</v>
      </c>
      <c r="AF89">
        <v>29</v>
      </c>
      <c r="AG89">
        <v>30</v>
      </c>
      <c r="AH89">
        <v>31</v>
      </c>
      <c r="AI89">
        <v>32</v>
      </c>
      <c r="AJ89">
        <v>33</v>
      </c>
      <c r="AK89">
        <v>34</v>
      </c>
      <c r="AL89">
        <v>35</v>
      </c>
      <c r="AM89">
        <v>36</v>
      </c>
      <c r="AN89">
        <v>37</v>
      </c>
      <c r="AO89">
        <v>38</v>
      </c>
      <c r="AP89">
        <v>39</v>
      </c>
      <c r="AQ89">
        <v>40</v>
      </c>
      <c r="AR89">
        <v>41</v>
      </c>
      <c r="AS89">
        <v>42</v>
      </c>
      <c r="AT89">
        <v>43</v>
      </c>
      <c r="AU89">
        <v>44</v>
      </c>
      <c r="AV89">
        <v>45</v>
      </c>
      <c r="AW89">
        <v>46</v>
      </c>
    </row>
    <row r="90" spans="4:49" ht="38.25" customHeight="1" x14ac:dyDescent="0.25">
      <c r="E90" s="65" t="s">
        <v>505</v>
      </c>
      <c r="F90" s="25"/>
      <c r="G90" s="65" t="s">
        <v>506</v>
      </c>
      <c r="H90" s="25"/>
      <c r="I90" s="65" t="s">
        <v>507</v>
      </c>
      <c r="J90" s="25"/>
      <c r="K90" s="65" t="s">
        <v>508</v>
      </c>
      <c r="L90" s="228"/>
      <c r="M90" s="228"/>
      <c r="O90" s="66" t="s">
        <v>505</v>
      </c>
      <c r="P90" s="25"/>
      <c r="Q90" s="66" t="s">
        <v>506</v>
      </c>
      <c r="R90" s="25"/>
      <c r="S90" s="66" t="s">
        <v>507</v>
      </c>
      <c r="T90" s="25"/>
      <c r="U90" s="25"/>
      <c r="V90" s="66" t="s">
        <v>508</v>
      </c>
      <c r="X90" s="67" t="s">
        <v>505</v>
      </c>
      <c r="Y90" s="25"/>
      <c r="Z90" s="67" t="s">
        <v>506</v>
      </c>
      <c r="AA90" s="25"/>
      <c r="AB90" s="67" t="s">
        <v>507</v>
      </c>
      <c r="AC90" s="25"/>
      <c r="AD90" s="67" t="s">
        <v>508</v>
      </c>
      <c r="AF90" s="68" t="s">
        <v>505</v>
      </c>
      <c r="AG90" s="25"/>
      <c r="AH90" s="68" t="s">
        <v>506</v>
      </c>
      <c r="AI90" s="25"/>
      <c r="AJ90" s="68" t="s">
        <v>507</v>
      </c>
      <c r="AK90" s="25"/>
      <c r="AL90" s="68" t="s">
        <v>508</v>
      </c>
      <c r="AM90" s="229"/>
      <c r="AN90" s="229"/>
      <c r="AO90" s="229"/>
      <c r="AQ90" s="69" t="s">
        <v>505</v>
      </c>
      <c r="AR90" s="25"/>
      <c r="AS90" s="69" t="s">
        <v>506</v>
      </c>
      <c r="AT90" s="25"/>
      <c r="AU90" s="69" t="s">
        <v>507</v>
      </c>
      <c r="AV90" s="25"/>
      <c r="AW90" s="69" t="s">
        <v>508</v>
      </c>
    </row>
    <row r="91" spans="4:49" x14ac:dyDescent="0.25">
      <c r="E91" s="53"/>
      <c r="G91" s="53"/>
      <c r="I91" s="53"/>
      <c r="K91" s="53"/>
      <c r="L91" s="228"/>
      <c r="M91" s="228"/>
      <c r="O91" s="54"/>
      <c r="Q91" s="54"/>
      <c r="S91" s="54"/>
      <c r="V91" s="54"/>
      <c r="X91" s="219"/>
      <c r="Z91" s="219"/>
      <c r="AB91" s="219"/>
      <c r="AD91" s="230"/>
      <c r="AF91" s="231"/>
      <c r="AH91" s="220"/>
      <c r="AJ91" s="220"/>
      <c r="AL91" s="220"/>
      <c r="AM91" s="229"/>
      <c r="AN91" s="229"/>
      <c r="AO91" s="229"/>
      <c r="AQ91" s="221"/>
      <c r="AS91" s="221"/>
      <c r="AU91" s="221"/>
      <c r="AW91" s="221"/>
    </row>
    <row r="92" spans="4:49" s="25" customFormat="1" x14ac:dyDescent="0.25">
      <c r="E92" s="232" t="str">
        <f>AA4</f>
        <v xml:space="preserve"> </v>
      </c>
      <c r="G92" s="25" t="str">
        <f>AA24</f>
        <v xml:space="preserve"> </v>
      </c>
      <c r="I92" s="25" t="str">
        <f>AV4</f>
        <v xml:space="preserve"> </v>
      </c>
      <c r="K92" s="25" t="str">
        <f>AV24</f>
        <v xml:space="preserve"> </v>
      </c>
      <c r="O92" s="25" t="str">
        <f>AA8</f>
        <v xml:space="preserve"> </v>
      </c>
      <c r="Q92" s="25" t="str">
        <f>AA28</f>
        <v xml:space="preserve"> </v>
      </c>
      <c r="S92" s="25" t="str">
        <f>AV8</f>
        <v xml:space="preserve"> </v>
      </c>
      <c r="V92" s="25" t="str">
        <f>AV28</f>
        <v xml:space="preserve"> </v>
      </c>
      <c r="X92" s="25" t="str">
        <f>AA12</f>
        <v xml:space="preserve"> </v>
      </c>
      <c r="Z92" s="25" t="str">
        <f>AA32</f>
        <v xml:space="preserve"> </v>
      </c>
      <c r="AB92" s="25" t="str">
        <f>AV12</f>
        <v xml:space="preserve"> </v>
      </c>
      <c r="AD92" s="25" t="str">
        <f>AV32</f>
        <v xml:space="preserve"> </v>
      </c>
      <c r="AF92" s="232" t="str">
        <f>AA16</f>
        <v xml:space="preserve"> </v>
      </c>
      <c r="AH92" s="25" t="str">
        <f>AA36</f>
        <v xml:space="preserve"> </v>
      </c>
      <c r="AJ92" s="25" t="str">
        <f>AV16</f>
        <v xml:space="preserve"> </v>
      </c>
      <c r="AL92" s="25" t="str">
        <f>AV36</f>
        <v xml:space="preserve"> </v>
      </c>
      <c r="AQ92" s="25" t="str">
        <f>AA20</f>
        <v xml:space="preserve"> </v>
      </c>
      <c r="AS92" s="25" t="str">
        <f>AA40</f>
        <v xml:space="preserve"> </v>
      </c>
      <c r="AU92" s="25" t="str">
        <f>AV20</f>
        <v xml:space="preserve"> </v>
      </c>
      <c r="AW92" s="25" t="str">
        <f>AV40</f>
        <v xml:space="preserve"> </v>
      </c>
    </row>
    <row r="93" spans="4:49" x14ac:dyDescent="0.25">
      <c r="E93" s="227" t="str">
        <f>AA5</f>
        <v xml:space="preserve"> </v>
      </c>
      <c r="G93" t="str">
        <f>AA25</f>
        <v xml:space="preserve"> </v>
      </c>
      <c r="I93" t="str">
        <f>AV5</f>
        <v xml:space="preserve"> </v>
      </c>
      <c r="K93" t="str">
        <f>AV25</f>
        <v xml:space="preserve"> </v>
      </c>
      <c r="O93" t="str">
        <f>AA9</f>
        <v xml:space="preserve"> </v>
      </c>
      <c r="Q93" t="str">
        <f>AA29</f>
        <v xml:space="preserve"> </v>
      </c>
      <c r="S93" t="str">
        <f>AV9</f>
        <v xml:space="preserve"> </v>
      </c>
      <c r="V93" t="str">
        <f>AV29</f>
        <v xml:space="preserve"> </v>
      </c>
      <c r="X93" t="str">
        <f>AA13</f>
        <v xml:space="preserve"> </v>
      </c>
      <c r="Z93" t="str">
        <f>AA33</f>
        <v xml:space="preserve"> </v>
      </c>
      <c r="AB93" t="str">
        <f>AV13</f>
        <v xml:space="preserve"> </v>
      </c>
      <c r="AD93" t="str">
        <f>AV33</f>
        <v xml:space="preserve"> </v>
      </c>
      <c r="AF93" t="str">
        <f>AA17</f>
        <v xml:space="preserve"> </v>
      </c>
      <c r="AH93" t="str">
        <f>AA37</f>
        <v xml:space="preserve"> </v>
      </c>
      <c r="AJ93" t="str">
        <f>AV17</f>
        <v xml:space="preserve"> </v>
      </c>
      <c r="AL93" t="str">
        <f>AV37</f>
        <v xml:space="preserve"> </v>
      </c>
      <c r="AQ93" t="str">
        <f>AA21</f>
        <v xml:space="preserve"> </v>
      </c>
      <c r="AS93" t="str">
        <f>AA41</f>
        <v xml:space="preserve"> </v>
      </c>
      <c r="AU93" t="str">
        <f>AV21</f>
        <v xml:space="preserve"> </v>
      </c>
      <c r="AW93" t="str">
        <f>AV41</f>
        <v xml:space="preserve"> </v>
      </c>
    </row>
    <row r="94" spans="4:49" x14ac:dyDescent="0.25">
      <c r="E94" t="str">
        <f>AA6</f>
        <v xml:space="preserve"> </v>
      </c>
      <c r="G94" t="str">
        <f>AA26</f>
        <v xml:space="preserve"> </v>
      </c>
      <c r="I94" t="str">
        <f>AV6</f>
        <v xml:space="preserve"> </v>
      </c>
      <c r="K94" t="str">
        <f>AV26</f>
        <v xml:space="preserve"> </v>
      </c>
      <c r="O94" t="str">
        <f>AA10</f>
        <v xml:space="preserve"> </v>
      </c>
      <c r="Q94" t="str">
        <f>AA30</f>
        <v xml:space="preserve"> </v>
      </c>
      <c r="S94" t="str">
        <f>AV10</f>
        <v xml:space="preserve"> </v>
      </c>
      <c r="V94" t="str">
        <f>AV30</f>
        <v xml:space="preserve"> </v>
      </c>
      <c r="X94" t="str">
        <f>AA14</f>
        <v xml:space="preserve"> </v>
      </c>
      <c r="Z94" t="str">
        <f>AA34</f>
        <v xml:space="preserve"> </v>
      </c>
      <c r="AB94" t="str">
        <f>AV14</f>
        <v xml:space="preserve"> </v>
      </c>
      <c r="AD94" t="str">
        <f>AV34</f>
        <v xml:space="preserve"> </v>
      </c>
      <c r="AF94" t="str">
        <f>AA18</f>
        <v xml:space="preserve"> </v>
      </c>
      <c r="AH94" t="str">
        <f>AA38</f>
        <v xml:space="preserve"> </v>
      </c>
      <c r="AJ94" t="str">
        <f>AV18</f>
        <v xml:space="preserve"> </v>
      </c>
      <c r="AL94" t="str">
        <f>AV38</f>
        <v xml:space="preserve"> </v>
      </c>
      <c r="AQ94" t="str">
        <f>AA22</f>
        <v xml:space="preserve"> </v>
      </c>
      <c r="AS94" t="str">
        <f>AA42</f>
        <v xml:space="preserve"> </v>
      </c>
      <c r="AU94" t="str">
        <f>AV22</f>
        <v xml:space="preserve"> </v>
      </c>
      <c r="AW94" t="str">
        <f>AV42</f>
        <v xml:space="preserve"> </v>
      </c>
    </row>
    <row r="95" spans="4:49" s="30" customFormat="1" x14ac:dyDescent="0.25">
      <c r="E95" s="30" t="str">
        <f>AA7</f>
        <v xml:space="preserve"> </v>
      </c>
      <c r="G95" s="30" t="str">
        <f>AA27</f>
        <v xml:space="preserve"> </v>
      </c>
      <c r="I95" s="30" t="str">
        <f>AV7</f>
        <v xml:space="preserve"> </v>
      </c>
      <c r="K95" s="30" t="str">
        <f>AV27</f>
        <v xml:space="preserve"> </v>
      </c>
      <c r="O95" s="30" t="str">
        <f>AA11</f>
        <v xml:space="preserve"> </v>
      </c>
      <c r="Q95" s="30" t="str">
        <f>AA31</f>
        <v xml:space="preserve"> </v>
      </c>
      <c r="S95" s="30" t="str">
        <f>AV11</f>
        <v xml:space="preserve"> </v>
      </c>
      <c r="V95" s="30" t="str">
        <f>AV31</f>
        <v xml:space="preserve"> </v>
      </c>
      <c r="X95" s="30" t="str">
        <f>AA15</f>
        <v xml:space="preserve"> </v>
      </c>
      <c r="Z95" s="30" t="str">
        <f>AA35</f>
        <v xml:space="preserve"> </v>
      </c>
      <c r="AB95" s="30" t="str">
        <f>AV15</f>
        <v xml:space="preserve"> </v>
      </c>
      <c r="AD95" s="30" t="str">
        <f>AV35</f>
        <v xml:space="preserve"> </v>
      </c>
      <c r="AF95" s="30" t="str">
        <f>AA19</f>
        <v xml:space="preserve"> </v>
      </c>
      <c r="AH95" s="30" t="str">
        <f>AA39</f>
        <v xml:space="preserve"> </v>
      </c>
      <c r="AJ95" s="30" t="str">
        <f>AV19</f>
        <v xml:space="preserve"> </v>
      </c>
      <c r="AL95" s="30" t="str">
        <f>AV39</f>
        <v xml:space="preserve"> </v>
      </c>
      <c r="AQ95" s="30" t="str">
        <f>AA23</f>
        <v xml:space="preserve"> </v>
      </c>
      <c r="AS95" s="30" t="str">
        <f>AA43</f>
        <v xml:space="preserve"> </v>
      </c>
      <c r="AU95" s="30" t="str">
        <f>AV23</f>
        <v xml:space="preserve"> </v>
      </c>
      <c r="AW95" s="30" t="str">
        <f>AV43</f>
        <v xml:space="preserve"> </v>
      </c>
    </row>
    <row r="96" spans="4:49" s="25" customFormat="1" x14ac:dyDescent="0.25">
      <c r="E96" s="25" t="str">
        <f>AB4</f>
        <v xml:space="preserve"> </v>
      </c>
      <c r="G96" s="25" t="str">
        <f>AB24</f>
        <v xml:space="preserve"> </v>
      </c>
      <c r="I96" s="25" t="str">
        <f>AW4</f>
        <v xml:space="preserve"> </v>
      </c>
      <c r="K96" s="25" t="str">
        <f>AW24</f>
        <v xml:space="preserve"> </v>
      </c>
      <c r="O96" s="25" t="str">
        <f>AB8</f>
        <v xml:space="preserve"> </v>
      </c>
      <c r="Q96" s="25" t="str">
        <f>AB28</f>
        <v xml:space="preserve"> </v>
      </c>
      <c r="S96" s="25" t="str">
        <f>AW8</f>
        <v xml:space="preserve"> </v>
      </c>
      <c r="V96" s="25" t="str">
        <f>AW28</f>
        <v xml:space="preserve"> </v>
      </c>
      <c r="X96" s="25" t="str">
        <f>AB12</f>
        <v xml:space="preserve"> </v>
      </c>
      <c r="Z96" s="25" t="str">
        <f>AB32</f>
        <v xml:space="preserve"> </v>
      </c>
      <c r="AB96" s="25" t="str">
        <f>AW12</f>
        <v xml:space="preserve"> </v>
      </c>
      <c r="AD96" s="25" t="str">
        <f>AW32</f>
        <v xml:space="preserve"> </v>
      </c>
      <c r="AF96" s="25" t="str">
        <f>AB16</f>
        <v xml:space="preserve"> </v>
      </c>
      <c r="AH96" s="25" t="str">
        <f>AB36</f>
        <v xml:space="preserve"> </v>
      </c>
      <c r="AJ96" s="25" t="str">
        <f>AW16</f>
        <v xml:space="preserve"> </v>
      </c>
      <c r="AL96" s="25" t="str">
        <f>AW36</f>
        <v xml:space="preserve"> </v>
      </c>
      <c r="AQ96" s="25" t="str">
        <f>AB20</f>
        <v xml:space="preserve"> </v>
      </c>
      <c r="AS96" s="25" t="str">
        <f>AB40</f>
        <v xml:space="preserve"> </v>
      </c>
      <c r="AU96" s="25" t="str">
        <f>AW20</f>
        <v xml:space="preserve"> </v>
      </c>
      <c r="AW96" s="25" t="str">
        <f>AW40</f>
        <v xml:space="preserve"> </v>
      </c>
    </row>
    <row r="97" spans="5:49" x14ac:dyDescent="0.25">
      <c r="E97" t="str">
        <f>AB5</f>
        <v xml:space="preserve"> </v>
      </c>
      <c r="G97" t="str">
        <f>AB25</f>
        <v xml:space="preserve"> </v>
      </c>
      <c r="I97" t="str">
        <f>AW5</f>
        <v xml:space="preserve"> </v>
      </c>
      <c r="K97" t="str">
        <f>AW25</f>
        <v xml:space="preserve"> </v>
      </c>
      <c r="O97" t="str">
        <f>AB9</f>
        <v xml:space="preserve"> </v>
      </c>
      <c r="Q97" t="str">
        <f>AB29</f>
        <v xml:space="preserve"> </v>
      </c>
      <c r="S97" t="str">
        <f>AW9</f>
        <v xml:space="preserve"> </v>
      </c>
      <c r="V97" t="str">
        <f>AW29</f>
        <v xml:space="preserve"> </v>
      </c>
      <c r="X97" t="str">
        <f>AB13</f>
        <v xml:space="preserve"> </v>
      </c>
      <c r="Z97" t="str">
        <f>AB33</f>
        <v xml:space="preserve"> </v>
      </c>
      <c r="AB97" t="str">
        <f>AW13</f>
        <v xml:space="preserve"> </v>
      </c>
      <c r="AD97" t="str">
        <f>AW33</f>
        <v xml:space="preserve"> </v>
      </c>
      <c r="AF97" t="str">
        <f>AB17</f>
        <v xml:space="preserve"> </v>
      </c>
      <c r="AH97" t="str">
        <f>AB37</f>
        <v xml:space="preserve"> </v>
      </c>
      <c r="AJ97" t="str">
        <f>AW17</f>
        <v xml:space="preserve"> </v>
      </c>
      <c r="AL97" t="str">
        <f>AW37</f>
        <v xml:space="preserve"> </v>
      </c>
      <c r="AQ97" t="str">
        <f>AB21</f>
        <v xml:space="preserve"> </v>
      </c>
      <c r="AS97" t="str">
        <f>AB41</f>
        <v xml:space="preserve"> </v>
      </c>
      <c r="AU97" t="str">
        <f>AW21</f>
        <v xml:space="preserve"> </v>
      </c>
      <c r="AW97" t="str">
        <f>AW41</f>
        <v xml:space="preserve"> </v>
      </c>
    </row>
    <row r="98" spans="5:49" x14ac:dyDescent="0.25">
      <c r="E98" t="str">
        <f>AB6</f>
        <v xml:space="preserve"> </v>
      </c>
      <c r="G98" t="str">
        <f>AB26</f>
        <v xml:space="preserve"> </v>
      </c>
      <c r="I98" t="str">
        <f>AW6</f>
        <v xml:space="preserve"> </v>
      </c>
      <c r="K98" t="str">
        <f>AW26</f>
        <v xml:space="preserve"> </v>
      </c>
      <c r="O98" t="str">
        <f>AB10</f>
        <v xml:space="preserve"> </v>
      </c>
      <c r="Q98" t="str">
        <f>AB30</f>
        <v xml:space="preserve"> </v>
      </c>
      <c r="S98" t="str">
        <f>AW10</f>
        <v xml:space="preserve"> </v>
      </c>
      <c r="V98" t="str">
        <f>AW30</f>
        <v xml:space="preserve"> </v>
      </c>
      <c r="X98" t="str">
        <f>AB14</f>
        <v xml:space="preserve"> </v>
      </c>
      <c r="Z98" t="str">
        <f>AB34</f>
        <v xml:space="preserve"> </v>
      </c>
      <c r="AB98" t="str">
        <f>AW14</f>
        <v xml:space="preserve"> </v>
      </c>
      <c r="AD98" t="str">
        <f>AW34</f>
        <v xml:space="preserve"> </v>
      </c>
      <c r="AF98" t="str">
        <f>AB18</f>
        <v xml:space="preserve"> </v>
      </c>
      <c r="AH98" t="str">
        <f>AB38</f>
        <v xml:space="preserve"> </v>
      </c>
      <c r="AJ98" t="str">
        <f>AW18</f>
        <v xml:space="preserve"> </v>
      </c>
      <c r="AL98" t="str">
        <f>AW38</f>
        <v xml:space="preserve"> </v>
      </c>
      <c r="AQ98" t="str">
        <f>AB22</f>
        <v xml:space="preserve"> </v>
      </c>
      <c r="AS98" t="str">
        <f>AB42</f>
        <v xml:space="preserve"> </v>
      </c>
      <c r="AU98" t="str">
        <f>AW22</f>
        <v xml:space="preserve"> </v>
      </c>
      <c r="AW98" t="str">
        <f>AW42</f>
        <v xml:space="preserve"> </v>
      </c>
    </row>
    <row r="99" spans="5:49" s="30" customFormat="1" x14ac:dyDescent="0.25">
      <c r="E99" s="30" t="str">
        <f>AB7</f>
        <v xml:space="preserve"> </v>
      </c>
      <c r="G99" s="30" t="str">
        <f>AB27</f>
        <v xml:space="preserve"> </v>
      </c>
      <c r="I99" s="30" t="str">
        <f>AW7</f>
        <v xml:space="preserve"> </v>
      </c>
      <c r="K99" s="30" t="str">
        <f>AW27</f>
        <v xml:space="preserve"> </v>
      </c>
      <c r="O99" s="30" t="str">
        <f>AB11</f>
        <v xml:space="preserve"> </v>
      </c>
      <c r="Q99" s="30" t="str">
        <f>AB31</f>
        <v xml:space="preserve"> </v>
      </c>
      <c r="S99" s="30" t="str">
        <f>AW11</f>
        <v xml:space="preserve"> </v>
      </c>
      <c r="V99" s="30" t="str">
        <f>AW31</f>
        <v xml:space="preserve"> </v>
      </c>
      <c r="X99" s="30" t="str">
        <f>AB15</f>
        <v xml:space="preserve"> </v>
      </c>
      <c r="Z99" s="30" t="str">
        <f>AB35</f>
        <v xml:space="preserve"> </v>
      </c>
      <c r="AB99" s="30" t="str">
        <f>AW15</f>
        <v xml:space="preserve"> </v>
      </c>
      <c r="AD99" s="30" t="str">
        <f>AW35</f>
        <v xml:space="preserve"> </v>
      </c>
      <c r="AF99" s="30" t="str">
        <f>AB19</f>
        <v xml:space="preserve"> </v>
      </c>
      <c r="AH99" s="30" t="str">
        <f>AB39</f>
        <v xml:space="preserve"> </v>
      </c>
      <c r="AJ99" s="30" t="str">
        <f>AW19</f>
        <v xml:space="preserve"> </v>
      </c>
      <c r="AL99" s="30" t="str">
        <f>AW39</f>
        <v xml:space="preserve"> </v>
      </c>
      <c r="AQ99" s="30" t="str">
        <f>AB23</f>
        <v xml:space="preserve"> </v>
      </c>
      <c r="AS99" s="30" t="str">
        <f>AB43</f>
        <v xml:space="preserve"> </v>
      </c>
      <c r="AU99" s="30" t="str">
        <f>AW23</f>
        <v xml:space="preserve"> </v>
      </c>
      <c r="AW99" s="30" t="str">
        <f>AW43</f>
        <v xml:space="preserve"> </v>
      </c>
    </row>
    <row r="100" spans="5:49" s="25" customFormat="1" x14ac:dyDescent="0.25">
      <c r="E100" s="25" t="str">
        <f>AC4</f>
        <v xml:space="preserve"> </v>
      </c>
      <c r="G100" s="25" t="str">
        <f>AC24</f>
        <v xml:space="preserve"> </v>
      </c>
      <c r="I100" s="25" t="str">
        <f>AX4</f>
        <v xml:space="preserve"> </v>
      </c>
      <c r="K100" s="25" t="str">
        <f>AX24</f>
        <v xml:space="preserve"> </v>
      </c>
      <c r="O100" s="25" t="str">
        <f>AC8</f>
        <v xml:space="preserve"> </v>
      </c>
      <c r="Q100" s="25" t="str">
        <f>AC28</f>
        <v xml:space="preserve"> </v>
      </c>
      <c r="S100" s="25" t="str">
        <f>AX8</f>
        <v xml:space="preserve"> </v>
      </c>
      <c r="V100" s="25" t="str">
        <f>AX28</f>
        <v xml:space="preserve"> </v>
      </c>
      <c r="X100" s="25" t="str">
        <f>AC12</f>
        <v xml:space="preserve"> </v>
      </c>
      <c r="Z100" s="25" t="str">
        <f>AC32</f>
        <v xml:space="preserve"> </v>
      </c>
      <c r="AB100" s="25" t="str">
        <f>AX12</f>
        <v xml:space="preserve"> </v>
      </c>
      <c r="AD100" s="25" t="str">
        <f>AX32</f>
        <v xml:space="preserve"> </v>
      </c>
      <c r="AF100" s="25" t="str">
        <f>AC16</f>
        <v xml:space="preserve"> </v>
      </c>
      <c r="AH100" s="25" t="str">
        <f>AC36</f>
        <v xml:space="preserve"> </v>
      </c>
      <c r="AJ100" s="25" t="str">
        <f>AX16</f>
        <v xml:space="preserve"> </v>
      </c>
      <c r="AL100" s="25" t="str">
        <f>AX36</f>
        <v xml:space="preserve"> </v>
      </c>
      <c r="AQ100" s="25" t="str">
        <f>AC20</f>
        <v xml:space="preserve"> </v>
      </c>
      <c r="AS100" s="25" t="str">
        <f>AC40</f>
        <v xml:space="preserve"> </v>
      </c>
      <c r="AU100" s="25" t="str">
        <f>AX20</f>
        <v xml:space="preserve"> </v>
      </c>
      <c r="AW100" s="25" t="str">
        <f>AX40</f>
        <v xml:space="preserve"> </v>
      </c>
    </row>
    <row r="101" spans="5:49" x14ac:dyDescent="0.25">
      <c r="E101" t="str">
        <f>AC5</f>
        <v xml:space="preserve"> </v>
      </c>
      <c r="G101" t="str">
        <f>AC25</f>
        <v xml:space="preserve"> </v>
      </c>
      <c r="I101" t="str">
        <f>AX5</f>
        <v xml:space="preserve"> </v>
      </c>
      <c r="K101" t="str">
        <f>AX25</f>
        <v xml:space="preserve"> </v>
      </c>
      <c r="O101" t="str">
        <f>AC9</f>
        <v xml:space="preserve"> </v>
      </c>
      <c r="Q101" t="str">
        <f>AC29</f>
        <v xml:space="preserve"> </v>
      </c>
      <c r="S101" t="str">
        <f>AX9</f>
        <v xml:space="preserve"> </v>
      </c>
      <c r="V101" t="str">
        <f>AX29</f>
        <v xml:space="preserve"> </v>
      </c>
      <c r="X101" t="str">
        <f>AC13</f>
        <v xml:space="preserve"> </v>
      </c>
      <c r="Z101" t="str">
        <f>AC33</f>
        <v xml:space="preserve"> </v>
      </c>
      <c r="AB101" t="str">
        <f>AX13</f>
        <v xml:space="preserve"> </v>
      </c>
      <c r="AD101" t="str">
        <f>AX33</f>
        <v xml:space="preserve"> </v>
      </c>
      <c r="AF101" t="str">
        <f>AC17</f>
        <v xml:space="preserve"> </v>
      </c>
      <c r="AH101" t="str">
        <f>AC37</f>
        <v xml:space="preserve"> </v>
      </c>
      <c r="AJ101" t="str">
        <f>AX17</f>
        <v xml:space="preserve"> </v>
      </c>
      <c r="AL101" t="str">
        <f>AX37</f>
        <v xml:space="preserve"> </v>
      </c>
      <c r="AQ101" t="str">
        <f>AC21</f>
        <v xml:space="preserve"> </v>
      </c>
      <c r="AS101" t="str">
        <f>AC41</f>
        <v xml:space="preserve"> </v>
      </c>
      <c r="AU101" t="str">
        <f>AX21</f>
        <v xml:space="preserve"> </v>
      </c>
      <c r="AW101" t="str">
        <f>AX41</f>
        <v xml:space="preserve"> </v>
      </c>
    </row>
    <row r="102" spans="5:49" x14ac:dyDescent="0.25">
      <c r="E102" t="str">
        <f>AC6</f>
        <v xml:space="preserve"> </v>
      </c>
      <c r="G102" t="str">
        <f>AC26</f>
        <v xml:space="preserve"> </v>
      </c>
      <c r="I102" t="str">
        <f>AX6</f>
        <v xml:space="preserve"> </v>
      </c>
      <c r="K102" t="str">
        <f>AX26</f>
        <v xml:space="preserve"> </v>
      </c>
      <c r="O102" t="str">
        <f>AC10</f>
        <v xml:space="preserve"> </v>
      </c>
      <c r="Q102" t="str">
        <f>AC30</f>
        <v xml:space="preserve"> </v>
      </c>
      <c r="S102" t="str">
        <f>AX10</f>
        <v xml:space="preserve"> </v>
      </c>
      <c r="V102" t="str">
        <f>AX30</f>
        <v xml:space="preserve"> </v>
      </c>
      <c r="X102" t="str">
        <f>AC14</f>
        <v xml:space="preserve"> </v>
      </c>
      <c r="Z102" t="str">
        <f>AC34</f>
        <v xml:space="preserve"> </v>
      </c>
      <c r="AB102" t="str">
        <f>AX14</f>
        <v xml:space="preserve"> </v>
      </c>
      <c r="AD102" t="str">
        <f>AX34</f>
        <v xml:space="preserve"> </v>
      </c>
      <c r="AF102" t="str">
        <f>AC18</f>
        <v xml:space="preserve"> </v>
      </c>
      <c r="AH102" t="str">
        <f>AC38</f>
        <v xml:space="preserve"> </v>
      </c>
      <c r="AJ102" t="str">
        <f>AX18</f>
        <v xml:space="preserve"> </v>
      </c>
      <c r="AL102" t="str">
        <f>AX38</f>
        <v xml:space="preserve"> </v>
      </c>
      <c r="AQ102" t="str">
        <f>AC22</f>
        <v xml:space="preserve"> </v>
      </c>
      <c r="AS102" t="str">
        <f>AC42</f>
        <v xml:space="preserve"> </v>
      </c>
      <c r="AU102" t="str">
        <f>AX22</f>
        <v xml:space="preserve"> </v>
      </c>
      <c r="AW102" t="str">
        <f>AX42</f>
        <v xml:space="preserve"> </v>
      </c>
    </row>
    <row r="103" spans="5:49" s="30" customFormat="1" x14ac:dyDescent="0.25">
      <c r="E103" s="30" t="str">
        <f>AC7</f>
        <v xml:space="preserve"> </v>
      </c>
      <c r="G103" s="30" t="str">
        <f>AC27</f>
        <v xml:space="preserve"> </v>
      </c>
      <c r="I103" s="30" t="str">
        <f>AX7</f>
        <v xml:space="preserve"> </v>
      </c>
      <c r="K103" s="30" t="str">
        <f>AX27</f>
        <v xml:space="preserve"> </v>
      </c>
      <c r="O103" s="30" t="str">
        <f>AC11</f>
        <v xml:space="preserve"> </v>
      </c>
      <c r="Q103" s="30" t="str">
        <f>AC31</f>
        <v xml:space="preserve"> </v>
      </c>
      <c r="S103" s="30" t="str">
        <f>AX11</f>
        <v xml:space="preserve"> </v>
      </c>
      <c r="V103" s="30" t="str">
        <f>AX31</f>
        <v xml:space="preserve"> </v>
      </c>
      <c r="X103" s="30" t="str">
        <f>AC15</f>
        <v xml:space="preserve"> </v>
      </c>
      <c r="Z103" s="30" t="str">
        <f>AC35</f>
        <v xml:space="preserve"> </v>
      </c>
      <c r="AB103" s="30" t="str">
        <f>AX15</f>
        <v xml:space="preserve"> </v>
      </c>
      <c r="AD103" s="30" t="str">
        <f>AX35</f>
        <v xml:space="preserve"> </v>
      </c>
      <c r="AF103" s="30" t="str">
        <f>AC19</f>
        <v xml:space="preserve"> </v>
      </c>
      <c r="AH103" s="30" t="str">
        <f>AC39</f>
        <v xml:space="preserve"> </v>
      </c>
      <c r="AJ103" s="30" t="str">
        <f>AX19</f>
        <v xml:space="preserve"> </v>
      </c>
      <c r="AL103" s="30" t="str">
        <f>AX39</f>
        <v xml:space="preserve"> </v>
      </c>
      <c r="AQ103" s="30" t="str">
        <f>AC23</f>
        <v xml:space="preserve"> </v>
      </c>
      <c r="AS103" s="30" t="str">
        <f>AC43</f>
        <v xml:space="preserve"> </v>
      </c>
      <c r="AU103" s="30" t="str">
        <f>AX23</f>
        <v xml:space="preserve"> </v>
      </c>
      <c r="AW103" s="30" t="str">
        <f>AX43</f>
        <v xml:space="preserve"> </v>
      </c>
    </row>
    <row r="104" spans="5:49" s="25" customFormat="1" x14ac:dyDescent="0.25">
      <c r="E104" s="25" t="str">
        <f>AD4</f>
        <v xml:space="preserve"> </v>
      </c>
      <c r="G104" s="25" t="str">
        <f>AD24</f>
        <v xml:space="preserve"> </v>
      </c>
      <c r="I104" s="25" t="str">
        <f>AY4</f>
        <v xml:space="preserve"> </v>
      </c>
      <c r="K104" s="25" t="str">
        <f>AY24</f>
        <v xml:space="preserve"> </v>
      </c>
      <c r="O104" s="25" t="str">
        <f>AD8</f>
        <v xml:space="preserve"> </v>
      </c>
      <c r="Q104" s="25" t="str">
        <f>AD28</f>
        <v xml:space="preserve"> </v>
      </c>
      <c r="S104" s="25" t="str">
        <f>AY8</f>
        <v xml:space="preserve"> </v>
      </c>
      <c r="V104" s="25" t="str">
        <f>AY28</f>
        <v xml:space="preserve"> </v>
      </c>
      <c r="X104" s="25" t="str">
        <f>AD12</f>
        <v xml:space="preserve"> </v>
      </c>
      <c r="Z104" s="25" t="str">
        <f>AD32</f>
        <v xml:space="preserve"> </v>
      </c>
      <c r="AB104" s="25" t="str">
        <f>AY12</f>
        <v xml:space="preserve"> </v>
      </c>
      <c r="AD104" s="25" t="str">
        <f>AY32</f>
        <v xml:space="preserve"> </v>
      </c>
      <c r="AF104" s="25" t="str">
        <f>AD16</f>
        <v xml:space="preserve"> </v>
      </c>
      <c r="AH104" s="25" t="str">
        <f>AD36</f>
        <v xml:space="preserve"> </v>
      </c>
      <c r="AJ104" s="25" t="str">
        <f>AY16</f>
        <v xml:space="preserve"> </v>
      </c>
      <c r="AL104" s="25" t="str">
        <f>AY36</f>
        <v xml:space="preserve"> </v>
      </c>
      <c r="AQ104" s="25" t="str">
        <f>AD20</f>
        <v xml:space="preserve"> </v>
      </c>
      <c r="AS104" s="25" t="str">
        <f>AD40</f>
        <v xml:space="preserve"> </v>
      </c>
      <c r="AU104" s="25" t="str">
        <f>AY20</f>
        <v xml:space="preserve"> </v>
      </c>
      <c r="AW104" s="25" t="str">
        <f>AY40</f>
        <v xml:space="preserve"> </v>
      </c>
    </row>
    <row r="105" spans="5:49" x14ac:dyDescent="0.25">
      <c r="E105" t="str">
        <f>AD5</f>
        <v xml:space="preserve"> </v>
      </c>
      <c r="G105" t="str">
        <f>AD25</f>
        <v xml:space="preserve"> </v>
      </c>
      <c r="I105" t="str">
        <f>AY5</f>
        <v xml:space="preserve"> </v>
      </c>
      <c r="K105" t="str">
        <f>AY25</f>
        <v xml:space="preserve"> </v>
      </c>
      <c r="O105" t="str">
        <f>AD9</f>
        <v xml:space="preserve"> </v>
      </c>
      <c r="Q105" t="str">
        <f>AD29</f>
        <v xml:space="preserve"> </v>
      </c>
      <c r="S105" t="str">
        <f>AY9</f>
        <v xml:space="preserve"> </v>
      </c>
      <c r="V105" t="str">
        <f>AY29</f>
        <v xml:space="preserve"> </v>
      </c>
      <c r="X105" t="str">
        <f>AD13</f>
        <v xml:space="preserve"> </v>
      </c>
      <c r="Z105" t="str">
        <f>AD33</f>
        <v xml:space="preserve"> </v>
      </c>
      <c r="AB105" t="str">
        <f>AY13</f>
        <v xml:space="preserve"> </v>
      </c>
      <c r="AD105" t="str">
        <f>AY33</f>
        <v xml:space="preserve"> </v>
      </c>
      <c r="AF105" t="str">
        <f>AD17</f>
        <v xml:space="preserve"> </v>
      </c>
      <c r="AH105" t="str">
        <f>AD37</f>
        <v xml:space="preserve"> </v>
      </c>
      <c r="AJ105" t="str">
        <f>AY17</f>
        <v xml:space="preserve"> </v>
      </c>
      <c r="AL105" t="str">
        <f>AY37</f>
        <v xml:space="preserve"> </v>
      </c>
      <c r="AQ105" t="str">
        <f>AD21</f>
        <v xml:space="preserve"> </v>
      </c>
      <c r="AS105" t="str">
        <f>AD41</f>
        <v xml:space="preserve"> </v>
      </c>
      <c r="AU105" t="str">
        <f>AY21</f>
        <v xml:space="preserve"> </v>
      </c>
      <c r="AW105" t="str">
        <f>AY41</f>
        <v xml:space="preserve"> </v>
      </c>
    </row>
    <row r="106" spans="5:49" x14ac:dyDescent="0.25">
      <c r="E106" t="str">
        <f>AD6</f>
        <v xml:space="preserve"> </v>
      </c>
      <c r="G106" t="str">
        <f>AD26</f>
        <v xml:space="preserve"> </v>
      </c>
      <c r="I106" t="str">
        <f>AY6</f>
        <v xml:space="preserve"> </v>
      </c>
      <c r="K106" t="str">
        <f>AY26</f>
        <v xml:space="preserve"> </v>
      </c>
      <c r="O106" t="str">
        <f>AD10</f>
        <v xml:space="preserve"> </v>
      </c>
      <c r="Q106" t="str">
        <f>AD30</f>
        <v xml:space="preserve"> </v>
      </c>
      <c r="S106" t="str">
        <f>AY10</f>
        <v xml:space="preserve"> </v>
      </c>
      <c r="V106" t="str">
        <f>AY30</f>
        <v xml:space="preserve"> </v>
      </c>
      <c r="X106" t="str">
        <f>AD14</f>
        <v xml:space="preserve"> </v>
      </c>
      <c r="Z106" t="str">
        <f>AD34</f>
        <v xml:space="preserve"> </v>
      </c>
      <c r="AB106" t="str">
        <f>AY14</f>
        <v xml:space="preserve"> </v>
      </c>
      <c r="AD106" t="str">
        <f>AY34</f>
        <v xml:space="preserve"> </v>
      </c>
      <c r="AF106" t="str">
        <f>AD18</f>
        <v xml:space="preserve"> </v>
      </c>
      <c r="AH106" t="str">
        <f>AD38</f>
        <v xml:space="preserve"> </v>
      </c>
      <c r="AJ106" t="str">
        <f>AY18</f>
        <v xml:space="preserve"> </v>
      </c>
      <c r="AL106" t="str">
        <f>AY38</f>
        <v xml:space="preserve"> </v>
      </c>
      <c r="AQ106" t="str">
        <f>AD22</f>
        <v xml:space="preserve"> </v>
      </c>
      <c r="AS106" t="str">
        <f>AD42</f>
        <v xml:space="preserve"> </v>
      </c>
      <c r="AU106" t="str">
        <f>AY22</f>
        <v xml:space="preserve"> </v>
      </c>
      <c r="AW106" t="str">
        <f>AY42</f>
        <v xml:space="preserve"> </v>
      </c>
    </row>
    <row r="107" spans="5:49" s="30" customFormat="1" x14ac:dyDescent="0.25">
      <c r="E107" s="30" t="str">
        <f>AD7</f>
        <v xml:space="preserve"> </v>
      </c>
      <c r="G107" s="30" t="str">
        <f>AD27</f>
        <v xml:space="preserve"> </v>
      </c>
      <c r="I107" s="30" t="str">
        <f>AY7</f>
        <v xml:space="preserve"> </v>
      </c>
      <c r="K107" s="30" t="str">
        <f>AY27</f>
        <v xml:space="preserve"> </v>
      </c>
      <c r="O107" s="30" t="str">
        <f>AD11</f>
        <v xml:space="preserve"> </v>
      </c>
      <c r="Q107" s="30" t="str">
        <f>AD31</f>
        <v xml:space="preserve"> </v>
      </c>
      <c r="S107" s="30" t="str">
        <f>AY11</f>
        <v xml:space="preserve"> </v>
      </c>
      <c r="V107" s="30" t="str">
        <f>AY31</f>
        <v xml:space="preserve"> </v>
      </c>
      <c r="X107" s="30" t="str">
        <f>AD15</f>
        <v xml:space="preserve"> </v>
      </c>
      <c r="Z107" s="30" t="str">
        <f>AD35</f>
        <v xml:space="preserve"> </v>
      </c>
      <c r="AB107" s="30" t="str">
        <f>AY15</f>
        <v xml:space="preserve"> </v>
      </c>
      <c r="AD107" s="30" t="str">
        <f>AY35</f>
        <v xml:space="preserve"> </v>
      </c>
      <c r="AF107" s="30" t="str">
        <f>AD19</f>
        <v xml:space="preserve"> </v>
      </c>
      <c r="AH107" s="30" t="str">
        <f>AD39</f>
        <v xml:space="preserve"> </v>
      </c>
      <c r="AJ107" s="30" t="str">
        <f>AY19</f>
        <v xml:space="preserve"> </v>
      </c>
      <c r="AL107" s="30" t="str">
        <f>AY39</f>
        <v xml:space="preserve"> </v>
      </c>
      <c r="AQ107" s="30" t="str">
        <f>AD23</f>
        <v xml:space="preserve"> </v>
      </c>
      <c r="AS107" s="30" t="str">
        <f>AD43</f>
        <v xml:space="preserve"> </v>
      </c>
      <c r="AU107" s="30" t="str">
        <f>AY23</f>
        <v xml:space="preserve"> </v>
      </c>
      <c r="AW107" s="30" t="str">
        <f>AY43</f>
        <v xml:space="preserve"> </v>
      </c>
    </row>
    <row r="108" spans="5:49" s="25" customFormat="1" x14ac:dyDescent="0.25">
      <c r="E108" s="25" t="str">
        <f>AE4</f>
        <v xml:space="preserve"> </v>
      </c>
      <c r="G108" s="25" t="str">
        <f>AE24</f>
        <v xml:space="preserve"> </v>
      </c>
      <c r="I108" s="25" t="str">
        <f>AZ4</f>
        <v xml:space="preserve"> </v>
      </c>
      <c r="K108" s="25" t="str">
        <f>AZ24</f>
        <v xml:space="preserve"> </v>
      </c>
      <c r="O108" s="25" t="str">
        <f>AE8</f>
        <v xml:space="preserve"> </v>
      </c>
      <c r="Q108" s="25" t="str">
        <f>AE28</f>
        <v xml:space="preserve"> </v>
      </c>
      <c r="S108" s="25" t="str">
        <f>AZ8</f>
        <v xml:space="preserve"> </v>
      </c>
      <c r="V108" s="25" t="str">
        <f>AZ28</f>
        <v xml:space="preserve"> </v>
      </c>
      <c r="X108" s="25" t="str">
        <f>AE12</f>
        <v xml:space="preserve"> </v>
      </c>
      <c r="Z108" s="25" t="str">
        <f>AE32</f>
        <v xml:space="preserve"> </v>
      </c>
      <c r="AB108" s="25" t="str">
        <f>AZ12</f>
        <v xml:space="preserve"> </v>
      </c>
      <c r="AD108" s="25" t="str">
        <f>AZ32</f>
        <v xml:space="preserve"> </v>
      </c>
      <c r="AF108" s="25" t="str">
        <f>AE16</f>
        <v xml:space="preserve"> </v>
      </c>
      <c r="AH108" s="25" t="str">
        <f>AE36</f>
        <v xml:space="preserve"> </v>
      </c>
      <c r="AJ108" s="25" t="str">
        <f>AZ16</f>
        <v xml:space="preserve"> </v>
      </c>
      <c r="AL108" s="25" t="str">
        <f>AZ36</f>
        <v xml:space="preserve"> </v>
      </c>
      <c r="AQ108" s="25" t="str">
        <f>AE20</f>
        <v xml:space="preserve"> </v>
      </c>
      <c r="AS108" s="25" t="str">
        <f>AE40</f>
        <v xml:space="preserve"> </v>
      </c>
      <c r="AU108" s="25" t="str">
        <f>AZ20</f>
        <v xml:space="preserve"> </v>
      </c>
      <c r="AW108" s="25" t="str">
        <f>AZ40</f>
        <v xml:space="preserve"> </v>
      </c>
    </row>
    <row r="109" spans="5:49" x14ac:dyDescent="0.25">
      <c r="E109" t="str">
        <f>AE5</f>
        <v xml:space="preserve"> </v>
      </c>
      <c r="G109" t="str">
        <f>AE25</f>
        <v xml:space="preserve"> </v>
      </c>
      <c r="I109" t="str">
        <f>AZ5</f>
        <v xml:space="preserve"> </v>
      </c>
      <c r="K109" t="str">
        <f>AZ25</f>
        <v xml:space="preserve"> </v>
      </c>
      <c r="O109" t="str">
        <f>AE9</f>
        <v xml:space="preserve"> </v>
      </c>
      <c r="Q109" t="str">
        <f>AE29</f>
        <v xml:space="preserve"> </v>
      </c>
      <c r="S109" t="str">
        <f>AZ9</f>
        <v xml:space="preserve"> </v>
      </c>
      <c r="V109" t="str">
        <f>AZ29</f>
        <v xml:space="preserve"> </v>
      </c>
      <c r="X109" t="str">
        <f>AE13</f>
        <v xml:space="preserve"> </v>
      </c>
      <c r="Z109" t="str">
        <f>AE33</f>
        <v xml:space="preserve"> </v>
      </c>
      <c r="AB109" t="str">
        <f>AZ13</f>
        <v xml:space="preserve"> </v>
      </c>
      <c r="AD109" t="str">
        <f>AZ33</f>
        <v xml:space="preserve"> </v>
      </c>
      <c r="AF109" t="str">
        <f>AE17</f>
        <v xml:space="preserve"> </v>
      </c>
      <c r="AH109" t="str">
        <f>AE37</f>
        <v xml:space="preserve"> </v>
      </c>
      <c r="AJ109" t="str">
        <f>AZ17</f>
        <v xml:space="preserve"> </v>
      </c>
      <c r="AL109" t="str">
        <f>AZ37</f>
        <v xml:space="preserve"> </v>
      </c>
      <c r="AQ109" t="str">
        <f>AE21</f>
        <v xml:space="preserve"> </v>
      </c>
      <c r="AS109" t="str">
        <f>AE41</f>
        <v xml:space="preserve"> </v>
      </c>
      <c r="AU109" t="str">
        <f>AZ21</f>
        <v xml:space="preserve"> </v>
      </c>
      <c r="AW109" t="str">
        <f>AZ41</f>
        <v xml:space="preserve"> </v>
      </c>
    </row>
    <row r="110" spans="5:49" x14ac:dyDescent="0.25">
      <c r="E110" t="str">
        <f>AE6</f>
        <v xml:space="preserve"> </v>
      </c>
      <c r="G110" t="str">
        <f>AE26</f>
        <v xml:space="preserve"> </v>
      </c>
      <c r="I110" t="str">
        <f>AZ6</f>
        <v xml:space="preserve"> </v>
      </c>
      <c r="K110" t="str">
        <f>AZ26</f>
        <v xml:space="preserve"> </v>
      </c>
      <c r="O110" t="str">
        <f>AE10</f>
        <v xml:space="preserve"> </v>
      </c>
      <c r="Q110" t="str">
        <f>AE30</f>
        <v xml:space="preserve"> </v>
      </c>
      <c r="S110" t="str">
        <f>AZ10</f>
        <v xml:space="preserve"> </v>
      </c>
      <c r="V110" t="str">
        <f>AZ30</f>
        <v xml:space="preserve"> </v>
      </c>
      <c r="X110" t="str">
        <f>AE14</f>
        <v xml:space="preserve"> </v>
      </c>
      <c r="Z110" t="str">
        <f>AE34</f>
        <v xml:space="preserve"> </v>
      </c>
      <c r="AB110" t="str">
        <f>AZ14</f>
        <v xml:space="preserve"> </v>
      </c>
      <c r="AD110" t="str">
        <f>AZ34</f>
        <v xml:space="preserve"> </v>
      </c>
      <c r="AF110" t="str">
        <f>AE18</f>
        <v xml:space="preserve"> </v>
      </c>
      <c r="AH110" t="str">
        <f>AE38</f>
        <v xml:space="preserve"> </v>
      </c>
      <c r="AJ110" t="str">
        <f>AZ18</f>
        <v xml:space="preserve"> </v>
      </c>
      <c r="AL110" t="str">
        <f>AZ38</f>
        <v xml:space="preserve"> </v>
      </c>
      <c r="AQ110" t="str">
        <f>AE22</f>
        <v xml:space="preserve"> </v>
      </c>
      <c r="AS110" t="str">
        <f>AE42</f>
        <v xml:space="preserve"> </v>
      </c>
      <c r="AU110" t="str">
        <f>AZ22</f>
        <v xml:space="preserve"> </v>
      </c>
      <c r="AW110" t="str">
        <f>AZ42</f>
        <v xml:space="preserve"> </v>
      </c>
    </row>
    <row r="111" spans="5:49" s="30" customFormat="1" x14ac:dyDescent="0.25">
      <c r="E111" s="30" t="str">
        <f>AE7</f>
        <v xml:space="preserve"> </v>
      </c>
      <c r="G111" s="30" t="str">
        <f>AE27</f>
        <v xml:space="preserve"> </v>
      </c>
      <c r="I111" s="30" t="str">
        <f>AZ7</f>
        <v xml:space="preserve"> </v>
      </c>
      <c r="K111" s="30" t="str">
        <f>AZ27</f>
        <v xml:space="preserve"> </v>
      </c>
      <c r="O111" s="30" t="str">
        <f>AE11</f>
        <v xml:space="preserve"> </v>
      </c>
      <c r="Q111" s="30" t="str">
        <f>AE31</f>
        <v xml:space="preserve"> </v>
      </c>
      <c r="S111" s="30" t="str">
        <f>AZ11</f>
        <v xml:space="preserve"> </v>
      </c>
      <c r="V111" s="30" t="str">
        <f>AZ31</f>
        <v xml:space="preserve"> </v>
      </c>
      <c r="X111" s="30" t="str">
        <f>AE15</f>
        <v xml:space="preserve"> </v>
      </c>
      <c r="Z111" s="30" t="str">
        <f>AE35</f>
        <v xml:space="preserve"> </v>
      </c>
      <c r="AB111" s="30" t="str">
        <f>AZ15</f>
        <v xml:space="preserve"> </v>
      </c>
      <c r="AD111" s="30" t="str">
        <f>AZ35</f>
        <v xml:space="preserve"> </v>
      </c>
      <c r="AF111" s="30" t="str">
        <f>AE19</f>
        <v xml:space="preserve"> </v>
      </c>
      <c r="AH111" s="30" t="str">
        <f>AE39</f>
        <v xml:space="preserve"> </v>
      </c>
      <c r="AJ111" s="30" t="str">
        <f>AZ19</f>
        <v xml:space="preserve"> </v>
      </c>
      <c r="AL111" s="30" t="str">
        <f>AZ39</f>
        <v xml:space="preserve"> </v>
      </c>
      <c r="AQ111" s="30" t="str">
        <f>AE23</f>
        <v xml:space="preserve"> </v>
      </c>
      <c r="AS111" s="30" t="str">
        <f>AE43</f>
        <v xml:space="preserve"> </v>
      </c>
      <c r="AU111" s="30" t="str">
        <f>AZ23</f>
        <v xml:space="preserve"> </v>
      </c>
      <c r="AW111" s="30" t="str">
        <f>AZ43</f>
        <v xml:space="preserve"> </v>
      </c>
    </row>
    <row r="112" spans="5:49" s="25" customFormat="1" x14ac:dyDescent="0.25">
      <c r="E112" s="25" t="str">
        <f>AF4</f>
        <v xml:space="preserve"> </v>
      </c>
      <c r="G112" s="25" t="str">
        <f>AF24</f>
        <v xml:space="preserve"> </v>
      </c>
      <c r="I112" s="25" t="str">
        <f>BA4</f>
        <v xml:space="preserve"> </v>
      </c>
      <c r="K112" s="25" t="str">
        <f>BA24</f>
        <v xml:space="preserve"> </v>
      </c>
      <c r="O112" s="25" t="str">
        <f>AF8</f>
        <v xml:space="preserve"> </v>
      </c>
      <c r="Q112" s="25" t="str">
        <f>AF28</f>
        <v xml:space="preserve"> </v>
      </c>
      <c r="S112" s="25" t="str">
        <f>BA8</f>
        <v xml:space="preserve"> </v>
      </c>
      <c r="V112" s="25" t="str">
        <f>BA28</f>
        <v xml:space="preserve"> </v>
      </c>
      <c r="X112" s="25" t="str">
        <f>AF12</f>
        <v xml:space="preserve"> </v>
      </c>
      <c r="Z112" s="25" t="str">
        <f>AF32</f>
        <v xml:space="preserve"> </v>
      </c>
      <c r="AB112" s="25" t="str">
        <f>BA12</f>
        <v xml:space="preserve"> </v>
      </c>
      <c r="AD112" s="25" t="str">
        <f>BA32</f>
        <v xml:space="preserve"> </v>
      </c>
      <c r="AF112" s="25" t="str">
        <f>AF16</f>
        <v xml:space="preserve"> </v>
      </c>
      <c r="AH112" s="25" t="str">
        <f>AF36</f>
        <v xml:space="preserve"> </v>
      </c>
      <c r="AJ112" s="25" t="str">
        <f>BA16</f>
        <v xml:space="preserve"> </v>
      </c>
      <c r="AL112" s="25" t="str">
        <f>BA36</f>
        <v xml:space="preserve"> </v>
      </c>
      <c r="AQ112" s="25" t="str">
        <f>AF20</f>
        <v xml:space="preserve"> </v>
      </c>
      <c r="AS112" s="25" t="str">
        <f>AF40</f>
        <v xml:space="preserve"> </v>
      </c>
      <c r="AU112" s="25" t="str">
        <f>BA20</f>
        <v xml:space="preserve"> </v>
      </c>
      <c r="AW112" s="25" t="str">
        <f>BA40</f>
        <v xml:space="preserve"> </v>
      </c>
    </row>
    <row r="113" spans="5:49" x14ac:dyDescent="0.25">
      <c r="E113" t="str">
        <f>AF5</f>
        <v xml:space="preserve"> </v>
      </c>
      <c r="G113" t="str">
        <f>AF25</f>
        <v xml:space="preserve"> </v>
      </c>
      <c r="I113" t="str">
        <f>BA5</f>
        <v xml:space="preserve"> </v>
      </c>
      <c r="K113" t="str">
        <f>BA25</f>
        <v xml:space="preserve"> </v>
      </c>
      <c r="O113" t="str">
        <f>AF9</f>
        <v xml:space="preserve"> </v>
      </c>
      <c r="Q113" t="str">
        <f>AF29</f>
        <v xml:space="preserve"> </v>
      </c>
      <c r="S113" t="str">
        <f>BA9</f>
        <v xml:space="preserve"> </v>
      </c>
      <c r="V113" t="str">
        <f>BA29</f>
        <v xml:space="preserve"> </v>
      </c>
      <c r="X113" t="str">
        <f>AF13</f>
        <v xml:space="preserve"> </v>
      </c>
      <c r="Z113" t="str">
        <f>AF33</f>
        <v xml:space="preserve"> </v>
      </c>
      <c r="AB113" t="str">
        <f>BA13</f>
        <v xml:space="preserve"> </v>
      </c>
      <c r="AD113" t="str">
        <f>BA33</f>
        <v xml:space="preserve"> </v>
      </c>
      <c r="AF113" t="str">
        <f>AF17</f>
        <v xml:space="preserve"> </v>
      </c>
      <c r="AH113" t="str">
        <f>AF37</f>
        <v xml:space="preserve"> </v>
      </c>
      <c r="AJ113" t="str">
        <f>BA17</f>
        <v xml:space="preserve"> </v>
      </c>
      <c r="AL113" t="str">
        <f>BA37</f>
        <v xml:space="preserve"> </v>
      </c>
      <c r="AQ113" t="str">
        <f>AF21</f>
        <v xml:space="preserve"> </v>
      </c>
      <c r="AS113" t="str">
        <f>AF41</f>
        <v xml:space="preserve"> </v>
      </c>
      <c r="AU113" t="str">
        <f>BA21</f>
        <v xml:space="preserve"> </v>
      </c>
      <c r="AW113" t="str">
        <f>BA41</f>
        <v xml:space="preserve"> </v>
      </c>
    </row>
    <row r="114" spans="5:49" x14ac:dyDescent="0.25">
      <c r="E114" t="str">
        <f>AF6</f>
        <v xml:space="preserve"> </v>
      </c>
      <c r="G114" t="str">
        <f>AF26</f>
        <v xml:space="preserve"> </v>
      </c>
      <c r="I114" t="str">
        <f>BA6</f>
        <v xml:space="preserve"> </v>
      </c>
      <c r="K114" t="str">
        <f>BA26</f>
        <v xml:space="preserve"> </v>
      </c>
      <c r="O114" t="str">
        <f>AF10</f>
        <v xml:space="preserve"> </v>
      </c>
      <c r="Q114" t="str">
        <f>AF30</f>
        <v xml:space="preserve"> </v>
      </c>
      <c r="S114" t="str">
        <f>BA10</f>
        <v xml:space="preserve"> </v>
      </c>
      <c r="V114" t="str">
        <f>BA30</f>
        <v xml:space="preserve"> </v>
      </c>
      <c r="X114" t="str">
        <f>AF14</f>
        <v xml:space="preserve"> </v>
      </c>
      <c r="Z114" t="str">
        <f>AF34</f>
        <v xml:space="preserve"> </v>
      </c>
      <c r="AB114" t="str">
        <f>BA14</f>
        <v xml:space="preserve"> </v>
      </c>
      <c r="AD114" t="str">
        <f>BA34</f>
        <v xml:space="preserve"> </v>
      </c>
      <c r="AF114" t="str">
        <f>AF18</f>
        <v xml:space="preserve"> </v>
      </c>
      <c r="AH114" t="str">
        <f>AF38</f>
        <v xml:space="preserve"> </v>
      </c>
      <c r="AJ114" t="str">
        <f>BA18</f>
        <v xml:space="preserve"> </v>
      </c>
      <c r="AL114" t="str">
        <f>BA38</f>
        <v xml:space="preserve"> </v>
      </c>
      <c r="AQ114" t="str">
        <f>AF22</f>
        <v xml:space="preserve"> </v>
      </c>
      <c r="AS114" t="str">
        <f>AF42</f>
        <v xml:space="preserve"> </v>
      </c>
      <c r="AU114" t="str">
        <f>BA22</f>
        <v xml:space="preserve"> </v>
      </c>
      <c r="AW114" t="str">
        <f>BA42</f>
        <v xml:space="preserve"> </v>
      </c>
    </row>
    <row r="115" spans="5:49" s="30" customFormat="1" x14ac:dyDescent="0.25">
      <c r="E115" s="30" t="str">
        <f>AF7</f>
        <v xml:space="preserve"> </v>
      </c>
      <c r="G115" s="30" t="str">
        <f>AF27</f>
        <v xml:space="preserve"> </v>
      </c>
      <c r="I115" s="30" t="str">
        <f>BA7</f>
        <v xml:space="preserve"> </v>
      </c>
      <c r="K115" s="30" t="str">
        <f>BA27</f>
        <v xml:space="preserve"> </v>
      </c>
      <c r="O115" s="30" t="str">
        <f>AF11</f>
        <v xml:space="preserve"> </v>
      </c>
      <c r="Q115" s="30" t="str">
        <f>AF31</f>
        <v xml:space="preserve"> </v>
      </c>
      <c r="S115" s="30" t="str">
        <f>BA11</f>
        <v xml:space="preserve"> </v>
      </c>
      <c r="V115" s="30" t="str">
        <f>BA31</f>
        <v xml:space="preserve"> </v>
      </c>
      <c r="X115" s="30" t="str">
        <f>AF15</f>
        <v xml:space="preserve"> </v>
      </c>
      <c r="Z115" s="30" t="str">
        <f>AF35</f>
        <v xml:space="preserve"> </v>
      </c>
      <c r="AB115" s="30" t="str">
        <f>BA15</f>
        <v xml:space="preserve"> </v>
      </c>
      <c r="AD115" s="30" t="str">
        <f>BA35</f>
        <v xml:space="preserve"> </v>
      </c>
      <c r="AF115" s="30" t="str">
        <f>AF19</f>
        <v xml:space="preserve"> </v>
      </c>
      <c r="AH115" s="30" t="str">
        <f>AF39</f>
        <v xml:space="preserve"> </v>
      </c>
      <c r="AJ115" s="30" t="str">
        <f>BA19</f>
        <v xml:space="preserve"> </v>
      </c>
      <c r="AL115" s="30" t="str">
        <f>BA39</f>
        <v xml:space="preserve"> </v>
      </c>
      <c r="AQ115" s="30" t="str">
        <f>AF23</f>
        <v xml:space="preserve"> </v>
      </c>
      <c r="AS115" s="30" t="str">
        <f>AF43</f>
        <v xml:space="preserve"> </v>
      </c>
      <c r="AU115" s="30" t="str">
        <f>BA23</f>
        <v xml:space="preserve"> </v>
      </c>
      <c r="AW115" s="30" t="str">
        <f>BA43</f>
        <v xml:space="preserve"> </v>
      </c>
    </row>
    <row r="116" spans="5:49" s="25" customFormat="1" x14ac:dyDescent="0.25">
      <c r="E116" s="25" t="str">
        <f>AG4</f>
        <v xml:space="preserve"> </v>
      </c>
      <c r="G116" s="25" t="str">
        <f>AG24</f>
        <v xml:space="preserve"> </v>
      </c>
      <c r="I116" s="25" t="str">
        <f>BB4</f>
        <v xml:space="preserve"> </v>
      </c>
      <c r="K116" s="25" t="str">
        <f>BB24</f>
        <v xml:space="preserve"> </v>
      </c>
      <c r="O116" s="25" t="str">
        <f>AG8</f>
        <v xml:space="preserve"> </v>
      </c>
      <c r="Q116" s="25" t="str">
        <f>AG28</f>
        <v xml:space="preserve"> </v>
      </c>
      <c r="S116" s="25" t="str">
        <f>BB8</f>
        <v xml:space="preserve"> </v>
      </c>
      <c r="V116" s="25" t="str">
        <f>BB28</f>
        <v xml:space="preserve"> </v>
      </c>
      <c r="X116" s="25" t="str">
        <f>AG12</f>
        <v xml:space="preserve"> </v>
      </c>
      <c r="Z116" s="25" t="str">
        <f>AG32</f>
        <v xml:space="preserve"> </v>
      </c>
      <c r="AB116" s="25" t="str">
        <f>BB12</f>
        <v xml:space="preserve"> </v>
      </c>
      <c r="AD116" s="25" t="str">
        <f>BB32</f>
        <v xml:space="preserve"> </v>
      </c>
      <c r="AF116" s="25" t="str">
        <f>AG16</f>
        <v xml:space="preserve"> </v>
      </c>
      <c r="AH116" s="25" t="str">
        <f>AG36</f>
        <v xml:space="preserve"> </v>
      </c>
      <c r="AJ116" s="25" t="str">
        <f>BB16</f>
        <v xml:space="preserve"> </v>
      </c>
      <c r="AL116" s="25" t="str">
        <f>BB36</f>
        <v xml:space="preserve"> </v>
      </c>
      <c r="AQ116" s="25" t="str">
        <f>AG20</f>
        <v xml:space="preserve"> </v>
      </c>
      <c r="AS116" s="25" t="str">
        <f>AG40</f>
        <v xml:space="preserve"> </v>
      </c>
      <c r="AU116" s="25" t="str">
        <f>BB20</f>
        <v xml:space="preserve"> </v>
      </c>
      <c r="AW116" s="25" t="str">
        <f>BB40</f>
        <v xml:space="preserve"> </v>
      </c>
    </row>
    <row r="117" spans="5:49" x14ac:dyDescent="0.25">
      <c r="E117" t="str">
        <f>AG5</f>
        <v xml:space="preserve"> </v>
      </c>
      <c r="G117" t="str">
        <f>AG25</f>
        <v xml:space="preserve"> </v>
      </c>
      <c r="I117" t="str">
        <f>BB5</f>
        <v xml:space="preserve"> </v>
      </c>
      <c r="K117" t="str">
        <f>BB25</f>
        <v xml:space="preserve"> </v>
      </c>
      <c r="O117" t="str">
        <f>AG9</f>
        <v xml:space="preserve"> </v>
      </c>
      <c r="Q117" t="str">
        <f>AG29</f>
        <v xml:space="preserve"> </v>
      </c>
      <c r="S117" t="str">
        <f>BB9</f>
        <v xml:space="preserve"> </v>
      </c>
      <c r="V117" t="str">
        <f>BB29</f>
        <v xml:space="preserve"> </v>
      </c>
      <c r="X117" t="str">
        <f>AG13</f>
        <v xml:space="preserve"> </v>
      </c>
      <c r="Z117" t="str">
        <f>AG33</f>
        <v xml:space="preserve"> </v>
      </c>
      <c r="AB117" t="str">
        <f>BB13</f>
        <v xml:space="preserve"> </v>
      </c>
      <c r="AD117" t="str">
        <f>BB33</f>
        <v xml:space="preserve"> </v>
      </c>
      <c r="AF117" t="str">
        <f>AG17</f>
        <v xml:space="preserve"> </v>
      </c>
      <c r="AH117" t="str">
        <f>AG37</f>
        <v xml:space="preserve"> </v>
      </c>
      <c r="AJ117" t="str">
        <f>BB17</f>
        <v xml:space="preserve"> </v>
      </c>
      <c r="AL117" t="str">
        <f>BB37</f>
        <v xml:space="preserve"> </v>
      </c>
      <c r="AQ117" t="str">
        <f>AG21</f>
        <v xml:space="preserve"> </v>
      </c>
      <c r="AS117" t="str">
        <f>AG41</f>
        <v xml:space="preserve"> </v>
      </c>
      <c r="AU117" t="str">
        <f>BB21</f>
        <v xml:space="preserve"> </v>
      </c>
      <c r="AW117" t="str">
        <f>BB41</f>
        <v xml:space="preserve"> </v>
      </c>
    </row>
    <row r="118" spans="5:49" x14ac:dyDescent="0.25">
      <c r="E118" t="str">
        <f>AG6</f>
        <v xml:space="preserve"> </v>
      </c>
      <c r="G118" t="str">
        <f>AG26</f>
        <v xml:space="preserve"> </v>
      </c>
      <c r="I118" t="str">
        <f>BB6</f>
        <v xml:space="preserve"> </v>
      </c>
      <c r="K118" t="str">
        <f>BB26</f>
        <v xml:space="preserve"> </v>
      </c>
      <c r="O118" t="str">
        <f>AG10</f>
        <v xml:space="preserve"> </v>
      </c>
      <c r="Q118" t="str">
        <f>AG30</f>
        <v xml:space="preserve"> </v>
      </c>
      <c r="S118" t="str">
        <f>BB10</f>
        <v xml:space="preserve"> </v>
      </c>
      <c r="V118" t="str">
        <f>BB30</f>
        <v xml:space="preserve"> </v>
      </c>
      <c r="X118" t="str">
        <f>AG14</f>
        <v xml:space="preserve"> </v>
      </c>
      <c r="Z118" t="str">
        <f>AG34</f>
        <v xml:space="preserve"> </v>
      </c>
      <c r="AB118" t="str">
        <f>BB14</f>
        <v xml:space="preserve"> </v>
      </c>
      <c r="AD118" t="str">
        <f>BB34</f>
        <v xml:space="preserve"> </v>
      </c>
      <c r="AF118" t="str">
        <f>AG18</f>
        <v xml:space="preserve"> </v>
      </c>
      <c r="AH118" t="str">
        <f>AG38</f>
        <v xml:space="preserve"> </v>
      </c>
      <c r="AJ118" t="str">
        <f>BB18</f>
        <v xml:space="preserve"> </v>
      </c>
      <c r="AL118" t="str">
        <f>BB38</f>
        <v xml:space="preserve"> </v>
      </c>
      <c r="AQ118" t="str">
        <f>AG22</f>
        <v xml:space="preserve"> </v>
      </c>
      <c r="AS118" t="str">
        <f>AG42</f>
        <v xml:space="preserve"> </v>
      </c>
      <c r="AU118" t="str">
        <f>BB22</f>
        <v xml:space="preserve"> </v>
      </c>
      <c r="AW118" t="str">
        <f>BB42</f>
        <v xml:space="preserve"> </v>
      </c>
    </row>
    <row r="119" spans="5:49" s="30" customFormat="1" x14ac:dyDescent="0.25">
      <c r="E119" s="30" t="str">
        <f>AG7</f>
        <v xml:space="preserve"> </v>
      </c>
      <c r="G119" s="30" t="str">
        <f>AG27</f>
        <v xml:space="preserve"> </v>
      </c>
      <c r="I119" s="30" t="str">
        <f>BB7</f>
        <v xml:space="preserve"> </v>
      </c>
      <c r="K119" s="30" t="str">
        <f>BB27</f>
        <v xml:space="preserve"> </v>
      </c>
      <c r="O119" s="30" t="str">
        <f>AG11</f>
        <v xml:space="preserve"> </v>
      </c>
      <c r="Q119" s="30" t="str">
        <f>AG31</f>
        <v xml:space="preserve"> </v>
      </c>
      <c r="S119" s="30" t="str">
        <f>BB11</f>
        <v xml:space="preserve"> </v>
      </c>
      <c r="V119" s="30" t="str">
        <f>BB31</f>
        <v xml:space="preserve"> </v>
      </c>
      <c r="X119" s="30" t="str">
        <f>AG15</f>
        <v xml:space="preserve"> </v>
      </c>
      <c r="Z119" s="30" t="str">
        <f>AG35</f>
        <v xml:space="preserve"> </v>
      </c>
      <c r="AB119" s="30" t="str">
        <f>BB15</f>
        <v xml:space="preserve"> </v>
      </c>
      <c r="AD119" s="30" t="str">
        <f>BB35</f>
        <v xml:space="preserve"> </v>
      </c>
      <c r="AF119" s="30" t="str">
        <f>AG19</f>
        <v xml:space="preserve"> </v>
      </c>
      <c r="AH119" s="30" t="str">
        <f>AG39</f>
        <v xml:space="preserve"> </v>
      </c>
      <c r="AJ119" s="30" t="str">
        <f>BB19</f>
        <v xml:space="preserve"> </v>
      </c>
      <c r="AL119" s="30" t="str">
        <f>BB39</f>
        <v xml:space="preserve"> </v>
      </c>
      <c r="AQ119" s="30" t="str">
        <f>AG23</f>
        <v xml:space="preserve"> </v>
      </c>
      <c r="AS119" s="30" t="str">
        <f>AG43</f>
        <v xml:space="preserve"> </v>
      </c>
      <c r="AU119" s="30" t="str">
        <f>BB23</f>
        <v xml:space="preserve"> </v>
      </c>
      <c r="AW119" s="30" t="str">
        <f>BB43</f>
        <v xml:space="preserve"> </v>
      </c>
    </row>
    <row r="120" spans="5:49" s="25" customFormat="1" x14ac:dyDescent="0.25">
      <c r="E120" s="25" t="str">
        <f>AH4</f>
        <v xml:space="preserve"> </v>
      </c>
      <c r="G120" s="25" t="str">
        <f>AH24</f>
        <v xml:space="preserve"> </v>
      </c>
      <c r="I120" s="25" t="str">
        <f>BC4</f>
        <v xml:space="preserve"> </v>
      </c>
      <c r="K120" s="25" t="str">
        <f>BC24</f>
        <v xml:space="preserve"> </v>
      </c>
      <c r="O120" s="25" t="str">
        <f>AH8</f>
        <v xml:space="preserve"> </v>
      </c>
      <c r="Q120" s="25" t="str">
        <f>AH28</f>
        <v xml:space="preserve"> </v>
      </c>
      <c r="S120" s="25" t="str">
        <f>BC8</f>
        <v xml:space="preserve"> </v>
      </c>
      <c r="V120" s="25" t="str">
        <f>BC28</f>
        <v xml:space="preserve"> </v>
      </c>
      <c r="X120" s="25" t="str">
        <f>AH12</f>
        <v xml:space="preserve"> </v>
      </c>
      <c r="Z120" s="25" t="str">
        <f>AH32</f>
        <v xml:space="preserve"> </v>
      </c>
      <c r="AB120" s="25" t="str">
        <f>BC12</f>
        <v xml:space="preserve"> </v>
      </c>
      <c r="AD120" s="25" t="str">
        <f>BC32</f>
        <v xml:space="preserve"> </v>
      </c>
      <c r="AF120" s="25" t="str">
        <f>AH16</f>
        <v xml:space="preserve"> </v>
      </c>
      <c r="AH120" s="25" t="str">
        <f>AH36</f>
        <v xml:space="preserve"> </v>
      </c>
      <c r="AJ120" s="25" t="str">
        <f>BC16</f>
        <v xml:space="preserve"> </v>
      </c>
      <c r="AL120" s="25" t="str">
        <f>BC36</f>
        <v xml:space="preserve"> </v>
      </c>
      <c r="AQ120" s="25" t="str">
        <f>AH20</f>
        <v xml:space="preserve"> </v>
      </c>
      <c r="AS120" s="25" t="str">
        <f>AH40</f>
        <v xml:space="preserve"> </v>
      </c>
      <c r="AU120" s="25" t="str">
        <f>BC20</f>
        <v xml:space="preserve"> </v>
      </c>
      <c r="AW120" s="25" t="str">
        <f>BC40</f>
        <v xml:space="preserve"> </v>
      </c>
    </row>
    <row r="121" spans="5:49" x14ac:dyDescent="0.25">
      <c r="E121" t="str">
        <f>AH5</f>
        <v xml:space="preserve"> </v>
      </c>
      <c r="G121" t="str">
        <f>AH25</f>
        <v xml:space="preserve"> </v>
      </c>
      <c r="I121" t="str">
        <f>BC5</f>
        <v xml:space="preserve"> </v>
      </c>
      <c r="K121" t="str">
        <f>BC25</f>
        <v xml:space="preserve"> </v>
      </c>
      <c r="O121" t="str">
        <f>AH9</f>
        <v xml:space="preserve"> </v>
      </c>
      <c r="Q121" t="str">
        <f>AH29</f>
        <v xml:space="preserve"> </v>
      </c>
      <c r="S121" t="str">
        <f>BC9</f>
        <v xml:space="preserve"> </v>
      </c>
      <c r="V121" t="str">
        <f>BC29</f>
        <v xml:space="preserve"> </v>
      </c>
      <c r="X121" t="str">
        <f>AH13</f>
        <v xml:space="preserve"> </v>
      </c>
      <c r="Z121" t="str">
        <f>AH33</f>
        <v xml:space="preserve"> </v>
      </c>
      <c r="AB121" t="str">
        <f>BC13</f>
        <v xml:space="preserve"> </v>
      </c>
      <c r="AD121" t="str">
        <f>BC33</f>
        <v xml:space="preserve"> </v>
      </c>
      <c r="AF121" t="str">
        <f>AH17</f>
        <v xml:space="preserve"> </v>
      </c>
      <c r="AH121" t="str">
        <f>AH37</f>
        <v xml:space="preserve"> </v>
      </c>
      <c r="AJ121" t="str">
        <f>BC17</f>
        <v xml:space="preserve"> </v>
      </c>
      <c r="AL121" t="str">
        <f>BC37</f>
        <v xml:space="preserve"> </v>
      </c>
      <c r="AQ121" t="str">
        <f>AH21</f>
        <v xml:space="preserve"> </v>
      </c>
      <c r="AS121" t="str">
        <f>AH41</f>
        <v xml:space="preserve"> </v>
      </c>
      <c r="AU121" t="str">
        <f>BC21</f>
        <v xml:space="preserve"> </v>
      </c>
      <c r="AW121" t="str">
        <f>BC41</f>
        <v xml:space="preserve"> </v>
      </c>
    </row>
    <row r="122" spans="5:49" x14ac:dyDescent="0.25">
      <c r="E122" t="str">
        <f>AH6</f>
        <v xml:space="preserve"> </v>
      </c>
      <c r="G122" t="str">
        <f>AH26</f>
        <v xml:space="preserve"> </v>
      </c>
      <c r="I122" t="str">
        <f>BC6</f>
        <v xml:space="preserve"> </v>
      </c>
      <c r="K122" t="str">
        <f>BC26</f>
        <v xml:space="preserve"> </v>
      </c>
      <c r="O122" t="str">
        <f>AH10</f>
        <v xml:space="preserve"> </v>
      </c>
      <c r="Q122" t="str">
        <f>AH30</f>
        <v xml:space="preserve"> </v>
      </c>
      <c r="S122" t="str">
        <f>BC10</f>
        <v xml:space="preserve"> </v>
      </c>
      <c r="V122" t="str">
        <f>BC30</f>
        <v xml:space="preserve"> </v>
      </c>
      <c r="X122" t="str">
        <f>AH14</f>
        <v xml:space="preserve"> </v>
      </c>
      <c r="Z122" t="str">
        <f>AH34</f>
        <v xml:space="preserve"> </v>
      </c>
      <c r="AB122" t="str">
        <f>BC14</f>
        <v xml:space="preserve"> </v>
      </c>
      <c r="AD122" t="str">
        <f>BC34</f>
        <v xml:space="preserve"> </v>
      </c>
      <c r="AF122" t="str">
        <f>AH18</f>
        <v xml:space="preserve"> </v>
      </c>
      <c r="AH122" t="str">
        <f>AH38</f>
        <v xml:space="preserve"> </v>
      </c>
      <c r="AJ122" t="str">
        <f>BC18</f>
        <v xml:space="preserve"> </v>
      </c>
      <c r="AL122" t="str">
        <f>BC38</f>
        <v xml:space="preserve"> </v>
      </c>
      <c r="AQ122" t="str">
        <f>AH22</f>
        <v xml:space="preserve"> </v>
      </c>
      <c r="AS122" t="str">
        <f>AH42</f>
        <v xml:space="preserve"> </v>
      </c>
      <c r="AU122" t="str">
        <f>BC22</f>
        <v xml:space="preserve"> </v>
      </c>
      <c r="AW122" t="str">
        <f>BC42</f>
        <v xml:space="preserve"> </v>
      </c>
    </row>
    <row r="123" spans="5:49" s="30" customFormat="1" x14ac:dyDescent="0.25">
      <c r="E123" s="30" t="str">
        <f>AH7</f>
        <v xml:space="preserve"> </v>
      </c>
      <c r="G123" s="30" t="str">
        <f>AH27</f>
        <v xml:space="preserve"> </v>
      </c>
      <c r="I123" s="30" t="str">
        <f>BC7</f>
        <v xml:space="preserve"> </v>
      </c>
      <c r="K123" s="30" t="str">
        <f>BC27</f>
        <v xml:space="preserve"> </v>
      </c>
      <c r="O123" s="30" t="str">
        <f>AH11</f>
        <v xml:space="preserve"> </v>
      </c>
      <c r="Q123" s="30" t="str">
        <f>AH31</f>
        <v xml:space="preserve"> </v>
      </c>
      <c r="S123" s="30" t="str">
        <f>BC11</f>
        <v xml:space="preserve"> </v>
      </c>
      <c r="V123" s="30" t="str">
        <f>BC31</f>
        <v xml:space="preserve"> </v>
      </c>
      <c r="X123" s="30" t="str">
        <f>AH15</f>
        <v xml:space="preserve"> </v>
      </c>
      <c r="Z123" s="30" t="str">
        <f>AH35</f>
        <v xml:space="preserve"> </v>
      </c>
      <c r="AB123" s="30" t="str">
        <f>BC15</f>
        <v xml:space="preserve"> </v>
      </c>
      <c r="AD123" s="30" t="str">
        <f>BC35</f>
        <v xml:space="preserve"> </v>
      </c>
      <c r="AF123" s="30" t="str">
        <f>AH19</f>
        <v xml:space="preserve"> </v>
      </c>
      <c r="AH123" s="30" t="str">
        <f>AH39</f>
        <v xml:space="preserve"> </v>
      </c>
      <c r="AJ123" s="30" t="str">
        <f>BC19</f>
        <v xml:space="preserve"> </v>
      </c>
      <c r="AL123" s="30" t="str">
        <f>BC39</f>
        <v xml:space="preserve"> </v>
      </c>
      <c r="AQ123" s="30" t="str">
        <f>AH23</f>
        <v xml:space="preserve"> </v>
      </c>
      <c r="AS123" s="30" t="str">
        <f>AH43</f>
        <v xml:space="preserve"> </v>
      </c>
      <c r="AU123" s="30" t="str">
        <f>BC23</f>
        <v xml:space="preserve"> </v>
      </c>
      <c r="AW123" s="30" t="str">
        <f>BC43</f>
        <v xml:space="preserve"> </v>
      </c>
    </row>
    <row r="124" spans="5:49" s="25" customFormat="1" x14ac:dyDescent="0.25">
      <c r="E124" s="25" t="str">
        <f>AI4</f>
        <v xml:space="preserve"> </v>
      </c>
      <c r="G124" s="25" t="str">
        <f>AI24</f>
        <v xml:space="preserve"> </v>
      </c>
      <c r="I124" s="25" t="str">
        <f>BD4</f>
        <v xml:space="preserve"> </v>
      </c>
      <c r="K124" s="25" t="str">
        <f>BD24</f>
        <v xml:space="preserve"> </v>
      </c>
      <c r="O124" s="25" t="str">
        <f>AI8</f>
        <v xml:space="preserve"> </v>
      </c>
      <c r="Q124" s="25" t="str">
        <f>AI28</f>
        <v xml:space="preserve"> </v>
      </c>
      <c r="S124" s="25" t="str">
        <f>BD8</f>
        <v xml:space="preserve"> </v>
      </c>
      <c r="V124" s="25" t="str">
        <f>BD28</f>
        <v xml:space="preserve"> </v>
      </c>
      <c r="X124" s="25" t="str">
        <f>AI12</f>
        <v xml:space="preserve"> </v>
      </c>
      <c r="Z124" s="25" t="str">
        <f>AI32</f>
        <v xml:space="preserve"> </v>
      </c>
      <c r="AB124" s="25" t="str">
        <f>BD12</f>
        <v xml:space="preserve"> </v>
      </c>
      <c r="AD124" s="25" t="str">
        <f>BD32</f>
        <v xml:space="preserve"> </v>
      </c>
      <c r="AF124" s="25" t="str">
        <f>AI16</f>
        <v xml:space="preserve"> </v>
      </c>
      <c r="AH124" s="25" t="str">
        <f>AI36</f>
        <v xml:space="preserve"> </v>
      </c>
      <c r="AJ124" s="25" t="str">
        <f>BD16</f>
        <v xml:space="preserve"> </v>
      </c>
      <c r="AL124" s="25" t="str">
        <f>BD36</f>
        <v xml:space="preserve"> </v>
      </c>
      <c r="AQ124" s="25" t="str">
        <f>AI20</f>
        <v xml:space="preserve"> </v>
      </c>
      <c r="AS124" s="25" t="str">
        <f>AI40</f>
        <v xml:space="preserve"> </v>
      </c>
      <c r="AU124" s="25" t="str">
        <f>BD20</f>
        <v xml:space="preserve"> </v>
      </c>
      <c r="AW124" s="25" t="str">
        <f>BD40</f>
        <v xml:space="preserve"> </v>
      </c>
    </row>
    <row r="125" spans="5:49" x14ac:dyDescent="0.25">
      <c r="E125" t="str">
        <f>AI5</f>
        <v xml:space="preserve"> </v>
      </c>
      <c r="G125" t="str">
        <f>AI25</f>
        <v xml:space="preserve"> </v>
      </c>
      <c r="I125" t="str">
        <f>BD5</f>
        <v xml:space="preserve"> </v>
      </c>
      <c r="K125" t="str">
        <f>BD25</f>
        <v xml:space="preserve"> </v>
      </c>
      <c r="O125" t="str">
        <f>AI9</f>
        <v xml:space="preserve"> </v>
      </c>
      <c r="Q125" t="str">
        <f>AI29</f>
        <v xml:space="preserve"> </v>
      </c>
      <c r="S125" t="str">
        <f>BD9</f>
        <v xml:space="preserve"> </v>
      </c>
      <c r="V125" t="str">
        <f>BD29</f>
        <v xml:space="preserve"> </v>
      </c>
      <c r="X125" t="str">
        <f>AI13</f>
        <v xml:space="preserve"> </v>
      </c>
      <c r="Z125" t="str">
        <f>AI33</f>
        <v xml:space="preserve"> </v>
      </c>
      <c r="AB125" t="str">
        <f>BD13</f>
        <v xml:space="preserve"> </v>
      </c>
      <c r="AD125" t="str">
        <f>BD33</f>
        <v xml:space="preserve"> </v>
      </c>
      <c r="AF125" t="str">
        <f>AI17</f>
        <v xml:space="preserve"> </v>
      </c>
      <c r="AH125" t="str">
        <f>AI37</f>
        <v xml:space="preserve"> </v>
      </c>
      <c r="AJ125" t="str">
        <f>BD17</f>
        <v xml:space="preserve"> </v>
      </c>
      <c r="AL125" t="str">
        <f>BD37</f>
        <v xml:space="preserve"> </v>
      </c>
      <c r="AQ125" t="str">
        <f>AI21</f>
        <v xml:space="preserve"> </v>
      </c>
      <c r="AS125" t="str">
        <f>AI41</f>
        <v xml:space="preserve"> </v>
      </c>
      <c r="AU125" t="str">
        <f>BD21</f>
        <v xml:space="preserve"> </v>
      </c>
      <c r="AW125" t="str">
        <f>BD41</f>
        <v xml:space="preserve"> </v>
      </c>
    </row>
    <row r="126" spans="5:49" x14ac:dyDescent="0.25">
      <c r="E126" t="str">
        <f>AI6</f>
        <v xml:space="preserve"> </v>
      </c>
      <c r="G126" t="str">
        <f>AI26</f>
        <v xml:space="preserve"> </v>
      </c>
      <c r="I126" t="str">
        <f>BD6</f>
        <v xml:space="preserve"> </v>
      </c>
      <c r="K126" t="str">
        <f>BD26</f>
        <v xml:space="preserve"> </v>
      </c>
      <c r="O126" t="str">
        <f>AI10</f>
        <v xml:space="preserve"> </v>
      </c>
      <c r="Q126" t="str">
        <f>AI30</f>
        <v xml:space="preserve"> </v>
      </c>
      <c r="S126" t="str">
        <f>BD10</f>
        <v xml:space="preserve"> </v>
      </c>
      <c r="V126" t="str">
        <f>BD30</f>
        <v xml:space="preserve"> </v>
      </c>
      <c r="X126" t="str">
        <f>AI14</f>
        <v xml:space="preserve"> </v>
      </c>
      <c r="Z126" t="str">
        <f>AI34</f>
        <v xml:space="preserve"> </v>
      </c>
      <c r="AB126" t="str">
        <f>BD14</f>
        <v xml:space="preserve"> </v>
      </c>
      <c r="AD126" t="str">
        <f>BD34</f>
        <v xml:space="preserve"> </v>
      </c>
      <c r="AF126" t="str">
        <f>AI18</f>
        <v xml:space="preserve"> </v>
      </c>
      <c r="AH126" t="str">
        <f>AI38</f>
        <v xml:space="preserve"> </v>
      </c>
      <c r="AJ126" t="str">
        <f>BD18</f>
        <v xml:space="preserve"> </v>
      </c>
      <c r="AL126" t="str">
        <f>BD38</f>
        <v xml:space="preserve"> </v>
      </c>
      <c r="AQ126" t="str">
        <f>AI22</f>
        <v xml:space="preserve"> </v>
      </c>
      <c r="AS126" t="str">
        <f>AI42</f>
        <v xml:space="preserve"> </v>
      </c>
      <c r="AU126" t="str">
        <f>BD22</f>
        <v xml:space="preserve"> </v>
      </c>
      <c r="AW126" t="str">
        <f>BD42</f>
        <v xml:space="preserve"> </v>
      </c>
    </row>
    <row r="127" spans="5:49" s="30" customFormat="1" x14ac:dyDescent="0.25">
      <c r="E127" s="30" t="str">
        <f>AI7</f>
        <v xml:space="preserve"> </v>
      </c>
      <c r="G127" s="30" t="str">
        <f>AI27</f>
        <v xml:space="preserve"> </v>
      </c>
      <c r="I127" s="30" t="str">
        <f>BD7</f>
        <v xml:space="preserve"> </v>
      </c>
      <c r="K127" s="30" t="str">
        <f>BD27</f>
        <v xml:space="preserve"> </v>
      </c>
      <c r="O127" s="30" t="str">
        <f>AI11</f>
        <v xml:space="preserve"> </v>
      </c>
      <c r="Q127" s="30" t="str">
        <f>AI31</f>
        <v xml:space="preserve"> </v>
      </c>
      <c r="S127" s="30" t="str">
        <f>BD11</f>
        <v xml:space="preserve"> </v>
      </c>
      <c r="V127" s="30" t="str">
        <f>BD31</f>
        <v xml:space="preserve"> </v>
      </c>
      <c r="X127" s="30" t="str">
        <f>AI15</f>
        <v xml:space="preserve"> </v>
      </c>
      <c r="Z127" s="30" t="str">
        <f>AI35</f>
        <v xml:space="preserve"> </v>
      </c>
      <c r="AB127" s="30" t="str">
        <f>BD15</f>
        <v xml:space="preserve"> </v>
      </c>
      <c r="AD127" s="30" t="str">
        <f>BD35</f>
        <v xml:space="preserve"> </v>
      </c>
      <c r="AF127" s="30" t="str">
        <f>AI19</f>
        <v xml:space="preserve"> </v>
      </c>
      <c r="AH127" s="30" t="str">
        <f>AI39</f>
        <v xml:space="preserve"> </v>
      </c>
      <c r="AJ127" s="30" t="str">
        <f>BD19</f>
        <v xml:space="preserve"> </v>
      </c>
      <c r="AL127" s="30" t="str">
        <f>BD39</f>
        <v xml:space="preserve"> </v>
      </c>
      <c r="AQ127" s="30" t="str">
        <f>AI23</f>
        <v xml:space="preserve"> </v>
      </c>
      <c r="AS127" s="30" t="str">
        <f>AI43</f>
        <v xml:space="preserve"> </v>
      </c>
      <c r="AU127" s="30" t="str">
        <f>BD23</f>
        <v xml:space="preserve"> </v>
      </c>
      <c r="AW127" s="30" t="str">
        <f>BD43</f>
        <v xml:space="preserve"> </v>
      </c>
    </row>
    <row r="128" spans="5:49" s="25" customFormat="1" x14ac:dyDescent="0.25">
      <c r="E128" s="25" t="str">
        <f>AJ4</f>
        <v xml:space="preserve"> </v>
      </c>
      <c r="G128" s="25" t="str">
        <f>AJ24</f>
        <v xml:space="preserve"> </v>
      </c>
      <c r="I128" s="25" t="str">
        <f>BE4</f>
        <v xml:space="preserve"> </v>
      </c>
      <c r="K128" s="25" t="str">
        <f>BE24</f>
        <v xml:space="preserve"> </v>
      </c>
      <c r="O128" s="25" t="str">
        <f>AJ8</f>
        <v xml:space="preserve"> </v>
      </c>
      <c r="Q128" s="25" t="str">
        <f>AJ28</f>
        <v xml:space="preserve"> </v>
      </c>
      <c r="S128" s="25" t="str">
        <f>BE8</f>
        <v xml:space="preserve"> </v>
      </c>
      <c r="V128" s="25" t="str">
        <f>BE28</f>
        <v xml:space="preserve"> </v>
      </c>
      <c r="X128" s="25" t="str">
        <f>AJ12</f>
        <v xml:space="preserve"> </v>
      </c>
      <c r="Z128" s="25" t="str">
        <f>AJ32</f>
        <v xml:space="preserve"> </v>
      </c>
      <c r="AB128" s="25" t="str">
        <f>BE12</f>
        <v xml:space="preserve"> </v>
      </c>
      <c r="AD128" s="25" t="str">
        <f>BE32</f>
        <v xml:space="preserve"> </v>
      </c>
      <c r="AF128" s="25" t="str">
        <f>AJ16</f>
        <v xml:space="preserve"> </v>
      </c>
      <c r="AH128" s="25" t="str">
        <f>AJ36</f>
        <v xml:space="preserve"> </v>
      </c>
      <c r="AJ128" s="25" t="str">
        <f>BE16</f>
        <v xml:space="preserve"> </v>
      </c>
      <c r="AL128" s="25" t="str">
        <f>BE36</f>
        <v xml:space="preserve"> </v>
      </c>
      <c r="AQ128" s="25" t="str">
        <f>AJ20</f>
        <v xml:space="preserve"> </v>
      </c>
      <c r="AS128" s="25" t="str">
        <f>AJ40</f>
        <v xml:space="preserve"> </v>
      </c>
      <c r="AU128" s="25" t="str">
        <f>BE20</f>
        <v xml:space="preserve"> </v>
      </c>
      <c r="AW128" s="25" t="str">
        <f>BE40</f>
        <v xml:space="preserve"> </v>
      </c>
    </row>
    <row r="129" spans="5:49" x14ac:dyDescent="0.25">
      <c r="E129" t="str">
        <f>AJ5</f>
        <v xml:space="preserve"> </v>
      </c>
      <c r="G129" t="str">
        <f>AJ25</f>
        <v xml:space="preserve"> </v>
      </c>
      <c r="I129" t="str">
        <f>BE5</f>
        <v xml:space="preserve"> </v>
      </c>
      <c r="K129" t="str">
        <f>BE25</f>
        <v xml:space="preserve"> </v>
      </c>
      <c r="O129" t="str">
        <f>AJ9</f>
        <v xml:space="preserve"> </v>
      </c>
      <c r="Q129" t="str">
        <f>AJ29</f>
        <v xml:space="preserve"> </v>
      </c>
      <c r="S129" t="str">
        <f>BE9</f>
        <v xml:space="preserve"> </v>
      </c>
      <c r="V129" t="str">
        <f>BE29</f>
        <v xml:space="preserve"> </v>
      </c>
      <c r="X129" t="str">
        <f>AJ13</f>
        <v xml:space="preserve"> </v>
      </c>
      <c r="Z129" t="str">
        <f>AJ33</f>
        <v xml:space="preserve"> </v>
      </c>
      <c r="AB129" t="str">
        <f>BE13</f>
        <v xml:space="preserve"> </v>
      </c>
      <c r="AD129" t="str">
        <f>BE33</f>
        <v xml:space="preserve"> </v>
      </c>
      <c r="AF129" t="str">
        <f>AJ17</f>
        <v xml:space="preserve"> </v>
      </c>
      <c r="AH129" t="str">
        <f>AJ37</f>
        <v xml:space="preserve"> </v>
      </c>
      <c r="AJ129" t="str">
        <f>BE17</f>
        <v xml:space="preserve"> </v>
      </c>
      <c r="AL129" t="str">
        <f>BE37</f>
        <v xml:space="preserve"> </v>
      </c>
      <c r="AQ129" t="str">
        <f>AJ21</f>
        <v xml:space="preserve"> </v>
      </c>
      <c r="AS129" t="str">
        <f>AJ41</f>
        <v xml:space="preserve"> </v>
      </c>
      <c r="AU129" t="str">
        <f>BE21</f>
        <v xml:space="preserve"> </v>
      </c>
      <c r="AW129" t="str">
        <f>BE41</f>
        <v xml:space="preserve"> </v>
      </c>
    </row>
    <row r="130" spans="5:49" x14ac:dyDescent="0.25">
      <c r="E130" t="str">
        <f>AJ6</f>
        <v xml:space="preserve"> </v>
      </c>
      <c r="G130" t="str">
        <f>AJ26</f>
        <v xml:space="preserve"> </v>
      </c>
      <c r="I130" t="str">
        <f>BE6</f>
        <v xml:space="preserve"> </v>
      </c>
      <c r="K130" t="str">
        <f>BE26</f>
        <v xml:space="preserve"> </v>
      </c>
      <c r="O130" t="str">
        <f>AJ10</f>
        <v xml:space="preserve"> </v>
      </c>
      <c r="Q130" t="str">
        <f>AJ30</f>
        <v xml:space="preserve"> </v>
      </c>
      <c r="S130" t="str">
        <f>BE10</f>
        <v xml:space="preserve"> </v>
      </c>
      <c r="V130" t="str">
        <f>BE30</f>
        <v xml:space="preserve"> </v>
      </c>
      <c r="X130" t="str">
        <f>AJ14</f>
        <v xml:space="preserve"> </v>
      </c>
      <c r="Z130" t="str">
        <f>AJ34</f>
        <v xml:space="preserve"> </v>
      </c>
      <c r="AB130" t="str">
        <f>BE14</f>
        <v xml:space="preserve"> </v>
      </c>
      <c r="AD130" t="str">
        <f>BE34</f>
        <v xml:space="preserve"> </v>
      </c>
      <c r="AF130" t="str">
        <f>AJ18</f>
        <v xml:space="preserve"> </v>
      </c>
      <c r="AH130" t="str">
        <f>AJ38</f>
        <v xml:space="preserve"> </v>
      </c>
      <c r="AJ130" t="str">
        <f>BE18</f>
        <v xml:space="preserve"> </v>
      </c>
      <c r="AL130" t="str">
        <f>BE38</f>
        <v xml:space="preserve"> </v>
      </c>
      <c r="AQ130" t="str">
        <f>AJ22</f>
        <v xml:space="preserve"> </v>
      </c>
      <c r="AS130" t="str">
        <f>AJ42</f>
        <v xml:space="preserve"> </v>
      </c>
      <c r="AU130" t="str">
        <f>BE22</f>
        <v xml:space="preserve"> </v>
      </c>
      <c r="AW130" t="str">
        <f>BE42</f>
        <v xml:space="preserve"> </v>
      </c>
    </row>
    <row r="131" spans="5:49" s="30" customFormat="1" x14ac:dyDescent="0.25">
      <c r="E131" s="30" t="str">
        <f>AJ7</f>
        <v xml:space="preserve"> </v>
      </c>
      <c r="G131" s="30" t="str">
        <f>AJ27</f>
        <v xml:space="preserve"> </v>
      </c>
      <c r="I131" s="30" t="str">
        <f>BE7</f>
        <v xml:space="preserve"> </v>
      </c>
      <c r="K131" s="30" t="str">
        <f>BE27</f>
        <v xml:space="preserve"> </v>
      </c>
      <c r="O131" s="30" t="str">
        <f>AJ11</f>
        <v xml:space="preserve"> </v>
      </c>
      <c r="Q131" s="30" t="str">
        <f>AJ31</f>
        <v xml:space="preserve"> </v>
      </c>
      <c r="S131" s="30" t="str">
        <f>BE11</f>
        <v xml:space="preserve"> </v>
      </c>
      <c r="V131" s="30" t="str">
        <f>BE31</f>
        <v xml:space="preserve"> </v>
      </c>
      <c r="X131" s="30" t="str">
        <f>AJ15</f>
        <v xml:space="preserve"> </v>
      </c>
      <c r="Z131" s="30" t="str">
        <f>AJ35</f>
        <v xml:space="preserve"> </v>
      </c>
      <c r="AB131" s="30" t="str">
        <f>BE15</f>
        <v xml:space="preserve"> </v>
      </c>
      <c r="AD131" s="30" t="str">
        <f>BE35</f>
        <v xml:space="preserve"> </v>
      </c>
      <c r="AF131" s="30" t="str">
        <f>AJ19</f>
        <v xml:space="preserve"> </v>
      </c>
      <c r="AH131" s="30" t="str">
        <f>AJ39</f>
        <v xml:space="preserve"> </v>
      </c>
      <c r="AJ131" s="30" t="str">
        <f>BE19</f>
        <v xml:space="preserve"> </v>
      </c>
      <c r="AL131" s="30" t="str">
        <f>BE39</f>
        <v xml:space="preserve"> </v>
      </c>
      <c r="AQ131" s="30" t="str">
        <f>AJ23</f>
        <v xml:space="preserve"> </v>
      </c>
      <c r="AS131" s="30" t="str">
        <f>AJ43</f>
        <v xml:space="preserve"> </v>
      </c>
      <c r="AU131" s="30" t="str">
        <f>BE23</f>
        <v xml:space="preserve"> </v>
      </c>
      <c r="AW131" s="30" t="str">
        <f>BE43</f>
        <v xml:space="preserve"> </v>
      </c>
    </row>
    <row r="132" spans="5:49" s="25" customFormat="1" x14ac:dyDescent="0.25">
      <c r="E132" s="25" t="str">
        <f>AK4</f>
        <v xml:space="preserve"> </v>
      </c>
      <c r="G132" s="25" t="str">
        <f>AK24</f>
        <v xml:space="preserve"> </v>
      </c>
      <c r="I132" s="25" t="str">
        <f>BF4</f>
        <v xml:space="preserve"> </v>
      </c>
      <c r="K132" s="25" t="str">
        <f>BF24</f>
        <v xml:space="preserve"> </v>
      </c>
      <c r="O132" s="25" t="str">
        <f>AK8</f>
        <v xml:space="preserve"> </v>
      </c>
      <c r="Q132" s="25" t="str">
        <f>AK28</f>
        <v xml:space="preserve"> </v>
      </c>
      <c r="S132" s="25" t="str">
        <f>BF8</f>
        <v xml:space="preserve"> </v>
      </c>
      <c r="V132" s="25" t="str">
        <f>BF28</f>
        <v xml:space="preserve"> </v>
      </c>
      <c r="X132" s="25" t="str">
        <f>AK12</f>
        <v xml:space="preserve"> </v>
      </c>
      <c r="Z132" s="25" t="str">
        <f>AK32</f>
        <v xml:space="preserve"> </v>
      </c>
      <c r="AB132" s="25" t="str">
        <f>BF12</f>
        <v xml:space="preserve"> </v>
      </c>
      <c r="AD132" s="25" t="str">
        <f>BF32</f>
        <v xml:space="preserve"> </v>
      </c>
      <c r="AF132" s="25" t="str">
        <f>AK16</f>
        <v xml:space="preserve"> </v>
      </c>
      <c r="AH132" s="25" t="str">
        <f>AK36</f>
        <v xml:space="preserve"> </v>
      </c>
      <c r="AJ132" s="25" t="str">
        <f>BF16</f>
        <v xml:space="preserve"> </v>
      </c>
      <c r="AL132" s="25" t="str">
        <f>BF36</f>
        <v xml:space="preserve"> </v>
      </c>
      <c r="AQ132" s="25" t="str">
        <f>AK20</f>
        <v xml:space="preserve"> </v>
      </c>
      <c r="AS132" s="25" t="str">
        <f>AK40</f>
        <v xml:space="preserve"> </v>
      </c>
      <c r="AU132" s="25" t="str">
        <f>BF20</f>
        <v xml:space="preserve"> </v>
      </c>
      <c r="AW132" s="25" t="str">
        <f>BF40</f>
        <v xml:space="preserve"> </v>
      </c>
    </row>
    <row r="133" spans="5:49" x14ac:dyDescent="0.25">
      <c r="E133" t="str">
        <f>AK5</f>
        <v xml:space="preserve"> </v>
      </c>
      <c r="G133" t="str">
        <f>AK25</f>
        <v xml:space="preserve"> </v>
      </c>
      <c r="I133" t="str">
        <f>BF5</f>
        <v xml:space="preserve"> </v>
      </c>
      <c r="K133" t="str">
        <f>BF25</f>
        <v xml:space="preserve"> </v>
      </c>
      <c r="O133" t="str">
        <f>AK9</f>
        <v xml:space="preserve"> </v>
      </c>
      <c r="Q133" t="str">
        <f>AK29</f>
        <v xml:space="preserve"> </v>
      </c>
      <c r="S133" t="str">
        <f>BF9</f>
        <v xml:space="preserve"> </v>
      </c>
      <c r="V133" t="str">
        <f>BF29</f>
        <v xml:space="preserve"> </v>
      </c>
      <c r="X133" t="str">
        <f>AK13</f>
        <v xml:space="preserve"> </v>
      </c>
      <c r="Z133" t="str">
        <f>AK33</f>
        <v xml:space="preserve"> </v>
      </c>
      <c r="AB133" t="str">
        <f>BF13</f>
        <v xml:space="preserve"> </v>
      </c>
      <c r="AD133" t="str">
        <f>BF33</f>
        <v xml:space="preserve"> </v>
      </c>
      <c r="AF133" t="str">
        <f>AK17</f>
        <v xml:space="preserve"> </v>
      </c>
      <c r="AH133" t="str">
        <f>AK37</f>
        <v xml:space="preserve"> </v>
      </c>
      <c r="AJ133" t="str">
        <f>BF17</f>
        <v xml:space="preserve"> </v>
      </c>
      <c r="AL133" t="str">
        <f>BF37</f>
        <v xml:space="preserve"> </v>
      </c>
      <c r="AQ133" t="str">
        <f>AK21</f>
        <v xml:space="preserve"> </v>
      </c>
      <c r="AS133" t="str">
        <f>AK41</f>
        <v xml:space="preserve"> </v>
      </c>
      <c r="AU133" t="str">
        <f>BF21</f>
        <v xml:space="preserve"> </v>
      </c>
      <c r="AW133" t="str">
        <f>BF41</f>
        <v xml:space="preserve"> </v>
      </c>
    </row>
    <row r="134" spans="5:49" x14ac:dyDescent="0.25">
      <c r="E134" t="str">
        <f>AK6</f>
        <v xml:space="preserve"> </v>
      </c>
      <c r="G134" t="str">
        <f>AK26</f>
        <v xml:space="preserve"> </v>
      </c>
      <c r="I134" t="str">
        <f>BF6</f>
        <v xml:space="preserve"> </v>
      </c>
      <c r="K134" t="str">
        <f>BF26</f>
        <v xml:space="preserve"> </v>
      </c>
      <c r="O134" t="str">
        <f>AK10</f>
        <v xml:space="preserve"> </v>
      </c>
      <c r="Q134" t="str">
        <f>AK30</f>
        <v xml:space="preserve"> </v>
      </c>
      <c r="S134" t="str">
        <f>BF10</f>
        <v xml:space="preserve"> </v>
      </c>
      <c r="V134" t="str">
        <f>BF30</f>
        <v xml:space="preserve"> </v>
      </c>
      <c r="X134" t="str">
        <f>AK14</f>
        <v xml:space="preserve"> </v>
      </c>
      <c r="Z134" t="str">
        <f>AK34</f>
        <v xml:space="preserve"> </v>
      </c>
      <c r="AB134" t="str">
        <f>BF14</f>
        <v xml:space="preserve"> </v>
      </c>
      <c r="AD134" t="str">
        <f>BF34</f>
        <v xml:space="preserve"> </v>
      </c>
      <c r="AF134" t="str">
        <f>AK18</f>
        <v xml:space="preserve"> </v>
      </c>
      <c r="AH134" t="str">
        <f>AK38</f>
        <v xml:space="preserve"> </v>
      </c>
      <c r="AJ134" t="str">
        <f>BF18</f>
        <v xml:space="preserve"> </v>
      </c>
      <c r="AL134" t="str">
        <f>BF38</f>
        <v xml:space="preserve"> </v>
      </c>
      <c r="AQ134" t="str">
        <f>AK22</f>
        <v xml:space="preserve"> </v>
      </c>
      <c r="AS134" t="str">
        <f>AK42</f>
        <v xml:space="preserve"> </v>
      </c>
      <c r="AU134" t="str">
        <f>BF22</f>
        <v xml:space="preserve"> </v>
      </c>
      <c r="AW134" t="str">
        <f>BF42</f>
        <v xml:space="preserve"> </v>
      </c>
    </row>
    <row r="135" spans="5:49" s="30" customFormat="1" x14ac:dyDescent="0.25">
      <c r="E135" s="30" t="str">
        <f>AK7</f>
        <v xml:space="preserve"> </v>
      </c>
      <c r="G135" s="30" t="str">
        <f>AK27</f>
        <v xml:space="preserve"> </v>
      </c>
      <c r="I135" s="30" t="str">
        <f>BF7</f>
        <v xml:space="preserve"> </v>
      </c>
      <c r="K135" s="30" t="str">
        <f>BF27</f>
        <v xml:space="preserve"> </v>
      </c>
      <c r="O135" s="30" t="str">
        <f>AK11</f>
        <v xml:space="preserve"> </v>
      </c>
      <c r="Q135" s="30" t="str">
        <f>AK31</f>
        <v xml:space="preserve"> </v>
      </c>
      <c r="S135" s="30" t="str">
        <f>BF11</f>
        <v xml:space="preserve"> </v>
      </c>
      <c r="V135" s="30" t="str">
        <f>BF31</f>
        <v xml:space="preserve"> </v>
      </c>
      <c r="X135" s="30" t="str">
        <f>AK15</f>
        <v xml:space="preserve"> </v>
      </c>
      <c r="Z135" s="30" t="str">
        <f>AK35</f>
        <v xml:space="preserve"> </v>
      </c>
      <c r="AB135" s="30" t="str">
        <f>BF15</f>
        <v xml:space="preserve"> </v>
      </c>
      <c r="AD135" s="30" t="str">
        <f>BF35</f>
        <v xml:space="preserve"> </v>
      </c>
      <c r="AF135" s="30" t="str">
        <f>AK19</f>
        <v xml:space="preserve"> </v>
      </c>
      <c r="AH135" s="30" t="str">
        <f>AK39</f>
        <v xml:space="preserve"> </v>
      </c>
      <c r="AJ135" s="30" t="str">
        <f>BF19</f>
        <v xml:space="preserve"> </v>
      </c>
      <c r="AL135" s="30" t="str">
        <f>BF39</f>
        <v xml:space="preserve"> </v>
      </c>
      <c r="AQ135" s="30" t="str">
        <f>AK23</f>
        <v xml:space="preserve"> </v>
      </c>
      <c r="AS135" s="30" t="str">
        <f>AK43</f>
        <v xml:space="preserve"> </v>
      </c>
      <c r="AU135" s="30" t="str">
        <f>BF23</f>
        <v xml:space="preserve"> </v>
      </c>
      <c r="AW135" s="30" t="str">
        <f>BF43</f>
        <v xml:space="preserve"> </v>
      </c>
    </row>
    <row r="136" spans="5:49" s="25" customFormat="1" x14ac:dyDescent="0.25">
      <c r="E136" s="25" t="str">
        <f>AL4</f>
        <v xml:space="preserve"> </v>
      </c>
      <c r="G136" s="25" t="str">
        <f>AL24</f>
        <v xml:space="preserve"> </v>
      </c>
      <c r="I136" s="25" t="str">
        <f>BG4</f>
        <v xml:space="preserve"> </v>
      </c>
      <c r="K136" s="25" t="str">
        <f>BG24</f>
        <v xml:space="preserve"> </v>
      </c>
      <c r="O136" s="25" t="str">
        <f>AL8</f>
        <v xml:space="preserve"> </v>
      </c>
      <c r="Q136" s="25" t="str">
        <f>AL28</f>
        <v xml:space="preserve"> </v>
      </c>
      <c r="S136" s="25" t="str">
        <f>BG8</f>
        <v xml:space="preserve"> </v>
      </c>
      <c r="V136" s="25" t="str">
        <f>BG28</f>
        <v xml:space="preserve"> </v>
      </c>
      <c r="X136" s="25" t="str">
        <f>AL12</f>
        <v xml:space="preserve"> </v>
      </c>
      <c r="Z136" s="25" t="str">
        <f>AL32</f>
        <v xml:space="preserve"> </v>
      </c>
      <c r="AB136" s="25" t="str">
        <f>BG12</f>
        <v xml:space="preserve"> </v>
      </c>
      <c r="AD136" s="25" t="str">
        <f>BG32</f>
        <v xml:space="preserve"> </v>
      </c>
      <c r="AF136" s="25" t="str">
        <f>AL16</f>
        <v xml:space="preserve"> </v>
      </c>
      <c r="AH136" s="25" t="str">
        <f>AL36</f>
        <v xml:space="preserve"> </v>
      </c>
      <c r="AJ136" s="25" t="str">
        <f>BG16</f>
        <v xml:space="preserve"> </v>
      </c>
      <c r="AL136" s="25" t="str">
        <f>BG36</f>
        <v xml:space="preserve"> </v>
      </c>
      <c r="AQ136" s="25" t="str">
        <f>AL20</f>
        <v xml:space="preserve"> </v>
      </c>
      <c r="AS136" s="25" t="str">
        <f>AL40</f>
        <v xml:space="preserve"> </v>
      </c>
      <c r="AU136" s="25" t="str">
        <f>BG20</f>
        <v xml:space="preserve"> </v>
      </c>
      <c r="AW136" s="25" t="str">
        <f>BG40</f>
        <v xml:space="preserve"> </v>
      </c>
    </row>
    <row r="137" spans="5:49" x14ac:dyDescent="0.25">
      <c r="E137" t="str">
        <f>AL5</f>
        <v xml:space="preserve"> </v>
      </c>
      <c r="G137" t="str">
        <f>AL25</f>
        <v xml:space="preserve"> </v>
      </c>
      <c r="I137" t="str">
        <f>BG5</f>
        <v xml:space="preserve"> </v>
      </c>
      <c r="K137" t="str">
        <f>BG25</f>
        <v xml:space="preserve"> </v>
      </c>
      <c r="O137" t="str">
        <f>AL9</f>
        <v xml:space="preserve"> </v>
      </c>
      <c r="Q137" t="str">
        <f>AL29</f>
        <v xml:space="preserve"> </v>
      </c>
      <c r="S137" t="str">
        <f>BG9</f>
        <v xml:space="preserve"> </v>
      </c>
      <c r="V137" t="str">
        <f>BG29</f>
        <v xml:space="preserve"> </v>
      </c>
      <c r="X137" t="str">
        <f>AL13</f>
        <v xml:space="preserve"> </v>
      </c>
      <c r="Z137" t="str">
        <f>AL33</f>
        <v xml:space="preserve"> </v>
      </c>
      <c r="AB137" t="str">
        <f>BG13</f>
        <v xml:space="preserve"> </v>
      </c>
      <c r="AD137" t="str">
        <f>BG33</f>
        <v xml:space="preserve"> </v>
      </c>
      <c r="AF137" t="str">
        <f>AL17</f>
        <v xml:space="preserve"> </v>
      </c>
      <c r="AH137" t="str">
        <f>AL37</f>
        <v xml:space="preserve"> </v>
      </c>
      <c r="AJ137" t="str">
        <f>BG17</f>
        <v xml:space="preserve"> </v>
      </c>
      <c r="AL137" t="str">
        <f>BG37</f>
        <v xml:space="preserve"> </v>
      </c>
      <c r="AQ137" t="str">
        <f>AL21</f>
        <v xml:space="preserve"> </v>
      </c>
      <c r="AS137" t="str">
        <f>AL41</f>
        <v xml:space="preserve"> </v>
      </c>
      <c r="AU137" t="str">
        <f>BG21</f>
        <v xml:space="preserve"> </v>
      </c>
      <c r="AW137" t="str">
        <f>BG41</f>
        <v xml:space="preserve"> </v>
      </c>
    </row>
    <row r="138" spans="5:49" x14ac:dyDescent="0.25">
      <c r="E138" t="str">
        <f>AL6</f>
        <v xml:space="preserve"> </v>
      </c>
      <c r="G138" t="str">
        <f>AL26</f>
        <v xml:space="preserve"> </v>
      </c>
      <c r="I138" t="str">
        <f>BG6</f>
        <v xml:space="preserve"> </v>
      </c>
      <c r="K138" t="str">
        <f>BG26</f>
        <v xml:space="preserve"> </v>
      </c>
      <c r="O138" t="str">
        <f>AL10</f>
        <v xml:space="preserve"> </v>
      </c>
      <c r="Q138" t="str">
        <f>AL30</f>
        <v xml:space="preserve"> </v>
      </c>
      <c r="S138" t="str">
        <f>BG10</f>
        <v xml:space="preserve"> </v>
      </c>
      <c r="V138" t="str">
        <f>BG30</f>
        <v xml:space="preserve"> </v>
      </c>
      <c r="X138" t="str">
        <f>AL14</f>
        <v xml:space="preserve"> </v>
      </c>
      <c r="Z138" t="str">
        <f>AL34</f>
        <v xml:space="preserve"> </v>
      </c>
      <c r="AB138" t="str">
        <f>BG14</f>
        <v xml:space="preserve"> </v>
      </c>
      <c r="AD138" t="str">
        <f>BG34</f>
        <v xml:space="preserve"> </v>
      </c>
      <c r="AF138" t="str">
        <f>AL18</f>
        <v xml:space="preserve"> </v>
      </c>
      <c r="AH138" t="str">
        <f>AL38</f>
        <v xml:space="preserve"> </v>
      </c>
      <c r="AJ138" t="str">
        <f>BG18</f>
        <v xml:space="preserve"> </v>
      </c>
      <c r="AL138" t="str">
        <f>BG38</f>
        <v xml:space="preserve"> </v>
      </c>
      <c r="AQ138" t="str">
        <f>AL22</f>
        <v xml:space="preserve"> </v>
      </c>
      <c r="AS138" t="str">
        <f>AL42</f>
        <v xml:space="preserve"> </v>
      </c>
      <c r="AU138" t="str">
        <f>BG22</f>
        <v xml:space="preserve"> </v>
      </c>
      <c r="AW138" t="str">
        <f>BG42</f>
        <v xml:space="preserve"> </v>
      </c>
    </row>
    <row r="139" spans="5:49" s="30" customFormat="1" x14ac:dyDescent="0.25">
      <c r="E139" s="30" t="str">
        <f>AL7</f>
        <v xml:space="preserve"> </v>
      </c>
      <c r="G139" s="30" t="str">
        <f>AL27</f>
        <v xml:space="preserve"> </v>
      </c>
      <c r="I139" s="30" t="str">
        <f>BG7</f>
        <v xml:space="preserve"> </v>
      </c>
      <c r="K139" s="30" t="str">
        <f>BG27</f>
        <v xml:space="preserve"> </v>
      </c>
      <c r="O139" s="30" t="str">
        <f>AL11</f>
        <v xml:space="preserve"> </v>
      </c>
      <c r="Q139" s="30" t="str">
        <f>AL31</f>
        <v xml:space="preserve"> </v>
      </c>
      <c r="S139" s="30" t="str">
        <f>BG11</f>
        <v xml:space="preserve"> </v>
      </c>
      <c r="V139" s="30" t="str">
        <f>BG31</f>
        <v xml:space="preserve"> </v>
      </c>
      <c r="X139" s="30" t="str">
        <f>AL15</f>
        <v xml:space="preserve"> </v>
      </c>
      <c r="Z139" s="30" t="str">
        <f>AL35</f>
        <v xml:space="preserve"> </v>
      </c>
      <c r="AB139" s="30" t="str">
        <f>BG15</f>
        <v xml:space="preserve"> </v>
      </c>
      <c r="AD139" s="30" t="str">
        <f>BG35</f>
        <v xml:space="preserve"> </v>
      </c>
      <c r="AF139" s="30" t="str">
        <f>AL19</f>
        <v xml:space="preserve"> </v>
      </c>
      <c r="AH139" s="30" t="str">
        <f>AL39</f>
        <v xml:space="preserve"> </v>
      </c>
      <c r="AJ139" s="30" t="str">
        <f>BG19</f>
        <v xml:space="preserve"> </v>
      </c>
      <c r="AL139" s="30" t="str">
        <f>BG39</f>
        <v xml:space="preserve"> </v>
      </c>
      <c r="AQ139" s="30" t="str">
        <f>AL23</f>
        <v xml:space="preserve"> </v>
      </c>
      <c r="AS139" s="30" t="str">
        <f>AL43</f>
        <v xml:space="preserve"> </v>
      </c>
      <c r="AU139" s="30" t="str">
        <f>BG23</f>
        <v xml:space="preserve"> </v>
      </c>
      <c r="AW139" s="30" t="str">
        <f>BG43</f>
        <v xml:space="preserve"> </v>
      </c>
    </row>
    <row r="140" spans="5:49" x14ac:dyDescent="0.25">
      <c r="E140" s="227" t="str">
        <f>$AM4</f>
        <v xml:space="preserve"> </v>
      </c>
      <c r="G140" s="227" t="str">
        <f>$AM24</f>
        <v xml:space="preserve"> </v>
      </c>
      <c r="I140" s="227" t="str">
        <f>$BH4</f>
        <v xml:space="preserve"> </v>
      </c>
      <c r="K140" s="227" t="str">
        <f>$BH24</f>
        <v xml:space="preserve"> </v>
      </c>
      <c r="O140" s="227" t="str">
        <f>$AM8</f>
        <v xml:space="preserve"> </v>
      </c>
      <c r="Q140" s="227" t="str">
        <f>$AM28</f>
        <v xml:space="preserve"> </v>
      </c>
      <c r="S140" s="227" t="str">
        <f>$BH8</f>
        <v xml:space="preserve"> </v>
      </c>
      <c r="V140" s="227" t="str">
        <f>$BH28</f>
        <v xml:space="preserve"> </v>
      </c>
      <c r="X140" s="227" t="str">
        <f>$AM12</f>
        <v xml:space="preserve"> </v>
      </c>
      <c r="Z140" s="227" t="str">
        <f>$AM32</f>
        <v xml:space="preserve"> </v>
      </c>
      <c r="AB140" s="227" t="str">
        <f>$BH12</f>
        <v xml:space="preserve"> </v>
      </c>
      <c r="AD140" s="227" t="str">
        <f>$BH32</f>
        <v xml:space="preserve"> </v>
      </c>
      <c r="AF140" s="227" t="str">
        <f>$AM16</f>
        <v xml:space="preserve"> </v>
      </c>
      <c r="AH140" s="227" t="str">
        <f>$AM36</f>
        <v xml:space="preserve"> </v>
      </c>
      <c r="AJ140" s="227" t="str">
        <f>$BH16</f>
        <v xml:space="preserve"> </v>
      </c>
      <c r="AL140" s="227" t="str">
        <f>$BH36</f>
        <v xml:space="preserve"> </v>
      </c>
      <c r="AQ140" s="227" t="str">
        <f>$AM20</f>
        <v xml:space="preserve"> </v>
      </c>
      <c r="AS140" s="227" t="str">
        <f>$AM40</f>
        <v xml:space="preserve"> </v>
      </c>
      <c r="AU140" s="227" t="str">
        <f>$BH20</f>
        <v xml:space="preserve"> </v>
      </c>
      <c r="AW140" s="227" t="str">
        <f>$BH40</f>
        <v xml:space="preserve"> </v>
      </c>
    </row>
    <row r="141" spans="5:49" x14ac:dyDescent="0.25">
      <c r="E141" s="227" t="str">
        <f>$AM5</f>
        <v xml:space="preserve"> </v>
      </c>
      <c r="G141" s="227" t="str">
        <f>$AM25</f>
        <v xml:space="preserve"> </v>
      </c>
      <c r="I141" s="227" t="str">
        <f>$BH5</f>
        <v xml:space="preserve"> </v>
      </c>
      <c r="K141" s="227" t="str">
        <f>$BH25</f>
        <v xml:space="preserve"> </v>
      </c>
      <c r="O141" s="227" t="str">
        <f>$AM9</f>
        <v xml:space="preserve"> </v>
      </c>
      <c r="Q141" s="227" t="str">
        <f>$AM29</f>
        <v xml:space="preserve"> </v>
      </c>
      <c r="S141" s="227" t="str">
        <f>$BH9</f>
        <v xml:space="preserve"> </v>
      </c>
      <c r="V141" s="227" t="str">
        <f>$BH29</f>
        <v xml:space="preserve"> </v>
      </c>
      <c r="X141" s="227" t="str">
        <f>$AM13</f>
        <v xml:space="preserve"> </v>
      </c>
      <c r="Z141" s="227" t="str">
        <f>$AM33</f>
        <v xml:space="preserve"> </v>
      </c>
      <c r="AB141" s="227" t="str">
        <f>$BH13</f>
        <v xml:space="preserve"> </v>
      </c>
      <c r="AD141" s="227" t="str">
        <f>$BH33</f>
        <v xml:space="preserve"> </v>
      </c>
      <c r="AF141" s="227" t="str">
        <f>$AM17</f>
        <v xml:space="preserve"> </v>
      </c>
      <c r="AH141" s="227" t="str">
        <f>$AM37</f>
        <v xml:space="preserve"> </v>
      </c>
      <c r="AJ141" s="227" t="str">
        <f>$BH17</f>
        <v xml:space="preserve"> </v>
      </c>
      <c r="AL141" s="227" t="str">
        <f>$BH37</f>
        <v xml:space="preserve"> </v>
      </c>
      <c r="AQ141" s="227" t="str">
        <f>$AM21</f>
        <v xml:space="preserve"> </v>
      </c>
      <c r="AS141" s="227" t="str">
        <f>$AM41</f>
        <v xml:space="preserve"> </v>
      </c>
      <c r="AU141" s="227" t="str">
        <f>$BH21</f>
        <v xml:space="preserve"> </v>
      </c>
      <c r="AW141" s="227" t="str">
        <f>$BH41</f>
        <v xml:space="preserve"> </v>
      </c>
    </row>
    <row r="142" spans="5:49" x14ac:dyDescent="0.25">
      <c r="E142" s="227" t="str">
        <f>$AM6</f>
        <v xml:space="preserve"> </v>
      </c>
      <c r="G142" s="227" t="str">
        <f>$AM26</f>
        <v xml:space="preserve"> </v>
      </c>
      <c r="I142" s="227" t="str">
        <f>$BH6</f>
        <v xml:space="preserve"> </v>
      </c>
      <c r="K142" s="227" t="str">
        <f>$BH26</f>
        <v xml:space="preserve"> </v>
      </c>
      <c r="O142" s="227" t="str">
        <f>$AM10</f>
        <v xml:space="preserve"> </v>
      </c>
      <c r="Q142" s="227" t="str">
        <f>$AM30</f>
        <v xml:space="preserve"> </v>
      </c>
      <c r="S142" s="227" t="str">
        <f>$BH10</f>
        <v xml:space="preserve"> </v>
      </c>
      <c r="V142" s="227" t="str">
        <f>$BH30</f>
        <v xml:space="preserve"> </v>
      </c>
      <c r="X142" s="227" t="str">
        <f>$AM14</f>
        <v xml:space="preserve"> </v>
      </c>
      <c r="Z142" s="227" t="str">
        <f>$AM34</f>
        <v xml:space="preserve"> </v>
      </c>
      <c r="AB142" s="227" t="str">
        <f>$BH14</f>
        <v xml:space="preserve"> </v>
      </c>
      <c r="AD142" s="227" t="str">
        <f>$BH34</f>
        <v xml:space="preserve"> </v>
      </c>
      <c r="AF142" s="227" t="str">
        <f>$AM18</f>
        <v xml:space="preserve"> </v>
      </c>
      <c r="AH142" s="227" t="str">
        <f>$AM38</f>
        <v xml:space="preserve"> </v>
      </c>
      <c r="AJ142" s="227" t="str">
        <f>$BH18</f>
        <v xml:space="preserve"> </v>
      </c>
      <c r="AL142" s="227" t="str">
        <f>$BH38</f>
        <v xml:space="preserve"> </v>
      </c>
      <c r="AQ142" s="227" t="str">
        <f>$AM22</f>
        <v xml:space="preserve"> </v>
      </c>
      <c r="AS142" s="227" t="str">
        <f>$AM42</f>
        <v xml:space="preserve"> </v>
      </c>
      <c r="AU142" s="227" t="str">
        <f>$BH22</f>
        <v xml:space="preserve"> </v>
      </c>
      <c r="AW142" s="227" t="str">
        <f>$BH42</f>
        <v xml:space="preserve"> </v>
      </c>
    </row>
    <row r="143" spans="5:49" x14ac:dyDescent="0.25">
      <c r="E143" s="227" t="str">
        <f>$AM7</f>
        <v xml:space="preserve"> </v>
      </c>
      <c r="G143" s="227" t="str">
        <f>$AM27</f>
        <v xml:space="preserve"> </v>
      </c>
      <c r="I143" s="227" t="str">
        <f>$BH7</f>
        <v xml:space="preserve"> </v>
      </c>
      <c r="K143" s="227" t="str">
        <f>$BH27</f>
        <v xml:space="preserve"> </v>
      </c>
      <c r="O143" s="227" t="str">
        <f>$AM11</f>
        <v xml:space="preserve"> </v>
      </c>
      <c r="Q143" s="227" t="str">
        <f>$AM31</f>
        <v xml:space="preserve"> </v>
      </c>
      <c r="S143" s="227" t="str">
        <f>$BH11</f>
        <v xml:space="preserve"> </v>
      </c>
      <c r="V143" s="227" t="str">
        <f>$BH31</f>
        <v xml:space="preserve"> </v>
      </c>
      <c r="X143" s="227" t="str">
        <f>$AM15</f>
        <v xml:space="preserve"> </v>
      </c>
      <c r="Z143" s="227" t="str">
        <f>$AM35</f>
        <v xml:space="preserve"> </v>
      </c>
      <c r="AB143" s="227" t="str">
        <f>$BH15</f>
        <v xml:space="preserve"> </v>
      </c>
      <c r="AD143" s="227" t="str">
        <f>$BH35</f>
        <v xml:space="preserve"> </v>
      </c>
      <c r="AF143" s="227" t="str">
        <f>$AM19</f>
        <v xml:space="preserve"> </v>
      </c>
      <c r="AH143" s="227" t="str">
        <f>$AM39</f>
        <v xml:space="preserve"> </v>
      </c>
      <c r="AJ143" s="227" t="str">
        <f>$BH19</f>
        <v xml:space="preserve"> </v>
      </c>
      <c r="AL143" s="227" t="str">
        <f>$BH39</f>
        <v xml:space="preserve"> </v>
      </c>
      <c r="AQ143" s="227" t="str">
        <f>$AM23</f>
        <v xml:space="preserve"> </v>
      </c>
      <c r="AS143" s="227" t="str">
        <f>$AM43</f>
        <v xml:space="preserve"> </v>
      </c>
      <c r="AU143" s="227" t="str">
        <f>$BH23</f>
        <v xml:space="preserve"> </v>
      </c>
      <c r="AW143" s="227" t="str">
        <f>$BH43</f>
        <v xml:space="preserve"> </v>
      </c>
    </row>
    <row r="144" spans="5:49" x14ac:dyDescent="0.25">
      <c r="E144" s="232" t="str">
        <f>$AN4</f>
        <v xml:space="preserve"> </v>
      </c>
      <c r="F144" s="25"/>
      <c r="G144" s="232" t="str">
        <f>$AN24</f>
        <v xml:space="preserve"> </v>
      </c>
      <c r="H144" s="25"/>
      <c r="I144" s="232" t="str">
        <f>$BI4</f>
        <v xml:space="preserve"> </v>
      </c>
      <c r="J144" s="25"/>
      <c r="K144" s="232" t="str">
        <f>$BI24</f>
        <v xml:space="preserve"> </v>
      </c>
      <c r="O144" s="232" t="str">
        <f>$AN8</f>
        <v xml:space="preserve"> </v>
      </c>
      <c r="P144" s="25"/>
      <c r="Q144" s="232" t="str">
        <f>$AN28</f>
        <v xml:space="preserve"> </v>
      </c>
      <c r="R144" s="25"/>
      <c r="S144" s="232" t="str">
        <f>$BI8</f>
        <v xml:space="preserve"> </v>
      </c>
      <c r="T144" s="25"/>
      <c r="U144" s="25"/>
      <c r="V144" s="232" t="str">
        <f>$BI28</f>
        <v xml:space="preserve"> </v>
      </c>
      <c r="X144" s="232" t="str">
        <f>$AN12</f>
        <v xml:space="preserve"> </v>
      </c>
      <c r="Y144" s="25"/>
      <c r="Z144" s="232" t="str">
        <f>$AN32</f>
        <v xml:space="preserve"> </v>
      </c>
      <c r="AA144" s="25"/>
      <c r="AB144" s="232" t="str">
        <f>$BI12</f>
        <v xml:space="preserve"> </v>
      </c>
      <c r="AC144" s="25"/>
      <c r="AD144" s="232" t="str">
        <f>$BI32</f>
        <v xml:space="preserve"> </v>
      </c>
      <c r="AF144" s="232" t="str">
        <f>$AN16</f>
        <v xml:space="preserve"> </v>
      </c>
      <c r="AG144" s="25"/>
      <c r="AH144" s="232" t="str">
        <f>$AN36</f>
        <v xml:space="preserve"> </v>
      </c>
      <c r="AI144" s="25"/>
      <c r="AJ144" s="232" t="str">
        <f>$BI16</f>
        <v xml:space="preserve"> </v>
      </c>
      <c r="AK144" s="25"/>
      <c r="AL144" s="232" t="str">
        <f>$BI36</f>
        <v xml:space="preserve"> </v>
      </c>
      <c r="AQ144" s="232" t="str">
        <f>$AN20</f>
        <v xml:space="preserve"> </v>
      </c>
      <c r="AR144" s="25"/>
      <c r="AS144" s="232" t="str">
        <f>$AN40</f>
        <v xml:space="preserve"> </v>
      </c>
      <c r="AT144" s="25"/>
      <c r="AU144" s="232" t="str">
        <f>$BI20</f>
        <v xml:space="preserve"> </v>
      </c>
      <c r="AV144" s="25"/>
      <c r="AW144" s="232" t="str">
        <f>$BI40</f>
        <v xml:space="preserve"> </v>
      </c>
    </row>
    <row r="145" spans="3:50" x14ac:dyDescent="0.25">
      <c r="E145" s="227" t="str">
        <f>$AN5</f>
        <v xml:space="preserve"> </v>
      </c>
      <c r="G145" s="227" t="str">
        <f>$AN25</f>
        <v xml:space="preserve"> </v>
      </c>
      <c r="I145" s="227" t="str">
        <f>$BI5</f>
        <v xml:space="preserve"> </v>
      </c>
      <c r="K145" s="227" t="str">
        <f>$BI25</f>
        <v xml:space="preserve"> </v>
      </c>
      <c r="O145" s="227" t="str">
        <f>$AN9</f>
        <v xml:space="preserve"> </v>
      </c>
      <c r="Q145" s="227" t="str">
        <f>$AN29</f>
        <v xml:space="preserve"> </v>
      </c>
      <c r="S145" s="227" t="str">
        <f>$BI9</f>
        <v xml:space="preserve"> </v>
      </c>
      <c r="V145" s="227" t="str">
        <f>$BI29</f>
        <v xml:space="preserve"> </v>
      </c>
      <c r="X145" s="227" t="str">
        <f>$AN13</f>
        <v xml:space="preserve"> </v>
      </c>
      <c r="Z145" s="227" t="str">
        <f>$AN33</f>
        <v xml:space="preserve"> </v>
      </c>
      <c r="AB145" s="227" t="str">
        <f>$BI13</f>
        <v xml:space="preserve"> </v>
      </c>
      <c r="AD145" s="227" t="str">
        <f>$BI33</f>
        <v xml:space="preserve"> </v>
      </c>
      <c r="AF145" s="227" t="str">
        <f>$AN17</f>
        <v xml:space="preserve"> </v>
      </c>
      <c r="AH145" s="227" t="str">
        <f>$AN37</f>
        <v xml:space="preserve"> </v>
      </c>
      <c r="AJ145" s="227" t="str">
        <f>$BI17</f>
        <v xml:space="preserve"> </v>
      </c>
      <c r="AL145" s="227" t="str">
        <f>$BI37</f>
        <v xml:space="preserve"> </v>
      </c>
      <c r="AQ145" s="227" t="str">
        <f>$AN21</f>
        <v xml:space="preserve"> </v>
      </c>
      <c r="AS145" s="227" t="str">
        <f>$AN41</f>
        <v xml:space="preserve"> </v>
      </c>
      <c r="AU145" s="227" t="str">
        <f>$BI21</f>
        <v xml:space="preserve"> </v>
      </c>
      <c r="AW145" s="227" t="str">
        <f>$BI41</f>
        <v xml:space="preserve"> </v>
      </c>
    </row>
    <row r="146" spans="3:50" x14ac:dyDescent="0.25">
      <c r="E146" s="227" t="str">
        <f>$AN6</f>
        <v xml:space="preserve"> </v>
      </c>
      <c r="G146" s="227" t="str">
        <f>$AN26</f>
        <v xml:space="preserve"> </v>
      </c>
      <c r="I146" s="227" t="str">
        <f>$BI6</f>
        <v xml:space="preserve"> </v>
      </c>
      <c r="K146" s="227" t="str">
        <f>$BI26</f>
        <v xml:space="preserve"> </v>
      </c>
      <c r="O146" s="227" t="str">
        <f>$AN10</f>
        <v xml:space="preserve"> </v>
      </c>
      <c r="Q146" s="227" t="str">
        <f>$AN30</f>
        <v xml:space="preserve"> </v>
      </c>
      <c r="S146" s="227" t="str">
        <f>$BI10</f>
        <v xml:space="preserve"> </v>
      </c>
      <c r="V146" s="227" t="str">
        <f>$BI30</f>
        <v xml:space="preserve"> </v>
      </c>
      <c r="X146" s="227" t="str">
        <f>$AN14</f>
        <v xml:space="preserve"> </v>
      </c>
      <c r="Z146" s="227" t="str">
        <f>$AN34</f>
        <v xml:space="preserve"> </v>
      </c>
      <c r="AB146" s="227" t="str">
        <f>$BI14</f>
        <v xml:space="preserve"> </v>
      </c>
      <c r="AD146" s="227" t="str">
        <f>$BI34</f>
        <v xml:space="preserve"> </v>
      </c>
      <c r="AF146" s="227" t="str">
        <f>$AN18</f>
        <v xml:space="preserve"> </v>
      </c>
      <c r="AH146" s="227" t="str">
        <f>$AN38</f>
        <v xml:space="preserve"> </v>
      </c>
      <c r="AJ146" s="227" t="str">
        <f>$BI18</f>
        <v xml:space="preserve"> </v>
      </c>
      <c r="AL146" s="227" t="str">
        <f>$BI38</f>
        <v xml:space="preserve"> </v>
      </c>
      <c r="AQ146" s="227" t="str">
        <f>$AN22</f>
        <v xml:space="preserve"> </v>
      </c>
      <c r="AS146" s="227" t="str">
        <f>$AN42</f>
        <v xml:space="preserve"> </v>
      </c>
      <c r="AU146" s="227" t="str">
        <f>$BI22</f>
        <v xml:space="preserve"> </v>
      </c>
      <c r="AW146" s="227" t="str">
        <f>$BI42</f>
        <v xml:space="preserve"> </v>
      </c>
    </row>
    <row r="147" spans="3:50" x14ac:dyDescent="0.25">
      <c r="E147" s="233" t="str">
        <f>$AN7</f>
        <v xml:space="preserve"> </v>
      </c>
      <c r="F147" s="30"/>
      <c r="G147" s="233" t="str">
        <f>$AN27</f>
        <v xml:space="preserve"> </v>
      </c>
      <c r="H147" s="30"/>
      <c r="I147" s="233" t="str">
        <f>$BI7</f>
        <v xml:space="preserve"> </v>
      </c>
      <c r="J147" s="30"/>
      <c r="K147" s="233" t="str">
        <f>$BI27</f>
        <v xml:space="preserve"> </v>
      </c>
      <c r="O147" s="233" t="str">
        <f>$AN11</f>
        <v xml:space="preserve"> </v>
      </c>
      <c r="P147" s="30"/>
      <c r="Q147" s="233" t="str">
        <f>$AN31</f>
        <v xml:space="preserve"> </v>
      </c>
      <c r="R147" s="30"/>
      <c r="S147" s="233" t="str">
        <f>$BI11</f>
        <v xml:space="preserve"> </v>
      </c>
      <c r="T147" s="30"/>
      <c r="U147" s="30"/>
      <c r="V147" s="233" t="str">
        <f>$BI31</f>
        <v xml:space="preserve"> </v>
      </c>
      <c r="X147" s="233" t="str">
        <f>$AN15</f>
        <v xml:space="preserve"> </v>
      </c>
      <c r="Y147" s="30"/>
      <c r="Z147" s="233" t="str">
        <f>$AN35</f>
        <v xml:space="preserve"> </v>
      </c>
      <c r="AA147" s="30"/>
      <c r="AB147" s="233" t="str">
        <f>$BI15</f>
        <v xml:space="preserve"> </v>
      </c>
      <c r="AC147" s="30"/>
      <c r="AD147" s="233" t="str">
        <f>$BI35</f>
        <v xml:space="preserve"> </v>
      </c>
      <c r="AF147" s="233" t="str">
        <f>$AN19</f>
        <v xml:space="preserve"> </v>
      </c>
      <c r="AG147" s="30"/>
      <c r="AH147" s="233" t="str">
        <f>$AN39</f>
        <v xml:space="preserve"> </v>
      </c>
      <c r="AI147" s="30"/>
      <c r="AJ147" s="233" t="str">
        <f>$BI19</f>
        <v xml:space="preserve"> </v>
      </c>
      <c r="AK147" s="30"/>
      <c r="AL147" s="233" t="str">
        <f>$BI39</f>
        <v xml:space="preserve"> </v>
      </c>
      <c r="AQ147" s="233" t="str">
        <f>$AN23</f>
        <v xml:space="preserve"> </v>
      </c>
      <c r="AR147" s="30"/>
      <c r="AS147" s="233" t="str">
        <f>$AN43</f>
        <v xml:space="preserve"> </v>
      </c>
      <c r="AT147" s="30"/>
      <c r="AU147" s="233" t="str">
        <f>$BI23</f>
        <v xml:space="preserve"> </v>
      </c>
      <c r="AV147" s="30"/>
      <c r="AW147" s="233" t="str">
        <f>$BI43</f>
        <v xml:space="preserve"> </v>
      </c>
    </row>
    <row r="148" spans="3:50" x14ac:dyDescent="0.25">
      <c r="E148" s="232" t="str">
        <f>$AO4</f>
        <v xml:space="preserve"> </v>
      </c>
      <c r="F148" s="25"/>
      <c r="G148" s="232" t="str">
        <f>$AO24</f>
        <v xml:space="preserve"> </v>
      </c>
      <c r="H148" s="25"/>
      <c r="I148" s="232" t="str">
        <f>$BJ4</f>
        <v xml:space="preserve"> </v>
      </c>
      <c r="J148" s="25"/>
      <c r="K148" s="232" t="str">
        <f>$BJ24</f>
        <v xml:space="preserve"> </v>
      </c>
      <c r="O148" s="232" t="str">
        <f>$AO8</f>
        <v xml:space="preserve"> </v>
      </c>
      <c r="P148" s="25"/>
      <c r="Q148" s="232" t="str">
        <f>$AO28</f>
        <v xml:space="preserve"> </v>
      </c>
      <c r="R148" s="25"/>
      <c r="S148" s="232" t="str">
        <f>$BJ8</f>
        <v xml:space="preserve"> </v>
      </c>
      <c r="T148" s="25"/>
      <c r="U148" s="25"/>
      <c r="V148" s="232" t="str">
        <f>$BJ28</f>
        <v xml:space="preserve"> </v>
      </c>
      <c r="X148" s="232" t="str">
        <f>$AO12</f>
        <v xml:space="preserve"> </v>
      </c>
      <c r="Y148" s="25"/>
      <c r="Z148" s="232" t="str">
        <f>$AO32</f>
        <v xml:space="preserve"> </v>
      </c>
      <c r="AA148" s="25"/>
      <c r="AB148" s="232" t="str">
        <f>$BJ12</f>
        <v xml:space="preserve"> </v>
      </c>
      <c r="AC148" s="25"/>
      <c r="AD148" s="232" t="str">
        <f>$BJ32</f>
        <v xml:space="preserve"> </v>
      </c>
      <c r="AF148" s="232" t="str">
        <f>$AO16</f>
        <v xml:space="preserve"> </v>
      </c>
      <c r="AG148" s="25"/>
      <c r="AH148" s="232" t="str">
        <f>$AO36</f>
        <v xml:space="preserve"> </v>
      </c>
      <c r="AI148" s="25"/>
      <c r="AJ148" s="232" t="str">
        <f>$BJ16</f>
        <v xml:space="preserve"> </v>
      </c>
      <c r="AK148" s="25"/>
      <c r="AL148" s="232" t="str">
        <f>$BJ36</f>
        <v xml:space="preserve"> </v>
      </c>
      <c r="AQ148" s="232" t="str">
        <f>$AO20</f>
        <v xml:space="preserve"> </v>
      </c>
      <c r="AR148" s="25"/>
      <c r="AS148" s="232" t="str">
        <f>$AO40</f>
        <v xml:space="preserve"> </v>
      </c>
      <c r="AT148" s="25"/>
      <c r="AU148" s="232" t="str">
        <f>$BJ20</f>
        <v xml:space="preserve"> </v>
      </c>
      <c r="AV148" s="25"/>
      <c r="AW148" s="232" t="str">
        <f>$BJ40</f>
        <v xml:space="preserve"> </v>
      </c>
    </row>
    <row r="149" spans="3:50" x14ac:dyDescent="0.25">
      <c r="E149" s="227" t="str">
        <f>$AO5</f>
        <v xml:space="preserve"> </v>
      </c>
      <c r="G149" s="227" t="str">
        <f>$AO25</f>
        <v xml:space="preserve"> </v>
      </c>
      <c r="I149" s="227" t="str">
        <f>$BJ5</f>
        <v xml:space="preserve"> </v>
      </c>
      <c r="K149" s="227" t="str">
        <f>$BJ25</f>
        <v xml:space="preserve"> </v>
      </c>
      <c r="O149" s="227" t="str">
        <f>$AO9</f>
        <v xml:space="preserve"> </v>
      </c>
      <c r="Q149" s="227" t="str">
        <f>$AO29</f>
        <v xml:space="preserve"> </v>
      </c>
      <c r="S149" s="227" t="str">
        <f>$BJ9</f>
        <v xml:space="preserve"> </v>
      </c>
      <c r="V149" s="227" t="str">
        <f>$BJ29</f>
        <v xml:space="preserve"> </v>
      </c>
      <c r="X149" s="227" t="str">
        <f>$AO13</f>
        <v xml:space="preserve"> </v>
      </c>
      <c r="Z149" s="227" t="str">
        <f>$AO33</f>
        <v xml:space="preserve"> </v>
      </c>
      <c r="AB149" s="227" t="str">
        <f>$BJ13</f>
        <v xml:space="preserve"> </v>
      </c>
      <c r="AD149" s="227" t="str">
        <f>$BJ33</f>
        <v xml:space="preserve"> </v>
      </c>
      <c r="AF149" s="227" t="str">
        <f>$AO17</f>
        <v xml:space="preserve"> </v>
      </c>
      <c r="AH149" s="227" t="str">
        <f>$AO37</f>
        <v xml:space="preserve"> </v>
      </c>
      <c r="AJ149" s="227" t="str">
        <f>$BJ17</f>
        <v xml:space="preserve"> </v>
      </c>
      <c r="AL149" s="227" t="str">
        <f>$BJ37</f>
        <v xml:space="preserve"> </v>
      </c>
      <c r="AQ149" s="227" t="str">
        <f>$AO21</f>
        <v xml:space="preserve"> </v>
      </c>
      <c r="AS149" s="227" t="str">
        <f>$AO41</f>
        <v xml:space="preserve"> </v>
      </c>
      <c r="AU149" s="227" t="str">
        <f>$BJ21</f>
        <v xml:space="preserve"> </v>
      </c>
      <c r="AW149" s="227" t="str">
        <f>$BJ41</f>
        <v xml:space="preserve"> </v>
      </c>
    </row>
    <row r="150" spans="3:50" x14ac:dyDescent="0.25">
      <c r="E150" s="227" t="str">
        <f>$AO6</f>
        <v xml:space="preserve"> </v>
      </c>
      <c r="G150" s="227" t="str">
        <f>$AO26</f>
        <v xml:space="preserve"> </v>
      </c>
      <c r="I150" s="227" t="str">
        <f>$BJ6</f>
        <v xml:space="preserve"> </v>
      </c>
      <c r="K150" s="227" t="str">
        <f>$BJ26</f>
        <v xml:space="preserve"> </v>
      </c>
      <c r="O150" s="227" t="str">
        <f>$AO10</f>
        <v xml:space="preserve"> </v>
      </c>
      <c r="Q150" s="227" t="str">
        <f>$AO30</f>
        <v xml:space="preserve"> </v>
      </c>
      <c r="S150" s="227" t="str">
        <f>$BJ10</f>
        <v xml:space="preserve"> </v>
      </c>
      <c r="V150" s="227" t="str">
        <f>$BJ30</f>
        <v xml:space="preserve"> </v>
      </c>
      <c r="X150" s="227" t="str">
        <f>$AO14</f>
        <v xml:space="preserve"> </v>
      </c>
      <c r="Z150" s="227" t="str">
        <f>$AO34</f>
        <v xml:space="preserve"> </v>
      </c>
      <c r="AB150" s="227" t="str">
        <f>$BJ14</f>
        <v xml:space="preserve"> </v>
      </c>
      <c r="AD150" s="227" t="str">
        <f>$BJ34</f>
        <v xml:space="preserve"> </v>
      </c>
      <c r="AF150" s="227" t="str">
        <f>$AO18</f>
        <v xml:space="preserve"> </v>
      </c>
      <c r="AH150" s="227" t="str">
        <f>$AO38</f>
        <v xml:space="preserve"> </v>
      </c>
      <c r="AJ150" s="227" t="str">
        <f>$BJ18</f>
        <v xml:space="preserve"> </v>
      </c>
      <c r="AL150" s="227" t="str">
        <f>$BJ38</f>
        <v xml:space="preserve"> </v>
      </c>
      <c r="AQ150" s="227" t="str">
        <f>$AO22</f>
        <v xml:space="preserve"> </v>
      </c>
      <c r="AS150" s="227" t="str">
        <f>$AO42</f>
        <v xml:space="preserve"> </v>
      </c>
      <c r="AU150" s="227" t="str">
        <f>$BJ22</f>
        <v xml:space="preserve"> </v>
      </c>
      <c r="AW150" s="227" t="str">
        <f>$BJ42</f>
        <v xml:space="preserve"> </v>
      </c>
    </row>
    <row r="151" spans="3:50" x14ac:dyDescent="0.25">
      <c r="E151" s="233" t="str">
        <f>$AO7</f>
        <v xml:space="preserve"> </v>
      </c>
      <c r="F151" s="30"/>
      <c r="G151" s="233" t="str">
        <f>$AO27</f>
        <v xml:space="preserve"> </v>
      </c>
      <c r="H151" s="30"/>
      <c r="I151" s="233" t="str">
        <f>$BJ7</f>
        <v xml:space="preserve"> </v>
      </c>
      <c r="J151" s="30"/>
      <c r="K151" s="233" t="str">
        <f>$BJ27</f>
        <v xml:space="preserve"> </v>
      </c>
      <c r="O151" s="233" t="str">
        <f>$AO11</f>
        <v xml:space="preserve"> </v>
      </c>
      <c r="P151" s="30"/>
      <c r="Q151" s="233" t="str">
        <f>$AO31</f>
        <v xml:space="preserve"> </v>
      </c>
      <c r="R151" s="30"/>
      <c r="S151" s="233" t="str">
        <f>$BJ11</f>
        <v xml:space="preserve"> </v>
      </c>
      <c r="T151" s="30"/>
      <c r="U151" s="30"/>
      <c r="V151" s="233" t="str">
        <f>$BJ31</f>
        <v xml:space="preserve"> </v>
      </c>
      <c r="X151" s="233" t="str">
        <f>$AO15</f>
        <v xml:space="preserve"> </v>
      </c>
      <c r="Y151" s="30"/>
      <c r="Z151" s="233" t="str">
        <f>$AO35</f>
        <v xml:space="preserve"> </v>
      </c>
      <c r="AA151" s="30"/>
      <c r="AB151" s="233" t="str">
        <f>$BJ15</f>
        <v xml:space="preserve"> </v>
      </c>
      <c r="AC151" s="30"/>
      <c r="AD151" s="233" t="str">
        <f>$BJ35</f>
        <v xml:space="preserve"> </v>
      </c>
      <c r="AF151" s="233" t="str">
        <f>$AO19</f>
        <v xml:space="preserve"> </v>
      </c>
      <c r="AG151" s="30"/>
      <c r="AH151" s="233" t="str">
        <f>$AO39</f>
        <v xml:space="preserve"> </v>
      </c>
      <c r="AI151" s="30"/>
      <c r="AJ151" s="233" t="str">
        <f>$BJ19</f>
        <v xml:space="preserve"> </v>
      </c>
      <c r="AK151" s="30"/>
      <c r="AL151" s="233" t="str">
        <f>$BJ39</f>
        <v xml:space="preserve"> </v>
      </c>
      <c r="AQ151" s="233" t="str">
        <f>$AO23</f>
        <v xml:space="preserve"> </v>
      </c>
      <c r="AR151" s="30"/>
      <c r="AS151" s="233" t="str">
        <f>$AO43</f>
        <v xml:space="preserve"> </v>
      </c>
      <c r="AT151" s="30"/>
      <c r="AU151" s="233" t="str">
        <f>$BJ23</f>
        <v xml:space="preserve"> </v>
      </c>
      <c r="AV151" s="30"/>
      <c r="AW151" s="233" t="str">
        <f>$BJ43</f>
        <v xml:space="preserve"> </v>
      </c>
    </row>
    <row r="152" spans="3:50" x14ac:dyDescent="0.25">
      <c r="E152" s="227" t="str">
        <f>$AP4</f>
        <v xml:space="preserve"> </v>
      </c>
      <c r="G152" s="227" t="str">
        <f>$AP24</f>
        <v xml:space="preserve"> </v>
      </c>
      <c r="I152" s="227" t="str">
        <f>$BK4</f>
        <v xml:space="preserve"> </v>
      </c>
      <c r="K152" s="227" t="str">
        <f>$BK24</f>
        <v xml:space="preserve"> </v>
      </c>
      <c r="O152" s="227" t="str">
        <f>$AP8</f>
        <v xml:space="preserve"> </v>
      </c>
      <c r="Q152" s="227" t="str">
        <f>$AP28</f>
        <v xml:space="preserve"> </v>
      </c>
      <c r="S152" s="227" t="str">
        <f>$BK8</f>
        <v xml:space="preserve"> </v>
      </c>
      <c r="V152" s="227" t="str">
        <f>$BK28</f>
        <v xml:space="preserve"> </v>
      </c>
      <c r="X152" s="227" t="str">
        <f>$AP12</f>
        <v xml:space="preserve"> </v>
      </c>
      <c r="Z152" s="227" t="str">
        <f>$AP32</f>
        <v xml:space="preserve"> </v>
      </c>
      <c r="AB152" s="227" t="str">
        <f>$BK12</f>
        <v xml:space="preserve"> </v>
      </c>
      <c r="AD152" s="227" t="str">
        <f>$BK32</f>
        <v xml:space="preserve"> </v>
      </c>
      <c r="AF152" s="227" t="str">
        <f>$AP16</f>
        <v xml:space="preserve"> </v>
      </c>
      <c r="AH152" s="227" t="str">
        <f>$AP36</f>
        <v xml:space="preserve"> </v>
      </c>
      <c r="AJ152" s="227" t="str">
        <f>$BK16</f>
        <v xml:space="preserve"> </v>
      </c>
      <c r="AL152" s="227" t="str">
        <f>$BK36</f>
        <v xml:space="preserve"> </v>
      </c>
      <c r="AQ152" s="227" t="str">
        <f>$AP20</f>
        <v xml:space="preserve"> </v>
      </c>
      <c r="AS152" s="227" t="str">
        <f>$AP40</f>
        <v xml:space="preserve"> </v>
      </c>
      <c r="AU152" s="227" t="str">
        <f>$BK20</f>
        <v xml:space="preserve"> </v>
      </c>
      <c r="AW152" s="227" t="str">
        <f>$BK40</f>
        <v xml:space="preserve"> </v>
      </c>
    </row>
    <row r="153" spans="3:50" x14ac:dyDescent="0.25">
      <c r="E153" s="227" t="str">
        <f>$AP5</f>
        <v xml:space="preserve"> </v>
      </c>
      <c r="G153" s="227" t="str">
        <f>$AP25</f>
        <v xml:space="preserve"> </v>
      </c>
      <c r="I153" s="227" t="str">
        <f>$BK5</f>
        <v xml:space="preserve"> </v>
      </c>
      <c r="K153" s="227" t="str">
        <f>$BK25</f>
        <v xml:space="preserve"> </v>
      </c>
      <c r="O153" s="227" t="str">
        <f>$AP9</f>
        <v xml:space="preserve"> </v>
      </c>
      <c r="Q153" s="227" t="str">
        <f>$AP29</f>
        <v xml:space="preserve"> </v>
      </c>
      <c r="S153" s="227" t="str">
        <f>$BK9</f>
        <v xml:space="preserve"> </v>
      </c>
      <c r="V153" s="227" t="str">
        <f>$BK29</f>
        <v xml:space="preserve"> </v>
      </c>
      <c r="X153" s="227" t="str">
        <f>$AP13</f>
        <v xml:space="preserve"> </v>
      </c>
      <c r="Z153" s="227" t="str">
        <f>$AP33</f>
        <v xml:space="preserve"> </v>
      </c>
      <c r="AB153" s="227" t="str">
        <f>$BK13</f>
        <v xml:space="preserve"> </v>
      </c>
      <c r="AD153" s="227" t="str">
        <f>$BK33</f>
        <v xml:space="preserve"> </v>
      </c>
      <c r="AF153" s="227" t="str">
        <f>$AP17</f>
        <v xml:space="preserve"> </v>
      </c>
      <c r="AH153" s="227" t="str">
        <f>$AP37</f>
        <v xml:space="preserve"> </v>
      </c>
      <c r="AJ153" s="227" t="str">
        <f>$BK17</f>
        <v xml:space="preserve"> </v>
      </c>
      <c r="AL153" s="227" t="str">
        <f>$BK37</f>
        <v xml:space="preserve"> </v>
      </c>
      <c r="AQ153" s="227" t="str">
        <f>$AP21</f>
        <v xml:space="preserve"> </v>
      </c>
      <c r="AS153" s="227" t="str">
        <f>$AP41</f>
        <v xml:space="preserve"> </v>
      </c>
      <c r="AU153" s="227" t="str">
        <f>$BK21</f>
        <v xml:space="preserve"> </v>
      </c>
      <c r="AW153" s="227" t="str">
        <f>$BK41</f>
        <v xml:space="preserve"> </v>
      </c>
    </row>
    <row r="154" spans="3:50" x14ac:dyDescent="0.25">
      <c r="E154" s="227" t="str">
        <f>$AP6</f>
        <v xml:space="preserve"> </v>
      </c>
      <c r="G154" s="227" t="str">
        <f>$AP26</f>
        <v xml:space="preserve"> </v>
      </c>
      <c r="I154" s="227" t="str">
        <f>$BK6</f>
        <v xml:space="preserve"> </v>
      </c>
      <c r="K154" s="227" t="str">
        <f>$BK26</f>
        <v xml:space="preserve"> </v>
      </c>
      <c r="O154" s="227" t="str">
        <f>$AP10</f>
        <v xml:space="preserve"> </v>
      </c>
      <c r="Q154" s="227" t="str">
        <f>$AP30</f>
        <v xml:space="preserve"> </v>
      </c>
      <c r="S154" s="227" t="str">
        <f>$BK10</f>
        <v xml:space="preserve"> </v>
      </c>
      <c r="V154" s="227" t="str">
        <f>$BK30</f>
        <v xml:space="preserve"> </v>
      </c>
      <c r="X154" s="227" t="str">
        <f>$AP14</f>
        <v xml:space="preserve"> </v>
      </c>
      <c r="Z154" s="227" t="str">
        <f>$AP34</f>
        <v xml:space="preserve"> </v>
      </c>
      <c r="AB154" s="227" t="str">
        <f>$BK14</f>
        <v xml:space="preserve"> </v>
      </c>
      <c r="AD154" s="227" t="str">
        <f>$BK34</f>
        <v xml:space="preserve"> </v>
      </c>
      <c r="AF154" s="227" t="str">
        <f>$AP18</f>
        <v xml:space="preserve"> </v>
      </c>
      <c r="AH154" s="227" t="str">
        <f>$AP38</f>
        <v xml:space="preserve"> </v>
      </c>
      <c r="AJ154" s="227" t="str">
        <f>$BK18</f>
        <v xml:space="preserve"> </v>
      </c>
      <c r="AL154" s="227" t="str">
        <f>$BK38</f>
        <v xml:space="preserve"> </v>
      </c>
      <c r="AQ154" s="227" t="str">
        <f>$AP22</f>
        <v xml:space="preserve"> </v>
      </c>
      <c r="AS154" s="227" t="str">
        <f>$AP42</f>
        <v xml:space="preserve"> </v>
      </c>
      <c r="AU154" s="227" t="str">
        <f>$BK22</f>
        <v xml:space="preserve"> </v>
      </c>
      <c r="AW154" s="227" t="str">
        <f>$BK42</f>
        <v xml:space="preserve"> </v>
      </c>
    </row>
    <row r="155" spans="3:50" x14ac:dyDescent="0.25">
      <c r="E155" s="227" t="str">
        <f>$AP7</f>
        <v xml:space="preserve"> </v>
      </c>
      <c r="G155" s="227" t="str">
        <f>$AP27</f>
        <v xml:space="preserve"> </v>
      </c>
      <c r="I155" s="227" t="str">
        <f>$BK7</f>
        <v xml:space="preserve"> </v>
      </c>
      <c r="K155" s="227" t="str">
        <f>$BK27</f>
        <v xml:space="preserve"> </v>
      </c>
      <c r="O155" s="227" t="str">
        <f>$AP11</f>
        <v xml:space="preserve"> </v>
      </c>
      <c r="Q155" s="227" t="str">
        <f>$AP31</f>
        <v xml:space="preserve"> </v>
      </c>
      <c r="S155" s="227" t="str">
        <f>$BK11</f>
        <v xml:space="preserve"> </v>
      </c>
      <c r="V155" s="227" t="str">
        <f>$BK31</f>
        <v xml:space="preserve"> </v>
      </c>
      <c r="X155" s="227" t="str">
        <f>$AP15</f>
        <v xml:space="preserve"> </v>
      </c>
      <c r="Z155" s="227" t="str">
        <f>$AP35</f>
        <v xml:space="preserve"> </v>
      </c>
      <c r="AB155" s="227" t="str">
        <f>$BK15</f>
        <v xml:space="preserve"> </v>
      </c>
      <c r="AD155" s="227" t="str">
        <f>$BK35</f>
        <v xml:space="preserve"> </v>
      </c>
      <c r="AF155" s="227" t="str">
        <f>$AP19</f>
        <v xml:space="preserve"> </v>
      </c>
      <c r="AH155" s="227" t="str">
        <f>$AP39</f>
        <v xml:space="preserve"> </v>
      </c>
      <c r="AJ155" s="227" t="str">
        <f>$BK19</f>
        <v xml:space="preserve"> </v>
      </c>
      <c r="AL155" s="227" t="str">
        <f>$BK39</f>
        <v xml:space="preserve"> </v>
      </c>
      <c r="AQ155" s="227" t="str">
        <f>$AP23</f>
        <v xml:space="preserve"> </v>
      </c>
      <c r="AS155" s="227" t="str">
        <f>$AP43</f>
        <v xml:space="preserve"> </v>
      </c>
      <c r="AU155" s="227" t="str">
        <f>$BK23</f>
        <v xml:space="preserve"> </v>
      </c>
      <c r="AW155" s="227" t="str">
        <f>$BK43</f>
        <v xml:space="preserve"> </v>
      </c>
    </row>
    <row r="157" spans="3:50" x14ac:dyDescent="0.25">
      <c r="C157">
        <v>1</v>
      </c>
      <c r="D157" t="str">
        <f t="shared" ref="D157:D188" si="5">IF(ISNUMBER(E157),C157,"")</f>
        <v/>
      </c>
      <c r="E157" s="24" t="str">
        <f t="shared" ref="E157:E188" si="6">IF(ISNUMBER(E92),-ABS(E92*$Q$52),"")</f>
        <v/>
      </c>
      <c r="F157" s="25" t="str">
        <f t="shared" ref="F157:F188" si="7">IF(ISNUMBER(F92),-ABS(F92),"")</f>
        <v/>
      </c>
      <c r="G157" s="25" t="str">
        <f t="shared" ref="G157:G188" si="8">IF(ISNUMBER(G92),ABS(G92*$Q$55),"")</f>
        <v/>
      </c>
      <c r="H157" s="25" t="str">
        <f t="shared" ref="H157:H188" si="9">IF(ISNUMBER(H92),ABS(H92),"")</f>
        <v/>
      </c>
      <c r="I157" s="25" t="str">
        <f t="shared" ref="I157:I188" si="10">IF(ISNUMBER(I92),-ABS(I92*$Q$52),"")</f>
        <v/>
      </c>
      <c r="J157" s="25" t="str">
        <f t="shared" ref="J157:J188" si="11">IF(ISNUMBER(J92),-ABS(J92),"")</f>
        <v/>
      </c>
      <c r="K157" s="26" t="str">
        <f t="shared" ref="K157:K188" si="12">IF(ISNUMBER(K92),ABS(K92*$Q$55),"")</f>
        <v/>
      </c>
      <c r="N157" t="str">
        <f t="shared" ref="N157:N188" si="13">IF(ISNUMBER(N92),ABS(N92),"")</f>
        <v/>
      </c>
      <c r="O157" s="24" t="str">
        <f t="shared" ref="O157:O188" si="14">IF(ISNUMBER(O92),-ABS(O92*$Q$58),"")</f>
        <v/>
      </c>
      <c r="P157" s="25" t="str">
        <f t="shared" ref="P157:P188" si="15">IF(ISNUMBER(P92),-ABS(P92),"")</f>
        <v/>
      </c>
      <c r="Q157" s="25" t="str">
        <f t="shared" ref="Q157:Q188" si="16">IF(ISNUMBER(Q92),ABS(Q92*$Q$61),"")</f>
        <v/>
      </c>
      <c r="R157" s="25" t="str">
        <f t="shared" ref="R157:R188" si="17">IF(ISNUMBER(R92),ABS(R92),"")</f>
        <v/>
      </c>
      <c r="S157" s="25" t="str">
        <f t="shared" ref="S157:S188" si="18">IF(ISNUMBER(S92),-ABS(S92*$Q$58),"")</f>
        <v/>
      </c>
      <c r="T157" s="25" t="str">
        <f t="shared" ref="T157:T188" si="19">IF(ISNUMBER(T92),-ABS(T92),"")</f>
        <v/>
      </c>
      <c r="U157" s="25"/>
      <c r="V157" s="26" t="str">
        <f t="shared" ref="V157:V188" si="20">IF(ISNUMBER(V92),ABS(V92*$Q$61),"")</f>
        <v/>
      </c>
      <c r="W157" t="str">
        <f t="shared" ref="W157:W188" si="21">IF(ISNUMBER(W92),ABS(W92),"")</f>
        <v/>
      </c>
      <c r="X157" s="24" t="str">
        <f t="shared" ref="X157:X188" si="22">IF(ISNUMBER(X92),-ABS(X92*$Q$64),"")</f>
        <v/>
      </c>
      <c r="Y157" s="25" t="str">
        <f t="shared" ref="Y157:Y188" si="23">IF(ISNUMBER(Y92),-ABS(Y92),"")</f>
        <v/>
      </c>
      <c r="Z157" s="25" t="str">
        <f t="shared" ref="Z157:Z188" si="24">IF(ISNUMBER(Z92),ABS(Z92*$Q$67),"")</f>
        <v/>
      </c>
      <c r="AA157" s="25" t="str">
        <f t="shared" ref="AA157:AA188" si="25">IF(ISNUMBER(AA92),ABS(AA92),"")</f>
        <v/>
      </c>
      <c r="AB157" s="25" t="str">
        <f t="shared" ref="AB157:AB188" si="26">IF(ISNUMBER(AB92),-ABS(AB92*$Q$64),"")</f>
        <v/>
      </c>
      <c r="AC157" s="25" t="str">
        <f t="shared" ref="AC157:AC188" si="27">IF(ISNUMBER(AC92),-ABS(AC92),"")</f>
        <v/>
      </c>
      <c r="AD157" s="26" t="str">
        <f t="shared" ref="AD157:AD188" si="28">IF(ISNUMBER(AD92),ABS(AD92*$Q$67),"")</f>
        <v/>
      </c>
      <c r="AE157" t="str">
        <f t="shared" ref="AE157:AE188" si="29">IF(ISNUMBER(AE92),ABS(AE92),"")</f>
        <v/>
      </c>
      <c r="AF157" s="24" t="str">
        <f t="shared" ref="AF157:AF188" si="30">IF(ISNUMBER(AF92),-ABS(AF92*$Q$70),"")</f>
        <v/>
      </c>
      <c r="AG157" s="25" t="str">
        <f t="shared" ref="AG157:AG188" si="31">IF(ISNUMBER(AG92),-ABS(AG92),"")</f>
        <v/>
      </c>
      <c r="AH157" s="25" t="str">
        <f t="shared" ref="AH157:AH188" si="32">IF(ISNUMBER(AH92),ABS(AH92*$Q$73),"")</f>
        <v/>
      </c>
      <c r="AI157" s="25" t="str">
        <f t="shared" ref="AI157:AI188" si="33">IF(ISNUMBER(AI92),ABS(AI92),"")</f>
        <v/>
      </c>
      <c r="AJ157" s="25" t="str">
        <f t="shared" ref="AJ157:AJ188" si="34">IF(ISNUMBER(AJ92),-ABS(AJ92*$Q$70),"")</f>
        <v/>
      </c>
      <c r="AK157" s="25" t="str">
        <f t="shared" ref="AK157:AK188" si="35">IF(ISNUMBER(AK92),-ABS(AK92),"")</f>
        <v/>
      </c>
      <c r="AL157" s="26" t="str">
        <f t="shared" ref="AL157:AL188" si="36">IF(ISNUMBER(AL92),ABS(AL92*$Q$73),"")</f>
        <v/>
      </c>
      <c r="AP157" t="str">
        <f t="shared" ref="AP157:AP188" si="37">IF(ISNUMBER(AP92),ABS(AP92),"")</f>
        <v/>
      </c>
      <c r="AQ157" s="24" t="str">
        <f t="shared" ref="AQ157:AQ188" si="38">IF(ISNUMBER(AQ92),-ABS(AQ92*$Q$76),"")</f>
        <v/>
      </c>
      <c r="AR157" s="25" t="str">
        <f t="shared" ref="AR157:AR188" si="39">IF(ISNUMBER(AR92),-ABS(AR92),"")</f>
        <v/>
      </c>
      <c r="AS157" s="25" t="str">
        <f t="shared" ref="AS157:AS188" si="40">IF(ISNUMBER(AS92),ABS(AS92*$Q$79),"")</f>
        <v/>
      </c>
      <c r="AT157" s="25" t="str">
        <f t="shared" ref="AT157:AT188" si="41">IF(ISNUMBER(AT92),ABS(AT92),"")</f>
        <v/>
      </c>
      <c r="AU157" s="25" t="str">
        <f t="shared" ref="AU157:AU188" si="42">IF(ISNUMBER(AU92),-ABS(AU92*$Q$76),"")</f>
        <v/>
      </c>
      <c r="AV157" s="25" t="str">
        <f t="shared" ref="AV157:AV188" si="43">IF(ISNUMBER(AV92),-ABS(AV92),"")</f>
        <v/>
      </c>
      <c r="AW157" s="26" t="str">
        <f t="shared" ref="AW157:AW188" si="44">IF(ISNUMBER(AW92),ABS(AW92*$Q$79),"")</f>
        <v/>
      </c>
      <c r="AX157" t="str">
        <f>IF(ISNUMBER(AX92),ABS(AX92),"")</f>
        <v/>
      </c>
    </row>
    <row r="158" spans="3:50" x14ac:dyDescent="0.25">
      <c r="C158">
        <v>2</v>
      </c>
      <c r="D158" t="str">
        <f t="shared" si="5"/>
        <v/>
      </c>
      <c r="E158" s="24" t="str">
        <f t="shared" si="6"/>
        <v/>
      </c>
      <c r="F158" s="25" t="str">
        <f t="shared" si="7"/>
        <v/>
      </c>
      <c r="G158" s="25" t="str">
        <f t="shared" si="8"/>
        <v/>
      </c>
      <c r="H158" s="25" t="str">
        <f t="shared" si="9"/>
        <v/>
      </c>
      <c r="I158" s="25" t="str">
        <f t="shared" si="10"/>
        <v/>
      </c>
      <c r="J158" s="25" t="str">
        <f t="shared" si="11"/>
        <v/>
      </c>
      <c r="K158" s="26" t="str">
        <f t="shared" si="12"/>
        <v/>
      </c>
      <c r="N158" t="str">
        <f t="shared" si="13"/>
        <v/>
      </c>
      <c r="O158" s="24" t="str">
        <f t="shared" si="14"/>
        <v/>
      </c>
      <c r="P158" s="25" t="str">
        <f t="shared" si="15"/>
        <v/>
      </c>
      <c r="Q158" s="25" t="str">
        <f t="shared" si="16"/>
        <v/>
      </c>
      <c r="R158" s="25" t="str">
        <f t="shared" si="17"/>
        <v/>
      </c>
      <c r="S158" s="25" t="str">
        <f t="shared" si="18"/>
        <v/>
      </c>
      <c r="T158" s="25" t="str">
        <f t="shared" si="19"/>
        <v/>
      </c>
      <c r="U158" s="25"/>
      <c r="V158" s="26" t="str">
        <f t="shared" si="20"/>
        <v/>
      </c>
      <c r="W158" t="str">
        <f t="shared" si="21"/>
        <v/>
      </c>
      <c r="X158" s="24" t="str">
        <f t="shared" si="22"/>
        <v/>
      </c>
      <c r="Y158" s="25" t="str">
        <f t="shared" si="23"/>
        <v/>
      </c>
      <c r="Z158" s="25" t="str">
        <f t="shared" si="24"/>
        <v/>
      </c>
      <c r="AA158" s="25" t="str">
        <f t="shared" si="25"/>
        <v/>
      </c>
      <c r="AB158" s="25" t="str">
        <f t="shared" si="26"/>
        <v/>
      </c>
      <c r="AC158" s="25" t="str">
        <f t="shared" si="27"/>
        <v/>
      </c>
      <c r="AD158" s="26" t="str">
        <f t="shared" si="28"/>
        <v/>
      </c>
      <c r="AE158" t="str">
        <f t="shared" si="29"/>
        <v/>
      </c>
      <c r="AF158" s="24" t="str">
        <f t="shared" si="30"/>
        <v/>
      </c>
      <c r="AG158" s="25" t="str">
        <f t="shared" si="31"/>
        <v/>
      </c>
      <c r="AH158" s="25" t="str">
        <f t="shared" si="32"/>
        <v/>
      </c>
      <c r="AI158" s="25" t="str">
        <f t="shared" si="33"/>
        <v/>
      </c>
      <c r="AJ158" s="25" t="str">
        <f t="shared" si="34"/>
        <v/>
      </c>
      <c r="AK158" s="25" t="str">
        <f t="shared" si="35"/>
        <v/>
      </c>
      <c r="AL158" s="26" t="str">
        <f t="shared" si="36"/>
        <v/>
      </c>
      <c r="AP158" t="str">
        <f t="shared" si="37"/>
        <v/>
      </c>
      <c r="AQ158" s="24" t="str">
        <f t="shared" si="38"/>
        <v/>
      </c>
      <c r="AR158" s="25" t="str">
        <f t="shared" si="39"/>
        <v/>
      </c>
      <c r="AS158" s="25" t="str">
        <f t="shared" si="40"/>
        <v/>
      </c>
      <c r="AT158" s="25" t="str">
        <f t="shared" si="41"/>
        <v/>
      </c>
      <c r="AU158" s="25" t="str">
        <f t="shared" si="42"/>
        <v/>
      </c>
      <c r="AV158" s="25" t="str">
        <f t="shared" si="43"/>
        <v/>
      </c>
      <c r="AW158" s="26" t="str">
        <f t="shared" si="44"/>
        <v/>
      </c>
    </row>
    <row r="159" spans="3:50" x14ac:dyDescent="0.25">
      <c r="C159">
        <v>3</v>
      </c>
      <c r="D159" t="str">
        <f t="shared" si="5"/>
        <v/>
      </c>
      <c r="E159" s="24" t="str">
        <f t="shared" si="6"/>
        <v/>
      </c>
      <c r="F159" s="25" t="str">
        <f t="shared" si="7"/>
        <v/>
      </c>
      <c r="G159" s="25" t="str">
        <f t="shared" si="8"/>
        <v/>
      </c>
      <c r="H159" s="25" t="str">
        <f t="shared" si="9"/>
        <v/>
      </c>
      <c r="I159" s="25" t="str">
        <f t="shared" si="10"/>
        <v/>
      </c>
      <c r="J159" s="25" t="str">
        <f t="shared" si="11"/>
        <v/>
      </c>
      <c r="K159" s="26" t="str">
        <f t="shared" si="12"/>
        <v/>
      </c>
      <c r="N159" t="str">
        <f t="shared" si="13"/>
        <v/>
      </c>
      <c r="O159" s="24" t="str">
        <f t="shared" si="14"/>
        <v/>
      </c>
      <c r="P159" s="25" t="str">
        <f t="shared" si="15"/>
        <v/>
      </c>
      <c r="Q159" s="25" t="str">
        <f t="shared" si="16"/>
        <v/>
      </c>
      <c r="R159" s="25" t="str">
        <f t="shared" si="17"/>
        <v/>
      </c>
      <c r="S159" s="25" t="str">
        <f t="shared" si="18"/>
        <v/>
      </c>
      <c r="T159" s="25" t="str">
        <f t="shared" si="19"/>
        <v/>
      </c>
      <c r="U159" s="25"/>
      <c r="V159" s="26" t="str">
        <f t="shared" si="20"/>
        <v/>
      </c>
      <c r="W159" t="str">
        <f t="shared" si="21"/>
        <v/>
      </c>
      <c r="X159" s="24" t="str">
        <f t="shared" si="22"/>
        <v/>
      </c>
      <c r="Y159" s="25" t="str">
        <f t="shared" si="23"/>
        <v/>
      </c>
      <c r="Z159" s="25" t="str">
        <f t="shared" si="24"/>
        <v/>
      </c>
      <c r="AA159" s="25" t="str">
        <f t="shared" si="25"/>
        <v/>
      </c>
      <c r="AB159" s="25" t="str">
        <f t="shared" si="26"/>
        <v/>
      </c>
      <c r="AC159" s="25" t="str">
        <f t="shared" si="27"/>
        <v/>
      </c>
      <c r="AD159" s="26" t="str">
        <f t="shared" si="28"/>
        <v/>
      </c>
      <c r="AE159" t="str">
        <f t="shared" si="29"/>
        <v/>
      </c>
      <c r="AF159" s="24" t="str">
        <f t="shared" si="30"/>
        <v/>
      </c>
      <c r="AG159" s="25" t="str">
        <f t="shared" si="31"/>
        <v/>
      </c>
      <c r="AH159" s="25" t="str">
        <f t="shared" si="32"/>
        <v/>
      </c>
      <c r="AI159" s="25" t="str">
        <f t="shared" si="33"/>
        <v/>
      </c>
      <c r="AJ159" s="25" t="str">
        <f t="shared" si="34"/>
        <v/>
      </c>
      <c r="AK159" s="25" t="str">
        <f t="shared" si="35"/>
        <v/>
      </c>
      <c r="AL159" s="26" t="str">
        <f t="shared" si="36"/>
        <v/>
      </c>
      <c r="AP159" t="str">
        <f t="shared" si="37"/>
        <v/>
      </c>
      <c r="AQ159" s="24" t="str">
        <f t="shared" si="38"/>
        <v/>
      </c>
      <c r="AR159" s="25" t="str">
        <f t="shared" si="39"/>
        <v/>
      </c>
      <c r="AS159" s="25" t="str">
        <f t="shared" si="40"/>
        <v/>
      </c>
      <c r="AT159" s="25" t="str">
        <f t="shared" si="41"/>
        <v/>
      </c>
      <c r="AU159" s="25" t="str">
        <f t="shared" si="42"/>
        <v/>
      </c>
      <c r="AV159" s="25" t="str">
        <f t="shared" si="43"/>
        <v/>
      </c>
      <c r="AW159" s="26" t="str">
        <f t="shared" si="44"/>
        <v/>
      </c>
    </row>
    <row r="160" spans="3:50" x14ac:dyDescent="0.25">
      <c r="C160">
        <v>4</v>
      </c>
      <c r="D160" t="str">
        <f t="shared" si="5"/>
        <v/>
      </c>
      <c r="E160" s="24" t="str">
        <f t="shared" si="6"/>
        <v/>
      </c>
      <c r="F160" s="25" t="str">
        <f t="shared" si="7"/>
        <v/>
      </c>
      <c r="G160" s="25" t="str">
        <f t="shared" si="8"/>
        <v/>
      </c>
      <c r="H160" s="25" t="str">
        <f t="shared" si="9"/>
        <v/>
      </c>
      <c r="I160" s="25" t="str">
        <f t="shared" si="10"/>
        <v/>
      </c>
      <c r="J160" s="25" t="str">
        <f t="shared" si="11"/>
        <v/>
      </c>
      <c r="K160" s="26" t="str">
        <f t="shared" si="12"/>
        <v/>
      </c>
      <c r="N160" t="str">
        <f t="shared" si="13"/>
        <v/>
      </c>
      <c r="O160" s="24" t="str">
        <f t="shared" si="14"/>
        <v/>
      </c>
      <c r="P160" s="25" t="str">
        <f t="shared" si="15"/>
        <v/>
      </c>
      <c r="Q160" s="25" t="str">
        <f t="shared" si="16"/>
        <v/>
      </c>
      <c r="R160" s="25" t="str">
        <f t="shared" si="17"/>
        <v/>
      </c>
      <c r="S160" s="25" t="str">
        <f t="shared" si="18"/>
        <v/>
      </c>
      <c r="T160" s="25" t="str">
        <f t="shared" si="19"/>
        <v/>
      </c>
      <c r="U160" s="25"/>
      <c r="V160" s="26" t="str">
        <f t="shared" si="20"/>
        <v/>
      </c>
      <c r="W160" t="str">
        <f t="shared" si="21"/>
        <v/>
      </c>
      <c r="X160" s="24" t="str">
        <f t="shared" si="22"/>
        <v/>
      </c>
      <c r="Y160" s="25" t="str">
        <f t="shared" si="23"/>
        <v/>
      </c>
      <c r="Z160" s="25" t="str">
        <f t="shared" si="24"/>
        <v/>
      </c>
      <c r="AA160" s="25" t="str">
        <f t="shared" si="25"/>
        <v/>
      </c>
      <c r="AB160" s="25" t="str">
        <f t="shared" si="26"/>
        <v/>
      </c>
      <c r="AC160" s="25" t="str">
        <f t="shared" si="27"/>
        <v/>
      </c>
      <c r="AD160" s="26" t="str">
        <f t="shared" si="28"/>
        <v/>
      </c>
      <c r="AE160" t="str">
        <f t="shared" si="29"/>
        <v/>
      </c>
      <c r="AF160" s="24" t="str">
        <f t="shared" si="30"/>
        <v/>
      </c>
      <c r="AG160" s="25" t="str">
        <f t="shared" si="31"/>
        <v/>
      </c>
      <c r="AH160" s="25" t="str">
        <f t="shared" si="32"/>
        <v/>
      </c>
      <c r="AI160" s="25" t="str">
        <f t="shared" si="33"/>
        <v/>
      </c>
      <c r="AJ160" s="25" t="str">
        <f t="shared" si="34"/>
        <v/>
      </c>
      <c r="AK160" s="25" t="str">
        <f t="shared" si="35"/>
        <v/>
      </c>
      <c r="AL160" s="26" t="str">
        <f t="shared" si="36"/>
        <v/>
      </c>
      <c r="AP160" t="str">
        <f t="shared" si="37"/>
        <v/>
      </c>
      <c r="AQ160" s="24" t="str">
        <f t="shared" si="38"/>
        <v/>
      </c>
      <c r="AR160" s="25" t="str">
        <f t="shared" si="39"/>
        <v/>
      </c>
      <c r="AS160" s="25" t="str">
        <f t="shared" si="40"/>
        <v/>
      </c>
      <c r="AT160" s="25" t="str">
        <f t="shared" si="41"/>
        <v/>
      </c>
      <c r="AU160" s="25" t="str">
        <f t="shared" si="42"/>
        <v/>
      </c>
      <c r="AV160" s="25" t="str">
        <f t="shared" si="43"/>
        <v/>
      </c>
      <c r="AW160" s="26" t="str">
        <f t="shared" si="44"/>
        <v/>
      </c>
    </row>
    <row r="161" spans="3:49" x14ac:dyDescent="0.25">
      <c r="C161">
        <v>5</v>
      </c>
      <c r="D161" t="str">
        <f t="shared" si="5"/>
        <v/>
      </c>
      <c r="E161" s="24" t="str">
        <f t="shared" si="6"/>
        <v/>
      </c>
      <c r="F161" s="25" t="str">
        <f t="shared" si="7"/>
        <v/>
      </c>
      <c r="G161" s="25" t="str">
        <f t="shared" si="8"/>
        <v/>
      </c>
      <c r="H161" s="25" t="str">
        <f t="shared" si="9"/>
        <v/>
      </c>
      <c r="I161" s="25" t="str">
        <f t="shared" si="10"/>
        <v/>
      </c>
      <c r="J161" s="25" t="str">
        <f t="shared" si="11"/>
        <v/>
      </c>
      <c r="K161" s="26" t="str">
        <f t="shared" si="12"/>
        <v/>
      </c>
      <c r="N161" t="str">
        <f t="shared" si="13"/>
        <v/>
      </c>
      <c r="O161" s="24" t="str">
        <f t="shared" si="14"/>
        <v/>
      </c>
      <c r="P161" s="25" t="str">
        <f t="shared" si="15"/>
        <v/>
      </c>
      <c r="Q161" s="25" t="str">
        <f t="shared" si="16"/>
        <v/>
      </c>
      <c r="R161" s="25" t="str">
        <f t="shared" si="17"/>
        <v/>
      </c>
      <c r="S161" s="25" t="str">
        <f t="shared" si="18"/>
        <v/>
      </c>
      <c r="T161" s="25" t="str">
        <f t="shared" si="19"/>
        <v/>
      </c>
      <c r="U161" s="25"/>
      <c r="V161" s="26" t="str">
        <f t="shared" si="20"/>
        <v/>
      </c>
      <c r="W161" t="str">
        <f t="shared" si="21"/>
        <v/>
      </c>
      <c r="X161" s="24" t="str">
        <f t="shared" si="22"/>
        <v/>
      </c>
      <c r="Y161" s="25" t="str">
        <f t="shared" si="23"/>
        <v/>
      </c>
      <c r="Z161" s="25" t="str">
        <f t="shared" si="24"/>
        <v/>
      </c>
      <c r="AA161" s="25" t="str">
        <f t="shared" si="25"/>
        <v/>
      </c>
      <c r="AB161" s="25" t="str">
        <f t="shared" si="26"/>
        <v/>
      </c>
      <c r="AC161" s="25" t="str">
        <f t="shared" si="27"/>
        <v/>
      </c>
      <c r="AD161" s="26" t="str">
        <f t="shared" si="28"/>
        <v/>
      </c>
      <c r="AE161" t="str">
        <f t="shared" si="29"/>
        <v/>
      </c>
      <c r="AF161" s="24" t="str">
        <f t="shared" si="30"/>
        <v/>
      </c>
      <c r="AG161" s="25" t="str">
        <f t="shared" si="31"/>
        <v/>
      </c>
      <c r="AH161" s="25" t="str">
        <f t="shared" si="32"/>
        <v/>
      </c>
      <c r="AI161" s="25" t="str">
        <f t="shared" si="33"/>
        <v/>
      </c>
      <c r="AJ161" s="25" t="str">
        <f t="shared" si="34"/>
        <v/>
      </c>
      <c r="AK161" s="25" t="str">
        <f t="shared" si="35"/>
        <v/>
      </c>
      <c r="AL161" s="26" t="str">
        <f t="shared" si="36"/>
        <v/>
      </c>
      <c r="AP161" t="str">
        <f t="shared" si="37"/>
        <v/>
      </c>
      <c r="AQ161" s="24" t="str">
        <f t="shared" si="38"/>
        <v/>
      </c>
      <c r="AR161" s="25" t="str">
        <f t="shared" si="39"/>
        <v/>
      </c>
      <c r="AS161" s="25" t="str">
        <f t="shared" si="40"/>
        <v/>
      </c>
      <c r="AT161" s="25" t="str">
        <f t="shared" si="41"/>
        <v/>
      </c>
      <c r="AU161" s="25" t="str">
        <f t="shared" si="42"/>
        <v/>
      </c>
      <c r="AV161" s="25" t="str">
        <f t="shared" si="43"/>
        <v/>
      </c>
      <c r="AW161" s="26" t="str">
        <f t="shared" si="44"/>
        <v/>
      </c>
    </row>
    <row r="162" spans="3:49" x14ac:dyDescent="0.25">
      <c r="C162">
        <v>6</v>
      </c>
      <c r="D162" t="str">
        <f t="shared" si="5"/>
        <v/>
      </c>
      <c r="E162" s="24" t="str">
        <f t="shared" si="6"/>
        <v/>
      </c>
      <c r="F162" s="25" t="str">
        <f t="shared" si="7"/>
        <v/>
      </c>
      <c r="G162" s="25" t="str">
        <f t="shared" si="8"/>
        <v/>
      </c>
      <c r="H162" s="25" t="str">
        <f t="shared" si="9"/>
        <v/>
      </c>
      <c r="I162" s="25" t="str">
        <f t="shared" si="10"/>
        <v/>
      </c>
      <c r="J162" s="25" t="str">
        <f t="shared" si="11"/>
        <v/>
      </c>
      <c r="K162" s="26" t="str">
        <f t="shared" si="12"/>
        <v/>
      </c>
      <c r="N162" t="str">
        <f t="shared" si="13"/>
        <v/>
      </c>
      <c r="O162" s="24" t="str">
        <f t="shared" si="14"/>
        <v/>
      </c>
      <c r="P162" s="25" t="str">
        <f t="shared" si="15"/>
        <v/>
      </c>
      <c r="Q162" s="25" t="str">
        <f t="shared" si="16"/>
        <v/>
      </c>
      <c r="R162" s="25" t="str">
        <f t="shared" si="17"/>
        <v/>
      </c>
      <c r="S162" s="25" t="str">
        <f t="shared" si="18"/>
        <v/>
      </c>
      <c r="T162" s="25" t="str">
        <f t="shared" si="19"/>
        <v/>
      </c>
      <c r="U162" s="25"/>
      <c r="V162" s="26" t="str">
        <f t="shared" si="20"/>
        <v/>
      </c>
      <c r="W162" t="str">
        <f t="shared" si="21"/>
        <v/>
      </c>
      <c r="X162" s="24" t="str">
        <f t="shared" si="22"/>
        <v/>
      </c>
      <c r="Y162" s="25" t="str">
        <f t="shared" si="23"/>
        <v/>
      </c>
      <c r="Z162" s="25" t="str">
        <f t="shared" si="24"/>
        <v/>
      </c>
      <c r="AA162" s="25" t="str">
        <f t="shared" si="25"/>
        <v/>
      </c>
      <c r="AB162" s="25" t="str">
        <f t="shared" si="26"/>
        <v/>
      </c>
      <c r="AC162" s="25" t="str">
        <f t="shared" si="27"/>
        <v/>
      </c>
      <c r="AD162" s="26" t="str">
        <f t="shared" si="28"/>
        <v/>
      </c>
      <c r="AE162" t="str">
        <f t="shared" si="29"/>
        <v/>
      </c>
      <c r="AF162" s="24" t="str">
        <f t="shared" si="30"/>
        <v/>
      </c>
      <c r="AG162" s="25" t="str">
        <f t="shared" si="31"/>
        <v/>
      </c>
      <c r="AH162" s="25" t="str">
        <f t="shared" si="32"/>
        <v/>
      </c>
      <c r="AI162" s="25" t="str">
        <f t="shared" si="33"/>
        <v/>
      </c>
      <c r="AJ162" s="25" t="str">
        <f t="shared" si="34"/>
        <v/>
      </c>
      <c r="AK162" s="25" t="str">
        <f t="shared" si="35"/>
        <v/>
      </c>
      <c r="AL162" s="26" t="str">
        <f t="shared" si="36"/>
        <v/>
      </c>
      <c r="AP162" t="str">
        <f t="shared" si="37"/>
        <v/>
      </c>
      <c r="AQ162" s="24" t="str">
        <f t="shared" si="38"/>
        <v/>
      </c>
      <c r="AR162" s="25" t="str">
        <f t="shared" si="39"/>
        <v/>
      </c>
      <c r="AS162" s="25" t="str">
        <f t="shared" si="40"/>
        <v/>
      </c>
      <c r="AT162" s="25" t="str">
        <f t="shared" si="41"/>
        <v/>
      </c>
      <c r="AU162" s="25" t="str">
        <f t="shared" si="42"/>
        <v/>
      </c>
      <c r="AV162" s="25" t="str">
        <f t="shared" si="43"/>
        <v/>
      </c>
      <c r="AW162" s="26" t="str">
        <f t="shared" si="44"/>
        <v/>
      </c>
    </row>
    <row r="163" spans="3:49" x14ac:dyDescent="0.25">
      <c r="C163">
        <v>7</v>
      </c>
      <c r="D163" t="str">
        <f t="shared" si="5"/>
        <v/>
      </c>
      <c r="E163" s="24" t="str">
        <f t="shared" si="6"/>
        <v/>
      </c>
      <c r="F163" s="25" t="str">
        <f t="shared" si="7"/>
        <v/>
      </c>
      <c r="G163" s="25" t="str">
        <f t="shared" si="8"/>
        <v/>
      </c>
      <c r="H163" s="25" t="str">
        <f t="shared" si="9"/>
        <v/>
      </c>
      <c r="I163" s="25" t="str">
        <f t="shared" si="10"/>
        <v/>
      </c>
      <c r="J163" s="25" t="str">
        <f t="shared" si="11"/>
        <v/>
      </c>
      <c r="K163" s="26" t="str">
        <f t="shared" si="12"/>
        <v/>
      </c>
      <c r="N163" t="str">
        <f t="shared" si="13"/>
        <v/>
      </c>
      <c r="O163" s="24" t="str">
        <f t="shared" si="14"/>
        <v/>
      </c>
      <c r="P163" s="25" t="str">
        <f t="shared" si="15"/>
        <v/>
      </c>
      <c r="Q163" s="25" t="str">
        <f t="shared" si="16"/>
        <v/>
      </c>
      <c r="R163" s="25" t="str">
        <f t="shared" si="17"/>
        <v/>
      </c>
      <c r="S163" s="25" t="str">
        <f t="shared" si="18"/>
        <v/>
      </c>
      <c r="T163" s="25" t="str">
        <f t="shared" si="19"/>
        <v/>
      </c>
      <c r="U163" s="25"/>
      <c r="V163" s="26" t="str">
        <f t="shared" si="20"/>
        <v/>
      </c>
      <c r="W163" t="str">
        <f t="shared" si="21"/>
        <v/>
      </c>
      <c r="X163" s="24" t="str">
        <f t="shared" si="22"/>
        <v/>
      </c>
      <c r="Y163" s="25" t="str">
        <f t="shared" si="23"/>
        <v/>
      </c>
      <c r="Z163" s="25" t="str">
        <f t="shared" si="24"/>
        <v/>
      </c>
      <c r="AA163" s="25" t="str">
        <f t="shared" si="25"/>
        <v/>
      </c>
      <c r="AB163" s="25" t="str">
        <f t="shared" si="26"/>
        <v/>
      </c>
      <c r="AC163" s="25" t="str">
        <f t="shared" si="27"/>
        <v/>
      </c>
      <c r="AD163" s="26" t="str">
        <f t="shared" si="28"/>
        <v/>
      </c>
      <c r="AE163" t="str">
        <f t="shared" si="29"/>
        <v/>
      </c>
      <c r="AF163" s="24" t="str">
        <f t="shared" si="30"/>
        <v/>
      </c>
      <c r="AG163" s="25" t="str">
        <f t="shared" si="31"/>
        <v/>
      </c>
      <c r="AH163" s="25" t="str">
        <f t="shared" si="32"/>
        <v/>
      </c>
      <c r="AI163" s="25" t="str">
        <f t="shared" si="33"/>
        <v/>
      </c>
      <c r="AJ163" s="25" t="str">
        <f t="shared" si="34"/>
        <v/>
      </c>
      <c r="AK163" s="25" t="str">
        <f t="shared" si="35"/>
        <v/>
      </c>
      <c r="AL163" s="26" t="str">
        <f t="shared" si="36"/>
        <v/>
      </c>
      <c r="AP163" t="str">
        <f t="shared" si="37"/>
        <v/>
      </c>
      <c r="AQ163" s="24" t="str">
        <f t="shared" si="38"/>
        <v/>
      </c>
      <c r="AR163" s="25" t="str">
        <f t="shared" si="39"/>
        <v/>
      </c>
      <c r="AS163" s="25" t="str">
        <f t="shared" si="40"/>
        <v/>
      </c>
      <c r="AT163" s="25" t="str">
        <f t="shared" si="41"/>
        <v/>
      </c>
      <c r="AU163" s="25" t="str">
        <f t="shared" si="42"/>
        <v/>
      </c>
      <c r="AV163" s="25" t="str">
        <f t="shared" si="43"/>
        <v/>
      </c>
      <c r="AW163" s="26" t="str">
        <f t="shared" si="44"/>
        <v/>
      </c>
    </row>
    <row r="164" spans="3:49" x14ac:dyDescent="0.25">
      <c r="C164">
        <v>8</v>
      </c>
      <c r="D164" t="str">
        <f t="shared" si="5"/>
        <v/>
      </c>
      <c r="E164" s="24" t="str">
        <f t="shared" si="6"/>
        <v/>
      </c>
      <c r="F164" s="25" t="str">
        <f t="shared" si="7"/>
        <v/>
      </c>
      <c r="G164" s="25" t="str">
        <f t="shared" si="8"/>
        <v/>
      </c>
      <c r="H164" s="25" t="str">
        <f t="shared" si="9"/>
        <v/>
      </c>
      <c r="I164" s="25" t="str">
        <f t="shared" si="10"/>
        <v/>
      </c>
      <c r="J164" s="25" t="str">
        <f t="shared" si="11"/>
        <v/>
      </c>
      <c r="K164" s="26" t="str">
        <f t="shared" si="12"/>
        <v/>
      </c>
      <c r="N164" t="str">
        <f t="shared" si="13"/>
        <v/>
      </c>
      <c r="O164" s="24" t="str">
        <f t="shared" si="14"/>
        <v/>
      </c>
      <c r="P164" s="25" t="str">
        <f t="shared" si="15"/>
        <v/>
      </c>
      <c r="Q164" s="25" t="str">
        <f t="shared" si="16"/>
        <v/>
      </c>
      <c r="R164" s="25" t="str">
        <f t="shared" si="17"/>
        <v/>
      </c>
      <c r="S164" s="25" t="str">
        <f t="shared" si="18"/>
        <v/>
      </c>
      <c r="T164" s="25" t="str">
        <f t="shared" si="19"/>
        <v/>
      </c>
      <c r="U164" s="25"/>
      <c r="V164" s="26" t="str">
        <f t="shared" si="20"/>
        <v/>
      </c>
      <c r="W164" t="str">
        <f t="shared" si="21"/>
        <v/>
      </c>
      <c r="X164" s="24" t="str">
        <f t="shared" si="22"/>
        <v/>
      </c>
      <c r="Y164" s="25" t="str">
        <f t="shared" si="23"/>
        <v/>
      </c>
      <c r="Z164" s="25" t="str">
        <f t="shared" si="24"/>
        <v/>
      </c>
      <c r="AA164" s="25" t="str">
        <f t="shared" si="25"/>
        <v/>
      </c>
      <c r="AB164" s="25" t="str">
        <f t="shared" si="26"/>
        <v/>
      </c>
      <c r="AC164" s="25" t="str">
        <f t="shared" si="27"/>
        <v/>
      </c>
      <c r="AD164" s="26" t="str">
        <f t="shared" si="28"/>
        <v/>
      </c>
      <c r="AE164" t="str">
        <f t="shared" si="29"/>
        <v/>
      </c>
      <c r="AF164" s="24" t="str">
        <f t="shared" si="30"/>
        <v/>
      </c>
      <c r="AG164" s="25" t="str">
        <f t="shared" si="31"/>
        <v/>
      </c>
      <c r="AH164" s="25" t="str">
        <f t="shared" si="32"/>
        <v/>
      </c>
      <c r="AI164" s="25" t="str">
        <f t="shared" si="33"/>
        <v/>
      </c>
      <c r="AJ164" s="25" t="str">
        <f t="shared" si="34"/>
        <v/>
      </c>
      <c r="AK164" s="25" t="str">
        <f t="shared" si="35"/>
        <v/>
      </c>
      <c r="AL164" s="26" t="str">
        <f t="shared" si="36"/>
        <v/>
      </c>
      <c r="AP164" t="str">
        <f t="shared" si="37"/>
        <v/>
      </c>
      <c r="AQ164" s="24" t="str">
        <f t="shared" si="38"/>
        <v/>
      </c>
      <c r="AR164" s="25" t="str">
        <f t="shared" si="39"/>
        <v/>
      </c>
      <c r="AS164" s="25" t="str">
        <f t="shared" si="40"/>
        <v/>
      </c>
      <c r="AT164" s="25" t="str">
        <f t="shared" si="41"/>
        <v/>
      </c>
      <c r="AU164" s="25" t="str">
        <f t="shared" si="42"/>
        <v/>
      </c>
      <c r="AV164" s="25" t="str">
        <f t="shared" si="43"/>
        <v/>
      </c>
      <c r="AW164" s="26" t="str">
        <f t="shared" si="44"/>
        <v/>
      </c>
    </row>
    <row r="165" spans="3:49" x14ac:dyDescent="0.25">
      <c r="C165">
        <v>9</v>
      </c>
      <c r="D165" t="str">
        <f t="shared" si="5"/>
        <v/>
      </c>
      <c r="E165" s="24" t="str">
        <f t="shared" si="6"/>
        <v/>
      </c>
      <c r="F165" s="25" t="str">
        <f t="shared" si="7"/>
        <v/>
      </c>
      <c r="G165" s="25" t="str">
        <f t="shared" si="8"/>
        <v/>
      </c>
      <c r="H165" s="25" t="str">
        <f t="shared" si="9"/>
        <v/>
      </c>
      <c r="I165" s="25" t="str">
        <f t="shared" si="10"/>
        <v/>
      </c>
      <c r="J165" s="25" t="str">
        <f t="shared" si="11"/>
        <v/>
      </c>
      <c r="K165" s="26" t="str">
        <f t="shared" si="12"/>
        <v/>
      </c>
      <c r="N165" t="str">
        <f t="shared" si="13"/>
        <v/>
      </c>
      <c r="O165" s="24" t="str">
        <f t="shared" si="14"/>
        <v/>
      </c>
      <c r="P165" s="25" t="str">
        <f t="shared" si="15"/>
        <v/>
      </c>
      <c r="Q165" s="25" t="str">
        <f t="shared" si="16"/>
        <v/>
      </c>
      <c r="R165" s="25" t="str">
        <f t="shared" si="17"/>
        <v/>
      </c>
      <c r="S165" s="25" t="str">
        <f t="shared" si="18"/>
        <v/>
      </c>
      <c r="T165" s="25" t="str">
        <f t="shared" si="19"/>
        <v/>
      </c>
      <c r="U165" s="25"/>
      <c r="V165" s="26" t="str">
        <f t="shared" si="20"/>
        <v/>
      </c>
      <c r="W165" t="str">
        <f t="shared" si="21"/>
        <v/>
      </c>
      <c r="X165" s="24" t="str">
        <f t="shared" si="22"/>
        <v/>
      </c>
      <c r="Y165" s="25" t="str">
        <f t="shared" si="23"/>
        <v/>
      </c>
      <c r="Z165" s="25" t="str">
        <f t="shared" si="24"/>
        <v/>
      </c>
      <c r="AA165" s="25" t="str">
        <f t="shared" si="25"/>
        <v/>
      </c>
      <c r="AB165" s="25" t="str">
        <f t="shared" si="26"/>
        <v/>
      </c>
      <c r="AC165" s="25" t="str">
        <f t="shared" si="27"/>
        <v/>
      </c>
      <c r="AD165" s="26" t="str">
        <f t="shared" si="28"/>
        <v/>
      </c>
      <c r="AE165" t="str">
        <f t="shared" si="29"/>
        <v/>
      </c>
      <c r="AF165" s="24" t="str">
        <f t="shared" si="30"/>
        <v/>
      </c>
      <c r="AG165" s="25" t="str">
        <f t="shared" si="31"/>
        <v/>
      </c>
      <c r="AH165" s="25" t="str">
        <f t="shared" si="32"/>
        <v/>
      </c>
      <c r="AI165" s="25" t="str">
        <f t="shared" si="33"/>
        <v/>
      </c>
      <c r="AJ165" s="25" t="str">
        <f t="shared" si="34"/>
        <v/>
      </c>
      <c r="AK165" s="25" t="str">
        <f t="shared" si="35"/>
        <v/>
      </c>
      <c r="AL165" s="26" t="str">
        <f t="shared" si="36"/>
        <v/>
      </c>
      <c r="AP165" t="str">
        <f t="shared" si="37"/>
        <v/>
      </c>
      <c r="AQ165" s="24" t="str">
        <f t="shared" si="38"/>
        <v/>
      </c>
      <c r="AR165" s="25" t="str">
        <f t="shared" si="39"/>
        <v/>
      </c>
      <c r="AS165" s="25" t="str">
        <f t="shared" si="40"/>
        <v/>
      </c>
      <c r="AT165" s="25" t="str">
        <f t="shared" si="41"/>
        <v/>
      </c>
      <c r="AU165" s="25" t="str">
        <f t="shared" si="42"/>
        <v/>
      </c>
      <c r="AV165" s="25" t="str">
        <f t="shared" si="43"/>
        <v/>
      </c>
      <c r="AW165" s="26" t="str">
        <f t="shared" si="44"/>
        <v/>
      </c>
    </row>
    <row r="166" spans="3:49" x14ac:dyDescent="0.25">
      <c r="C166">
        <v>10</v>
      </c>
      <c r="D166" t="str">
        <f t="shared" si="5"/>
        <v/>
      </c>
      <c r="E166" s="24" t="str">
        <f t="shared" si="6"/>
        <v/>
      </c>
      <c r="F166" s="25" t="str">
        <f t="shared" si="7"/>
        <v/>
      </c>
      <c r="G166" s="25" t="str">
        <f t="shared" si="8"/>
        <v/>
      </c>
      <c r="H166" s="25" t="str">
        <f t="shared" si="9"/>
        <v/>
      </c>
      <c r="I166" s="25" t="str">
        <f t="shared" si="10"/>
        <v/>
      </c>
      <c r="J166" s="25" t="str">
        <f t="shared" si="11"/>
        <v/>
      </c>
      <c r="K166" s="26" t="str">
        <f t="shared" si="12"/>
        <v/>
      </c>
      <c r="N166" t="str">
        <f t="shared" si="13"/>
        <v/>
      </c>
      <c r="O166" s="24" t="str">
        <f t="shared" si="14"/>
        <v/>
      </c>
      <c r="P166" s="25" t="str">
        <f t="shared" si="15"/>
        <v/>
      </c>
      <c r="Q166" s="25" t="str">
        <f t="shared" si="16"/>
        <v/>
      </c>
      <c r="R166" s="25" t="str">
        <f t="shared" si="17"/>
        <v/>
      </c>
      <c r="S166" s="25" t="str">
        <f t="shared" si="18"/>
        <v/>
      </c>
      <c r="T166" s="25" t="str">
        <f t="shared" si="19"/>
        <v/>
      </c>
      <c r="U166" s="25"/>
      <c r="V166" s="26" t="str">
        <f t="shared" si="20"/>
        <v/>
      </c>
      <c r="W166" t="str">
        <f t="shared" si="21"/>
        <v/>
      </c>
      <c r="X166" s="24" t="str">
        <f t="shared" si="22"/>
        <v/>
      </c>
      <c r="Y166" s="25" t="str">
        <f t="shared" si="23"/>
        <v/>
      </c>
      <c r="Z166" s="25" t="str">
        <f t="shared" si="24"/>
        <v/>
      </c>
      <c r="AA166" s="25" t="str">
        <f t="shared" si="25"/>
        <v/>
      </c>
      <c r="AB166" s="25" t="str">
        <f t="shared" si="26"/>
        <v/>
      </c>
      <c r="AC166" s="25" t="str">
        <f t="shared" si="27"/>
        <v/>
      </c>
      <c r="AD166" s="26" t="str">
        <f t="shared" si="28"/>
        <v/>
      </c>
      <c r="AE166" t="str">
        <f t="shared" si="29"/>
        <v/>
      </c>
      <c r="AF166" s="24" t="str">
        <f t="shared" si="30"/>
        <v/>
      </c>
      <c r="AG166" s="25" t="str">
        <f t="shared" si="31"/>
        <v/>
      </c>
      <c r="AH166" s="25" t="str">
        <f t="shared" si="32"/>
        <v/>
      </c>
      <c r="AI166" s="25" t="str">
        <f t="shared" si="33"/>
        <v/>
      </c>
      <c r="AJ166" s="25" t="str">
        <f t="shared" si="34"/>
        <v/>
      </c>
      <c r="AK166" s="25" t="str">
        <f t="shared" si="35"/>
        <v/>
      </c>
      <c r="AL166" s="26" t="str">
        <f t="shared" si="36"/>
        <v/>
      </c>
      <c r="AP166" t="str">
        <f t="shared" si="37"/>
        <v/>
      </c>
      <c r="AQ166" s="24" t="str">
        <f t="shared" si="38"/>
        <v/>
      </c>
      <c r="AR166" s="25" t="str">
        <f t="shared" si="39"/>
        <v/>
      </c>
      <c r="AS166" s="25" t="str">
        <f t="shared" si="40"/>
        <v/>
      </c>
      <c r="AT166" s="25" t="str">
        <f t="shared" si="41"/>
        <v/>
      </c>
      <c r="AU166" s="25" t="str">
        <f t="shared" si="42"/>
        <v/>
      </c>
      <c r="AV166" s="25" t="str">
        <f t="shared" si="43"/>
        <v/>
      </c>
      <c r="AW166" s="26" t="str">
        <f t="shared" si="44"/>
        <v/>
      </c>
    </row>
    <row r="167" spans="3:49" x14ac:dyDescent="0.25">
      <c r="C167">
        <v>11</v>
      </c>
      <c r="D167" t="str">
        <f t="shared" si="5"/>
        <v/>
      </c>
      <c r="E167" s="24" t="str">
        <f t="shared" si="6"/>
        <v/>
      </c>
      <c r="F167" s="25" t="str">
        <f t="shared" si="7"/>
        <v/>
      </c>
      <c r="G167" s="25" t="str">
        <f t="shared" si="8"/>
        <v/>
      </c>
      <c r="H167" s="25" t="str">
        <f t="shared" si="9"/>
        <v/>
      </c>
      <c r="I167" s="25" t="str">
        <f t="shared" si="10"/>
        <v/>
      </c>
      <c r="J167" s="25" t="str">
        <f t="shared" si="11"/>
        <v/>
      </c>
      <c r="K167" s="26" t="str">
        <f t="shared" si="12"/>
        <v/>
      </c>
      <c r="N167" t="str">
        <f t="shared" si="13"/>
        <v/>
      </c>
      <c r="O167" s="24" t="str">
        <f t="shared" si="14"/>
        <v/>
      </c>
      <c r="P167" s="25" t="str">
        <f t="shared" si="15"/>
        <v/>
      </c>
      <c r="Q167" s="25" t="str">
        <f t="shared" si="16"/>
        <v/>
      </c>
      <c r="R167" s="25" t="str">
        <f t="shared" si="17"/>
        <v/>
      </c>
      <c r="S167" s="25" t="str">
        <f t="shared" si="18"/>
        <v/>
      </c>
      <c r="T167" s="25" t="str">
        <f t="shared" si="19"/>
        <v/>
      </c>
      <c r="U167" s="25"/>
      <c r="V167" s="26" t="str">
        <f t="shared" si="20"/>
        <v/>
      </c>
      <c r="W167" t="str">
        <f t="shared" si="21"/>
        <v/>
      </c>
      <c r="X167" s="24" t="str">
        <f t="shared" si="22"/>
        <v/>
      </c>
      <c r="Y167" s="25" t="str">
        <f t="shared" si="23"/>
        <v/>
      </c>
      <c r="Z167" s="25" t="str">
        <f t="shared" si="24"/>
        <v/>
      </c>
      <c r="AA167" s="25" t="str">
        <f t="shared" si="25"/>
        <v/>
      </c>
      <c r="AB167" s="25" t="str">
        <f t="shared" si="26"/>
        <v/>
      </c>
      <c r="AC167" s="25" t="str">
        <f t="shared" si="27"/>
        <v/>
      </c>
      <c r="AD167" s="26" t="str">
        <f t="shared" si="28"/>
        <v/>
      </c>
      <c r="AE167" t="str">
        <f t="shared" si="29"/>
        <v/>
      </c>
      <c r="AF167" s="24" t="str">
        <f t="shared" si="30"/>
        <v/>
      </c>
      <c r="AG167" s="25" t="str">
        <f t="shared" si="31"/>
        <v/>
      </c>
      <c r="AH167" s="25" t="str">
        <f t="shared" si="32"/>
        <v/>
      </c>
      <c r="AI167" s="25" t="str">
        <f t="shared" si="33"/>
        <v/>
      </c>
      <c r="AJ167" s="25" t="str">
        <f t="shared" si="34"/>
        <v/>
      </c>
      <c r="AK167" s="25" t="str">
        <f t="shared" si="35"/>
        <v/>
      </c>
      <c r="AL167" s="26" t="str">
        <f t="shared" si="36"/>
        <v/>
      </c>
      <c r="AP167" t="str">
        <f t="shared" si="37"/>
        <v/>
      </c>
      <c r="AQ167" s="24" t="str">
        <f t="shared" si="38"/>
        <v/>
      </c>
      <c r="AR167" s="25" t="str">
        <f t="shared" si="39"/>
        <v/>
      </c>
      <c r="AS167" s="25" t="str">
        <f t="shared" si="40"/>
        <v/>
      </c>
      <c r="AT167" s="25" t="str">
        <f t="shared" si="41"/>
        <v/>
      </c>
      <c r="AU167" s="25" t="str">
        <f t="shared" si="42"/>
        <v/>
      </c>
      <c r="AV167" s="25" t="str">
        <f t="shared" si="43"/>
        <v/>
      </c>
      <c r="AW167" s="26" t="str">
        <f t="shared" si="44"/>
        <v/>
      </c>
    </row>
    <row r="168" spans="3:49" x14ac:dyDescent="0.25">
      <c r="C168">
        <v>12</v>
      </c>
      <c r="D168" t="str">
        <f t="shared" si="5"/>
        <v/>
      </c>
      <c r="E168" s="24" t="str">
        <f t="shared" si="6"/>
        <v/>
      </c>
      <c r="F168" s="25" t="str">
        <f t="shared" si="7"/>
        <v/>
      </c>
      <c r="G168" s="25" t="str">
        <f t="shared" si="8"/>
        <v/>
      </c>
      <c r="H168" s="25" t="str">
        <f t="shared" si="9"/>
        <v/>
      </c>
      <c r="I168" s="25" t="str">
        <f t="shared" si="10"/>
        <v/>
      </c>
      <c r="J168" s="25" t="str">
        <f t="shared" si="11"/>
        <v/>
      </c>
      <c r="K168" s="26" t="str">
        <f t="shared" si="12"/>
        <v/>
      </c>
      <c r="N168" t="str">
        <f t="shared" si="13"/>
        <v/>
      </c>
      <c r="O168" s="24" t="str">
        <f t="shared" si="14"/>
        <v/>
      </c>
      <c r="P168" s="25" t="str">
        <f t="shared" si="15"/>
        <v/>
      </c>
      <c r="Q168" s="25" t="str">
        <f t="shared" si="16"/>
        <v/>
      </c>
      <c r="R168" s="25" t="str">
        <f t="shared" si="17"/>
        <v/>
      </c>
      <c r="S168" s="25" t="str">
        <f t="shared" si="18"/>
        <v/>
      </c>
      <c r="T168" s="25" t="str">
        <f t="shared" si="19"/>
        <v/>
      </c>
      <c r="U168" s="25"/>
      <c r="V168" s="26" t="str">
        <f t="shared" si="20"/>
        <v/>
      </c>
      <c r="W168" t="str">
        <f t="shared" si="21"/>
        <v/>
      </c>
      <c r="X168" s="24" t="str">
        <f t="shared" si="22"/>
        <v/>
      </c>
      <c r="Y168" s="25" t="str">
        <f t="shared" si="23"/>
        <v/>
      </c>
      <c r="Z168" s="25" t="str">
        <f t="shared" si="24"/>
        <v/>
      </c>
      <c r="AA168" s="25" t="str">
        <f t="shared" si="25"/>
        <v/>
      </c>
      <c r="AB168" s="25" t="str">
        <f t="shared" si="26"/>
        <v/>
      </c>
      <c r="AC168" s="25" t="str">
        <f t="shared" si="27"/>
        <v/>
      </c>
      <c r="AD168" s="26" t="str">
        <f t="shared" si="28"/>
        <v/>
      </c>
      <c r="AE168" t="str">
        <f t="shared" si="29"/>
        <v/>
      </c>
      <c r="AF168" s="24" t="str">
        <f t="shared" si="30"/>
        <v/>
      </c>
      <c r="AG168" s="25" t="str">
        <f t="shared" si="31"/>
        <v/>
      </c>
      <c r="AH168" s="25" t="str">
        <f t="shared" si="32"/>
        <v/>
      </c>
      <c r="AI168" s="25" t="str">
        <f t="shared" si="33"/>
        <v/>
      </c>
      <c r="AJ168" s="25" t="str">
        <f t="shared" si="34"/>
        <v/>
      </c>
      <c r="AK168" s="25" t="str">
        <f t="shared" si="35"/>
        <v/>
      </c>
      <c r="AL168" s="26" t="str">
        <f t="shared" si="36"/>
        <v/>
      </c>
      <c r="AP168" t="str">
        <f t="shared" si="37"/>
        <v/>
      </c>
      <c r="AQ168" s="24" t="str">
        <f t="shared" si="38"/>
        <v/>
      </c>
      <c r="AR168" s="25" t="str">
        <f t="shared" si="39"/>
        <v/>
      </c>
      <c r="AS168" s="25" t="str">
        <f t="shared" si="40"/>
        <v/>
      </c>
      <c r="AT168" s="25" t="str">
        <f t="shared" si="41"/>
        <v/>
      </c>
      <c r="AU168" s="25" t="str">
        <f t="shared" si="42"/>
        <v/>
      </c>
      <c r="AV168" s="25" t="str">
        <f t="shared" si="43"/>
        <v/>
      </c>
      <c r="AW168" s="26" t="str">
        <f t="shared" si="44"/>
        <v/>
      </c>
    </row>
    <row r="169" spans="3:49" x14ac:dyDescent="0.25">
      <c r="C169">
        <v>13</v>
      </c>
      <c r="D169" t="str">
        <f t="shared" si="5"/>
        <v/>
      </c>
      <c r="E169" s="24" t="str">
        <f t="shared" si="6"/>
        <v/>
      </c>
      <c r="F169" s="25" t="str">
        <f t="shared" si="7"/>
        <v/>
      </c>
      <c r="G169" s="25" t="str">
        <f t="shared" si="8"/>
        <v/>
      </c>
      <c r="H169" s="25" t="str">
        <f t="shared" si="9"/>
        <v/>
      </c>
      <c r="I169" s="25" t="str">
        <f t="shared" si="10"/>
        <v/>
      </c>
      <c r="J169" s="25" t="str">
        <f t="shared" si="11"/>
        <v/>
      </c>
      <c r="K169" s="26" t="str">
        <f t="shared" si="12"/>
        <v/>
      </c>
      <c r="N169" t="str">
        <f t="shared" si="13"/>
        <v/>
      </c>
      <c r="O169" s="24" t="str">
        <f t="shared" si="14"/>
        <v/>
      </c>
      <c r="P169" s="25" t="str">
        <f t="shared" si="15"/>
        <v/>
      </c>
      <c r="Q169" s="25" t="str">
        <f t="shared" si="16"/>
        <v/>
      </c>
      <c r="R169" s="25" t="str">
        <f t="shared" si="17"/>
        <v/>
      </c>
      <c r="S169" s="25" t="str">
        <f t="shared" si="18"/>
        <v/>
      </c>
      <c r="T169" s="25" t="str">
        <f t="shared" si="19"/>
        <v/>
      </c>
      <c r="U169" s="25"/>
      <c r="V169" s="26" t="str">
        <f t="shared" si="20"/>
        <v/>
      </c>
      <c r="W169" t="str">
        <f t="shared" si="21"/>
        <v/>
      </c>
      <c r="X169" s="24" t="str">
        <f t="shared" si="22"/>
        <v/>
      </c>
      <c r="Y169" s="25" t="str">
        <f t="shared" si="23"/>
        <v/>
      </c>
      <c r="Z169" s="25" t="str">
        <f t="shared" si="24"/>
        <v/>
      </c>
      <c r="AA169" s="25" t="str">
        <f t="shared" si="25"/>
        <v/>
      </c>
      <c r="AB169" s="25" t="str">
        <f t="shared" si="26"/>
        <v/>
      </c>
      <c r="AC169" s="25" t="str">
        <f t="shared" si="27"/>
        <v/>
      </c>
      <c r="AD169" s="26" t="str">
        <f t="shared" si="28"/>
        <v/>
      </c>
      <c r="AE169" t="str">
        <f t="shared" si="29"/>
        <v/>
      </c>
      <c r="AF169" s="24" t="str">
        <f t="shared" si="30"/>
        <v/>
      </c>
      <c r="AG169" s="25" t="str">
        <f t="shared" si="31"/>
        <v/>
      </c>
      <c r="AH169" s="25" t="str">
        <f t="shared" si="32"/>
        <v/>
      </c>
      <c r="AI169" s="25" t="str">
        <f t="shared" si="33"/>
        <v/>
      </c>
      <c r="AJ169" s="25" t="str">
        <f t="shared" si="34"/>
        <v/>
      </c>
      <c r="AK169" s="25" t="str">
        <f t="shared" si="35"/>
        <v/>
      </c>
      <c r="AL169" s="26" t="str">
        <f t="shared" si="36"/>
        <v/>
      </c>
      <c r="AP169" t="str">
        <f t="shared" si="37"/>
        <v/>
      </c>
      <c r="AQ169" s="24" t="str">
        <f t="shared" si="38"/>
        <v/>
      </c>
      <c r="AR169" s="25" t="str">
        <f t="shared" si="39"/>
        <v/>
      </c>
      <c r="AS169" s="25" t="str">
        <f t="shared" si="40"/>
        <v/>
      </c>
      <c r="AT169" s="25" t="str">
        <f t="shared" si="41"/>
        <v/>
      </c>
      <c r="AU169" s="25" t="str">
        <f t="shared" si="42"/>
        <v/>
      </c>
      <c r="AV169" s="25" t="str">
        <f t="shared" si="43"/>
        <v/>
      </c>
      <c r="AW169" s="26" t="str">
        <f t="shared" si="44"/>
        <v/>
      </c>
    </row>
    <row r="170" spans="3:49" x14ac:dyDescent="0.25">
      <c r="C170">
        <v>14</v>
      </c>
      <c r="D170" t="str">
        <f t="shared" si="5"/>
        <v/>
      </c>
      <c r="E170" s="24" t="str">
        <f t="shared" si="6"/>
        <v/>
      </c>
      <c r="F170" s="25" t="str">
        <f t="shared" si="7"/>
        <v/>
      </c>
      <c r="G170" s="25" t="str">
        <f t="shared" si="8"/>
        <v/>
      </c>
      <c r="H170" s="25" t="str">
        <f t="shared" si="9"/>
        <v/>
      </c>
      <c r="I170" s="25" t="str">
        <f t="shared" si="10"/>
        <v/>
      </c>
      <c r="J170" s="25" t="str">
        <f t="shared" si="11"/>
        <v/>
      </c>
      <c r="K170" s="26" t="str">
        <f t="shared" si="12"/>
        <v/>
      </c>
      <c r="N170" t="str">
        <f t="shared" si="13"/>
        <v/>
      </c>
      <c r="O170" s="24" t="str">
        <f t="shared" si="14"/>
        <v/>
      </c>
      <c r="P170" s="25" t="str">
        <f t="shared" si="15"/>
        <v/>
      </c>
      <c r="Q170" s="25" t="str">
        <f t="shared" si="16"/>
        <v/>
      </c>
      <c r="R170" s="25" t="str">
        <f t="shared" si="17"/>
        <v/>
      </c>
      <c r="S170" s="25" t="str">
        <f t="shared" si="18"/>
        <v/>
      </c>
      <c r="T170" s="25" t="str">
        <f t="shared" si="19"/>
        <v/>
      </c>
      <c r="U170" s="25"/>
      <c r="V170" s="26" t="str">
        <f t="shared" si="20"/>
        <v/>
      </c>
      <c r="W170" t="str">
        <f t="shared" si="21"/>
        <v/>
      </c>
      <c r="X170" s="24" t="str">
        <f t="shared" si="22"/>
        <v/>
      </c>
      <c r="Y170" s="25" t="str">
        <f t="shared" si="23"/>
        <v/>
      </c>
      <c r="Z170" s="25" t="str">
        <f t="shared" si="24"/>
        <v/>
      </c>
      <c r="AA170" s="25" t="str">
        <f t="shared" si="25"/>
        <v/>
      </c>
      <c r="AB170" s="25" t="str">
        <f t="shared" si="26"/>
        <v/>
      </c>
      <c r="AC170" s="25" t="str">
        <f t="shared" si="27"/>
        <v/>
      </c>
      <c r="AD170" s="26" t="str">
        <f t="shared" si="28"/>
        <v/>
      </c>
      <c r="AE170" t="str">
        <f t="shared" si="29"/>
        <v/>
      </c>
      <c r="AF170" s="24" t="str">
        <f t="shared" si="30"/>
        <v/>
      </c>
      <c r="AG170" s="25" t="str">
        <f t="shared" si="31"/>
        <v/>
      </c>
      <c r="AH170" s="25" t="str">
        <f t="shared" si="32"/>
        <v/>
      </c>
      <c r="AI170" s="25" t="str">
        <f t="shared" si="33"/>
        <v/>
      </c>
      <c r="AJ170" s="25" t="str">
        <f t="shared" si="34"/>
        <v/>
      </c>
      <c r="AK170" s="25" t="str">
        <f t="shared" si="35"/>
        <v/>
      </c>
      <c r="AL170" s="26" t="str">
        <f t="shared" si="36"/>
        <v/>
      </c>
      <c r="AP170" t="str">
        <f t="shared" si="37"/>
        <v/>
      </c>
      <c r="AQ170" s="24" t="str">
        <f t="shared" si="38"/>
        <v/>
      </c>
      <c r="AR170" s="25" t="str">
        <f t="shared" si="39"/>
        <v/>
      </c>
      <c r="AS170" s="25" t="str">
        <f t="shared" si="40"/>
        <v/>
      </c>
      <c r="AT170" s="25" t="str">
        <f t="shared" si="41"/>
        <v/>
      </c>
      <c r="AU170" s="25" t="str">
        <f t="shared" si="42"/>
        <v/>
      </c>
      <c r="AV170" s="25" t="str">
        <f t="shared" si="43"/>
        <v/>
      </c>
      <c r="AW170" s="26" t="str">
        <f t="shared" si="44"/>
        <v/>
      </c>
    </row>
    <row r="171" spans="3:49" x14ac:dyDescent="0.25">
      <c r="C171">
        <v>15</v>
      </c>
      <c r="D171" t="str">
        <f t="shared" si="5"/>
        <v/>
      </c>
      <c r="E171" s="24" t="str">
        <f t="shared" si="6"/>
        <v/>
      </c>
      <c r="F171" s="25" t="str">
        <f t="shared" si="7"/>
        <v/>
      </c>
      <c r="G171" s="25" t="str">
        <f t="shared" si="8"/>
        <v/>
      </c>
      <c r="H171" s="25" t="str">
        <f t="shared" si="9"/>
        <v/>
      </c>
      <c r="I171" s="25" t="str">
        <f t="shared" si="10"/>
        <v/>
      </c>
      <c r="J171" s="25" t="str">
        <f t="shared" si="11"/>
        <v/>
      </c>
      <c r="K171" s="26" t="str">
        <f t="shared" si="12"/>
        <v/>
      </c>
      <c r="N171" t="str">
        <f t="shared" si="13"/>
        <v/>
      </c>
      <c r="O171" s="24" t="str">
        <f t="shared" si="14"/>
        <v/>
      </c>
      <c r="P171" s="25" t="str">
        <f t="shared" si="15"/>
        <v/>
      </c>
      <c r="Q171" s="25" t="str">
        <f t="shared" si="16"/>
        <v/>
      </c>
      <c r="R171" s="25" t="str">
        <f t="shared" si="17"/>
        <v/>
      </c>
      <c r="S171" s="25" t="str">
        <f t="shared" si="18"/>
        <v/>
      </c>
      <c r="T171" s="25" t="str">
        <f t="shared" si="19"/>
        <v/>
      </c>
      <c r="U171" s="25"/>
      <c r="V171" s="26" t="str">
        <f t="shared" si="20"/>
        <v/>
      </c>
      <c r="W171" t="str">
        <f t="shared" si="21"/>
        <v/>
      </c>
      <c r="X171" s="24" t="str">
        <f t="shared" si="22"/>
        <v/>
      </c>
      <c r="Y171" s="25" t="str">
        <f t="shared" si="23"/>
        <v/>
      </c>
      <c r="Z171" s="25" t="str">
        <f t="shared" si="24"/>
        <v/>
      </c>
      <c r="AA171" s="25" t="str">
        <f t="shared" si="25"/>
        <v/>
      </c>
      <c r="AB171" s="25" t="str">
        <f t="shared" si="26"/>
        <v/>
      </c>
      <c r="AC171" s="25" t="str">
        <f t="shared" si="27"/>
        <v/>
      </c>
      <c r="AD171" s="26" t="str">
        <f t="shared" si="28"/>
        <v/>
      </c>
      <c r="AE171" t="str">
        <f t="shared" si="29"/>
        <v/>
      </c>
      <c r="AF171" s="24" t="str">
        <f t="shared" si="30"/>
        <v/>
      </c>
      <c r="AG171" s="25" t="str">
        <f t="shared" si="31"/>
        <v/>
      </c>
      <c r="AH171" s="25" t="str">
        <f t="shared" si="32"/>
        <v/>
      </c>
      <c r="AI171" s="25" t="str">
        <f t="shared" si="33"/>
        <v/>
      </c>
      <c r="AJ171" s="25" t="str">
        <f t="shared" si="34"/>
        <v/>
      </c>
      <c r="AK171" s="25" t="str">
        <f t="shared" si="35"/>
        <v/>
      </c>
      <c r="AL171" s="26" t="str">
        <f t="shared" si="36"/>
        <v/>
      </c>
      <c r="AP171" t="str">
        <f t="shared" si="37"/>
        <v/>
      </c>
      <c r="AQ171" s="24" t="str">
        <f t="shared" si="38"/>
        <v/>
      </c>
      <c r="AR171" s="25" t="str">
        <f t="shared" si="39"/>
        <v/>
      </c>
      <c r="AS171" s="25" t="str">
        <f t="shared" si="40"/>
        <v/>
      </c>
      <c r="AT171" s="25" t="str">
        <f t="shared" si="41"/>
        <v/>
      </c>
      <c r="AU171" s="25" t="str">
        <f t="shared" si="42"/>
        <v/>
      </c>
      <c r="AV171" s="25" t="str">
        <f t="shared" si="43"/>
        <v/>
      </c>
      <c r="AW171" s="26" t="str">
        <f t="shared" si="44"/>
        <v/>
      </c>
    </row>
    <row r="172" spans="3:49" x14ac:dyDescent="0.25">
      <c r="C172">
        <v>16</v>
      </c>
      <c r="D172" t="str">
        <f t="shared" si="5"/>
        <v/>
      </c>
      <c r="E172" s="24" t="str">
        <f t="shared" si="6"/>
        <v/>
      </c>
      <c r="F172" s="25" t="str">
        <f t="shared" si="7"/>
        <v/>
      </c>
      <c r="G172" s="25" t="str">
        <f t="shared" si="8"/>
        <v/>
      </c>
      <c r="H172" s="25" t="str">
        <f t="shared" si="9"/>
        <v/>
      </c>
      <c r="I172" s="25" t="str">
        <f t="shared" si="10"/>
        <v/>
      </c>
      <c r="J172" s="25" t="str">
        <f t="shared" si="11"/>
        <v/>
      </c>
      <c r="K172" s="26" t="str">
        <f t="shared" si="12"/>
        <v/>
      </c>
      <c r="N172" t="str">
        <f t="shared" si="13"/>
        <v/>
      </c>
      <c r="O172" s="24" t="str">
        <f t="shared" si="14"/>
        <v/>
      </c>
      <c r="P172" s="25" t="str">
        <f t="shared" si="15"/>
        <v/>
      </c>
      <c r="Q172" s="25" t="str">
        <f t="shared" si="16"/>
        <v/>
      </c>
      <c r="R172" s="25" t="str">
        <f t="shared" si="17"/>
        <v/>
      </c>
      <c r="S172" s="25" t="str">
        <f t="shared" si="18"/>
        <v/>
      </c>
      <c r="T172" s="25" t="str">
        <f t="shared" si="19"/>
        <v/>
      </c>
      <c r="U172" s="25"/>
      <c r="V172" s="26" t="str">
        <f t="shared" si="20"/>
        <v/>
      </c>
      <c r="W172" t="str">
        <f t="shared" si="21"/>
        <v/>
      </c>
      <c r="X172" s="24" t="str">
        <f t="shared" si="22"/>
        <v/>
      </c>
      <c r="Y172" s="25" t="str">
        <f t="shared" si="23"/>
        <v/>
      </c>
      <c r="Z172" s="25" t="str">
        <f t="shared" si="24"/>
        <v/>
      </c>
      <c r="AA172" s="25" t="str">
        <f t="shared" si="25"/>
        <v/>
      </c>
      <c r="AB172" s="25" t="str">
        <f t="shared" si="26"/>
        <v/>
      </c>
      <c r="AC172" s="25" t="str">
        <f t="shared" si="27"/>
        <v/>
      </c>
      <c r="AD172" s="26" t="str">
        <f t="shared" si="28"/>
        <v/>
      </c>
      <c r="AE172" t="str">
        <f t="shared" si="29"/>
        <v/>
      </c>
      <c r="AF172" s="24" t="str">
        <f t="shared" si="30"/>
        <v/>
      </c>
      <c r="AG172" s="25" t="str">
        <f t="shared" si="31"/>
        <v/>
      </c>
      <c r="AH172" s="25" t="str">
        <f t="shared" si="32"/>
        <v/>
      </c>
      <c r="AI172" s="25" t="str">
        <f t="shared" si="33"/>
        <v/>
      </c>
      <c r="AJ172" s="25" t="str">
        <f t="shared" si="34"/>
        <v/>
      </c>
      <c r="AK172" s="25" t="str">
        <f t="shared" si="35"/>
        <v/>
      </c>
      <c r="AL172" s="26" t="str">
        <f t="shared" si="36"/>
        <v/>
      </c>
      <c r="AP172" t="str">
        <f t="shared" si="37"/>
        <v/>
      </c>
      <c r="AQ172" s="24" t="str">
        <f t="shared" si="38"/>
        <v/>
      </c>
      <c r="AR172" s="25" t="str">
        <f t="shared" si="39"/>
        <v/>
      </c>
      <c r="AS172" s="25" t="str">
        <f t="shared" si="40"/>
        <v/>
      </c>
      <c r="AT172" s="25" t="str">
        <f t="shared" si="41"/>
        <v/>
      </c>
      <c r="AU172" s="25" t="str">
        <f t="shared" si="42"/>
        <v/>
      </c>
      <c r="AV172" s="25" t="str">
        <f t="shared" si="43"/>
        <v/>
      </c>
      <c r="AW172" s="26" t="str">
        <f t="shared" si="44"/>
        <v/>
      </c>
    </row>
    <row r="173" spans="3:49" x14ac:dyDescent="0.25">
      <c r="C173">
        <v>17</v>
      </c>
      <c r="D173" t="str">
        <f t="shared" si="5"/>
        <v/>
      </c>
      <c r="E173" s="24" t="str">
        <f t="shared" si="6"/>
        <v/>
      </c>
      <c r="F173" s="25" t="str">
        <f t="shared" si="7"/>
        <v/>
      </c>
      <c r="G173" s="25" t="str">
        <f t="shared" si="8"/>
        <v/>
      </c>
      <c r="H173" s="25" t="str">
        <f t="shared" si="9"/>
        <v/>
      </c>
      <c r="I173" s="25" t="str">
        <f t="shared" si="10"/>
        <v/>
      </c>
      <c r="J173" s="25" t="str">
        <f t="shared" si="11"/>
        <v/>
      </c>
      <c r="K173" s="26" t="str">
        <f t="shared" si="12"/>
        <v/>
      </c>
      <c r="N173" t="str">
        <f t="shared" si="13"/>
        <v/>
      </c>
      <c r="O173" s="24" t="str">
        <f t="shared" si="14"/>
        <v/>
      </c>
      <c r="P173" s="25" t="str">
        <f t="shared" si="15"/>
        <v/>
      </c>
      <c r="Q173" s="25" t="str">
        <f t="shared" si="16"/>
        <v/>
      </c>
      <c r="R173" s="25" t="str">
        <f t="shared" si="17"/>
        <v/>
      </c>
      <c r="S173" s="25" t="str">
        <f t="shared" si="18"/>
        <v/>
      </c>
      <c r="T173" s="25" t="str">
        <f t="shared" si="19"/>
        <v/>
      </c>
      <c r="U173" s="25"/>
      <c r="V173" s="26" t="str">
        <f t="shared" si="20"/>
        <v/>
      </c>
      <c r="W173" t="str">
        <f t="shared" si="21"/>
        <v/>
      </c>
      <c r="X173" s="24" t="str">
        <f t="shared" si="22"/>
        <v/>
      </c>
      <c r="Y173" s="25" t="str">
        <f t="shared" si="23"/>
        <v/>
      </c>
      <c r="Z173" s="25" t="str">
        <f t="shared" si="24"/>
        <v/>
      </c>
      <c r="AA173" s="25" t="str">
        <f t="shared" si="25"/>
        <v/>
      </c>
      <c r="AB173" s="25" t="str">
        <f t="shared" si="26"/>
        <v/>
      </c>
      <c r="AC173" s="25" t="str">
        <f t="shared" si="27"/>
        <v/>
      </c>
      <c r="AD173" s="26" t="str">
        <f t="shared" si="28"/>
        <v/>
      </c>
      <c r="AE173" t="str">
        <f t="shared" si="29"/>
        <v/>
      </c>
      <c r="AF173" s="24" t="str">
        <f t="shared" si="30"/>
        <v/>
      </c>
      <c r="AG173" s="25" t="str">
        <f t="shared" si="31"/>
        <v/>
      </c>
      <c r="AH173" s="25" t="str">
        <f t="shared" si="32"/>
        <v/>
      </c>
      <c r="AI173" s="25" t="str">
        <f t="shared" si="33"/>
        <v/>
      </c>
      <c r="AJ173" s="25" t="str">
        <f t="shared" si="34"/>
        <v/>
      </c>
      <c r="AK173" s="25" t="str">
        <f t="shared" si="35"/>
        <v/>
      </c>
      <c r="AL173" s="26" t="str">
        <f t="shared" si="36"/>
        <v/>
      </c>
      <c r="AP173" t="str">
        <f t="shared" si="37"/>
        <v/>
      </c>
      <c r="AQ173" s="24" t="str">
        <f t="shared" si="38"/>
        <v/>
      </c>
      <c r="AR173" s="25" t="str">
        <f t="shared" si="39"/>
        <v/>
      </c>
      <c r="AS173" s="25" t="str">
        <f t="shared" si="40"/>
        <v/>
      </c>
      <c r="AT173" s="25" t="str">
        <f t="shared" si="41"/>
        <v/>
      </c>
      <c r="AU173" s="25" t="str">
        <f t="shared" si="42"/>
        <v/>
      </c>
      <c r="AV173" s="25" t="str">
        <f t="shared" si="43"/>
        <v/>
      </c>
      <c r="AW173" s="26" t="str">
        <f t="shared" si="44"/>
        <v/>
      </c>
    </row>
    <row r="174" spans="3:49" x14ac:dyDescent="0.25">
      <c r="C174">
        <v>18</v>
      </c>
      <c r="D174" t="str">
        <f t="shared" si="5"/>
        <v/>
      </c>
      <c r="E174" s="24" t="str">
        <f t="shared" si="6"/>
        <v/>
      </c>
      <c r="F174" s="25" t="str">
        <f t="shared" si="7"/>
        <v/>
      </c>
      <c r="G174" s="25" t="str">
        <f t="shared" si="8"/>
        <v/>
      </c>
      <c r="H174" s="25" t="str">
        <f t="shared" si="9"/>
        <v/>
      </c>
      <c r="I174" s="25" t="str">
        <f t="shared" si="10"/>
        <v/>
      </c>
      <c r="J174" s="25" t="str">
        <f t="shared" si="11"/>
        <v/>
      </c>
      <c r="K174" s="26" t="str">
        <f t="shared" si="12"/>
        <v/>
      </c>
      <c r="N174" t="str">
        <f t="shared" si="13"/>
        <v/>
      </c>
      <c r="O174" s="24" t="str">
        <f t="shared" si="14"/>
        <v/>
      </c>
      <c r="P174" s="25" t="str">
        <f t="shared" si="15"/>
        <v/>
      </c>
      <c r="Q174" s="25" t="str">
        <f t="shared" si="16"/>
        <v/>
      </c>
      <c r="R174" s="25" t="str">
        <f t="shared" si="17"/>
        <v/>
      </c>
      <c r="S174" s="25" t="str">
        <f t="shared" si="18"/>
        <v/>
      </c>
      <c r="T174" s="25" t="str">
        <f t="shared" si="19"/>
        <v/>
      </c>
      <c r="U174" s="25"/>
      <c r="V174" s="26" t="str">
        <f t="shared" si="20"/>
        <v/>
      </c>
      <c r="W174" t="str">
        <f t="shared" si="21"/>
        <v/>
      </c>
      <c r="X174" s="24" t="str">
        <f t="shared" si="22"/>
        <v/>
      </c>
      <c r="Y174" s="25" t="str">
        <f t="shared" si="23"/>
        <v/>
      </c>
      <c r="Z174" s="25" t="str">
        <f t="shared" si="24"/>
        <v/>
      </c>
      <c r="AA174" s="25" t="str">
        <f t="shared" si="25"/>
        <v/>
      </c>
      <c r="AB174" s="25" t="str">
        <f t="shared" si="26"/>
        <v/>
      </c>
      <c r="AC174" s="25" t="str">
        <f t="shared" si="27"/>
        <v/>
      </c>
      <c r="AD174" s="26" t="str">
        <f t="shared" si="28"/>
        <v/>
      </c>
      <c r="AE174" t="str">
        <f t="shared" si="29"/>
        <v/>
      </c>
      <c r="AF174" s="24" t="str">
        <f t="shared" si="30"/>
        <v/>
      </c>
      <c r="AG174" s="25" t="str">
        <f t="shared" si="31"/>
        <v/>
      </c>
      <c r="AH174" s="25" t="str">
        <f t="shared" si="32"/>
        <v/>
      </c>
      <c r="AI174" s="25" t="str">
        <f t="shared" si="33"/>
        <v/>
      </c>
      <c r="AJ174" s="25" t="str">
        <f t="shared" si="34"/>
        <v/>
      </c>
      <c r="AK174" s="25" t="str">
        <f t="shared" si="35"/>
        <v/>
      </c>
      <c r="AL174" s="26" t="str">
        <f t="shared" si="36"/>
        <v/>
      </c>
      <c r="AP174" t="str">
        <f t="shared" si="37"/>
        <v/>
      </c>
      <c r="AQ174" s="24" t="str">
        <f t="shared" si="38"/>
        <v/>
      </c>
      <c r="AR174" s="25" t="str">
        <f t="shared" si="39"/>
        <v/>
      </c>
      <c r="AS174" s="25" t="str">
        <f t="shared" si="40"/>
        <v/>
      </c>
      <c r="AT174" s="25" t="str">
        <f t="shared" si="41"/>
        <v/>
      </c>
      <c r="AU174" s="25" t="str">
        <f t="shared" si="42"/>
        <v/>
      </c>
      <c r="AV174" s="25" t="str">
        <f t="shared" si="43"/>
        <v/>
      </c>
      <c r="AW174" s="26" t="str">
        <f t="shared" si="44"/>
        <v/>
      </c>
    </row>
    <row r="175" spans="3:49" x14ac:dyDescent="0.25">
      <c r="C175">
        <v>19</v>
      </c>
      <c r="D175" t="str">
        <f t="shared" si="5"/>
        <v/>
      </c>
      <c r="E175" s="24" t="str">
        <f t="shared" si="6"/>
        <v/>
      </c>
      <c r="F175" s="25" t="str">
        <f t="shared" si="7"/>
        <v/>
      </c>
      <c r="G175" s="25" t="str">
        <f t="shared" si="8"/>
        <v/>
      </c>
      <c r="H175" s="25" t="str">
        <f t="shared" si="9"/>
        <v/>
      </c>
      <c r="I175" s="25" t="str">
        <f t="shared" si="10"/>
        <v/>
      </c>
      <c r="J175" s="25" t="str">
        <f t="shared" si="11"/>
        <v/>
      </c>
      <c r="K175" s="26" t="str">
        <f t="shared" si="12"/>
        <v/>
      </c>
      <c r="N175" t="str">
        <f t="shared" si="13"/>
        <v/>
      </c>
      <c r="O175" s="24" t="str">
        <f t="shared" si="14"/>
        <v/>
      </c>
      <c r="P175" s="25" t="str">
        <f t="shared" si="15"/>
        <v/>
      </c>
      <c r="Q175" s="25" t="str">
        <f t="shared" si="16"/>
        <v/>
      </c>
      <c r="R175" s="25" t="str">
        <f t="shared" si="17"/>
        <v/>
      </c>
      <c r="S175" s="25" t="str">
        <f t="shared" si="18"/>
        <v/>
      </c>
      <c r="T175" s="25" t="str">
        <f t="shared" si="19"/>
        <v/>
      </c>
      <c r="U175" s="25"/>
      <c r="V175" s="26" t="str">
        <f t="shared" si="20"/>
        <v/>
      </c>
      <c r="W175" t="str">
        <f t="shared" si="21"/>
        <v/>
      </c>
      <c r="X175" s="24" t="str">
        <f t="shared" si="22"/>
        <v/>
      </c>
      <c r="Y175" s="25" t="str">
        <f t="shared" si="23"/>
        <v/>
      </c>
      <c r="Z175" s="25" t="str">
        <f t="shared" si="24"/>
        <v/>
      </c>
      <c r="AA175" s="25" t="str">
        <f t="shared" si="25"/>
        <v/>
      </c>
      <c r="AB175" s="25" t="str">
        <f t="shared" si="26"/>
        <v/>
      </c>
      <c r="AC175" s="25" t="str">
        <f t="shared" si="27"/>
        <v/>
      </c>
      <c r="AD175" s="26" t="str">
        <f t="shared" si="28"/>
        <v/>
      </c>
      <c r="AE175" t="str">
        <f t="shared" si="29"/>
        <v/>
      </c>
      <c r="AF175" s="24" t="str">
        <f t="shared" si="30"/>
        <v/>
      </c>
      <c r="AG175" s="25" t="str">
        <f t="shared" si="31"/>
        <v/>
      </c>
      <c r="AH175" s="25" t="str">
        <f t="shared" si="32"/>
        <v/>
      </c>
      <c r="AI175" s="25" t="str">
        <f t="shared" si="33"/>
        <v/>
      </c>
      <c r="AJ175" s="25" t="str">
        <f t="shared" si="34"/>
        <v/>
      </c>
      <c r="AK175" s="25" t="str">
        <f t="shared" si="35"/>
        <v/>
      </c>
      <c r="AL175" s="26" t="str">
        <f t="shared" si="36"/>
        <v/>
      </c>
      <c r="AP175" t="str">
        <f t="shared" si="37"/>
        <v/>
      </c>
      <c r="AQ175" s="24" t="str">
        <f t="shared" si="38"/>
        <v/>
      </c>
      <c r="AR175" s="25" t="str">
        <f t="shared" si="39"/>
        <v/>
      </c>
      <c r="AS175" s="25" t="str">
        <f t="shared" si="40"/>
        <v/>
      </c>
      <c r="AT175" s="25" t="str">
        <f t="shared" si="41"/>
        <v/>
      </c>
      <c r="AU175" s="25" t="str">
        <f t="shared" si="42"/>
        <v/>
      </c>
      <c r="AV175" s="25" t="str">
        <f t="shared" si="43"/>
        <v/>
      </c>
      <c r="AW175" s="26" t="str">
        <f t="shared" si="44"/>
        <v/>
      </c>
    </row>
    <row r="176" spans="3:49" x14ac:dyDescent="0.25">
      <c r="C176">
        <v>20</v>
      </c>
      <c r="D176" t="str">
        <f t="shared" si="5"/>
        <v/>
      </c>
      <c r="E176" s="24" t="str">
        <f t="shared" si="6"/>
        <v/>
      </c>
      <c r="F176" s="25" t="str">
        <f t="shared" si="7"/>
        <v/>
      </c>
      <c r="G176" s="25" t="str">
        <f t="shared" si="8"/>
        <v/>
      </c>
      <c r="H176" s="25" t="str">
        <f t="shared" si="9"/>
        <v/>
      </c>
      <c r="I176" s="25" t="str">
        <f t="shared" si="10"/>
        <v/>
      </c>
      <c r="J176" s="25" t="str">
        <f t="shared" si="11"/>
        <v/>
      </c>
      <c r="K176" s="26" t="str">
        <f t="shared" si="12"/>
        <v/>
      </c>
      <c r="N176" t="str">
        <f t="shared" si="13"/>
        <v/>
      </c>
      <c r="O176" s="24" t="str">
        <f t="shared" si="14"/>
        <v/>
      </c>
      <c r="P176" s="25" t="str">
        <f t="shared" si="15"/>
        <v/>
      </c>
      <c r="Q176" s="25" t="str">
        <f t="shared" si="16"/>
        <v/>
      </c>
      <c r="R176" s="25" t="str">
        <f t="shared" si="17"/>
        <v/>
      </c>
      <c r="S176" s="25" t="str">
        <f t="shared" si="18"/>
        <v/>
      </c>
      <c r="T176" s="25" t="str">
        <f t="shared" si="19"/>
        <v/>
      </c>
      <c r="U176" s="25"/>
      <c r="V176" s="26" t="str">
        <f t="shared" si="20"/>
        <v/>
      </c>
      <c r="W176" t="str">
        <f t="shared" si="21"/>
        <v/>
      </c>
      <c r="X176" s="24" t="str">
        <f t="shared" si="22"/>
        <v/>
      </c>
      <c r="Y176" s="25" t="str">
        <f t="shared" si="23"/>
        <v/>
      </c>
      <c r="Z176" s="25" t="str">
        <f t="shared" si="24"/>
        <v/>
      </c>
      <c r="AA176" s="25" t="str">
        <f t="shared" si="25"/>
        <v/>
      </c>
      <c r="AB176" s="25" t="str">
        <f t="shared" si="26"/>
        <v/>
      </c>
      <c r="AC176" s="25" t="str">
        <f t="shared" si="27"/>
        <v/>
      </c>
      <c r="AD176" s="26" t="str">
        <f t="shared" si="28"/>
        <v/>
      </c>
      <c r="AE176" t="str">
        <f t="shared" si="29"/>
        <v/>
      </c>
      <c r="AF176" s="24" t="str">
        <f t="shared" si="30"/>
        <v/>
      </c>
      <c r="AG176" s="25" t="str">
        <f t="shared" si="31"/>
        <v/>
      </c>
      <c r="AH176" s="25" t="str">
        <f t="shared" si="32"/>
        <v/>
      </c>
      <c r="AI176" s="25" t="str">
        <f t="shared" si="33"/>
        <v/>
      </c>
      <c r="AJ176" s="25" t="str">
        <f t="shared" si="34"/>
        <v/>
      </c>
      <c r="AK176" s="25" t="str">
        <f t="shared" si="35"/>
        <v/>
      </c>
      <c r="AL176" s="26" t="str">
        <f t="shared" si="36"/>
        <v/>
      </c>
      <c r="AP176" t="str">
        <f t="shared" si="37"/>
        <v/>
      </c>
      <c r="AQ176" s="24" t="str">
        <f t="shared" si="38"/>
        <v/>
      </c>
      <c r="AR176" s="25" t="str">
        <f t="shared" si="39"/>
        <v/>
      </c>
      <c r="AS176" s="25" t="str">
        <f t="shared" si="40"/>
        <v/>
      </c>
      <c r="AT176" s="25" t="str">
        <f t="shared" si="41"/>
        <v/>
      </c>
      <c r="AU176" s="25" t="str">
        <f t="shared" si="42"/>
        <v/>
      </c>
      <c r="AV176" s="25" t="str">
        <f t="shared" si="43"/>
        <v/>
      </c>
      <c r="AW176" s="26" t="str">
        <f t="shared" si="44"/>
        <v/>
      </c>
    </row>
    <row r="177" spans="3:49" x14ac:dyDescent="0.25">
      <c r="C177">
        <v>21</v>
      </c>
      <c r="D177" t="str">
        <f t="shared" si="5"/>
        <v/>
      </c>
      <c r="E177" s="24" t="str">
        <f t="shared" si="6"/>
        <v/>
      </c>
      <c r="F177" s="25" t="str">
        <f t="shared" si="7"/>
        <v/>
      </c>
      <c r="G177" s="25" t="str">
        <f t="shared" si="8"/>
        <v/>
      </c>
      <c r="H177" s="25" t="str">
        <f t="shared" si="9"/>
        <v/>
      </c>
      <c r="I177" s="25" t="str">
        <f t="shared" si="10"/>
        <v/>
      </c>
      <c r="J177" s="25" t="str">
        <f t="shared" si="11"/>
        <v/>
      </c>
      <c r="K177" s="26" t="str">
        <f t="shared" si="12"/>
        <v/>
      </c>
      <c r="N177" t="str">
        <f t="shared" si="13"/>
        <v/>
      </c>
      <c r="O177" s="24" t="str">
        <f t="shared" si="14"/>
        <v/>
      </c>
      <c r="P177" s="25" t="str">
        <f t="shared" si="15"/>
        <v/>
      </c>
      <c r="Q177" s="25" t="str">
        <f t="shared" si="16"/>
        <v/>
      </c>
      <c r="R177" s="25" t="str">
        <f t="shared" si="17"/>
        <v/>
      </c>
      <c r="S177" s="25" t="str">
        <f t="shared" si="18"/>
        <v/>
      </c>
      <c r="T177" s="25" t="str">
        <f t="shared" si="19"/>
        <v/>
      </c>
      <c r="U177" s="25"/>
      <c r="V177" s="26" t="str">
        <f t="shared" si="20"/>
        <v/>
      </c>
      <c r="W177" t="str">
        <f t="shared" si="21"/>
        <v/>
      </c>
      <c r="X177" s="24" t="str">
        <f t="shared" si="22"/>
        <v/>
      </c>
      <c r="Y177" s="25" t="str">
        <f t="shared" si="23"/>
        <v/>
      </c>
      <c r="Z177" s="25" t="str">
        <f t="shared" si="24"/>
        <v/>
      </c>
      <c r="AA177" s="25" t="str">
        <f t="shared" si="25"/>
        <v/>
      </c>
      <c r="AB177" s="25" t="str">
        <f t="shared" si="26"/>
        <v/>
      </c>
      <c r="AC177" s="25" t="str">
        <f t="shared" si="27"/>
        <v/>
      </c>
      <c r="AD177" s="26" t="str">
        <f t="shared" si="28"/>
        <v/>
      </c>
      <c r="AE177" t="str">
        <f t="shared" si="29"/>
        <v/>
      </c>
      <c r="AF177" s="24" t="str">
        <f t="shared" si="30"/>
        <v/>
      </c>
      <c r="AG177" s="25" t="str">
        <f t="shared" si="31"/>
        <v/>
      </c>
      <c r="AH177" s="25" t="str">
        <f t="shared" si="32"/>
        <v/>
      </c>
      <c r="AI177" s="25" t="str">
        <f t="shared" si="33"/>
        <v/>
      </c>
      <c r="AJ177" s="25" t="str">
        <f t="shared" si="34"/>
        <v/>
      </c>
      <c r="AK177" s="25" t="str">
        <f t="shared" si="35"/>
        <v/>
      </c>
      <c r="AL177" s="26" t="str">
        <f t="shared" si="36"/>
        <v/>
      </c>
      <c r="AP177" t="str">
        <f t="shared" si="37"/>
        <v/>
      </c>
      <c r="AQ177" s="24" t="str">
        <f t="shared" si="38"/>
        <v/>
      </c>
      <c r="AR177" s="25" t="str">
        <f t="shared" si="39"/>
        <v/>
      </c>
      <c r="AS177" s="25" t="str">
        <f t="shared" si="40"/>
        <v/>
      </c>
      <c r="AT177" s="25" t="str">
        <f t="shared" si="41"/>
        <v/>
      </c>
      <c r="AU177" s="25" t="str">
        <f t="shared" si="42"/>
        <v/>
      </c>
      <c r="AV177" s="25" t="str">
        <f t="shared" si="43"/>
        <v/>
      </c>
      <c r="AW177" s="26" t="str">
        <f t="shared" si="44"/>
        <v/>
      </c>
    </row>
    <row r="178" spans="3:49" x14ac:dyDescent="0.25">
      <c r="C178">
        <v>22</v>
      </c>
      <c r="D178" t="str">
        <f t="shared" si="5"/>
        <v/>
      </c>
      <c r="E178" s="24" t="str">
        <f t="shared" si="6"/>
        <v/>
      </c>
      <c r="F178" s="25" t="str">
        <f t="shared" si="7"/>
        <v/>
      </c>
      <c r="G178" s="25" t="str">
        <f t="shared" si="8"/>
        <v/>
      </c>
      <c r="H178" s="25" t="str">
        <f t="shared" si="9"/>
        <v/>
      </c>
      <c r="I178" s="25" t="str">
        <f t="shared" si="10"/>
        <v/>
      </c>
      <c r="J178" s="25" t="str">
        <f t="shared" si="11"/>
        <v/>
      </c>
      <c r="K178" s="26" t="str">
        <f t="shared" si="12"/>
        <v/>
      </c>
      <c r="N178" t="str">
        <f t="shared" si="13"/>
        <v/>
      </c>
      <c r="O178" s="24" t="str">
        <f t="shared" si="14"/>
        <v/>
      </c>
      <c r="P178" s="25" t="str">
        <f t="shared" si="15"/>
        <v/>
      </c>
      <c r="Q178" s="25" t="str">
        <f t="shared" si="16"/>
        <v/>
      </c>
      <c r="R178" s="25" t="str">
        <f t="shared" si="17"/>
        <v/>
      </c>
      <c r="S178" s="25" t="str">
        <f t="shared" si="18"/>
        <v/>
      </c>
      <c r="T178" s="25" t="str">
        <f t="shared" si="19"/>
        <v/>
      </c>
      <c r="U178" s="25"/>
      <c r="V178" s="26" t="str">
        <f t="shared" si="20"/>
        <v/>
      </c>
      <c r="W178" t="str">
        <f t="shared" si="21"/>
        <v/>
      </c>
      <c r="X178" s="24" t="str">
        <f t="shared" si="22"/>
        <v/>
      </c>
      <c r="Y178" s="25" t="str">
        <f t="shared" si="23"/>
        <v/>
      </c>
      <c r="Z178" s="25" t="str">
        <f t="shared" si="24"/>
        <v/>
      </c>
      <c r="AA178" s="25" t="str">
        <f t="shared" si="25"/>
        <v/>
      </c>
      <c r="AB178" s="25" t="str">
        <f t="shared" si="26"/>
        <v/>
      </c>
      <c r="AC178" s="25" t="str">
        <f t="shared" si="27"/>
        <v/>
      </c>
      <c r="AD178" s="26" t="str">
        <f t="shared" si="28"/>
        <v/>
      </c>
      <c r="AE178" t="str">
        <f t="shared" si="29"/>
        <v/>
      </c>
      <c r="AF178" s="24" t="str">
        <f t="shared" si="30"/>
        <v/>
      </c>
      <c r="AG178" s="25" t="str">
        <f t="shared" si="31"/>
        <v/>
      </c>
      <c r="AH178" s="25" t="str">
        <f t="shared" si="32"/>
        <v/>
      </c>
      <c r="AI178" s="25" t="str">
        <f t="shared" si="33"/>
        <v/>
      </c>
      <c r="AJ178" s="25" t="str">
        <f t="shared" si="34"/>
        <v/>
      </c>
      <c r="AK178" s="25" t="str">
        <f t="shared" si="35"/>
        <v/>
      </c>
      <c r="AL178" s="26" t="str">
        <f t="shared" si="36"/>
        <v/>
      </c>
      <c r="AP178" t="str">
        <f t="shared" si="37"/>
        <v/>
      </c>
      <c r="AQ178" s="24" t="str">
        <f t="shared" si="38"/>
        <v/>
      </c>
      <c r="AR178" s="25" t="str">
        <f t="shared" si="39"/>
        <v/>
      </c>
      <c r="AS178" s="25" t="str">
        <f t="shared" si="40"/>
        <v/>
      </c>
      <c r="AT178" s="25" t="str">
        <f t="shared" si="41"/>
        <v/>
      </c>
      <c r="AU178" s="25" t="str">
        <f t="shared" si="42"/>
        <v/>
      </c>
      <c r="AV178" s="25" t="str">
        <f t="shared" si="43"/>
        <v/>
      </c>
      <c r="AW178" s="26" t="str">
        <f t="shared" si="44"/>
        <v/>
      </c>
    </row>
    <row r="179" spans="3:49" x14ac:dyDescent="0.25">
      <c r="C179">
        <v>23</v>
      </c>
      <c r="D179" t="str">
        <f t="shared" si="5"/>
        <v/>
      </c>
      <c r="E179" s="24" t="str">
        <f t="shared" si="6"/>
        <v/>
      </c>
      <c r="F179" s="25" t="str">
        <f t="shared" si="7"/>
        <v/>
      </c>
      <c r="G179" s="25" t="str">
        <f t="shared" si="8"/>
        <v/>
      </c>
      <c r="H179" s="25" t="str">
        <f t="shared" si="9"/>
        <v/>
      </c>
      <c r="I179" s="25" t="str">
        <f t="shared" si="10"/>
        <v/>
      </c>
      <c r="J179" s="25" t="str">
        <f t="shared" si="11"/>
        <v/>
      </c>
      <c r="K179" s="26" t="str">
        <f t="shared" si="12"/>
        <v/>
      </c>
      <c r="N179" t="str">
        <f t="shared" si="13"/>
        <v/>
      </c>
      <c r="O179" s="24" t="str">
        <f t="shared" si="14"/>
        <v/>
      </c>
      <c r="P179" s="25" t="str">
        <f t="shared" si="15"/>
        <v/>
      </c>
      <c r="Q179" s="25" t="str">
        <f t="shared" si="16"/>
        <v/>
      </c>
      <c r="R179" s="25" t="str">
        <f t="shared" si="17"/>
        <v/>
      </c>
      <c r="S179" s="25" t="str">
        <f t="shared" si="18"/>
        <v/>
      </c>
      <c r="T179" s="25" t="str">
        <f t="shared" si="19"/>
        <v/>
      </c>
      <c r="U179" s="25"/>
      <c r="V179" s="26" t="str">
        <f t="shared" si="20"/>
        <v/>
      </c>
      <c r="W179" t="str">
        <f t="shared" si="21"/>
        <v/>
      </c>
      <c r="X179" s="24" t="str">
        <f t="shared" si="22"/>
        <v/>
      </c>
      <c r="Y179" s="25" t="str">
        <f t="shared" si="23"/>
        <v/>
      </c>
      <c r="Z179" s="25" t="str">
        <f t="shared" si="24"/>
        <v/>
      </c>
      <c r="AA179" s="25" t="str">
        <f t="shared" si="25"/>
        <v/>
      </c>
      <c r="AB179" s="25" t="str">
        <f t="shared" si="26"/>
        <v/>
      </c>
      <c r="AC179" s="25" t="str">
        <f t="shared" si="27"/>
        <v/>
      </c>
      <c r="AD179" s="26" t="str">
        <f t="shared" si="28"/>
        <v/>
      </c>
      <c r="AE179" t="str">
        <f t="shared" si="29"/>
        <v/>
      </c>
      <c r="AF179" s="24" t="str">
        <f t="shared" si="30"/>
        <v/>
      </c>
      <c r="AG179" s="25" t="str">
        <f t="shared" si="31"/>
        <v/>
      </c>
      <c r="AH179" s="25" t="str">
        <f t="shared" si="32"/>
        <v/>
      </c>
      <c r="AI179" s="25" t="str">
        <f t="shared" si="33"/>
        <v/>
      </c>
      <c r="AJ179" s="25" t="str">
        <f t="shared" si="34"/>
        <v/>
      </c>
      <c r="AK179" s="25" t="str">
        <f t="shared" si="35"/>
        <v/>
      </c>
      <c r="AL179" s="26" t="str">
        <f t="shared" si="36"/>
        <v/>
      </c>
      <c r="AP179" t="str">
        <f t="shared" si="37"/>
        <v/>
      </c>
      <c r="AQ179" s="24" t="str">
        <f t="shared" si="38"/>
        <v/>
      </c>
      <c r="AR179" s="25" t="str">
        <f t="shared" si="39"/>
        <v/>
      </c>
      <c r="AS179" s="25" t="str">
        <f t="shared" si="40"/>
        <v/>
      </c>
      <c r="AT179" s="25" t="str">
        <f t="shared" si="41"/>
        <v/>
      </c>
      <c r="AU179" s="25" t="str">
        <f t="shared" si="42"/>
        <v/>
      </c>
      <c r="AV179" s="25" t="str">
        <f t="shared" si="43"/>
        <v/>
      </c>
      <c r="AW179" s="26" t="str">
        <f t="shared" si="44"/>
        <v/>
      </c>
    </row>
    <row r="180" spans="3:49" x14ac:dyDescent="0.25">
      <c r="C180">
        <v>24</v>
      </c>
      <c r="D180" t="str">
        <f t="shared" si="5"/>
        <v/>
      </c>
      <c r="E180" s="24" t="str">
        <f t="shared" si="6"/>
        <v/>
      </c>
      <c r="F180" s="25" t="str">
        <f t="shared" si="7"/>
        <v/>
      </c>
      <c r="G180" s="25" t="str">
        <f t="shared" si="8"/>
        <v/>
      </c>
      <c r="H180" s="25" t="str">
        <f t="shared" si="9"/>
        <v/>
      </c>
      <c r="I180" s="25" t="str">
        <f t="shared" si="10"/>
        <v/>
      </c>
      <c r="J180" s="25" t="str">
        <f t="shared" si="11"/>
        <v/>
      </c>
      <c r="K180" s="26" t="str">
        <f t="shared" si="12"/>
        <v/>
      </c>
      <c r="N180" t="str">
        <f t="shared" si="13"/>
        <v/>
      </c>
      <c r="O180" s="24" t="str">
        <f t="shared" si="14"/>
        <v/>
      </c>
      <c r="P180" s="25" t="str">
        <f t="shared" si="15"/>
        <v/>
      </c>
      <c r="Q180" s="25" t="str">
        <f t="shared" si="16"/>
        <v/>
      </c>
      <c r="R180" s="25" t="str">
        <f t="shared" si="17"/>
        <v/>
      </c>
      <c r="S180" s="25" t="str">
        <f t="shared" si="18"/>
        <v/>
      </c>
      <c r="T180" s="25" t="str">
        <f t="shared" si="19"/>
        <v/>
      </c>
      <c r="U180" s="25"/>
      <c r="V180" s="26" t="str">
        <f t="shared" si="20"/>
        <v/>
      </c>
      <c r="W180" t="str">
        <f t="shared" si="21"/>
        <v/>
      </c>
      <c r="X180" s="24" t="str">
        <f t="shared" si="22"/>
        <v/>
      </c>
      <c r="Y180" s="25" t="str">
        <f t="shared" si="23"/>
        <v/>
      </c>
      <c r="Z180" s="25" t="str">
        <f t="shared" si="24"/>
        <v/>
      </c>
      <c r="AA180" s="25" t="str">
        <f t="shared" si="25"/>
        <v/>
      </c>
      <c r="AB180" s="25" t="str">
        <f t="shared" si="26"/>
        <v/>
      </c>
      <c r="AC180" s="25" t="str">
        <f t="shared" si="27"/>
        <v/>
      </c>
      <c r="AD180" s="26" t="str">
        <f t="shared" si="28"/>
        <v/>
      </c>
      <c r="AE180" t="str">
        <f t="shared" si="29"/>
        <v/>
      </c>
      <c r="AF180" s="24" t="str">
        <f t="shared" si="30"/>
        <v/>
      </c>
      <c r="AG180" s="25" t="str">
        <f t="shared" si="31"/>
        <v/>
      </c>
      <c r="AH180" s="25" t="str">
        <f t="shared" si="32"/>
        <v/>
      </c>
      <c r="AI180" s="25" t="str">
        <f t="shared" si="33"/>
        <v/>
      </c>
      <c r="AJ180" s="25" t="str">
        <f t="shared" si="34"/>
        <v/>
      </c>
      <c r="AK180" s="25" t="str">
        <f t="shared" si="35"/>
        <v/>
      </c>
      <c r="AL180" s="26" t="str">
        <f t="shared" si="36"/>
        <v/>
      </c>
      <c r="AP180" t="str">
        <f t="shared" si="37"/>
        <v/>
      </c>
      <c r="AQ180" s="24" t="str">
        <f t="shared" si="38"/>
        <v/>
      </c>
      <c r="AR180" s="25" t="str">
        <f t="shared" si="39"/>
        <v/>
      </c>
      <c r="AS180" s="25" t="str">
        <f t="shared" si="40"/>
        <v/>
      </c>
      <c r="AT180" s="25" t="str">
        <f t="shared" si="41"/>
        <v/>
      </c>
      <c r="AU180" s="25" t="str">
        <f t="shared" si="42"/>
        <v/>
      </c>
      <c r="AV180" s="25" t="str">
        <f t="shared" si="43"/>
        <v/>
      </c>
      <c r="AW180" s="26" t="str">
        <f t="shared" si="44"/>
        <v/>
      </c>
    </row>
    <row r="181" spans="3:49" x14ac:dyDescent="0.25">
      <c r="C181">
        <v>25</v>
      </c>
      <c r="D181" t="str">
        <f t="shared" si="5"/>
        <v/>
      </c>
      <c r="E181" s="24" t="str">
        <f t="shared" si="6"/>
        <v/>
      </c>
      <c r="F181" s="25" t="str">
        <f t="shared" si="7"/>
        <v/>
      </c>
      <c r="G181" s="25" t="str">
        <f t="shared" si="8"/>
        <v/>
      </c>
      <c r="H181" s="25" t="str">
        <f t="shared" si="9"/>
        <v/>
      </c>
      <c r="I181" s="25" t="str">
        <f t="shared" si="10"/>
        <v/>
      </c>
      <c r="J181" s="25" t="str">
        <f t="shared" si="11"/>
        <v/>
      </c>
      <c r="K181" s="26" t="str">
        <f t="shared" si="12"/>
        <v/>
      </c>
      <c r="N181" t="str">
        <f t="shared" si="13"/>
        <v/>
      </c>
      <c r="O181" s="24" t="str">
        <f t="shared" si="14"/>
        <v/>
      </c>
      <c r="P181" s="25" t="str">
        <f t="shared" si="15"/>
        <v/>
      </c>
      <c r="Q181" s="25" t="str">
        <f t="shared" si="16"/>
        <v/>
      </c>
      <c r="R181" s="25" t="str">
        <f t="shared" si="17"/>
        <v/>
      </c>
      <c r="S181" s="25" t="str">
        <f t="shared" si="18"/>
        <v/>
      </c>
      <c r="T181" s="25" t="str">
        <f t="shared" si="19"/>
        <v/>
      </c>
      <c r="U181" s="25"/>
      <c r="V181" s="26" t="str">
        <f t="shared" si="20"/>
        <v/>
      </c>
      <c r="W181" t="str">
        <f t="shared" si="21"/>
        <v/>
      </c>
      <c r="X181" s="24" t="str">
        <f t="shared" si="22"/>
        <v/>
      </c>
      <c r="Y181" s="25" t="str">
        <f t="shared" si="23"/>
        <v/>
      </c>
      <c r="Z181" s="25" t="str">
        <f t="shared" si="24"/>
        <v/>
      </c>
      <c r="AA181" s="25" t="str">
        <f t="shared" si="25"/>
        <v/>
      </c>
      <c r="AB181" s="25" t="str">
        <f t="shared" si="26"/>
        <v/>
      </c>
      <c r="AC181" s="25" t="str">
        <f t="shared" si="27"/>
        <v/>
      </c>
      <c r="AD181" s="26" t="str">
        <f t="shared" si="28"/>
        <v/>
      </c>
      <c r="AE181" t="str">
        <f t="shared" si="29"/>
        <v/>
      </c>
      <c r="AF181" s="24" t="str">
        <f t="shared" si="30"/>
        <v/>
      </c>
      <c r="AG181" s="25" t="str">
        <f t="shared" si="31"/>
        <v/>
      </c>
      <c r="AH181" s="25" t="str">
        <f t="shared" si="32"/>
        <v/>
      </c>
      <c r="AI181" s="25" t="str">
        <f t="shared" si="33"/>
        <v/>
      </c>
      <c r="AJ181" s="25" t="str">
        <f t="shared" si="34"/>
        <v/>
      </c>
      <c r="AK181" s="25" t="str">
        <f t="shared" si="35"/>
        <v/>
      </c>
      <c r="AL181" s="26" t="str">
        <f t="shared" si="36"/>
        <v/>
      </c>
      <c r="AP181" t="str">
        <f t="shared" si="37"/>
        <v/>
      </c>
      <c r="AQ181" s="24" t="str">
        <f t="shared" si="38"/>
        <v/>
      </c>
      <c r="AR181" s="25" t="str">
        <f t="shared" si="39"/>
        <v/>
      </c>
      <c r="AS181" s="25" t="str">
        <f t="shared" si="40"/>
        <v/>
      </c>
      <c r="AT181" s="25" t="str">
        <f t="shared" si="41"/>
        <v/>
      </c>
      <c r="AU181" s="25" t="str">
        <f t="shared" si="42"/>
        <v/>
      </c>
      <c r="AV181" s="25" t="str">
        <f t="shared" si="43"/>
        <v/>
      </c>
      <c r="AW181" s="26" t="str">
        <f t="shared" si="44"/>
        <v/>
      </c>
    </row>
    <row r="182" spans="3:49" x14ac:dyDescent="0.25">
      <c r="C182">
        <v>26</v>
      </c>
      <c r="D182" t="str">
        <f t="shared" si="5"/>
        <v/>
      </c>
      <c r="E182" s="24" t="str">
        <f t="shared" si="6"/>
        <v/>
      </c>
      <c r="F182" s="25" t="str">
        <f t="shared" si="7"/>
        <v/>
      </c>
      <c r="G182" s="25" t="str">
        <f t="shared" si="8"/>
        <v/>
      </c>
      <c r="H182" s="25" t="str">
        <f t="shared" si="9"/>
        <v/>
      </c>
      <c r="I182" s="25" t="str">
        <f t="shared" si="10"/>
        <v/>
      </c>
      <c r="J182" s="25" t="str">
        <f t="shared" si="11"/>
        <v/>
      </c>
      <c r="K182" s="26" t="str">
        <f t="shared" si="12"/>
        <v/>
      </c>
      <c r="N182" t="str">
        <f t="shared" si="13"/>
        <v/>
      </c>
      <c r="O182" s="24" t="str">
        <f t="shared" si="14"/>
        <v/>
      </c>
      <c r="P182" s="25" t="str">
        <f t="shared" si="15"/>
        <v/>
      </c>
      <c r="Q182" s="25" t="str">
        <f t="shared" si="16"/>
        <v/>
      </c>
      <c r="R182" s="25" t="str">
        <f t="shared" si="17"/>
        <v/>
      </c>
      <c r="S182" s="25" t="str">
        <f t="shared" si="18"/>
        <v/>
      </c>
      <c r="T182" s="25" t="str">
        <f t="shared" si="19"/>
        <v/>
      </c>
      <c r="U182" s="25"/>
      <c r="V182" s="26" t="str">
        <f t="shared" si="20"/>
        <v/>
      </c>
      <c r="W182" t="str">
        <f t="shared" si="21"/>
        <v/>
      </c>
      <c r="X182" s="24" t="str">
        <f t="shared" si="22"/>
        <v/>
      </c>
      <c r="Y182" s="25" t="str">
        <f t="shared" si="23"/>
        <v/>
      </c>
      <c r="Z182" s="25" t="str">
        <f t="shared" si="24"/>
        <v/>
      </c>
      <c r="AA182" s="25" t="str">
        <f t="shared" si="25"/>
        <v/>
      </c>
      <c r="AB182" s="25" t="str">
        <f t="shared" si="26"/>
        <v/>
      </c>
      <c r="AC182" s="25" t="str">
        <f t="shared" si="27"/>
        <v/>
      </c>
      <c r="AD182" s="26" t="str">
        <f t="shared" si="28"/>
        <v/>
      </c>
      <c r="AE182" t="str">
        <f t="shared" si="29"/>
        <v/>
      </c>
      <c r="AF182" s="24" t="str">
        <f t="shared" si="30"/>
        <v/>
      </c>
      <c r="AG182" s="25" t="str">
        <f t="shared" si="31"/>
        <v/>
      </c>
      <c r="AH182" s="25" t="str">
        <f t="shared" si="32"/>
        <v/>
      </c>
      <c r="AI182" s="25" t="str">
        <f t="shared" si="33"/>
        <v/>
      </c>
      <c r="AJ182" s="25" t="str">
        <f t="shared" si="34"/>
        <v/>
      </c>
      <c r="AK182" s="25" t="str">
        <f t="shared" si="35"/>
        <v/>
      </c>
      <c r="AL182" s="26" t="str">
        <f t="shared" si="36"/>
        <v/>
      </c>
      <c r="AP182" t="str">
        <f t="shared" si="37"/>
        <v/>
      </c>
      <c r="AQ182" s="24" t="str">
        <f t="shared" si="38"/>
        <v/>
      </c>
      <c r="AR182" s="25" t="str">
        <f t="shared" si="39"/>
        <v/>
      </c>
      <c r="AS182" s="25" t="str">
        <f t="shared" si="40"/>
        <v/>
      </c>
      <c r="AT182" s="25" t="str">
        <f t="shared" si="41"/>
        <v/>
      </c>
      <c r="AU182" s="25" t="str">
        <f t="shared" si="42"/>
        <v/>
      </c>
      <c r="AV182" s="25" t="str">
        <f t="shared" si="43"/>
        <v/>
      </c>
      <c r="AW182" s="26" t="str">
        <f t="shared" si="44"/>
        <v/>
      </c>
    </row>
    <row r="183" spans="3:49" x14ac:dyDescent="0.25">
      <c r="C183">
        <v>27</v>
      </c>
      <c r="D183" t="str">
        <f t="shared" si="5"/>
        <v/>
      </c>
      <c r="E183" s="24" t="str">
        <f t="shared" si="6"/>
        <v/>
      </c>
      <c r="F183" s="25" t="str">
        <f t="shared" si="7"/>
        <v/>
      </c>
      <c r="G183" s="25" t="str">
        <f t="shared" si="8"/>
        <v/>
      </c>
      <c r="H183" s="25" t="str">
        <f t="shared" si="9"/>
        <v/>
      </c>
      <c r="I183" s="25" t="str">
        <f t="shared" si="10"/>
        <v/>
      </c>
      <c r="J183" s="25" t="str">
        <f t="shared" si="11"/>
        <v/>
      </c>
      <c r="K183" s="26" t="str">
        <f t="shared" si="12"/>
        <v/>
      </c>
      <c r="N183" t="str">
        <f t="shared" si="13"/>
        <v/>
      </c>
      <c r="O183" s="24" t="str">
        <f t="shared" si="14"/>
        <v/>
      </c>
      <c r="P183" s="25" t="str">
        <f t="shared" si="15"/>
        <v/>
      </c>
      <c r="Q183" s="25" t="str">
        <f t="shared" si="16"/>
        <v/>
      </c>
      <c r="R183" s="25" t="str">
        <f t="shared" si="17"/>
        <v/>
      </c>
      <c r="S183" s="25" t="str">
        <f t="shared" si="18"/>
        <v/>
      </c>
      <c r="T183" s="25" t="str">
        <f t="shared" si="19"/>
        <v/>
      </c>
      <c r="U183" s="25"/>
      <c r="V183" s="26" t="str">
        <f t="shared" si="20"/>
        <v/>
      </c>
      <c r="W183" t="str">
        <f t="shared" si="21"/>
        <v/>
      </c>
      <c r="X183" s="24" t="str">
        <f t="shared" si="22"/>
        <v/>
      </c>
      <c r="Y183" s="25" t="str">
        <f t="shared" si="23"/>
        <v/>
      </c>
      <c r="Z183" s="25" t="str">
        <f t="shared" si="24"/>
        <v/>
      </c>
      <c r="AA183" s="25" t="str">
        <f t="shared" si="25"/>
        <v/>
      </c>
      <c r="AB183" s="25" t="str">
        <f t="shared" si="26"/>
        <v/>
      </c>
      <c r="AC183" s="25" t="str">
        <f t="shared" si="27"/>
        <v/>
      </c>
      <c r="AD183" s="26" t="str">
        <f t="shared" si="28"/>
        <v/>
      </c>
      <c r="AE183" t="str">
        <f t="shared" si="29"/>
        <v/>
      </c>
      <c r="AF183" s="24" t="str">
        <f t="shared" si="30"/>
        <v/>
      </c>
      <c r="AG183" s="25" t="str">
        <f t="shared" si="31"/>
        <v/>
      </c>
      <c r="AH183" s="25" t="str">
        <f t="shared" si="32"/>
        <v/>
      </c>
      <c r="AI183" s="25" t="str">
        <f t="shared" si="33"/>
        <v/>
      </c>
      <c r="AJ183" s="25" t="str">
        <f t="shared" si="34"/>
        <v/>
      </c>
      <c r="AK183" s="25" t="str">
        <f t="shared" si="35"/>
        <v/>
      </c>
      <c r="AL183" s="26" t="str">
        <f t="shared" si="36"/>
        <v/>
      </c>
      <c r="AP183" t="str">
        <f t="shared" si="37"/>
        <v/>
      </c>
      <c r="AQ183" s="24" t="str">
        <f t="shared" si="38"/>
        <v/>
      </c>
      <c r="AR183" s="25" t="str">
        <f t="shared" si="39"/>
        <v/>
      </c>
      <c r="AS183" s="25" t="str">
        <f t="shared" si="40"/>
        <v/>
      </c>
      <c r="AT183" s="25" t="str">
        <f t="shared" si="41"/>
        <v/>
      </c>
      <c r="AU183" s="25" t="str">
        <f t="shared" si="42"/>
        <v/>
      </c>
      <c r="AV183" s="25" t="str">
        <f t="shared" si="43"/>
        <v/>
      </c>
      <c r="AW183" s="26" t="str">
        <f t="shared" si="44"/>
        <v/>
      </c>
    </row>
    <row r="184" spans="3:49" x14ac:dyDescent="0.25">
      <c r="C184">
        <v>28</v>
      </c>
      <c r="D184" t="str">
        <f t="shared" si="5"/>
        <v/>
      </c>
      <c r="E184" s="24" t="str">
        <f t="shared" si="6"/>
        <v/>
      </c>
      <c r="F184" s="25" t="str">
        <f t="shared" si="7"/>
        <v/>
      </c>
      <c r="G184" s="25" t="str">
        <f t="shared" si="8"/>
        <v/>
      </c>
      <c r="H184" s="25" t="str">
        <f t="shared" si="9"/>
        <v/>
      </c>
      <c r="I184" s="25" t="str">
        <f t="shared" si="10"/>
        <v/>
      </c>
      <c r="J184" s="25" t="str">
        <f t="shared" si="11"/>
        <v/>
      </c>
      <c r="K184" s="26" t="str">
        <f t="shared" si="12"/>
        <v/>
      </c>
      <c r="N184" t="str">
        <f t="shared" si="13"/>
        <v/>
      </c>
      <c r="O184" s="24" t="str">
        <f t="shared" si="14"/>
        <v/>
      </c>
      <c r="P184" s="25" t="str">
        <f t="shared" si="15"/>
        <v/>
      </c>
      <c r="Q184" s="25" t="str">
        <f t="shared" si="16"/>
        <v/>
      </c>
      <c r="R184" s="25" t="str">
        <f t="shared" si="17"/>
        <v/>
      </c>
      <c r="S184" s="25" t="str">
        <f t="shared" si="18"/>
        <v/>
      </c>
      <c r="T184" s="25" t="str">
        <f t="shared" si="19"/>
        <v/>
      </c>
      <c r="U184" s="25"/>
      <c r="V184" s="26" t="str">
        <f t="shared" si="20"/>
        <v/>
      </c>
      <c r="W184" t="str">
        <f t="shared" si="21"/>
        <v/>
      </c>
      <c r="X184" s="24" t="str">
        <f t="shared" si="22"/>
        <v/>
      </c>
      <c r="Y184" s="25" t="str">
        <f t="shared" si="23"/>
        <v/>
      </c>
      <c r="Z184" s="25" t="str">
        <f t="shared" si="24"/>
        <v/>
      </c>
      <c r="AA184" s="25" t="str">
        <f t="shared" si="25"/>
        <v/>
      </c>
      <c r="AB184" s="25" t="str">
        <f t="shared" si="26"/>
        <v/>
      </c>
      <c r="AC184" s="25" t="str">
        <f t="shared" si="27"/>
        <v/>
      </c>
      <c r="AD184" s="26" t="str">
        <f t="shared" si="28"/>
        <v/>
      </c>
      <c r="AE184" t="str">
        <f t="shared" si="29"/>
        <v/>
      </c>
      <c r="AF184" s="24" t="str">
        <f t="shared" si="30"/>
        <v/>
      </c>
      <c r="AG184" s="25" t="str">
        <f t="shared" si="31"/>
        <v/>
      </c>
      <c r="AH184" s="25" t="str">
        <f t="shared" si="32"/>
        <v/>
      </c>
      <c r="AI184" s="25" t="str">
        <f t="shared" si="33"/>
        <v/>
      </c>
      <c r="AJ184" s="25" t="str">
        <f t="shared" si="34"/>
        <v/>
      </c>
      <c r="AK184" s="25" t="str">
        <f t="shared" si="35"/>
        <v/>
      </c>
      <c r="AL184" s="26" t="str">
        <f t="shared" si="36"/>
        <v/>
      </c>
      <c r="AP184" t="str">
        <f t="shared" si="37"/>
        <v/>
      </c>
      <c r="AQ184" s="24" t="str">
        <f t="shared" si="38"/>
        <v/>
      </c>
      <c r="AR184" s="25" t="str">
        <f t="shared" si="39"/>
        <v/>
      </c>
      <c r="AS184" s="25" t="str">
        <f t="shared" si="40"/>
        <v/>
      </c>
      <c r="AT184" s="25" t="str">
        <f t="shared" si="41"/>
        <v/>
      </c>
      <c r="AU184" s="25" t="str">
        <f t="shared" si="42"/>
        <v/>
      </c>
      <c r="AV184" s="25" t="str">
        <f t="shared" si="43"/>
        <v/>
      </c>
      <c r="AW184" s="26" t="str">
        <f t="shared" si="44"/>
        <v/>
      </c>
    </row>
    <row r="185" spans="3:49" x14ac:dyDescent="0.25">
      <c r="C185">
        <v>29</v>
      </c>
      <c r="D185" t="str">
        <f t="shared" si="5"/>
        <v/>
      </c>
      <c r="E185" s="24" t="str">
        <f t="shared" si="6"/>
        <v/>
      </c>
      <c r="F185" s="25" t="str">
        <f t="shared" si="7"/>
        <v/>
      </c>
      <c r="G185" s="25" t="str">
        <f t="shared" si="8"/>
        <v/>
      </c>
      <c r="H185" s="25" t="str">
        <f t="shared" si="9"/>
        <v/>
      </c>
      <c r="I185" s="25" t="str">
        <f t="shared" si="10"/>
        <v/>
      </c>
      <c r="J185" s="25" t="str">
        <f t="shared" si="11"/>
        <v/>
      </c>
      <c r="K185" s="26" t="str">
        <f t="shared" si="12"/>
        <v/>
      </c>
      <c r="N185" t="str">
        <f t="shared" si="13"/>
        <v/>
      </c>
      <c r="O185" s="24" t="str">
        <f t="shared" si="14"/>
        <v/>
      </c>
      <c r="P185" s="25" t="str">
        <f t="shared" si="15"/>
        <v/>
      </c>
      <c r="Q185" s="25" t="str">
        <f t="shared" si="16"/>
        <v/>
      </c>
      <c r="R185" s="25" t="str">
        <f t="shared" si="17"/>
        <v/>
      </c>
      <c r="S185" s="25" t="str">
        <f t="shared" si="18"/>
        <v/>
      </c>
      <c r="T185" s="25" t="str">
        <f t="shared" si="19"/>
        <v/>
      </c>
      <c r="U185" s="25"/>
      <c r="V185" s="26" t="str">
        <f t="shared" si="20"/>
        <v/>
      </c>
      <c r="W185" t="str">
        <f t="shared" si="21"/>
        <v/>
      </c>
      <c r="X185" s="24" t="str">
        <f t="shared" si="22"/>
        <v/>
      </c>
      <c r="Y185" s="25" t="str">
        <f t="shared" si="23"/>
        <v/>
      </c>
      <c r="Z185" s="25" t="str">
        <f t="shared" si="24"/>
        <v/>
      </c>
      <c r="AA185" s="25" t="str">
        <f t="shared" si="25"/>
        <v/>
      </c>
      <c r="AB185" s="25" t="str">
        <f t="shared" si="26"/>
        <v/>
      </c>
      <c r="AC185" s="25" t="str">
        <f t="shared" si="27"/>
        <v/>
      </c>
      <c r="AD185" s="26" t="str">
        <f t="shared" si="28"/>
        <v/>
      </c>
      <c r="AE185" t="str">
        <f t="shared" si="29"/>
        <v/>
      </c>
      <c r="AF185" s="24" t="str">
        <f t="shared" si="30"/>
        <v/>
      </c>
      <c r="AG185" s="25" t="str">
        <f t="shared" si="31"/>
        <v/>
      </c>
      <c r="AH185" s="25" t="str">
        <f t="shared" si="32"/>
        <v/>
      </c>
      <c r="AI185" s="25" t="str">
        <f t="shared" si="33"/>
        <v/>
      </c>
      <c r="AJ185" s="25" t="str">
        <f t="shared" si="34"/>
        <v/>
      </c>
      <c r="AK185" s="25" t="str">
        <f t="shared" si="35"/>
        <v/>
      </c>
      <c r="AL185" s="26" t="str">
        <f t="shared" si="36"/>
        <v/>
      </c>
      <c r="AP185" t="str">
        <f t="shared" si="37"/>
        <v/>
      </c>
      <c r="AQ185" s="24" t="str">
        <f t="shared" si="38"/>
        <v/>
      </c>
      <c r="AR185" s="25" t="str">
        <f t="shared" si="39"/>
        <v/>
      </c>
      <c r="AS185" s="25" t="str">
        <f t="shared" si="40"/>
        <v/>
      </c>
      <c r="AT185" s="25" t="str">
        <f t="shared" si="41"/>
        <v/>
      </c>
      <c r="AU185" s="25" t="str">
        <f t="shared" si="42"/>
        <v/>
      </c>
      <c r="AV185" s="25" t="str">
        <f t="shared" si="43"/>
        <v/>
      </c>
      <c r="AW185" s="26" t="str">
        <f t="shared" si="44"/>
        <v/>
      </c>
    </row>
    <row r="186" spans="3:49" x14ac:dyDescent="0.25">
      <c r="C186">
        <v>30</v>
      </c>
      <c r="D186" t="str">
        <f t="shared" si="5"/>
        <v/>
      </c>
      <c r="E186" s="24" t="str">
        <f t="shared" si="6"/>
        <v/>
      </c>
      <c r="F186" s="25" t="str">
        <f t="shared" si="7"/>
        <v/>
      </c>
      <c r="G186" s="25" t="str">
        <f t="shared" si="8"/>
        <v/>
      </c>
      <c r="H186" s="25" t="str">
        <f t="shared" si="9"/>
        <v/>
      </c>
      <c r="I186" s="25" t="str">
        <f t="shared" si="10"/>
        <v/>
      </c>
      <c r="J186" s="25" t="str">
        <f t="shared" si="11"/>
        <v/>
      </c>
      <c r="K186" s="26" t="str">
        <f t="shared" si="12"/>
        <v/>
      </c>
      <c r="N186" t="str">
        <f t="shared" si="13"/>
        <v/>
      </c>
      <c r="O186" s="24" t="str">
        <f t="shared" si="14"/>
        <v/>
      </c>
      <c r="P186" s="25" t="str">
        <f t="shared" si="15"/>
        <v/>
      </c>
      <c r="Q186" s="25" t="str">
        <f t="shared" si="16"/>
        <v/>
      </c>
      <c r="R186" s="25" t="str">
        <f t="shared" si="17"/>
        <v/>
      </c>
      <c r="S186" s="25" t="str">
        <f t="shared" si="18"/>
        <v/>
      </c>
      <c r="T186" s="25" t="str">
        <f t="shared" si="19"/>
        <v/>
      </c>
      <c r="U186" s="25"/>
      <c r="V186" s="26" t="str">
        <f t="shared" si="20"/>
        <v/>
      </c>
      <c r="W186" t="str">
        <f t="shared" si="21"/>
        <v/>
      </c>
      <c r="X186" s="24" t="str">
        <f t="shared" si="22"/>
        <v/>
      </c>
      <c r="Y186" s="25" t="str">
        <f t="shared" si="23"/>
        <v/>
      </c>
      <c r="Z186" s="25" t="str">
        <f t="shared" si="24"/>
        <v/>
      </c>
      <c r="AA186" s="25" t="str">
        <f t="shared" si="25"/>
        <v/>
      </c>
      <c r="AB186" s="25" t="str">
        <f t="shared" si="26"/>
        <v/>
      </c>
      <c r="AC186" s="25" t="str">
        <f t="shared" si="27"/>
        <v/>
      </c>
      <c r="AD186" s="26" t="str">
        <f t="shared" si="28"/>
        <v/>
      </c>
      <c r="AE186" t="str">
        <f t="shared" si="29"/>
        <v/>
      </c>
      <c r="AF186" s="24" t="str">
        <f t="shared" si="30"/>
        <v/>
      </c>
      <c r="AG186" s="25" t="str">
        <f t="shared" si="31"/>
        <v/>
      </c>
      <c r="AH186" s="25" t="str">
        <f t="shared" si="32"/>
        <v/>
      </c>
      <c r="AI186" s="25" t="str">
        <f t="shared" si="33"/>
        <v/>
      </c>
      <c r="AJ186" s="25" t="str">
        <f t="shared" si="34"/>
        <v/>
      </c>
      <c r="AK186" s="25" t="str">
        <f t="shared" si="35"/>
        <v/>
      </c>
      <c r="AL186" s="26" t="str">
        <f t="shared" si="36"/>
        <v/>
      </c>
      <c r="AP186" t="str">
        <f t="shared" si="37"/>
        <v/>
      </c>
      <c r="AQ186" s="24" t="str">
        <f t="shared" si="38"/>
        <v/>
      </c>
      <c r="AR186" s="25" t="str">
        <f t="shared" si="39"/>
        <v/>
      </c>
      <c r="AS186" s="25" t="str">
        <f t="shared" si="40"/>
        <v/>
      </c>
      <c r="AT186" s="25" t="str">
        <f t="shared" si="41"/>
        <v/>
      </c>
      <c r="AU186" s="25" t="str">
        <f t="shared" si="42"/>
        <v/>
      </c>
      <c r="AV186" s="25" t="str">
        <f t="shared" si="43"/>
        <v/>
      </c>
      <c r="AW186" s="26" t="str">
        <f t="shared" si="44"/>
        <v/>
      </c>
    </row>
    <row r="187" spans="3:49" x14ac:dyDescent="0.25">
      <c r="C187">
        <v>31</v>
      </c>
      <c r="D187" t="str">
        <f t="shared" si="5"/>
        <v/>
      </c>
      <c r="E187" s="24" t="str">
        <f t="shared" si="6"/>
        <v/>
      </c>
      <c r="F187" s="25" t="str">
        <f t="shared" si="7"/>
        <v/>
      </c>
      <c r="G187" s="25" t="str">
        <f t="shared" si="8"/>
        <v/>
      </c>
      <c r="H187" s="25" t="str">
        <f t="shared" si="9"/>
        <v/>
      </c>
      <c r="I187" s="25" t="str">
        <f t="shared" si="10"/>
        <v/>
      </c>
      <c r="J187" s="25" t="str">
        <f t="shared" si="11"/>
        <v/>
      </c>
      <c r="K187" s="26" t="str">
        <f t="shared" si="12"/>
        <v/>
      </c>
      <c r="N187" t="str">
        <f t="shared" si="13"/>
        <v/>
      </c>
      <c r="O187" s="24" t="str">
        <f t="shared" si="14"/>
        <v/>
      </c>
      <c r="P187" s="25" t="str">
        <f t="shared" si="15"/>
        <v/>
      </c>
      <c r="Q187" s="25" t="str">
        <f t="shared" si="16"/>
        <v/>
      </c>
      <c r="R187" s="25" t="str">
        <f t="shared" si="17"/>
        <v/>
      </c>
      <c r="S187" s="25" t="str">
        <f t="shared" si="18"/>
        <v/>
      </c>
      <c r="T187" s="25" t="str">
        <f t="shared" si="19"/>
        <v/>
      </c>
      <c r="U187" s="25"/>
      <c r="V187" s="26" t="str">
        <f t="shared" si="20"/>
        <v/>
      </c>
      <c r="W187" t="str">
        <f t="shared" si="21"/>
        <v/>
      </c>
      <c r="X187" s="24" t="str">
        <f t="shared" si="22"/>
        <v/>
      </c>
      <c r="Y187" s="25" t="str">
        <f t="shared" si="23"/>
        <v/>
      </c>
      <c r="Z187" s="25" t="str">
        <f t="shared" si="24"/>
        <v/>
      </c>
      <c r="AA187" s="25" t="str">
        <f t="shared" si="25"/>
        <v/>
      </c>
      <c r="AB187" s="25" t="str">
        <f t="shared" si="26"/>
        <v/>
      </c>
      <c r="AC187" s="25" t="str">
        <f t="shared" si="27"/>
        <v/>
      </c>
      <c r="AD187" s="26" t="str">
        <f t="shared" si="28"/>
        <v/>
      </c>
      <c r="AE187" t="str">
        <f t="shared" si="29"/>
        <v/>
      </c>
      <c r="AF187" s="24" t="str">
        <f t="shared" si="30"/>
        <v/>
      </c>
      <c r="AG187" s="25" t="str">
        <f t="shared" si="31"/>
        <v/>
      </c>
      <c r="AH187" s="25" t="str">
        <f t="shared" si="32"/>
        <v/>
      </c>
      <c r="AI187" s="25" t="str">
        <f t="shared" si="33"/>
        <v/>
      </c>
      <c r="AJ187" s="25" t="str">
        <f t="shared" si="34"/>
        <v/>
      </c>
      <c r="AK187" s="25" t="str">
        <f t="shared" si="35"/>
        <v/>
      </c>
      <c r="AL187" s="26" t="str">
        <f t="shared" si="36"/>
        <v/>
      </c>
      <c r="AP187" t="str">
        <f t="shared" si="37"/>
        <v/>
      </c>
      <c r="AQ187" s="24" t="str">
        <f t="shared" si="38"/>
        <v/>
      </c>
      <c r="AR187" s="25" t="str">
        <f t="shared" si="39"/>
        <v/>
      </c>
      <c r="AS187" s="25" t="str">
        <f t="shared" si="40"/>
        <v/>
      </c>
      <c r="AT187" s="25" t="str">
        <f t="shared" si="41"/>
        <v/>
      </c>
      <c r="AU187" s="25" t="str">
        <f t="shared" si="42"/>
        <v/>
      </c>
      <c r="AV187" s="25" t="str">
        <f t="shared" si="43"/>
        <v/>
      </c>
      <c r="AW187" s="26" t="str">
        <f t="shared" si="44"/>
        <v/>
      </c>
    </row>
    <row r="188" spans="3:49" x14ac:dyDescent="0.25">
      <c r="C188">
        <v>32</v>
      </c>
      <c r="D188" t="str">
        <f t="shared" si="5"/>
        <v/>
      </c>
      <c r="E188" s="24" t="str">
        <f t="shared" si="6"/>
        <v/>
      </c>
      <c r="F188" s="25" t="str">
        <f t="shared" si="7"/>
        <v/>
      </c>
      <c r="G188" s="25" t="str">
        <f t="shared" si="8"/>
        <v/>
      </c>
      <c r="H188" s="25" t="str">
        <f t="shared" si="9"/>
        <v/>
      </c>
      <c r="I188" s="25" t="str">
        <f t="shared" si="10"/>
        <v/>
      </c>
      <c r="J188" s="25" t="str">
        <f t="shared" si="11"/>
        <v/>
      </c>
      <c r="K188" s="26" t="str">
        <f t="shared" si="12"/>
        <v/>
      </c>
      <c r="N188" t="str">
        <f t="shared" si="13"/>
        <v/>
      </c>
      <c r="O188" s="24" t="str">
        <f t="shared" si="14"/>
        <v/>
      </c>
      <c r="P188" s="25" t="str">
        <f t="shared" si="15"/>
        <v/>
      </c>
      <c r="Q188" s="25" t="str">
        <f t="shared" si="16"/>
        <v/>
      </c>
      <c r="R188" s="25" t="str">
        <f t="shared" si="17"/>
        <v/>
      </c>
      <c r="S188" s="25" t="str">
        <f t="shared" si="18"/>
        <v/>
      </c>
      <c r="T188" s="25" t="str">
        <f t="shared" si="19"/>
        <v/>
      </c>
      <c r="U188" s="25"/>
      <c r="V188" s="26" t="str">
        <f t="shared" si="20"/>
        <v/>
      </c>
      <c r="W188" t="str">
        <f t="shared" si="21"/>
        <v/>
      </c>
      <c r="X188" s="24" t="str">
        <f t="shared" si="22"/>
        <v/>
      </c>
      <c r="Y188" s="25" t="str">
        <f t="shared" si="23"/>
        <v/>
      </c>
      <c r="Z188" s="25" t="str">
        <f t="shared" si="24"/>
        <v/>
      </c>
      <c r="AA188" s="25" t="str">
        <f t="shared" si="25"/>
        <v/>
      </c>
      <c r="AB188" s="25" t="str">
        <f t="shared" si="26"/>
        <v/>
      </c>
      <c r="AC188" s="25" t="str">
        <f t="shared" si="27"/>
        <v/>
      </c>
      <c r="AD188" s="26" t="str">
        <f t="shared" si="28"/>
        <v/>
      </c>
      <c r="AE188" t="str">
        <f t="shared" si="29"/>
        <v/>
      </c>
      <c r="AF188" s="24" t="str">
        <f t="shared" si="30"/>
        <v/>
      </c>
      <c r="AG188" s="25" t="str">
        <f t="shared" si="31"/>
        <v/>
      </c>
      <c r="AH188" s="25" t="str">
        <f t="shared" si="32"/>
        <v/>
      </c>
      <c r="AI188" s="25" t="str">
        <f t="shared" si="33"/>
        <v/>
      </c>
      <c r="AJ188" s="25" t="str">
        <f t="shared" si="34"/>
        <v/>
      </c>
      <c r="AK188" s="25" t="str">
        <f t="shared" si="35"/>
        <v/>
      </c>
      <c r="AL188" s="26" t="str">
        <f t="shared" si="36"/>
        <v/>
      </c>
      <c r="AP188" t="str">
        <f t="shared" si="37"/>
        <v/>
      </c>
      <c r="AQ188" s="24" t="str">
        <f t="shared" si="38"/>
        <v/>
      </c>
      <c r="AR188" s="25" t="str">
        <f t="shared" si="39"/>
        <v/>
      </c>
      <c r="AS188" s="25" t="str">
        <f t="shared" si="40"/>
        <v/>
      </c>
      <c r="AT188" s="25" t="str">
        <f t="shared" si="41"/>
        <v/>
      </c>
      <c r="AU188" s="25" t="str">
        <f t="shared" si="42"/>
        <v/>
      </c>
      <c r="AV188" s="25" t="str">
        <f t="shared" si="43"/>
        <v/>
      </c>
      <c r="AW188" s="26" t="str">
        <f t="shared" si="44"/>
        <v/>
      </c>
    </row>
    <row r="189" spans="3:49" x14ac:dyDescent="0.25">
      <c r="C189">
        <v>33</v>
      </c>
      <c r="D189" t="str">
        <f t="shared" ref="D189:D220" si="45">IF(ISNUMBER(E189),C189,"")</f>
        <v/>
      </c>
      <c r="E189" s="24" t="str">
        <f t="shared" ref="E189:E220" si="46">IF(ISNUMBER(E124),-ABS(E124*$Q$52),"")</f>
        <v/>
      </c>
      <c r="F189" s="25" t="str">
        <f t="shared" ref="F189:F220" si="47">IF(ISNUMBER(F124),-ABS(F124),"")</f>
        <v/>
      </c>
      <c r="G189" s="25" t="str">
        <f t="shared" ref="G189:G220" si="48">IF(ISNUMBER(G124),ABS(G124*$Q$55),"")</f>
        <v/>
      </c>
      <c r="H189" s="25" t="str">
        <f t="shared" ref="H189:H220" si="49">IF(ISNUMBER(H124),ABS(H124),"")</f>
        <v/>
      </c>
      <c r="I189" s="25" t="str">
        <f t="shared" ref="I189:I220" si="50">IF(ISNUMBER(I124),-ABS(I124*$Q$52),"")</f>
        <v/>
      </c>
      <c r="J189" s="25" t="str">
        <f t="shared" ref="J189:J220" si="51">IF(ISNUMBER(J124),-ABS(J124),"")</f>
        <v/>
      </c>
      <c r="K189" s="26" t="str">
        <f t="shared" ref="K189:K220" si="52">IF(ISNUMBER(K124),ABS(K124*$Q$55),"")</f>
        <v/>
      </c>
      <c r="N189" t="str">
        <f t="shared" ref="N189:N220" si="53">IF(ISNUMBER(N124),ABS(N124),"")</f>
        <v/>
      </c>
      <c r="O189" s="24" t="str">
        <f t="shared" ref="O189:O220" si="54">IF(ISNUMBER(O124),-ABS(O124*$Q$58),"")</f>
        <v/>
      </c>
      <c r="P189" s="25" t="str">
        <f t="shared" ref="P189:P220" si="55">IF(ISNUMBER(P124),-ABS(P124),"")</f>
        <v/>
      </c>
      <c r="Q189" s="25" t="str">
        <f t="shared" ref="Q189:Q220" si="56">IF(ISNUMBER(Q124),ABS(Q124*$Q$61),"")</f>
        <v/>
      </c>
      <c r="R189" s="25" t="str">
        <f t="shared" ref="R189:R220" si="57">IF(ISNUMBER(R124),ABS(R124),"")</f>
        <v/>
      </c>
      <c r="S189" s="25" t="str">
        <f t="shared" ref="S189:S220" si="58">IF(ISNUMBER(S124),-ABS(S124*$Q$58),"")</f>
        <v/>
      </c>
      <c r="T189" s="25" t="str">
        <f t="shared" ref="T189:T220" si="59">IF(ISNUMBER(T124),-ABS(T124),"")</f>
        <v/>
      </c>
      <c r="U189" s="25"/>
      <c r="V189" s="26" t="str">
        <f t="shared" ref="V189:V220" si="60">IF(ISNUMBER(V124),ABS(V124*$Q$61),"")</f>
        <v/>
      </c>
      <c r="W189" t="str">
        <f t="shared" ref="W189:W220" si="61">IF(ISNUMBER(W124),ABS(W124),"")</f>
        <v/>
      </c>
      <c r="X189" s="24" t="str">
        <f t="shared" ref="X189:X220" si="62">IF(ISNUMBER(X124),-ABS(X124*$Q$64),"")</f>
        <v/>
      </c>
      <c r="Y189" s="25" t="str">
        <f t="shared" ref="Y189:Y220" si="63">IF(ISNUMBER(Y124),-ABS(Y124),"")</f>
        <v/>
      </c>
      <c r="Z189" s="25" t="str">
        <f t="shared" ref="Z189:Z220" si="64">IF(ISNUMBER(Z124),ABS(Z124*$Q$67),"")</f>
        <v/>
      </c>
      <c r="AA189" s="25" t="str">
        <f t="shared" ref="AA189:AA220" si="65">IF(ISNUMBER(AA124),ABS(AA124),"")</f>
        <v/>
      </c>
      <c r="AB189" s="25" t="str">
        <f t="shared" ref="AB189:AB220" si="66">IF(ISNUMBER(AB124),-ABS(AB124*$Q$64),"")</f>
        <v/>
      </c>
      <c r="AC189" s="25" t="str">
        <f t="shared" ref="AC189:AC220" si="67">IF(ISNUMBER(AC124),-ABS(AC124),"")</f>
        <v/>
      </c>
      <c r="AD189" s="26" t="str">
        <f t="shared" ref="AD189:AD220" si="68">IF(ISNUMBER(AD124),ABS(AD124*$Q$67),"")</f>
        <v/>
      </c>
      <c r="AE189" t="str">
        <f t="shared" ref="AE189:AE220" si="69">IF(ISNUMBER(AE124),ABS(AE124),"")</f>
        <v/>
      </c>
      <c r="AF189" s="24" t="str">
        <f t="shared" ref="AF189:AF220" si="70">IF(ISNUMBER(AF124),-ABS(AF124*$Q$70),"")</f>
        <v/>
      </c>
      <c r="AG189" s="25" t="str">
        <f t="shared" ref="AG189:AG220" si="71">IF(ISNUMBER(AG124),-ABS(AG124),"")</f>
        <v/>
      </c>
      <c r="AH189" s="25" t="str">
        <f t="shared" ref="AH189:AH220" si="72">IF(ISNUMBER(AH124),ABS(AH124*$Q$73),"")</f>
        <v/>
      </c>
      <c r="AI189" s="25" t="str">
        <f t="shared" ref="AI189:AI220" si="73">IF(ISNUMBER(AI124),ABS(AI124),"")</f>
        <v/>
      </c>
      <c r="AJ189" s="25" t="str">
        <f t="shared" ref="AJ189:AJ220" si="74">IF(ISNUMBER(AJ124),-ABS(AJ124*$Q$70),"")</f>
        <v/>
      </c>
      <c r="AK189" s="25" t="str">
        <f t="shared" ref="AK189:AK220" si="75">IF(ISNUMBER(AK124),-ABS(AK124),"")</f>
        <v/>
      </c>
      <c r="AL189" s="26" t="str">
        <f t="shared" ref="AL189:AL220" si="76">IF(ISNUMBER(AL124),ABS(AL124*$Q$73),"")</f>
        <v/>
      </c>
      <c r="AP189" t="str">
        <f t="shared" ref="AP189:AP220" si="77">IF(ISNUMBER(AP124),ABS(AP124),"")</f>
        <v/>
      </c>
      <c r="AQ189" s="24" t="str">
        <f t="shared" ref="AQ189:AQ220" si="78">IF(ISNUMBER(AQ124),-ABS(AQ124*$Q$76),"")</f>
        <v/>
      </c>
      <c r="AR189" s="25" t="str">
        <f t="shared" ref="AR189:AR220" si="79">IF(ISNUMBER(AR124),-ABS(AR124),"")</f>
        <v/>
      </c>
      <c r="AS189" s="25" t="str">
        <f t="shared" ref="AS189:AS220" si="80">IF(ISNUMBER(AS124),ABS(AS124*$Q$79),"")</f>
        <v/>
      </c>
      <c r="AT189" s="25" t="str">
        <f t="shared" ref="AT189:AT220" si="81">IF(ISNUMBER(AT124),ABS(AT124),"")</f>
        <v/>
      </c>
      <c r="AU189" s="25" t="str">
        <f t="shared" ref="AU189:AU220" si="82">IF(ISNUMBER(AU124),-ABS(AU124*$Q$76),"")</f>
        <v/>
      </c>
      <c r="AV189" s="25" t="str">
        <f t="shared" ref="AV189:AV220" si="83">IF(ISNUMBER(AV124),-ABS(AV124),"")</f>
        <v/>
      </c>
      <c r="AW189" s="26" t="str">
        <f t="shared" ref="AW189:AW220" si="84">IF(ISNUMBER(AW124),ABS(AW124*$Q$79),"")</f>
        <v/>
      </c>
    </row>
    <row r="190" spans="3:49" x14ac:dyDescent="0.25">
      <c r="C190">
        <v>34</v>
      </c>
      <c r="D190" t="str">
        <f t="shared" si="45"/>
        <v/>
      </c>
      <c r="E190" s="24" t="str">
        <f t="shared" si="46"/>
        <v/>
      </c>
      <c r="F190" s="25" t="str">
        <f t="shared" si="47"/>
        <v/>
      </c>
      <c r="G190" s="25" t="str">
        <f t="shared" si="48"/>
        <v/>
      </c>
      <c r="H190" s="25" t="str">
        <f t="shared" si="49"/>
        <v/>
      </c>
      <c r="I190" s="25" t="str">
        <f t="shared" si="50"/>
        <v/>
      </c>
      <c r="J190" s="25" t="str">
        <f t="shared" si="51"/>
        <v/>
      </c>
      <c r="K190" s="26" t="str">
        <f t="shared" si="52"/>
        <v/>
      </c>
      <c r="N190" t="str">
        <f t="shared" si="53"/>
        <v/>
      </c>
      <c r="O190" s="24" t="str">
        <f t="shared" si="54"/>
        <v/>
      </c>
      <c r="P190" s="25" t="str">
        <f t="shared" si="55"/>
        <v/>
      </c>
      <c r="Q190" s="25" t="str">
        <f t="shared" si="56"/>
        <v/>
      </c>
      <c r="R190" s="25" t="str">
        <f t="shared" si="57"/>
        <v/>
      </c>
      <c r="S190" s="25" t="str">
        <f t="shared" si="58"/>
        <v/>
      </c>
      <c r="T190" s="25" t="str">
        <f t="shared" si="59"/>
        <v/>
      </c>
      <c r="U190" s="25"/>
      <c r="V190" s="26" t="str">
        <f t="shared" si="60"/>
        <v/>
      </c>
      <c r="W190" t="str">
        <f t="shared" si="61"/>
        <v/>
      </c>
      <c r="X190" s="24" t="str">
        <f t="shared" si="62"/>
        <v/>
      </c>
      <c r="Y190" s="25" t="str">
        <f t="shared" si="63"/>
        <v/>
      </c>
      <c r="Z190" s="25" t="str">
        <f t="shared" si="64"/>
        <v/>
      </c>
      <c r="AA190" s="25" t="str">
        <f t="shared" si="65"/>
        <v/>
      </c>
      <c r="AB190" s="25" t="str">
        <f t="shared" si="66"/>
        <v/>
      </c>
      <c r="AC190" s="25" t="str">
        <f t="shared" si="67"/>
        <v/>
      </c>
      <c r="AD190" s="26" t="str">
        <f t="shared" si="68"/>
        <v/>
      </c>
      <c r="AE190" t="str">
        <f t="shared" si="69"/>
        <v/>
      </c>
      <c r="AF190" s="24" t="str">
        <f t="shared" si="70"/>
        <v/>
      </c>
      <c r="AG190" s="25" t="str">
        <f t="shared" si="71"/>
        <v/>
      </c>
      <c r="AH190" s="25" t="str">
        <f t="shared" si="72"/>
        <v/>
      </c>
      <c r="AI190" s="25" t="str">
        <f t="shared" si="73"/>
        <v/>
      </c>
      <c r="AJ190" s="25" t="str">
        <f t="shared" si="74"/>
        <v/>
      </c>
      <c r="AK190" s="25" t="str">
        <f t="shared" si="75"/>
        <v/>
      </c>
      <c r="AL190" s="26" t="str">
        <f t="shared" si="76"/>
        <v/>
      </c>
      <c r="AP190" t="str">
        <f t="shared" si="77"/>
        <v/>
      </c>
      <c r="AQ190" s="24" t="str">
        <f t="shared" si="78"/>
        <v/>
      </c>
      <c r="AR190" s="25" t="str">
        <f t="shared" si="79"/>
        <v/>
      </c>
      <c r="AS190" s="25" t="str">
        <f t="shared" si="80"/>
        <v/>
      </c>
      <c r="AT190" s="25" t="str">
        <f t="shared" si="81"/>
        <v/>
      </c>
      <c r="AU190" s="25" t="str">
        <f t="shared" si="82"/>
        <v/>
      </c>
      <c r="AV190" s="25" t="str">
        <f t="shared" si="83"/>
        <v/>
      </c>
      <c r="AW190" s="26" t="str">
        <f t="shared" si="84"/>
        <v/>
      </c>
    </row>
    <row r="191" spans="3:49" x14ac:dyDescent="0.25">
      <c r="C191">
        <v>35</v>
      </c>
      <c r="D191" t="str">
        <f t="shared" si="45"/>
        <v/>
      </c>
      <c r="E191" s="24" t="str">
        <f t="shared" si="46"/>
        <v/>
      </c>
      <c r="F191" s="25" t="str">
        <f t="shared" si="47"/>
        <v/>
      </c>
      <c r="G191" s="25" t="str">
        <f t="shared" si="48"/>
        <v/>
      </c>
      <c r="H191" s="25" t="str">
        <f t="shared" si="49"/>
        <v/>
      </c>
      <c r="I191" s="25" t="str">
        <f t="shared" si="50"/>
        <v/>
      </c>
      <c r="J191" s="25" t="str">
        <f t="shared" si="51"/>
        <v/>
      </c>
      <c r="K191" s="26" t="str">
        <f t="shared" si="52"/>
        <v/>
      </c>
      <c r="N191" t="str">
        <f t="shared" si="53"/>
        <v/>
      </c>
      <c r="O191" s="24" t="str">
        <f t="shared" si="54"/>
        <v/>
      </c>
      <c r="P191" s="25" t="str">
        <f t="shared" si="55"/>
        <v/>
      </c>
      <c r="Q191" s="25" t="str">
        <f t="shared" si="56"/>
        <v/>
      </c>
      <c r="R191" s="25" t="str">
        <f t="shared" si="57"/>
        <v/>
      </c>
      <c r="S191" s="25" t="str">
        <f t="shared" si="58"/>
        <v/>
      </c>
      <c r="T191" s="25" t="str">
        <f t="shared" si="59"/>
        <v/>
      </c>
      <c r="U191" s="25"/>
      <c r="V191" s="26" t="str">
        <f t="shared" si="60"/>
        <v/>
      </c>
      <c r="W191" t="str">
        <f t="shared" si="61"/>
        <v/>
      </c>
      <c r="X191" s="24" t="str">
        <f t="shared" si="62"/>
        <v/>
      </c>
      <c r="Y191" s="25" t="str">
        <f t="shared" si="63"/>
        <v/>
      </c>
      <c r="Z191" s="25" t="str">
        <f t="shared" si="64"/>
        <v/>
      </c>
      <c r="AA191" s="25" t="str">
        <f t="shared" si="65"/>
        <v/>
      </c>
      <c r="AB191" s="25" t="str">
        <f t="shared" si="66"/>
        <v/>
      </c>
      <c r="AC191" s="25" t="str">
        <f t="shared" si="67"/>
        <v/>
      </c>
      <c r="AD191" s="26" t="str">
        <f t="shared" si="68"/>
        <v/>
      </c>
      <c r="AE191" t="str">
        <f t="shared" si="69"/>
        <v/>
      </c>
      <c r="AF191" s="24" t="str">
        <f t="shared" si="70"/>
        <v/>
      </c>
      <c r="AG191" s="25" t="str">
        <f t="shared" si="71"/>
        <v/>
      </c>
      <c r="AH191" s="25" t="str">
        <f t="shared" si="72"/>
        <v/>
      </c>
      <c r="AI191" s="25" t="str">
        <f t="shared" si="73"/>
        <v/>
      </c>
      <c r="AJ191" s="25" t="str">
        <f t="shared" si="74"/>
        <v/>
      </c>
      <c r="AK191" s="25" t="str">
        <f t="shared" si="75"/>
        <v/>
      </c>
      <c r="AL191" s="26" t="str">
        <f t="shared" si="76"/>
        <v/>
      </c>
      <c r="AP191" t="str">
        <f t="shared" si="77"/>
        <v/>
      </c>
      <c r="AQ191" s="24" t="str">
        <f t="shared" si="78"/>
        <v/>
      </c>
      <c r="AR191" s="25" t="str">
        <f t="shared" si="79"/>
        <v/>
      </c>
      <c r="AS191" s="25" t="str">
        <f t="shared" si="80"/>
        <v/>
      </c>
      <c r="AT191" s="25" t="str">
        <f t="shared" si="81"/>
        <v/>
      </c>
      <c r="AU191" s="25" t="str">
        <f t="shared" si="82"/>
        <v/>
      </c>
      <c r="AV191" s="25" t="str">
        <f t="shared" si="83"/>
        <v/>
      </c>
      <c r="AW191" s="26" t="str">
        <f t="shared" si="84"/>
        <v/>
      </c>
    </row>
    <row r="192" spans="3:49" x14ac:dyDescent="0.25">
      <c r="C192">
        <v>36</v>
      </c>
      <c r="D192" t="str">
        <f t="shared" si="45"/>
        <v/>
      </c>
      <c r="E192" s="24" t="str">
        <f t="shared" si="46"/>
        <v/>
      </c>
      <c r="F192" s="25" t="str">
        <f t="shared" si="47"/>
        <v/>
      </c>
      <c r="G192" s="25" t="str">
        <f t="shared" si="48"/>
        <v/>
      </c>
      <c r="H192" s="25" t="str">
        <f t="shared" si="49"/>
        <v/>
      </c>
      <c r="I192" s="25" t="str">
        <f t="shared" si="50"/>
        <v/>
      </c>
      <c r="J192" s="25" t="str">
        <f t="shared" si="51"/>
        <v/>
      </c>
      <c r="K192" s="26" t="str">
        <f t="shared" si="52"/>
        <v/>
      </c>
      <c r="N192" t="str">
        <f t="shared" si="53"/>
        <v/>
      </c>
      <c r="O192" s="24" t="str">
        <f t="shared" si="54"/>
        <v/>
      </c>
      <c r="P192" s="25" t="str">
        <f t="shared" si="55"/>
        <v/>
      </c>
      <c r="Q192" s="25" t="str">
        <f t="shared" si="56"/>
        <v/>
      </c>
      <c r="R192" s="25" t="str">
        <f t="shared" si="57"/>
        <v/>
      </c>
      <c r="S192" s="25" t="str">
        <f t="shared" si="58"/>
        <v/>
      </c>
      <c r="T192" s="25" t="str">
        <f t="shared" si="59"/>
        <v/>
      </c>
      <c r="U192" s="25"/>
      <c r="V192" s="26" t="str">
        <f t="shared" si="60"/>
        <v/>
      </c>
      <c r="W192" t="str">
        <f t="shared" si="61"/>
        <v/>
      </c>
      <c r="X192" s="24" t="str">
        <f t="shared" si="62"/>
        <v/>
      </c>
      <c r="Y192" s="25" t="str">
        <f t="shared" si="63"/>
        <v/>
      </c>
      <c r="Z192" s="25" t="str">
        <f t="shared" si="64"/>
        <v/>
      </c>
      <c r="AA192" s="25" t="str">
        <f t="shared" si="65"/>
        <v/>
      </c>
      <c r="AB192" s="25" t="str">
        <f t="shared" si="66"/>
        <v/>
      </c>
      <c r="AC192" s="25" t="str">
        <f t="shared" si="67"/>
        <v/>
      </c>
      <c r="AD192" s="26" t="str">
        <f t="shared" si="68"/>
        <v/>
      </c>
      <c r="AE192" t="str">
        <f t="shared" si="69"/>
        <v/>
      </c>
      <c r="AF192" s="24" t="str">
        <f t="shared" si="70"/>
        <v/>
      </c>
      <c r="AG192" s="25" t="str">
        <f t="shared" si="71"/>
        <v/>
      </c>
      <c r="AH192" s="25" t="str">
        <f t="shared" si="72"/>
        <v/>
      </c>
      <c r="AI192" s="25" t="str">
        <f t="shared" si="73"/>
        <v/>
      </c>
      <c r="AJ192" s="25" t="str">
        <f t="shared" si="74"/>
        <v/>
      </c>
      <c r="AK192" s="25" t="str">
        <f t="shared" si="75"/>
        <v/>
      </c>
      <c r="AL192" s="26" t="str">
        <f t="shared" si="76"/>
        <v/>
      </c>
      <c r="AP192" t="str">
        <f t="shared" si="77"/>
        <v/>
      </c>
      <c r="AQ192" s="24" t="str">
        <f t="shared" si="78"/>
        <v/>
      </c>
      <c r="AR192" s="25" t="str">
        <f t="shared" si="79"/>
        <v/>
      </c>
      <c r="AS192" s="25" t="str">
        <f t="shared" si="80"/>
        <v/>
      </c>
      <c r="AT192" s="25" t="str">
        <f t="shared" si="81"/>
        <v/>
      </c>
      <c r="AU192" s="25" t="str">
        <f t="shared" si="82"/>
        <v/>
      </c>
      <c r="AV192" s="25" t="str">
        <f t="shared" si="83"/>
        <v/>
      </c>
      <c r="AW192" s="26" t="str">
        <f t="shared" si="84"/>
        <v/>
      </c>
    </row>
    <row r="193" spans="3:49" x14ac:dyDescent="0.25">
      <c r="C193">
        <v>37</v>
      </c>
      <c r="D193" t="str">
        <f t="shared" si="45"/>
        <v/>
      </c>
      <c r="E193" s="24" t="str">
        <f t="shared" si="46"/>
        <v/>
      </c>
      <c r="F193" s="25" t="str">
        <f t="shared" si="47"/>
        <v/>
      </c>
      <c r="G193" s="25" t="str">
        <f t="shared" si="48"/>
        <v/>
      </c>
      <c r="H193" s="25" t="str">
        <f t="shared" si="49"/>
        <v/>
      </c>
      <c r="I193" s="25" t="str">
        <f t="shared" si="50"/>
        <v/>
      </c>
      <c r="J193" s="25" t="str">
        <f t="shared" si="51"/>
        <v/>
      </c>
      <c r="K193" s="26" t="str">
        <f t="shared" si="52"/>
        <v/>
      </c>
      <c r="N193" t="str">
        <f t="shared" si="53"/>
        <v/>
      </c>
      <c r="O193" s="24" t="str">
        <f t="shared" si="54"/>
        <v/>
      </c>
      <c r="P193" s="25" t="str">
        <f t="shared" si="55"/>
        <v/>
      </c>
      <c r="Q193" s="25" t="str">
        <f t="shared" si="56"/>
        <v/>
      </c>
      <c r="R193" s="25" t="str">
        <f t="shared" si="57"/>
        <v/>
      </c>
      <c r="S193" s="25" t="str">
        <f t="shared" si="58"/>
        <v/>
      </c>
      <c r="T193" s="25" t="str">
        <f t="shared" si="59"/>
        <v/>
      </c>
      <c r="U193" s="25"/>
      <c r="V193" s="26" t="str">
        <f t="shared" si="60"/>
        <v/>
      </c>
      <c r="W193" t="str">
        <f t="shared" si="61"/>
        <v/>
      </c>
      <c r="X193" s="24" t="str">
        <f t="shared" si="62"/>
        <v/>
      </c>
      <c r="Y193" s="25" t="str">
        <f t="shared" si="63"/>
        <v/>
      </c>
      <c r="Z193" s="25" t="str">
        <f t="shared" si="64"/>
        <v/>
      </c>
      <c r="AA193" s="25" t="str">
        <f t="shared" si="65"/>
        <v/>
      </c>
      <c r="AB193" s="25" t="str">
        <f t="shared" si="66"/>
        <v/>
      </c>
      <c r="AC193" s="25" t="str">
        <f t="shared" si="67"/>
        <v/>
      </c>
      <c r="AD193" s="26" t="str">
        <f t="shared" si="68"/>
        <v/>
      </c>
      <c r="AE193" t="str">
        <f t="shared" si="69"/>
        <v/>
      </c>
      <c r="AF193" s="24" t="str">
        <f t="shared" si="70"/>
        <v/>
      </c>
      <c r="AG193" s="25" t="str">
        <f t="shared" si="71"/>
        <v/>
      </c>
      <c r="AH193" s="25" t="str">
        <f t="shared" si="72"/>
        <v/>
      </c>
      <c r="AI193" s="25" t="str">
        <f t="shared" si="73"/>
        <v/>
      </c>
      <c r="AJ193" s="25" t="str">
        <f t="shared" si="74"/>
        <v/>
      </c>
      <c r="AK193" s="25" t="str">
        <f t="shared" si="75"/>
        <v/>
      </c>
      <c r="AL193" s="26" t="str">
        <f t="shared" si="76"/>
        <v/>
      </c>
      <c r="AP193" t="str">
        <f t="shared" si="77"/>
        <v/>
      </c>
      <c r="AQ193" s="24" t="str">
        <f t="shared" si="78"/>
        <v/>
      </c>
      <c r="AR193" s="25" t="str">
        <f t="shared" si="79"/>
        <v/>
      </c>
      <c r="AS193" s="25" t="str">
        <f t="shared" si="80"/>
        <v/>
      </c>
      <c r="AT193" s="25" t="str">
        <f t="shared" si="81"/>
        <v/>
      </c>
      <c r="AU193" s="25" t="str">
        <f t="shared" si="82"/>
        <v/>
      </c>
      <c r="AV193" s="25" t="str">
        <f t="shared" si="83"/>
        <v/>
      </c>
      <c r="AW193" s="26" t="str">
        <f t="shared" si="84"/>
        <v/>
      </c>
    </row>
    <row r="194" spans="3:49" x14ac:dyDescent="0.25">
      <c r="C194">
        <v>38</v>
      </c>
      <c r="D194" t="str">
        <f t="shared" si="45"/>
        <v/>
      </c>
      <c r="E194" s="24" t="str">
        <f t="shared" si="46"/>
        <v/>
      </c>
      <c r="F194" s="25" t="str">
        <f t="shared" si="47"/>
        <v/>
      </c>
      <c r="G194" s="25" t="str">
        <f t="shared" si="48"/>
        <v/>
      </c>
      <c r="H194" s="25" t="str">
        <f t="shared" si="49"/>
        <v/>
      </c>
      <c r="I194" s="25" t="str">
        <f t="shared" si="50"/>
        <v/>
      </c>
      <c r="J194" s="25" t="str">
        <f t="shared" si="51"/>
        <v/>
      </c>
      <c r="K194" s="26" t="str">
        <f t="shared" si="52"/>
        <v/>
      </c>
      <c r="N194" t="str">
        <f t="shared" si="53"/>
        <v/>
      </c>
      <c r="O194" s="24" t="str">
        <f t="shared" si="54"/>
        <v/>
      </c>
      <c r="P194" s="25" t="str">
        <f t="shared" si="55"/>
        <v/>
      </c>
      <c r="Q194" s="25" t="str">
        <f t="shared" si="56"/>
        <v/>
      </c>
      <c r="R194" s="25" t="str">
        <f t="shared" si="57"/>
        <v/>
      </c>
      <c r="S194" s="25" t="str">
        <f t="shared" si="58"/>
        <v/>
      </c>
      <c r="T194" s="25" t="str">
        <f t="shared" si="59"/>
        <v/>
      </c>
      <c r="U194" s="25"/>
      <c r="V194" s="26" t="str">
        <f t="shared" si="60"/>
        <v/>
      </c>
      <c r="W194" t="str">
        <f t="shared" si="61"/>
        <v/>
      </c>
      <c r="X194" s="24" t="str">
        <f t="shared" si="62"/>
        <v/>
      </c>
      <c r="Y194" s="25" t="str">
        <f t="shared" si="63"/>
        <v/>
      </c>
      <c r="Z194" s="25" t="str">
        <f t="shared" si="64"/>
        <v/>
      </c>
      <c r="AA194" s="25" t="str">
        <f t="shared" si="65"/>
        <v/>
      </c>
      <c r="AB194" s="25" t="str">
        <f t="shared" si="66"/>
        <v/>
      </c>
      <c r="AC194" s="25" t="str">
        <f t="shared" si="67"/>
        <v/>
      </c>
      <c r="AD194" s="26" t="str">
        <f t="shared" si="68"/>
        <v/>
      </c>
      <c r="AE194" t="str">
        <f t="shared" si="69"/>
        <v/>
      </c>
      <c r="AF194" s="24" t="str">
        <f t="shared" si="70"/>
        <v/>
      </c>
      <c r="AG194" s="25" t="str">
        <f t="shared" si="71"/>
        <v/>
      </c>
      <c r="AH194" s="25" t="str">
        <f t="shared" si="72"/>
        <v/>
      </c>
      <c r="AI194" s="25" t="str">
        <f t="shared" si="73"/>
        <v/>
      </c>
      <c r="AJ194" s="25" t="str">
        <f t="shared" si="74"/>
        <v/>
      </c>
      <c r="AK194" s="25" t="str">
        <f t="shared" si="75"/>
        <v/>
      </c>
      <c r="AL194" s="26" t="str">
        <f t="shared" si="76"/>
        <v/>
      </c>
      <c r="AP194" t="str">
        <f t="shared" si="77"/>
        <v/>
      </c>
      <c r="AQ194" s="24" t="str">
        <f t="shared" si="78"/>
        <v/>
      </c>
      <c r="AR194" s="25" t="str">
        <f t="shared" si="79"/>
        <v/>
      </c>
      <c r="AS194" s="25" t="str">
        <f t="shared" si="80"/>
        <v/>
      </c>
      <c r="AT194" s="25" t="str">
        <f t="shared" si="81"/>
        <v/>
      </c>
      <c r="AU194" s="25" t="str">
        <f t="shared" si="82"/>
        <v/>
      </c>
      <c r="AV194" s="25" t="str">
        <f t="shared" si="83"/>
        <v/>
      </c>
      <c r="AW194" s="26" t="str">
        <f t="shared" si="84"/>
        <v/>
      </c>
    </row>
    <row r="195" spans="3:49" x14ac:dyDescent="0.25">
      <c r="C195">
        <v>39</v>
      </c>
      <c r="D195" t="str">
        <f t="shared" si="45"/>
        <v/>
      </c>
      <c r="E195" s="24" t="str">
        <f t="shared" si="46"/>
        <v/>
      </c>
      <c r="F195" s="25" t="str">
        <f t="shared" si="47"/>
        <v/>
      </c>
      <c r="G195" s="25" t="str">
        <f t="shared" si="48"/>
        <v/>
      </c>
      <c r="H195" s="25" t="str">
        <f t="shared" si="49"/>
        <v/>
      </c>
      <c r="I195" s="25" t="str">
        <f t="shared" si="50"/>
        <v/>
      </c>
      <c r="J195" s="25" t="str">
        <f t="shared" si="51"/>
        <v/>
      </c>
      <c r="K195" s="26" t="str">
        <f t="shared" si="52"/>
        <v/>
      </c>
      <c r="N195" t="str">
        <f t="shared" si="53"/>
        <v/>
      </c>
      <c r="O195" s="24" t="str">
        <f t="shared" si="54"/>
        <v/>
      </c>
      <c r="P195" s="25" t="str">
        <f t="shared" si="55"/>
        <v/>
      </c>
      <c r="Q195" s="25" t="str">
        <f t="shared" si="56"/>
        <v/>
      </c>
      <c r="R195" s="25" t="str">
        <f t="shared" si="57"/>
        <v/>
      </c>
      <c r="S195" s="25" t="str">
        <f t="shared" si="58"/>
        <v/>
      </c>
      <c r="T195" s="25" t="str">
        <f t="shared" si="59"/>
        <v/>
      </c>
      <c r="U195" s="25"/>
      <c r="V195" s="26" t="str">
        <f t="shared" si="60"/>
        <v/>
      </c>
      <c r="W195" t="str">
        <f t="shared" si="61"/>
        <v/>
      </c>
      <c r="X195" s="24" t="str">
        <f t="shared" si="62"/>
        <v/>
      </c>
      <c r="Y195" s="25" t="str">
        <f t="shared" si="63"/>
        <v/>
      </c>
      <c r="Z195" s="25" t="str">
        <f t="shared" si="64"/>
        <v/>
      </c>
      <c r="AA195" s="25" t="str">
        <f t="shared" si="65"/>
        <v/>
      </c>
      <c r="AB195" s="25" t="str">
        <f t="shared" si="66"/>
        <v/>
      </c>
      <c r="AC195" s="25" t="str">
        <f t="shared" si="67"/>
        <v/>
      </c>
      <c r="AD195" s="26" t="str">
        <f t="shared" si="68"/>
        <v/>
      </c>
      <c r="AE195" t="str">
        <f t="shared" si="69"/>
        <v/>
      </c>
      <c r="AF195" s="24" t="str">
        <f t="shared" si="70"/>
        <v/>
      </c>
      <c r="AG195" s="25" t="str">
        <f t="shared" si="71"/>
        <v/>
      </c>
      <c r="AH195" s="25" t="str">
        <f t="shared" si="72"/>
        <v/>
      </c>
      <c r="AI195" s="25" t="str">
        <f t="shared" si="73"/>
        <v/>
      </c>
      <c r="AJ195" s="25" t="str">
        <f t="shared" si="74"/>
        <v/>
      </c>
      <c r="AK195" s="25" t="str">
        <f t="shared" si="75"/>
        <v/>
      </c>
      <c r="AL195" s="26" t="str">
        <f t="shared" si="76"/>
        <v/>
      </c>
      <c r="AP195" t="str">
        <f t="shared" si="77"/>
        <v/>
      </c>
      <c r="AQ195" s="24" t="str">
        <f t="shared" si="78"/>
        <v/>
      </c>
      <c r="AR195" s="25" t="str">
        <f t="shared" si="79"/>
        <v/>
      </c>
      <c r="AS195" s="25" t="str">
        <f t="shared" si="80"/>
        <v/>
      </c>
      <c r="AT195" s="25" t="str">
        <f t="shared" si="81"/>
        <v/>
      </c>
      <c r="AU195" s="25" t="str">
        <f t="shared" si="82"/>
        <v/>
      </c>
      <c r="AV195" s="25" t="str">
        <f t="shared" si="83"/>
        <v/>
      </c>
      <c r="AW195" s="26" t="str">
        <f t="shared" si="84"/>
        <v/>
      </c>
    </row>
    <row r="196" spans="3:49" x14ac:dyDescent="0.25">
      <c r="C196">
        <v>40</v>
      </c>
      <c r="D196" t="str">
        <f t="shared" si="45"/>
        <v/>
      </c>
      <c r="E196" s="24" t="str">
        <f t="shared" si="46"/>
        <v/>
      </c>
      <c r="F196" s="25" t="str">
        <f t="shared" si="47"/>
        <v/>
      </c>
      <c r="G196" s="25" t="str">
        <f t="shared" si="48"/>
        <v/>
      </c>
      <c r="H196" s="25" t="str">
        <f t="shared" si="49"/>
        <v/>
      </c>
      <c r="I196" s="25" t="str">
        <f t="shared" si="50"/>
        <v/>
      </c>
      <c r="J196" s="25" t="str">
        <f t="shared" si="51"/>
        <v/>
      </c>
      <c r="K196" s="26" t="str">
        <f t="shared" si="52"/>
        <v/>
      </c>
      <c r="N196" t="str">
        <f t="shared" si="53"/>
        <v/>
      </c>
      <c r="O196" s="24" t="str">
        <f t="shared" si="54"/>
        <v/>
      </c>
      <c r="P196" s="25" t="str">
        <f t="shared" si="55"/>
        <v/>
      </c>
      <c r="Q196" s="25" t="str">
        <f t="shared" si="56"/>
        <v/>
      </c>
      <c r="R196" s="25" t="str">
        <f t="shared" si="57"/>
        <v/>
      </c>
      <c r="S196" s="25" t="str">
        <f t="shared" si="58"/>
        <v/>
      </c>
      <c r="T196" s="25" t="str">
        <f t="shared" si="59"/>
        <v/>
      </c>
      <c r="U196" s="25"/>
      <c r="V196" s="26" t="str">
        <f t="shared" si="60"/>
        <v/>
      </c>
      <c r="W196" t="str">
        <f t="shared" si="61"/>
        <v/>
      </c>
      <c r="X196" s="24" t="str">
        <f t="shared" si="62"/>
        <v/>
      </c>
      <c r="Y196" s="25" t="str">
        <f t="shared" si="63"/>
        <v/>
      </c>
      <c r="Z196" s="25" t="str">
        <f t="shared" si="64"/>
        <v/>
      </c>
      <c r="AA196" s="25" t="str">
        <f t="shared" si="65"/>
        <v/>
      </c>
      <c r="AB196" s="25" t="str">
        <f t="shared" si="66"/>
        <v/>
      </c>
      <c r="AC196" s="25" t="str">
        <f t="shared" si="67"/>
        <v/>
      </c>
      <c r="AD196" s="26" t="str">
        <f t="shared" si="68"/>
        <v/>
      </c>
      <c r="AE196" t="str">
        <f t="shared" si="69"/>
        <v/>
      </c>
      <c r="AF196" s="24" t="str">
        <f t="shared" si="70"/>
        <v/>
      </c>
      <c r="AG196" s="25" t="str">
        <f t="shared" si="71"/>
        <v/>
      </c>
      <c r="AH196" s="25" t="str">
        <f t="shared" si="72"/>
        <v/>
      </c>
      <c r="AI196" s="25" t="str">
        <f t="shared" si="73"/>
        <v/>
      </c>
      <c r="AJ196" s="25" t="str">
        <f t="shared" si="74"/>
        <v/>
      </c>
      <c r="AK196" s="25" t="str">
        <f t="shared" si="75"/>
        <v/>
      </c>
      <c r="AL196" s="26" t="str">
        <f t="shared" si="76"/>
        <v/>
      </c>
      <c r="AP196" t="str">
        <f t="shared" si="77"/>
        <v/>
      </c>
      <c r="AQ196" s="24" t="str">
        <f t="shared" si="78"/>
        <v/>
      </c>
      <c r="AR196" s="25" t="str">
        <f t="shared" si="79"/>
        <v/>
      </c>
      <c r="AS196" s="25" t="str">
        <f t="shared" si="80"/>
        <v/>
      </c>
      <c r="AT196" s="25" t="str">
        <f t="shared" si="81"/>
        <v/>
      </c>
      <c r="AU196" s="25" t="str">
        <f t="shared" si="82"/>
        <v/>
      </c>
      <c r="AV196" s="25" t="str">
        <f t="shared" si="83"/>
        <v/>
      </c>
      <c r="AW196" s="26" t="str">
        <f t="shared" si="84"/>
        <v/>
      </c>
    </row>
    <row r="197" spans="3:49" x14ac:dyDescent="0.25">
      <c r="C197">
        <v>41</v>
      </c>
      <c r="D197" t="str">
        <f t="shared" si="45"/>
        <v/>
      </c>
      <c r="E197" s="24" t="str">
        <f t="shared" si="46"/>
        <v/>
      </c>
      <c r="F197" s="25" t="str">
        <f t="shared" si="47"/>
        <v/>
      </c>
      <c r="G197" s="25" t="str">
        <f t="shared" si="48"/>
        <v/>
      </c>
      <c r="H197" s="25" t="str">
        <f t="shared" si="49"/>
        <v/>
      </c>
      <c r="I197" s="25" t="str">
        <f t="shared" si="50"/>
        <v/>
      </c>
      <c r="J197" s="25" t="str">
        <f t="shared" si="51"/>
        <v/>
      </c>
      <c r="K197" s="26" t="str">
        <f t="shared" si="52"/>
        <v/>
      </c>
      <c r="N197" t="str">
        <f t="shared" si="53"/>
        <v/>
      </c>
      <c r="O197" s="24" t="str">
        <f t="shared" si="54"/>
        <v/>
      </c>
      <c r="P197" s="25" t="str">
        <f t="shared" si="55"/>
        <v/>
      </c>
      <c r="Q197" s="25" t="str">
        <f t="shared" si="56"/>
        <v/>
      </c>
      <c r="R197" s="25" t="str">
        <f t="shared" si="57"/>
        <v/>
      </c>
      <c r="S197" s="25" t="str">
        <f t="shared" si="58"/>
        <v/>
      </c>
      <c r="T197" s="25" t="str">
        <f t="shared" si="59"/>
        <v/>
      </c>
      <c r="U197" s="25"/>
      <c r="V197" s="26" t="str">
        <f t="shared" si="60"/>
        <v/>
      </c>
      <c r="W197" t="str">
        <f t="shared" si="61"/>
        <v/>
      </c>
      <c r="X197" s="24" t="str">
        <f t="shared" si="62"/>
        <v/>
      </c>
      <c r="Y197" s="25" t="str">
        <f t="shared" si="63"/>
        <v/>
      </c>
      <c r="Z197" s="25" t="str">
        <f t="shared" si="64"/>
        <v/>
      </c>
      <c r="AA197" s="25" t="str">
        <f t="shared" si="65"/>
        <v/>
      </c>
      <c r="AB197" s="25" t="str">
        <f t="shared" si="66"/>
        <v/>
      </c>
      <c r="AC197" s="25" t="str">
        <f t="shared" si="67"/>
        <v/>
      </c>
      <c r="AD197" s="26" t="str">
        <f t="shared" si="68"/>
        <v/>
      </c>
      <c r="AE197" t="str">
        <f t="shared" si="69"/>
        <v/>
      </c>
      <c r="AF197" s="24" t="str">
        <f t="shared" si="70"/>
        <v/>
      </c>
      <c r="AG197" s="25" t="str">
        <f t="shared" si="71"/>
        <v/>
      </c>
      <c r="AH197" s="25" t="str">
        <f t="shared" si="72"/>
        <v/>
      </c>
      <c r="AI197" s="25" t="str">
        <f t="shared" si="73"/>
        <v/>
      </c>
      <c r="AJ197" s="25" t="str">
        <f t="shared" si="74"/>
        <v/>
      </c>
      <c r="AK197" s="25" t="str">
        <f t="shared" si="75"/>
        <v/>
      </c>
      <c r="AL197" s="26" t="str">
        <f t="shared" si="76"/>
        <v/>
      </c>
      <c r="AP197" t="str">
        <f t="shared" si="77"/>
        <v/>
      </c>
      <c r="AQ197" s="24" t="str">
        <f t="shared" si="78"/>
        <v/>
      </c>
      <c r="AR197" s="25" t="str">
        <f t="shared" si="79"/>
        <v/>
      </c>
      <c r="AS197" s="25" t="str">
        <f t="shared" si="80"/>
        <v/>
      </c>
      <c r="AT197" s="25" t="str">
        <f t="shared" si="81"/>
        <v/>
      </c>
      <c r="AU197" s="25" t="str">
        <f t="shared" si="82"/>
        <v/>
      </c>
      <c r="AV197" s="25" t="str">
        <f t="shared" si="83"/>
        <v/>
      </c>
      <c r="AW197" s="26" t="str">
        <f t="shared" si="84"/>
        <v/>
      </c>
    </row>
    <row r="198" spans="3:49" x14ac:dyDescent="0.25">
      <c r="C198">
        <v>42</v>
      </c>
      <c r="D198" t="str">
        <f t="shared" si="45"/>
        <v/>
      </c>
      <c r="E198" s="24" t="str">
        <f t="shared" si="46"/>
        <v/>
      </c>
      <c r="F198" s="25" t="str">
        <f t="shared" si="47"/>
        <v/>
      </c>
      <c r="G198" s="25" t="str">
        <f t="shared" si="48"/>
        <v/>
      </c>
      <c r="H198" s="25" t="str">
        <f t="shared" si="49"/>
        <v/>
      </c>
      <c r="I198" s="25" t="str">
        <f t="shared" si="50"/>
        <v/>
      </c>
      <c r="J198" s="25" t="str">
        <f t="shared" si="51"/>
        <v/>
      </c>
      <c r="K198" s="26" t="str">
        <f t="shared" si="52"/>
        <v/>
      </c>
      <c r="N198" t="str">
        <f t="shared" si="53"/>
        <v/>
      </c>
      <c r="O198" s="24" t="str">
        <f t="shared" si="54"/>
        <v/>
      </c>
      <c r="P198" s="25" t="str">
        <f t="shared" si="55"/>
        <v/>
      </c>
      <c r="Q198" s="25" t="str">
        <f t="shared" si="56"/>
        <v/>
      </c>
      <c r="R198" s="25" t="str">
        <f t="shared" si="57"/>
        <v/>
      </c>
      <c r="S198" s="25" t="str">
        <f t="shared" si="58"/>
        <v/>
      </c>
      <c r="T198" s="25" t="str">
        <f t="shared" si="59"/>
        <v/>
      </c>
      <c r="U198" s="25"/>
      <c r="V198" s="26" t="str">
        <f t="shared" si="60"/>
        <v/>
      </c>
      <c r="W198" t="str">
        <f t="shared" si="61"/>
        <v/>
      </c>
      <c r="X198" s="24" t="str">
        <f t="shared" si="62"/>
        <v/>
      </c>
      <c r="Y198" s="25" t="str">
        <f t="shared" si="63"/>
        <v/>
      </c>
      <c r="Z198" s="25" t="str">
        <f t="shared" si="64"/>
        <v/>
      </c>
      <c r="AA198" s="25" t="str">
        <f t="shared" si="65"/>
        <v/>
      </c>
      <c r="AB198" s="25" t="str">
        <f t="shared" si="66"/>
        <v/>
      </c>
      <c r="AC198" s="25" t="str">
        <f t="shared" si="67"/>
        <v/>
      </c>
      <c r="AD198" s="26" t="str">
        <f t="shared" si="68"/>
        <v/>
      </c>
      <c r="AE198" t="str">
        <f t="shared" si="69"/>
        <v/>
      </c>
      <c r="AF198" s="24" t="str">
        <f t="shared" si="70"/>
        <v/>
      </c>
      <c r="AG198" s="25" t="str">
        <f t="shared" si="71"/>
        <v/>
      </c>
      <c r="AH198" s="25" t="str">
        <f t="shared" si="72"/>
        <v/>
      </c>
      <c r="AI198" s="25" t="str">
        <f t="shared" si="73"/>
        <v/>
      </c>
      <c r="AJ198" s="25" t="str">
        <f t="shared" si="74"/>
        <v/>
      </c>
      <c r="AK198" s="25" t="str">
        <f t="shared" si="75"/>
        <v/>
      </c>
      <c r="AL198" s="26" t="str">
        <f t="shared" si="76"/>
        <v/>
      </c>
      <c r="AP198" t="str">
        <f t="shared" si="77"/>
        <v/>
      </c>
      <c r="AQ198" s="24" t="str">
        <f t="shared" si="78"/>
        <v/>
      </c>
      <c r="AR198" s="25" t="str">
        <f t="shared" si="79"/>
        <v/>
      </c>
      <c r="AS198" s="25" t="str">
        <f t="shared" si="80"/>
        <v/>
      </c>
      <c r="AT198" s="25" t="str">
        <f t="shared" si="81"/>
        <v/>
      </c>
      <c r="AU198" s="25" t="str">
        <f t="shared" si="82"/>
        <v/>
      </c>
      <c r="AV198" s="25" t="str">
        <f t="shared" si="83"/>
        <v/>
      </c>
      <c r="AW198" s="26" t="str">
        <f t="shared" si="84"/>
        <v/>
      </c>
    </row>
    <row r="199" spans="3:49" x14ac:dyDescent="0.25">
      <c r="C199">
        <v>43</v>
      </c>
      <c r="D199" t="str">
        <f t="shared" si="45"/>
        <v/>
      </c>
      <c r="E199" s="24" t="str">
        <f t="shared" si="46"/>
        <v/>
      </c>
      <c r="F199" s="25" t="str">
        <f t="shared" si="47"/>
        <v/>
      </c>
      <c r="G199" s="25" t="str">
        <f t="shared" si="48"/>
        <v/>
      </c>
      <c r="H199" s="25" t="str">
        <f t="shared" si="49"/>
        <v/>
      </c>
      <c r="I199" s="25" t="str">
        <f t="shared" si="50"/>
        <v/>
      </c>
      <c r="J199" s="25" t="str">
        <f t="shared" si="51"/>
        <v/>
      </c>
      <c r="K199" s="26" t="str">
        <f t="shared" si="52"/>
        <v/>
      </c>
      <c r="N199" t="str">
        <f t="shared" si="53"/>
        <v/>
      </c>
      <c r="O199" s="24" t="str">
        <f t="shared" si="54"/>
        <v/>
      </c>
      <c r="P199" s="25" t="str">
        <f t="shared" si="55"/>
        <v/>
      </c>
      <c r="Q199" s="25" t="str">
        <f t="shared" si="56"/>
        <v/>
      </c>
      <c r="R199" s="25" t="str">
        <f t="shared" si="57"/>
        <v/>
      </c>
      <c r="S199" s="25" t="str">
        <f t="shared" si="58"/>
        <v/>
      </c>
      <c r="T199" s="25" t="str">
        <f t="shared" si="59"/>
        <v/>
      </c>
      <c r="U199" s="25"/>
      <c r="V199" s="26" t="str">
        <f t="shared" si="60"/>
        <v/>
      </c>
      <c r="W199" t="str">
        <f t="shared" si="61"/>
        <v/>
      </c>
      <c r="X199" s="24" t="str">
        <f t="shared" si="62"/>
        <v/>
      </c>
      <c r="Y199" s="25" t="str">
        <f t="shared" si="63"/>
        <v/>
      </c>
      <c r="Z199" s="25" t="str">
        <f t="shared" si="64"/>
        <v/>
      </c>
      <c r="AA199" s="25" t="str">
        <f t="shared" si="65"/>
        <v/>
      </c>
      <c r="AB199" s="25" t="str">
        <f t="shared" si="66"/>
        <v/>
      </c>
      <c r="AC199" s="25" t="str">
        <f t="shared" si="67"/>
        <v/>
      </c>
      <c r="AD199" s="26" t="str">
        <f t="shared" si="68"/>
        <v/>
      </c>
      <c r="AE199" t="str">
        <f t="shared" si="69"/>
        <v/>
      </c>
      <c r="AF199" s="24" t="str">
        <f t="shared" si="70"/>
        <v/>
      </c>
      <c r="AG199" s="25" t="str">
        <f t="shared" si="71"/>
        <v/>
      </c>
      <c r="AH199" s="25" t="str">
        <f t="shared" si="72"/>
        <v/>
      </c>
      <c r="AI199" s="25" t="str">
        <f t="shared" si="73"/>
        <v/>
      </c>
      <c r="AJ199" s="25" t="str">
        <f t="shared" si="74"/>
        <v/>
      </c>
      <c r="AK199" s="25" t="str">
        <f t="shared" si="75"/>
        <v/>
      </c>
      <c r="AL199" s="26" t="str">
        <f t="shared" si="76"/>
        <v/>
      </c>
      <c r="AP199" t="str">
        <f t="shared" si="77"/>
        <v/>
      </c>
      <c r="AQ199" s="24" t="str">
        <f t="shared" si="78"/>
        <v/>
      </c>
      <c r="AR199" s="25" t="str">
        <f t="shared" si="79"/>
        <v/>
      </c>
      <c r="AS199" s="25" t="str">
        <f t="shared" si="80"/>
        <v/>
      </c>
      <c r="AT199" s="25" t="str">
        <f t="shared" si="81"/>
        <v/>
      </c>
      <c r="AU199" s="25" t="str">
        <f t="shared" si="82"/>
        <v/>
      </c>
      <c r="AV199" s="25" t="str">
        <f t="shared" si="83"/>
        <v/>
      </c>
      <c r="AW199" s="26" t="str">
        <f t="shared" si="84"/>
        <v/>
      </c>
    </row>
    <row r="200" spans="3:49" x14ac:dyDescent="0.25">
      <c r="C200">
        <v>44</v>
      </c>
      <c r="D200" t="str">
        <f t="shared" si="45"/>
        <v/>
      </c>
      <c r="E200" s="24" t="str">
        <f t="shared" si="46"/>
        <v/>
      </c>
      <c r="F200" s="25" t="str">
        <f t="shared" si="47"/>
        <v/>
      </c>
      <c r="G200" s="25" t="str">
        <f t="shared" si="48"/>
        <v/>
      </c>
      <c r="H200" s="25" t="str">
        <f t="shared" si="49"/>
        <v/>
      </c>
      <c r="I200" s="25" t="str">
        <f t="shared" si="50"/>
        <v/>
      </c>
      <c r="J200" s="25" t="str">
        <f t="shared" si="51"/>
        <v/>
      </c>
      <c r="K200" s="26" t="str">
        <f t="shared" si="52"/>
        <v/>
      </c>
      <c r="N200" t="str">
        <f t="shared" si="53"/>
        <v/>
      </c>
      <c r="O200" s="24" t="str">
        <f t="shared" si="54"/>
        <v/>
      </c>
      <c r="P200" s="25" t="str">
        <f t="shared" si="55"/>
        <v/>
      </c>
      <c r="Q200" s="25" t="str">
        <f t="shared" si="56"/>
        <v/>
      </c>
      <c r="R200" s="25" t="str">
        <f t="shared" si="57"/>
        <v/>
      </c>
      <c r="S200" s="25" t="str">
        <f t="shared" si="58"/>
        <v/>
      </c>
      <c r="T200" s="25" t="str">
        <f t="shared" si="59"/>
        <v/>
      </c>
      <c r="U200" s="25"/>
      <c r="V200" s="26" t="str">
        <f t="shared" si="60"/>
        <v/>
      </c>
      <c r="W200" t="str">
        <f t="shared" si="61"/>
        <v/>
      </c>
      <c r="X200" s="24" t="str">
        <f t="shared" si="62"/>
        <v/>
      </c>
      <c r="Y200" s="25" t="str">
        <f t="shared" si="63"/>
        <v/>
      </c>
      <c r="Z200" s="25" t="str">
        <f t="shared" si="64"/>
        <v/>
      </c>
      <c r="AA200" s="25" t="str">
        <f t="shared" si="65"/>
        <v/>
      </c>
      <c r="AB200" s="25" t="str">
        <f t="shared" si="66"/>
        <v/>
      </c>
      <c r="AC200" s="25" t="str">
        <f t="shared" si="67"/>
        <v/>
      </c>
      <c r="AD200" s="26" t="str">
        <f t="shared" si="68"/>
        <v/>
      </c>
      <c r="AE200" t="str">
        <f t="shared" si="69"/>
        <v/>
      </c>
      <c r="AF200" s="24" t="str">
        <f t="shared" si="70"/>
        <v/>
      </c>
      <c r="AG200" s="25" t="str">
        <f t="shared" si="71"/>
        <v/>
      </c>
      <c r="AH200" s="25" t="str">
        <f t="shared" si="72"/>
        <v/>
      </c>
      <c r="AI200" s="25" t="str">
        <f t="shared" si="73"/>
        <v/>
      </c>
      <c r="AJ200" s="25" t="str">
        <f t="shared" si="74"/>
        <v/>
      </c>
      <c r="AK200" s="25" t="str">
        <f t="shared" si="75"/>
        <v/>
      </c>
      <c r="AL200" s="26" t="str">
        <f t="shared" si="76"/>
        <v/>
      </c>
      <c r="AP200" t="str">
        <f t="shared" si="77"/>
        <v/>
      </c>
      <c r="AQ200" s="24" t="str">
        <f t="shared" si="78"/>
        <v/>
      </c>
      <c r="AR200" s="25" t="str">
        <f t="shared" si="79"/>
        <v/>
      </c>
      <c r="AS200" s="25" t="str">
        <f t="shared" si="80"/>
        <v/>
      </c>
      <c r="AT200" s="25" t="str">
        <f t="shared" si="81"/>
        <v/>
      </c>
      <c r="AU200" s="25" t="str">
        <f t="shared" si="82"/>
        <v/>
      </c>
      <c r="AV200" s="25" t="str">
        <f t="shared" si="83"/>
        <v/>
      </c>
      <c r="AW200" s="26" t="str">
        <f t="shared" si="84"/>
        <v/>
      </c>
    </row>
    <row r="201" spans="3:49" x14ac:dyDescent="0.25">
      <c r="C201">
        <v>45</v>
      </c>
      <c r="D201" t="str">
        <f t="shared" si="45"/>
        <v/>
      </c>
      <c r="E201" s="24" t="str">
        <f t="shared" si="46"/>
        <v/>
      </c>
      <c r="F201" s="25" t="str">
        <f t="shared" si="47"/>
        <v/>
      </c>
      <c r="G201" s="25" t="str">
        <f t="shared" si="48"/>
        <v/>
      </c>
      <c r="H201" s="25" t="str">
        <f t="shared" si="49"/>
        <v/>
      </c>
      <c r="I201" s="25" t="str">
        <f t="shared" si="50"/>
        <v/>
      </c>
      <c r="J201" s="25" t="str">
        <f t="shared" si="51"/>
        <v/>
      </c>
      <c r="K201" s="26" t="str">
        <f t="shared" si="52"/>
        <v/>
      </c>
      <c r="N201" t="str">
        <f t="shared" si="53"/>
        <v/>
      </c>
      <c r="O201" s="24" t="str">
        <f t="shared" si="54"/>
        <v/>
      </c>
      <c r="P201" s="25" t="str">
        <f t="shared" si="55"/>
        <v/>
      </c>
      <c r="Q201" s="25" t="str">
        <f t="shared" si="56"/>
        <v/>
      </c>
      <c r="R201" s="25" t="str">
        <f t="shared" si="57"/>
        <v/>
      </c>
      <c r="S201" s="25" t="str">
        <f t="shared" si="58"/>
        <v/>
      </c>
      <c r="T201" s="25" t="str">
        <f t="shared" si="59"/>
        <v/>
      </c>
      <c r="U201" s="25"/>
      <c r="V201" s="26" t="str">
        <f t="shared" si="60"/>
        <v/>
      </c>
      <c r="W201" t="str">
        <f t="shared" si="61"/>
        <v/>
      </c>
      <c r="X201" s="24" t="str">
        <f t="shared" si="62"/>
        <v/>
      </c>
      <c r="Y201" s="25" t="str">
        <f t="shared" si="63"/>
        <v/>
      </c>
      <c r="Z201" s="25" t="str">
        <f t="shared" si="64"/>
        <v/>
      </c>
      <c r="AA201" s="25" t="str">
        <f t="shared" si="65"/>
        <v/>
      </c>
      <c r="AB201" s="25" t="str">
        <f t="shared" si="66"/>
        <v/>
      </c>
      <c r="AC201" s="25" t="str">
        <f t="shared" si="67"/>
        <v/>
      </c>
      <c r="AD201" s="26" t="str">
        <f t="shared" si="68"/>
        <v/>
      </c>
      <c r="AE201" t="str">
        <f t="shared" si="69"/>
        <v/>
      </c>
      <c r="AF201" s="24" t="str">
        <f t="shared" si="70"/>
        <v/>
      </c>
      <c r="AG201" s="25" t="str">
        <f t="shared" si="71"/>
        <v/>
      </c>
      <c r="AH201" s="25" t="str">
        <f t="shared" si="72"/>
        <v/>
      </c>
      <c r="AI201" s="25" t="str">
        <f t="shared" si="73"/>
        <v/>
      </c>
      <c r="AJ201" s="25" t="str">
        <f t="shared" si="74"/>
        <v/>
      </c>
      <c r="AK201" s="25" t="str">
        <f t="shared" si="75"/>
        <v/>
      </c>
      <c r="AL201" s="26" t="str">
        <f t="shared" si="76"/>
        <v/>
      </c>
      <c r="AP201" t="str">
        <f t="shared" si="77"/>
        <v/>
      </c>
      <c r="AQ201" s="24" t="str">
        <f t="shared" si="78"/>
        <v/>
      </c>
      <c r="AR201" s="25" t="str">
        <f t="shared" si="79"/>
        <v/>
      </c>
      <c r="AS201" s="25" t="str">
        <f t="shared" si="80"/>
        <v/>
      </c>
      <c r="AT201" s="25" t="str">
        <f t="shared" si="81"/>
        <v/>
      </c>
      <c r="AU201" s="25" t="str">
        <f t="shared" si="82"/>
        <v/>
      </c>
      <c r="AV201" s="25" t="str">
        <f t="shared" si="83"/>
        <v/>
      </c>
      <c r="AW201" s="26" t="str">
        <f t="shared" si="84"/>
        <v/>
      </c>
    </row>
    <row r="202" spans="3:49" x14ac:dyDescent="0.25">
      <c r="C202">
        <v>46</v>
      </c>
      <c r="D202" t="str">
        <f t="shared" si="45"/>
        <v/>
      </c>
      <c r="E202" s="24" t="str">
        <f t="shared" si="46"/>
        <v/>
      </c>
      <c r="F202" s="25" t="str">
        <f t="shared" si="47"/>
        <v/>
      </c>
      <c r="G202" s="25" t="str">
        <f t="shared" si="48"/>
        <v/>
      </c>
      <c r="H202" s="25" t="str">
        <f t="shared" si="49"/>
        <v/>
      </c>
      <c r="I202" s="25" t="str">
        <f t="shared" si="50"/>
        <v/>
      </c>
      <c r="J202" s="25" t="str">
        <f t="shared" si="51"/>
        <v/>
      </c>
      <c r="K202" s="26" t="str">
        <f t="shared" si="52"/>
        <v/>
      </c>
      <c r="N202" t="str">
        <f t="shared" si="53"/>
        <v/>
      </c>
      <c r="O202" s="24" t="str">
        <f t="shared" si="54"/>
        <v/>
      </c>
      <c r="P202" s="25" t="str">
        <f t="shared" si="55"/>
        <v/>
      </c>
      <c r="Q202" s="25" t="str">
        <f t="shared" si="56"/>
        <v/>
      </c>
      <c r="R202" s="25" t="str">
        <f t="shared" si="57"/>
        <v/>
      </c>
      <c r="S202" s="25" t="str">
        <f t="shared" si="58"/>
        <v/>
      </c>
      <c r="T202" s="25" t="str">
        <f t="shared" si="59"/>
        <v/>
      </c>
      <c r="U202" s="25"/>
      <c r="V202" s="26" t="str">
        <f t="shared" si="60"/>
        <v/>
      </c>
      <c r="W202" t="str">
        <f t="shared" si="61"/>
        <v/>
      </c>
      <c r="X202" s="24" t="str">
        <f t="shared" si="62"/>
        <v/>
      </c>
      <c r="Y202" s="25" t="str">
        <f t="shared" si="63"/>
        <v/>
      </c>
      <c r="Z202" s="25" t="str">
        <f t="shared" si="64"/>
        <v/>
      </c>
      <c r="AA202" s="25" t="str">
        <f t="shared" si="65"/>
        <v/>
      </c>
      <c r="AB202" s="25" t="str">
        <f t="shared" si="66"/>
        <v/>
      </c>
      <c r="AC202" s="25" t="str">
        <f t="shared" si="67"/>
        <v/>
      </c>
      <c r="AD202" s="26" t="str">
        <f t="shared" si="68"/>
        <v/>
      </c>
      <c r="AE202" t="str">
        <f t="shared" si="69"/>
        <v/>
      </c>
      <c r="AF202" s="24" t="str">
        <f t="shared" si="70"/>
        <v/>
      </c>
      <c r="AG202" s="25" t="str">
        <f t="shared" si="71"/>
        <v/>
      </c>
      <c r="AH202" s="25" t="str">
        <f t="shared" si="72"/>
        <v/>
      </c>
      <c r="AI202" s="25" t="str">
        <f t="shared" si="73"/>
        <v/>
      </c>
      <c r="AJ202" s="25" t="str">
        <f t="shared" si="74"/>
        <v/>
      </c>
      <c r="AK202" s="25" t="str">
        <f t="shared" si="75"/>
        <v/>
      </c>
      <c r="AL202" s="26" t="str">
        <f t="shared" si="76"/>
        <v/>
      </c>
      <c r="AP202" t="str">
        <f t="shared" si="77"/>
        <v/>
      </c>
      <c r="AQ202" s="24" t="str">
        <f t="shared" si="78"/>
        <v/>
      </c>
      <c r="AR202" s="25" t="str">
        <f t="shared" si="79"/>
        <v/>
      </c>
      <c r="AS202" s="25" t="str">
        <f t="shared" si="80"/>
        <v/>
      </c>
      <c r="AT202" s="25" t="str">
        <f t="shared" si="81"/>
        <v/>
      </c>
      <c r="AU202" s="25" t="str">
        <f t="shared" si="82"/>
        <v/>
      </c>
      <c r="AV202" s="25" t="str">
        <f t="shared" si="83"/>
        <v/>
      </c>
      <c r="AW202" s="26" t="str">
        <f t="shared" si="84"/>
        <v/>
      </c>
    </row>
    <row r="203" spans="3:49" x14ac:dyDescent="0.25">
      <c r="C203">
        <v>47</v>
      </c>
      <c r="D203" t="str">
        <f t="shared" si="45"/>
        <v/>
      </c>
      <c r="E203" s="24" t="str">
        <f t="shared" si="46"/>
        <v/>
      </c>
      <c r="F203" s="25" t="str">
        <f t="shared" si="47"/>
        <v/>
      </c>
      <c r="G203" s="25" t="str">
        <f t="shared" si="48"/>
        <v/>
      </c>
      <c r="H203" s="25" t="str">
        <f t="shared" si="49"/>
        <v/>
      </c>
      <c r="I203" s="25" t="str">
        <f t="shared" si="50"/>
        <v/>
      </c>
      <c r="J203" s="25" t="str">
        <f t="shared" si="51"/>
        <v/>
      </c>
      <c r="K203" s="26" t="str">
        <f t="shared" si="52"/>
        <v/>
      </c>
      <c r="N203" t="str">
        <f t="shared" si="53"/>
        <v/>
      </c>
      <c r="O203" s="24" t="str">
        <f t="shared" si="54"/>
        <v/>
      </c>
      <c r="P203" s="25" t="str">
        <f t="shared" si="55"/>
        <v/>
      </c>
      <c r="Q203" s="25" t="str">
        <f t="shared" si="56"/>
        <v/>
      </c>
      <c r="R203" s="25" t="str">
        <f t="shared" si="57"/>
        <v/>
      </c>
      <c r="S203" s="25" t="str">
        <f t="shared" si="58"/>
        <v/>
      </c>
      <c r="T203" s="25" t="str">
        <f t="shared" si="59"/>
        <v/>
      </c>
      <c r="U203" s="25"/>
      <c r="V203" s="26" t="str">
        <f t="shared" si="60"/>
        <v/>
      </c>
      <c r="W203" t="str">
        <f t="shared" si="61"/>
        <v/>
      </c>
      <c r="X203" s="24" t="str">
        <f t="shared" si="62"/>
        <v/>
      </c>
      <c r="Y203" s="25" t="str">
        <f t="shared" si="63"/>
        <v/>
      </c>
      <c r="Z203" s="25" t="str">
        <f t="shared" si="64"/>
        <v/>
      </c>
      <c r="AA203" s="25" t="str">
        <f t="shared" si="65"/>
        <v/>
      </c>
      <c r="AB203" s="25" t="str">
        <f t="shared" si="66"/>
        <v/>
      </c>
      <c r="AC203" s="25" t="str">
        <f t="shared" si="67"/>
        <v/>
      </c>
      <c r="AD203" s="26" t="str">
        <f t="shared" si="68"/>
        <v/>
      </c>
      <c r="AE203" t="str">
        <f t="shared" si="69"/>
        <v/>
      </c>
      <c r="AF203" s="24" t="str">
        <f t="shared" si="70"/>
        <v/>
      </c>
      <c r="AG203" s="25" t="str">
        <f t="shared" si="71"/>
        <v/>
      </c>
      <c r="AH203" s="25" t="str">
        <f t="shared" si="72"/>
        <v/>
      </c>
      <c r="AI203" s="25" t="str">
        <f t="shared" si="73"/>
        <v/>
      </c>
      <c r="AJ203" s="25" t="str">
        <f t="shared" si="74"/>
        <v/>
      </c>
      <c r="AK203" s="25" t="str">
        <f t="shared" si="75"/>
        <v/>
      </c>
      <c r="AL203" s="26" t="str">
        <f t="shared" si="76"/>
        <v/>
      </c>
      <c r="AP203" t="str">
        <f t="shared" si="77"/>
        <v/>
      </c>
      <c r="AQ203" s="24" t="str">
        <f t="shared" si="78"/>
        <v/>
      </c>
      <c r="AR203" s="25" t="str">
        <f t="shared" si="79"/>
        <v/>
      </c>
      <c r="AS203" s="25" t="str">
        <f t="shared" si="80"/>
        <v/>
      </c>
      <c r="AT203" s="25" t="str">
        <f t="shared" si="81"/>
        <v/>
      </c>
      <c r="AU203" s="25" t="str">
        <f t="shared" si="82"/>
        <v/>
      </c>
      <c r="AV203" s="25" t="str">
        <f t="shared" si="83"/>
        <v/>
      </c>
      <c r="AW203" s="26" t="str">
        <f t="shared" si="84"/>
        <v/>
      </c>
    </row>
    <row r="204" spans="3:49" x14ac:dyDescent="0.25">
      <c r="C204">
        <v>48</v>
      </c>
      <c r="D204" t="str">
        <f t="shared" si="45"/>
        <v/>
      </c>
      <c r="E204" s="24" t="str">
        <f t="shared" si="46"/>
        <v/>
      </c>
      <c r="F204" s="25" t="str">
        <f t="shared" si="47"/>
        <v/>
      </c>
      <c r="G204" s="25" t="str">
        <f t="shared" si="48"/>
        <v/>
      </c>
      <c r="H204" s="25" t="str">
        <f t="shared" si="49"/>
        <v/>
      </c>
      <c r="I204" s="25" t="str">
        <f t="shared" si="50"/>
        <v/>
      </c>
      <c r="J204" s="25" t="str">
        <f t="shared" si="51"/>
        <v/>
      </c>
      <c r="K204" s="26" t="str">
        <f t="shared" si="52"/>
        <v/>
      </c>
      <c r="N204" t="str">
        <f t="shared" si="53"/>
        <v/>
      </c>
      <c r="O204" s="24" t="str">
        <f t="shared" si="54"/>
        <v/>
      </c>
      <c r="P204" s="25" t="str">
        <f t="shared" si="55"/>
        <v/>
      </c>
      <c r="Q204" s="25" t="str">
        <f t="shared" si="56"/>
        <v/>
      </c>
      <c r="R204" s="25" t="str">
        <f t="shared" si="57"/>
        <v/>
      </c>
      <c r="S204" s="25" t="str">
        <f t="shared" si="58"/>
        <v/>
      </c>
      <c r="T204" s="25" t="str">
        <f t="shared" si="59"/>
        <v/>
      </c>
      <c r="U204" s="25"/>
      <c r="V204" s="26" t="str">
        <f t="shared" si="60"/>
        <v/>
      </c>
      <c r="W204" t="str">
        <f t="shared" si="61"/>
        <v/>
      </c>
      <c r="X204" s="24" t="str">
        <f t="shared" si="62"/>
        <v/>
      </c>
      <c r="Y204" s="25" t="str">
        <f t="shared" si="63"/>
        <v/>
      </c>
      <c r="Z204" s="25" t="str">
        <f t="shared" si="64"/>
        <v/>
      </c>
      <c r="AA204" s="25" t="str">
        <f t="shared" si="65"/>
        <v/>
      </c>
      <c r="AB204" s="25" t="str">
        <f t="shared" si="66"/>
        <v/>
      </c>
      <c r="AC204" s="25" t="str">
        <f t="shared" si="67"/>
        <v/>
      </c>
      <c r="AD204" s="26" t="str">
        <f t="shared" si="68"/>
        <v/>
      </c>
      <c r="AE204" t="str">
        <f t="shared" si="69"/>
        <v/>
      </c>
      <c r="AF204" s="24" t="str">
        <f t="shared" si="70"/>
        <v/>
      </c>
      <c r="AG204" s="25" t="str">
        <f t="shared" si="71"/>
        <v/>
      </c>
      <c r="AH204" s="25" t="str">
        <f t="shared" si="72"/>
        <v/>
      </c>
      <c r="AI204" s="25" t="str">
        <f t="shared" si="73"/>
        <v/>
      </c>
      <c r="AJ204" s="25" t="str">
        <f t="shared" si="74"/>
        <v/>
      </c>
      <c r="AK204" s="25" t="str">
        <f t="shared" si="75"/>
        <v/>
      </c>
      <c r="AL204" s="26" t="str">
        <f t="shared" si="76"/>
        <v/>
      </c>
      <c r="AP204" t="str">
        <f t="shared" si="77"/>
        <v/>
      </c>
      <c r="AQ204" s="24" t="str">
        <f t="shared" si="78"/>
        <v/>
      </c>
      <c r="AR204" s="25" t="str">
        <f t="shared" si="79"/>
        <v/>
      </c>
      <c r="AS204" s="25" t="str">
        <f t="shared" si="80"/>
        <v/>
      </c>
      <c r="AT204" s="25" t="str">
        <f t="shared" si="81"/>
        <v/>
      </c>
      <c r="AU204" s="25" t="str">
        <f t="shared" si="82"/>
        <v/>
      </c>
      <c r="AV204" s="25" t="str">
        <f t="shared" si="83"/>
        <v/>
      </c>
      <c r="AW204" s="26" t="str">
        <f t="shared" si="84"/>
        <v/>
      </c>
    </row>
    <row r="205" spans="3:49" x14ac:dyDescent="0.25">
      <c r="C205">
        <v>49</v>
      </c>
      <c r="D205" t="str">
        <f t="shared" si="45"/>
        <v/>
      </c>
      <c r="E205" s="24" t="str">
        <f t="shared" si="46"/>
        <v/>
      </c>
      <c r="F205" s="25" t="str">
        <f t="shared" si="47"/>
        <v/>
      </c>
      <c r="G205" s="25" t="str">
        <f t="shared" si="48"/>
        <v/>
      </c>
      <c r="H205" s="25" t="str">
        <f t="shared" si="49"/>
        <v/>
      </c>
      <c r="I205" s="25" t="str">
        <f t="shared" si="50"/>
        <v/>
      </c>
      <c r="J205" s="25" t="str">
        <f t="shared" si="51"/>
        <v/>
      </c>
      <c r="K205" s="26" t="str">
        <f t="shared" si="52"/>
        <v/>
      </c>
      <c r="N205" t="str">
        <f t="shared" si="53"/>
        <v/>
      </c>
      <c r="O205" s="24" t="str">
        <f t="shared" si="54"/>
        <v/>
      </c>
      <c r="P205" s="25" t="str">
        <f t="shared" si="55"/>
        <v/>
      </c>
      <c r="Q205" s="25" t="str">
        <f t="shared" si="56"/>
        <v/>
      </c>
      <c r="R205" s="25" t="str">
        <f t="shared" si="57"/>
        <v/>
      </c>
      <c r="S205" s="25" t="str">
        <f t="shared" si="58"/>
        <v/>
      </c>
      <c r="T205" s="25" t="str">
        <f t="shared" si="59"/>
        <v/>
      </c>
      <c r="U205" s="25"/>
      <c r="V205" s="26" t="str">
        <f t="shared" si="60"/>
        <v/>
      </c>
      <c r="W205" t="str">
        <f t="shared" si="61"/>
        <v/>
      </c>
      <c r="X205" s="24" t="str">
        <f t="shared" si="62"/>
        <v/>
      </c>
      <c r="Y205" s="25" t="str">
        <f t="shared" si="63"/>
        <v/>
      </c>
      <c r="Z205" s="25" t="str">
        <f t="shared" si="64"/>
        <v/>
      </c>
      <c r="AA205" s="25" t="str">
        <f t="shared" si="65"/>
        <v/>
      </c>
      <c r="AB205" s="25" t="str">
        <f t="shared" si="66"/>
        <v/>
      </c>
      <c r="AC205" s="25" t="str">
        <f t="shared" si="67"/>
        <v/>
      </c>
      <c r="AD205" s="26" t="str">
        <f t="shared" si="68"/>
        <v/>
      </c>
      <c r="AE205" t="str">
        <f t="shared" si="69"/>
        <v/>
      </c>
      <c r="AF205" s="24" t="str">
        <f t="shared" si="70"/>
        <v/>
      </c>
      <c r="AG205" s="25" t="str">
        <f t="shared" si="71"/>
        <v/>
      </c>
      <c r="AH205" s="25" t="str">
        <f t="shared" si="72"/>
        <v/>
      </c>
      <c r="AI205" s="25" t="str">
        <f t="shared" si="73"/>
        <v/>
      </c>
      <c r="AJ205" s="25" t="str">
        <f t="shared" si="74"/>
        <v/>
      </c>
      <c r="AK205" s="25" t="str">
        <f t="shared" si="75"/>
        <v/>
      </c>
      <c r="AL205" s="26" t="str">
        <f t="shared" si="76"/>
        <v/>
      </c>
      <c r="AP205" t="str">
        <f t="shared" si="77"/>
        <v/>
      </c>
      <c r="AQ205" s="24" t="str">
        <f t="shared" si="78"/>
        <v/>
      </c>
      <c r="AR205" s="25" t="str">
        <f t="shared" si="79"/>
        <v/>
      </c>
      <c r="AS205" s="25" t="str">
        <f t="shared" si="80"/>
        <v/>
      </c>
      <c r="AT205" s="25" t="str">
        <f t="shared" si="81"/>
        <v/>
      </c>
      <c r="AU205" s="25" t="str">
        <f t="shared" si="82"/>
        <v/>
      </c>
      <c r="AV205" s="25" t="str">
        <f t="shared" si="83"/>
        <v/>
      </c>
      <c r="AW205" s="26" t="str">
        <f t="shared" si="84"/>
        <v/>
      </c>
    </row>
    <row r="206" spans="3:49" x14ac:dyDescent="0.25">
      <c r="C206">
        <v>50</v>
      </c>
      <c r="D206" t="str">
        <f t="shared" si="45"/>
        <v/>
      </c>
      <c r="E206" s="24" t="str">
        <f t="shared" si="46"/>
        <v/>
      </c>
      <c r="F206" s="25" t="str">
        <f t="shared" si="47"/>
        <v/>
      </c>
      <c r="G206" s="25" t="str">
        <f t="shared" si="48"/>
        <v/>
      </c>
      <c r="H206" s="25" t="str">
        <f t="shared" si="49"/>
        <v/>
      </c>
      <c r="I206" s="25" t="str">
        <f t="shared" si="50"/>
        <v/>
      </c>
      <c r="J206" s="25" t="str">
        <f t="shared" si="51"/>
        <v/>
      </c>
      <c r="K206" s="26" t="str">
        <f t="shared" si="52"/>
        <v/>
      </c>
      <c r="N206" t="str">
        <f t="shared" si="53"/>
        <v/>
      </c>
      <c r="O206" s="24" t="str">
        <f t="shared" si="54"/>
        <v/>
      </c>
      <c r="P206" s="25" t="str">
        <f t="shared" si="55"/>
        <v/>
      </c>
      <c r="Q206" s="25" t="str">
        <f t="shared" si="56"/>
        <v/>
      </c>
      <c r="R206" s="25" t="str">
        <f t="shared" si="57"/>
        <v/>
      </c>
      <c r="S206" s="25" t="str">
        <f t="shared" si="58"/>
        <v/>
      </c>
      <c r="T206" s="25" t="str">
        <f t="shared" si="59"/>
        <v/>
      </c>
      <c r="U206" s="25"/>
      <c r="V206" s="26" t="str">
        <f t="shared" si="60"/>
        <v/>
      </c>
      <c r="W206" t="str">
        <f t="shared" si="61"/>
        <v/>
      </c>
      <c r="X206" s="24" t="str">
        <f t="shared" si="62"/>
        <v/>
      </c>
      <c r="Y206" s="25" t="str">
        <f t="shared" si="63"/>
        <v/>
      </c>
      <c r="Z206" s="25" t="str">
        <f t="shared" si="64"/>
        <v/>
      </c>
      <c r="AA206" s="25" t="str">
        <f t="shared" si="65"/>
        <v/>
      </c>
      <c r="AB206" s="25" t="str">
        <f t="shared" si="66"/>
        <v/>
      </c>
      <c r="AC206" s="25" t="str">
        <f t="shared" si="67"/>
        <v/>
      </c>
      <c r="AD206" s="26" t="str">
        <f t="shared" si="68"/>
        <v/>
      </c>
      <c r="AE206" t="str">
        <f t="shared" si="69"/>
        <v/>
      </c>
      <c r="AF206" s="24" t="str">
        <f t="shared" si="70"/>
        <v/>
      </c>
      <c r="AG206" s="25" t="str">
        <f t="shared" si="71"/>
        <v/>
      </c>
      <c r="AH206" s="25" t="str">
        <f t="shared" si="72"/>
        <v/>
      </c>
      <c r="AI206" s="25" t="str">
        <f t="shared" si="73"/>
        <v/>
      </c>
      <c r="AJ206" s="25" t="str">
        <f t="shared" si="74"/>
        <v/>
      </c>
      <c r="AK206" s="25" t="str">
        <f t="shared" si="75"/>
        <v/>
      </c>
      <c r="AL206" s="26" t="str">
        <f t="shared" si="76"/>
        <v/>
      </c>
      <c r="AP206" t="str">
        <f t="shared" si="77"/>
        <v/>
      </c>
      <c r="AQ206" s="24" t="str">
        <f t="shared" si="78"/>
        <v/>
      </c>
      <c r="AR206" s="25" t="str">
        <f t="shared" si="79"/>
        <v/>
      </c>
      <c r="AS206" s="25" t="str">
        <f t="shared" si="80"/>
        <v/>
      </c>
      <c r="AT206" s="25" t="str">
        <f t="shared" si="81"/>
        <v/>
      </c>
      <c r="AU206" s="25" t="str">
        <f t="shared" si="82"/>
        <v/>
      </c>
      <c r="AV206" s="25" t="str">
        <f t="shared" si="83"/>
        <v/>
      </c>
      <c r="AW206" s="26" t="str">
        <f t="shared" si="84"/>
        <v/>
      </c>
    </row>
    <row r="207" spans="3:49" x14ac:dyDescent="0.25">
      <c r="C207">
        <v>51</v>
      </c>
      <c r="D207" t="str">
        <f t="shared" si="45"/>
        <v/>
      </c>
      <c r="E207" s="24" t="str">
        <f t="shared" si="46"/>
        <v/>
      </c>
      <c r="F207" s="25" t="str">
        <f t="shared" si="47"/>
        <v/>
      </c>
      <c r="G207" s="25" t="str">
        <f t="shared" si="48"/>
        <v/>
      </c>
      <c r="H207" s="25" t="str">
        <f t="shared" si="49"/>
        <v/>
      </c>
      <c r="I207" s="25" t="str">
        <f t="shared" si="50"/>
        <v/>
      </c>
      <c r="J207" s="25" t="str">
        <f t="shared" si="51"/>
        <v/>
      </c>
      <c r="K207" s="26" t="str">
        <f t="shared" si="52"/>
        <v/>
      </c>
      <c r="N207" t="str">
        <f t="shared" si="53"/>
        <v/>
      </c>
      <c r="O207" s="24" t="str">
        <f t="shared" si="54"/>
        <v/>
      </c>
      <c r="P207" s="25" t="str">
        <f t="shared" si="55"/>
        <v/>
      </c>
      <c r="Q207" s="25" t="str">
        <f t="shared" si="56"/>
        <v/>
      </c>
      <c r="R207" s="25" t="str">
        <f t="shared" si="57"/>
        <v/>
      </c>
      <c r="S207" s="25" t="str">
        <f t="shared" si="58"/>
        <v/>
      </c>
      <c r="T207" s="25" t="str">
        <f t="shared" si="59"/>
        <v/>
      </c>
      <c r="U207" s="25"/>
      <c r="V207" s="26" t="str">
        <f t="shared" si="60"/>
        <v/>
      </c>
      <c r="W207" t="str">
        <f t="shared" si="61"/>
        <v/>
      </c>
      <c r="X207" s="24" t="str">
        <f t="shared" si="62"/>
        <v/>
      </c>
      <c r="Y207" s="25" t="str">
        <f t="shared" si="63"/>
        <v/>
      </c>
      <c r="Z207" s="25" t="str">
        <f t="shared" si="64"/>
        <v/>
      </c>
      <c r="AA207" s="25" t="str">
        <f t="shared" si="65"/>
        <v/>
      </c>
      <c r="AB207" s="25" t="str">
        <f t="shared" si="66"/>
        <v/>
      </c>
      <c r="AC207" s="25" t="str">
        <f t="shared" si="67"/>
        <v/>
      </c>
      <c r="AD207" s="26" t="str">
        <f t="shared" si="68"/>
        <v/>
      </c>
      <c r="AE207" t="str">
        <f t="shared" si="69"/>
        <v/>
      </c>
      <c r="AF207" s="24" t="str">
        <f t="shared" si="70"/>
        <v/>
      </c>
      <c r="AG207" s="25" t="str">
        <f t="shared" si="71"/>
        <v/>
      </c>
      <c r="AH207" s="25" t="str">
        <f t="shared" si="72"/>
        <v/>
      </c>
      <c r="AI207" s="25" t="str">
        <f t="shared" si="73"/>
        <v/>
      </c>
      <c r="AJ207" s="25" t="str">
        <f t="shared" si="74"/>
        <v/>
      </c>
      <c r="AK207" s="25" t="str">
        <f t="shared" si="75"/>
        <v/>
      </c>
      <c r="AL207" s="26" t="str">
        <f t="shared" si="76"/>
        <v/>
      </c>
      <c r="AP207" t="str">
        <f t="shared" si="77"/>
        <v/>
      </c>
      <c r="AQ207" s="24" t="str">
        <f t="shared" si="78"/>
        <v/>
      </c>
      <c r="AR207" s="25" t="str">
        <f t="shared" si="79"/>
        <v/>
      </c>
      <c r="AS207" s="25" t="str">
        <f t="shared" si="80"/>
        <v/>
      </c>
      <c r="AT207" s="25" t="str">
        <f t="shared" si="81"/>
        <v/>
      </c>
      <c r="AU207" s="25" t="str">
        <f t="shared" si="82"/>
        <v/>
      </c>
      <c r="AV207" s="25" t="str">
        <f t="shared" si="83"/>
        <v/>
      </c>
      <c r="AW207" s="26" t="str">
        <f t="shared" si="84"/>
        <v/>
      </c>
    </row>
    <row r="208" spans="3:49" x14ac:dyDescent="0.25">
      <c r="C208">
        <v>52</v>
      </c>
      <c r="D208" t="str">
        <f t="shared" si="45"/>
        <v/>
      </c>
      <c r="E208" s="24" t="str">
        <f t="shared" si="46"/>
        <v/>
      </c>
      <c r="F208" s="25" t="str">
        <f t="shared" si="47"/>
        <v/>
      </c>
      <c r="G208" s="25" t="str">
        <f t="shared" si="48"/>
        <v/>
      </c>
      <c r="H208" s="25" t="str">
        <f t="shared" si="49"/>
        <v/>
      </c>
      <c r="I208" s="25" t="str">
        <f t="shared" si="50"/>
        <v/>
      </c>
      <c r="J208" s="25" t="str">
        <f t="shared" si="51"/>
        <v/>
      </c>
      <c r="K208" s="26" t="str">
        <f t="shared" si="52"/>
        <v/>
      </c>
      <c r="N208" t="str">
        <f t="shared" si="53"/>
        <v/>
      </c>
      <c r="O208" s="24" t="str">
        <f t="shared" si="54"/>
        <v/>
      </c>
      <c r="P208" s="25" t="str">
        <f t="shared" si="55"/>
        <v/>
      </c>
      <c r="Q208" s="25" t="str">
        <f t="shared" si="56"/>
        <v/>
      </c>
      <c r="R208" s="25" t="str">
        <f t="shared" si="57"/>
        <v/>
      </c>
      <c r="S208" s="25" t="str">
        <f t="shared" si="58"/>
        <v/>
      </c>
      <c r="T208" s="25" t="str">
        <f t="shared" si="59"/>
        <v/>
      </c>
      <c r="U208" s="25"/>
      <c r="V208" s="26" t="str">
        <f t="shared" si="60"/>
        <v/>
      </c>
      <c r="W208" t="str">
        <f t="shared" si="61"/>
        <v/>
      </c>
      <c r="X208" s="24" t="str">
        <f t="shared" si="62"/>
        <v/>
      </c>
      <c r="Y208" s="25" t="str">
        <f t="shared" si="63"/>
        <v/>
      </c>
      <c r="Z208" s="25" t="str">
        <f t="shared" si="64"/>
        <v/>
      </c>
      <c r="AA208" s="25" t="str">
        <f t="shared" si="65"/>
        <v/>
      </c>
      <c r="AB208" s="25" t="str">
        <f t="shared" si="66"/>
        <v/>
      </c>
      <c r="AC208" s="25" t="str">
        <f t="shared" si="67"/>
        <v/>
      </c>
      <c r="AD208" s="26" t="str">
        <f t="shared" si="68"/>
        <v/>
      </c>
      <c r="AE208" t="str">
        <f t="shared" si="69"/>
        <v/>
      </c>
      <c r="AF208" s="24" t="str">
        <f t="shared" si="70"/>
        <v/>
      </c>
      <c r="AG208" s="25" t="str">
        <f t="shared" si="71"/>
        <v/>
      </c>
      <c r="AH208" s="25" t="str">
        <f t="shared" si="72"/>
        <v/>
      </c>
      <c r="AI208" s="25" t="str">
        <f t="shared" si="73"/>
        <v/>
      </c>
      <c r="AJ208" s="25" t="str">
        <f t="shared" si="74"/>
        <v/>
      </c>
      <c r="AK208" s="25" t="str">
        <f t="shared" si="75"/>
        <v/>
      </c>
      <c r="AL208" s="26" t="str">
        <f t="shared" si="76"/>
        <v/>
      </c>
      <c r="AP208" t="str">
        <f t="shared" si="77"/>
        <v/>
      </c>
      <c r="AQ208" s="24" t="str">
        <f t="shared" si="78"/>
        <v/>
      </c>
      <c r="AR208" s="25" t="str">
        <f t="shared" si="79"/>
        <v/>
      </c>
      <c r="AS208" s="25" t="str">
        <f t="shared" si="80"/>
        <v/>
      </c>
      <c r="AT208" s="25" t="str">
        <f t="shared" si="81"/>
        <v/>
      </c>
      <c r="AU208" s="25" t="str">
        <f t="shared" si="82"/>
        <v/>
      </c>
      <c r="AV208" s="25" t="str">
        <f t="shared" si="83"/>
        <v/>
      </c>
      <c r="AW208" s="26" t="str">
        <f t="shared" si="84"/>
        <v/>
      </c>
    </row>
    <row r="209" spans="3:49" x14ac:dyDescent="0.25">
      <c r="C209">
        <v>53</v>
      </c>
      <c r="D209" t="str">
        <f t="shared" si="45"/>
        <v/>
      </c>
      <c r="E209" s="24" t="str">
        <f t="shared" si="46"/>
        <v/>
      </c>
      <c r="F209" s="25" t="str">
        <f t="shared" si="47"/>
        <v/>
      </c>
      <c r="G209" s="25" t="str">
        <f t="shared" si="48"/>
        <v/>
      </c>
      <c r="H209" s="25" t="str">
        <f t="shared" si="49"/>
        <v/>
      </c>
      <c r="I209" s="25" t="str">
        <f t="shared" si="50"/>
        <v/>
      </c>
      <c r="J209" s="25" t="str">
        <f t="shared" si="51"/>
        <v/>
      </c>
      <c r="K209" s="26" t="str">
        <f t="shared" si="52"/>
        <v/>
      </c>
      <c r="N209" t="str">
        <f t="shared" ref="N209:N236" si="85">N157</f>
        <v/>
      </c>
      <c r="O209" s="24" t="str">
        <f t="shared" si="54"/>
        <v/>
      </c>
      <c r="P209" s="25" t="str">
        <f t="shared" si="55"/>
        <v/>
      </c>
      <c r="Q209" s="25" t="str">
        <f t="shared" si="56"/>
        <v/>
      </c>
      <c r="R209" s="25" t="str">
        <f t="shared" si="57"/>
        <v/>
      </c>
      <c r="S209" s="25" t="str">
        <f t="shared" si="58"/>
        <v/>
      </c>
      <c r="T209" s="25" t="str">
        <f t="shared" si="59"/>
        <v/>
      </c>
      <c r="U209" s="25"/>
      <c r="V209" s="26" t="str">
        <f t="shared" si="60"/>
        <v/>
      </c>
      <c r="W209" t="str">
        <f t="shared" ref="W209:W236" si="86">W157</f>
        <v/>
      </c>
      <c r="X209" s="24" t="str">
        <f t="shared" si="62"/>
        <v/>
      </c>
      <c r="Y209" s="25" t="str">
        <f t="shared" si="63"/>
        <v/>
      </c>
      <c r="Z209" s="25" t="str">
        <f t="shared" si="64"/>
        <v/>
      </c>
      <c r="AA209" s="25" t="str">
        <f t="shared" si="65"/>
        <v/>
      </c>
      <c r="AB209" s="25" t="str">
        <f t="shared" si="66"/>
        <v/>
      </c>
      <c r="AC209" s="25" t="str">
        <f t="shared" si="67"/>
        <v/>
      </c>
      <c r="AD209" s="26" t="str">
        <f t="shared" si="68"/>
        <v/>
      </c>
      <c r="AE209" t="str">
        <f t="shared" ref="AE209:AE236" si="87">AE157</f>
        <v/>
      </c>
      <c r="AF209" s="24" t="str">
        <f t="shared" si="70"/>
        <v/>
      </c>
      <c r="AG209" s="25" t="str">
        <f t="shared" si="71"/>
        <v/>
      </c>
      <c r="AH209" s="25" t="str">
        <f t="shared" si="72"/>
        <v/>
      </c>
      <c r="AI209" s="25" t="str">
        <f t="shared" si="73"/>
        <v/>
      </c>
      <c r="AJ209" s="25" t="str">
        <f t="shared" si="74"/>
        <v/>
      </c>
      <c r="AK209" s="25" t="str">
        <f t="shared" si="75"/>
        <v/>
      </c>
      <c r="AL209" s="26" t="str">
        <f t="shared" si="76"/>
        <v/>
      </c>
      <c r="AP209" t="str">
        <f t="shared" ref="AP209:AP236" si="88">AP157</f>
        <v/>
      </c>
      <c r="AQ209" s="24" t="str">
        <f t="shared" si="78"/>
        <v/>
      </c>
      <c r="AR209" s="25" t="str">
        <f t="shared" si="79"/>
        <v/>
      </c>
      <c r="AS209" s="25" t="str">
        <f t="shared" si="80"/>
        <v/>
      </c>
      <c r="AT209" s="25" t="str">
        <f t="shared" si="81"/>
        <v/>
      </c>
      <c r="AU209" s="25" t="str">
        <f t="shared" si="82"/>
        <v/>
      </c>
      <c r="AV209" s="25" t="str">
        <f t="shared" si="83"/>
        <v/>
      </c>
      <c r="AW209" s="26" t="str">
        <f t="shared" si="84"/>
        <v/>
      </c>
    </row>
    <row r="210" spans="3:49" x14ac:dyDescent="0.25">
      <c r="C210">
        <v>54</v>
      </c>
      <c r="D210" t="str">
        <f t="shared" si="45"/>
        <v/>
      </c>
      <c r="E210" s="24" t="str">
        <f t="shared" si="46"/>
        <v/>
      </c>
      <c r="F210" s="25" t="str">
        <f t="shared" si="47"/>
        <v/>
      </c>
      <c r="G210" s="25" t="str">
        <f t="shared" si="48"/>
        <v/>
      </c>
      <c r="H210" s="25" t="str">
        <f t="shared" si="49"/>
        <v/>
      </c>
      <c r="I210" s="25" t="str">
        <f t="shared" si="50"/>
        <v/>
      </c>
      <c r="J210" s="25" t="str">
        <f t="shared" si="51"/>
        <v/>
      </c>
      <c r="K210" s="26" t="str">
        <f t="shared" si="52"/>
        <v/>
      </c>
      <c r="N210" t="str">
        <f t="shared" si="85"/>
        <v/>
      </c>
      <c r="O210" s="24" t="str">
        <f t="shared" si="54"/>
        <v/>
      </c>
      <c r="P210" s="25" t="str">
        <f t="shared" si="55"/>
        <v/>
      </c>
      <c r="Q210" s="25" t="str">
        <f t="shared" si="56"/>
        <v/>
      </c>
      <c r="R210" s="25" t="str">
        <f t="shared" si="57"/>
        <v/>
      </c>
      <c r="S210" s="25" t="str">
        <f t="shared" si="58"/>
        <v/>
      </c>
      <c r="T210" s="25" t="str">
        <f t="shared" si="59"/>
        <v/>
      </c>
      <c r="U210" s="25"/>
      <c r="V210" s="26" t="str">
        <f t="shared" si="60"/>
        <v/>
      </c>
      <c r="W210" t="str">
        <f t="shared" si="86"/>
        <v/>
      </c>
      <c r="X210" s="24" t="str">
        <f t="shared" si="62"/>
        <v/>
      </c>
      <c r="Y210" s="25" t="str">
        <f t="shared" si="63"/>
        <v/>
      </c>
      <c r="Z210" s="25" t="str">
        <f t="shared" si="64"/>
        <v/>
      </c>
      <c r="AA210" s="25" t="str">
        <f t="shared" si="65"/>
        <v/>
      </c>
      <c r="AB210" s="25" t="str">
        <f t="shared" si="66"/>
        <v/>
      </c>
      <c r="AC210" s="25" t="str">
        <f t="shared" si="67"/>
        <v/>
      </c>
      <c r="AD210" s="26" t="str">
        <f t="shared" si="68"/>
        <v/>
      </c>
      <c r="AE210" t="str">
        <f t="shared" si="87"/>
        <v/>
      </c>
      <c r="AF210" s="24" t="str">
        <f t="shared" si="70"/>
        <v/>
      </c>
      <c r="AG210" s="25" t="str">
        <f t="shared" si="71"/>
        <v/>
      </c>
      <c r="AH210" s="25" t="str">
        <f t="shared" si="72"/>
        <v/>
      </c>
      <c r="AI210" s="25" t="str">
        <f t="shared" si="73"/>
        <v/>
      </c>
      <c r="AJ210" s="25" t="str">
        <f t="shared" si="74"/>
        <v/>
      </c>
      <c r="AK210" s="25" t="str">
        <f t="shared" si="75"/>
        <v/>
      </c>
      <c r="AL210" s="26" t="str">
        <f t="shared" si="76"/>
        <v/>
      </c>
      <c r="AP210" t="str">
        <f t="shared" si="88"/>
        <v/>
      </c>
      <c r="AQ210" s="24" t="str">
        <f t="shared" si="78"/>
        <v/>
      </c>
      <c r="AR210" s="25" t="str">
        <f t="shared" si="79"/>
        <v/>
      </c>
      <c r="AS210" s="25" t="str">
        <f t="shared" si="80"/>
        <v/>
      </c>
      <c r="AT210" s="25" t="str">
        <f t="shared" si="81"/>
        <v/>
      </c>
      <c r="AU210" s="25" t="str">
        <f t="shared" si="82"/>
        <v/>
      </c>
      <c r="AV210" s="25" t="str">
        <f t="shared" si="83"/>
        <v/>
      </c>
      <c r="AW210" s="26" t="str">
        <f t="shared" si="84"/>
        <v/>
      </c>
    </row>
    <row r="211" spans="3:49" x14ac:dyDescent="0.25">
      <c r="C211">
        <v>55</v>
      </c>
      <c r="D211" t="str">
        <f t="shared" si="45"/>
        <v/>
      </c>
      <c r="E211" s="24" t="str">
        <f t="shared" si="46"/>
        <v/>
      </c>
      <c r="F211" s="25" t="str">
        <f t="shared" si="47"/>
        <v/>
      </c>
      <c r="G211" s="25" t="str">
        <f t="shared" si="48"/>
        <v/>
      </c>
      <c r="H211" s="25" t="str">
        <f t="shared" si="49"/>
        <v/>
      </c>
      <c r="I211" s="25" t="str">
        <f t="shared" si="50"/>
        <v/>
      </c>
      <c r="J211" s="25" t="str">
        <f t="shared" si="51"/>
        <v/>
      </c>
      <c r="K211" s="26" t="str">
        <f t="shared" si="52"/>
        <v/>
      </c>
      <c r="N211" t="str">
        <f t="shared" si="85"/>
        <v/>
      </c>
      <c r="O211" s="24" t="str">
        <f t="shared" si="54"/>
        <v/>
      </c>
      <c r="P211" s="25" t="str">
        <f t="shared" si="55"/>
        <v/>
      </c>
      <c r="Q211" s="25" t="str">
        <f t="shared" si="56"/>
        <v/>
      </c>
      <c r="R211" s="25" t="str">
        <f t="shared" si="57"/>
        <v/>
      </c>
      <c r="S211" s="25" t="str">
        <f t="shared" si="58"/>
        <v/>
      </c>
      <c r="T211" s="25" t="str">
        <f t="shared" si="59"/>
        <v/>
      </c>
      <c r="U211" s="25"/>
      <c r="V211" s="26" t="str">
        <f t="shared" si="60"/>
        <v/>
      </c>
      <c r="W211" t="str">
        <f t="shared" si="86"/>
        <v/>
      </c>
      <c r="X211" s="24" t="str">
        <f t="shared" si="62"/>
        <v/>
      </c>
      <c r="Y211" s="25" t="str">
        <f t="shared" si="63"/>
        <v/>
      </c>
      <c r="Z211" s="25" t="str">
        <f t="shared" si="64"/>
        <v/>
      </c>
      <c r="AA211" s="25" t="str">
        <f t="shared" si="65"/>
        <v/>
      </c>
      <c r="AB211" s="25" t="str">
        <f t="shared" si="66"/>
        <v/>
      </c>
      <c r="AC211" s="25" t="str">
        <f t="shared" si="67"/>
        <v/>
      </c>
      <c r="AD211" s="26" t="str">
        <f t="shared" si="68"/>
        <v/>
      </c>
      <c r="AE211" t="str">
        <f t="shared" si="87"/>
        <v/>
      </c>
      <c r="AF211" s="24" t="str">
        <f t="shared" si="70"/>
        <v/>
      </c>
      <c r="AG211" s="25" t="str">
        <f t="shared" si="71"/>
        <v/>
      </c>
      <c r="AH211" s="25" t="str">
        <f t="shared" si="72"/>
        <v/>
      </c>
      <c r="AI211" s="25" t="str">
        <f t="shared" si="73"/>
        <v/>
      </c>
      <c r="AJ211" s="25" t="str">
        <f t="shared" si="74"/>
        <v/>
      </c>
      <c r="AK211" s="25" t="str">
        <f t="shared" si="75"/>
        <v/>
      </c>
      <c r="AL211" s="26" t="str">
        <f t="shared" si="76"/>
        <v/>
      </c>
      <c r="AP211" t="str">
        <f t="shared" si="88"/>
        <v/>
      </c>
      <c r="AQ211" s="24" t="str">
        <f t="shared" si="78"/>
        <v/>
      </c>
      <c r="AR211" s="25" t="str">
        <f t="shared" si="79"/>
        <v/>
      </c>
      <c r="AS211" s="25" t="str">
        <f t="shared" si="80"/>
        <v/>
      </c>
      <c r="AT211" s="25" t="str">
        <f t="shared" si="81"/>
        <v/>
      </c>
      <c r="AU211" s="25" t="str">
        <f t="shared" si="82"/>
        <v/>
      </c>
      <c r="AV211" s="25" t="str">
        <f t="shared" si="83"/>
        <v/>
      </c>
      <c r="AW211" s="26" t="str">
        <f t="shared" si="84"/>
        <v/>
      </c>
    </row>
    <row r="212" spans="3:49" x14ac:dyDescent="0.25">
      <c r="C212">
        <v>56</v>
      </c>
      <c r="D212" t="str">
        <f t="shared" si="45"/>
        <v/>
      </c>
      <c r="E212" s="24" t="str">
        <f t="shared" si="46"/>
        <v/>
      </c>
      <c r="F212" s="25" t="str">
        <f t="shared" si="47"/>
        <v/>
      </c>
      <c r="G212" s="25" t="str">
        <f t="shared" si="48"/>
        <v/>
      </c>
      <c r="H212" s="25" t="str">
        <f t="shared" si="49"/>
        <v/>
      </c>
      <c r="I212" s="25" t="str">
        <f t="shared" si="50"/>
        <v/>
      </c>
      <c r="J212" s="25" t="str">
        <f t="shared" si="51"/>
        <v/>
      </c>
      <c r="K212" s="26" t="str">
        <f t="shared" si="52"/>
        <v/>
      </c>
      <c r="N212" t="str">
        <f t="shared" si="85"/>
        <v/>
      </c>
      <c r="O212" s="24" t="str">
        <f t="shared" si="54"/>
        <v/>
      </c>
      <c r="P212" s="25" t="str">
        <f t="shared" si="55"/>
        <v/>
      </c>
      <c r="Q212" s="25" t="str">
        <f t="shared" si="56"/>
        <v/>
      </c>
      <c r="R212" s="25" t="str">
        <f t="shared" si="57"/>
        <v/>
      </c>
      <c r="S212" s="25" t="str">
        <f t="shared" si="58"/>
        <v/>
      </c>
      <c r="T212" s="25" t="str">
        <f t="shared" si="59"/>
        <v/>
      </c>
      <c r="U212" s="25"/>
      <c r="V212" s="26" t="str">
        <f t="shared" si="60"/>
        <v/>
      </c>
      <c r="W212" t="str">
        <f t="shared" si="86"/>
        <v/>
      </c>
      <c r="X212" s="24" t="str">
        <f t="shared" si="62"/>
        <v/>
      </c>
      <c r="Y212" s="25" t="str">
        <f t="shared" si="63"/>
        <v/>
      </c>
      <c r="Z212" s="25" t="str">
        <f t="shared" si="64"/>
        <v/>
      </c>
      <c r="AA212" s="25" t="str">
        <f t="shared" si="65"/>
        <v/>
      </c>
      <c r="AB212" s="25" t="str">
        <f t="shared" si="66"/>
        <v/>
      </c>
      <c r="AC212" s="25" t="str">
        <f t="shared" si="67"/>
        <v/>
      </c>
      <c r="AD212" s="26" t="str">
        <f t="shared" si="68"/>
        <v/>
      </c>
      <c r="AE212" t="str">
        <f t="shared" si="87"/>
        <v/>
      </c>
      <c r="AF212" s="24" t="str">
        <f t="shared" si="70"/>
        <v/>
      </c>
      <c r="AG212" s="25" t="str">
        <f t="shared" si="71"/>
        <v/>
      </c>
      <c r="AH212" s="25" t="str">
        <f t="shared" si="72"/>
        <v/>
      </c>
      <c r="AI212" s="25" t="str">
        <f t="shared" si="73"/>
        <v/>
      </c>
      <c r="AJ212" s="25" t="str">
        <f t="shared" si="74"/>
        <v/>
      </c>
      <c r="AK212" s="25" t="str">
        <f t="shared" si="75"/>
        <v/>
      </c>
      <c r="AL212" s="26" t="str">
        <f t="shared" si="76"/>
        <v/>
      </c>
      <c r="AP212" t="str">
        <f t="shared" si="88"/>
        <v/>
      </c>
      <c r="AQ212" s="24" t="str">
        <f t="shared" si="78"/>
        <v/>
      </c>
      <c r="AR212" s="25" t="str">
        <f t="shared" si="79"/>
        <v/>
      </c>
      <c r="AS212" s="25" t="str">
        <f t="shared" si="80"/>
        <v/>
      </c>
      <c r="AT212" s="25" t="str">
        <f t="shared" si="81"/>
        <v/>
      </c>
      <c r="AU212" s="25" t="str">
        <f t="shared" si="82"/>
        <v/>
      </c>
      <c r="AV212" s="25" t="str">
        <f t="shared" si="83"/>
        <v/>
      </c>
      <c r="AW212" s="26" t="str">
        <f t="shared" si="84"/>
        <v/>
      </c>
    </row>
    <row r="213" spans="3:49" x14ac:dyDescent="0.25">
      <c r="C213">
        <v>57</v>
      </c>
      <c r="D213" t="str">
        <f t="shared" si="45"/>
        <v/>
      </c>
      <c r="E213" s="24" t="str">
        <f t="shared" si="46"/>
        <v/>
      </c>
      <c r="F213" s="25" t="str">
        <f t="shared" si="47"/>
        <v/>
      </c>
      <c r="G213" s="25" t="str">
        <f t="shared" si="48"/>
        <v/>
      </c>
      <c r="H213" s="25" t="str">
        <f t="shared" si="49"/>
        <v/>
      </c>
      <c r="I213" s="25" t="str">
        <f t="shared" si="50"/>
        <v/>
      </c>
      <c r="J213" s="25" t="str">
        <f t="shared" si="51"/>
        <v/>
      </c>
      <c r="K213" s="26" t="str">
        <f t="shared" si="52"/>
        <v/>
      </c>
      <c r="N213" t="str">
        <f t="shared" si="85"/>
        <v/>
      </c>
      <c r="O213" s="24" t="str">
        <f t="shared" si="54"/>
        <v/>
      </c>
      <c r="P213" s="25" t="str">
        <f t="shared" si="55"/>
        <v/>
      </c>
      <c r="Q213" s="25" t="str">
        <f t="shared" si="56"/>
        <v/>
      </c>
      <c r="R213" s="25" t="str">
        <f t="shared" si="57"/>
        <v/>
      </c>
      <c r="S213" s="25" t="str">
        <f t="shared" si="58"/>
        <v/>
      </c>
      <c r="T213" s="25" t="str">
        <f t="shared" si="59"/>
        <v/>
      </c>
      <c r="U213" s="25"/>
      <c r="V213" s="26" t="str">
        <f t="shared" si="60"/>
        <v/>
      </c>
      <c r="W213" t="str">
        <f t="shared" si="86"/>
        <v/>
      </c>
      <c r="X213" s="24" t="str">
        <f t="shared" si="62"/>
        <v/>
      </c>
      <c r="Y213" s="25" t="str">
        <f t="shared" si="63"/>
        <v/>
      </c>
      <c r="Z213" s="25" t="str">
        <f t="shared" si="64"/>
        <v/>
      </c>
      <c r="AA213" s="25" t="str">
        <f t="shared" si="65"/>
        <v/>
      </c>
      <c r="AB213" s="25" t="str">
        <f t="shared" si="66"/>
        <v/>
      </c>
      <c r="AC213" s="25" t="str">
        <f t="shared" si="67"/>
        <v/>
      </c>
      <c r="AD213" s="26" t="str">
        <f t="shared" si="68"/>
        <v/>
      </c>
      <c r="AE213" t="str">
        <f t="shared" si="87"/>
        <v/>
      </c>
      <c r="AF213" s="24" t="str">
        <f t="shared" si="70"/>
        <v/>
      </c>
      <c r="AG213" s="25" t="str">
        <f t="shared" si="71"/>
        <v/>
      </c>
      <c r="AH213" s="25" t="str">
        <f t="shared" si="72"/>
        <v/>
      </c>
      <c r="AI213" s="25" t="str">
        <f t="shared" si="73"/>
        <v/>
      </c>
      <c r="AJ213" s="25" t="str">
        <f t="shared" si="74"/>
        <v/>
      </c>
      <c r="AK213" s="25" t="str">
        <f t="shared" si="75"/>
        <v/>
      </c>
      <c r="AL213" s="26" t="str">
        <f t="shared" si="76"/>
        <v/>
      </c>
      <c r="AP213" t="str">
        <f t="shared" si="88"/>
        <v/>
      </c>
      <c r="AQ213" s="24" t="str">
        <f t="shared" si="78"/>
        <v/>
      </c>
      <c r="AR213" s="25" t="str">
        <f t="shared" si="79"/>
        <v/>
      </c>
      <c r="AS213" s="25" t="str">
        <f t="shared" si="80"/>
        <v/>
      </c>
      <c r="AT213" s="25" t="str">
        <f t="shared" si="81"/>
        <v/>
      </c>
      <c r="AU213" s="25" t="str">
        <f t="shared" si="82"/>
        <v/>
      </c>
      <c r="AV213" s="25" t="str">
        <f t="shared" si="83"/>
        <v/>
      </c>
      <c r="AW213" s="26" t="str">
        <f t="shared" si="84"/>
        <v/>
      </c>
    </row>
    <row r="214" spans="3:49" x14ac:dyDescent="0.25">
      <c r="C214">
        <v>58</v>
      </c>
      <c r="D214" t="str">
        <f t="shared" si="45"/>
        <v/>
      </c>
      <c r="E214" s="24" t="str">
        <f t="shared" si="46"/>
        <v/>
      </c>
      <c r="F214" s="25" t="str">
        <f t="shared" si="47"/>
        <v/>
      </c>
      <c r="G214" s="25" t="str">
        <f t="shared" si="48"/>
        <v/>
      </c>
      <c r="H214" s="25" t="str">
        <f t="shared" si="49"/>
        <v/>
      </c>
      <c r="I214" s="25" t="str">
        <f t="shared" si="50"/>
        <v/>
      </c>
      <c r="J214" s="25" t="str">
        <f t="shared" si="51"/>
        <v/>
      </c>
      <c r="K214" s="26" t="str">
        <f t="shared" si="52"/>
        <v/>
      </c>
      <c r="N214" t="str">
        <f t="shared" si="85"/>
        <v/>
      </c>
      <c r="O214" s="24" t="str">
        <f t="shared" si="54"/>
        <v/>
      </c>
      <c r="P214" s="25" t="str">
        <f t="shared" si="55"/>
        <v/>
      </c>
      <c r="Q214" s="25" t="str">
        <f t="shared" si="56"/>
        <v/>
      </c>
      <c r="R214" s="25" t="str">
        <f t="shared" si="57"/>
        <v/>
      </c>
      <c r="S214" s="25" t="str">
        <f t="shared" si="58"/>
        <v/>
      </c>
      <c r="T214" s="25" t="str">
        <f t="shared" si="59"/>
        <v/>
      </c>
      <c r="U214" s="25"/>
      <c r="V214" s="26" t="str">
        <f t="shared" si="60"/>
        <v/>
      </c>
      <c r="W214" t="str">
        <f t="shared" si="86"/>
        <v/>
      </c>
      <c r="X214" s="24" t="str">
        <f t="shared" si="62"/>
        <v/>
      </c>
      <c r="Y214" s="25" t="str">
        <f t="shared" si="63"/>
        <v/>
      </c>
      <c r="Z214" s="25" t="str">
        <f t="shared" si="64"/>
        <v/>
      </c>
      <c r="AA214" s="25" t="str">
        <f t="shared" si="65"/>
        <v/>
      </c>
      <c r="AB214" s="25" t="str">
        <f t="shared" si="66"/>
        <v/>
      </c>
      <c r="AC214" s="25" t="str">
        <f t="shared" si="67"/>
        <v/>
      </c>
      <c r="AD214" s="26" t="str">
        <f t="shared" si="68"/>
        <v/>
      </c>
      <c r="AE214" t="str">
        <f t="shared" si="87"/>
        <v/>
      </c>
      <c r="AF214" s="24" t="str">
        <f t="shared" si="70"/>
        <v/>
      </c>
      <c r="AG214" s="25" t="str">
        <f t="shared" si="71"/>
        <v/>
      </c>
      <c r="AH214" s="25" t="str">
        <f t="shared" si="72"/>
        <v/>
      </c>
      <c r="AI214" s="25" t="str">
        <f t="shared" si="73"/>
        <v/>
      </c>
      <c r="AJ214" s="25" t="str">
        <f t="shared" si="74"/>
        <v/>
      </c>
      <c r="AK214" s="25" t="str">
        <f t="shared" si="75"/>
        <v/>
      </c>
      <c r="AL214" s="26" t="str">
        <f t="shared" si="76"/>
        <v/>
      </c>
      <c r="AP214" t="str">
        <f t="shared" si="88"/>
        <v/>
      </c>
      <c r="AQ214" s="24" t="str">
        <f t="shared" si="78"/>
        <v/>
      </c>
      <c r="AR214" s="25" t="str">
        <f t="shared" si="79"/>
        <v/>
      </c>
      <c r="AS214" s="25" t="str">
        <f t="shared" si="80"/>
        <v/>
      </c>
      <c r="AT214" s="25" t="str">
        <f t="shared" si="81"/>
        <v/>
      </c>
      <c r="AU214" s="25" t="str">
        <f t="shared" si="82"/>
        <v/>
      </c>
      <c r="AV214" s="25" t="str">
        <f t="shared" si="83"/>
        <v/>
      </c>
      <c r="AW214" s="26" t="str">
        <f t="shared" si="84"/>
        <v/>
      </c>
    </row>
    <row r="215" spans="3:49" x14ac:dyDescent="0.25">
      <c r="C215">
        <v>59</v>
      </c>
      <c r="D215" t="str">
        <f t="shared" si="45"/>
        <v/>
      </c>
      <c r="E215" s="24" t="str">
        <f t="shared" si="46"/>
        <v/>
      </c>
      <c r="F215" s="25" t="str">
        <f t="shared" si="47"/>
        <v/>
      </c>
      <c r="G215" s="25" t="str">
        <f t="shared" si="48"/>
        <v/>
      </c>
      <c r="H215" s="25" t="str">
        <f t="shared" si="49"/>
        <v/>
      </c>
      <c r="I215" s="25" t="str">
        <f t="shared" si="50"/>
        <v/>
      </c>
      <c r="J215" s="25" t="str">
        <f t="shared" si="51"/>
        <v/>
      </c>
      <c r="K215" s="26" t="str">
        <f t="shared" si="52"/>
        <v/>
      </c>
      <c r="N215" t="str">
        <f t="shared" si="85"/>
        <v/>
      </c>
      <c r="O215" s="24" t="str">
        <f t="shared" si="54"/>
        <v/>
      </c>
      <c r="P215" s="25" t="str">
        <f t="shared" si="55"/>
        <v/>
      </c>
      <c r="Q215" s="25" t="str">
        <f t="shared" si="56"/>
        <v/>
      </c>
      <c r="R215" s="25" t="str">
        <f t="shared" si="57"/>
        <v/>
      </c>
      <c r="S215" s="25" t="str">
        <f t="shared" si="58"/>
        <v/>
      </c>
      <c r="T215" s="25" t="str">
        <f t="shared" si="59"/>
        <v/>
      </c>
      <c r="U215" s="25"/>
      <c r="V215" s="26" t="str">
        <f t="shared" si="60"/>
        <v/>
      </c>
      <c r="W215" t="str">
        <f t="shared" si="86"/>
        <v/>
      </c>
      <c r="X215" s="24" t="str">
        <f t="shared" si="62"/>
        <v/>
      </c>
      <c r="Y215" s="25" t="str">
        <f t="shared" si="63"/>
        <v/>
      </c>
      <c r="Z215" s="25" t="str">
        <f t="shared" si="64"/>
        <v/>
      </c>
      <c r="AA215" s="25" t="str">
        <f t="shared" si="65"/>
        <v/>
      </c>
      <c r="AB215" s="25" t="str">
        <f t="shared" si="66"/>
        <v/>
      </c>
      <c r="AC215" s="25" t="str">
        <f t="shared" si="67"/>
        <v/>
      </c>
      <c r="AD215" s="26" t="str">
        <f t="shared" si="68"/>
        <v/>
      </c>
      <c r="AE215" t="str">
        <f t="shared" si="87"/>
        <v/>
      </c>
      <c r="AF215" s="24" t="str">
        <f t="shared" si="70"/>
        <v/>
      </c>
      <c r="AG215" s="25" t="str">
        <f t="shared" si="71"/>
        <v/>
      </c>
      <c r="AH215" s="25" t="str">
        <f t="shared" si="72"/>
        <v/>
      </c>
      <c r="AI215" s="25" t="str">
        <f t="shared" si="73"/>
        <v/>
      </c>
      <c r="AJ215" s="25" t="str">
        <f t="shared" si="74"/>
        <v/>
      </c>
      <c r="AK215" s="25" t="str">
        <f t="shared" si="75"/>
        <v/>
      </c>
      <c r="AL215" s="26" t="str">
        <f t="shared" si="76"/>
        <v/>
      </c>
      <c r="AP215" t="str">
        <f t="shared" si="88"/>
        <v/>
      </c>
      <c r="AQ215" s="24" t="str">
        <f t="shared" si="78"/>
        <v/>
      </c>
      <c r="AR215" s="25" t="str">
        <f t="shared" si="79"/>
        <v/>
      </c>
      <c r="AS215" s="25" t="str">
        <f t="shared" si="80"/>
        <v/>
      </c>
      <c r="AT215" s="25" t="str">
        <f t="shared" si="81"/>
        <v/>
      </c>
      <c r="AU215" s="25" t="str">
        <f t="shared" si="82"/>
        <v/>
      </c>
      <c r="AV215" s="25" t="str">
        <f t="shared" si="83"/>
        <v/>
      </c>
      <c r="AW215" s="26" t="str">
        <f t="shared" si="84"/>
        <v/>
      </c>
    </row>
    <row r="216" spans="3:49" x14ac:dyDescent="0.25">
      <c r="C216">
        <v>60</v>
      </c>
      <c r="D216" t="str">
        <f t="shared" si="45"/>
        <v/>
      </c>
      <c r="E216" s="24" t="str">
        <f t="shared" si="46"/>
        <v/>
      </c>
      <c r="F216" s="25" t="str">
        <f t="shared" si="47"/>
        <v/>
      </c>
      <c r="G216" s="25" t="str">
        <f t="shared" si="48"/>
        <v/>
      </c>
      <c r="H216" s="25" t="str">
        <f t="shared" si="49"/>
        <v/>
      </c>
      <c r="I216" s="25" t="str">
        <f t="shared" si="50"/>
        <v/>
      </c>
      <c r="J216" s="25" t="str">
        <f t="shared" si="51"/>
        <v/>
      </c>
      <c r="K216" s="26" t="str">
        <f t="shared" si="52"/>
        <v/>
      </c>
      <c r="N216" t="str">
        <f t="shared" si="85"/>
        <v/>
      </c>
      <c r="O216" s="24" t="str">
        <f t="shared" si="54"/>
        <v/>
      </c>
      <c r="P216" s="25" t="str">
        <f t="shared" si="55"/>
        <v/>
      </c>
      <c r="Q216" s="25" t="str">
        <f t="shared" si="56"/>
        <v/>
      </c>
      <c r="R216" s="25" t="str">
        <f t="shared" si="57"/>
        <v/>
      </c>
      <c r="S216" s="25" t="str">
        <f t="shared" si="58"/>
        <v/>
      </c>
      <c r="T216" s="25" t="str">
        <f t="shared" si="59"/>
        <v/>
      </c>
      <c r="U216" s="25"/>
      <c r="V216" s="26" t="str">
        <f t="shared" si="60"/>
        <v/>
      </c>
      <c r="W216" t="str">
        <f t="shared" si="86"/>
        <v/>
      </c>
      <c r="X216" s="24" t="str">
        <f t="shared" si="62"/>
        <v/>
      </c>
      <c r="Y216" s="25" t="str">
        <f t="shared" si="63"/>
        <v/>
      </c>
      <c r="Z216" s="25" t="str">
        <f t="shared" si="64"/>
        <v/>
      </c>
      <c r="AA216" s="25" t="str">
        <f t="shared" si="65"/>
        <v/>
      </c>
      <c r="AB216" s="25" t="str">
        <f t="shared" si="66"/>
        <v/>
      </c>
      <c r="AC216" s="25" t="str">
        <f t="shared" si="67"/>
        <v/>
      </c>
      <c r="AD216" s="26" t="str">
        <f t="shared" si="68"/>
        <v/>
      </c>
      <c r="AE216" t="str">
        <f t="shared" si="87"/>
        <v/>
      </c>
      <c r="AF216" s="24" t="str">
        <f t="shared" si="70"/>
        <v/>
      </c>
      <c r="AG216" s="25" t="str">
        <f t="shared" si="71"/>
        <v/>
      </c>
      <c r="AH216" s="25" t="str">
        <f t="shared" si="72"/>
        <v/>
      </c>
      <c r="AI216" s="25" t="str">
        <f t="shared" si="73"/>
        <v/>
      </c>
      <c r="AJ216" s="25" t="str">
        <f t="shared" si="74"/>
        <v/>
      </c>
      <c r="AK216" s="25" t="str">
        <f t="shared" si="75"/>
        <v/>
      </c>
      <c r="AL216" s="26" t="str">
        <f t="shared" si="76"/>
        <v/>
      </c>
      <c r="AP216" t="str">
        <f t="shared" si="88"/>
        <v/>
      </c>
      <c r="AQ216" s="24" t="str">
        <f t="shared" si="78"/>
        <v/>
      </c>
      <c r="AR216" s="25" t="str">
        <f t="shared" si="79"/>
        <v/>
      </c>
      <c r="AS216" s="25" t="str">
        <f t="shared" si="80"/>
        <v/>
      </c>
      <c r="AT216" s="25" t="str">
        <f t="shared" si="81"/>
        <v/>
      </c>
      <c r="AU216" s="25" t="str">
        <f t="shared" si="82"/>
        <v/>
      </c>
      <c r="AV216" s="25" t="str">
        <f t="shared" si="83"/>
        <v/>
      </c>
      <c r="AW216" s="26" t="str">
        <f t="shared" si="84"/>
        <v/>
      </c>
    </row>
    <row r="217" spans="3:49" x14ac:dyDescent="0.25">
      <c r="C217">
        <v>61</v>
      </c>
      <c r="D217" t="str">
        <f t="shared" si="45"/>
        <v/>
      </c>
      <c r="E217" s="24" t="str">
        <f t="shared" si="46"/>
        <v/>
      </c>
      <c r="F217" s="25" t="str">
        <f t="shared" si="47"/>
        <v/>
      </c>
      <c r="G217" s="25" t="str">
        <f t="shared" si="48"/>
        <v/>
      </c>
      <c r="H217" s="25" t="str">
        <f t="shared" si="49"/>
        <v/>
      </c>
      <c r="I217" s="25" t="str">
        <f t="shared" si="50"/>
        <v/>
      </c>
      <c r="J217" s="25" t="str">
        <f t="shared" si="51"/>
        <v/>
      </c>
      <c r="K217" s="26" t="str">
        <f t="shared" si="52"/>
        <v/>
      </c>
      <c r="N217" t="str">
        <f t="shared" si="85"/>
        <v/>
      </c>
      <c r="O217" s="24" t="str">
        <f t="shared" si="54"/>
        <v/>
      </c>
      <c r="P217" s="25" t="str">
        <f t="shared" si="55"/>
        <v/>
      </c>
      <c r="Q217" s="25" t="str">
        <f t="shared" si="56"/>
        <v/>
      </c>
      <c r="R217" s="25" t="str">
        <f t="shared" si="57"/>
        <v/>
      </c>
      <c r="S217" s="25" t="str">
        <f t="shared" si="58"/>
        <v/>
      </c>
      <c r="T217" s="25" t="str">
        <f t="shared" si="59"/>
        <v/>
      </c>
      <c r="U217" s="25"/>
      <c r="V217" s="26" t="str">
        <f t="shared" si="60"/>
        <v/>
      </c>
      <c r="W217" t="str">
        <f t="shared" si="86"/>
        <v/>
      </c>
      <c r="X217" s="24" t="str">
        <f t="shared" si="62"/>
        <v/>
      </c>
      <c r="Y217" s="25" t="str">
        <f t="shared" si="63"/>
        <v/>
      </c>
      <c r="Z217" s="25" t="str">
        <f t="shared" si="64"/>
        <v/>
      </c>
      <c r="AA217" s="25" t="str">
        <f t="shared" si="65"/>
        <v/>
      </c>
      <c r="AB217" s="25" t="str">
        <f t="shared" si="66"/>
        <v/>
      </c>
      <c r="AC217" s="25" t="str">
        <f t="shared" si="67"/>
        <v/>
      </c>
      <c r="AD217" s="26" t="str">
        <f t="shared" si="68"/>
        <v/>
      </c>
      <c r="AE217" t="str">
        <f t="shared" si="87"/>
        <v/>
      </c>
      <c r="AF217" s="24" t="str">
        <f t="shared" si="70"/>
        <v/>
      </c>
      <c r="AG217" s="25" t="str">
        <f t="shared" si="71"/>
        <v/>
      </c>
      <c r="AH217" s="25" t="str">
        <f t="shared" si="72"/>
        <v/>
      </c>
      <c r="AI217" s="25" t="str">
        <f t="shared" si="73"/>
        <v/>
      </c>
      <c r="AJ217" s="25" t="str">
        <f t="shared" si="74"/>
        <v/>
      </c>
      <c r="AK217" s="25" t="str">
        <f t="shared" si="75"/>
        <v/>
      </c>
      <c r="AL217" s="26" t="str">
        <f t="shared" si="76"/>
        <v/>
      </c>
      <c r="AP217" t="str">
        <f t="shared" si="88"/>
        <v/>
      </c>
      <c r="AQ217" s="24" t="str">
        <f t="shared" si="78"/>
        <v/>
      </c>
      <c r="AR217" s="25" t="str">
        <f t="shared" si="79"/>
        <v/>
      </c>
      <c r="AS217" s="25" t="str">
        <f t="shared" si="80"/>
        <v/>
      </c>
      <c r="AT217" s="25" t="str">
        <f t="shared" si="81"/>
        <v/>
      </c>
      <c r="AU217" s="25" t="str">
        <f t="shared" si="82"/>
        <v/>
      </c>
      <c r="AV217" s="25" t="str">
        <f t="shared" si="83"/>
        <v/>
      </c>
      <c r="AW217" s="26" t="str">
        <f t="shared" si="84"/>
        <v/>
      </c>
    </row>
    <row r="218" spans="3:49" x14ac:dyDescent="0.25">
      <c r="C218">
        <v>62</v>
      </c>
      <c r="D218" t="str">
        <f t="shared" si="45"/>
        <v/>
      </c>
      <c r="E218" s="24" t="str">
        <f t="shared" si="46"/>
        <v/>
      </c>
      <c r="F218" s="25" t="str">
        <f t="shared" si="47"/>
        <v/>
      </c>
      <c r="G218" s="25" t="str">
        <f t="shared" si="48"/>
        <v/>
      </c>
      <c r="H218" s="25" t="str">
        <f t="shared" si="49"/>
        <v/>
      </c>
      <c r="I218" s="25" t="str">
        <f t="shared" si="50"/>
        <v/>
      </c>
      <c r="J218" s="25" t="str">
        <f t="shared" si="51"/>
        <v/>
      </c>
      <c r="K218" s="26" t="str">
        <f t="shared" si="52"/>
        <v/>
      </c>
      <c r="N218" t="str">
        <f t="shared" si="85"/>
        <v/>
      </c>
      <c r="O218" s="24" t="str">
        <f t="shared" si="54"/>
        <v/>
      </c>
      <c r="P218" s="25" t="str">
        <f t="shared" si="55"/>
        <v/>
      </c>
      <c r="Q218" s="25" t="str">
        <f t="shared" si="56"/>
        <v/>
      </c>
      <c r="R218" s="25" t="str">
        <f t="shared" si="57"/>
        <v/>
      </c>
      <c r="S218" s="25" t="str">
        <f t="shared" si="58"/>
        <v/>
      </c>
      <c r="T218" s="25" t="str">
        <f t="shared" si="59"/>
        <v/>
      </c>
      <c r="U218" s="25"/>
      <c r="V218" s="26" t="str">
        <f t="shared" si="60"/>
        <v/>
      </c>
      <c r="W218" t="str">
        <f t="shared" si="86"/>
        <v/>
      </c>
      <c r="X218" s="24" t="str">
        <f t="shared" si="62"/>
        <v/>
      </c>
      <c r="Y218" s="25" t="str">
        <f t="shared" si="63"/>
        <v/>
      </c>
      <c r="Z218" s="25" t="str">
        <f t="shared" si="64"/>
        <v/>
      </c>
      <c r="AA218" s="25" t="str">
        <f t="shared" si="65"/>
        <v/>
      </c>
      <c r="AB218" s="25" t="str">
        <f t="shared" si="66"/>
        <v/>
      </c>
      <c r="AC218" s="25" t="str">
        <f t="shared" si="67"/>
        <v/>
      </c>
      <c r="AD218" s="26" t="str">
        <f t="shared" si="68"/>
        <v/>
      </c>
      <c r="AE218" t="str">
        <f t="shared" si="87"/>
        <v/>
      </c>
      <c r="AF218" s="24" t="str">
        <f t="shared" si="70"/>
        <v/>
      </c>
      <c r="AG218" s="25" t="str">
        <f t="shared" si="71"/>
        <v/>
      </c>
      <c r="AH218" s="25" t="str">
        <f t="shared" si="72"/>
        <v/>
      </c>
      <c r="AI218" s="25" t="str">
        <f t="shared" si="73"/>
        <v/>
      </c>
      <c r="AJ218" s="25" t="str">
        <f t="shared" si="74"/>
        <v/>
      </c>
      <c r="AK218" s="25" t="str">
        <f t="shared" si="75"/>
        <v/>
      </c>
      <c r="AL218" s="26" t="str">
        <f t="shared" si="76"/>
        <v/>
      </c>
      <c r="AP218" t="str">
        <f t="shared" si="88"/>
        <v/>
      </c>
      <c r="AQ218" s="24" t="str">
        <f t="shared" si="78"/>
        <v/>
      </c>
      <c r="AR218" s="25" t="str">
        <f t="shared" si="79"/>
        <v/>
      </c>
      <c r="AS218" s="25" t="str">
        <f t="shared" si="80"/>
        <v/>
      </c>
      <c r="AT218" s="25" t="str">
        <f t="shared" si="81"/>
        <v/>
      </c>
      <c r="AU218" s="25" t="str">
        <f t="shared" si="82"/>
        <v/>
      </c>
      <c r="AV218" s="25" t="str">
        <f t="shared" si="83"/>
        <v/>
      </c>
      <c r="AW218" s="26" t="str">
        <f t="shared" si="84"/>
        <v/>
      </c>
    </row>
    <row r="219" spans="3:49" x14ac:dyDescent="0.25">
      <c r="C219">
        <v>63</v>
      </c>
      <c r="D219" t="str">
        <f t="shared" si="45"/>
        <v/>
      </c>
      <c r="E219" s="24" t="str">
        <f t="shared" si="46"/>
        <v/>
      </c>
      <c r="F219" s="25" t="str">
        <f t="shared" si="47"/>
        <v/>
      </c>
      <c r="G219" s="25" t="str">
        <f t="shared" si="48"/>
        <v/>
      </c>
      <c r="H219" s="25" t="str">
        <f t="shared" si="49"/>
        <v/>
      </c>
      <c r="I219" s="25" t="str">
        <f t="shared" si="50"/>
        <v/>
      </c>
      <c r="J219" s="25" t="str">
        <f t="shared" si="51"/>
        <v/>
      </c>
      <c r="K219" s="26" t="str">
        <f t="shared" si="52"/>
        <v/>
      </c>
      <c r="N219" t="str">
        <f t="shared" si="85"/>
        <v/>
      </c>
      <c r="O219" s="24" t="str">
        <f t="shared" si="54"/>
        <v/>
      </c>
      <c r="P219" s="25" t="str">
        <f t="shared" si="55"/>
        <v/>
      </c>
      <c r="Q219" s="25" t="str">
        <f t="shared" si="56"/>
        <v/>
      </c>
      <c r="R219" s="25" t="str">
        <f t="shared" si="57"/>
        <v/>
      </c>
      <c r="S219" s="25" t="str">
        <f t="shared" si="58"/>
        <v/>
      </c>
      <c r="T219" s="25" t="str">
        <f t="shared" si="59"/>
        <v/>
      </c>
      <c r="U219" s="25"/>
      <c r="V219" s="26" t="str">
        <f t="shared" si="60"/>
        <v/>
      </c>
      <c r="W219" t="str">
        <f t="shared" si="86"/>
        <v/>
      </c>
      <c r="X219" s="24" t="str">
        <f t="shared" si="62"/>
        <v/>
      </c>
      <c r="Y219" s="25" t="str">
        <f t="shared" si="63"/>
        <v/>
      </c>
      <c r="Z219" s="25" t="str">
        <f t="shared" si="64"/>
        <v/>
      </c>
      <c r="AA219" s="25" t="str">
        <f t="shared" si="65"/>
        <v/>
      </c>
      <c r="AB219" s="25" t="str">
        <f t="shared" si="66"/>
        <v/>
      </c>
      <c r="AC219" s="25" t="str">
        <f t="shared" si="67"/>
        <v/>
      </c>
      <c r="AD219" s="26" t="str">
        <f t="shared" si="68"/>
        <v/>
      </c>
      <c r="AE219" t="str">
        <f t="shared" si="87"/>
        <v/>
      </c>
      <c r="AF219" s="24" t="str">
        <f t="shared" si="70"/>
        <v/>
      </c>
      <c r="AG219" s="25" t="str">
        <f t="shared" si="71"/>
        <v/>
      </c>
      <c r="AH219" s="25" t="str">
        <f t="shared" si="72"/>
        <v/>
      </c>
      <c r="AI219" s="25" t="str">
        <f t="shared" si="73"/>
        <v/>
      </c>
      <c r="AJ219" s="25" t="str">
        <f t="shared" si="74"/>
        <v/>
      </c>
      <c r="AK219" s="25" t="str">
        <f t="shared" si="75"/>
        <v/>
      </c>
      <c r="AL219" s="26" t="str">
        <f t="shared" si="76"/>
        <v/>
      </c>
      <c r="AP219" t="str">
        <f t="shared" si="88"/>
        <v/>
      </c>
      <c r="AQ219" s="24" t="str">
        <f t="shared" si="78"/>
        <v/>
      </c>
      <c r="AR219" s="25" t="str">
        <f t="shared" si="79"/>
        <v/>
      </c>
      <c r="AS219" s="25" t="str">
        <f t="shared" si="80"/>
        <v/>
      </c>
      <c r="AT219" s="25" t="str">
        <f t="shared" si="81"/>
        <v/>
      </c>
      <c r="AU219" s="25" t="str">
        <f t="shared" si="82"/>
        <v/>
      </c>
      <c r="AV219" s="25" t="str">
        <f t="shared" si="83"/>
        <v/>
      </c>
      <c r="AW219" s="26" t="str">
        <f t="shared" si="84"/>
        <v/>
      </c>
    </row>
    <row r="220" spans="3:49" s="10" customFormat="1" x14ac:dyDescent="0.25">
      <c r="C220" s="10">
        <v>64</v>
      </c>
      <c r="D220" t="str">
        <f t="shared" si="45"/>
        <v/>
      </c>
      <c r="E220" s="24" t="str">
        <f t="shared" si="46"/>
        <v/>
      </c>
      <c r="F220" s="25" t="str">
        <f t="shared" si="47"/>
        <v/>
      </c>
      <c r="G220" s="25" t="str">
        <f t="shared" si="48"/>
        <v/>
      </c>
      <c r="H220" s="25" t="str">
        <f t="shared" si="49"/>
        <v/>
      </c>
      <c r="I220" s="25" t="str">
        <f t="shared" si="50"/>
        <v/>
      </c>
      <c r="J220" s="25" t="str">
        <f t="shared" si="51"/>
        <v/>
      </c>
      <c r="K220" s="26" t="str">
        <f t="shared" si="52"/>
        <v/>
      </c>
      <c r="N220" s="10" t="str">
        <f t="shared" si="85"/>
        <v/>
      </c>
      <c r="O220" s="24" t="str">
        <f t="shared" si="54"/>
        <v/>
      </c>
      <c r="P220" s="25" t="str">
        <f t="shared" si="55"/>
        <v/>
      </c>
      <c r="Q220" s="25" t="str">
        <f t="shared" si="56"/>
        <v/>
      </c>
      <c r="R220" s="25" t="str">
        <f t="shared" si="57"/>
        <v/>
      </c>
      <c r="S220" s="25" t="str">
        <f t="shared" si="58"/>
        <v/>
      </c>
      <c r="T220" s="25" t="str">
        <f t="shared" si="59"/>
        <v/>
      </c>
      <c r="U220" s="25"/>
      <c r="V220" s="26" t="str">
        <f t="shared" si="60"/>
        <v/>
      </c>
      <c r="W220" s="10" t="str">
        <f t="shared" si="86"/>
        <v/>
      </c>
      <c r="X220" s="24" t="str">
        <f t="shared" si="62"/>
        <v/>
      </c>
      <c r="Y220" s="25" t="str">
        <f t="shared" si="63"/>
        <v/>
      </c>
      <c r="Z220" s="25" t="str">
        <f t="shared" si="64"/>
        <v/>
      </c>
      <c r="AA220" s="25" t="str">
        <f t="shared" si="65"/>
        <v/>
      </c>
      <c r="AB220" s="25" t="str">
        <f t="shared" si="66"/>
        <v/>
      </c>
      <c r="AC220" s="25" t="str">
        <f t="shared" si="67"/>
        <v/>
      </c>
      <c r="AD220" s="26" t="str">
        <f t="shared" si="68"/>
        <v/>
      </c>
      <c r="AE220" s="10" t="str">
        <f t="shared" si="87"/>
        <v/>
      </c>
      <c r="AF220" s="24" t="str">
        <f t="shared" si="70"/>
        <v/>
      </c>
      <c r="AG220" s="25" t="str">
        <f t="shared" si="71"/>
        <v/>
      </c>
      <c r="AH220" s="25" t="str">
        <f t="shared" si="72"/>
        <v/>
      </c>
      <c r="AI220" s="25" t="str">
        <f t="shared" si="73"/>
        <v/>
      </c>
      <c r="AJ220" s="25" t="str">
        <f t="shared" si="74"/>
        <v/>
      </c>
      <c r="AK220" s="25" t="str">
        <f t="shared" si="75"/>
        <v/>
      </c>
      <c r="AL220" s="26" t="str">
        <f t="shared" si="76"/>
        <v/>
      </c>
      <c r="AP220" s="10" t="str">
        <f t="shared" si="88"/>
        <v/>
      </c>
      <c r="AQ220" s="24" t="str">
        <f t="shared" si="78"/>
        <v/>
      </c>
      <c r="AR220" s="25" t="str">
        <f t="shared" si="79"/>
        <v/>
      </c>
      <c r="AS220" s="25" t="str">
        <f t="shared" si="80"/>
        <v/>
      </c>
      <c r="AT220" s="25" t="str">
        <f t="shared" si="81"/>
        <v/>
      </c>
      <c r="AU220" s="25" t="str">
        <f t="shared" si="82"/>
        <v/>
      </c>
      <c r="AV220" s="25" t="str">
        <f t="shared" si="83"/>
        <v/>
      </c>
      <c r="AW220" s="26" t="str">
        <f t="shared" si="84"/>
        <v/>
      </c>
    </row>
    <row r="221" spans="3:49" x14ac:dyDescent="0.25">
      <c r="C221">
        <v>65</v>
      </c>
      <c r="D221" t="str">
        <f t="shared" ref="D221:D252" si="89">IF(ISNUMBER(E221),C221,"")</f>
        <v/>
      </c>
      <c r="E221" s="9" t="str">
        <f t="shared" ref="E221:K230" si="90">E157</f>
        <v/>
      </c>
      <c r="F221" s="9" t="str">
        <f t="shared" si="90"/>
        <v/>
      </c>
      <c r="G221" s="9" t="str">
        <f t="shared" si="90"/>
        <v/>
      </c>
      <c r="H221" s="9" t="str">
        <f t="shared" si="90"/>
        <v/>
      </c>
      <c r="I221" s="9" t="str">
        <f t="shared" si="90"/>
        <v/>
      </c>
      <c r="J221" s="9" t="str">
        <f t="shared" si="90"/>
        <v/>
      </c>
      <c r="K221" s="9" t="str">
        <f t="shared" si="90"/>
        <v/>
      </c>
      <c r="N221" t="str">
        <f t="shared" si="85"/>
        <v/>
      </c>
      <c r="O221" s="9" t="str">
        <f t="shared" ref="O221:T230" si="91">O157</f>
        <v/>
      </c>
      <c r="P221" s="9" t="str">
        <f t="shared" si="91"/>
        <v/>
      </c>
      <c r="Q221" s="9" t="str">
        <f t="shared" si="91"/>
        <v/>
      </c>
      <c r="R221" s="9" t="str">
        <f t="shared" si="91"/>
        <v/>
      </c>
      <c r="S221" s="9" t="str">
        <f t="shared" si="91"/>
        <v/>
      </c>
      <c r="T221" s="9" t="str">
        <f t="shared" si="91"/>
        <v/>
      </c>
      <c r="U221" s="9"/>
      <c r="V221" s="9" t="str">
        <f t="shared" ref="V221:V252" si="92">V157</f>
        <v/>
      </c>
      <c r="W221" t="str">
        <f t="shared" si="86"/>
        <v/>
      </c>
      <c r="X221" s="9" t="str">
        <f t="shared" ref="X221:AD230" si="93">X157</f>
        <v/>
      </c>
      <c r="Y221" s="9" t="str">
        <f t="shared" si="93"/>
        <v/>
      </c>
      <c r="Z221" s="9" t="str">
        <f t="shared" si="93"/>
        <v/>
      </c>
      <c r="AA221" s="9" t="str">
        <f t="shared" si="93"/>
        <v/>
      </c>
      <c r="AB221" s="9" t="str">
        <f t="shared" si="93"/>
        <v/>
      </c>
      <c r="AC221" s="9" t="str">
        <f t="shared" si="93"/>
        <v/>
      </c>
      <c r="AD221" s="9" t="str">
        <f t="shared" si="93"/>
        <v/>
      </c>
      <c r="AE221" t="str">
        <f t="shared" si="87"/>
        <v/>
      </c>
      <c r="AF221" s="9" t="str">
        <f t="shared" ref="AF221:AL230" si="94">AF157</f>
        <v/>
      </c>
      <c r="AG221" s="9" t="str">
        <f t="shared" si="94"/>
        <v/>
      </c>
      <c r="AH221" s="9" t="str">
        <f t="shared" si="94"/>
        <v/>
      </c>
      <c r="AI221" s="9" t="str">
        <f t="shared" si="94"/>
        <v/>
      </c>
      <c r="AJ221" s="9" t="str">
        <f t="shared" si="94"/>
        <v/>
      </c>
      <c r="AK221" s="9" t="str">
        <f t="shared" si="94"/>
        <v/>
      </c>
      <c r="AL221" s="9" t="str">
        <f t="shared" si="94"/>
        <v/>
      </c>
      <c r="AP221" t="str">
        <f t="shared" si="88"/>
        <v/>
      </c>
      <c r="AQ221" s="9" t="str">
        <f t="shared" ref="AQ221:AW230" si="95">AQ157</f>
        <v/>
      </c>
      <c r="AR221" s="9" t="str">
        <f t="shared" si="95"/>
        <v/>
      </c>
      <c r="AS221" s="9" t="str">
        <f t="shared" si="95"/>
        <v/>
      </c>
      <c r="AT221" s="9" t="str">
        <f t="shared" si="95"/>
        <v/>
      </c>
      <c r="AU221" s="9" t="str">
        <f t="shared" si="95"/>
        <v/>
      </c>
      <c r="AV221" s="9" t="str">
        <f t="shared" si="95"/>
        <v/>
      </c>
      <c r="AW221" s="9" t="str">
        <f t="shared" si="95"/>
        <v/>
      </c>
    </row>
    <row r="222" spans="3:49" x14ac:dyDescent="0.25">
      <c r="C222">
        <v>66</v>
      </c>
      <c r="D222" t="str">
        <f t="shared" si="89"/>
        <v/>
      </c>
      <c r="E222" s="9" t="str">
        <f t="shared" si="90"/>
        <v/>
      </c>
      <c r="F222" s="9" t="str">
        <f t="shared" si="90"/>
        <v/>
      </c>
      <c r="G222" s="9" t="str">
        <f t="shared" si="90"/>
        <v/>
      </c>
      <c r="H222" s="9" t="str">
        <f t="shared" si="90"/>
        <v/>
      </c>
      <c r="I222" s="9" t="str">
        <f t="shared" si="90"/>
        <v/>
      </c>
      <c r="J222" s="9" t="str">
        <f t="shared" si="90"/>
        <v/>
      </c>
      <c r="K222" s="9" t="str">
        <f t="shared" si="90"/>
        <v/>
      </c>
      <c r="N222" t="str">
        <f t="shared" si="85"/>
        <v/>
      </c>
      <c r="O222" s="9" t="str">
        <f t="shared" si="91"/>
        <v/>
      </c>
      <c r="P222" s="9" t="str">
        <f t="shared" si="91"/>
        <v/>
      </c>
      <c r="Q222" s="9" t="str">
        <f t="shared" si="91"/>
        <v/>
      </c>
      <c r="R222" s="9" t="str">
        <f t="shared" si="91"/>
        <v/>
      </c>
      <c r="S222" s="9" t="str">
        <f t="shared" si="91"/>
        <v/>
      </c>
      <c r="T222" s="9" t="str">
        <f t="shared" si="91"/>
        <v/>
      </c>
      <c r="U222" s="9"/>
      <c r="V222" s="9" t="str">
        <f t="shared" si="92"/>
        <v/>
      </c>
      <c r="W222" t="str">
        <f t="shared" si="86"/>
        <v/>
      </c>
      <c r="X222" s="9" t="str">
        <f t="shared" si="93"/>
        <v/>
      </c>
      <c r="Y222" s="9" t="str">
        <f t="shared" si="93"/>
        <v/>
      </c>
      <c r="Z222" s="9" t="str">
        <f t="shared" si="93"/>
        <v/>
      </c>
      <c r="AA222" s="9" t="str">
        <f t="shared" si="93"/>
        <v/>
      </c>
      <c r="AB222" s="9" t="str">
        <f t="shared" si="93"/>
        <v/>
      </c>
      <c r="AC222" s="9" t="str">
        <f t="shared" si="93"/>
        <v/>
      </c>
      <c r="AD222" s="9" t="str">
        <f t="shared" si="93"/>
        <v/>
      </c>
      <c r="AE222" t="str">
        <f t="shared" si="87"/>
        <v/>
      </c>
      <c r="AF222" s="9" t="str">
        <f t="shared" si="94"/>
        <v/>
      </c>
      <c r="AG222" s="9" t="str">
        <f t="shared" si="94"/>
        <v/>
      </c>
      <c r="AH222" s="9" t="str">
        <f t="shared" si="94"/>
        <v/>
      </c>
      <c r="AI222" s="9" t="str">
        <f t="shared" si="94"/>
        <v/>
      </c>
      <c r="AJ222" s="9" t="str">
        <f t="shared" si="94"/>
        <v/>
      </c>
      <c r="AK222" s="9" t="str">
        <f t="shared" si="94"/>
        <v/>
      </c>
      <c r="AL222" s="9" t="str">
        <f t="shared" si="94"/>
        <v/>
      </c>
      <c r="AP222" t="str">
        <f t="shared" si="88"/>
        <v/>
      </c>
      <c r="AQ222" s="9" t="str">
        <f t="shared" si="95"/>
        <v/>
      </c>
      <c r="AR222" s="9" t="str">
        <f t="shared" si="95"/>
        <v/>
      </c>
      <c r="AS222" s="9" t="str">
        <f t="shared" si="95"/>
        <v/>
      </c>
      <c r="AT222" s="9" t="str">
        <f t="shared" si="95"/>
        <v/>
      </c>
      <c r="AU222" s="9" t="str">
        <f t="shared" si="95"/>
        <v/>
      </c>
      <c r="AV222" s="9" t="str">
        <f t="shared" si="95"/>
        <v/>
      </c>
      <c r="AW222" s="9" t="str">
        <f t="shared" si="95"/>
        <v/>
      </c>
    </row>
    <row r="223" spans="3:49" x14ac:dyDescent="0.25">
      <c r="C223">
        <v>67</v>
      </c>
      <c r="D223" t="str">
        <f t="shared" si="89"/>
        <v/>
      </c>
      <c r="E223" s="9" t="str">
        <f t="shared" si="90"/>
        <v/>
      </c>
      <c r="F223" s="9" t="str">
        <f t="shared" si="90"/>
        <v/>
      </c>
      <c r="G223" s="9" t="str">
        <f t="shared" si="90"/>
        <v/>
      </c>
      <c r="H223" s="9" t="str">
        <f t="shared" si="90"/>
        <v/>
      </c>
      <c r="I223" s="9" t="str">
        <f t="shared" si="90"/>
        <v/>
      </c>
      <c r="J223" s="9" t="str">
        <f t="shared" si="90"/>
        <v/>
      </c>
      <c r="K223" s="9" t="str">
        <f t="shared" si="90"/>
        <v/>
      </c>
      <c r="N223" t="str">
        <f t="shared" si="85"/>
        <v/>
      </c>
      <c r="O223" s="9" t="str">
        <f t="shared" si="91"/>
        <v/>
      </c>
      <c r="P223" s="9" t="str">
        <f t="shared" si="91"/>
        <v/>
      </c>
      <c r="Q223" s="9" t="str">
        <f t="shared" si="91"/>
        <v/>
      </c>
      <c r="R223" s="9" t="str">
        <f t="shared" si="91"/>
        <v/>
      </c>
      <c r="S223" s="9" t="str">
        <f t="shared" si="91"/>
        <v/>
      </c>
      <c r="T223" s="9" t="str">
        <f t="shared" si="91"/>
        <v/>
      </c>
      <c r="U223" s="9"/>
      <c r="V223" s="9" t="str">
        <f t="shared" si="92"/>
        <v/>
      </c>
      <c r="W223" t="str">
        <f t="shared" si="86"/>
        <v/>
      </c>
      <c r="X223" s="9" t="str">
        <f t="shared" si="93"/>
        <v/>
      </c>
      <c r="Y223" s="9" t="str">
        <f t="shared" si="93"/>
        <v/>
      </c>
      <c r="Z223" s="9" t="str">
        <f t="shared" si="93"/>
        <v/>
      </c>
      <c r="AA223" s="9" t="str">
        <f t="shared" si="93"/>
        <v/>
      </c>
      <c r="AB223" s="9" t="str">
        <f t="shared" si="93"/>
        <v/>
      </c>
      <c r="AC223" s="9" t="str">
        <f t="shared" si="93"/>
        <v/>
      </c>
      <c r="AD223" s="9" t="str">
        <f t="shared" si="93"/>
        <v/>
      </c>
      <c r="AE223" t="str">
        <f t="shared" si="87"/>
        <v/>
      </c>
      <c r="AF223" s="9" t="str">
        <f t="shared" si="94"/>
        <v/>
      </c>
      <c r="AG223" s="9" t="str">
        <f t="shared" si="94"/>
        <v/>
      </c>
      <c r="AH223" s="9" t="str">
        <f t="shared" si="94"/>
        <v/>
      </c>
      <c r="AI223" s="9" t="str">
        <f t="shared" si="94"/>
        <v/>
      </c>
      <c r="AJ223" s="9" t="str">
        <f t="shared" si="94"/>
        <v/>
      </c>
      <c r="AK223" s="9" t="str">
        <f t="shared" si="94"/>
        <v/>
      </c>
      <c r="AL223" s="9" t="str">
        <f t="shared" si="94"/>
        <v/>
      </c>
      <c r="AP223" t="str">
        <f t="shared" si="88"/>
        <v/>
      </c>
      <c r="AQ223" s="9" t="str">
        <f t="shared" si="95"/>
        <v/>
      </c>
      <c r="AR223" s="9" t="str">
        <f t="shared" si="95"/>
        <v/>
      </c>
      <c r="AS223" s="9" t="str">
        <f t="shared" si="95"/>
        <v/>
      </c>
      <c r="AT223" s="9" t="str">
        <f t="shared" si="95"/>
        <v/>
      </c>
      <c r="AU223" s="9" t="str">
        <f t="shared" si="95"/>
        <v/>
      </c>
      <c r="AV223" s="9" t="str">
        <f t="shared" si="95"/>
        <v/>
      </c>
      <c r="AW223" s="9" t="str">
        <f t="shared" si="95"/>
        <v/>
      </c>
    </row>
    <row r="224" spans="3:49" x14ac:dyDescent="0.25">
      <c r="C224">
        <v>68</v>
      </c>
      <c r="D224" t="str">
        <f t="shared" si="89"/>
        <v/>
      </c>
      <c r="E224" s="9" t="str">
        <f t="shared" si="90"/>
        <v/>
      </c>
      <c r="F224" s="9" t="str">
        <f t="shared" si="90"/>
        <v/>
      </c>
      <c r="G224" s="9" t="str">
        <f t="shared" si="90"/>
        <v/>
      </c>
      <c r="H224" s="9" t="str">
        <f t="shared" si="90"/>
        <v/>
      </c>
      <c r="I224" s="9" t="str">
        <f t="shared" si="90"/>
        <v/>
      </c>
      <c r="J224" s="9" t="str">
        <f t="shared" si="90"/>
        <v/>
      </c>
      <c r="K224" s="9" t="str">
        <f t="shared" si="90"/>
        <v/>
      </c>
      <c r="N224" t="str">
        <f t="shared" si="85"/>
        <v/>
      </c>
      <c r="O224" s="9" t="str">
        <f t="shared" si="91"/>
        <v/>
      </c>
      <c r="P224" s="9" t="str">
        <f t="shared" si="91"/>
        <v/>
      </c>
      <c r="Q224" s="9" t="str">
        <f t="shared" si="91"/>
        <v/>
      </c>
      <c r="R224" s="9" t="str">
        <f t="shared" si="91"/>
        <v/>
      </c>
      <c r="S224" s="9" t="str">
        <f t="shared" si="91"/>
        <v/>
      </c>
      <c r="T224" s="9" t="str">
        <f t="shared" si="91"/>
        <v/>
      </c>
      <c r="U224" s="9"/>
      <c r="V224" s="9" t="str">
        <f t="shared" si="92"/>
        <v/>
      </c>
      <c r="W224" t="str">
        <f t="shared" si="86"/>
        <v/>
      </c>
      <c r="X224" s="9" t="str">
        <f t="shared" si="93"/>
        <v/>
      </c>
      <c r="Y224" s="9" t="str">
        <f t="shared" si="93"/>
        <v/>
      </c>
      <c r="Z224" s="9" t="str">
        <f t="shared" si="93"/>
        <v/>
      </c>
      <c r="AA224" s="9" t="str">
        <f t="shared" si="93"/>
        <v/>
      </c>
      <c r="AB224" s="9" t="str">
        <f t="shared" si="93"/>
        <v/>
      </c>
      <c r="AC224" s="9" t="str">
        <f t="shared" si="93"/>
        <v/>
      </c>
      <c r="AD224" s="9" t="str">
        <f t="shared" si="93"/>
        <v/>
      </c>
      <c r="AE224" t="str">
        <f t="shared" si="87"/>
        <v/>
      </c>
      <c r="AF224" s="9" t="str">
        <f t="shared" si="94"/>
        <v/>
      </c>
      <c r="AG224" s="9" t="str">
        <f t="shared" si="94"/>
        <v/>
      </c>
      <c r="AH224" s="9" t="str">
        <f t="shared" si="94"/>
        <v/>
      </c>
      <c r="AI224" s="9" t="str">
        <f t="shared" si="94"/>
        <v/>
      </c>
      <c r="AJ224" s="9" t="str">
        <f t="shared" si="94"/>
        <v/>
      </c>
      <c r="AK224" s="9" t="str">
        <f t="shared" si="94"/>
        <v/>
      </c>
      <c r="AL224" s="9" t="str">
        <f t="shared" si="94"/>
        <v/>
      </c>
      <c r="AP224" t="str">
        <f t="shared" si="88"/>
        <v/>
      </c>
      <c r="AQ224" s="9" t="str">
        <f t="shared" si="95"/>
        <v/>
      </c>
      <c r="AR224" s="9" t="str">
        <f t="shared" si="95"/>
        <v/>
      </c>
      <c r="AS224" s="9" t="str">
        <f t="shared" si="95"/>
        <v/>
      </c>
      <c r="AT224" s="9" t="str">
        <f t="shared" si="95"/>
        <v/>
      </c>
      <c r="AU224" s="9" t="str">
        <f t="shared" si="95"/>
        <v/>
      </c>
      <c r="AV224" s="9" t="str">
        <f t="shared" si="95"/>
        <v/>
      </c>
      <c r="AW224" s="9" t="str">
        <f t="shared" si="95"/>
        <v/>
      </c>
    </row>
    <row r="225" spans="3:49" x14ac:dyDescent="0.25">
      <c r="C225">
        <v>69</v>
      </c>
      <c r="D225" t="str">
        <f t="shared" si="89"/>
        <v/>
      </c>
      <c r="E225" s="9" t="str">
        <f t="shared" si="90"/>
        <v/>
      </c>
      <c r="F225" s="9" t="str">
        <f t="shared" si="90"/>
        <v/>
      </c>
      <c r="G225" s="9" t="str">
        <f t="shared" si="90"/>
        <v/>
      </c>
      <c r="H225" s="9" t="str">
        <f t="shared" si="90"/>
        <v/>
      </c>
      <c r="I225" s="9" t="str">
        <f t="shared" si="90"/>
        <v/>
      </c>
      <c r="J225" s="9" t="str">
        <f t="shared" si="90"/>
        <v/>
      </c>
      <c r="K225" s="9" t="str">
        <f t="shared" si="90"/>
        <v/>
      </c>
      <c r="N225" t="str">
        <f t="shared" si="85"/>
        <v/>
      </c>
      <c r="O225" s="9" t="str">
        <f t="shared" si="91"/>
        <v/>
      </c>
      <c r="P225" s="9" t="str">
        <f t="shared" si="91"/>
        <v/>
      </c>
      <c r="Q225" s="9" t="str">
        <f t="shared" si="91"/>
        <v/>
      </c>
      <c r="R225" s="9" t="str">
        <f t="shared" si="91"/>
        <v/>
      </c>
      <c r="S225" s="9" t="str">
        <f t="shared" si="91"/>
        <v/>
      </c>
      <c r="T225" s="9" t="str">
        <f t="shared" si="91"/>
        <v/>
      </c>
      <c r="U225" s="9"/>
      <c r="V225" s="9" t="str">
        <f t="shared" si="92"/>
        <v/>
      </c>
      <c r="W225" t="str">
        <f t="shared" si="86"/>
        <v/>
      </c>
      <c r="X225" s="9" t="str">
        <f t="shared" si="93"/>
        <v/>
      </c>
      <c r="Y225" s="9" t="str">
        <f t="shared" si="93"/>
        <v/>
      </c>
      <c r="Z225" s="9" t="str">
        <f t="shared" si="93"/>
        <v/>
      </c>
      <c r="AA225" s="9" t="str">
        <f t="shared" si="93"/>
        <v/>
      </c>
      <c r="AB225" s="9" t="str">
        <f t="shared" si="93"/>
        <v/>
      </c>
      <c r="AC225" s="9" t="str">
        <f t="shared" si="93"/>
        <v/>
      </c>
      <c r="AD225" s="9" t="str">
        <f t="shared" si="93"/>
        <v/>
      </c>
      <c r="AE225" t="str">
        <f t="shared" si="87"/>
        <v/>
      </c>
      <c r="AF225" s="9" t="str">
        <f t="shared" si="94"/>
        <v/>
      </c>
      <c r="AG225" s="9" t="str">
        <f t="shared" si="94"/>
        <v/>
      </c>
      <c r="AH225" s="9" t="str">
        <f t="shared" si="94"/>
        <v/>
      </c>
      <c r="AI225" s="9" t="str">
        <f t="shared" si="94"/>
        <v/>
      </c>
      <c r="AJ225" s="9" t="str">
        <f t="shared" si="94"/>
        <v/>
      </c>
      <c r="AK225" s="9" t="str">
        <f t="shared" si="94"/>
        <v/>
      </c>
      <c r="AL225" s="9" t="str">
        <f t="shared" si="94"/>
        <v/>
      </c>
      <c r="AP225" t="str">
        <f t="shared" si="88"/>
        <v/>
      </c>
      <c r="AQ225" s="9" t="str">
        <f t="shared" si="95"/>
        <v/>
      </c>
      <c r="AR225" s="9" t="str">
        <f t="shared" si="95"/>
        <v/>
      </c>
      <c r="AS225" s="9" t="str">
        <f t="shared" si="95"/>
        <v/>
      </c>
      <c r="AT225" s="9" t="str">
        <f t="shared" si="95"/>
        <v/>
      </c>
      <c r="AU225" s="9" t="str">
        <f t="shared" si="95"/>
        <v/>
      </c>
      <c r="AV225" s="9" t="str">
        <f t="shared" si="95"/>
        <v/>
      </c>
      <c r="AW225" s="9" t="str">
        <f t="shared" si="95"/>
        <v/>
      </c>
    </row>
    <row r="226" spans="3:49" x14ac:dyDescent="0.25">
      <c r="C226">
        <v>70</v>
      </c>
      <c r="D226" t="str">
        <f t="shared" si="89"/>
        <v/>
      </c>
      <c r="E226" s="9" t="str">
        <f t="shared" si="90"/>
        <v/>
      </c>
      <c r="F226" s="9" t="str">
        <f t="shared" si="90"/>
        <v/>
      </c>
      <c r="G226" s="9" t="str">
        <f t="shared" si="90"/>
        <v/>
      </c>
      <c r="H226" s="9" t="str">
        <f t="shared" si="90"/>
        <v/>
      </c>
      <c r="I226" s="9" t="str">
        <f t="shared" si="90"/>
        <v/>
      </c>
      <c r="J226" s="9" t="str">
        <f t="shared" si="90"/>
        <v/>
      </c>
      <c r="K226" s="9" t="str">
        <f t="shared" si="90"/>
        <v/>
      </c>
      <c r="N226" t="str">
        <f t="shared" si="85"/>
        <v/>
      </c>
      <c r="O226" s="9" t="str">
        <f t="shared" si="91"/>
        <v/>
      </c>
      <c r="P226" s="9" t="str">
        <f t="shared" si="91"/>
        <v/>
      </c>
      <c r="Q226" s="9" t="str">
        <f t="shared" si="91"/>
        <v/>
      </c>
      <c r="R226" s="9" t="str">
        <f t="shared" si="91"/>
        <v/>
      </c>
      <c r="S226" s="9" t="str">
        <f t="shared" si="91"/>
        <v/>
      </c>
      <c r="T226" s="9" t="str">
        <f t="shared" si="91"/>
        <v/>
      </c>
      <c r="U226" s="9"/>
      <c r="V226" s="9" t="str">
        <f t="shared" si="92"/>
        <v/>
      </c>
      <c r="W226" t="str">
        <f t="shared" si="86"/>
        <v/>
      </c>
      <c r="X226" s="9" t="str">
        <f t="shared" si="93"/>
        <v/>
      </c>
      <c r="Y226" s="9" t="str">
        <f t="shared" si="93"/>
        <v/>
      </c>
      <c r="Z226" s="9" t="str">
        <f t="shared" si="93"/>
        <v/>
      </c>
      <c r="AA226" s="9" t="str">
        <f t="shared" si="93"/>
        <v/>
      </c>
      <c r="AB226" s="9" t="str">
        <f t="shared" si="93"/>
        <v/>
      </c>
      <c r="AC226" s="9" t="str">
        <f t="shared" si="93"/>
        <v/>
      </c>
      <c r="AD226" s="9" t="str">
        <f t="shared" si="93"/>
        <v/>
      </c>
      <c r="AE226" t="str">
        <f t="shared" si="87"/>
        <v/>
      </c>
      <c r="AF226" s="9" t="str">
        <f t="shared" si="94"/>
        <v/>
      </c>
      <c r="AG226" s="9" t="str">
        <f t="shared" si="94"/>
        <v/>
      </c>
      <c r="AH226" s="9" t="str">
        <f t="shared" si="94"/>
        <v/>
      </c>
      <c r="AI226" s="9" t="str">
        <f t="shared" si="94"/>
        <v/>
      </c>
      <c r="AJ226" s="9" t="str">
        <f t="shared" si="94"/>
        <v/>
      </c>
      <c r="AK226" s="9" t="str">
        <f t="shared" si="94"/>
        <v/>
      </c>
      <c r="AL226" s="9" t="str">
        <f t="shared" si="94"/>
        <v/>
      </c>
      <c r="AP226" t="str">
        <f t="shared" si="88"/>
        <v/>
      </c>
      <c r="AQ226" s="9" t="str">
        <f t="shared" si="95"/>
        <v/>
      </c>
      <c r="AR226" s="9" t="str">
        <f t="shared" si="95"/>
        <v/>
      </c>
      <c r="AS226" s="9" t="str">
        <f t="shared" si="95"/>
        <v/>
      </c>
      <c r="AT226" s="9" t="str">
        <f t="shared" si="95"/>
        <v/>
      </c>
      <c r="AU226" s="9" t="str">
        <f t="shared" si="95"/>
        <v/>
      </c>
      <c r="AV226" s="9" t="str">
        <f t="shared" si="95"/>
        <v/>
      </c>
      <c r="AW226" s="9" t="str">
        <f t="shared" si="95"/>
        <v/>
      </c>
    </row>
    <row r="227" spans="3:49" x14ac:dyDescent="0.25">
      <c r="C227">
        <v>71</v>
      </c>
      <c r="D227" t="str">
        <f t="shared" si="89"/>
        <v/>
      </c>
      <c r="E227" s="9" t="str">
        <f t="shared" si="90"/>
        <v/>
      </c>
      <c r="F227" s="9" t="str">
        <f t="shared" si="90"/>
        <v/>
      </c>
      <c r="G227" s="9" t="str">
        <f t="shared" si="90"/>
        <v/>
      </c>
      <c r="H227" s="9" t="str">
        <f t="shared" si="90"/>
        <v/>
      </c>
      <c r="I227" s="9" t="str">
        <f t="shared" si="90"/>
        <v/>
      </c>
      <c r="J227" s="9" t="str">
        <f t="shared" si="90"/>
        <v/>
      </c>
      <c r="K227" s="9" t="str">
        <f t="shared" si="90"/>
        <v/>
      </c>
      <c r="N227" t="str">
        <f t="shared" si="85"/>
        <v/>
      </c>
      <c r="O227" s="9" t="str">
        <f t="shared" si="91"/>
        <v/>
      </c>
      <c r="P227" s="9" t="str">
        <f t="shared" si="91"/>
        <v/>
      </c>
      <c r="Q227" s="9" t="str">
        <f t="shared" si="91"/>
        <v/>
      </c>
      <c r="R227" s="9" t="str">
        <f t="shared" si="91"/>
        <v/>
      </c>
      <c r="S227" s="9" t="str">
        <f t="shared" si="91"/>
        <v/>
      </c>
      <c r="T227" s="9" t="str">
        <f t="shared" si="91"/>
        <v/>
      </c>
      <c r="U227" s="9"/>
      <c r="V227" s="9" t="str">
        <f t="shared" si="92"/>
        <v/>
      </c>
      <c r="W227" t="str">
        <f t="shared" si="86"/>
        <v/>
      </c>
      <c r="X227" s="9" t="str">
        <f t="shared" si="93"/>
        <v/>
      </c>
      <c r="Y227" s="9" t="str">
        <f t="shared" si="93"/>
        <v/>
      </c>
      <c r="Z227" s="9" t="str">
        <f t="shared" si="93"/>
        <v/>
      </c>
      <c r="AA227" s="9" t="str">
        <f t="shared" si="93"/>
        <v/>
      </c>
      <c r="AB227" s="9" t="str">
        <f t="shared" si="93"/>
        <v/>
      </c>
      <c r="AC227" s="9" t="str">
        <f t="shared" si="93"/>
        <v/>
      </c>
      <c r="AD227" s="9" t="str">
        <f t="shared" si="93"/>
        <v/>
      </c>
      <c r="AE227" t="str">
        <f t="shared" si="87"/>
        <v/>
      </c>
      <c r="AF227" s="9" t="str">
        <f t="shared" si="94"/>
        <v/>
      </c>
      <c r="AG227" s="9" t="str">
        <f t="shared" si="94"/>
        <v/>
      </c>
      <c r="AH227" s="9" t="str">
        <f t="shared" si="94"/>
        <v/>
      </c>
      <c r="AI227" s="9" t="str">
        <f t="shared" si="94"/>
        <v/>
      </c>
      <c r="AJ227" s="9" t="str">
        <f t="shared" si="94"/>
        <v/>
      </c>
      <c r="AK227" s="9" t="str">
        <f t="shared" si="94"/>
        <v/>
      </c>
      <c r="AL227" s="9" t="str">
        <f t="shared" si="94"/>
        <v/>
      </c>
      <c r="AP227" t="str">
        <f t="shared" si="88"/>
        <v/>
      </c>
      <c r="AQ227" s="9" t="str">
        <f t="shared" si="95"/>
        <v/>
      </c>
      <c r="AR227" s="9" t="str">
        <f t="shared" si="95"/>
        <v/>
      </c>
      <c r="AS227" s="9" t="str">
        <f t="shared" si="95"/>
        <v/>
      </c>
      <c r="AT227" s="9" t="str">
        <f t="shared" si="95"/>
        <v/>
      </c>
      <c r="AU227" s="9" t="str">
        <f t="shared" si="95"/>
        <v/>
      </c>
      <c r="AV227" s="9" t="str">
        <f t="shared" si="95"/>
        <v/>
      </c>
      <c r="AW227" s="9" t="str">
        <f t="shared" si="95"/>
        <v/>
      </c>
    </row>
    <row r="228" spans="3:49" x14ac:dyDescent="0.25">
      <c r="C228">
        <v>72</v>
      </c>
      <c r="D228" t="str">
        <f t="shared" si="89"/>
        <v/>
      </c>
      <c r="E228" s="9" t="str">
        <f t="shared" si="90"/>
        <v/>
      </c>
      <c r="F228" s="9" t="str">
        <f t="shared" si="90"/>
        <v/>
      </c>
      <c r="G228" s="9" t="str">
        <f t="shared" si="90"/>
        <v/>
      </c>
      <c r="H228" s="9" t="str">
        <f t="shared" si="90"/>
        <v/>
      </c>
      <c r="I228" s="9" t="str">
        <f t="shared" si="90"/>
        <v/>
      </c>
      <c r="J228" s="9" t="str">
        <f t="shared" si="90"/>
        <v/>
      </c>
      <c r="K228" s="9" t="str">
        <f t="shared" si="90"/>
        <v/>
      </c>
      <c r="N228" t="str">
        <f t="shared" si="85"/>
        <v/>
      </c>
      <c r="O228" s="9" t="str">
        <f t="shared" si="91"/>
        <v/>
      </c>
      <c r="P228" s="9" t="str">
        <f t="shared" si="91"/>
        <v/>
      </c>
      <c r="Q228" s="9" t="str">
        <f t="shared" si="91"/>
        <v/>
      </c>
      <c r="R228" s="9" t="str">
        <f t="shared" si="91"/>
        <v/>
      </c>
      <c r="S228" s="9" t="str">
        <f t="shared" si="91"/>
        <v/>
      </c>
      <c r="T228" s="9" t="str">
        <f t="shared" si="91"/>
        <v/>
      </c>
      <c r="U228" s="9"/>
      <c r="V228" s="9" t="str">
        <f t="shared" si="92"/>
        <v/>
      </c>
      <c r="W228" t="str">
        <f t="shared" si="86"/>
        <v/>
      </c>
      <c r="X228" s="9" t="str">
        <f t="shared" si="93"/>
        <v/>
      </c>
      <c r="Y228" s="9" t="str">
        <f t="shared" si="93"/>
        <v/>
      </c>
      <c r="Z228" s="9" t="str">
        <f t="shared" si="93"/>
        <v/>
      </c>
      <c r="AA228" s="9" t="str">
        <f t="shared" si="93"/>
        <v/>
      </c>
      <c r="AB228" s="9" t="str">
        <f t="shared" si="93"/>
        <v/>
      </c>
      <c r="AC228" s="9" t="str">
        <f t="shared" si="93"/>
        <v/>
      </c>
      <c r="AD228" s="9" t="str">
        <f t="shared" si="93"/>
        <v/>
      </c>
      <c r="AE228" t="str">
        <f t="shared" si="87"/>
        <v/>
      </c>
      <c r="AF228" s="9" t="str">
        <f t="shared" si="94"/>
        <v/>
      </c>
      <c r="AG228" s="9" t="str">
        <f t="shared" si="94"/>
        <v/>
      </c>
      <c r="AH228" s="9" t="str">
        <f t="shared" si="94"/>
        <v/>
      </c>
      <c r="AI228" s="9" t="str">
        <f t="shared" si="94"/>
        <v/>
      </c>
      <c r="AJ228" s="9" t="str">
        <f t="shared" si="94"/>
        <v/>
      </c>
      <c r="AK228" s="9" t="str">
        <f t="shared" si="94"/>
        <v/>
      </c>
      <c r="AL228" s="9" t="str">
        <f t="shared" si="94"/>
        <v/>
      </c>
      <c r="AP228" t="str">
        <f t="shared" si="88"/>
        <v/>
      </c>
      <c r="AQ228" s="9" t="str">
        <f t="shared" si="95"/>
        <v/>
      </c>
      <c r="AR228" s="9" t="str">
        <f t="shared" si="95"/>
        <v/>
      </c>
      <c r="AS228" s="9" t="str">
        <f t="shared" si="95"/>
        <v/>
      </c>
      <c r="AT228" s="9" t="str">
        <f t="shared" si="95"/>
        <v/>
      </c>
      <c r="AU228" s="9" t="str">
        <f t="shared" si="95"/>
        <v/>
      </c>
      <c r="AV228" s="9" t="str">
        <f t="shared" si="95"/>
        <v/>
      </c>
      <c r="AW228" s="9" t="str">
        <f t="shared" si="95"/>
        <v/>
      </c>
    </row>
    <row r="229" spans="3:49" x14ac:dyDescent="0.25">
      <c r="C229">
        <v>73</v>
      </c>
      <c r="D229" t="str">
        <f t="shared" si="89"/>
        <v/>
      </c>
      <c r="E229" s="9" t="str">
        <f t="shared" si="90"/>
        <v/>
      </c>
      <c r="F229" s="9" t="str">
        <f t="shared" si="90"/>
        <v/>
      </c>
      <c r="G229" s="9" t="str">
        <f t="shared" si="90"/>
        <v/>
      </c>
      <c r="H229" s="9" t="str">
        <f t="shared" si="90"/>
        <v/>
      </c>
      <c r="I229" s="9" t="str">
        <f t="shared" si="90"/>
        <v/>
      </c>
      <c r="J229" s="9" t="str">
        <f t="shared" si="90"/>
        <v/>
      </c>
      <c r="K229" s="9" t="str">
        <f t="shared" si="90"/>
        <v/>
      </c>
      <c r="N229" t="str">
        <f t="shared" si="85"/>
        <v/>
      </c>
      <c r="O229" s="9" t="str">
        <f t="shared" si="91"/>
        <v/>
      </c>
      <c r="P229" s="9" t="str">
        <f t="shared" si="91"/>
        <v/>
      </c>
      <c r="Q229" s="9" t="str">
        <f t="shared" si="91"/>
        <v/>
      </c>
      <c r="R229" s="9" t="str">
        <f t="shared" si="91"/>
        <v/>
      </c>
      <c r="S229" s="9" t="str">
        <f t="shared" si="91"/>
        <v/>
      </c>
      <c r="T229" s="9" t="str">
        <f t="shared" si="91"/>
        <v/>
      </c>
      <c r="U229" s="9"/>
      <c r="V229" s="9" t="str">
        <f t="shared" si="92"/>
        <v/>
      </c>
      <c r="W229" t="str">
        <f t="shared" si="86"/>
        <v/>
      </c>
      <c r="X229" s="9" t="str">
        <f t="shared" si="93"/>
        <v/>
      </c>
      <c r="Y229" s="9" t="str">
        <f t="shared" si="93"/>
        <v/>
      </c>
      <c r="Z229" s="9" t="str">
        <f t="shared" si="93"/>
        <v/>
      </c>
      <c r="AA229" s="9" t="str">
        <f t="shared" si="93"/>
        <v/>
      </c>
      <c r="AB229" s="9" t="str">
        <f t="shared" si="93"/>
        <v/>
      </c>
      <c r="AC229" s="9" t="str">
        <f t="shared" si="93"/>
        <v/>
      </c>
      <c r="AD229" s="9" t="str">
        <f t="shared" si="93"/>
        <v/>
      </c>
      <c r="AE229" t="str">
        <f t="shared" si="87"/>
        <v/>
      </c>
      <c r="AF229" s="9" t="str">
        <f t="shared" si="94"/>
        <v/>
      </c>
      <c r="AG229" s="9" t="str">
        <f t="shared" si="94"/>
        <v/>
      </c>
      <c r="AH229" s="9" t="str">
        <f t="shared" si="94"/>
        <v/>
      </c>
      <c r="AI229" s="9" t="str">
        <f t="shared" si="94"/>
        <v/>
      </c>
      <c r="AJ229" s="9" t="str">
        <f t="shared" si="94"/>
        <v/>
      </c>
      <c r="AK229" s="9" t="str">
        <f t="shared" si="94"/>
        <v/>
      </c>
      <c r="AL229" s="9" t="str">
        <f t="shared" si="94"/>
        <v/>
      </c>
      <c r="AP229" t="str">
        <f t="shared" si="88"/>
        <v/>
      </c>
      <c r="AQ229" s="9" t="str">
        <f t="shared" si="95"/>
        <v/>
      </c>
      <c r="AR229" s="9" t="str">
        <f t="shared" si="95"/>
        <v/>
      </c>
      <c r="AS229" s="9" t="str">
        <f t="shared" si="95"/>
        <v/>
      </c>
      <c r="AT229" s="9" t="str">
        <f t="shared" si="95"/>
        <v/>
      </c>
      <c r="AU229" s="9" t="str">
        <f t="shared" si="95"/>
        <v/>
      </c>
      <c r="AV229" s="9" t="str">
        <f t="shared" si="95"/>
        <v/>
      </c>
      <c r="AW229" s="9" t="str">
        <f t="shared" si="95"/>
        <v/>
      </c>
    </row>
    <row r="230" spans="3:49" x14ac:dyDescent="0.25">
      <c r="C230">
        <v>74</v>
      </c>
      <c r="D230" t="str">
        <f t="shared" si="89"/>
        <v/>
      </c>
      <c r="E230" s="9" t="str">
        <f t="shared" si="90"/>
        <v/>
      </c>
      <c r="F230" s="9" t="str">
        <f t="shared" si="90"/>
        <v/>
      </c>
      <c r="G230" s="9" t="str">
        <f t="shared" si="90"/>
        <v/>
      </c>
      <c r="H230" s="9" t="str">
        <f t="shared" si="90"/>
        <v/>
      </c>
      <c r="I230" s="9" t="str">
        <f t="shared" si="90"/>
        <v/>
      </c>
      <c r="J230" s="9" t="str">
        <f t="shared" si="90"/>
        <v/>
      </c>
      <c r="K230" s="9" t="str">
        <f t="shared" si="90"/>
        <v/>
      </c>
      <c r="N230" t="str">
        <f t="shared" si="85"/>
        <v/>
      </c>
      <c r="O230" s="9" t="str">
        <f t="shared" si="91"/>
        <v/>
      </c>
      <c r="P230" s="9" t="str">
        <f t="shared" si="91"/>
        <v/>
      </c>
      <c r="Q230" s="9" t="str">
        <f t="shared" si="91"/>
        <v/>
      </c>
      <c r="R230" s="9" t="str">
        <f t="shared" si="91"/>
        <v/>
      </c>
      <c r="S230" s="9" t="str">
        <f t="shared" si="91"/>
        <v/>
      </c>
      <c r="T230" s="9" t="str">
        <f t="shared" si="91"/>
        <v/>
      </c>
      <c r="U230" s="9"/>
      <c r="V230" s="9" t="str">
        <f t="shared" si="92"/>
        <v/>
      </c>
      <c r="W230" t="str">
        <f t="shared" si="86"/>
        <v/>
      </c>
      <c r="X230" s="9" t="str">
        <f t="shared" si="93"/>
        <v/>
      </c>
      <c r="Y230" s="9" t="str">
        <f t="shared" si="93"/>
        <v/>
      </c>
      <c r="Z230" s="9" t="str">
        <f t="shared" si="93"/>
        <v/>
      </c>
      <c r="AA230" s="9" t="str">
        <f t="shared" si="93"/>
        <v/>
      </c>
      <c r="AB230" s="9" t="str">
        <f t="shared" si="93"/>
        <v/>
      </c>
      <c r="AC230" s="9" t="str">
        <f t="shared" si="93"/>
        <v/>
      </c>
      <c r="AD230" s="9" t="str">
        <f t="shared" si="93"/>
        <v/>
      </c>
      <c r="AE230" t="str">
        <f t="shared" si="87"/>
        <v/>
      </c>
      <c r="AF230" s="9" t="str">
        <f t="shared" si="94"/>
        <v/>
      </c>
      <c r="AG230" s="9" t="str">
        <f t="shared" si="94"/>
        <v/>
      </c>
      <c r="AH230" s="9" t="str">
        <f t="shared" si="94"/>
        <v/>
      </c>
      <c r="AI230" s="9" t="str">
        <f t="shared" si="94"/>
        <v/>
      </c>
      <c r="AJ230" s="9" t="str">
        <f t="shared" si="94"/>
        <v/>
      </c>
      <c r="AK230" s="9" t="str">
        <f t="shared" si="94"/>
        <v/>
      </c>
      <c r="AL230" s="9" t="str">
        <f t="shared" si="94"/>
        <v/>
      </c>
      <c r="AP230" t="str">
        <f t="shared" si="88"/>
        <v/>
      </c>
      <c r="AQ230" s="9" t="str">
        <f t="shared" si="95"/>
        <v/>
      </c>
      <c r="AR230" s="9" t="str">
        <f t="shared" si="95"/>
        <v/>
      </c>
      <c r="AS230" s="9" t="str">
        <f t="shared" si="95"/>
        <v/>
      </c>
      <c r="AT230" s="9" t="str">
        <f t="shared" si="95"/>
        <v/>
      </c>
      <c r="AU230" s="9" t="str">
        <f t="shared" si="95"/>
        <v/>
      </c>
      <c r="AV230" s="9" t="str">
        <f t="shared" si="95"/>
        <v/>
      </c>
      <c r="AW230" s="9" t="str">
        <f t="shared" si="95"/>
        <v/>
      </c>
    </row>
    <row r="231" spans="3:49" x14ac:dyDescent="0.25">
      <c r="C231">
        <v>75</v>
      </c>
      <c r="D231" t="str">
        <f t="shared" si="89"/>
        <v/>
      </c>
      <c r="E231" s="9" t="str">
        <f t="shared" ref="E231:K240" si="96">E167</f>
        <v/>
      </c>
      <c r="F231" s="9" t="str">
        <f t="shared" si="96"/>
        <v/>
      </c>
      <c r="G231" s="9" t="str">
        <f t="shared" si="96"/>
        <v/>
      </c>
      <c r="H231" s="9" t="str">
        <f t="shared" si="96"/>
        <v/>
      </c>
      <c r="I231" s="9" t="str">
        <f t="shared" si="96"/>
        <v/>
      </c>
      <c r="J231" s="9" t="str">
        <f t="shared" si="96"/>
        <v/>
      </c>
      <c r="K231" s="9" t="str">
        <f t="shared" si="96"/>
        <v/>
      </c>
      <c r="N231" t="str">
        <f t="shared" si="85"/>
        <v/>
      </c>
      <c r="O231" s="9" t="str">
        <f t="shared" ref="O231:T240" si="97">O167</f>
        <v/>
      </c>
      <c r="P231" s="9" t="str">
        <f t="shared" si="97"/>
        <v/>
      </c>
      <c r="Q231" s="9" t="str">
        <f t="shared" si="97"/>
        <v/>
      </c>
      <c r="R231" s="9" t="str">
        <f t="shared" si="97"/>
        <v/>
      </c>
      <c r="S231" s="9" t="str">
        <f t="shared" si="97"/>
        <v/>
      </c>
      <c r="T231" s="9" t="str">
        <f t="shared" si="97"/>
        <v/>
      </c>
      <c r="U231" s="9"/>
      <c r="V231" s="9" t="str">
        <f t="shared" si="92"/>
        <v/>
      </c>
      <c r="W231" t="str">
        <f t="shared" si="86"/>
        <v/>
      </c>
      <c r="X231" s="9" t="str">
        <f t="shared" ref="X231:AD240" si="98">X167</f>
        <v/>
      </c>
      <c r="Y231" s="9" t="str">
        <f t="shared" si="98"/>
        <v/>
      </c>
      <c r="Z231" s="9" t="str">
        <f t="shared" si="98"/>
        <v/>
      </c>
      <c r="AA231" s="9" t="str">
        <f t="shared" si="98"/>
        <v/>
      </c>
      <c r="AB231" s="9" t="str">
        <f t="shared" si="98"/>
        <v/>
      </c>
      <c r="AC231" s="9" t="str">
        <f t="shared" si="98"/>
        <v/>
      </c>
      <c r="AD231" s="9" t="str">
        <f t="shared" si="98"/>
        <v/>
      </c>
      <c r="AE231" t="str">
        <f t="shared" si="87"/>
        <v/>
      </c>
      <c r="AF231" s="9" t="str">
        <f t="shared" ref="AF231:AL240" si="99">AF167</f>
        <v/>
      </c>
      <c r="AG231" s="9" t="str">
        <f t="shared" si="99"/>
        <v/>
      </c>
      <c r="AH231" s="9" t="str">
        <f t="shared" si="99"/>
        <v/>
      </c>
      <c r="AI231" s="9" t="str">
        <f t="shared" si="99"/>
        <v/>
      </c>
      <c r="AJ231" s="9" t="str">
        <f t="shared" si="99"/>
        <v/>
      </c>
      <c r="AK231" s="9" t="str">
        <f t="shared" si="99"/>
        <v/>
      </c>
      <c r="AL231" s="9" t="str">
        <f t="shared" si="99"/>
        <v/>
      </c>
      <c r="AP231" t="str">
        <f t="shared" si="88"/>
        <v/>
      </c>
      <c r="AQ231" s="9" t="str">
        <f t="shared" ref="AQ231:AW240" si="100">AQ167</f>
        <v/>
      </c>
      <c r="AR231" s="9" t="str">
        <f t="shared" si="100"/>
        <v/>
      </c>
      <c r="AS231" s="9" t="str">
        <f t="shared" si="100"/>
        <v/>
      </c>
      <c r="AT231" s="9" t="str">
        <f t="shared" si="100"/>
        <v/>
      </c>
      <c r="AU231" s="9" t="str">
        <f t="shared" si="100"/>
        <v/>
      </c>
      <c r="AV231" s="9" t="str">
        <f t="shared" si="100"/>
        <v/>
      </c>
      <c r="AW231" s="9" t="str">
        <f t="shared" si="100"/>
        <v/>
      </c>
    </row>
    <row r="232" spans="3:49" x14ac:dyDescent="0.25">
      <c r="C232">
        <v>76</v>
      </c>
      <c r="D232" t="str">
        <f t="shared" si="89"/>
        <v/>
      </c>
      <c r="E232" s="9" t="str">
        <f t="shared" si="96"/>
        <v/>
      </c>
      <c r="F232" s="9" t="str">
        <f t="shared" si="96"/>
        <v/>
      </c>
      <c r="G232" s="9" t="str">
        <f t="shared" si="96"/>
        <v/>
      </c>
      <c r="H232" s="9" t="str">
        <f t="shared" si="96"/>
        <v/>
      </c>
      <c r="I232" s="9" t="str">
        <f t="shared" si="96"/>
        <v/>
      </c>
      <c r="J232" s="9" t="str">
        <f t="shared" si="96"/>
        <v/>
      </c>
      <c r="K232" s="9" t="str">
        <f t="shared" si="96"/>
        <v/>
      </c>
      <c r="N232" t="str">
        <f t="shared" si="85"/>
        <v/>
      </c>
      <c r="O232" s="9" t="str">
        <f t="shared" si="97"/>
        <v/>
      </c>
      <c r="P232" s="9" t="str">
        <f t="shared" si="97"/>
        <v/>
      </c>
      <c r="Q232" s="9" t="str">
        <f t="shared" si="97"/>
        <v/>
      </c>
      <c r="R232" s="9" t="str">
        <f t="shared" si="97"/>
        <v/>
      </c>
      <c r="S232" s="9" t="str">
        <f t="shared" si="97"/>
        <v/>
      </c>
      <c r="T232" s="9" t="str">
        <f t="shared" si="97"/>
        <v/>
      </c>
      <c r="U232" s="9"/>
      <c r="V232" s="9" t="str">
        <f t="shared" si="92"/>
        <v/>
      </c>
      <c r="W232" t="str">
        <f t="shared" si="86"/>
        <v/>
      </c>
      <c r="X232" s="9" t="str">
        <f t="shared" si="98"/>
        <v/>
      </c>
      <c r="Y232" s="9" t="str">
        <f t="shared" si="98"/>
        <v/>
      </c>
      <c r="Z232" s="9" t="str">
        <f t="shared" si="98"/>
        <v/>
      </c>
      <c r="AA232" s="9" t="str">
        <f t="shared" si="98"/>
        <v/>
      </c>
      <c r="AB232" s="9" t="str">
        <f t="shared" si="98"/>
        <v/>
      </c>
      <c r="AC232" s="9" t="str">
        <f t="shared" si="98"/>
        <v/>
      </c>
      <c r="AD232" s="9" t="str">
        <f t="shared" si="98"/>
        <v/>
      </c>
      <c r="AE232" t="str">
        <f t="shared" si="87"/>
        <v/>
      </c>
      <c r="AF232" s="9" t="str">
        <f t="shared" si="99"/>
        <v/>
      </c>
      <c r="AG232" s="9" t="str">
        <f t="shared" si="99"/>
        <v/>
      </c>
      <c r="AH232" s="9" t="str">
        <f t="shared" si="99"/>
        <v/>
      </c>
      <c r="AI232" s="9" t="str">
        <f t="shared" si="99"/>
        <v/>
      </c>
      <c r="AJ232" s="9" t="str">
        <f t="shared" si="99"/>
        <v/>
      </c>
      <c r="AK232" s="9" t="str">
        <f t="shared" si="99"/>
        <v/>
      </c>
      <c r="AL232" s="9" t="str">
        <f t="shared" si="99"/>
        <v/>
      </c>
      <c r="AP232" t="str">
        <f t="shared" si="88"/>
        <v/>
      </c>
      <c r="AQ232" s="9" t="str">
        <f t="shared" si="100"/>
        <v/>
      </c>
      <c r="AR232" s="9" t="str">
        <f t="shared" si="100"/>
        <v/>
      </c>
      <c r="AS232" s="9" t="str">
        <f t="shared" si="100"/>
        <v/>
      </c>
      <c r="AT232" s="9" t="str">
        <f t="shared" si="100"/>
        <v/>
      </c>
      <c r="AU232" s="9" t="str">
        <f t="shared" si="100"/>
        <v/>
      </c>
      <c r="AV232" s="9" t="str">
        <f t="shared" si="100"/>
        <v/>
      </c>
      <c r="AW232" s="9" t="str">
        <f t="shared" si="100"/>
        <v/>
      </c>
    </row>
    <row r="233" spans="3:49" x14ac:dyDescent="0.25">
      <c r="C233">
        <v>77</v>
      </c>
      <c r="D233" t="str">
        <f t="shared" si="89"/>
        <v/>
      </c>
      <c r="E233" s="9" t="str">
        <f t="shared" si="96"/>
        <v/>
      </c>
      <c r="F233" s="9" t="str">
        <f t="shared" si="96"/>
        <v/>
      </c>
      <c r="G233" s="9" t="str">
        <f t="shared" si="96"/>
        <v/>
      </c>
      <c r="H233" s="9" t="str">
        <f t="shared" si="96"/>
        <v/>
      </c>
      <c r="I233" s="9" t="str">
        <f t="shared" si="96"/>
        <v/>
      </c>
      <c r="J233" s="9" t="str">
        <f t="shared" si="96"/>
        <v/>
      </c>
      <c r="K233" s="9" t="str">
        <f t="shared" si="96"/>
        <v/>
      </c>
      <c r="N233" t="str">
        <f t="shared" si="85"/>
        <v/>
      </c>
      <c r="O233" s="9" t="str">
        <f t="shared" si="97"/>
        <v/>
      </c>
      <c r="P233" s="9" t="str">
        <f t="shared" si="97"/>
        <v/>
      </c>
      <c r="Q233" s="9" t="str">
        <f t="shared" si="97"/>
        <v/>
      </c>
      <c r="R233" s="9" t="str">
        <f t="shared" si="97"/>
        <v/>
      </c>
      <c r="S233" s="9" t="str">
        <f t="shared" si="97"/>
        <v/>
      </c>
      <c r="T233" s="9" t="str">
        <f t="shared" si="97"/>
        <v/>
      </c>
      <c r="U233" s="9"/>
      <c r="V233" s="9" t="str">
        <f t="shared" si="92"/>
        <v/>
      </c>
      <c r="W233" t="str">
        <f t="shared" si="86"/>
        <v/>
      </c>
      <c r="X233" s="9" t="str">
        <f t="shared" si="98"/>
        <v/>
      </c>
      <c r="Y233" s="9" t="str">
        <f t="shared" si="98"/>
        <v/>
      </c>
      <c r="Z233" s="9" t="str">
        <f t="shared" si="98"/>
        <v/>
      </c>
      <c r="AA233" s="9" t="str">
        <f t="shared" si="98"/>
        <v/>
      </c>
      <c r="AB233" s="9" t="str">
        <f t="shared" si="98"/>
        <v/>
      </c>
      <c r="AC233" s="9" t="str">
        <f t="shared" si="98"/>
        <v/>
      </c>
      <c r="AD233" s="9" t="str">
        <f t="shared" si="98"/>
        <v/>
      </c>
      <c r="AE233" t="str">
        <f t="shared" si="87"/>
        <v/>
      </c>
      <c r="AF233" s="9" t="str">
        <f t="shared" si="99"/>
        <v/>
      </c>
      <c r="AG233" s="9" t="str">
        <f t="shared" si="99"/>
        <v/>
      </c>
      <c r="AH233" s="9" t="str">
        <f t="shared" si="99"/>
        <v/>
      </c>
      <c r="AI233" s="9" t="str">
        <f t="shared" si="99"/>
        <v/>
      </c>
      <c r="AJ233" s="9" t="str">
        <f t="shared" si="99"/>
        <v/>
      </c>
      <c r="AK233" s="9" t="str">
        <f t="shared" si="99"/>
        <v/>
      </c>
      <c r="AL233" s="9" t="str">
        <f t="shared" si="99"/>
        <v/>
      </c>
      <c r="AP233" t="str">
        <f t="shared" si="88"/>
        <v/>
      </c>
      <c r="AQ233" s="9" t="str">
        <f t="shared" si="100"/>
        <v/>
      </c>
      <c r="AR233" s="9" t="str">
        <f t="shared" si="100"/>
        <v/>
      </c>
      <c r="AS233" s="9" t="str">
        <f t="shared" si="100"/>
        <v/>
      </c>
      <c r="AT233" s="9" t="str">
        <f t="shared" si="100"/>
        <v/>
      </c>
      <c r="AU233" s="9" t="str">
        <f t="shared" si="100"/>
        <v/>
      </c>
      <c r="AV233" s="9" t="str">
        <f t="shared" si="100"/>
        <v/>
      </c>
      <c r="AW233" s="9" t="str">
        <f t="shared" si="100"/>
        <v/>
      </c>
    </row>
    <row r="234" spans="3:49" x14ac:dyDescent="0.25">
      <c r="C234">
        <v>78</v>
      </c>
      <c r="D234" t="str">
        <f t="shared" si="89"/>
        <v/>
      </c>
      <c r="E234" s="9" t="str">
        <f t="shared" si="96"/>
        <v/>
      </c>
      <c r="F234" s="9" t="str">
        <f t="shared" si="96"/>
        <v/>
      </c>
      <c r="G234" s="9" t="str">
        <f t="shared" si="96"/>
        <v/>
      </c>
      <c r="H234" s="9" t="str">
        <f t="shared" si="96"/>
        <v/>
      </c>
      <c r="I234" s="9" t="str">
        <f t="shared" si="96"/>
        <v/>
      </c>
      <c r="J234" s="9" t="str">
        <f t="shared" si="96"/>
        <v/>
      </c>
      <c r="K234" s="9" t="str">
        <f t="shared" si="96"/>
        <v/>
      </c>
      <c r="N234" t="str">
        <f t="shared" si="85"/>
        <v/>
      </c>
      <c r="O234" s="9" t="str">
        <f t="shared" si="97"/>
        <v/>
      </c>
      <c r="P234" s="9" t="str">
        <f t="shared" si="97"/>
        <v/>
      </c>
      <c r="Q234" s="9" t="str">
        <f t="shared" si="97"/>
        <v/>
      </c>
      <c r="R234" s="9" t="str">
        <f t="shared" si="97"/>
        <v/>
      </c>
      <c r="S234" s="9" t="str">
        <f t="shared" si="97"/>
        <v/>
      </c>
      <c r="T234" s="9" t="str">
        <f t="shared" si="97"/>
        <v/>
      </c>
      <c r="U234" s="9"/>
      <c r="V234" s="9" t="str">
        <f t="shared" si="92"/>
        <v/>
      </c>
      <c r="W234" t="str">
        <f t="shared" si="86"/>
        <v/>
      </c>
      <c r="X234" s="9" t="str">
        <f t="shared" si="98"/>
        <v/>
      </c>
      <c r="Y234" s="9" t="str">
        <f t="shared" si="98"/>
        <v/>
      </c>
      <c r="Z234" s="9" t="str">
        <f t="shared" si="98"/>
        <v/>
      </c>
      <c r="AA234" s="9" t="str">
        <f t="shared" si="98"/>
        <v/>
      </c>
      <c r="AB234" s="9" t="str">
        <f t="shared" si="98"/>
        <v/>
      </c>
      <c r="AC234" s="9" t="str">
        <f t="shared" si="98"/>
        <v/>
      </c>
      <c r="AD234" s="9" t="str">
        <f t="shared" si="98"/>
        <v/>
      </c>
      <c r="AE234" t="str">
        <f t="shared" si="87"/>
        <v/>
      </c>
      <c r="AF234" s="9" t="str">
        <f t="shared" si="99"/>
        <v/>
      </c>
      <c r="AG234" s="9" t="str">
        <f t="shared" si="99"/>
        <v/>
      </c>
      <c r="AH234" s="9" t="str">
        <f t="shared" si="99"/>
        <v/>
      </c>
      <c r="AI234" s="9" t="str">
        <f t="shared" si="99"/>
        <v/>
      </c>
      <c r="AJ234" s="9" t="str">
        <f t="shared" si="99"/>
        <v/>
      </c>
      <c r="AK234" s="9" t="str">
        <f t="shared" si="99"/>
        <v/>
      </c>
      <c r="AL234" s="9" t="str">
        <f t="shared" si="99"/>
        <v/>
      </c>
      <c r="AP234" t="str">
        <f t="shared" si="88"/>
        <v/>
      </c>
      <c r="AQ234" s="9" t="str">
        <f t="shared" si="100"/>
        <v/>
      </c>
      <c r="AR234" s="9" t="str">
        <f t="shared" si="100"/>
        <v/>
      </c>
      <c r="AS234" s="9" t="str">
        <f t="shared" si="100"/>
        <v/>
      </c>
      <c r="AT234" s="9" t="str">
        <f t="shared" si="100"/>
        <v/>
      </c>
      <c r="AU234" s="9" t="str">
        <f t="shared" si="100"/>
        <v/>
      </c>
      <c r="AV234" s="9" t="str">
        <f t="shared" si="100"/>
        <v/>
      </c>
      <c r="AW234" s="9" t="str">
        <f t="shared" si="100"/>
        <v/>
      </c>
    </row>
    <row r="235" spans="3:49" x14ac:dyDescent="0.25">
      <c r="C235">
        <v>79</v>
      </c>
      <c r="D235" t="str">
        <f t="shared" si="89"/>
        <v/>
      </c>
      <c r="E235" s="9" t="str">
        <f t="shared" si="96"/>
        <v/>
      </c>
      <c r="F235" s="9" t="str">
        <f t="shared" si="96"/>
        <v/>
      </c>
      <c r="G235" s="9" t="str">
        <f t="shared" si="96"/>
        <v/>
      </c>
      <c r="H235" s="9" t="str">
        <f t="shared" si="96"/>
        <v/>
      </c>
      <c r="I235" s="9" t="str">
        <f t="shared" si="96"/>
        <v/>
      </c>
      <c r="J235" s="9" t="str">
        <f t="shared" si="96"/>
        <v/>
      </c>
      <c r="K235" s="9" t="str">
        <f t="shared" si="96"/>
        <v/>
      </c>
      <c r="N235" t="str">
        <f t="shared" si="85"/>
        <v/>
      </c>
      <c r="O235" s="9" t="str">
        <f t="shared" si="97"/>
        <v/>
      </c>
      <c r="P235" s="9" t="str">
        <f t="shared" si="97"/>
        <v/>
      </c>
      <c r="Q235" s="9" t="str">
        <f t="shared" si="97"/>
        <v/>
      </c>
      <c r="R235" s="9" t="str">
        <f t="shared" si="97"/>
        <v/>
      </c>
      <c r="S235" s="9" t="str">
        <f t="shared" si="97"/>
        <v/>
      </c>
      <c r="T235" s="9" t="str">
        <f t="shared" si="97"/>
        <v/>
      </c>
      <c r="U235" s="9"/>
      <c r="V235" s="9" t="str">
        <f t="shared" si="92"/>
        <v/>
      </c>
      <c r="W235" t="str">
        <f t="shared" si="86"/>
        <v/>
      </c>
      <c r="X235" s="9" t="str">
        <f t="shared" si="98"/>
        <v/>
      </c>
      <c r="Y235" s="9" t="str">
        <f t="shared" si="98"/>
        <v/>
      </c>
      <c r="Z235" s="9" t="str">
        <f t="shared" si="98"/>
        <v/>
      </c>
      <c r="AA235" s="9" t="str">
        <f t="shared" si="98"/>
        <v/>
      </c>
      <c r="AB235" s="9" t="str">
        <f t="shared" si="98"/>
        <v/>
      </c>
      <c r="AC235" s="9" t="str">
        <f t="shared" si="98"/>
        <v/>
      </c>
      <c r="AD235" s="9" t="str">
        <f t="shared" si="98"/>
        <v/>
      </c>
      <c r="AE235" t="str">
        <f t="shared" si="87"/>
        <v/>
      </c>
      <c r="AF235" s="9" t="str">
        <f t="shared" si="99"/>
        <v/>
      </c>
      <c r="AG235" s="9" t="str">
        <f t="shared" si="99"/>
        <v/>
      </c>
      <c r="AH235" s="9" t="str">
        <f t="shared" si="99"/>
        <v/>
      </c>
      <c r="AI235" s="9" t="str">
        <f t="shared" si="99"/>
        <v/>
      </c>
      <c r="AJ235" s="9" t="str">
        <f t="shared" si="99"/>
        <v/>
      </c>
      <c r="AK235" s="9" t="str">
        <f t="shared" si="99"/>
        <v/>
      </c>
      <c r="AL235" s="9" t="str">
        <f t="shared" si="99"/>
        <v/>
      </c>
      <c r="AP235" t="str">
        <f t="shared" si="88"/>
        <v/>
      </c>
      <c r="AQ235" s="9" t="str">
        <f t="shared" si="100"/>
        <v/>
      </c>
      <c r="AR235" s="9" t="str">
        <f t="shared" si="100"/>
        <v/>
      </c>
      <c r="AS235" s="9" t="str">
        <f t="shared" si="100"/>
        <v/>
      </c>
      <c r="AT235" s="9" t="str">
        <f t="shared" si="100"/>
        <v/>
      </c>
      <c r="AU235" s="9" t="str">
        <f t="shared" si="100"/>
        <v/>
      </c>
      <c r="AV235" s="9" t="str">
        <f t="shared" si="100"/>
        <v/>
      </c>
      <c r="AW235" s="9" t="str">
        <f t="shared" si="100"/>
        <v/>
      </c>
    </row>
    <row r="236" spans="3:49" x14ac:dyDescent="0.25">
      <c r="C236">
        <v>80</v>
      </c>
      <c r="D236" t="str">
        <f t="shared" si="89"/>
        <v/>
      </c>
      <c r="E236" s="9" t="str">
        <f t="shared" si="96"/>
        <v/>
      </c>
      <c r="F236" s="9" t="str">
        <f t="shared" si="96"/>
        <v/>
      </c>
      <c r="G236" s="9" t="str">
        <f t="shared" si="96"/>
        <v/>
      </c>
      <c r="H236" s="9" t="str">
        <f t="shared" si="96"/>
        <v/>
      </c>
      <c r="I236" s="9" t="str">
        <f t="shared" si="96"/>
        <v/>
      </c>
      <c r="J236" s="9" t="str">
        <f t="shared" si="96"/>
        <v/>
      </c>
      <c r="K236" s="9" t="str">
        <f t="shared" si="96"/>
        <v/>
      </c>
      <c r="N236" t="str">
        <f t="shared" si="85"/>
        <v/>
      </c>
      <c r="O236" s="9" t="str">
        <f t="shared" si="97"/>
        <v/>
      </c>
      <c r="P236" s="9" t="str">
        <f t="shared" si="97"/>
        <v/>
      </c>
      <c r="Q236" s="9" t="str">
        <f t="shared" si="97"/>
        <v/>
      </c>
      <c r="R236" s="9" t="str">
        <f t="shared" si="97"/>
        <v/>
      </c>
      <c r="S236" s="9" t="str">
        <f t="shared" si="97"/>
        <v/>
      </c>
      <c r="T236" s="9" t="str">
        <f t="shared" si="97"/>
        <v/>
      </c>
      <c r="U236" s="9"/>
      <c r="V236" s="9" t="str">
        <f t="shared" si="92"/>
        <v/>
      </c>
      <c r="W236" t="str">
        <f t="shared" si="86"/>
        <v/>
      </c>
      <c r="X236" s="9" t="str">
        <f t="shared" si="98"/>
        <v/>
      </c>
      <c r="Y236" s="9" t="str">
        <f t="shared" si="98"/>
        <v/>
      </c>
      <c r="Z236" s="9" t="str">
        <f t="shared" si="98"/>
        <v/>
      </c>
      <c r="AA236" s="9" t="str">
        <f t="shared" si="98"/>
        <v/>
      </c>
      <c r="AB236" s="9" t="str">
        <f t="shared" si="98"/>
        <v/>
      </c>
      <c r="AC236" s="9" t="str">
        <f t="shared" si="98"/>
        <v/>
      </c>
      <c r="AD236" s="9" t="str">
        <f t="shared" si="98"/>
        <v/>
      </c>
      <c r="AE236" t="str">
        <f t="shared" si="87"/>
        <v/>
      </c>
      <c r="AF236" s="9" t="str">
        <f t="shared" si="99"/>
        <v/>
      </c>
      <c r="AG236" s="9" t="str">
        <f t="shared" si="99"/>
        <v/>
      </c>
      <c r="AH236" s="9" t="str">
        <f t="shared" si="99"/>
        <v/>
      </c>
      <c r="AI236" s="9" t="str">
        <f t="shared" si="99"/>
        <v/>
      </c>
      <c r="AJ236" s="9" t="str">
        <f t="shared" si="99"/>
        <v/>
      </c>
      <c r="AK236" s="9" t="str">
        <f t="shared" si="99"/>
        <v/>
      </c>
      <c r="AL236" s="9" t="str">
        <f t="shared" si="99"/>
        <v/>
      </c>
      <c r="AP236" t="str">
        <f t="shared" si="88"/>
        <v/>
      </c>
      <c r="AQ236" s="9" t="str">
        <f t="shared" si="100"/>
        <v/>
      </c>
      <c r="AR236" s="9" t="str">
        <f t="shared" si="100"/>
        <v/>
      </c>
      <c r="AS236" s="9" t="str">
        <f t="shared" si="100"/>
        <v/>
      </c>
      <c r="AT236" s="9" t="str">
        <f t="shared" si="100"/>
        <v/>
      </c>
      <c r="AU236" s="9" t="str">
        <f t="shared" si="100"/>
        <v/>
      </c>
      <c r="AV236" s="9" t="str">
        <f t="shared" si="100"/>
        <v/>
      </c>
      <c r="AW236" s="9" t="str">
        <f t="shared" si="100"/>
        <v/>
      </c>
    </row>
    <row r="237" spans="3:49" x14ac:dyDescent="0.25">
      <c r="C237">
        <v>81</v>
      </c>
      <c r="D237" t="str">
        <f t="shared" si="89"/>
        <v/>
      </c>
      <c r="E237" s="9" t="str">
        <f t="shared" si="96"/>
        <v/>
      </c>
      <c r="F237" s="9" t="str">
        <f t="shared" si="96"/>
        <v/>
      </c>
      <c r="G237" s="9" t="str">
        <f t="shared" si="96"/>
        <v/>
      </c>
      <c r="H237" s="9" t="str">
        <f t="shared" si="96"/>
        <v/>
      </c>
      <c r="I237" s="9" t="str">
        <f t="shared" si="96"/>
        <v/>
      </c>
      <c r="J237" s="9" t="str">
        <f t="shared" si="96"/>
        <v/>
      </c>
      <c r="K237" s="9" t="str">
        <f t="shared" si="96"/>
        <v/>
      </c>
      <c r="O237" s="9" t="str">
        <f t="shared" si="97"/>
        <v/>
      </c>
      <c r="P237" s="9" t="str">
        <f t="shared" si="97"/>
        <v/>
      </c>
      <c r="Q237" s="9" t="str">
        <f t="shared" si="97"/>
        <v/>
      </c>
      <c r="R237" s="9" t="str">
        <f t="shared" si="97"/>
        <v/>
      </c>
      <c r="S237" s="9" t="str">
        <f t="shared" si="97"/>
        <v/>
      </c>
      <c r="T237" s="9" t="str">
        <f t="shared" si="97"/>
        <v/>
      </c>
      <c r="U237" s="9"/>
      <c r="V237" s="9" t="str">
        <f t="shared" si="92"/>
        <v/>
      </c>
      <c r="X237" s="9" t="str">
        <f t="shared" si="98"/>
        <v/>
      </c>
      <c r="Y237" s="9" t="str">
        <f t="shared" si="98"/>
        <v/>
      </c>
      <c r="Z237" s="9" t="str">
        <f t="shared" si="98"/>
        <v/>
      </c>
      <c r="AA237" s="9" t="str">
        <f t="shared" si="98"/>
        <v/>
      </c>
      <c r="AB237" s="9" t="str">
        <f t="shared" si="98"/>
        <v/>
      </c>
      <c r="AC237" s="9" t="str">
        <f t="shared" si="98"/>
        <v/>
      </c>
      <c r="AD237" s="9" t="str">
        <f t="shared" si="98"/>
        <v/>
      </c>
      <c r="AF237" s="9" t="str">
        <f t="shared" si="99"/>
        <v/>
      </c>
      <c r="AG237" s="9" t="str">
        <f t="shared" si="99"/>
        <v/>
      </c>
      <c r="AH237" s="9" t="str">
        <f t="shared" si="99"/>
        <v/>
      </c>
      <c r="AI237" s="9" t="str">
        <f t="shared" si="99"/>
        <v/>
      </c>
      <c r="AJ237" s="9" t="str">
        <f t="shared" si="99"/>
        <v/>
      </c>
      <c r="AK237" s="9" t="str">
        <f t="shared" si="99"/>
        <v/>
      </c>
      <c r="AL237" s="9" t="str">
        <f t="shared" si="99"/>
        <v/>
      </c>
      <c r="AQ237" s="9" t="str">
        <f t="shared" si="100"/>
        <v/>
      </c>
      <c r="AR237" s="9" t="str">
        <f t="shared" si="100"/>
        <v/>
      </c>
      <c r="AS237" s="9" t="str">
        <f t="shared" si="100"/>
        <v/>
      </c>
      <c r="AT237" s="9" t="str">
        <f t="shared" si="100"/>
        <v/>
      </c>
      <c r="AU237" s="9" t="str">
        <f t="shared" si="100"/>
        <v/>
      </c>
      <c r="AV237" s="9" t="str">
        <f t="shared" si="100"/>
        <v/>
      </c>
      <c r="AW237" s="9" t="str">
        <f t="shared" si="100"/>
        <v/>
      </c>
    </row>
    <row r="238" spans="3:49" x14ac:dyDescent="0.25">
      <c r="C238">
        <v>82</v>
      </c>
      <c r="D238" t="str">
        <f t="shared" si="89"/>
        <v/>
      </c>
      <c r="E238" s="9" t="str">
        <f t="shared" si="96"/>
        <v/>
      </c>
      <c r="F238" s="9" t="str">
        <f t="shared" si="96"/>
        <v/>
      </c>
      <c r="G238" s="9" t="str">
        <f t="shared" si="96"/>
        <v/>
      </c>
      <c r="H238" s="9" t="str">
        <f t="shared" si="96"/>
        <v/>
      </c>
      <c r="I238" s="9" t="str">
        <f t="shared" si="96"/>
        <v/>
      </c>
      <c r="J238" s="9" t="str">
        <f t="shared" si="96"/>
        <v/>
      </c>
      <c r="K238" s="9" t="str">
        <f t="shared" si="96"/>
        <v/>
      </c>
      <c r="O238" s="9" t="str">
        <f t="shared" si="97"/>
        <v/>
      </c>
      <c r="P238" s="9" t="str">
        <f t="shared" si="97"/>
        <v/>
      </c>
      <c r="Q238" s="9" t="str">
        <f t="shared" si="97"/>
        <v/>
      </c>
      <c r="R238" s="9" t="str">
        <f t="shared" si="97"/>
        <v/>
      </c>
      <c r="S238" s="9" t="str">
        <f t="shared" si="97"/>
        <v/>
      </c>
      <c r="T238" s="9" t="str">
        <f t="shared" si="97"/>
        <v/>
      </c>
      <c r="U238" s="9"/>
      <c r="V238" s="9" t="str">
        <f t="shared" si="92"/>
        <v/>
      </c>
      <c r="X238" s="9" t="str">
        <f t="shared" si="98"/>
        <v/>
      </c>
      <c r="Y238" s="9" t="str">
        <f t="shared" si="98"/>
        <v/>
      </c>
      <c r="Z238" s="9" t="str">
        <f t="shared" si="98"/>
        <v/>
      </c>
      <c r="AA238" s="9" t="str">
        <f t="shared" si="98"/>
        <v/>
      </c>
      <c r="AB238" s="9" t="str">
        <f t="shared" si="98"/>
        <v/>
      </c>
      <c r="AC238" s="9" t="str">
        <f t="shared" si="98"/>
        <v/>
      </c>
      <c r="AD238" s="9" t="str">
        <f t="shared" si="98"/>
        <v/>
      </c>
      <c r="AF238" s="9" t="str">
        <f t="shared" si="99"/>
        <v/>
      </c>
      <c r="AG238" s="9" t="str">
        <f t="shared" si="99"/>
        <v/>
      </c>
      <c r="AH238" s="9" t="str">
        <f t="shared" si="99"/>
        <v/>
      </c>
      <c r="AI238" s="9" t="str">
        <f t="shared" si="99"/>
        <v/>
      </c>
      <c r="AJ238" s="9" t="str">
        <f t="shared" si="99"/>
        <v/>
      </c>
      <c r="AK238" s="9" t="str">
        <f t="shared" si="99"/>
        <v/>
      </c>
      <c r="AL238" s="9" t="str">
        <f t="shared" si="99"/>
        <v/>
      </c>
      <c r="AQ238" s="9" t="str">
        <f t="shared" si="100"/>
        <v/>
      </c>
      <c r="AR238" s="9" t="str">
        <f t="shared" si="100"/>
        <v/>
      </c>
      <c r="AS238" s="9" t="str">
        <f t="shared" si="100"/>
        <v/>
      </c>
      <c r="AT238" s="9" t="str">
        <f t="shared" si="100"/>
        <v/>
      </c>
      <c r="AU238" s="9" t="str">
        <f t="shared" si="100"/>
        <v/>
      </c>
      <c r="AV238" s="9" t="str">
        <f t="shared" si="100"/>
        <v/>
      </c>
      <c r="AW238" s="9" t="str">
        <f t="shared" si="100"/>
        <v/>
      </c>
    </row>
    <row r="239" spans="3:49" x14ac:dyDescent="0.25">
      <c r="C239">
        <v>83</v>
      </c>
      <c r="D239" t="str">
        <f t="shared" si="89"/>
        <v/>
      </c>
      <c r="E239" s="9" t="str">
        <f t="shared" si="96"/>
        <v/>
      </c>
      <c r="F239" s="9" t="str">
        <f t="shared" si="96"/>
        <v/>
      </c>
      <c r="G239" s="9" t="str">
        <f t="shared" si="96"/>
        <v/>
      </c>
      <c r="H239" s="9" t="str">
        <f t="shared" si="96"/>
        <v/>
      </c>
      <c r="I239" s="9" t="str">
        <f t="shared" si="96"/>
        <v/>
      </c>
      <c r="J239" s="9" t="str">
        <f t="shared" si="96"/>
        <v/>
      </c>
      <c r="K239" s="9" t="str">
        <f t="shared" si="96"/>
        <v/>
      </c>
      <c r="O239" s="9" t="str">
        <f t="shared" si="97"/>
        <v/>
      </c>
      <c r="P239" s="9" t="str">
        <f t="shared" si="97"/>
        <v/>
      </c>
      <c r="Q239" s="9" t="str">
        <f t="shared" si="97"/>
        <v/>
      </c>
      <c r="R239" s="9" t="str">
        <f t="shared" si="97"/>
        <v/>
      </c>
      <c r="S239" s="9" t="str">
        <f t="shared" si="97"/>
        <v/>
      </c>
      <c r="T239" s="9" t="str">
        <f t="shared" si="97"/>
        <v/>
      </c>
      <c r="U239" s="9"/>
      <c r="V239" s="9" t="str">
        <f t="shared" si="92"/>
        <v/>
      </c>
      <c r="X239" s="9" t="str">
        <f t="shared" si="98"/>
        <v/>
      </c>
      <c r="Y239" s="9" t="str">
        <f t="shared" si="98"/>
        <v/>
      </c>
      <c r="Z239" s="9" t="str">
        <f t="shared" si="98"/>
        <v/>
      </c>
      <c r="AA239" s="9" t="str">
        <f t="shared" si="98"/>
        <v/>
      </c>
      <c r="AB239" s="9" t="str">
        <f t="shared" si="98"/>
        <v/>
      </c>
      <c r="AC239" s="9" t="str">
        <f t="shared" si="98"/>
        <v/>
      </c>
      <c r="AD239" s="9" t="str">
        <f t="shared" si="98"/>
        <v/>
      </c>
      <c r="AF239" s="9" t="str">
        <f t="shared" si="99"/>
        <v/>
      </c>
      <c r="AG239" s="9" t="str">
        <f t="shared" si="99"/>
        <v/>
      </c>
      <c r="AH239" s="9" t="str">
        <f t="shared" si="99"/>
        <v/>
      </c>
      <c r="AI239" s="9" t="str">
        <f t="shared" si="99"/>
        <v/>
      </c>
      <c r="AJ239" s="9" t="str">
        <f t="shared" si="99"/>
        <v/>
      </c>
      <c r="AK239" s="9" t="str">
        <f t="shared" si="99"/>
        <v/>
      </c>
      <c r="AL239" s="9" t="str">
        <f t="shared" si="99"/>
        <v/>
      </c>
      <c r="AQ239" s="9" t="str">
        <f t="shared" si="100"/>
        <v/>
      </c>
      <c r="AR239" s="9" t="str">
        <f t="shared" si="100"/>
        <v/>
      </c>
      <c r="AS239" s="9" t="str">
        <f t="shared" si="100"/>
        <v/>
      </c>
      <c r="AT239" s="9" t="str">
        <f t="shared" si="100"/>
        <v/>
      </c>
      <c r="AU239" s="9" t="str">
        <f t="shared" si="100"/>
        <v/>
      </c>
      <c r="AV239" s="9" t="str">
        <f t="shared" si="100"/>
        <v/>
      </c>
      <c r="AW239" s="9" t="str">
        <f t="shared" si="100"/>
        <v/>
      </c>
    </row>
    <row r="240" spans="3:49" x14ac:dyDescent="0.25">
      <c r="C240">
        <v>84</v>
      </c>
      <c r="D240" t="str">
        <f t="shared" si="89"/>
        <v/>
      </c>
      <c r="E240" s="9" t="str">
        <f t="shared" si="96"/>
        <v/>
      </c>
      <c r="F240" s="9" t="str">
        <f t="shared" si="96"/>
        <v/>
      </c>
      <c r="G240" s="9" t="str">
        <f t="shared" si="96"/>
        <v/>
      </c>
      <c r="H240" s="9" t="str">
        <f t="shared" si="96"/>
        <v/>
      </c>
      <c r="I240" s="9" t="str">
        <f t="shared" si="96"/>
        <v/>
      </c>
      <c r="J240" s="9" t="str">
        <f t="shared" si="96"/>
        <v/>
      </c>
      <c r="K240" s="9" t="str">
        <f t="shared" si="96"/>
        <v/>
      </c>
      <c r="O240" s="9" t="str">
        <f t="shared" si="97"/>
        <v/>
      </c>
      <c r="P240" s="9" t="str">
        <f t="shared" si="97"/>
        <v/>
      </c>
      <c r="Q240" s="9" t="str">
        <f t="shared" si="97"/>
        <v/>
      </c>
      <c r="R240" s="9" t="str">
        <f t="shared" si="97"/>
        <v/>
      </c>
      <c r="S240" s="9" t="str">
        <f t="shared" si="97"/>
        <v/>
      </c>
      <c r="T240" s="9" t="str">
        <f t="shared" si="97"/>
        <v/>
      </c>
      <c r="U240" s="9"/>
      <c r="V240" s="9" t="str">
        <f t="shared" si="92"/>
        <v/>
      </c>
      <c r="X240" s="9" t="str">
        <f t="shared" si="98"/>
        <v/>
      </c>
      <c r="Y240" s="9" t="str">
        <f t="shared" si="98"/>
        <v/>
      </c>
      <c r="Z240" s="9" t="str">
        <f t="shared" si="98"/>
        <v/>
      </c>
      <c r="AA240" s="9" t="str">
        <f t="shared" si="98"/>
        <v/>
      </c>
      <c r="AB240" s="9" t="str">
        <f t="shared" si="98"/>
        <v/>
      </c>
      <c r="AC240" s="9" t="str">
        <f t="shared" si="98"/>
        <v/>
      </c>
      <c r="AD240" s="9" t="str">
        <f t="shared" si="98"/>
        <v/>
      </c>
      <c r="AF240" s="9" t="str">
        <f t="shared" si="99"/>
        <v/>
      </c>
      <c r="AG240" s="9" t="str">
        <f t="shared" si="99"/>
        <v/>
      </c>
      <c r="AH240" s="9" t="str">
        <f t="shared" si="99"/>
        <v/>
      </c>
      <c r="AI240" s="9" t="str">
        <f t="shared" si="99"/>
        <v/>
      </c>
      <c r="AJ240" s="9" t="str">
        <f t="shared" si="99"/>
        <v/>
      </c>
      <c r="AK240" s="9" t="str">
        <f t="shared" si="99"/>
        <v/>
      </c>
      <c r="AL240" s="9" t="str">
        <f t="shared" si="99"/>
        <v/>
      </c>
      <c r="AQ240" s="9" t="str">
        <f t="shared" si="100"/>
        <v/>
      </c>
      <c r="AR240" s="9" t="str">
        <f t="shared" si="100"/>
        <v/>
      </c>
      <c r="AS240" s="9" t="str">
        <f t="shared" si="100"/>
        <v/>
      </c>
      <c r="AT240" s="9" t="str">
        <f t="shared" si="100"/>
        <v/>
      </c>
      <c r="AU240" s="9" t="str">
        <f t="shared" si="100"/>
        <v/>
      </c>
      <c r="AV240" s="9" t="str">
        <f t="shared" si="100"/>
        <v/>
      </c>
      <c r="AW240" s="9" t="str">
        <f t="shared" si="100"/>
        <v/>
      </c>
    </row>
    <row r="241" spans="3:49" x14ac:dyDescent="0.25">
      <c r="C241">
        <v>85</v>
      </c>
      <c r="D241" t="str">
        <f t="shared" si="89"/>
        <v/>
      </c>
      <c r="E241" s="9" t="str">
        <f t="shared" ref="E241:K250" si="101">E177</f>
        <v/>
      </c>
      <c r="F241" s="9" t="str">
        <f t="shared" si="101"/>
        <v/>
      </c>
      <c r="G241" s="9" t="str">
        <f t="shared" si="101"/>
        <v/>
      </c>
      <c r="H241" s="9" t="str">
        <f t="shared" si="101"/>
        <v/>
      </c>
      <c r="I241" s="9" t="str">
        <f t="shared" si="101"/>
        <v/>
      </c>
      <c r="J241" s="9" t="str">
        <f t="shared" si="101"/>
        <v/>
      </c>
      <c r="K241" s="9" t="str">
        <f t="shared" si="101"/>
        <v/>
      </c>
      <c r="O241" s="9" t="str">
        <f t="shared" ref="O241:T250" si="102">O177</f>
        <v/>
      </c>
      <c r="P241" s="9" t="str">
        <f t="shared" si="102"/>
        <v/>
      </c>
      <c r="Q241" s="9" t="str">
        <f t="shared" si="102"/>
        <v/>
      </c>
      <c r="R241" s="9" t="str">
        <f t="shared" si="102"/>
        <v/>
      </c>
      <c r="S241" s="9" t="str">
        <f t="shared" si="102"/>
        <v/>
      </c>
      <c r="T241" s="9" t="str">
        <f t="shared" si="102"/>
        <v/>
      </c>
      <c r="U241" s="9"/>
      <c r="V241" s="9" t="str">
        <f t="shared" si="92"/>
        <v/>
      </c>
      <c r="X241" s="9" t="str">
        <f t="shared" ref="X241:AD250" si="103">X177</f>
        <v/>
      </c>
      <c r="Y241" s="9" t="str">
        <f t="shared" si="103"/>
        <v/>
      </c>
      <c r="Z241" s="9" t="str">
        <f t="shared" si="103"/>
        <v/>
      </c>
      <c r="AA241" s="9" t="str">
        <f t="shared" si="103"/>
        <v/>
      </c>
      <c r="AB241" s="9" t="str">
        <f t="shared" si="103"/>
        <v/>
      </c>
      <c r="AC241" s="9" t="str">
        <f t="shared" si="103"/>
        <v/>
      </c>
      <c r="AD241" s="9" t="str">
        <f t="shared" si="103"/>
        <v/>
      </c>
      <c r="AF241" s="9" t="str">
        <f t="shared" ref="AF241:AL250" si="104">AF177</f>
        <v/>
      </c>
      <c r="AG241" s="9" t="str">
        <f t="shared" si="104"/>
        <v/>
      </c>
      <c r="AH241" s="9" t="str">
        <f t="shared" si="104"/>
        <v/>
      </c>
      <c r="AI241" s="9" t="str">
        <f t="shared" si="104"/>
        <v/>
      </c>
      <c r="AJ241" s="9" t="str">
        <f t="shared" si="104"/>
        <v/>
      </c>
      <c r="AK241" s="9" t="str">
        <f t="shared" si="104"/>
        <v/>
      </c>
      <c r="AL241" s="9" t="str">
        <f t="shared" si="104"/>
        <v/>
      </c>
      <c r="AQ241" s="9" t="str">
        <f t="shared" ref="AQ241:AW250" si="105">AQ177</f>
        <v/>
      </c>
      <c r="AR241" s="9" t="str">
        <f t="shared" si="105"/>
        <v/>
      </c>
      <c r="AS241" s="9" t="str">
        <f t="shared" si="105"/>
        <v/>
      </c>
      <c r="AT241" s="9" t="str">
        <f t="shared" si="105"/>
        <v/>
      </c>
      <c r="AU241" s="9" t="str">
        <f t="shared" si="105"/>
        <v/>
      </c>
      <c r="AV241" s="9" t="str">
        <f t="shared" si="105"/>
        <v/>
      </c>
      <c r="AW241" s="9" t="str">
        <f t="shared" si="105"/>
        <v/>
      </c>
    </row>
    <row r="242" spans="3:49" x14ac:dyDescent="0.25">
      <c r="C242">
        <v>86</v>
      </c>
      <c r="D242" t="str">
        <f t="shared" si="89"/>
        <v/>
      </c>
      <c r="E242" s="9" t="str">
        <f t="shared" si="101"/>
        <v/>
      </c>
      <c r="F242" s="9" t="str">
        <f t="shared" si="101"/>
        <v/>
      </c>
      <c r="G242" s="9" t="str">
        <f t="shared" si="101"/>
        <v/>
      </c>
      <c r="H242" s="9" t="str">
        <f t="shared" si="101"/>
        <v/>
      </c>
      <c r="I242" s="9" t="str">
        <f t="shared" si="101"/>
        <v/>
      </c>
      <c r="J242" s="9" t="str">
        <f t="shared" si="101"/>
        <v/>
      </c>
      <c r="K242" s="9" t="str">
        <f t="shared" si="101"/>
        <v/>
      </c>
      <c r="O242" s="9" t="str">
        <f t="shared" si="102"/>
        <v/>
      </c>
      <c r="P242" s="9" t="str">
        <f t="shared" si="102"/>
        <v/>
      </c>
      <c r="Q242" s="9" t="str">
        <f t="shared" si="102"/>
        <v/>
      </c>
      <c r="R242" s="9" t="str">
        <f t="shared" si="102"/>
        <v/>
      </c>
      <c r="S242" s="9" t="str">
        <f t="shared" si="102"/>
        <v/>
      </c>
      <c r="T242" s="9" t="str">
        <f t="shared" si="102"/>
        <v/>
      </c>
      <c r="U242" s="9"/>
      <c r="V242" s="9" t="str">
        <f t="shared" si="92"/>
        <v/>
      </c>
      <c r="X242" s="9" t="str">
        <f t="shared" si="103"/>
        <v/>
      </c>
      <c r="Y242" s="9" t="str">
        <f t="shared" si="103"/>
        <v/>
      </c>
      <c r="Z242" s="9" t="str">
        <f t="shared" si="103"/>
        <v/>
      </c>
      <c r="AA242" s="9" t="str">
        <f t="shared" si="103"/>
        <v/>
      </c>
      <c r="AB242" s="9" t="str">
        <f t="shared" si="103"/>
        <v/>
      </c>
      <c r="AC242" s="9" t="str">
        <f t="shared" si="103"/>
        <v/>
      </c>
      <c r="AD242" s="9" t="str">
        <f t="shared" si="103"/>
        <v/>
      </c>
      <c r="AF242" s="9" t="str">
        <f t="shared" si="104"/>
        <v/>
      </c>
      <c r="AG242" s="9" t="str">
        <f t="shared" si="104"/>
        <v/>
      </c>
      <c r="AH242" s="9" t="str">
        <f t="shared" si="104"/>
        <v/>
      </c>
      <c r="AI242" s="9" t="str">
        <f t="shared" si="104"/>
        <v/>
      </c>
      <c r="AJ242" s="9" t="str">
        <f t="shared" si="104"/>
        <v/>
      </c>
      <c r="AK242" s="9" t="str">
        <f t="shared" si="104"/>
        <v/>
      </c>
      <c r="AL242" s="9" t="str">
        <f t="shared" si="104"/>
        <v/>
      </c>
      <c r="AQ242" s="9" t="str">
        <f t="shared" si="105"/>
        <v/>
      </c>
      <c r="AR242" s="9" t="str">
        <f t="shared" si="105"/>
        <v/>
      </c>
      <c r="AS242" s="9" t="str">
        <f t="shared" si="105"/>
        <v/>
      </c>
      <c r="AT242" s="9" t="str">
        <f t="shared" si="105"/>
        <v/>
      </c>
      <c r="AU242" s="9" t="str">
        <f t="shared" si="105"/>
        <v/>
      </c>
      <c r="AV242" s="9" t="str">
        <f t="shared" si="105"/>
        <v/>
      </c>
      <c r="AW242" s="9" t="str">
        <f t="shared" si="105"/>
        <v/>
      </c>
    </row>
    <row r="243" spans="3:49" x14ac:dyDescent="0.25">
      <c r="C243">
        <v>87</v>
      </c>
      <c r="D243" t="str">
        <f t="shared" si="89"/>
        <v/>
      </c>
      <c r="E243" s="9" t="str">
        <f t="shared" si="101"/>
        <v/>
      </c>
      <c r="F243" s="9" t="str">
        <f t="shared" si="101"/>
        <v/>
      </c>
      <c r="G243" s="9" t="str">
        <f t="shared" si="101"/>
        <v/>
      </c>
      <c r="H243" s="9" t="str">
        <f t="shared" si="101"/>
        <v/>
      </c>
      <c r="I243" s="9" t="str">
        <f t="shared" si="101"/>
        <v/>
      </c>
      <c r="J243" s="9" t="str">
        <f t="shared" si="101"/>
        <v/>
      </c>
      <c r="K243" s="9" t="str">
        <f t="shared" si="101"/>
        <v/>
      </c>
      <c r="O243" s="9" t="str">
        <f t="shared" si="102"/>
        <v/>
      </c>
      <c r="P243" s="9" t="str">
        <f t="shared" si="102"/>
        <v/>
      </c>
      <c r="Q243" s="9" t="str">
        <f t="shared" si="102"/>
        <v/>
      </c>
      <c r="R243" s="9" t="str">
        <f t="shared" si="102"/>
        <v/>
      </c>
      <c r="S243" s="9" t="str">
        <f t="shared" si="102"/>
        <v/>
      </c>
      <c r="T243" s="9" t="str">
        <f t="shared" si="102"/>
        <v/>
      </c>
      <c r="U243" s="9"/>
      <c r="V243" s="9" t="str">
        <f t="shared" si="92"/>
        <v/>
      </c>
      <c r="X243" s="9" t="str">
        <f t="shared" si="103"/>
        <v/>
      </c>
      <c r="Y243" s="9" t="str">
        <f t="shared" si="103"/>
        <v/>
      </c>
      <c r="Z243" s="9" t="str">
        <f t="shared" si="103"/>
        <v/>
      </c>
      <c r="AA243" s="9" t="str">
        <f t="shared" si="103"/>
        <v/>
      </c>
      <c r="AB243" s="9" t="str">
        <f t="shared" si="103"/>
        <v/>
      </c>
      <c r="AC243" s="9" t="str">
        <f t="shared" si="103"/>
        <v/>
      </c>
      <c r="AD243" s="9" t="str">
        <f t="shared" si="103"/>
        <v/>
      </c>
      <c r="AF243" s="9" t="str">
        <f t="shared" si="104"/>
        <v/>
      </c>
      <c r="AG243" s="9" t="str">
        <f t="shared" si="104"/>
        <v/>
      </c>
      <c r="AH243" s="9" t="str">
        <f t="shared" si="104"/>
        <v/>
      </c>
      <c r="AI243" s="9" t="str">
        <f t="shared" si="104"/>
        <v/>
      </c>
      <c r="AJ243" s="9" t="str">
        <f t="shared" si="104"/>
        <v/>
      </c>
      <c r="AK243" s="9" t="str">
        <f t="shared" si="104"/>
        <v/>
      </c>
      <c r="AL243" s="9" t="str">
        <f t="shared" si="104"/>
        <v/>
      </c>
      <c r="AQ243" s="9" t="str">
        <f t="shared" si="105"/>
        <v/>
      </c>
      <c r="AR243" s="9" t="str">
        <f t="shared" si="105"/>
        <v/>
      </c>
      <c r="AS243" s="9" t="str">
        <f t="shared" si="105"/>
        <v/>
      </c>
      <c r="AT243" s="9" t="str">
        <f t="shared" si="105"/>
        <v/>
      </c>
      <c r="AU243" s="9" t="str">
        <f t="shared" si="105"/>
        <v/>
      </c>
      <c r="AV243" s="9" t="str">
        <f t="shared" si="105"/>
        <v/>
      </c>
      <c r="AW243" s="9" t="str">
        <f t="shared" si="105"/>
        <v/>
      </c>
    </row>
    <row r="244" spans="3:49" x14ac:dyDescent="0.25">
      <c r="C244">
        <v>88</v>
      </c>
      <c r="D244" t="str">
        <f t="shared" si="89"/>
        <v/>
      </c>
      <c r="E244" s="9" t="str">
        <f t="shared" si="101"/>
        <v/>
      </c>
      <c r="F244" s="9" t="str">
        <f t="shared" si="101"/>
        <v/>
      </c>
      <c r="G244" s="9" t="str">
        <f t="shared" si="101"/>
        <v/>
      </c>
      <c r="H244" s="9" t="str">
        <f t="shared" si="101"/>
        <v/>
      </c>
      <c r="I244" s="9" t="str">
        <f t="shared" si="101"/>
        <v/>
      </c>
      <c r="J244" s="9" t="str">
        <f t="shared" si="101"/>
        <v/>
      </c>
      <c r="K244" s="9" t="str">
        <f t="shared" si="101"/>
        <v/>
      </c>
      <c r="O244" s="9" t="str">
        <f t="shared" si="102"/>
        <v/>
      </c>
      <c r="P244" s="9" t="str">
        <f t="shared" si="102"/>
        <v/>
      </c>
      <c r="Q244" s="9" t="str">
        <f t="shared" si="102"/>
        <v/>
      </c>
      <c r="R244" s="9" t="str">
        <f t="shared" si="102"/>
        <v/>
      </c>
      <c r="S244" s="9" t="str">
        <f t="shared" si="102"/>
        <v/>
      </c>
      <c r="T244" s="9" t="str">
        <f t="shared" si="102"/>
        <v/>
      </c>
      <c r="U244" s="9"/>
      <c r="V244" s="9" t="str">
        <f t="shared" si="92"/>
        <v/>
      </c>
      <c r="X244" s="9" t="str">
        <f t="shared" si="103"/>
        <v/>
      </c>
      <c r="Y244" s="9" t="str">
        <f t="shared" si="103"/>
        <v/>
      </c>
      <c r="Z244" s="9" t="str">
        <f t="shared" si="103"/>
        <v/>
      </c>
      <c r="AA244" s="9" t="str">
        <f t="shared" si="103"/>
        <v/>
      </c>
      <c r="AB244" s="9" t="str">
        <f t="shared" si="103"/>
        <v/>
      </c>
      <c r="AC244" s="9" t="str">
        <f t="shared" si="103"/>
        <v/>
      </c>
      <c r="AD244" s="9" t="str">
        <f t="shared" si="103"/>
        <v/>
      </c>
      <c r="AF244" s="9" t="str">
        <f t="shared" si="104"/>
        <v/>
      </c>
      <c r="AG244" s="9" t="str">
        <f t="shared" si="104"/>
        <v/>
      </c>
      <c r="AH244" s="9" t="str">
        <f t="shared" si="104"/>
        <v/>
      </c>
      <c r="AI244" s="9" t="str">
        <f t="shared" si="104"/>
        <v/>
      </c>
      <c r="AJ244" s="9" t="str">
        <f t="shared" si="104"/>
        <v/>
      </c>
      <c r="AK244" s="9" t="str">
        <f t="shared" si="104"/>
        <v/>
      </c>
      <c r="AL244" s="9" t="str">
        <f t="shared" si="104"/>
        <v/>
      </c>
      <c r="AQ244" s="9" t="str">
        <f t="shared" si="105"/>
        <v/>
      </c>
      <c r="AR244" s="9" t="str">
        <f t="shared" si="105"/>
        <v/>
      </c>
      <c r="AS244" s="9" t="str">
        <f t="shared" si="105"/>
        <v/>
      </c>
      <c r="AT244" s="9" t="str">
        <f t="shared" si="105"/>
        <v/>
      </c>
      <c r="AU244" s="9" t="str">
        <f t="shared" si="105"/>
        <v/>
      </c>
      <c r="AV244" s="9" t="str">
        <f t="shared" si="105"/>
        <v/>
      </c>
      <c r="AW244" s="9" t="str">
        <f t="shared" si="105"/>
        <v/>
      </c>
    </row>
    <row r="245" spans="3:49" x14ac:dyDescent="0.25">
      <c r="C245">
        <v>89</v>
      </c>
      <c r="D245" t="str">
        <f t="shared" si="89"/>
        <v/>
      </c>
      <c r="E245" s="9" t="str">
        <f t="shared" si="101"/>
        <v/>
      </c>
      <c r="F245" s="9" t="str">
        <f t="shared" si="101"/>
        <v/>
      </c>
      <c r="G245" s="9" t="str">
        <f t="shared" si="101"/>
        <v/>
      </c>
      <c r="H245" s="9" t="str">
        <f t="shared" si="101"/>
        <v/>
      </c>
      <c r="I245" s="9" t="str">
        <f t="shared" si="101"/>
        <v/>
      </c>
      <c r="J245" s="9" t="str">
        <f t="shared" si="101"/>
        <v/>
      </c>
      <c r="K245" s="9" t="str">
        <f t="shared" si="101"/>
        <v/>
      </c>
      <c r="O245" s="9" t="str">
        <f t="shared" si="102"/>
        <v/>
      </c>
      <c r="P245" s="9" t="str">
        <f t="shared" si="102"/>
        <v/>
      </c>
      <c r="Q245" s="9" t="str">
        <f t="shared" si="102"/>
        <v/>
      </c>
      <c r="R245" s="9" t="str">
        <f t="shared" si="102"/>
        <v/>
      </c>
      <c r="S245" s="9" t="str">
        <f t="shared" si="102"/>
        <v/>
      </c>
      <c r="T245" s="9" t="str">
        <f t="shared" si="102"/>
        <v/>
      </c>
      <c r="U245" s="9"/>
      <c r="V245" s="9" t="str">
        <f t="shared" si="92"/>
        <v/>
      </c>
      <c r="X245" s="9" t="str">
        <f t="shared" si="103"/>
        <v/>
      </c>
      <c r="Y245" s="9" t="str">
        <f t="shared" si="103"/>
        <v/>
      </c>
      <c r="Z245" s="9" t="str">
        <f t="shared" si="103"/>
        <v/>
      </c>
      <c r="AA245" s="9" t="str">
        <f t="shared" si="103"/>
        <v/>
      </c>
      <c r="AB245" s="9" t="str">
        <f t="shared" si="103"/>
        <v/>
      </c>
      <c r="AC245" s="9" t="str">
        <f t="shared" si="103"/>
        <v/>
      </c>
      <c r="AD245" s="9" t="str">
        <f t="shared" si="103"/>
        <v/>
      </c>
      <c r="AF245" s="9" t="str">
        <f t="shared" si="104"/>
        <v/>
      </c>
      <c r="AG245" s="9" t="str">
        <f t="shared" si="104"/>
        <v/>
      </c>
      <c r="AH245" s="9" t="str">
        <f t="shared" si="104"/>
        <v/>
      </c>
      <c r="AI245" s="9" t="str">
        <f t="shared" si="104"/>
        <v/>
      </c>
      <c r="AJ245" s="9" t="str">
        <f t="shared" si="104"/>
        <v/>
      </c>
      <c r="AK245" s="9" t="str">
        <f t="shared" si="104"/>
        <v/>
      </c>
      <c r="AL245" s="9" t="str">
        <f t="shared" si="104"/>
        <v/>
      </c>
      <c r="AQ245" s="9" t="str">
        <f t="shared" si="105"/>
        <v/>
      </c>
      <c r="AR245" s="9" t="str">
        <f t="shared" si="105"/>
        <v/>
      </c>
      <c r="AS245" s="9" t="str">
        <f t="shared" si="105"/>
        <v/>
      </c>
      <c r="AT245" s="9" t="str">
        <f t="shared" si="105"/>
        <v/>
      </c>
      <c r="AU245" s="9" t="str">
        <f t="shared" si="105"/>
        <v/>
      </c>
      <c r="AV245" s="9" t="str">
        <f t="shared" si="105"/>
        <v/>
      </c>
      <c r="AW245" s="9" t="str">
        <f t="shared" si="105"/>
        <v/>
      </c>
    </row>
    <row r="246" spans="3:49" x14ac:dyDescent="0.25">
      <c r="C246">
        <v>90</v>
      </c>
      <c r="D246" t="str">
        <f t="shared" si="89"/>
        <v/>
      </c>
      <c r="E246" s="9" t="str">
        <f t="shared" si="101"/>
        <v/>
      </c>
      <c r="F246" s="9" t="str">
        <f t="shared" si="101"/>
        <v/>
      </c>
      <c r="G246" s="9" t="str">
        <f t="shared" si="101"/>
        <v/>
      </c>
      <c r="H246" s="9" t="str">
        <f t="shared" si="101"/>
        <v/>
      </c>
      <c r="I246" s="9" t="str">
        <f t="shared" si="101"/>
        <v/>
      </c>
      <c r="J246" s="9" t="str">
        <f t="shared" si="101"/>
        <v/>
      </c>
      <c r="K246" s="9" t="str">
        <f t="shared" si="101"/>
        <v/>
      </c>
      <c r="O246" s="9" t="str">
        <f t="shared" si="102"/>
        <v/>
      </c>
      <c r="P246" s="9" t="str">
        <f t="shared" si="102"/>
        <v/>
      </c>
      <c r="Q246" s="9" t="str">
        <f t="shared" si="102"/>
        <v/>
      </c>
      <c r="R246" s="9" t="str">
        <f t="shared" si="102"/>
        <v/>
      </c>
      <c r="S246" s="9" t="str">
        <f t="shared" si="102"/>
        <v/>
      </c>
      <c r="T246" s="9" t="str">
        <f t="shared" si="102"/>
        <v/>
      </c>
      <c r="U246" s="9"/>
      <c r="V246" s="9" t="str">
        <f t="shared" si="92"/>
        <v/>
      </c>
      <c r="X246" s="9" t="str">
        <f t="shared" si="103"/>
        <v/>
      </c>
      <c r="Y246" s="9" t="str">
        <f t="shared" si="103"/>
        <v/>
      </c>
      <c r="Z246" s="9" t="str">
        <f t="shared" si="103"/>
        <v/>
      </c>
      <c r="AA246" s="9" t="str">
        <f t="shared" si="103"/>
        <v/>
      </c>
      <c r="AB246" s="9" t="str">
        <f t="shared" si="103"/>
        <v/>
      </c>
      <c r="AC246" s="9" t="str">
        <f t="shared" si="103"/>
        <v/>
      </c>
      <c r="AD246" s="9" t="str">
        <f t="shared" si="103"/>
        <v/>
      </c>
      <c r="AF246" s="9" t="str">
        <f t="shared" si="104"/>
        <v/>
      </c>
      <c r="AG246" s="9" t="str">
        <f t="shared" si="104"/>
        <v/>
      </c>
      <c r="AH246" s="9" t="str">
        <f t="shared" si="104"/>
        <v/>
      </c>
      <c r="AI246" s="9" t="str">
        <f t="shared" si="104"/>
        <v/>
      </c>
      <c r="AJ246" s="9" t="str">
        <f t="shared" si="104"/>
        <v/>
      </c>
      <c r="AK246" s="9" t="str">
        <f t="shared" si="104"/>
        <v/>
      </c>
      <c r="AL246" s="9" t="str">
        <f t="shared" si="104"/>
        <v/>
      </c>
      <c r="AQ246" s="9" t="str">
        <f t="shared" si="105"/>
        <v/>
      </c>
      <c r="AR246" s="9" t="str">
        <f t="shared" si="105"/>
        <v/>
      </c>
      <c r="AS246" s="9" t="str">
        <f t="shared" si="105"/>
        <v/>
      </c>
      <c r="AT246" s="9" t="str">
        <f t="shared" si="105"/>
        <v/>
      </c>
      <c r="AU246" s="9" t="str">
        <f t="shared" si="105"/>
        <v/>
      </c>
      <c r="AV246" s="9" t="str">
        <f t="shared" si="105"/>
        <v/>
      </c>
      <c r="AW246" s="9" t="str">
        <f t="shared" si="105"/>
        <v/>
      </c>
    </row>
    <row r="247" spans="3:49" x14ac:dyDescent="0.25">
      <c r="C247">
        <v>91</v>
      </c>
      <c r="D247" t="str">
        <f t="shared" si="89"/>
        <v/>
      </c>
      <c r="E247" s="9" t="str">
        <f t="shared" si="101"/>
        <v/>
      </c>
      <c r="F247" s="9" t="str">
        <f t="shared" si="101"/>
        <v/>
      </c>
      <c r="G247" s="9" t="str">
        <f t="shared" si="101"/>
        <v/>
      </c>
      <c r="H247" s="9" t="str">
        <f t="shared" si="101"/>
        <v/>
      </c>
      <c r="I247" s="9" t="str">
        <f t="shared" si="101"/>
        <v/>
      </c>
      <c r="J247" s="9" t="str">
        <f t="shared" si="101"/>
        <v/>
      </c>
      <c r="K247" s="9" t="str">
        <f t="shared" si="101"/>
        <v/>
      </c>
      <c r="O247" s="9" t="str">
        <f t="shared" si="102"/>
        <v/>
      </c>
      <c r="P247" s="9" t="str">
        <f t="shared" si="102"/>
        <v/>
      </c>
      <c r="Q247" s="9" t="str">
        <f t="shared" si="102"/>
        <v/>
      </c>
      <c r="R247" s="9" t="str">
        <f t="shared" si="102"/>
        <v/>
      </c>
      <c r="S247" s="9" t="str">
        <f t="shared" si="102"/>
        <v/>
      </c>
      <c r="T247" s="9" t="str">
        <f t="shared" si="102"/>
        <v/>
      </c>
      <c r="U247" s="9"/>
      <c r="V247" s="9" t="str">
        <f t="shared" si="92"/>
        <v/>
      </c>
      <c r="X247" s="9" t="str">
        <f t="shared" si="103"/>
        <v/>
      </c>
      <c r="Y247" s="9" t="str">
        <f t="shared" si="103"/>
        <v/>
      </c>
      <c r="Z247" s="9" t="str">
        <f t="shared" si="103"/>
        <v/>
      </c>
      <c r="AA247" s="9" t="str">
        <f t="shared" si="103"/>
        <v/>
      </c>
      <c r="AB247" s="9" t="str">
        <f t="shared" si="103"/>
        <v/>
      </c>
      <c r="AC247" s="9" t="str">
        <f t="shared" si="103"/>
        <v/>
      </c>
      <c r="AD247" s="9" t="str">
        <f t="shared" si="103"/>
        <v/>
      </c>
      <c r="AF247" s="9" t="str">
        <f t="shared" si="104"/>
        <v/>
      </c>
      <c r="AG247" s="9" t="str">
        <f t="shared" si="104"/>
        <v/>
      </c>
      <c r="AH247" s="9" t="str">
        <f t="shared" si="104"/>
        <v/>
      </c>
      <c r="AI247" s="9" t="str">
        <f t="shared" si="104"/>
        <v/>
      </c>
      <c r="AJ247" s="9" t="str">
        <f t="shared" si="104"/>
        <v/>
      </c>
      <c r="AK247" s="9" t="str">
        <f t="shared" si="104"/>
        <v/>
      </c>
      <c r="AL247" s="9" t="str">
        <f t="shared" si="104"/>
        <v/>
      </c>
      <c r="AQ247" s="9" t="str">
        <f t="shared" si="105"/>
        <v/>
      </c>
      <c r="AR247" s="9" t="str">
        <f t="shared" si="105"/>
        <v/>
      </c>
      <c r="AS247" s="9" t="str">
        <f t="shared" si="105"/>
        <v/>
      </c>
      <c r="AT247" s="9" t="str">
        <f t="shared" si="105"/>
        <v/>
      </c>
      <c r="AU247" s="9" t="str">
        <f t="shared" si="105"/>
        <v/>
      </c>
      <c r="AV247" s="9" t="str">
        <f t="shared" si="105"/>
        <v/>
      </c>
      <c r="AW247" s="9" t="str">
        <f t="shared" si="105"/>
        <v/>
      </c>
    </row>
    <row r="248" spans="3:49" x14ac:dyDescent="0.25">
      <c r="C248">
        <v>92</v>
      </c>
      <c r="D248" t="str">
        <f t="shared" si="89"/>
        <v/>
      </c>
      <c r="E248" s="9" t="str">
        <f t="shared" si="101"/>
        <v/>
      </c>
      <c r="F248" s="9" t="str">
        <f t="shared" si="101"/>
        <v/>
      </c>
      <c r="G248" s="9" t="str">
        <f t="shared" si="101"/>
        <v/>
      </c>
      <c r="H248" s="9" t="str">
        <f t="shared" si="101"/>
        <v/>
      </c>
      <c r="I248" s="9" t="str">
        <f t="shared" si="101"/>
        <v/>
      </c>
      <c r="J248" s="9" t="str">
        <f t="shared" si="101"/>
        <v/>
      </c>
      <c r="K248" s="9" t="str">
        <f t="shared" si="101"/>
        <v/>
      </c>
      <c r="O248" s="9" t="str">
        <f t="shared" si="102"/>
        <v/>
      </c>
      <c r="P248" s="9" t="str">
        <f t="shared" si="102"/>
        <v/>
      </c>
      <c r="Q248" s="9" t="str">
        <f t="shared" si="102"/>
        <v/>
      </c>
      <c r="R248" s="9" t="str">
        <f t="shared" si="102"/>
        <v/>
      </c>
      <c r="S248" s="9" t="str">
        <f t="shared" si="102"/>
        <v/>
      </c>
      <c r="T248" s="9" t="str">
        <f t="shared" si="102"/>
        <v/>
      </c>
      <c r="U248" s="9"/>
      <c r="V248" s="9" t="str">
        <f t="shared" si="92"/>
        <v/>
      </c>
      <c r="X248" s="9" t="str">
        <f t="shared" si="103"/>
        <v/>
      </c>
      <c r="Y248" s="9" t="str">
        <f t="shared" si="103"/>
        <v/>
      </c>
      <c r="Z248" s="9" t="str">
        <f t="shared" si="103"/>
        <v/>
      </c>
      <c r="AA248" s="9" t="str">
        <f t="shared" si="103"/>
        <v/>
      </c>
      <c r="AB248" s="9" t="str">
        <f t="shared" si="103"/>
        <v/>
      </c>
      <c r="AC248" s="9" t="str">
        <f t="shared" si="103"/>
        <v/>
      </c>
      <c r="AD248" s="9" t="str">
        <f t="shared" si="103"/>
        <v/>
      </c>
      <c r="AF248" s="9" t="str">
        <f t="shared" si="104"/>
        <v/>
      </c>
      <c r="AG248" s="9" t="str">
        <f t="shared" si="104"/>
        <v/>
      </c>
      <c r="AH248" s="9" t="str">
        <f t="shared" si="104"/>
        <v/>
      </c>
      <c r="AI248" s="9" t="str">
        <f t="shared" si="104"/>
        <v/>
      </c>
      <c r="AJ248" s="9" t="str">
        <f t="shared" si="104"/>
        <v/>
      </c>
      <c r="AK248" s="9" t="str">
        <f t="shared" si="104"/>
        <v/>
      </c>
      <c r="AL248" s="9" t="str">
        <f t="shared" si="104"/>
        <v/>
      </c>
      <c r="AQ248" s="9" t="str">
        <f t="shared" si="105"/>
        <v/>
      </c>
      <c r="AR248" s="9" t="str">
        <f t="shared" si="105"/>
        <v/>
      </c>
      <c r="AS248" s="9" t="str">
        <f t="shared" si="105"/>
        <v/>
      </c>
      <c r="AT248" s="9" t="str">
        <f t="shared" si="105"/>
        <v/>
      </c>
      <c r="AU248" s="9" t="str">
        <f t="shared" si="105"/>
        <v/>
      </c>
      <c r="AV248" s="9" t="str">
        <f t="shared" si="105"/>
        <v/>
      </c>
      <c r="AW248" s="9" t="str">
        <f t="shared" si="105"/>
        <v/>
      </c>
    </row>
    <row r="249" spans="3:49" x14ac:dyDescent="0.25">
      <c r="C249">
        <v>93</v>
      </c>
      <c r="D249" t="str">
        <f t="shared" si="89"/>
        <v/>
      </c>
      <c r="E249" s="9" t="str">
        <f t="shared" si="101"/>
        <v/>
      </c>
      <c r="F249" s="9" t="str">
        <f t="shared" si="101"/>
        <v/>
      </c>
      <c r="G249" s="9" t="str">
        <f t="shared" si="101"/>
        <v/>
      </c>
      <c r="H249" s="9" t="str">
        <f t="shared" si="101"/>
        <v/>
      </c>
      <c r="I249" s="9" t="str">
        <f t="shared" si="101"/>
        <v/>
      </c>
      <c r="J249" s="9" t="str">
        <f t="shared" si="101"/>
        <v/>
      </c>
      <c r="K249" s="9" t="str">
        <f t="shared" si="101"/>
        <v/>
      </c>
      <c r="O249" s="9" t="str">
        <f t="shared" si="102"/>
        <v/>
      </c>
      <c r="P249" s="9" t="str">
        <f t="shared" si="102"/>
        <v/>
      </c>
      <c r="Q249" s="9" t="str">
        <f t="shared" si="102"/>
        <v/>
      </c>
      <c r="R249" s="9" t="str">
        <f t="shared" si="102"/>
        <v/>
      </c>
      <c r="S249" s="9" t="str">
        <f t="shared" si="102"/>
        <v/>
      </c>
      <c r="T249" s="9" t="str">
        <f t="shared" si="102"/>
        <v/>
      </c>
      <c r="U249" s="9"/>
      <c r="V249" s="9" t="str">
        <f t="shared" si="92"/>
        <v/>
      </c>
      <c r="X249" s="9" t="str">
        <f t="shared" si="103"/>
        <v/>
      </c>
      <c r="Y249" s="9" t="str">
        <f t="shared" si="103"/>
        <v/>
      </c>
      <c r="Z249" s="9" t="str">
        <f t="shared" si="103"/>
        <v/>
      </c>
      <c r="AA249" s="9" t="str">
        <f t="shared" si="103"/>
        <v/>
      </c>
      <c r="AB249" s="9" t="str">
        <f t="shared" si="103"/>
        <v/>
      </c>
      <c r="AC249" s="9" t="str">
        <f t="shared" si="103"/>
        <v/>
      </c>
      <c r="AD249" s="9" t="str">
        <f t="shared" si="103"/>
        <v/>
      </c>
      <c r="AF249" s="9" t="str">
        <f t="shared" si="104"/>
        <v/>
      </c>
      <c r="AG249" s="9" t="str">
        <f t="shared" si="104"/>
        <v/>
      </c>
      <c r="AH249" s="9" t="str">
        <f t="shared" si="104"/>
        <v/>
      </c>
      <c r="AI249" s="9" t="str">
        <f t="shared" si="104"/>
        <v/>
      </c>
      <c r="AJ249" s="9" t="str">
        <f t="shared" si="104"/>
        <v/>
      </c>
      <c r="AK249" s="9" t="str">
        <f t="shared" si="104"/>
        <v/>
      </c>
      <c r="AL249" s="9" t="str">
        <f t="shared" si="104"/>
        <v/>
      </c>
      <c r="AQ249" s="9" t="str">
        <f t="shared" si="105"/>
        <v/>
      </c>
      <c r="AR249" s="9" t="str">
        <f t="shared" si="105"/>
        <v/>
      </c>
      <c r="AS249" s="9" t="str">
        <f t="shared" si="105"/>
        <v/>
      </c>
      <c r="AT249" s="9" t="str">
        <f t="shared" si="105"/>
        <v/>
      </c>
      <c r="AU249" s="9" t="str">
        <f t="shared" si="105"/>
        <v/>
      </c>
      <c r="AV249" s="9" t="str">
        <f t="shared" si="105"/>
        <v/>
      </c>
      <c r="AW249" s="9" t="str">
        <f t="shared" si="105"/>
        <v/>
      </c>
    </row>
    <row r="250" spans="3:49" x14ac:dyDescent="0.25">
      <c r="C250">
        <v>94</v>
      </c>
      <c r="D250" t="str">
        <f t="shared" si="89"/>
        <v/>
      </c>
      <c r="E250" s="9" t="str">
        <f t="shared" si="101"/>
        <v/>
      </c>
      <c r="F250" s="9" t="str">
        <f t="shared" si="101"/>
        <v/>
      </c>
      <c r="G250" s="9" t="str">
        <f t="shared" si="101"/>
        <v/>
      </c>
      <c r="H250" s="9" t="str">
        <f t="shared" si="101"/>
        <v/>
      </c>
      <c r="I250" s="9" t="str">
        <f t="shared" si="101"/>
        <v/>
      </c>
      <c r="J250" s="9" t="str">
        <f t="shared" si="101"/>
        <v/>
      </c>
      <c r="K250" s="9" t="str">
        <f t="shared" si="101"/>
        <v/>
      </c>
      <c r="O250" s="9" t="str">
        <f t="shared" si="102"/>
        <v/>
      </c>
      <c r="P250" s="9" t="str">
        <f t="shared" si="102"/>
        <v/>
      </c>
      <c r="Q250" s="9" t="str">
        <f t="shared" si="102"/>
        <v/>
      </c>
      <c r="R250" s="9" t="str">
        <f t="shared" si="102"/>
        <v/>
      </c>
      <c r="S250" s="9" t="str">
        <f t="shared" si="102"/>
        <v/>
      </c>
      <c r="T250" s="9" t="str">
        <f t="shared" si="102"/>
        <v/>
      </c>
      <c r="U250" s="9"/>
      <c r="V250" s="9" t="str">
        <f t="shared" si="92"/>
        <v/>
      </c>
      <c r="X250" s="9" t="str">
        <f t="shared" si="103"/>
        <v/>
      </c>
      <c r="Y250" s="9" t="str">
        <f t="shared" si="103"/>
        <v/>
      </c>
      <c r="Z250" s="9" t="str">
        <f t="shared" si="103"/>
        <v/>
      </c>
      <c r="AA250" s="9" t="str">
        <f t="shared" si="103"/>
        <v/>
      </c>
      <c r="AB250" s="9" t="str">
        <f t="shared" si="103"/>
        <v/>
      </c>
      <c r="AC250" s="9" t="str">
        <f t="shared" si="103"/>
        <v/>
      </c>
      <c r="AD250" s="9" t="str">
        <f t="shared" si="103"/>
        <v/>
      </c>
      <c r="AF250" s="9" t="str">
        <f t="shared" si="104"/>
        <v/>
      </c>
      <c r="AG250" s="9" t="str">
        <f t="shared" si="104"/>
        <v/>
      </c>
      <c r="AH250" s="9" t="str">
        <f t="shared" si="104"/>
        <v/>
      </c>
      <c r="AI250" s="9" t="str">
        <f t="shared" si="104"/>
        <v/>
      </c>
      <c r="AJ250" s="9" t="str">
        <f t="shared" si="104"/>
        <v/>
      </c>
      <c r="AK250" s="9" t="str">
        <f t="shared" si="104"/>
        <v/>
      </c>
      <c r="AL250" s="9" t="str">
        <f t="shared" si="104"/>
        <v/>
      </c>
      <c r="AQ250" s="9" t="str">
        <f t="shared" si="105"/>
        <v/>
      </c>
      <c r="AR250" s="9" t="str">
        <f t="shared" si="105"/>
        <v/>
      </c>
      <c r="AS250" s="9" t="str">
        <f t="shared" si="105"/>
        <v/>
      </c>
      <c r="AT250" s="9" t="str">
        <f t="shared" si="105"/>
        <v/>
      </c>
      <c r="AU250" s="9" t="str">
        <f t="shared" si="105"/>
        <v/>
      </c>
      <c r="AV250" s="9" t="str">
        <f t="shared" si="105"/>
        <v/>
      </c>
      <c r="AW250" s="9" t="str">
        <f t="shared" si="105"/>
        <v/>
      </c>
    </row>
    <row r="251" spans="3:49" x14ac:dyDescent="0.25">
      <c r="C251">
        <v>95</v>
      </c>
      <c r="D251" t="str">
        <f t="shared" si="89"/>
        <v/>
      </c>
      <c r="E251" s="9" t="str">
        <f t="shared" ref="E251:K260" si="106">E187</f>
        <v/>
      </c>
      <c r="F251" s="9" t="str">
        <f t="shared" si="106"/>
        <v/>
      </c>
      <c r="G251" s="9" t="str">
        <f t="shared" si="106"/>
        <v/>
      </c>
      <c r="H251" s="9" t="str">
        <f t="shared" si="106"/>
        <v/>
      </c>
      <c r="I251" s="9" t="str">
        <f t="shared" si="106"/>
        <v/>
      </c>
      <c r="J251" s="9" t="str">
        <f t="shared" si="106"/>
        <v/>
      </c>
      <c r="K251" s="9" t="str">
        <f t="shared" si="106"/>
        <v/>
      </c>
      <c r="O251" s="9" t="str">
        <f t="shared" ref="O251:T260" si="107">O187</f>
        <v/>
      </c>
      <c r="P251" s="9" t="str">
        <f t="shared" si="107"/>
        <v/>
      </c>
      <c r="Q251" s="9" t="str">
        <f t="shared" si="107"/>
        <v/>
      </c>
      <c r="R251" s="9" t="str">
        <f t="shared" si="107"/>
        <v/>
      </c>
      <c r="S251" s="9" t="str">
        <f t="shared" si="107"/>
        <v/>
      </c>
      <c r="T251" s="9" t="str">
        <f t="shared" si="107"/>
        <v/>
      </c>
      <c r="U251" s="9"/>
      <c r="V251" s="9" t="str">
        <f t="shared" si="92"/>
        <v/>
      </c>
      <c r="X251" s="9" t="str">
        <f t="shared" ref="X251:AD260" si="108">X187</f>
        <v/>
      </c>
      <c r="Y251" s="9" t="str">
        <f t="shared" si="108"/>
        <v/>
      </c>
      <c r="Z251" s="9" t="str">
        <f t="shared" si="108"/>
        <v/>
      </c>
      <c r="AA251" s="9" t="str">
        <f t="shared" si="108"/>
        <v/>
      </c>
      <c r="AB251" s="9" t="str">
        <f t="shared" si="108"/>
        <v/>
      </c>
      <c r="AC251" s="9" t="str">
        <f t="shared" si="108"/>
        <v/>
      </c>
      <c r="AD251" s="9" t="str">
        <f t="shared" si="108"/>
        <v/>
      </c>
      <c r="AF251" s="9" t="str">
        <f t="shared" ref="AF251:AL260" si="109">AF187</f>
        <v/>
      </c>
      <c r="AG251" s="9" t="str">
        <f t="shared" si="109"/>
        <v/>
      </c>
      <c r="AH251" s="9" t="str">
        <f t="shared" si="109"/>
        <v/>
      </c>
      <c r="AI251" s="9" t="str">
        <f t="shared" si="109"/>
        <v/>
      </c>
      <c r="AJ251" s="9" t="str">
        <f t="shared" si="109"/>
        <v/>
      </c>
      <c r="AK251" s="9" t="str">
        <f t="shared" si="109"/>
        <v/>
      </c>
      <c r="AL251" s="9" t="str">
        <f t="shared" si="109"/>
        <v/>
      </c>
      <c r="AQ251" s="9" t="str">
        <f t="shared" ref="AQ251:AW260" si="110">AQ187</f>
        <v/>
      </c>
      <c r="AR251" s="9" t="str">
        <f t="shared" si="110"/>
        <v/>
      </c>
      <c r="AS251" s="9" t="str">
        <f t="shared" si="110"/>
        <v/>
      </c>
      <c r="AT251" s="9" t="str">
        <f t="shared" si="110"/>
        <v/>
      </c>
      <c r="AU251" s="9" t="str">
        <f t="shared" si="110"/>
        <v/>
      </c>
      <c r="AV251" s="9" t="str">
        <f t="shared" si="110"/>
        <v/>
      </c>
      <c r="AW251" s="9" t="str">
        <f t="shared" si="110"/>
        <v/>
      </c>
    </row>
    <row r="252" spans="3:49" x14ac:dyDescent="0.25">
      <c r="C252">
        <v>96</v>
      </c>
      <c r="D252" t="str">
        <f t="shared" si="89"/>
        <v/>
      </c>
      <c r="E252" s="9" t="str">
        <f t="shared" si="106"/>
        <v/>
      </c>
      <c r="F252" s="9" t="str">
        <f t="shared" si="106"/>
        <v/>
      </c>
      <c r="G252" s="9" t="str">
        <f t="shared" si="106"/>
        <v/>
      </c>
      <c r="H252" s="9" t="str">
        <f t="shared" si="106"/>
        <v/>
      </c>
      <c r="I252" s="9" t="str">
        <f t="shared" si="106"/>
        <v/>
      </c>
      <c r="J252" s="9" t="str">
        <f t="shared" si="106"/>
        <v/>
      </c>
      <c r="K252" s="9" t="str">
        <f t="shared" si="106"/>
        <v/>
      </c>
      <c r="O252" s="9" t="str">
        <f t="shared" si="107"/>
        <v/>
      </c>
      <c r="P252" s="9" t="str">
        <f t="shared" si="107"/>
        <v/>
      </c>
      <c r="Q252" s="9" t="str">
        <f t="shared" si="107"/>
        <v/>
      </c>
      <c r="R252" s="9" t="str">
        <f t="shared" si="107"/>
        <v/>
      </c>
      <c r="S252" s="9" t="str">
        <f t="shared" si="107"/>
        <v/>
      </c>
      <c r="T252" s="9" t="str">
        <f t="shared" si="107"/>
        <v/>
      </c>
      <c r="U252" s="9"/>
      <c r="V252" s="9" t="str">
        <f t="shared" si="92"/>
        <v/>
      </c>
      <c r="X252" s="9" t="str">
        <f t="shared" si="108"/>
        <v/>
      </c>
      <c r="Y252" s="9" t="str">
        <f t="shared" si="108"/>
        <v/>
      </c>
      <c r="Z252" s="9" t="str">
        <f t="shared" si="108"/>
        <v/>
      </c>
      <c r="AA252" s="9" t="str">
        <f t="shared" si="108"/>
        <v/>
      </c>
      <c r="AB252" s="9" t="str">
        <f t="shared" si="108"/>
        <v/>
      </c>
      <c r="AC252" s="9" t="str">
        <f t="shared" si="108"/>
        <v/>
      </c>
      <c r="AD252" s="9" t="str">
        <f t="shared" si="108"/>
        <v/>
      </c>
      <c r="AF252" s="9" t="str">
        <f t="shared" si="109"/>
        <v/>
      </c>
      <c r="AG252" s="9" t="str">
        <f t="shared" si="109"/>
        <v/>
      </c>
      <c r="AH252" s="9" t="str">
        <f t="shared" si="109"/>
        <v/>
      </c>
      <c r="AI252" s="9" t="str">
        <f t="shared" si="109"/>
        <v/>
      </c>
      <c r="AJ252" s="9" t="str">
        <f t="shared" si="109"/>
        <v/>
      </c>
      <c r="AK252" s="9" t="str">
        <f t="shared" si="109"/>
        <v/>
      </c>
      <c r="AL252" s="9" t="str">
        <f t="shared" si="109"/>
        <v/>
      </c>
      <c r="AQ252" s="9" t="str">
        <f t="shared" si="110"/>
        <v/>
      </c>
      <c r="AR252" s="9" t="str">
        <f t="shared" si="110"/>
        <v/>
      </c>
      <c r="AS252" s="9" t="str">
        <f t="shared" si="110"/>
        <v/>
      </c>
      <c r="AT252" s="9" t="str">
        <f t="shared" si="110"/>
        <v/>
      </c>
      <c r="AU252" s="9" t="str">
        <f t="shared" si="110"/>
        <v/>
      </c>
      <c r="AV252" s="9" t="str">
        <f t="shared" si="110"/>
        <v/>
      </c>
      <c r="AW252" s="9" t="str">
        <f t="shared" si="110"/>
        <v/>
      </c>
    </row>
    <row r="253" spans="3:49" x14ac:dyDescent="0.25">
      <c r="C253">
        <v>97</v>
      </c>
      <c r="D253" t="str">
        <f t="shared" ref="D253:D284" si="111">IF(ISNUMBER(E253),C253,"")</f>
        <v/>
      </c>
      <c r="E253" s="9" t="str">
        <f t="shared" si="106"/>
        <v/>
      </c>
      <c r="F253" s="9" t="str">
        <f t="shared" si="106"/>
        <v/>
      </c>
      <c r="G253" s="9" t="str">
        <f t="shared" si="106"/>
        <v/>
      </c>
      <c r="H253" s="9" t="str">
        <f t="shared" si="106"/>
        <v/>
      </c>
      <c r="I253" s="9" t="str">
        <f t="shared" si="106"/>
        <v/>
      </c>
      <c r="J253" s="9" t="str">
        <f t="shared" si="106"/>
        <v/>
      </c>
      <c r="K253" s="9" t="str">
        <f t="shared" si="106"/>
        <v/>
      </c>
      <c r="O253" s="9" t="str">
        <f t="shared" si="107"/>
        <v/>
      </c>
      <c r="P253" s="9" t="str">
        <f t="shared" si="107"/>
        <v/>
      </c>
      <c r="Q253" s="9" t="str">
        <f t="shared" si="107"/>
        <v/>
      </c>
      <c r="R253" s="9" t="str">
        <f t="shared" si="107"/>
        <v/>
      </c>
      <c r="S253" s="9" t="str">
        <f t="shared" si="107"/>
        <v/>
      </c>
      <c r="T253" s="9" t="str">
        <f t="shared" si="107"/>
        <v/>
      </c>
      <c r="U253" s="9"/>
      <c r="V253" s="9" t="str">
        <f t="shared" ref="V253:V284" si="112">V189</f>
        <v/>
      </c>
      <c r="X253" s="9" t="str">
        <f t="shared" si="108"/>
        <v/>
      </c>
      <c r="Y253" s="9" t="str">
        <f t="shared" si="108"/>
        <v/>
      </c>
      <c r="Z253" s="9" t="str">
        <f t="shared" si="108"/>
        <v/>
      </c>
      <c r="AA253" s="9" t="str">
        <f t="shared" si="108"/>
        <v/>
      </c>
      <c r="AB253" s="9" t="str">
        <f t="shared" si="108"/>
        <v/>
      </c>
      <c r="AC253" s="9" t="str">
        <f t="shared" si="108"/>
        <v/>
      </c>
      <c r="AD253" s="9" t="str">
        <f t="shared" si="108"/>
        <v/>
      </c>
      <c r="AF253" s="9" t="str">
        <f t="shared" si="109"/>
        <v/>
      </c>
      <c r="AG253" s="9" t="str">
        <f t="shared" si="109"/>
        <v/>
      </c>
      <c r="AH253" s="9" t="str">
        <f t="shared" si="109"/>
        <v/>
      </c>
      <c r="AI253" s="9" t="str">
        <f t="shared" si="109"/>
        <v/>
      </c>
      <c r="AJ253" s="9" t="str">
        <f t="shared" si="109"/>
        <v/>
      </c>
      <c r="AK253" s="9" t="str">
        <f t="shared" si="109"/>
        <v/>
      </c>
      <c r="AL253" s="9" t="str">
        <f t="shared" si="109"/>
        <v/>
      </c>
      <c r="AQ253" s="9" t="str">
        <f t="shared" si="110"/>
        <v/>
      </c>
      <c r="AR253" s="9" t="str">
        <f t="shared" si="110"/>
        <v/>
      </c>
      <c r="AS253" s="9" t="str">
        <f t="shared" si="110"/>
        <v/>
      </c>
      <c r="AT253" s="9" t="str">
        <f t="shared" si="110"/>
        <v/>
      </c>
      <c r="AU253" s="9" t="str">
        <f t="shared" si="110"/>
        <v/>
      </c>
      <c r="AV253" s="9" t="str">
        <f t="shared" si="110"/>
        <v/>
      </c>
      <c r="AW253" s="9" t="str">
        <f t="shared" si="110"/>
        <v/>
      </c>
    </row>
    <row r="254" spans="3:49" x14ac:dyDescent="0.25">
      <c r="C254">
        <v>98</v>
      </c>
      <c r="D254" t="str">
        <f t="shared" si="111"/>
        <v/>
      </c>
      <c r="E254" s="9" t="str">
        <f t="shared" si="106"/>
        <v/>
      </c>
      <c r="F254" s="9" t="str">
        <f t="shared" si="106"/>
        <v/>
      </c>
      <c r="G254" s="9" t="str">
        <f t="shared" si="106"/>
        <v/>
      </c>
      <c r="H254" s="9" t="str">
        <f t="shared" si="106"/>
        <v/>
      </c>
      <c r="I254" s="9" t="str">
        <f t="shared" si="106"/>
        <v/>
      </c>
      <c r="J254" s="9" t="str">
        <f t="shared" si="106"/>
        <v/>
      </c>
      <c r="K254" s="9" t="str">
        <f t="shared" si="106"/>
        <v/>
      </c>
      <c r="O254" s="9" t="str">
        <f t="shared" si="107"/>
        <v/>
      </c>
      <c r="P254" s="9" t="str">
        <f t="shared" si="107"/>
        <v/>
      </c>
      <c r="Q254" s="9" t="str">
        <f t="shared" si="107"/>
        <v/>
      </c>
      <c r="R254" s="9" t="str">
        <f t="shared" si="107"/>
        <v/>
      </c>
      <c r="S254" s="9" t="str">
        <f t="shared" si="107"/>
        <v/>
      </c>
      <c r="T254" s="9" t="str">
        <f t="shared" si="107"/>
        <v/>
      </c>
      <c r="U254" s="9"/>
      <c r="V254" s="9" t="str">
        <f t="shared" si="112"/>
        <v/>
      </c>
      <c r="X254" s="9" t="str">
        <f t="shared" si="108"/>
        <v/>
      </c>
      <c r="Y254" s="9" t="str">
        <f t="shared" si="108"/>
        <v/>
      </c>
      <c r="Z254" s="9" t="str">
        <f t="shared" si="108"/>
        <v/>
      </c>
      <c r="AA254" s="9" t="str">
        <f t="shared" si="108"/>
        <v/>
      </c>
      <c r="AB254" s="9" t="str">
        <f t="shared" si="108"/>
        <v/>
      </c>
      <c r="AC254" s="9" t="str">
        <f t="shared" si="108"/>
        <v/>
      </c>
      <c r="AD254" s="9" t="str">
        <f t="shared" si="108"/>
        <v/>
      </c>
      <c r="AF254" s="9" t="str">
        <f t="shared" si="109"/>
        <v/>
      </c>
      <c r="AG254" s="9" t="str">
        <f t="shared" si="109"/>
        <v/>
      </c>
      <c r="AH254" s="9" t="str">
        <f t="shared" si="109"/>
        <v/>
      </c>
      <c r="AI254" s="9" t="str">
        <f t="shared" si="109"/>
        <v/>
      </c>
      <c r="AJ254" s="9" t="str">
        <f t="shared" si="109"/>
        <v/>
      </c>
      <c r="AK254" s="9" t="str">
        <f t="shared" si="109"/>
        <v/>
      </c>
      <c r="AL254" s="9" t="str">
        <f t="shared" si="109"/>
        <v/>
      </c>
      <c r="AQ254" s="9" t="str">
        <f t="shared" si="110"/>
        <v/>
      </c>
      <c r="AR254" s="9" t="str">
        <f t="shared" si="110"/>
        <v/>
      </c>
      <c r="AS254" s="9" t="str">
        <f t="shared" si="110"/>
        <v/>
      </c>
      <c r="AT254" s="9" t="str">
        <f t="shared" si="110"/>
        <v/>
      </c>
      <c r="AU254" s="9" t="str">
        <f t="shared" si="110"/>
        <v/>
      </c>
      <c r="AV254" s="9" t="str">
        <f t="shared" si="110"/>
        <v/>
      </c>
      <c r="AW254" s="9" t="str">
        <f t="shared" si="110"/>
        <v/>
      </c>
    </row>
    <row r="255" spans="3:49" x14ac:dyDescent="0.25">
      <c r="C255">
        <v>99</v>
      </c>
      <c r="D255" t="str">
        <f t="shared" si="111"/>
        <v/>
      </c>
      <c r="E255" s="9" t="str">
        <f t="shared" si="106"/>
        <v/>
      </c>
      <c r="F255" s="9" t="str">
        <f t="shared" si="106"/>
        <v/>
      </c>
      <c r="G255" s="9" t="str">
        <f t="shared" si="106"/>
        <v/>
      </c>
      <c r="H255" s="9" t="str">
        <f t="shared" si="106"/>
        <v/>
      </c>
      <c r="I255" s="9" t="str">
        <f t="shared" si="106"/>
        <v/>
      </c>
      <c r="J255" s="9" t="str">
        <f t="shared" si="106"/>
        <v/>
      </c>
      <c r="K255" s="9" t="str">
        <f t="shared" si="106"/>
        <v/>
      </c>
      <c r="O255" s="9" t="str">
        <f t="shared" si="107"/>
        <v/>
      </c>
      <c r="P255" s="9" t="str">
        <f t="shared" si="107"/>
        <v/>
      </c>
      <c r="Q255" s="9" t="str">
        <f t="shared" si="107"/>
        <v/>
      </c>
      <c r="R255" s="9" t="str">
        <f t="shared" si="107"/>
        <v/>
      </c>
      <c r="S255" s="9" t="str">
        <f t="shared" si="107"/>
        <v/>
      </c>
      <c r="T255" s="9" t="str">
        <f t="shared" si="107"/>
        <v/>
      </c>
      <c r="U255" s="9"/>
      <c r="V255" s="9" t="str">
        <f t="shared" si="112"/>
        <v/>
      </c>
      <c r="X255" s="9" t="str">
        <f t="shared" si="108"/>
        <v/>
      </c>
      <c r="Y255" s="9" t="str">
        <f t="shared" si="108"/>
        <v/>
      </c>
      <c r="Z255" s="9" t="str">
        <f t="shared" si="108"/>
        <v/>
      </c>
      <c r="AA255" s="9" t="str">
        <f t="shared" si="108"/>
        <v/>
      </c>
      <c r="AB255" s="9" t="str">
        <f t="shared" si="108"/>
        <v/>
      </c>
      <c r="AC255" s="9" t="str">
        <f t="shared" si="108"/>
        <v/>
      </c>
      <c r="AD255" s="9" t="str">
        <f t="shared" si="108"/>
        <v/>
      </c>
      <c r="AF255" s="9" t="str">
        <f t="shared" si="109"/>
        <v/>
      </c>
      <c r="AG255" s="9" t="str">
        <f t="shared" si="109"/>
        <v/>
      </c>
      <c r="AH255" s="9" t="str">
        <f t="shared" si="109"/>
        <v/>
      </c>
      <c r="AI255" s="9" t="str">
        <f t="shared" si="109"/>
        <v/>
      </c>
      <c r="AJ255" s="9" t="str">
        <f t="shared" si="109"/>
        <v/>
      </c>
      <c r="AK255" s="9" t="str">
        <f t="shared" si="109"/>
        <v/>
      </c>
      <c r="AL255" s="9" t="str">
        <f t="shared" si="109"/>
        <v/>
      </c>
      <c r="AQ255" s="9" t="str">
        <f t="shared" si="110"/>
        <v/>
      </c>
      <c r="AR255" s="9" t="str">
        <f t="shared" si="110"/>
        <v/>
      </c>
      <c r="AS255" s="9" t="str">
        <f t="shared" si="110"/>
        <v/>
      </c>
      <c r="AT255" s="9" t="str">
        <f t="shared" si="110"/>
        <v/>
      </c>
      <c r="AU255" s="9" t="str">
        <f t="shared" si="110"/>
        <v/>
      </c>
      <c r="AV255" s="9" t="str">
        <f t="shared" si="110"/>
        <v/>
      </c>
      <c r="AW255" s="9" t="str">
        <f t="shared" si="110"/>
        <v/>
      </c>
    </row>
    <row r="256" spans="3:49" x14ac:dyDescent="0.25">
      <c r="C256">
        <v>100</v>
      </c>
      <c r="D256" t="str">
        <f t="shared" si="111"/>
        <v/>
      </c>
      <c r="E256" s="9" t="str">
        <f t="shared" si="106"/>
        <v/>
      </c>
      <c r="F256" s="9" t="str">
        <f t="shared" si="106"/>
        <v/>
      </c>
      <c r="G256" s="9" t="str">
        <f t="shared" si="106"/>
        <v/>
      </c>
      <c r="H256" s="9" t="str">
        <f t="shared" si="106"/>
        <v/>
      </c>
      <c r="I256" s="9" t="str">
        <f t="shared" si="106"/>
        <v/>
      </c>
      <c r="J256" s="9" t="str">
        <f t="shared" si="106"/>
        <v/>
      </c>
      <c r="K256" s="9" t="str">
        <f t="shared" si="106"/>
        <v/>
      </c>
      <c r="O256" s="9" t="str">
        <f t="shared" si="107"/>
        <v/>
      </c>
      <c r="P256" s="9" t="str">
        <f t="shared" si="107"/>
        <v/>
      </c>
      <c r="Q256" s="9" t="str">
        <f t="shared" si="107"/>
        <v/>
      </c>
      <c r="R256" s="9" t="str">
        <f t="shared" si="107"/>
        <v/>
      </c>
      <c r="S256" s="9" t="str">
        <f t="shared" si="107"/>
        <v/>
      </c>
      <c r="T256" s="9" t="str">
        <f t="shared" si="107"/>
        <v/>
      </c>
      <c r="U256" s="9"/>
      <c r="V256" s="9" t="str">
        <f t="shared" si="112"/>
        <v/>
      </c>
      <c r="X256" s="9" t="str">
        <f t="shared" si="108"/>
        <v/>
      </c>
      <c r="Y256" s="9" t="str">
        <f t="shared" si="108"/>
        <v/>
      </c>
      <c r="Z256" s="9" t="str">
        <f t="shared" si="108"/>
        <v/>
      </c>
      <c r="AA256" s="9" t="str">
        <f t="shared" si="108"/>
        <v/>
      </c>
      <c r="AB256" s="9" t="str">
        <f t="shared" si="108"/>
        <v/>
      </c>
      <c r="AC256" s="9" t="str">
        <f t="shared" si="108"/>
        <v/>
      </c>
      <c r="AD256" s="9" t="str">
        <f t="shared" si="108"/>
        <v/>
      </c>
      <c r="AF256" s="9" t="str">
        <f t="shared" si="109"/>
        <v/>
      </c>
      <c r="AG256" s="9" t="str">
        <f t="shared" si="109"/>
        <v/>
      </c>
      <c r="AH256" s="9" t="str">
        <f t="shared" si="109"/>
        <v/>
      </c>
      <c r="AI256" s="9" t="str">
        <f t="shared" si="109"/>
        <v/>
      </c>
      <c r="AJ256" s="9" t="str">
        <f t="shared" si="109"/>
        <v/>
      </c>
      <c r="AK256" s="9" t="str">
        <f t="shared" si="109"/>
        <v/>
      </c>
      <c r="AL256" s="9" t="str">
        <f t="shared" si="109"/>
        <v/>
      </c>
      <c r="AQ256" s="9" t="str">
        <f t="shared" si="110"/>
        <v/>
      </c>
      <c r="AR256" s="9" t="str">
        <f t="shared" si="110"/>
        <v/>
      </c>
      <c r="AS256" s="9" t="str">
        <f t="shared" si="110"/>
        <v/>
      </c>
      <c r="AT256" s="9" t="str">
        <f t="shared" si="110"/>
        <v/>
      </c>
      <c r="AU256" s="9" t="str">
        <f t="shared" si="110"/>
        <v/>
      </c>
      <c r="AV256" s="9" t="str">
        <f t="shared" si="110"/>
        <v/>
      </c>
      <c r="AW256" s="9" t="str">
        <f t="shared" si="110"/>
        <v/>
      </c>
    </row>
    <row r="257" spans="3:49" x14ac:dyDescent="0.25">
      <c r="C257">
        <v>101</v>
      </c>
      <c r="D257" t="str">
        <f t="shared" si="111"/>
        <v/>
      </c>
      <c r="E257" s="9" t="str">
        <f t="shared" si="106"/>
        <v/>
      </c>
      <c r="F257" s="9" t="str">
        <f t="shared" si="106"/>
        <v/>
      </c>
      <c r="G257" s="9" t="str">
        <f t="shared" si="106"/>
        <v/>
      </c>
      <c r="H257" s="9" t="str">
        <f t="shared" si="106"/>
        <v/>
      </c>
      <c r="I257" s="9" t="str">
        <f t="shared" si="106"/>
        <v/>
      </c>
      <c r="J257" s="9" t="str">
        <f t="shared" si="106"/>
        <v/>
      </c>
      <c r="K257" s="9" t="str">
        <f t="shared" si="106"/>
        <v/>
      </c>
      <c r="O257" s="9" t="str">
        <f t="shared" si="107"/>
        <v/>
      </c>
      <c r="P257" s="9" t="str">
        <f t="shared" si="107"/>
        <v/>
      </c>
      <c r="Q257" s="9" t="str">
        <f t="shared" si="107"/>
        <v/>
      </c>
      <c r="R257" s="9" t="str">
        <f t="shared" si="107"/>
        <v/>
      </c>
      <c r="S257" s="9" t="str">
        <f t="shared" si="107"/>
        <v/>
      </c>
      <c r="T257" s="9" t="str">
        <f t="shared" si="107"/>
        <v/>
      </c>
      <c r="U257" s="9"/>
      <c r="V257" s="9" t="str">
        <f t="shared" si="112"/>
        <v/>
      </c>
      <c r="X257" s="9" t="str">
        <f t="shared" si="108"/>
        <v/>
      </c>
      <c r="Y257" s="9" t="str">
        <f t="shared" si="108"/>
        <v/>
      </c>
      <c r="Z257" s="9" t="str">
        <f t="shared" si="108"/>
        <v/>
      </c>
      <c r="AA257" s="9" t="str">
        <f t="shared" si="108"/>
        <v/>
      </c>
      <c r="AB257" s="9" t="str">
        <f t="shared" si="108"/>
        <v/>
      </c>
      <c r="AC257" s="9" t="str">
        <f t="shared" si="108"/>
        <v/>
      </c>
      <c r="AD257" s="9" t="str">
        <f t="shared" si="108"/>
        <v/>
      </c>
      <c r="AF257" s="9" t="str">
        <f t="shared" si="109"/>
        <v/>
      </c>
      <c r="AG257" s="9" t="str">
        <f t="shared" si="109"/>
        <v/>
      </c>
      <c r="AH257" s="9" t="str">
        <f t="shared" si="109"/>
        <v/>
      </c>
      <c r="AI257" s="9" t="str">
        <f t="shared" si="109"/>
        <v/>
      </c>
      <c r="AJ257" s="9" t="str">
        <f t="shared" si="109"/>
        <v/>
      </c>
      <c r="AK257" s="9" t="str">
        <f t="shared" si="109"/>
        <v/>
      </c>
      <c r="AL257" s="9" t="str">
        <f t="shared" si="109"/>
        <v/>
      </c>
      <c r="AQ257" s="9" t="str">
        <f t="shared" si="110"/>
        <v/>
      </c>
      <c r="AR257" s="9" t="str">
        <f t="shared" si="110"/>
        <v/>
      </c>
      <c r="AS257" s="9" t="str">
        <f t="shared" si="110"/>
        <v/>
      </c>
      <c r="AT257" s="9" t="str">
        <f t="shared" si="110"/>
        <v/>
      </c>
      <c r="AU257" s="9" t="str">
        <f t="shared" si="110"/>
        <v/>
      </c>
      <c r="AV257" s="9" t="str">
        <f t="shared" si="110"/>
        <v/>
      </c>
      <c r="AW257" s="9" t="str">
        <f t="shared" si="110"/>
        <v/>
      </c>
    </row>
    <row r="258" spans="3:49" x14ac:dyDescent="0.25">
      <c r="C258">
        <v>102</v>
      </c>
      <c r="D258" t="str">
        <f t="shared" si="111"/>
        <v/>
      </c>
      <c r="E258" s="9" t="str">
        <f t="shared" si="106"/>
        <v/>
      </c>
      <c r="F258" s="9" t="str">
        <f t="shared" si="106"/>
        <v/>
      </c>
      <c r="G258" s="9" t="str">
        <f t="shared" si="106"/>
        <v/>
      </c>
      <c r="H258" s="9" t="str">
        <f t="shared" si="106"/>
        <v/>
      </c>
      <c r="I258" s="9" t="str">
        <f t="shared" si="106"/>
        <v/>
      </c>
      <c r="J258" s="9" t="str">
        <f t="shared" si="106"/>
        <v/>
      </c>
      <c r="K258" s="9" t="str">
        <f t="shared" si="106"/>
        <v/>
      </c>
      <c r="O258" s="9" t="str">
        <f t="shared" si="107"/>
        <v/>
      </c>
      <c r="P258" s="9" t="str">
        <f t="shared" si="107"/>
        <v/>
      </c>
      <c r="Q258" s="9" t="str">
        <f t="shared" si="107"/>
        <v/>
      </c>
      <c r="R258" s="9" t="str">
        <f t="shared" si="107"/>
        <v/>
      </c>
      <c r="S258" s="9" t="str">
        <f t="shared" si="107"/>
        <v/>
      </c>
      <c r="T258" s="9" t="str">
        <f t="shared" si="107"/>
        <v/>
      </c>
      <c r="U258" s="9"/>
      <c r="V258" s="9" t="str">
        <f t="shared" si="112"/>
        <v/>
      </c>
      <c r="X258" s="9" t="str">
        <f t="shared" si="108"/>
        <v/>
      </c>
      <c r="Y258" s="9" t="str">
        <f t="shared" si="108"/>
        <v/>
      </c>
      <c r="Z258" s="9" t="str">
        <f t="shared" si="108"/>
        <v/>
      </c>
      <c r="AA258" s="9" t="str">
        <f t="shared" si="108"/>
        <v/>
      </c>
      <c r="AB258" s="9" t="str">
        <f t="shared" si="108"/>
        <v/>
      </c>
      <c r="AC258" s="9" t="str">
        <f t="shared" si="108"/>
        <v/>
      </c>
      <c r="AD258" s="9" t="str">
        <f t="shared" si="108"/>
        <v/>
      </c>
      <c r="AF258" s="9" t="str">
        <f t="shared" si="109"/>
        <v/>
      </c>
      <c r="AG258" s="9" t="str">
        <f t="shared" si="109"/>
        <v/>
      </c>
      <c r="AH258" s="9" t="str">
        <f t="shared" si="109"/>
        <v/>
      </c>
      <c r="AI258" s="9" t="str">
        <f t="shared" si="109"/>
        <v/>
      </c>
      <c r="AJ258" s="9" t="str">
        <f t="shared" si="109"/>
        <v/>
      </c>
      <c r="AK258" s="9" t="str">
        <f t="shared" si="109"/>
        <v/>
      </c>
      <c r="AL258" s="9" t="str">
        <f t="shared" si="109"/>
        <v/>
      </c>
      <c r="AQ258" s="9" t="str">
        <f t="shared" si="110"/>
        <v/>
      </c>
      <c r="AR258" s="9" t="str">
        <f t="shared" si="110"/>
        <v/>
      </c>
      <c r="AS258" s="9" t="str">
        <f t="shared" si="110"/>
        <v/>
      </c>
      <c r="AT258" s="9" t="str">
        <f t="shared" si="110"/>
        <v/>
      </c>
      <c r="AU258" s="9" t="str">
        <f t="shared" si="110"/>
        <v/>
      </c>
      <c r="AV258" s="9" t="str">
        <f t="shared" si="110"/>
        <v/>
      </c>
      <c r="AW258" s="9" t="str">
        <f t="shared" si="110"/>
        <v/>
      </c>
    </row>
    <row r="259" spans="3:49" x14ac:dyDescent="0.25">
      <c r="C259">
        <v>103</v>
      </c>
      <c r="D259" t="str">
        <f t="shared" si="111"/>
        <v/>
      </c>
      <c r="E259" s="9" t="str">
        <f t="shared" si="106"/>
        <v/>
      </c>
      <c r="F259" s="9" t="str">
        <f t="shared" si="106"/>
        <v/>
      </c>
      <c r="G259" s="9" t="str">
        <f t="shared" si="106"/>
        <v/>
      </c>
      <c r="H259" s="9" t="str">
        <f t="shared" si="106"/>
        <v/>
      </c>
      <c r="I259" s="9" t="str">
        <f t="shared" si="106"/>
        <v/>
      </c>
      <c r="J259" s="9" t="str">
        <f t="shared" si="106"/>
        <v/>
      </c>
      <c r="K259" s="9" t="str">
        <f t="shared" si="106"/>
        <v/>
      </c>
      <c r="O259" s="9" t="str">
        <f t="shared" si="107"/>
        <v/>
      </c>
      <c r="P259" s="9" t="str">
        <f t="shared" si="107"/>
        <v/>
      </c>
      <c r="Q259" s="9" t="str">
        <f t="shared" si="107"/>
        <v/>
      </c>
      <c r="R259" s="9" t="str">
        <f t="shared" si="107"/>
        <v/>
      </c>
      <c r="S259" s="9" t="str">
        <f t="shared" si="107"/>
        <v/>
      </c>
      <c r="T259" s="9" t="str">
        <f t="shared" si="107"/>
        <v/>
      </c>
      <c r="U259" s="9"/>
      <c r="V259" s="9" t="str">
        <f t="shared" si="112"/>
        <v/>
      </c>
      <c r="X259" s="9" t="str">
        <f t="shared" si="108"/>
        <v/>
      </c>
      <c r="Y259" s="9" t="str">
        <f t="shared" si="108"/>
        <v/>
      </c>
      <c r="Z259" s="9" t="str">
        <f t="shared" si="108"/>
        <v/>
      </c>
      <c r="AA259" s="9" t="str">
        <f t="shared" si="108"/>
        <v/>
      </c>
      <c r="AB259" s="9" t="str">
        <f t="shared" si="108"/>
        <v/>
      </c>
      <c r="AC259" s="9" t="str">
        <f t="shared" si="108"/>
        <v/>
      </c>
      <c r="AD259" s="9" t="str">
        <f t="shared" si="108"/>
        <v/>
      </c>
      <c r="AF259" s="9" t="str">
        <f t="shared" si="109"/>
        <v/>
      </c>
      <c r="AG259" s="9" t="str">
        <f t="shared" si="109"/>
        <v/>
      </c>
      <c r="AH259" s="9" t="str">
        <f t="shared" si="109"/>
        <v/>
      </c>
      <c r="AI259" s="9" t="str">
        <f t="shared" si="109"/>
        <v/>
      </c>
      <c r="AJ259" s="9" t="str">
        <f t="shared" si="109"/>
        <v/>
      </c>
      <c r="AK259" s="9" t="str">
        <f t="shared" si="109"/>
        <v/>
      </c>
      <c r="AL259" s="9" t="str">
        <f t="shared" si="109"/>
        <v/>
      </c>
      <c r="AQ259" s="9" t="str">
        <f t="shared" si="110"/>
        <v/>
      </c>
      <c r="AR259" s="9" t="str">
        <f t="shared" si="110"/>
        <v/>
      </c>
      <c r="AS259" s="9" t="str">
        <f t="shared" si="110"/>
        <v/>
      </c>
      <c r="AT259" s="9" t="str">
        <f t="shared" si="110"/>
        <v/>
      </c>
      <c r="AU259" s="9" t="str">
        <f t="shared" si="110"/>
        <v/>
      </c>
      <c r="AV259" s="9" t="str">
        <f t="shared" si="110"/>
        <v/>
      </c>
      <c r="AW259" s="9" t="str">
        <f t="shared" si="110"/>
        <v/>
      </c>
    </row>
    <row r="260" spans="3:49" x14ac:dyDescent="0.25">
      <c r="C260">
        <v>104</v>
      </c>
      <c r="D260" t="str">
        <f t="shared" si="111"/>
        <v/>
      </c>
      <c r="E260" s="9" t="str">
        <f t="shared" si="106"/>
        <v/>
      </c>
      <c r="F260" s="9" t="str">
        <f t="shared" si="106"/>
        <v/>
      </c>
      <c r="G260" s="9" t="str">
        <f t="shared" si="106"/>
        <v/>
      </c>
      <c r="H260" s="9" t="str">
        <f t="shared" si="106"/>
        <v/>
      </c>
      <c r="I260" s="9" t="str">
        <f t="shared" si="106"/>
        <v/>
      </c>
      <c r="J260" s="9" t="str">
        <f t="shared" si="106"/>
        <v/>
      </c>
      <c r="K260" s="9" t="str">
        <f t="shared" si="106"/>
        <v/>
      </c>
      <c r="O260" s="9" t="str">
        <f t="shared" si="107"/>
        <v/>
      </c>
      <c r="P260" s="9" t="str">
        <f t="shared" si="107"/>
        <v/>
      </c>
      <c r="Q260" s="9" t="str">
        <f t="shared" si="107"/>
        <v/>
      </c>
      <c r="R260" s="9" t="str">
        <f t="shared" si="107"/>
        <v/>
      </c>
      <c r="S260" s="9" t="str">
        <f t="shared" si="107"/>
        <v/>
      </c>
      <c r="T260" s="9" t="str">
        <f t="shared" si="107"/>
        <v/>
      </c>
      <c r="U260" s="9"/>
      <c r="V260" s="9" t="str">
        <f t="shared" si="112"/>
        <v/>
      </c>
      <c r="X260" s="9" t="str">
        <f t="shared" si="108"/>
        <v/>
      </c>
      <c r="Y260" s="9" t="str">
        <f t="shared" si="108"/>
        <v/>
      </c>
      <c r="Z260" s="9" t="str">
        <f t="shared" si="108"/>
        <v/>
      </c>
      <c r="AA260" s="9" t="str">
        <f t="shared" si="108"/>
        <v/>
      </c>
      <c r="AB260" s="9" t="str">
        <f t="shared" si="108"/>
        <v/>
      </c>
      <c r="AC260" s="9" t="str">
        <f t="shared" si="108"/>
        <v/>
      </c>
      <c r="AD260" s="9" t="str">
        <f t="shared" si="108"/>
        <v/>
      </c>
      <c r="AF260" s="9" t="str">
        <f t="shared" si="109"/>
        <v/>
      </c>
      <c r="AG260" s="9" t="str">
        <f t="shared" si="109"/>
        <v/>
      </c>
      <c r="AH260" s="9" t="str">
        <f t="shared" si="109"/>
        <v/>
      </c>
      <c r="AI260" s="9" t="str">
        <f t="shared" si="109"/>
        <v/>
      </c>
      <c r="AJ260" s="9" t="str">
        <f t="shared" si="109"/>
        <v/>
      </c>
      <c r="AK260" s="9" t="str">
        <f t="shared" si="109"/>
        <v/>
      </c>
      <c r="AL260" s="9" t="str">
        <f t="shared" si="109"/>
        <v/>
      </c>
      <c r="AQ260" s="9" t="str">
        <f t="shared" si="110"/>
        <v/>
      </c>
      <c r="AR260" s="9" t="str">
        <f t="shared" si="110"/>
        <v/>
      </c>
      <c r="AS260" s="9" t="str">
        <f t="shared" si="110"/>
        <v/>
      </c>
      <c r="AT260" s="9" t="str">
        <f t="shared" si="110"/>
        <v/>
      </c>
      <c r="AU260" s="9" t="str">
        <f t="shared" si="110"/>
        <v/>
      </c>
      <c r="AV260" s="9" t="str">
        <f t="shared" si="110"/>
        <v/>
      </c>
      <c r="AW260" s="9" t="str">
        <f t="shared" si="110"/>
        <v/>
      </c>
    </row>
    <row r="261" spans="3:49" x14ac:dyDescent="0.25">
      <c r="C261">
        <v>105</v>
      </c>
      <c r="D261" t="str">
        <f t="shared" si="111"/>
        <v/>
      </c>
      <c r="E261" s="9" t="str">
        <f t="shared" ref="E261:K270" si="113">E197</f>
        <v/>
      </c>
      <c r="F261" s="9" t="str">
        <f t="shared" si="113"/>
        <v/>
      </c>
      <c r="G261" s="9" t="str">
        <f t="shared" si="113"/>
        <v/>
      </c>
      <c r="H261" s="9" t="str">
        <f t="shared" si="113"/>
        <v/>
      </c>
      <c r="I261" s="9" t="str">
        <f t="shared" si="113"/>
        <v/>
      </c>
      <c r="J261" s="9" t="str">
        <f t="shared" si="113"/>
        <v/>
      </c>
      <c r="K261" s="9" t="str">
        <f t="shared" si="113"/>
        <v/>
      </c>
      <c r="N261" t="str">
        <f t="shared" ref="N261:N284" si="114">N185</f>
        <v/>
      </c>
      <c r="O261" s="9" t="str">
        <f t="shared" ref="O261:T270" si="115">O197</f>
        <v/>
      </c>
      <c r="P261" s="9" t="str">
        <f t="shared" si="115"/>
        <v/>
      </c>
      <c r="Q261" s="9" t="str">
        <f t="shared" si="115"/>
        <v/>
      </c>
      <c r="R261" s="9" t="str">
        <f t="shared" si="115"/>
        <v/>
      </c>
      <c r="S261" s="9" t="str">
        <f t="shared" si="115"/>
        <v/>
      </c>
      <c r="T261" s="9" t="str">
        <f t="shared" si="115"/>
        <v/>
      </c>
      <c r="U261" s="9"/>
      <c r="V261" s="9" t="str">
        <f t="shared" si="112"/>
        <v/>
      </c>
      <c r="W261" t="str">
        <f t="shared" ref="W261:W284" si="116">W185</f>
        <v/>
      </c>
      <c r="X261" s="9" t="str">
        <f t="shared" ref="X261:AD270" si="117">X197</f>
        <v/>
      </c>
      <c r="Y261" s="9" t="str">
        <f t="shared" si="117"/>
        <v/>
      </c>
      <c r="Z261" s="9" t="str">
        <f t="shared" si="117"/>
        <v/>
      </c>
      <c r="AA261" s="9" t="str">
        <f t="shared" si="117"/>
        <v/>
      </c>
      <c r="AB261" s="9" t="str">
        <f t="shared" si="117"/>
        <v/>
      </c>
      <c r="AC261" s="9" t="str">
        <f t="shared" si="117"/>
        <v/>
      </c>
      <c r="AD261" s="9" t="str">
        <f t="shared" si="117"/>
        <v/>
      </c>
      <c r="AE261" t="str">
        <f t="shared" ref="AE261:AE284" si="118">AE185</f>
        <v/>
      </c>
      <c r="AF261" s="9" t="str">
        <f t="shared" ref="AF261:AL270" si="119">AF197</f>
        <v/>
      </c>
      <c r="AG261" s="9" t="str">
        <f t="shared" si="119"/>
        <v/>
      </c>
      <c r="AH261" s="9" t="str">
        <f t="shared" si="119"/>
        <v/>
      </c>
      <c r="AI261" s="9" t="str">
        <f t="shared" si="119"/>
        <v/>
      </c>
      <c r="AJ261" s="9" t="str">
        <f t="shared" si="119"/>
        <v/>
      </c>
      <c r="AK261" s="9" t="str">
        <f t="shared" si="119"/>
        <v/>
      </c>
      <c r="AL261" s="9" t="str">
        <f t="shared" si="119"/>
        <v/>
      </c>
      <c r="AP261" t="str">
        <f t="shared" ref="AP261:AP284" si="120">AP185</f>
        <v/>
      </c>
      <c r="AQ261" s="9" t="str">
        <f t="shared" ref="AQ261:AW270" si="121">AQ197</f>
        <v/>
      </c>
      <c r="AR261" s="9" t="str">
        <f t="shared" si="121"/>
        <v/>
      </c>
      <c r="AS261" s="9" t="str">
        <f t="shared" si="121"/>
        <v/>
      </c>
      <c r="AT261" s="9" t="str">
        <f t="shared" si="121"/>
        <v/>
      </c>
      <c r="AU261" s="9" t="str">
        <f t="shared" si="121"/>
        <v/>
      </c>
      <c r="AV261" s="9" t="str">
        <f t="shared" si="121"/>
        <v/>
      </c>
      <c r="AW261" s="9" t="str">
        <f t="shared" si="121"/>
        <v/>
      </c>
    </row>
    <row r="262" spans="3:49" x14ac:dyDescent="0.25">
      <c r="C262">
        <v>106</v>
      </c>
      <c r="D262" t="str">
        <f t="shared" si="111"/>
        <v/>
      </c>
      <c r="E262" s="9" t="str">
        <f t="shared" si="113"/>
        <v/>
      </c>
      <c r="F262" s="9" t="str">
        <f t="shared" si="113"/>
        <v/>
      </c>
      <c r="G262" s="9" t="str">
        <f t="shared" si="113"/>
        <v/>
      </c>
      <c r="H262" s="9" t="str">
        <f t="shared" si="113"/>
        <v/>
      </c>
      <c r="I262" s="9" t="str">
        <f t="shared" si="113"/>
        <v/>
      </c>
      <c r="J262" s="9" t="str">
        <f t="shared" si="113"/>
        <v/>
      </c>
      <c r="K262" s="9" t="str">
        <f t="shared" si="113"/>
        <v/>
      </c>
      <c r="N262" t="str">
        <f t="shared" si="114"/>
        <v/>
      </c>
      <c r="O262" s="9" t="str">
        <f t="shared" si="115"/>
        <v/>
      </c>
      <c r="P262" s="9" t="str">
        <f t="shared" si="115"/>
        <v/>
      </c>
      <c r="Q262" s="9" t="str">
        <f t="shared" si="115"/>
        <v/>
      </c>
      <c r="R262" s="9" t="str">
        <f t="shared" si="115"/>
        <v/>
      </c>
      <c r="S262" s="9" t="str">
        <f t="shared" si="115"/>
        <v/>
      </c>
      <c r="T262" s="9" t="str">
        <f t="shared" si="115"/>
        <v/>
      </c>
      <c r="U262" s="9"/>
      <c r="V262" s="9" t="str">
        <f t="shared" si="112"/>
        <v/>
      </c>
      <c r="W262" t="str">
        <f t="shared" si="116"/>
        <v/>
      </c>
      <c r="X262" s="9" t="str">
        <f t="shared" si="117"/>
        <v/>
      </c>
      <c r="Y262" s="9" t="str">
        <f t="shared" si="117"/>
        <v/>
      </c>
      <c r="Z262" s="9" t="str">
        <f t="shared" si="117"/>
        <v/>
      </c>
      <c r="AA262" s="9" t="str">
        <f t="shared" si="117"/>
        <v/>
      </c>
      <c r="AB262" s="9" t="str">
        <f t="shared" si="117"/>
        <v/>
      </c>
      <c r="AC262" s="9" t="str">
        <f t="shared" si="117"/>
        <v/>
      </c>
      <c r="AD262" s="9" t="str">
        <f t="shared" si="117"/>
        <v/>
      </c>
      <c r="AE262" t="str">
        <f t="shared" si="118"/>
        <v/>
      </c>
      <c r="AF262" s="9" t="str">
        <f t="shared" si="119"/>
        <v/>
      </c>
      <c r="AG262" s="9" t="str">
        <f t="shared" si="119"/>
        <v/>
      </c>
      <c r="AH262" s="9" t="str">
        <f t="shared" si="119"/>
        <v/>
      </c>
      <c r="AI262" s="9" t="str">
        <f t="shared" si="119"/>
        <v/>
      </c>
      <c r="AJ262" s="9" t="str">
        <f t="shared" si="119"/>
        <v/>
      </c>
      <c r="AK262" s="9" t="str">
        <f t="shared" si="119"/>
        <v/>
      </c>
      <c r="AL262" s="9" t="str">
        <f t="shared" si="119"/>
        <v/>
      </c>
      <c r="AP262" t="str">
        <f t="shared" si="120"/>
        <v/>
      </c>
      <c r="AQ262" s="9" t="str">
        <f t="shared" si="121"/>
        <v/>
      </c>
      <c r="AR262" s="9" t="str">
        <f t="shared" si="121"/>
        <v/>
      </c>
      <c r="AS262" s="9" t="str">
        <f t="shared" si="121"/>
        <v/>
      </c>
      <c r="AT262" s="9" t="str">
        <f t="shared" si="121"/>
        <v/>
      </c>
      <c r="AU262" s="9" t="str">
        <f t="shared" si="121"/>
        <v/>
      </c>
      <c r="AV262" s="9" t="str">
        <f t="shared" si="121"/>
        <v/>
      </c>
      <c r="AW262" s="9" t="str">
        <f t="shared" si="121"/>
        <v/>
      </c>
    </row>
    <row r="263" spans="3:49" x14ac:dyDescent="0.25">
      <c r="C263">
        <v>107</v>
      </c>
      <c r="D263" t="str">
        <f t="shared" si="111"/>
        <v/>
      </c>
      <c r="E263" s="9" t="str">
        <f t="shared" si="113"/>
        <v/>
      </c>
      <c r="F263" s="9" t="str">
        <f t="shared" si="113"/>
        <v/>
      </c>
      <c r="G263" s="9" t="str">
        <f t="shared" si="113"/>
        <v/>
      </c>
      <c r="H263" s="9" t="str">
        <f t="shared" si="113"/>
        <v/>
      </c>
      <c r="I263" s="9" t="str">
        <f t="shared" si="113"/>
        <v/>
      </c>
      <c r="J263" s="9" t="str">
        <f t="shared" si="113"/>
        <v/>
      </c>
      <c r="K263" s="9" t="str">
        <f t="shared" si="113"/>
        <v/>
      </c>
      <c r="N263" t="str">
        <f t="shared" si="114"/>
        <v/>
      </c>
      <c r="O263" s="9" t="str">
        <f t="shared" si="115"/>
        <v/>
      </c>
      <c r="P263" s="9" t="str">
        <f t="shared" si="115"/>
        <v/>
      </c>
      <c r="Q263" s="9" t="str">
        <f t="shared" si="115"/>
        <v/>
      </c>
      <c r="R263" s="9" t="str">
        <f t="shared" si="115"/>
        <v/>
      </c>
      <c r="S263" s="9" t="str">
        <f t="shared" si="115"/>
        <v/>
      </c>
      <c r="T263" s="9" t="str">
        <f t="shared" si="115"/>
        <v/>
      </c>
      <c r="U263" s="9"/>
      <c r="V263" s="9" t="str">
        <f t="shared" si="112"/>
        <v/>
      </c>
      <c r="W263" t="str">
        <f t="shared" si="116"/>
        <v/>
      </c>
      <c r="X263" s="9" t="str">
        <f t="shared" si="117"/>
        <v/>
      </c>
      <c r="Y263" s="9" t="str">
        <f t="shared" si="117"/>
        <v/>
      </c>
      <c r="Z263" s="9" t="str">
        <f t="shared" si="117"/>
        <v/>
      </c>
      <c r="AA263" s="9" t="str">
        <f t="shared" si="117"/>
        <v/>
      </c>
      <c r="AB263" s="9" t="str">
        <f t="shared" si="117"/>
        <v/>
      </c>
      <c r="AC263" s="9" t="str">
        <f t="shared" si="117"/>
        <v/>
      </c>
      <c r="AD263" s="9" t="str">
        <f t="shared" si="117"/>
        <v/>
      </c>
      <c r="AE263" t="str">
        <f t="shared" si="118"/>
        <v/>
      </c>
      <c r="AF263" s="9" t="str">
        <f t="shared" si="119"/>
        <v/>
      </c>
      <c r="AG263" s="9" t="str">
        <f t="shared" si="119"/>
        <v/>
      </c>
      <c r="AH263" s="9" t="str">
        <f t="shared" si="119"/>
        <v/>
      </c>
      <c r="AI263" s="9" t="str">
        <f t="shared" si="119"/>
        <v/>
      </c>
      <c r="AJ263" s="9" t="str">
        <f t="shared" si="119"/>
        <v/>
      </c>
      <c r="AK263" s="9" t="str">
        <f t="shared" si="119"/>
        <v/>
      </c>
      <c r="AL263" s="9" t="str">
        <f t="shared" si="119"/>
        <v/>
      </c>
      <c r="AP263" t="str">
        <f t="shared" si="120"/>
        <v/>
      </c>
      <c r="AQ263" s="9" t="str">
        <f t="shared" si="121"/>
        <v/>
      </c>
      <c r="AR263" s="9" t="str">
        <f t="shared" si="121"/>
        <v/>
      </c>
      <c r="AS263" s="9" t="str">
        <f t="shared" si="121"/>
        <v/>
      </c>
      <c r="AT263" s="9" t="str">
        <f t="shared" si="121"/>
        <v/>
      </c>
      <c r="AU263" s="9" t="str">
        <f t="shared" si="121"/>
        <v/>
      </c>
      <c r="AV263" s="9" t="str">
        <f t="shared" si="121"/>
        <v/>
      </c>
      <c r="AW263" s="9" t="str">
        <f t="shared" si="121"/>
        <v/>
      </c>
    </row>
    <row r="264" spans="3:49" x14ac:dyDescent="0.25">
      <c r="C264">
        <v>108</v>
      </c>
      <c r="D264" t="str">
        <f t="shared" si="111"/>
        <v/>
      </c>
      <c r="E264" s="9" t="str">
        <f t="shared" si="113"/>
        <v/>
      </c>
      <c r="F264" s="9" t="str">
        <f t="shared" si="113"/>
        <v/>
      </c>
      <c r="G264" s="9" t="str">
        <f t="shared" si="113"/>
        <v/>
      </c>
      <c r="H264" s="9" t="str">
        <f t="shared" si="113"/>
        <v/>
      </c>
      <c r="I264" s="9" t="str">
        <f t="shared" si="113"/>
        <v/>
      </c>
      <c r="J264" s="9" t="str">
        <f t="shared" si="113"/>
        <v/>
      </c>
      <c r="K264" s="9" t="str">
        <f t="shared" si="113"/>
        <v/>
      </c>
      <c r="N264" t="str">
        <f t="shared" si="114"/>
        <v/>
      </c>
      <c r="O264" s="9" t="str">
        <f t="shared" si="115"/>
        <v/>
      </c>
      <c r="P264" s="9" t="str">
        <f t="shared" si="115"/>
        <v/>
      </c>
      <c r="Q264" s="9" t="str">
        <f t="shared" si="115"/>
        <v/>
      </c>
      <c r="R264" s="9" t="str">
        <f t="shared" si="115"/>
        <v/>
      </c>
      <c r="S264" s="9" t="str">
        <f t="shared" si="115"/>
        <v/>
      </c>
      <c r="T264" s="9" t="str">
        <f t="shared" si="115"/>
        <v/>
      </c>
      <c r="U264" s="9"/>
      <c r="V264" s="9" t="str">
        <f t="shared" si="112"/>
        <v/>
      </c>
      <c r="W264" t="str">
        <f t="shared" si="116"/>
        <v/>
      </c>
      <c r="X264" s="9" t="str">
        <f t="shared" si="117"/>
        <v/>
      </c>
      <c r="Y264" s="9" t="str">
        <f t="shared" si="117"/>
        <v/>
      </c>
      <c r="Z264" s="9" t="str">
        <f t="shared" si="117"/>
        <v/>
      </c>
      <c r="AA264" s="9" t="str">
        <f t="shared" si="117"/>
        <v/>
      </c>
      <c r="AB264" s="9" t="str">
        <f t="shared" si="117"/>
        <v/>
      </c>
      <c r="AC264" s="9" t="str">
        <f t="shared" si="117"/>
        <v/>
      </c>
      <c r="AD264" s="9" t="str">
        <f t="shared" si="117"/>
        <v/>
      </c>
      <c r="AE264" t="str">
        <f t="shared" si="118"/>
        <v/>
      </c>
      <c r="AF264" s="9" t="str">
        <f t="shared" si="119"/>
        <v/>
      </c>
      <c r="AG264" s="9" t="str">
        <f t="shared" si="119"/>
        <v/>
      </c>
      <c r="AH264" s="9" t="str">
        <f t="shared" si="119"/>
        <v/>
      </c>
      <c r="AI264" s="9" t="str">
        <f t="shared" si="119"/>
        <v/>
      </c>
      <c r="AJ264" s="9" t="str">
        <f t="shared" si="119"/>
        <v/>
      </c>
      <c r="AK264" s="9" t="str">
        <f t="shared" si="119"/>
        <v/>
      </c>
      <c r="AL264" s="9" t="str">
        <f t="shared" si="119"/>
        <v/>
      </c>
      <c r="AP264" t="str">
        <f t="shared" si="120"/>
        <v/>
      </c>
      <c r="AQ264" s="9" t="str">
        <f t="shared" si="121"/>
        <v/>
      </c>
      <c r="AR264" s="9" t="str">
        <f t="shared" si="121"/>
        <v/>
      </c>
      <c r="AS264" s="9" t="str">
        <f t="shared" si="121"/>
        <v/>
      </c>
      <c r="AT264" s="9" t="str">
        <f t="shared" si="121"/>
        <v/>
      </c>
      <c r="AU264" s="9" t="str">
        <f t="shared" si="121"/>
        <v/>
      </c>
      <c r="AV264" s="9" t="str">
        <f t="shared" si="121"/>
        <v/>
      </c>
      <c r="AW264" s="9" t="str">
        <f t="shared" si="121"/>
        <v/>
      </c>
    </row>
    <row r="265" spans="3:49" x14ac:dyDescent="0.25">
      <c r="C265">
        <v>109</v>
      </c>
      <c r="D265" t="str">
        <f t="shared" si="111"/>
        <v/>
      </c>
      <c r="E265" s="9" t="str">
        <f t="shared" si="113"/>
        <v/>
      </c>
      <c r="F265" s="9" t="str">
        <f t="shared" si="113"/>
        <v/>
      </c>
      <c r="G265" s="9" t="str">
        <f t="shared" si="113"/>
        <v/>
      </c>
      <c r="H265" s="9" t="str">
        <f t="shared" si="113"/>
        <v/>
      </c>
      <c r="I265" s="9" t="str">
        <f t="shared" si="113"/>
        <v/>
      </c>
      <c r="J265" s="9" t="str">
        <f t="shared" si="113"/>
        <v/>
      </c>
      <c r="K265" s="9" t="str">
        <f t="shared" si="113"/>
        <v/>
      </c>
      <c r="N265" t="str">
        <f t="shared" si="114"/>
        <v/>
      </c>
      <c r="O265" s="9" t="str">
        <f t="shared" si="115"/>
        <v/>
      </c>
      <c r="P265" s="9" t="str">
        <f t="shared" si="115"/>
        <v/>
      </c>
      <c r="Q265" s="9" t="str">
        <f t="shared" si="115"/>
        <v/>
      </c>
      <c r="R265" s="9" t="str">
        <f t="shared" si="115"/>
        <v/>
      </c>
      <c r="S265" s="9" t="str">
        <f t="shared" si="115"/>
        <v/>
      </c>
      <c r="T265" s="9" t="str">
        <f t="shared" si="115"/>
        <v/>
      </c>
      <c r="U265" s="9"/>
      <c r="V265" s="9" t="str">
        <f t="shared" si="112"/>
        <v/>
      </c>
      <c r="W265" t="str">
        <f t="shared" si="116"/>
        <v/>
      </c>
      <c r="X265" s="9" t="str">
        <f t="shared" si="117"/>
        <v/>
      </c>
      <c r="Y265" s="9" t="str">
        <f t="shared" si="117"/>
        <v/>
      </c>
      <c r="Z265" s="9" t="str">
        <f t="shared" si="117"/>
        <v/>
      </c>
      <c r="AA265" s="9" t="str">
        <f t="shared" si="117"/>
        <v/>
      </c>
      <c r="AB265" s="9" t="str">
        <f t="shared" si="117"/>
        <v/>
      </c>
      <c r="AC265" s="9" t="str">
        <f t="shared" si="117"/>
        <v/>
      </c>
      <c r="AD265" s="9" t="str">
        <f t="shared" si="117"/>
        <v/>
      </c>
      <c r="AE265" t="str">
        <f t="shared" si="118"/>
        <v/>
      </c>
      <c r="AF265" s="9" t="str">
        <f t="shared" si="119"/>
        <v/>
      </c>
      <c r="AG265" s="9" t="str">
        <f t="shared" si="119"/>
        <v/>
      </c>
      <c r="AH265" s="9" t="str">
        <f t="shared" si="119"/>
        <v/>
      </c>
      <c r="AI265" s="9" t="str">
        <f t="shared" si="119"/>
        <v/>
      </c>
      <c r="AJ265" s="9" t="str">
        <f t="shared" si="119"/>
        <v/>
      </c>
      <c r="AK265" s="9" t="str">
        <f t="shared" si="119"/>
        <v/>
      </c>
      <c r="AL265" s="9" t="str">
        <f t="shared" si="119"/>
        <v/>
      </c>
      <c r="AP265" t="str">
        <f t="shared" si="120"/>
        <v/>
      </c>
      <c r="AQ265" s="9" t="str">
        <f t="shared" si="121"/>
        <v/>
      </c>
      <c r="AR265" s="9" t="str">
        <f t="shared" si="121"/>
        <v/>
      </c>
      <c r="AS265" s="9" t="str">
        <f t="shared" si="121"/>
        <v/>
      </c>
      <c r="AT265" s="9" t="str">
        <f t="shared" si="121"/>
        <v/>
      </c>
      <c r="AU265" s="9" t="str">
        <f t="shared" si="121"/>
        <v/>
      </c>
      <c r="AV265" s="9" t="str">
        <f t="shared" si="121"/>
        <v/>
      </c>
      <c r="AW265" s="9" t="str">
        <f t="shared" si="121"/>
        <v/>
      </c>
    </row>
    <row r="266" spans="3:49" x14ac:dyDescent="0.25">
      <c r="C266">
        <v>110</v>
      </c>
      <c r="D266" t="str">
        <f t="shared" si="111"/>
        <v/>
      </c>
      <c r="E266" s="9" t="str">
        <f t="shared" si="113"/>
        <v/>
      </c>
      <c r="F266" s="9" t="str">
        <f t="shared" si="113"/>
        <v/>
      </c>
      <c r="G266" s="9" t="str">
        <f t="shared" si="113"/>
        <v/>
      </c>
      <c r="H266" s="9" t="str">
        <f t="shared" si="113"/>
        <v/>
      </c>
      <c r="I266" s="9" t="str">
        <f t="shared" si="113"/>
        <v/>
      </c>
      <c r="J266" s="9" t="str">
        <f t="shared" si="113"/>
        <v/>
      </c>
      <c r="K266" s="9" t="str">
        <f t="shared" si="113"/>
        <v/>
      </c>
      <c r="N266" t="str">
        <f t="shared" si="114"/>
        <v/>
      </c>
      <c r="O266" s="9" t="str">
        <f t="shared" si="115"/>
        <v/>
      </c>
      <c r="P266" s="9" t="str">
        <f t="shared" si="115"/>
        <v/>
      </c>
      <c r="Q266" s="9" t="str">
        <f t="shared" si="115"/>
        <v/>
      </c>
      <c r="R266" s="9" t="str">
        <f t="shared" si="115"/>
        <v/>
      </c>
      <c r="S266" s="9" t="str">
        <f t="shared" si="115"/>
        <v/>
      </c>
      <c r="T266" s="9" t="str">
        <f t="shared" si="115"/>
        <v/>
      </c>
      <c r="U266" s="9"/>
      <c r="V266" s="9" t="str">
        <f t="shared" si="112"/>
        <v/>
      </c>
      <c r="W266" t="str">
        <f t="shared" si="116"/>
        <v/>
      </c>
      <c r="X266" s="9" t="str">
        <f t="shared" si="117"/>
        <v/>
      </c>
      <c r="Y266" s="9" t="str">
        <f t="shared" si="117"/>
        <v/>
      </c>
      <c r="Z266" s="9" t="str">
        <f t="shared" si="117"/>
        <v/>
      </c>
      <c r="AA266" s="9" t="str">
        <f t="shared" si="117"/>
        <v/>
      </c>
      <c r="AB266" s="9" t="str">
        <f t="shared" si="117"/>
        <v/>
      </c>
      <c r="AC266" s="9" t="str">
        <f t="shared" si="117"/>
        <v/>
      </c>
      <c r="AD266" s="9" t="str">
        <f t="shared" si="117"/>
        <v/>
      </c>
      <c r="AE266" t="str">
        <f t="shared" si="118"/>
        <v/>
      </c>
      <c r="AF266" s="9" t="str">
        <f t="shared" si="119"/>
        <v/>
      </c>
      <c r="AG266" s="9" t="str">
        <f t="shared" si="119"/>
        <v/>
      </c>
      <c r="AH266" s="9" t="str">
        <f t="shared" si="119"/>
        <v/>
      </c>
      <c r="AI266" s="9" t="str">
        <f t="shared" si="119"/>
        <v/>
      </c>
      <c r="AJ266" s="9" t="str">
        <f t="shared" si="119"/>
        <v/>
      </c>
      <c r="AK266" s="9" t="str">
        <f t="shared" si="119"/>
        <v/>
      </c>
      <c r="AL266" s="9" t="str">
        <f t="shared" si="119"/>
        <v/>
      </c>
      <c r="AP266" t="str">
        <f t="shared" si="120"/>
        <v/>
      </c>
      <c r="AQ266" s="9" t="str">
        <f t="shared" si="121"/>
        <v/>
      </c>
      <c r="AR266" s="9" t="str">
        <f t="shared" si="121"/>
        <v/>
      </c>
      <c r="AS266" s="9" t="str">
        <f t="shared" si="121"/>
        <v/>
      </c>
      <c r="AT266" s="9" t="str">
        <f t="shared" si="121"/>
        <v/>
      </c>
      <c r="AU266" s="9" t="str">
        <f t="shared" si="121"/>
        <v/>
      </c>
      <c r="AV266" s="9" t="str">
        <f t="shared" si="121"/>
        <v/>
      </c>
      <c r="AW266" s="9" t="str">
        <f t="shared" si="121"/>
        <v/>
      </c>
    </row>
    <row r="267" spans="3:49" x14ac:dyDescent="0.25">
      <c r="C267">
        <v>111</v>
      </c>
      <c r="D267" t="str">
        <f t="shared" si="111"/>
        <v/>
      </c>
      <c r="E267" s="9" t="str">
        <f t="shared" si="113"/>
        <v/>
      </c>
      <c r="F267" s="9" t="str">
        <f t="shared" si="113"/>
        <v/>
      </c>
      <c r="G267" s="9" t="str">
        <f t="shared" si="113"/>
        <v/>
      </c>
      <c r="H267" s="9" t="str">
        <f t="shared" si="113"/>
        <v/>
      </c>
      <c r="I267" s="9" t="str">
        <f t="shared" si="113"/>
        <v/>
      </c>
      <c r="J267" s="9" t="str">
        <f t="shared" si="113"/>
        <v/>
      </c>
      <c r="K267" s="9" t="str">
        <f t="shared" si="113"/>
        <v/>
      </c>
      <c r="N267" t="str">
        <f t="shared" si="114"/>
        <v/>
      </c>
      <c r="O267" s="9" t="str">
        <f t="shared" si="115"/>
        <v/>
      </c>
      <c r="P267" s="9" t="str">
        <f t="shared" si="115"/>
        <v/>
      </c>
      <c r="Q267" s="9" t="str">
        <f t="shared" si="115"/>
        <v/>
      </c>
      <c r="R267" s="9" t="str">
        <f t="shared" si="115"/>
        <v/>
      </c>
      <c r="S267" s="9" t="str">
        <f t="shared" si="115"/>
        <v/>
      </c>
      <c r="T267" s="9" t="str">
        <f t="shared" si="115"/>
        <v/>
      </c>
      <c r="U267" s="9"/>
      <c r="V267" s="9" t="str">
        <f t="shared" si="112"/>
        <v/>
      </c>
      <c r="W267" t="str">
        <f t="shared" si="116"/>
        <v/>
      </c>
      <c r="X267" s="9" t="str">
        <f t="shared" si="117"/>
        <v/>
      </c>
      <c r="Y267" s="9" t="str">
        <f t="shared" si="117"/>
        <v/>
      </c>
      <c r="Z267" s="9" t="str">
        <f t="shared" si="117"/>
        <v/>
      </c>
      <c r="AA267" s="9" t="str">
        <f t="shared" si="117"/>
        <v/>
      </c>
      <c r="AB267" s="9" t="str">
        <f t="shared" si="117"/>
        <v/>
      </c>
      <c r="AC267" s="9" t="str">
        <f t="shared" si="117"/>
        <v/>
      </c>
      <c r="AD267" s="9" t="str">
        <f t="shared" si="117"/>
        <v/>
      </c>
      <c r="AE267" t="str">
        <f t="shared" si="118"/>
        <v/>
      </c>
      <c r="AF267" s="9" t="str">
        <f t="shared" si="119"/>
        <v/>
      </c>
      <c r="AG267" s="9" t="str">
        <f t="shared" si="119"/>
        <v/>
      </c>
      <c r="AH267" s="9" t="str">
        <f t="shared" si="119"/>
        <v/>
      </c>
      <c r="AI267" s="9" t="str">
        <f t="shared" si="119"/>
        <v/>
      </c>
      <c r="AJ267" s="9" t="str">
        <f t="shared" si="119"/>
        <v/>
      </c>
      <c r="AK267" s="9" t="str">
        <f t="shared" si="119"/>
        <v/>
      </c>
      <c r="AL267" s="9" t="str">
        <f t="shared" si="119"/>
        <v/>
      </c>
      <c r="AP267" t="str">
        <f t="shared" si="120"/>
        <v/>
      </c>
      <c r="AQ267" s="9" t="str">
        <f t="shared" si="121"/>
        <v/>
      </c>
      <c r="AR267" s="9" t="str">
        <f t="shared" si="121"/>
        <v/>
      </c>
      <c r="AS267" s="9" t="str">
        <f t="shared" si="121"/>
        <v/>
      </c>
      <c r="AT267" s="9" t="str">
        <f t="shared" si="121"/>
        <v/>
      </c>
      <c r="AU267" s="9" t="str">
        <f t="shared" si="121"/>
        <v/>
      </c>
      <c r="AV267" s="9" t="str">
        <f t="shared" si="121"/>
        <v/>
      </c>
      <c r="AW267" s="9" t="str">
        <f t="shared" si="121"/>
        <v/>
      </c>
    </row>
    <row r="268" spans="3:49" x14ac:dyDescent="0.25">
      <c r="C268">
        <v>112</v>
      </c>
      <c r="D268" t="str">
        <f t="shared" si="111"/>
        <v/>
      </c>
      <c r="E268" s="9" t="str">
        <f t="shared" si="113"/>
        <v/>
      </c>
      <c r="F268" s="9" t="str">
        <f t="shared" si="113"/>
        <v/>
      </c>
      <c r="G268" s="9" t="str">
        <f t="shared" si="113"/>
        <v/>
      </c>
      <c r="H268" s="9" t="str">
        <f t="shared" si="113"/>
        <v/>
      </c>
      <c r="I268" s="9" t="str">
        <f t="shared" si="113"/>
        <v/>
      </c>
      <c r="J268" s="9" t="str">
        <f t="shared" si="113"/>
        <v/>
      </c>
      <c r="K268" s="9" t="str">
        <f t="shared" si="113"/>
        <v/>
      </c>
      <c r="N268" t="str">
        <f t="shared" si="114"/>
        <v/>
      </c>
      <c r="O268" s="9" t="str">
        <f t="shared" si="115"/>
        <v/>
      </c>
      <c r="P268" s="9" t="str">
        <f t="shared" si="115"/>
        <v/>
      </c>
      <c r="Q268" s="9" t="str">
        <f t="shared" si="115"/>
        <v/>
      </c>
      <c r="R268" s="9" t="str">
        <f t="shared" si="115"/>
        <v/>
      </c>
      <c r="S268" s="9" t="str">
        <f t="shared" si="115"/>
        <v/>
      </c>
      <c r="T268" s="9" t="str">
        <f t="shared" si="115"/>
        <v/>
      </c>
      <c r="U268" s="9"/>
      <c r="V268" s="9" t="str">
        <f t="shared" si="112"/>
        <v/>
      </c>
      <c r="W268" t="str">
        <f t="shared" si="116"/>
        <v/>
      </c>
      <c r="X268" s="9" t="str">
        <f t="shared" si="117"/>
        <v/>
      </c>
      <c r="Y268" s="9" t="str">
        <f t="shared" si="117"/>
        <v/>
      </c>
      <c r="Z268" s="9" t="str">
        <f t="shared" si="117"/>
        <v/>
      </c>
      <c r="AA268" s="9" t="str">
        <f t="shared" si="117"/>
        <v/>
      </c>
      <c r="AB268" s="9" t="str">
        <f t="shared" si="117"/>
        <v/>
      </c>
      <c r="AC268" s="9" t="str">
        <f t="shared" si="117"/>
        <v/>
      </c>
      <c r="AD268" s="9" t="str">
        <f t="shared" si="117"/>
        <v/>
      </c>
      <c r="AE268" t="str">
        <f t="shared" si="118"/>
        <v/>
      </c>
      <c r="AF268" s="9" t="str">
        <f t="shared" si="119"/>
        <v/>
      </c>
      <c r="AG268" s="9" t="str">
        <f t="shared" si="119"/>
        <v/>
      </c>
      <c r="AH268" s="9" t="str">
        <f t="shared" si="119"/>
        <v/>
      </c>
      <c r="AI268" s="9" t="str">
        <f t="shared" si="119"/>
        <v/>
      </c>
      <c r="AJ268" s="9" t="str">
        <f t="shared" si="119"/>
        <v/>
      </c>
      <c r="AK268" s="9" t="str">
        <f t="shared" si="119"/>
        <v/>
      </c>
      <c r="AL268" s="9" t="str">
        <f t="shared" si="119"/>
        <v/>
      </c>
      <c r="AP268" t="str">
        <f t="shared" si="120"/>
        <v/>
      </c>
      <c r="AQ268" s="9" t="str">
        <f t="shared" si="121"/>
        <v/>
      </c>
      <c r="AR268" s="9" t="str">
        <f t="shared" si="121"/>
        <v/>
      </c>
      <c r="AS268" s="9" t="str">
        <f t="shared" si="121"/>
        <v/>
      </c>
      <c r="AT268" s="9" t="str">
        <f t="shared" si="121"/>
        <v/>
      </c>
      <c r="AU268" s="9" t="str">
        <f t="shared" si="121"/>
        <v/>
      </c>
      <c r="AV268" s="9" t="str">
        <f t="shared" si="121"/>
        <v/>
      </c>
      <c r="AW268" s="9" t="str">
        <f t="shared" si="121"/>
        <v/>
      </c>
    </row>
    <row r="269" spans="3:49" x14ac:dyDescent="0.25">
      <c r="C269">
        <v>113</v>
      </c>
      <c r="D269" t="str">
        <f t="shared" si="111"/>
        <v/>
      </c>
      <c r="E269" s="9" t="str">
        <f t="shared" si="113"/>
        <v/>
      </c>
      <c r="F269" s="9" t="str">
        <f t="shared" si="113"/>
        <v/>
      </c>
      <c r="G269" s="9" t="str">
        <f t="shared" si="113"/>
        <v/>
      </c>
      <c r="H269" s="9" t="str">
        <f t="shared" si="113"/>
        <v/>
      </c>
      <c r="I269" s="9" t="str">
        <f t="shared" si="113"/>
        <v/>
      </c>
      <c r="J269" s="9" t="str">
        <f t="shared" si="113"/>
        <v/>
      </c>
      <c r="K269" s="9" t="str">
        <f t="shared" si="113"/>
        <v/>
      </c>
      <c r="N269" t="str">
        <f t="shared" si="114"/>
        <v/>
      </c>
      <c r="O269" s="9" t="str">
        <f t="shared" si="115"/>
        <v/>
      </c>
      <c r="P269" s="9" t="str">
        <f t="shared" si="115"/>
        <v/>
      </c>
      <c r="Q269" s="9" t="str">
        <f t="shared" si="115"/>
        <v/>
      </c>
      <c r="R269" s="9" t="str">
        <f t="shared" si="115"/>
        <v/>
      </c>
      <c r="S269" s="9" t="str">
        <f t="shared" si="115"/>
        <v/>
      </c>
      <c r="T269" s="9" t="str">
        <f t="shared" si="115"/>
        <v/>
      </c>
      <c r="U269" s="9"/>
      <c r="V269" s="9" t="str">
        <f t="shared" si="112"/>
        <v/>
      </c>
      <c r="W269" t="str">
        <f t="shared" si="116"/>
        <v/>
      </c>
      <c r="X269" s="9" t="str">
        <f t="shared" si="117"/>
        <v/>
      </c>
      <c r="Y269" s="9" t="str">
        <f t="shared" si="117"/>
        <v/>
      </c>
      <c r="Z269" s="9" t="str">
        <f t="shared" si="117"/>
        <v/>
      </c>
      <c r="AA269" s="9" t="str">
        <f t="shared" si="117"/>
        <v/>
      </c>
      <c r="AB269" s="9" t="str">
        <f t="shared" si="117"/>
        <v/>
      </c>
      <c r="AC269" s="9" t="str">
        <f t="shared" si="117"/>
        <v/>
      </c>
      <c r="AD269" s="9" t="str">
        <f t="shared" si="117"/>
        <v/>
      </c>
      <c r="AE269" t="str">
        <f t="shared" si="118"/>
        <v/>
      </c>
      <c r="AF269" s="9" t="str">
        <f t="shared" si="119"/>
        <v/>
      </c>
      <c r="AG269" s="9" t="str">
        <f t="shared" si="119"/>
        <v/>
      </c>
      <c r="AH269" s="9" t="str">
        <f t="shared" si="119"/>
        <v/>
      </c>
      <c r="AI269" s="9" t="str">
        <f t="shared" si="119"/>
        <v/>
      </c>
      <c r="AJ269" s="9" t="str">
        <f t="shared" si="119"/>
        <v/>
      </c>
      <c r="AK269" s="9" t="str">
        <f t="shared" si="119"/>
        <v/>
      </c>
      <c r="AL269" s="9" t="str">
        <f t="shared" si="119"/>
        <v/>
      </c>
      <c r="AP269" t="str">
        <f t="shared" si="120"/>
        <v/>
      </c>
      <c r="AQ269" s="9" t="str">
        <f t="shared" si="121"/>
        <v/>
      </c>
      <c r="AR269" s="9" t="str">
        <f t="shared" si="121"/>
        <v/>
      </c>
      <c r="AS269" s="9" t="str">
        <f t="shared" si="121"/>
        <v/>
      </c>
      <c r="AT269" s="9" t="str">
        <f t="shared" si="121"/>
        <v/>
      </c>
      <c r="AU269" s="9" t="str">
        <f t="shared" si="121"/>
        <v/>
      </c>
      <c r="AV269" s="9" t="str">
        <f t="shared" si="121"/>
        <v/>
      </c>
      <c r="AW269" s="9" t="str">
        <f t="shared" si="121"/>
        <v/>
      </c>
    </row>
    <row r="270" spans="3:49" x14ac:dyDescent="0.25">
      <c r="C270">
        <v>114</v>
      </c>
      <c r="D270" t="str">
        <f t="shared" si="111"/>
        <v/>
      </c>
      <c r="E270" s="9" t="str">
        <f t="shared" si="113"/>
        <v/>
      </c>
      <c r="F270" s="9" t="str">
        <f t="shared" si="113"/>
        <v/>
      </c>
      <c r="G270" s="9" t="str">
        <f t="shared" si="113"/>
        <v/>
      </c>
      <c r="H270" s="9" t="str">
        <f t="shared" si="113"/>
        <v/>
      </c>
      <c r="I270" s="9" t="str">
        <f t="shared" si="113"/>
        <v/>
      </c>
      <c r="J270" s="9" t="str">
        <f t="shared" si="113"/>
        <v/>
      </c>
      <c r="K270" s="9" t="str">
        <f t="shared" si="113"/>
        <v/>
      </c>
      <c r="N270" t="str">
        <f t="shared" si="114"/>
        <v/>
      </c>
      <c r="O270" s="9" t="str">
        <f t="shared" si="115"/>
        <v/>
      </c>
      <c r="P270" s="9" t="str">
        <f t="shared" si="115"/>
        <v/>
      </c>
      <c r="Q270" s="9" t="str">
        <f t="shared" si="115"/>
        <v/>
      </c>
      <c r="R270" s="9" t="str">
        <f t="shared" si="115"/>
        <v/>
      </c>
      <c r="S270" s="9" t="str">
        <f t="shared" si="115"/>
        <v/>
      </c>
      <c r="T270" s="9" t="str">
        <f t="shared" si="115"/>
        <v/>
      </c>
      <c r="U270" s="9"/>
      <c r="V270" s="9" t="str">
        <f t="shared" si="112"/>
        <v/>
      </c>
      <c r="W270" t="str">
        <f t="shared" si="116"/>
        <v/>
      </c>
      <c r="X270" s="9" t="str">
        <f t="shared" si="117"/>
        <v/>
      </c>
      <c r="Y270" s="9" t="str">
        <f t="shared" si="117"/>
        <v/>
      </c>
      <c r="Z270" s="9" t="str">
        <f t="shared" si="117"/>
        <v/>
      </c>
      <c r="AA270" s="9" t="str">
        <f t="shared" si="117"/>
        <v/>
      </c>
      <c r="AB270" s="9" t="str">
        <f t="shared" si="117"/>
        <v/>
      </c>
      <c r="AC270" s="9" t="str">
        <f t="shared" si="117"/>
        <v/>
      </c>
      <c r="AD270" s="9" t="str">
        <f t="shared" si="117"/>
        <v/>
      </c>
      <c r="AE270" t="str">
        <f t="shared" si="118"/>
        <v/>
      </c>
      <c r="AF270" s="9" t="str">
        <f t="shared" si="119"/>
        <v/>
      </c>
      <c r="AG270" s="9" t="str">
        <f t="shared" si="119"/>
        <v/>
      </c>
      <c r="AH270" s="9" t="str">
        <f t="shared" si="119"/>
        <v/>
      </c>
      <c r="AI270" s="9" t="str">
        <f t="shared" si="119"/>
        <v/>
      </c>
      <c r="AJ270" s="9" t="str">
        <f t="shared" si="119"/>
        <v/>
      </c>
      <c r="AK270" s="9" t="str">
        <f t="shared" si="119"/>
        <v/>
      </c>
      <c r="AL270" s="9" t="str">
        <f t="shared" si="119"/>
        <v/>
      </c>
      <c r="AP270" t="str">
        <f t="shared" si="120"/>
        <v/>
      </c>
      <c r="AQ270" s="9" t="str">
        <f t="shared" si="121"/>
        <v/>
      </c>
      <c r="AR270" s="9" t="str">
        <f t="shared" si="121"/>
        <v/>
      </c>
      <c r="AS270" s="9" t="str">
        <f t="shared" si="121"/>
        <v/>
      </c>
      <c r="AT270" s="9" t="str">
        <f t="shared" si="121"/>
        <v/>
      </c>
      <c r="AU270" s="9" t="str">
        <f t="shared" si="121"/>
        <v/>
      </c>
      <c r="AV270" s="9" t="str">
        <f t="shared" si="121"/>
        <v/>
      </c>
      <c r="AW270" s="9" t="str">
        <f t="shared" si="121"/>
        <v/>
      </c>
    </row>
    <row r="271" spans="3:49" x14ac:dyDescent="0.25">
      <c r="C271">
        <v>115</v>
      </c>
      <c r="D271" t="str">
        <f t="shared" si="111"/>
        <v/>
      </c>
      <c r="E271" s="9" t="str">
        <f t="shared" ref="E271:K280" si="122">E207</f>
        <v/>
      </c>
      <c r="F271" s="9" t="str">
        <f t="shared" si="122"/>
        <v/>
      </c>
      <c r="G271" s="9" t="str">
        <f t="shared" si="122"/>
        <v/>
      </c>
      <c r="H271" s="9" t="str">
        <f t="shared" si="122"/>
        <v/>
      </c>
      <c r="I271" s="9" t="str">
        <f t="shared" si="122"/>
        <v/>
      </c>
      <c r="J271" s="9" t="str">
        <f t="shared" si="122"/>
        <v/>
      </c>
      <c r="K271" s="9" t="str">
        <f t="shared" si="122"/>
        <v/>
      </c>
      <c r="N271" t="str">
        <f t="shared" si="114"/>
        <v/>
      </c>
      <c r="O271" s="9" t="str">
        <f t="shared" ref="O271:T280" si="123">O207</f>
        <v/>
      </c>
      <c r="P271" s="9" t="str">
        <f t="shared" si="123"/>
        <v/>
      </c>
      <c r="Q271" s="9" t="str">
        <f t="shared" si="123"/>
        <v/>
      </c>
      <c r="R271" s="9" t="str">
        <f t="shared" si="123"/>
        <v/>
      </c>
      <c r="S271" s="9" t="str">
        <f t="shared" si="123"/>
        <v/>
      </c>
      <c r="T271" s="9" t="str">
        <f t="shared" si="123"/>
        <v/>
      </c>
      <c r="U271" s="9"/>
      <c r="V271" s="9" t="str">
        <f t="shared" si="112"/>
        <v/>
      </c>
      <c r="W271" t="str">
        <f t="shared" si="116"/>
        <v/>
      </c>
      <c r="X271" s="9" t="str">
        <f t="shared" ref="X271:AD280" si="124">X207</f>
        <v/>
      </c>
      <c r="Y271" s="9" t="str">
        <f t="shared" si="124"/>
        <v/>
      </c>
      <c r="Z271" s="9" t="str">
        <f t="shared" si="124"/>
        <v/>
      </c>
      <c r="AA271" s="9" t="str">
        <f t="shared" si="124"/>
        <v/>
      </c>
      <c r="AB271" s="9" t="str">
        <f t="shared" si="124"/>
        <v/>
      </c>
      <c r="AC271" s="9" t="str">
        <f t="shared" si="124"/>
        <v/>
      </c>
      <c r="AD271" s="9" t="str">
        <f t="shared" si="124"/>
        <v/>
      </c>
      <c r="AE271" t="str">
        <f t="shared" si="118"/>
        <v/>
      </c>
      <c r="AF271" s="9" t="str">
        <f t="shared" ref="AF271:AL280" si="125">AF207</f>
        <v/>
      </c>
      <c r="AG271" s="9" t="str">
        <f t="shared" si="125"/>
        <v/>
      </c>
      <c r="AH271" s="9" t="str">
        <f t="shared" si="125"/>
        <v/>
      </c>
      <c r="AI271" s="9" t="str">
        <f t="shared" si="125"/>
        <v/>
      </c>
      <c r="AJ271" s="9" t="str">
        <f t="shared" si="125"/>
        <v/>
      </c>
      <c r="AK271" s="9" t="str">
        <f t="shared" si="125"/>
        <v/>
      </c>
      <c r="AL271" s="9" t="str">
        <f t="shared" si="125"/>
        <v/>
      </c>
      <c r="AP271" t="str">
        <f t="shared" si="120"/>
        <v/>
      </c>
      <c r="AQ271" s="9" t="str">
        <f t="shared" ref="AQ271:AW280" si="126">AQ207</f>
        <v/>
      </c>
      <c r="AR271" s="9" t="str">
        <f t="shared" si="126"/>
        <v/>
      </c>
      <c r="AS271" s="9" t="str">
        <f t="shared" si="126"/>
        <v/>
      </c>
      <c r="AT271" s="9" t="str">
        <f t="shared" si="126"/>
        <v/>
      </c>
      <c r="AU271" s="9" t="str">
        <f t="shared" si="126"/>
        <v/>
      </c>
      <c r="AV271" s="9" t="str">
        <f t="shared" si="126"/>
        <v/>
      </c>
      <c r="AW271" s="9" t="str">
        <f t="shared" si="126"/>
        <v/>
      </c>
    </row>
    <row r="272" spans="3:49" x14ac:dyDescent="0.25">
      <c r="C272">
        <v>116</v>
      </c>
      <c r="D272" t="str">
        <f t="shared" si="111"/>
        <v/>
      </c>
      <c r="E272" s="9" t="str">
        <f t="shared" si="122"/>
        <v/>
      </c>
      <c r="F272" s="9" t="str">
        <f t="shared" si="122"/>
        <v/>
      </c>
      <c r="G272" s="9" t="str">
        <f t="shared" si="122"/>
        <v/>
      </c>
      <c r="H272" s="9" t="str">
        <f t="shared" si="122"/>
        <v/>
      </c>
      <c r="I272" s="9" t="str">
        <f t="shared" si="122"/>
        <v/>
      </c>
      <c r="J272" s="9" t="str">
        <f t="shared" si="122"/>
        <v/>
      </c>
      <c r="K272" s="9" t="str">
        <f t="shared" si="122"/>
        <v/>
      </c>
      <c r="N272" t="str">
        <f t="shared" si="114"/>
        <v/>
      </c>
      <c r="O272" s="9" t="str">
        <f t="shared" si="123"/>
        <v/>
      </c>
      <c r="P272" s="9" t="str">
        <f t="shared" si="123"/>
        <v/>
      </c>
      <c r="Q272" s="9" t="str">
        <f t="shared" si="123"/>
        <v/>
      </c>
      <c r="R272" s="9" t="str">
        <f t="shared" si="123"/>
        <v/>
      </c>
      <c r="S272" s="9" t="str">
        <f t="shared" si="123"/>
        <v/>
      </c>
      <c r="T272" s="9" t="str">
        <f t="shared" si="123"/>
        <v/>
      </c>
      <c r="U272" s="9"/>
      <c r="V272" s="9" t="str">
        <f t="shared" si="112"/>
        <v/>
      </c>
      <c r="W272" t="str">
        <f t="shared" si="116"/>
        <v/>
      </c>
      <c r="X272" s="9" t="str">
        <f t="shared" si="124"/>
        <v/>
      </c>
      <c r="Y272" s="9" t="str">
        <f t="shared" si="124"/>
        <v/>
      </c>
      <c r="Z272" s="9" t="str">
        <f t="shared" si="124"/>
        <v/>
      </c>
      <c r="AA272" s="9" t="str">
        <f t="shared" si="124"/>
        <v/>
      </c>
      <c r="AB272" s="9" t="str">
        <f t="shared" si="124"/>
        <v/>
      </c>
      <c r="AC272" s="9" t="str">
        <f t="shared" si="124"/>
        <v/>
      </c>
      <c r="AD272" s="9" t="str">
        <f t="shared" si="124"/>
        <v/>
      </c>
      <c r="AE272" t="str">
        <f t="shared" si="118"/>
        <v/>
      </c>
      <c r="AF272" s="9" t="str">
        <f t="shared" si="125"/>
        <v/>
      </c>
      <c r="AG272" s="9" t="str">
        <f t="shared" si="125"/>
        <v/>
      </c>
      <c r="AH272" s="9" t="str">
        <f t="shared" si="125"/>
        <v/>
      </c>
      <c r="AI272" s="9" t="str">
        <f t="shared" si="125"/>
        <v/>
      </c>
      <c r="AJ272" s="9" t="str">
        <f t="shared" si="125"/>
        <v/>
      </c>
      <c r="AK272" s="9" t="str">
        <f t="shared" si="125"/>
        <v/>
      </c>
      <c r="AL272" s="9" t="str">
        <f t="shared" si="125"/>
        <v/>
      </c>
      <c r="AP272" t="str">
        <f t="shared" si="120"/>
        <v/>
      </c>
      <c r="AQ272" s="9" t="str">
        <f t="shared" si="126"/>
        <v/>
      </c>
      <c r="AR272" s="9" t="str">
        <f t="shared" si="126"/>
        <v/>
      </c>
      <c r="AS272" s="9" t="str">
        <f t="shared" si="126"/>
        <v/>
      </c>
      <c r="AT272" s="9" t="str">
        <f t="shared" si="126"/>
        <v/>
      </c>
      <c r="AU272" s="9" t="str">
        <f t="shared" si="126"/>
        <v/>
      </c>
      <c r="AV272" s="9" t="str">
        <f t="shared" si="126"/>
        <v/>
      </c>
      <c r="AW272" s="9" t="str">
        <f t="shared" si="126"/>
        <v/>
      </c>
    </row>
    <row r="273" spans="3:49" x14ac:dyDescent="0.25">
      <c r="C273">
        <v>117</v>
      </c>
      <c r="D273" t="str">
        <f t="shared" si="111"/>
        <v/>
      </c>
      <c r="E273" s="9" t="str">
        <f t="shared" si="122"/>
        <v/>
      </c>
      <c r="F273" s="9" t="str">
        <f t="shared" si="122"/>
        <v/>
      </c>
      <c r="G273" s="9" t="str">
        <f t="shared" si="122"/>
        <v/>
      </c>
      <c r="H273" s="9" t="str">
        <f t="shared" si="122"/>
        <v/>
      </c>
      <c r="I273" s="9" t="str">
        <f t="shared" si="122"/>
        <v/>
      </c>
      <c r="J273" s="9" t="str">
        <f t="shared" si="122"/>
        <v/>
      </c>
      <c r="K273" s="9" t="str">
        <f t="shared" si="122"/>
        <v/>
      </c>
      <c r="N273" t="str">
        <f t="shared" si="114"/>
        <v/>
      </c>
      <c r="O273" s="9" t="str">
        <f t="shared" si="123"/>
        <v/>
      </c>
      <c r="P273" s="9" t="str">
        <f t="shared" si="123"/>
        <v/>
      </c>
      <c r="Q273" s="9" t="str">
        <f t="shared" si="123"/>
        <v/>
      </c>
      <c r="R273" s="9" t="str">
        <f t="shared" si="123"/>
        <v/>
      </c>
      <c r="S273" s="9" t="str">
        <f t="shared" si="123"/>
        <v/>
      </c>
      <c r="T273" s="9" t="str">
        <f t="shared" si="123"/>
        <v/>
      </c>
      <c r="U273" s="9"/>
      <c r="V273" s="9" t="str">
        <f t="shared" si="112"/>
        <v/>
      </c>
      <c r="W273" t="str">
        <f t="shared" si="116"/>
        <v/>
      </c>
      <c r="X273" s="9" t="str">
        <f t="shared" si="124"/>
        <v/>
      </c>
      <c r="Y273" s="9" t="str">
        <f t="shared" si="124"/>
        <v/>
      </c>
      <c r="Z273" s="9" t="str">
        <f t="shared" si="124"/>
        <v/>
      </c>
      <c r="AA273" s="9" t="str">
        <f t="shared" si="124"/>
        <v/>
      </c>
      <c r="AB273" s="9" t="str">
        <f t="shared" si="124"/>
        <v/>
      </c>
      <c r="AC273" s="9" t="str">
        <f t="shared" si="124"/>
        <v/>
      </c>
      <c r="AD273" s="9" t="str">
        <f t="shared" si="124"/>
        <v/>
      </c>
      <c r="AE273" t="str">
        <f t="shared" si="118"/>
        <v/>
      </c>
      <c r="AF273" s="9" t="str">
        <f t="shared" si="125"/>
        <v/>
      </c>
      <c r="AG273" s="9" t="str">
        <f t="shared" si="125"/>
        <v/>
      </c>
      <c r="AH273" s="9" t="str">
        <f t="shared" si="125"/>
        <v/>
      </c>
      <c r="AI273" s="9" t="str">
        <f t="shared" si="125"/>
        <v/>
      </c>
      <c r="AJ273" s="9" t="str">
        <f t="shared" si="125"/>
        <v/>
      </c>
      <c r="AK273" s="9" t="str">
        <f t="shared" si="125"/>
        <v/>
      </c>
      <c r="AL273" s="9" t="str">
        <f t="shared" si="125"/>
        <v/>
      </c>
      <c r="AP273" t="str">
        <f t="shared" si="120"/>
        <v/>
      </c>
      <c r="AQ273" s="9" t="str">
        <f t="shared" si="126"/>
        <v/>
      </c>
      <c r="AR273" s="9" t="str">
        <f t="shared" si="126"/>
        <v/>
      </c>
      <c r="AS273" s="9" t="str">
        <f t="shared" si="126"/>
        <v/>
      </c>
      <c r="AT273" s="9" t="str">
        <f t="shared" si="126"/>
        <v/>
      </c>
      <c r="AU273" s="9" t="str">
        <f t="shared" si="126"/>
        <v/>
      </c>
      <c r="AV273" s="9" t="str">
        <f t="shared" si="126"/>
        <v/>
      </c>
      <c r="AW273" s="9" t="str">
        <f t="shared" si="126"/>
        <v/>
      </c>
    </row>
    <row r="274" spans="3:49" x14ac:dyDescent="0.25">
      <c r="C274">
        <v>118</v>
      </c>
      <c r="D274" t="str">
        <f t="shared" si="111"/>
        <v/>
      </c>
      <c r="E274" s="9" t="str">
        <f t="shared" si="122"/>
        <v/>
      </c>
      <c r="F274" s="9" t="str">
        <f t="shared" si="122"/>
        <v/>
      </c>
      <c r="G274" s="9" t="str">
        <f t="shared" si="122"/>
        <v/>
      </c>
      <c r="H274" s="9" t="str">
        <f t="shared" si="122"/>
        <v/>
      </c>
      <c r="I274" s="9" t="str">
        <f t="shared" si="122"/>
        <v/>
      </c>
      <c r="J274" s="9" t="str">
        <f t="shared" si="122"/>
        <v/>
      </c>
      <c r="K274" s="9" t="str">
        <f t="shared" si="122"/>
        <v/>
      </c>
      <c r="N274" t="str">
        <f t="shared" si="114"/>
        <v/>
      </c>
      <c r="O274" s="9" t="str">
        <f t="shared" si="123"/>
        <v/>
      </c>
      <c r="P274" s="9" t="str">
        <f t="shared" si="123"/>
        <v/>
      </c>
      <c r="Q274" s="9" t="str">
        <f t="shared" si="123"/>
        <v/>
      </c>
      <c r="R274" s="9" t="str">
        <f t="shared" si="123"/>
        <v/>
      </c>
      <c r="S274" s="9" t="str">
        <f t="shared" si="123"/>
        <v/>
      </c>
      <c r="T274" s="9" t="str">
        <f t="shared" si="123"/>
        <v/>
      </c>
      <c r="U274" s="9"/>
      <c r="V274" s="9" t="str">
        <f t="shared" si="112"/>
        <v/>
      </c>
      <c r="W274" t="str">
        <f t="shared" si="116"/>
        <v/>
      </c>
      <c r="X274" s="9" t="str">
        <f t="shared" si="124"/>
        <v/>
      </c>
      <c r="Y274" s="9" t="str">
        <f t="shared" si="124"/>
        <v/>
      </c>
      <c r="Z274" s="9" t="str">
        <f t="shared" si="124"/>
        <v/>
      </c>
      <c r="AA274" s="9" t="str">
        <f t="shared" si="124"/>
        <v/>
      </c>
      <c r="AB274" s="9" t="str">
        <f t="shared" si="124"/>
        <v/>
      </c>
      <c r="AC274" s="9" t="str">
        <f t="shared" si="124"/>
        <v/>
      </c>
      <c r="AD274" s="9" t="str">
        <f t="shared" si="124"/>
        <v/>
      </c>
      <c r="AE274" t="str">
        <f t="shared" si="118"/>
        <v/>
      </c>
      <c r="AF274" s="9" t="str">
        <f t="shared" si="125"/>
        <v/>
      </c>
      <c r="AG274" s="9" t="str">
        <f t="shared" si="125"/>
        <v/>
      </c>
      <c r="AH274" s="9" t="str">
        <f t="shared" si="125"/>
        <v/>
      </c>
      <c r="AI274" s="9" t="str">
        <f t="shared" si="125"/>
        <v/>
      </c>
      <c r="AJ274" s="9" t="str">
        <f t="shared" si="125"/>
        <v/>
      </c>
      <c r="AK274" s="9" t="str">
        <f t="shared" si="125"/>
        <v/>
      </c>
      <c r="AL274" s="9" t="str">
        <f t="shared" si="125"/>
        <v/>
      </c>
      <c r="AP274" t="str">
        <f t="shared" si="120"/>
        <v/>
      </c>
      <c r="AQ274" s="9" t="str">
        <f t="shared" si="126"/>
        <v/>
      </c>
      <c r="AR274" s="9" t="str">
        <f t="shared" si="126"/>
        <v/>
      </c>
      <c r="AS274" s="9" t="str">
        <f t="shared" si="126"/>
        <v/>
      </c>
      <c r="AT274" s="9" t="str">
        <f t="shared" si="126"/>
        <v/>
      </c>
      <c r="AU274" s="9" t="str">
        <f t="shared" si="126"/>
        <v/>
      </c>
      <c r="AV274" s="9" t="str">
        <f t="shared" si="126"/>
        <v/>
      </c>
      <c r="AW274" s="9" t="str">
        <f t="shared" si="126"/>
        <v/>
      </c>
    </row>
    <row r="275" spans="3:49" x14ac:dyDescent="0.25">
      <c r="C275">
        <v>119</v>
      </c>
      <c r="D275" t="str">
        <f t="shared" si="111"/>
        <v/>
      </c>
      <c r="E275" s="9" t="str">
        <f t="shared" si="122"/>
        <v/>
      </c>
      <c r="F275" s="9" t="str">
        <f t="shared" si="122"/>
        <v/>
      </c>
      <c r="G275" s="9" t="str">
        <f t="shared" si="122"/>
        <v/>
      </c>
      <c r="H275" s="9" t="str">
        <f t="shared" si="122"/>
        <v/>
      </c>
      <c r="I275" s="9" t="str">
        <f t="shared" si="122"/>
        <v/>
      </c>
      <c r="J275" s="9" t="str">
        <f t="shared" si="122"/>
        <v/>
      </c>
      <c r="K275" s="9" t="str">
        <f t="shared" si="122"/>
        <v/>
      </c>
      <c r="N275" t="str">
        <f t="shared" si="114"/>
        <v/>
      </c>
      <c r="O275" s="9" t="str">
        <f t="shared" si="123"/>
        <v/>
      </c>
      <c r="P275" s="9" t="str">
        <f t="shared" si="123"/>
        <v/>
      </c>
      <c r="Q275" s="9" t="str">
        <f t="shared" si="123"/>
        <v/>
      </c>
      <c r="R275" s="9" t="str">
        <f t="shared" si="123"/>
        <v/>
      </c>
      <c r="S275" s="9" t="str">
        <f t="shared" si="123"/>
        <v/>
      </c>
      <c r="T275" s="9" t="str">
        <f t="shared" si="123"/>
        <v/>
      </c>
      <c r="U275" s="9"/>
      <c r="V275" s="9" t="str">
        <f t="shared" si="112"/>
        <v/>
      </c>
      <c r="W275" t="str">
        <f t="shared" si="116"/>
        <v/>
      </c>
      <c r="X275" s="9" t="str">
        <f t="shared" si="124"/>
        <v/>
      </c>
      <c r="Y275" s="9" t="str">
        <f t="shared" si="124"/>
        <v/>
      </c>
      <c r="Z275" s="9" t="str">
        <f t="shared" si="124"/>
        <v/>
      </c>
      <c r="AA275" s="9" t="str">
        <f t="shared" si="124"/>
        <v/>
      </c>
      <c r="AB275" s="9" t="str">
        <f t="shared" si="124"/>
        <v/>
      </c>
      <c r="AC275" s="9" t="str">
        <f t="shared" si="124"/>
        <v/>
      </c>
      <c r="AD275" s="9" t="str">
        <f t="shared" si="124"/>
        <v/>
      </c>
      <c r="AE275" t="str">
        <f t="shared" si="118"/>
        <v/>
      </c>
      <c r="AF275" s="9" t="str">
        <f t="shared" si="125"/>
        <v/>
      </c>
      <c r="AG275" s="9" t="str">
        <f t="shared" si="125"/>
        <v/>
      </c>
      <c r="AH275" s="9" t="str">
        <f t="shared" si="125"/>
        <v/>
      </c>
      <c r="AI275" s="9" t="str">
        <f t="shared" si="125"/>
        <v/>
      </c>
      <c r="AJ275" s="9" t="str">
        <f t="shared" si="125"/>
        <v/>
      </c>
      <c r="AK275" s="9" t="str">
        <f t="shared" si="125"/>
        <v/>
      </c>
      <c r="AL275" s="9" t="str">
        <f t="shared" si="125"/>
        <v/>
      </c>
      <c r="AP275" t="str">
        <f t="shared" si="120"/>
        <v/>
      </c>
      <c r="AQ275" s="9" t="str">
        <f t="shared" si="126"/>
        <v/>
      </c>
      <c r="AR275" s="9" t="str">
        <f t="shared" si="126"/>
        <v/>
      </c>
      <c r="AS275" s="9" t="str">
        <f t="shared" si="126"/>
        <v/>
      </c>
      <c r="AT275" s="9" t="str">
        <f t="shared" si="126"/>
        <v/>
      </c>
      <c r="AU275" s="9" t="str">
        <f t="shared" si="126"/>
        <v/>
      </c>
      <c r="AV275" s="9" t="str">
        <f t="shared" si="126"/>
        <v/>
      </c>
      <c r="AW275" s="9" t="str">
        <f t="shared" si="126"/>
        <v/>
      </c>
    </row>
    <row r="276" spans="3:49" x14ac:dyDescent="0.25">
      <c r="C276">
        <v>120</v>
      </c>
      <c r="D276" t="str">
        <f t="shared" si="111"/>
        <v/>
      </c>
      <c r="E276" s="9" t="str">
        <f t="shared" si="122"/>
        <v/>
      </c>
      <c r="F276" s="9" t="str">
        <f t="shared" si="122"/>
        <v/>
      </c>
      <c r="G276" s="9" t="str">
        <f t="shared" si="122"/>
        <v/>
      </c>
      <c r="H276" s="9" t="str">
        <f t="shared" si="122"/>
        <v/>
      </c>
      <c r="I276" s="9" t="str">
        <f t="shared" si="122"/>
        <v/>
      </c>
      <c r="J276" s="9" t="str">
        <f t="shared" si="122"/>
        <v/>
      </c>
      <c r="K276" s="9" t="str">
        <f t="shared" si="122"/>
        <v/>
      </c>
      <c r="N276" t="str">
        <f t="shared" si="114"/>
        <v/>
      </c>
      <c r="O276" s="9" t="str">
        <f t="shared" si="123"/>
        <v/>
      </c>
      <c r="P276" s="9" t="str">
        <f t="shared" si="123"/>
        <v/>
      </c>
      <c r="Q276" s="9" t="str">
        <f t="shared" si="123"/>
        <v/>
      </c>
      <c r="R276" s="9" t="str">
        <f t="shared" si="123"/>
        <v/>
      </c>
      <c r="S276" s="9" t="str">
        <f t="shared" si="123"/>
        <v/>
      </c>
      <c r="T276" s="9" t="str">
        <f t="shared" si="123"/>
        <v/>
      </c>
      <c r="U276" s="9"/>
      <c r="V276" s="9" t="str">
        <f t="shared" si="112"/>
        <v/>
      </c>
      <c r="W276" t="str">
        <f t="shared" si="116"/>
        <v/>
      </c>
      <c r="X276" s="9" t="str">
        <f t="shared" si="124"/>
        <v/>
      </c>
      <c r="Y276" s="9" t="str">
        <f t="shared" si="124"/>
        <v/>
      </c>
      <c r="Z276" s="9" t="str">
        <f t="shared" si="124"/>
        <v/>
      </c>
      <c r="AA276" s="9" t="str">
        <f t="shared" si="124"/>
        <v/>
      </c>
      <c r="AB276" s="9" t="str">
        <f t="shared" si="124"/>
        <v/>
      </c>
      <c r="AC276" s="9" t="str">
        <f t="shared" si="124"/>
        <v/>
      </c>
      <c r="AD276" s="9" t="str">
        <f t="shared" si="124"/>
        <v/>
      </c>
      <c r="AE276" t="str">
        <f t="shared" si="118"/>
        <v/>
      </c>
      <c r="AF276" s="9" t="str">
        <f t="shared" si="125"/>
        <v/>
      </c>
      <c r="AG276" s="9" t="str">
        <f t="shared" si="125"/>
        <v/>
      </c>
      <c r="AH276" s="9" t="str">
        <f t="shared" si="125"/>
        <v/>
      </c>
      <c r="AI276" s="9" t="str">
        <f t="shared" si="125"/>
        <v/>
      </c>
      <c r="AJ276" s="9" t="str">
        <f t="shared" si="125"/>
        <v/>
      </c>
      <c r="AK276" s="9" t="str">
        <f t="shared" si="125"/>
        <v/>
      </c>
      <c r="AL276" s="9" t="str">
        <f t="shared" si="125"/>
        <v/>
      </c>
      <c r="AP276" t="str">
        <f t="shared" si="120"/>
        <v/>
      </c>
      <c r="AQ276" s="9" t="str">
        <f t="shared" si="126"/>
        <v/>
      </c>
      <c r="AR276" s="9" t="str">
        <f t="shared" si="126"/>
        <v/>
      </c>
      <c r="AS276" s="9" t="str">
        <f t="shared" si="126"/>
        <v/>
      </c>
      <c r="AT276" s="9" t="str">
        <f t="shared" si="126"/>
        <v/>
      </c>
      <c r="AU276" s="9" t="str">
        <f t="shared" si="126"/>
        <v/>
      </c>
      <c r="AV276" s="9" t="str">
        <f t="shared" si="126"/>
        <v/>
      </c>
      <c r="AW276" s="9" t="str">
        <f t="shared" si="126"/>
        <v/>
      </c>
    </row>
    <row r="277" spans="3:49" x14ac:dyDescent="0.25">
      <c r="C277">
        <v>121</v>
      </c>
      <c r="D277" t="str">
        <f t="shared" si="111"/>
        <v/>
      </c>
      <c r="E277" s="9" t="str">
        <f t="shared" si="122"/>
        <v/>
      </c>
      <c r="F277" s="9" t="str">
        <f t="shared" si="122"/>
        <v/>
      </c>
      <c r="G277" s="9" t="str">
        <f t="shared" si="122"/>
        <v/>
      </c>
      <c r="H277" s="9" t="str">
        <f t="shared" si="122"/>
        <v/>
      </c>
      <c r="I277" s="9" t="str">
        <f t="shared" si="122"/>
        <v/>
      </c>
      <c r="J277" s="9" t="str">
        <f t="shared" si="122"/>
        <v/>
      </c>
      <c r="K277" s="9" t="str">
        <f t="shared" si="122"/>
        <v/>
      </c>
      <c r="N277" t="str">
        <f t="shared" si="114"/>
        <v/>
      </c>
      <c r="O277" s="9" t="str">
        <f t="shared" si="123"/>
        <v/>
      </c>
      <c r="P277" s="9" t="str">
        <f t="shared" si="123"/>
        <v/>
      </c>
      <c r="Q277" s="9" t="str">
        <f t="shared" si="123"/>
        <v/>
      </c>
      <c r="R277" s="9" t="str">
        <f t="shared" si="123"/>
        <v/>
      </c>
      <c r="S277" s="9" t="str">
        <f t="shared" si="123"/>
        <v/>
      </c>
      <c r="T277" s="9" t="str">
        <f t="shared" si="123"/>
        <v/>
      </c>
      <c r="U277" s="9"/>
      <c r="V277" s="9" t="str">
        <f t="shared" si="112"/>
        <v/>
      </c>
      <c r="W277" t="str">
        <f t="shared" si="116"/>
        <v/>
      </c>
      <c r="X277" s="9" t="str">
        <f t="shared" si="124"/>
        <v/>
      </c>
      <c r="Y277" s="9" t="str">
        <f t="shared" si="124"/>
        <v/>
      </c>
      <c r="Z277" s="9" t="str">
        <f t="shared" si="124"/>
        <v/>
      </c>
      <c r="AA277" s="9" t="str">
        <f t="shared" si="124"/>
        <v/>
      </c>
      <c r="AB277" s="9" t="str">
        <f t="shared" si="124"/>
        <v/>
      </c>
      <c r="AC277" s="9" t="str">
        <f t="shared" si="124"/>
        <v/>
      </c>
      <c r="AD277" s="9" t="str">
        <f t="shared" si="124"/>
        <v/>
      </c>
      <c r="AE277" t="str">
        <f t="shared" si="118"/>
        <v/>
      </c>
      <c r="AF277" s="9" t="str">
        <f t="shared" si="125"/>
        <v/>
      </c>
      <c r="AG277" s="9" t="str">
        <f t="shared" si="125"/>
        <v/>
      </c>
      <c r="AH277" s="9" t="str">
        <f t="shared" si="125"/>
        <v/>
      </c>
      <c r="AI277" s="9" t="str">
        <f t="shared" si="125"/>
        <v/>
      </c>
      <c r="AJ277" s="9" t="str">
        <f t="shared" si="125"/>
        <v/>
      </c>
      <c r="AK277" s="9" t="str">
        <f t="shared" si="125"/>
        <v/>
      </c>
      <c r="AL277" s="9" t="str">
        <f t="shared" si="125"/>
        <v/>
      </c>
      <c r="AP277" t="str">
        <f t="shared" si="120"/>
        <v/>
      </c>
      <c r="AQ277" s="9" t="str">
        <f t="shared" si="126"/>
        <v/>
      </c>
      <c r="AR277" s="9" t="str">
        <f t="shared" si="126"/>
        <v/>
      </c>
      <c r="AS277" s="9" t="str">
        <f t="shared" si="126"/>
        <v/>
      </c>
      <c r="AT277" s="9" t="str">
        <f t="shared" si="126"/>
        <v/>
      </c>
      <c r="AU277" s="9" t="str">
        <f t="shared" si="126"/>
        <v/>
      </c>
      <c r="AV277" s="9" t="str">
        <f t="shared" si="126"/>
        <v/>
      </c>
      <c r="AW277" s="9" t="str">
        <f t="shared" si="126"/>
        <v/>
      </c>
    </row>
    <row r="278" spans="3:49" x14ac:dyDescent="0.25">
      <c r="C278">
        <v>122</v>
      </c>
      <c r="D278" t="str">
        <f t="shared" si="111"/>
        <v/>
      </c>
      <c r="E278" s="9" t="str">
        <f t="shared" si="122"/>
        <v/>
      </c>
      <c r="F278" s="9" t="str">
        <f t="shared" si="122"/>
        <v/>
      </c>
      <c r="G278" s="9" t="str">
        <f t="shared" si="122"/>
        <v/>
      </c>
      <c r="H278" s="9" t="str">
        <f t="shared" si="122"/>
        <v/>
      </c>
      <c r="I278" s="9" t="str">
        <f t="shared" si="122"/>
        <v/>
      </c>
      <c r="J278" s="9" t="str">
        <f t="shared" si="122"/>
        <v/>
      </c>
      <c r="K278" s="9" t="str">
        <f t="shared" si="122"/>
        <v/>
      </c>
      <c r="N278" t="str">
        <f t="shared" si="114"/>
        <v/>
      </c>
      <c r="O278" s="9" t="str">
        <f t="shared" si="123"/>
        <v/>
      </c>
      <c r="P278" s="9" t="str">
        <f t="shared" si="123"/>
        <v/>
      </c>
      <c r="Q278" s="9" t="str">
        <f t="shared" si="123"/>
        <v/>
      </c>
      <c r="R278" s="9" t="str">
        <f t="shared" si="123"/>
        <v/>
      </c>
      <c r="S278" s="9" t="str">
        <f t="shared" si="123"/>
        <v/>
      </c>
      <c r="T278" s="9" t="str">
        <f t="shared" si="123"/>
        <v/>
      </c>
      <c r="U278" s="9"/>
      <c r="V278" s="9" t="str">
        <f t="shared" si="112"/>
        <v/>
      </c>
      <c r="W278" t="str">
        <f t="shared" si="116"/>
        <v/>
      </c>
      <c r="X278" s="9" t="str">
        <f t="shared" si="124"/>
        <v/>
      </c>
      <c r="Y278" s="9" t="str">
        <f t="shared" si="124"/>
        <v/>
      </c>
      <c r="Z278" s="9" t="str">
        <f t="shared" si="124"/>
        <v/>
      </c>
      <c r="AA278" s="9" t="str">
        <f t="shared" si="124"/>
        <v/>
      </c>
      <c r="AB278" s="9" t="str">
        <f t="shared" si="124"/>
        <v/>
      </c>
      <c r="AC278" s="9" t="str">
        <f t="shared" si="124"/>
        <v/>
      </c>
      <c r="AD278" s="9" t="str">
        <f t="shared" si="124"/>
        <v/>
      </c>
      <c r="AE278" t="str">
        <f t="shared" si="118"/>
        <v/>
      </c>
      <c r="AF278" s="9" t="str">
        <f t="shared" si="125"/>
        <v/>
      </c>
      <c r="AG278" s="9" t="str">
        <f t="shared" si="125"/>
        <v/>
      </c>
      <c r="AH278" s="9" t="str">
        <f t="shared" si="125"/>
        <v/>
      </c>
      <c r="AI278" s="9" t="str">
        <f t="shared" si="125"/>
        <v/>
      </c>
      <c r="AJ278" s="9" t="str">
        <f t="shared" si="125"/>
        <v/>
      </c>
      <c r="AK278" s="9" t="str">
        <f t="shared" si="125"/>
        <v/>
      </c>
      <c r="AL278" s="9" t="str">
        <f t="shared" si="125"/>
        <v/>
      </c>
      <c r="AP278" t="str">
        <f t="shared" si="120"/>
        <v/>
      </c>
      <c r="AQ278" s="9" t="str">
        <f t="shared" si="126"/>
        <v/>
      </c>
      <c r="AR278" s="9" t="str">
        <f t="shared" si="126"/>
        <v/>
      </c>
      <c r="AS278" s="9" t="str">
        <f t="shared" si="126"/>
        <v/>
      </c>
      <c r="AT278" s="9" t="str">
        <f t="shared" si="126"/>
        <v/>
      </c>
      <c r="AU278" s="9" t="str">
        <f t="shared" si="126"/>
        <v/>
      </c>
      <c r="AV278" s="9" t="str">
        <f t="shared" si="126"/>
        <v/>
      </c>
      <c r="AW278" s="9" t="str">
        <f t="shared" si="126"/>
        <v/>
      </c>
    </row>
    <row r="279" spans="3:49" x14ac:dyDescent="0.25">
      <c r="C279">
        <v>123</v>
      </c>
      <c r="D279" t="str">
        <f t="shared" si="111"/>
        <v/>
      </c>
      <c r="E279" s="9" t="str">
        <f t="shared" si="122"/>
        <v/>
      </c>
      <c r="F279" s="9" t="str">
        <f t="shared" si="122"/>
        <v/>
      </c>
      <c r="G279" s="9" t="str">
        <f t="shared" si="122"/>
        <v/>
      </c>
      <c r="H279" s="9" t="str">
        <f t="shared" si="122"/>
        <v/>
      </c>
      <c r="I279" s="9" t="str">
        <f t="shared" si="122"/>
        <v/>
      </c>
      <c r="J279" s="9" t="str">
        <f t="shared" si="122"/>
        <v/>
      </c>
      <c r="K279" s="9" t="str">
        <f t="shared" si="122"/>
        <v/>
      </c>
      <c r="N279" t="str">
        <f t="shared" si="114"/>
        <v/>
      </c>
      <c r="O279" s="9" t="str">
        <f t="shared" si="123"/>
        <v/>
      </c>
      <c r="P279" s="9" t="str">
        <f t="shared" si="123"/>
        <v/>
      </c>
      <c r="Q279" s="9" t="str">
        <f t="shared" si="123"/>
        <v/>
      </c>
      <c r="R279" s="9" t="str">
        <f t="shared" si="123"/>
        <v/>
      </c>
      <c r="S279" s="9" t="str">
        <f t="shared" si="123"/>
        <v/>
      </c>
      <c r="T279" s="9" t="str">
        <f t="shared" si="123"/>
        <v/>
      </c>
      <c r="U279" s="9"/>
      <c r="V279" s="9" t="str">
        <f t="shared" si="112"/>
        <v/>
      </c>
      <c r="W279" t="str">
        <f t="shared" si="116"/>
        <v/>
      </c>
      <c r="X279" s="9" t="str">
        <f t="shared" si="124"/>
        <v/>
      </c>
      <c r="Y279" s="9" t="str">
        <f t="shared" si="124"/>
        <v/>
      </c>
      <c r="Z279" s="9" t="str">
        <f t="shared" si="124"/>
        <v/>
      </c>
      <c r="AA279" s="9" t="str">
        <f t="shared" si="124"/>
        <v/>
      </c>
      <c r="AB279" s="9" t="str">
        <f t="shared" si="124"/>
        <v/>
      </c>
      <c r="AC279" s="9" t="str">
        <f t="shared" si="124"/>
        <v/>
      </c>
      <c r="AD279" s="9" t="str">
        <f t="shared" si="124"/>
        <v/>
      </c>
      <c r="AE279" t="str">
        <f t="shared" si="118"/>
        <v/>
      </c>
      <c r="AF279" s="9" t="str">
        <f t="shared" si="125"/>
        <v/>
      </c>
      <c r="AG279" s="9" t="str">
        <f t="shared" si="125"/>
        <v/>
      </c>
      <c r="AH279" s="9" t="str">
        <f t="shared" si="125"/>
        <v/>
      </c>
      <c r="AI279" s="9" t="str">
        <f t="shared" si="125"/>
        <v/>
      </c>
      <c r="AJ279" s="9" t="str">
        <f t="shared" si="125"/>
        <v/>
      </c>
      <c r="AK279" s="9" t="str">
        <f t="shared" si="125"/>
        <v/>
      </c>
      <c r="AL279" s="9" t="str">
        <f t="shared" si="125"/>
        <v/>
      </c>
      <c r="AP279" t="str">
        <f t="shared" si="120"/>
        <v/>
      </c>
      <c r="AQ279" s="9" t="str">
        <f t="shared" si="126"/>
        <v/>
      </c>
      <c r="AR279" s="9" t="str">
        <f t="shared" si="126"/>
        <v/>
      </c>
      <c r="AS279" s="9" t="str">
        <f t="shared" si="126"/>
        <v/>
      </c>
      <c r="AT279" s="9" t="str">
        <f t="shared" si="126"/>
        <v/>
      </c>
      <c r="AU279" s="9" t="str">
        <f t="shared" si="126"/>
        <v/>
      </c>
      <c r="AV279" s="9" t="str">
        <f t="shared" si="126"/>
        <v/>
      </c>
      <c r="AW279" s="9" t="str">
        <f t="shared" si="126"/>
        <v/>
      </c>
    </row>
    <row r="280" spans="3:49" x14ac:dyDescent="0.25">
      <c r="C280">
        <v>124</v>
      </c>
      <c r="D280" t="str">
        <f t="shared" si="111"/>
        <v/>
      </c>
      <c r="E280" s="9" t="str">
        <f t="shared" si="122"/>
        <v/>
      </c>
      <c r="F280" s="9" t="str">
        <f t="shared" si="122"/>
        <v/>
      </c>
      <c r="G280" s="9" t="str">
        <f t="shared" si="122"/>
        <v/>
      </c>
      <c r="H280" s="9" t="str">
        <f t="shared" si="122"/>
        <v/>
      </c>
      <c r="I280" s="9" t="str">
        <f t="shared" si="122"/>
        <v/>
      </c>
      <c r="J280" s="9" t="str">
        <f t="shared" si="122"/>
        <v/>
      </c>
      <c r="K280" s="9" t="str">
        <f t="shared" si="122"/>
        <v/>
      </c>
      <c r="N280" t="str">
        <f t="shared" si="114"/>
        <v/>
      </c>
      <c r="O280" s="9" t="str">
        <f t="shared" si="123"/>
        <v/>
      </c>
      <c r="P280" s="9" t="str">
        <f t="shared" si="123"/>
        <v/>
      </c>
      <c r="Q280" s="9" t="str">
        <f t="shared" si="123"/>
        <v/>
      </c>
      <c r="R280" s="9" t="str">
        <f t="shared" si="123"/>
        <v/>
      </c>
      <c r="S280" s="9" t="str">
        <f t="shared" si="123"/>
        <v/>
      </c>
      <c r="T280" s="9" t="str">
        <f t="shared" si="123"/>
        <v/>
      </c>
      <c r="U280" s="9"/>
      <c r="V280" s="9" t="str">
        <f t="shared" si="112"/>
        <v/>
      </c>
      <c r="W280" t="str">
        <f t="shared" si="116"/>
        <v/>
      </c>
      <c r="X280" s="9" t="str">
        <f t="shared" si="124"/>
        <v/>
      </c>
      <c r="Y280" s="9" t="str">
        <f t="shared" si="124"/>
        <v/>
      </c>
      <c r="Z280" s="9" t="str">
        <f t="shared" si="124"/>
        <v/>
      </c>
      <c r="AA280" s="9" t="str">
        <f t="shared" si="124"/>
        <v/>
      </c>
      <c r="AB280" s="9" t="str">
        <f t="shared" si="124"/>
        <v/>
      </c>
      <c r="AC280" s="9" t="str">
        <f t="shared" si="124"/>
        <v/>
      </c>
      <c r="AD280" s="9" t="str">
        <f t="shared" si="124"/>
        <v/>
      </c>
      <c r="AE280" t="str">
        <f t="shared" si="118"/>
        <v/>
      </c>
      <c r="AF280" s="9" t="str">
        <f t="shared" si="125"/>
        <v/>
      </c>
      <c r="AG280" s="9" t="str">
        <f t="shared" si="125"/>
        <v/>
      </c>
      <c r="AH280" s="9" t="str">
        <f t="shared" si="125"/>
        <v/>
      </c>
      <c r="AI280" s="9" t="str">
        <f t="shared" si="125"/>
        <v/>
      </c>
      <c r="AJ280" s="9" t="str">
        <f t="shared" si="125"/>
        <v/>
      </c>
      <c r="AK280" s="9" t="str">
        <f t="shared" si="125"/>
        <v/>
      </c>
      <c r="AL280" s="9" t="str">
        <f t="shared" si="125"/>
        <v/>
      </c>
      <c r="AP280" t="str">
        <f t="shared" si="120"/>
        <v/>
      </c>
      <c r="AQ280" s="9" t="str">
        <f t="shared" si="126"/>
        <v/>
      </c>
      <c r="AR280" s="9" t="str">
        <f t="shared" si="126"/>
        <v/>
      </c>
      <c r="AS280" s="9" t="str">
        <f t="shared" si="126"/>
        <v/>
      </c>
      <c r="AT280" s="9" t="str">
        <f t="shared" si="126"/>
        <v/>
      </c>
      <c r="AU280" s="9" t="str">
        <f t="shared" si="126"/>
        <v/>
      </c>
      <c r="AV280" s="9" t="str">
        <f t="shared" si="126"/>
        <v/>
      </c>
      <c r="AW280" s="9" t="str">
        <f t="shared" si="126"/>
        <v/>
      </c>
    </row>
    <row r="281" spans="3:49" x14ac:dyDescent="0.25">
      <c r="C281">
        <v>125</v>
      </c>
      <c r="D281" t="str">
        <f t="shared" si="111"/>
        <v/>
      </c>
      <c r="E281" s="9" t="str">
        <f t="shared" ref="E281:K290" si="127">E217</f>
        <v/>
      </c>
      <c r="F281" s="9" t="str">
        <f t="shared" si="127"/>
        <v/>
      </c>
      <c r="G281" s="9" t="str">
        <f t="shared" si="127"/>
        <v/>
      </c>
      <c r="H281" s="9" t="str">
        <f t="shared" si="127"/>
        <v/>
      </c>
      <c r="I281" s="9" t="str">
        <f t="shared" si="127"/>
        <v/>
      </c>
      <c r="J281" s="9" t="str">
        <f t="shared" si="127"/>
        <v/>
      </c>
      <c r="K281" s="9" t="str">
        <f t="shared" si="127"/>
        <v/>
      </c>
      <c r="N281" t="str">
        <f t="shared" si="114"/>
        <v/>
      </c>
      <c r="O281" s="9" t="str">
        <f t="shared" ref="O281:T290" si="128">O217</f>
        <v/>
      </c>
      <c r="P281" s="9" t="str">
        <f t="shared" si="128"/>
        <v/>
      </c>
      <c r="Q281" s="9" t="str">
        <f t="shared" si="128"/>
        <v/>
      </c>
      <c r="R281" s="9" t="str">
        <f t="shared" si="128"/>
        <v/>
      </c>
      <c r="S281" s="9" t="str">
        <f t="shared" si="128"/>
        <v/>
      </c>
      <c r="T281" s="9" t="str">
        <f t="shared" si="128"/>
        <v/>
      </c>
      <c r="U281" s="9"/>
      <c r="V281" s="9" t="str">
        <f t="shared" si="112"/>
        <v/>
      </c>
      <c r="W281" t="str">
        <f t="shared" si="116"/>
        <v/>
      </c>
      <c r="X281" s="9" t="str">
        <f t="shared" ref="X281:AD290" si="129">X217</f>
        <v/>
      </c>
      <c r="Y281" s="9" t="str">
        <f t="shared" si="129"/>
        <v/>
      </c>
      <c r="Z281" s="9" t="str">
        <f t="shared" si="129"/>
        <v/>
      </c>
      <c r="AA281" s="9" t="str">
        <f t="shared" si="129"/>
        <v/>
      </c>
      <c r="AB281" s="9" t="str">
        <f t="shared" si="129"/>
        <v/>
      </c>
      <c r="AC281" s="9" t="str">
        <f t="shared" si="129"/>
        <v/>
      </c>
      <c r="AD281" s="9" t="str">
        <f t="shared" si="129"/>
        <v/>
      </c>
      <c r="AE281" t="str">
        <f t="shared" si="118"/>
        <v/>
      </c>
      <c r="AF281" s="9" t="str">
        <f t="shared" ref="AF281:AL290" si="130">AF217</f>
        <v/>
      </c>
      <c r="AG281" s="9" t="str">
        <f t="shared" si="130"/>
        <v/>
      </c>
      <c r="AH281" s="9" t="str">
        <f t="shared" si="130"/>
        <v/>
      </c>
      <c r="AI281" s="9" t="str">
        <f t="shared" si="130"/>
        <v/>
      </c>
      <c r="AJ281" s="9" t="str">
        <f t="shared" si="130"/>
        <v/>
      </c>
      <c r="AK281" s="9" t="str">
        <f t="shared" si="130"/>
        <v/>
      </c>
      <c r="AL281" s="9" t="str">
        <f t="shared" si="130"/>
        <v/>
      </c>
      <c r="AP281" t="str">
        <f t="shared" si="120"/>
        <v/>
      </c>
      <c r="AQ281" s="9" t="str">
        <f t="shared" ref="AQ281:AW290" si="131">AQ217</f>
        <v/>
      </c>
      <c r="AR281" s="9" t="str">
        <f t="shared" si="131"/>
        <v/>
      </c>
      <c r="AS281" s="9" t="str">
        <f t="shared" si="131"/>
        <v/>
      </c>
      <c r="AT281" s="9" t="str">
        <f t="shared" si="131"/>
        <v/>
      </c>
      <c r="AU281" s="9" t="str">
        <f t="shared" si="131"/>
        <v/>
      </c>
      <c r="AV281" s="9" t="str">
        <f t="shared" si="131"/>
        <v/>
      </c>
      <c r="AW281" s="9" t="str">
        <f t="shared" si="131"/>
        <v/>
      </c>
    </row>
    <row r="282" spans="3:49" x14ac:dyDescent="0.25">
      <c r="C282">
        <v>126</v>
      </c>
      <c r="D282" t="str">
        <f t="shared" si="111"/>
        <v/>
      </c>
      <c r="E282" s="9" t="str">
        <f t="shared" si="127"/>
        <v/>
      </c>
      <c r="F282" s="9" t="str">
        <f t="shared" si="127"/>
        <v/>
      </c>
      <c r="G282" s="9" t="str">
        <f t="shared" si="127"/>
        <v/>
      </c>
      <c r="H282" s="9" t="str">
        <f t="shared" si="127"/>
        <v/>
      </c>
      <c r="I282" s="9" t="str">
        <f t="shared" si="127"/>
        <v/>
      </c>
      <c r="J282" s="9" t="str">
        <f t="shared" si="127"/>
        <v/>
      </c>
      <c r="K282" s="9" t="str">
        <f t="shared" si="127"/>
        <v/>
      </c>
      <c r="N282" t="str">
        <f t="shared" si="114"/>
        <v/>
      </c>
      <c r="O282" s="9" t="str">
        <f t="shared" si="128"/>
        <v/>
      </c>
      <c r="P282" s="9" t="str">
        <f t="shared" si="128"/>
        <v/>
      </c>
      <c r="Q282" s="9" t="str">
        <f t="shared" si="128"/>
        <v/>
      </c>
      <c r="R282" s="9" t="str">
        <f t="shared" si="128"/>
        <v/>
      </c>
      <c r="S282" s="9" t="str">
        <f t="shared" si="128"/>
        <v/>
      </c>
      <c r="T282" s="9" t="str">
        <f t="shared" si="128"/>
        <v/>
      </c>
      <c r="U282" s="9"/>
      <c r="V282" s="9" t="str">
        <f t="shared" si="112"/>
        <v/>
      </c>
      <c r="W282" t="str">
        <f t="shared" si="116"/>
        <v/>
      </c>
      <c r="X282" s="9" t="str">
        <f t="shared" si="129"/>
        <v/>
      </c>
      <c r="Y282" s="9" t="str">
        <f t="shared" si="129"/>
        <v/>
      </c>
      <c r="Z282" s="9" t="str">
        <f t="shared" si="129"/>
        <v/>
      </c>
      <c r="AA282" s="9" t="str">
        <f t="shared" si="129"/>
        <v/>
      </c>
      <c r="AB282" s="9" t="str">
        <f t="shared" si="129"/>
        <v/>
      </c>
      <c r="AC282" s="9" t="str">
        <f t="shared" si="129"/>
        <v/>
      </c>
      <c r="AD282" s="9" t="str">
        <f t="shared" si="129"/>
        <v/>
      </c>
      <c r="AE282" t="str">
        <f t="shared" si="118"/>
        <v/>
      </c>
      <c r="AF282" s="9" t="str">
        <f t="shared" si="130"/>
        <v/>
      </c>
      <c r="AG282" s="9" t="str">
        <f t="shared" si="130"/>
        <v/>
      </c>
      <c r="AH282" s="9" t="str">
        <f t="shared" si="130"/>
        <v/>
      </c>
      <c r="AI282" s="9" t="str">
        <f t="shared" si="130"/>
        <v/>
      </c>
      <c r="AJ282" s="9" t="str">
        <f t="shared" si="130"/>
        <v/>
      </c>
      <c r="AK282" s="9" t="str">
        <f t="shared" si="130"/>
        <v/>
      </c>
      <c r="AL282" s="9" t="str">
        <f t="shared" si="130"/>
        <v/>
      </c>
      <c r="AP282" t="str">
        <f t="shared" si="120"/>
        <v/>
      </c>
      <c r="AQ282" s="9" t="str">
        <f t="shared" si="131"/>
        <v/>
      </c>
      <c r="AR282" s="9" t="str">
        <f t="shared" si="131"/>
        <v/>
      </c>
      <c r="AS282" s="9" t="str">
        <f t="shared" si="131"/>
        <v/>
      </c>
      <c r="AT282" s="9" t="str">
        <f t="shared" si="131"/>
        <v/>
      </c>
      <c r="AU282" s="9" t="str">
        <f t="shared" si="131"/>
        <v/>
      </c>
      <c r="AV282" s="9" t="str">
        <f t="shared" si="131"/>
        <v/>
      </c>
      <c r="AW282" s="9" t="str">
        <f t="shared" si="131"/>
        <v/>
      </c>
    </row>
    <row r="283" spans="3:49" x14ac:dyDescent="0.25">
      <c r="C283">
        <v>127</v>
      </c>
      <c r="D283" t="str">
        <f t="shared" si="111"/>
        <v/>
      </c>
      <c r="E283" s="9" t="str">
        <f t="shared" si="127"/>
        <v/>
      </c>
      <c r="F283" s="9" t="str">
        <f t="shared" si="127"/>
        <v/>
      </c>
      <c r="G283" s="9" t="str">
        <f t="shared" si="127"/>
        <v/>
      </c>
      <c r="H283" s="9" t="str">
        <f t="shared" si="127"/>
        <v/>
      </c>
      <c r="I283" s="9" t="str">
        <f t="shared" si="127"/>
        <v/>
      </c>
      <c r="J283" s="9" t="str">
        <f t="shared" si="127"/>
        <v/>
      </c>
      <c r="K283" s="9" t="str">
        <f t="shared" si="127"/>
        <v/>
      </c>
      <c r="N283" t="str">
        <f t="shared" si="114"/>
        <v/>
      </c>
      <c r="O283" s="9" t="str">
        <f t="shared" si="128"/>
        <v/>
      </c>
      <c r="P283" s="9" t="str">
        <f t="shared" si="128"/>
        <v/>
      </c>
      <c r="Q283" s="9" t="str">
        <f t="shared" si="128"/>
        <v/>
      </c>
      <c r="R283" s="9" t="str">
        <f t="shared" si="128"/>
        <v/>
      </c>
      <c r="S283" s="9" t="str">
        <f t="shared" si="128"/>
        <v/>
      </c>
      <c r="T283" s="9" t="str">
        <f t="shared" si="128"/>
        <v/>
      </c>
      <c r="U283" s="9"/>
      <c r="V283" s="9" t="str">
        <f t="shared" si="112"/>
        <v/>
      </c>
      <c r="W283" t="str">
        <f t="shared" si="116"/>
        <v/>
      </c>
      <c r="X283" s="9" t="str">
        <f t="shared" si="129"/>
        <v/>
      </c>
      <c r="Y283" s="9" t="str">
        <f t="shared" si="129"/>
        <v/>
      </c>
      <c r="Z283" s="9" t="str">
        <f t="shared" si="129"/>
        <v/>
      </c>
      <c r="AA283" s="9" t="str">
        <f t="shared" si="129"/>
        <v/>
      </c>
      <c r="AB283" s="9" t="str">
        <f t="shared" si="129"/>
        <v/>
      </c>
      <c r="AC283" s="9" t="str">
        <f t="shared" si="129"/>
        <v/>
      </c>
      <c r="AD283" s="9" t="str">
        <f t="shared" si="129"/>
        <v/>
      </c>
      <c r="AE283" t="str">
        <f t="shared" si="118"/>
        <v/>
      </c>
      <c r="AF283" s="9" t="str">
        <f t="shared" si="130"/>
        <v/>
      </c>
      <c r="AG283" s="9" t="str">
        <f t="shared" si="130"/>
        <v/>
      </c>
      <c r="AH283" s="9" t="str">
        <f t="shared" si="130"/>
        <v/>
      </c>
      <c r="AI283" s="9" t="str">
        <f t="shared" si="130"/>
        <v/>
      </c>
      <c r="AJ283" s="9" t="str">
        <f t="shared" si="130"/>
        <v/>
      </c>
      <c r="AK283" s="9" t="str">
        <f t="shared" si="130"/>
        <v/>
      </c>
      <c r="AL283" s="9" t="str">
        <f t="shared" si="130"/>
        <v/>
      </c>
      <c r="AP283" t="str">
        <f t="shared" si="120"/>
        <v/>
      </c>
      <c r="AQ283" s="9" t="str">
        <f t="shared" si="131"/>
        <v/>
      </c>
      <c r="AR283" s="9" t="str">
        <f t="shared" si="131"/>
        <v/>
      </c>
      <c r="AS283" s="9" t="str">
        <f t="shared" si="131"/>
        <v/>
      </c>
      <c r="AT283" s="9" t="str">
        <f t="shared" si="131"/>
        <v/>
      </c>
      <c r="AU283" s="9" t="str">
        <f t="shared" si="131"/>
        <v/>
      </c>
      <c r="AV283" s="9" t="str">
        <f t="shared" si="131"/>
        <v/>
      </c>
      <c r="AW283" s="9" t="str">
        <f t="shared" si="131"/>
        <v/>
      </c>
    </row>
    <row r="284" spans="3:49" x14ac:dyDescent="0.25">
      <c r="C284">
        <v>128</v>
      </c>
      <c r="D284" t="str">
        <f t="shared" si="111"/>
        <v/>
      </c>
      <c r="E284" s="9" t="str">
        <f t="shared" si="127"/>
        <v/>
      </c>
      <c r="F284" s="9" t="str">
        <f t="shared" si="127"/>
        <v/>
      </c>
      <c r="G284" s="9" t="str">
        <f t="shared" si="127"/>
        <v/>
      </c>
      <c r="H284" s="9" t="str">
        <f t="shared" si="127"/>
        <v/>
      </c>
      <c r="I284" s="9" t="str">
        <f t="shared" si="127"/>
        <v/>
      </c>
      <c r="J284" s="9" t="str">
        <f t="shared" si="127"/>
        <v/>
      </c>
      <c r="K284" s="9" t="str">
        <f t="shared" si="127"/>
        <v/>
      </c>
      <c r="N284" t="str">
        <f t="shared" si="114"/>
        <v/>
      </c>
      <c r="O284" s="9" t="str">
        <f t="shared" si="128"/>
        <v/>
      </c>
      <c r="P284" s="9" t="str">
        <f t="shared" si="128"/>
        <v/>
      </c>
      <c r="Q284" s="9" t="str">
        <f t="shared" si="128"/>
        <v/>
      </c>
      <c r="R284" s="9" t="str">
        <f t="shared" si="128"/>
        <v/>
      </c>
      <c r="S284" s="9" t="str">
        <f t="shared" si="128"/>
        <v/>
      </c>
      <c r="T284" s="9" t="str">
        <f t="shared" si="128"/>
        <v/>
      </c>
      <c r="U284" s="9"/>
      <c r="V284" s="9" t="str">
        <f t="shared" si="112"/>
        <v/>
      </c>
      <c r="W284" t="str">
        <f t="shared" si="116"/>
        <v/>
      </c>
      <c r="X284" s="9" t="str">
        <f t="shared" si="129"/>
        <v/>
      </c>
      <c r="Y284" s="9" t="str">
        <f t="shared" si="129"/>
        <v/>
      </c>
      <c r="Z284" s="9" t="str">
        <f t="shared" si="129"/>
        <v/>
      </c>
      <c r="AA284" s="9" t="str">
        <f t="shared" si="129"/>
        <v/>
      </c>
      <c r="AB284" s="9" t="str">
        <f t="shared" si="129"/>
        <v/>
      </c>
      <c r="AC284" s="9" t="str">
        <f t="shared" si="129"/>
        <v/>
      </c>
      <c r="AD284" s="9" t="str">
        <f t="shared" si="129"/>
        <v/>
      </c>
      <c r="AE284" t="str">
        <f t="shared" si="118"/>
        <v/>
      </c>
      <c r="AF284" s="9" t="str">
        <f t="shared" si="130"/>
        <v/>
      </c>
      <c r="AG284" s="9" t="str">
        <f t="shared" si="130"/>
        <v/>
      </c>
      <c r="AH284" s="9" t="str">
        <f t="shared" si="130"/>
        <v/>
      </c>
      <c r="AI284" s="9" t="str">
        <f t="shared" si="130"/>
        <v/>
      </c>
      <c r="AJ284" s="9" t="str">
        <f t="shared" si="130"/>
        <v/>
      </c>
      <c r="AK284" s="9" t="str">
        <f t="shared" si="130"/>
        <v/>
      </c>
      <c r="AL284" s="9" t="str">
        <f t="shared" si="130"/>
        <v/>
      </c>
      <c r="AP284" t="str">
        <f t="shared" si="120"/>
        <v/>
      </c>
      <c r="AQ284" s="9" t="str">
        <f t="shared" si="131"/>
        <v/>
      </c>
      <c r="AR284" s="9" t="str">
        <f t="shared" si="131"/>
        <v/>
      </c>
      <c r="AS284" s="9" t="str">
        <f t="shared" si="131"/>
        <v/>
      </c>
      <c r="AT284" s="9" t="str">
        <f t="shared" si="131"/>
        <v/>
      </c>
      <c r="AU284" s="9" t="str">
        <f t="shared" si="131"/>
        <v/>
      </c>
      <c r="AV284" s="9" t="str">
        <f t="shared" si="131"/>
        <v/>
      </c>
      <c r="AW284" s="9" t="str">
        <f t="shared" si="131"/>
        <v/>
      </c>
    </row>
    <row r="285" spans="3:49" x14ac:dyDescent="0.25">
      <c r="D285" s="20"/>
    </row>
    <row r="286" spans="3:49" x14ac:dyDescent="0.25">
      <c r="D286" s="20"/>
    </row>
    <row r="287" spans="3:49" ht="30" customHeight="1" x14ac:dyDescent="0.25">
      <c r="E287" s="75" t="s">
        <v>505</v>
      </c>
      <c r="F287" s="66" t="s">
        <v>505</v>
      </c>
      <c r="G287" s="67" t="s">
        <v>505</v>
      </c>
      <c r="H287" s="68" t="s">
        <v>505</v>
      </c>
      <c r="I287" s="69" t="s">
        <v>505</v>
      </c>
      <c r="J287" s="65" t="s">
        <v>536</v>
      </c>
      <c r="K287" s="66" t="s">
        <v>536</v>
      </c>
      <c r="L287" s="66"/>
      <c r="M287" s="66"/>
      <c r="N287" s="67" t="s">
        <v>536</v>
      </c>
      <c r="O287" s="68" t="s">
        <v>536</v>
      </c>
      <c r="P287" s="69" t="s">
        <v>536</v>
      </c>
      <c r="Q287" s="65" t="s">
        <v>537</v>
      </c>
      <c r="R287" s="66" t="s">
        <v>537</v>
      </c>
      <c r="S287" s="76" t="s">
        <v>537</v>
      </c>
      <c r="T287" s="68" t="s">
        <v>537</v>
      </c>
      <c r="U287" s="68"/>
      <c r="V287" s="69" t="s">
        <v>537</v>
      </c>
      <c r="W287" s="65" t="s">
        <v>538</v>
      </c>
      <c r="X287" s="66" t="s">
        <v>538</v>
      </c>
      <c r="Y287" s="67" t="s">
        <v>538</v>
      </c>
      <c r="Z287" s="68" t="s">
        <v>538</v>
      </c>
      <c r="AA287" s="69" t="s">
        <v>538</v>
      </c>
    </row>
    <row r="288" spans="3:49" x14ac:dyDescent="0.25">
      <c r="D288" s="70">
        <v>1</v>
      </c>
      <c r="E288" s="27" t="str">
        <f t="shared" ref="E288:E319" si="132">IFERROR(VLOOKUP(SMALL($D$157:$D$284,D288),$D$157:$AW$284,2,FALSE),"")</f>
        <v/>
      </c>
      <c r="F288" s="33" t="str">
        <f t="shared" ref="F288:F319" si="133">IFERROR(VLOOKUP(SMALL($D$157:$D$284,D288),$D$157:$AW$284,12,FALSE),"")</f>
        <v/>
      </c>
      <c r="G288" s="33" t="str">
        <f t="shared" ref="G288:G319" si="134">IFERROR(VLOOKUP(SMALL($D$157:$D$284,D288),$D$157:$AW$284,21,FALSE),"")</f>
        <v/>
      </c>
      <c r="H288" s="33" t="str">
        <f t="shared" ref="H288:H319" si="135">IFERROR(VLOOKUP(SMALL($D$157:$D$284,D288),$D$157:$AW$284,29,FALSE),"")</f>
        <v/>
      </c>
      <c r="I288" s="33" t="str">
        <f t="shared" ref="I288:I319" si="136">IFERROR(VLOOKUP(SMALL($D$157:$D$284,D288),$D$157:$AW$284,40,FALSE),"")</f>
        <v/>
      </c>
      <c r="J288" s="33" t="str">
        <f t="shared" ref="J288:J319" si="137">IFERROR(VLOOKUP(SMALL($D$157:$D$284,D288),$D$157:$AW$284,4,FALSE),"")</f>
        <v/>
      </c>
      <c r="K288" s="33" t="str">
        <f t="shared" ref="K288:K319" si="138">IFERROR(VLOOKUP(SMALL($D$157:$D$284,D288),$D$157:$AW$284,14,FALSE),"")</f>
        <v/>
      </c>
      <c r="L288" s="33"/>
      <c r="M288" s="33"/>
      <c r="N288" s="33" t="str">
        <f t="shared" ref="N288:N319" si="139">IFERROR(VLOOKUP(SMALL($D$157:$D$284,D288),$D$157:$AW$284,23,FALSE),"")</f>
        <v/>
      </c>
      <c r="O288" s="33" t="str">
        <f t="shared" ref="O288:O319" si="140">IFERROR(VLOOKUP(SMALL($D$157:$D$284,D288),$D$157:$AW$284,31,FALSE),"")</f>
        <v/>
      </c>
      <c r="P288" s="33" t="str">
        <f t="shared" ref="P288:P319" si="141">IFERROR(VLOOKUP(SMALL($D$157:$D$284,D288),$D$157:$AW$284,42,FALSE),"")</f>
        <v/>
      </c>
      <c r="Q288" s="33" t="str">
        <f t="shared" ref="Q288:Q319" si="142">IFERROR(VLOOKUP(SMALL($D$157:$D$284,D288),$D$157:$AW$284,6,FALSE),"")</f>
        <v/>
      </c>
      <c r="R288" s="33" t="str">
        <f t="shared" ref="R288:R319" si="143">IFERROR(VLOOKUP(SMALL($D$157:$D$284,D288),$D$157:$AW$284,16,FALSE),"")</f>
        <v/>
      </c>
      <c r="S288" s="27" t="str">
        <f t="shared" ref="S288:S319" si="144">IFERROR(VLOOKUP(SMALL($D$157:$D$284,D288),$D$157:$AW$284,25,FALSE),"")</f>
        <v/>
      </c>
      <c r="T288" s="33" t="str">
        <f t="shared" ref="T288:T319" si="145">IFERROR(VLOOKUP(SMALL($D$157:$D$284,D288),$D$157:$AW$284,33,FALSE),"")</f>
        <v/>
      </c>
      <c r="U288" s="33"/>
      <c r="V288" s="33" t="str">
        <f t="shared" ref="V288:V319" si="146">IFERROR(VLOOKUP(SMALL($D$157:$D$284,D288),$D$157:$AW$284,44,FALSE),"")</f>
        <v/>
      </c>
      <c r="W288" s="33" t="str">
        <f t="shared" ref="W288:W319" si="147">IFERROR(VLOOKUP(SMALL($D$157:$D$284,D288),$D$157:$AW$284,8,FALSE),"")</f>
        <v/>
      </c>
      <c r="X288" s="33" t="str">
        <f t="shared" ref="X288:X319" si="148">IFERROR(VLOOKUP(SMALL($D$157:$D$284,D288),$D$157:$AW$284,19,FALSE),"")</f>
        <v/>
      </c>
      <c r="Y288" s="33" t="str">
        <f t="shared" ref="Y288:Y319" si="149">IFERROR(VLOOKUP(SMALL($D$157:$D$284,D288),$D$157:$AW$284,27,FALSE),"")</f>
        <v/>
      </c>
      <c r="Z288" s="33" t="str">
        <f t="shared" ref="Z288:Z319" si="150">IFERROR(VLOOKUP(SMALL($D$157:$D$284,D288),$D$157:$AW$284,35,FALSE),"")</f>
        <v/>
      </c>
      <c r="AA288" s="33" t="str">
        <f t="shared" ref="AA288:AA319" si="151">IFERROR(VLOOKUP(SMALL($D$157:$D$284,D288),$D$157:$AW$284,46,FALSE),"")</f>
        <v/>
      </c>
    </row>
    <row r="289" spans="4:27" x14ac:dyDescent="0.25">
      <c r="D289" s="70">
        <v>2</v>
      </c>
      <c r="E289" s="27" t="str">
        <f t="shared" si="132"/>
        <v/>
      </c>
      <c r="F289" s="33" t="str">
        <f t="shared" si="133"/>
        <v/>
      </c>
      <c r="G289" s="33" t="str">
        <f t="shared" si="134"/>
        <v/>
      </c>
      <c r="H289" s="33" t="str">
        <f t="shared" si="135"/>
        <v/>
      </c>
      <c r="I289" s="33" t="str">
        <f t="shared" si="136"/>
        <v/>
      </c>
      <c r="J289" s="33" t="str">
        <f t="shared" si="137"/>
        <v/>
      </c>
      <c r="K289" s="33" t="str">
        <f t="shared" si="138"/>
        <v/>
      </c>
      <c r="L289" s="33"/>
      <c r="M289" s="33"/>
      <c r="N289" s="33" t="str">
        <f t="shared" si="139"/>
        <v/>
      </c>
      <c r="O289" s="33" t="str">
        <f t="shared" si="140"/>
        <v/>
      </c>
      <c r="P289" s="33" t="str">
        <f t="shared" si="141"/>
        <v/>
      </c>
      <c r="Q289" s="33" t="str">
        <f t="shared" si="142"/>
        <v/>
      </c>
      <c r="R289" s="33" t="str">
        <f t="shared" si="143"/>
        <v/>
      </c>
      <c r="S289" s="27" t="str">
        <f t="shared" si="144"/>
        <v/>
      </c>
      <c r="T289" s="33" t="str">
        <f t="shared" si="145"/>
        <v/>
      </c>
      <c r="U289" s="33"/>
      <c r="V289" s="33" t="str">
        <f t="shared" si="146"/>
        <v/>
      </c>
      <c r="W289" s="33" t="str">
        <f t="shared" si="147"/>
        <v/>
      </c>
      <c r="X289" s="33" t="str">
        <f t="shared" si="148"/>
        <v/>
      </c>
      <c r="Y289" s="33" t="str">
        <f t="shared" si="149"/>
        <v/>
      </c>
      <c r="Z289" s="33" t="str">
        <f t="shared" si="150"/>
        <v/>
      </c>
      <c r="AA289" s="33" t="str">
        <f t="shared" si="151"/>
        <v/>
      </c>
    </row>
    <row r="290" spans="4:27" x14ac:dyDescent="0.25">
      <c r="D290" s="70">
        <v>3</v>
      </c>
      <c r="E290" s="27" t="str">
        <f t="shared" si="132"/>
        <v/>
      </c>
      <c r="F290" s="33" t="str">
        <f t="shared" si="133"/>
        <v/>
      </c>
      <c r="G290" s="33" t="str">
        <f t="shared" si="134"/>
        <v/>
      </c>
      <c r="H290" s="33" t="str">
        <f t="shared" si="135"/>
        <v/>
      </c>
      <c r="I290" s="33" t="str">
        <f t="shared" si="136"/>
        <v/>
      </c>
      <c r="J290" s="33" t="str">
        <f t="shared" si="137"/>
        <v/>
      </c>
      <c r="K290" s="33" t="str">
        <f t="shared" si="138"/>
        <v/>
      </c>
      <c r="L290" s="33"/>
      <c r="M290" s="33"/>
      <c r="N290" s="33" t="str">
        <f t="shared" si="139"/>
        <v/>
      </c>
      <c r="O290" s="33" t="str">
        <f t="shared" si="140"/>
        <v/>
      </c>
      <c r="P290" s="33" t="str">
        <f t="shared" si="141"/>
        <v/>
      </c>
      <c r="Q290" s="33" t="str">
        <f t="shared" si="142"/>
        <v/>
      </c>
      <c r="R290" s="33" t="str">
        <f t="shared" si="143"/>
        <v/>
      </c>
      <c r="S290" s="27" t="str">
        <f t="shared" si="144"/>
        <v/>
      </c>
      <c r="T290" s="33" t="str">
        <f t="shared" si="145"/>
        <v/>
      </c>
      <c r="U290" s="33"/>
      <c r="V290" s="33" t="str">
        <f t="shared" si="146"/>
        <v/>
      </c>
      <c r="W290" s="33" t="str">
        <f t="shared" si="147"/>
        <v/>
      </c>
      <c r="X290" s="33" t="str">
        <f t="shared" si="148"/>
        <v/>
      </c>
      <c r="Y290" s="33" t="str">
        <f t="shared" si="149"/>
        <v/>
      </c>
      <c r="Z290" s="33" t="str">
        <f t="shared" si="150"/>
        <v/>
      </c>
      <c r="AA290" s="33" t="str">
        <f t="shared" si="151"/>
        <v/>
      </c>
    </row>
    <row r="291" spans="4:27" x14ac:dyDescent="0.25">
      <c r="D291" s="70">
        <v>4</v>
      </c>
      <c r="E291" s="27" t="str">
        <f t="shared" si="132"/>
        <v/>
      </c>
      <c r="F291" s="33" t="str">
        <f t="shared" si="133"/>
        <v/>
      </c>
      <c r="G291" s="33" t="str">
        <f t="shared" si="134"/>
        <v/>
      </c>
      <c r="H291" s="33" t="str">
        <f t="shared" si="135"/>
        <v/>
      </c>
      <c r="I291" s="33" t="str">
        <f t="shared" si="136"/>
        <v/>
      </c>
      <c r="J291" s="33" t="str">
        <f t="shared" si="137"/>
        <v/>
      </c>
      <c r="K291" s="33" t="str">
        <f t="shared" si="138"/>
        <v/>
      </c>
      <c r="L291" s="33"/>
      <c r="M291" s="33"/>
      <c r="N291" s="33" t="str">
        <f t="shared" si="139"/>
        <v/>
      </c>
      <c r="O291" s="33" t="str">
        <f t="shared" si="140"/>
        <v/>
      </c>
      <c r="P291" s="33" t="str">
        <f t="shared" si="141"/>
        <v/>
      </c>
      <c r="Q291" s="33" t="str">
        <f t="shared" si="142"/>
        <v/>
      </c>
      <c r="R291" s="33" t="str">
        <f t="shared" si="143"/>
        <v/>
      </c>
      <c r="S291" s="27" t="str">
        <f t="shared" si="144"/>
        <v/>
      </c>
      <c r="T291" s="33" t="str">
        <f t="shared" si="145"/>
        <v/>
      </c>
      <c r="U291" s="33"/>
      <c r="V291" s="33" t="str">
        <f t="shared" si="146"/>
        <v/>
      </c>
      <c r="W291" s="33" t="str">
        <f t="shared" si="147"/>
        <v/>
      </c>
      <c r="X291" s="33" t="str">
        <f t="shared" si="148"/>
        <v/>
      </c>
      <c r="Y291" s="33" t="str">
        <f t="shared" si="149"/>
        <v/>
      </c>
      <c r="Z291" s="33" t="str">
        <f t="shared" si="150"/>
        <v/>
      </c>
      <c r="AA291" s="33" t="str">
        <f t="shared" si="151"/>
        <v/>
      </c>
    </row>
    <row r="292" spans="4:27" x14ac:dyDescent="0.25">
      <c r="D292" s="70">
        <v>5</v>
      </c>
      <c r="E292" s="27" t="str">
        <f t="shared" si="132"/>
        <v/>
      </c>
      <c r="F292" s="33" t="str">
        <f t="shared" si="133"/>
        <v/>
      </c>
      <c r="G292" s="33" t="str">
        <f t="shared" si="134"/>
        <v/>
      </c>
      <c r="H292" s="33" t="str">
        <f t="shared" si="135"/>
        <v/>
      </c>
      <c r="I292" s="33" t="str">
        <f t="shared" si="136"/>
        <v/>
      </c>
      <c r="J292" s="33" t="str">
        <f t="shared" si="137"/>
        <v/>
      </c>
      <c r="K292" s="33" t="str">
        <f t="shared" si="138"/>
        <v/>
      </c>
      <c r="L292" s="33"/>
      <c r="M292" s="33"/>
      <c r="N292" s="33" t="str">
        <f t="shared" si="139"/>
        <v/>
      </c>
      <c r="O292" s="33" t="str">
        <f t="shared" si="140"/>
        <v/>
      </c>
      <c r="P292" s="33" t="str">
        <f t="shared" si="141"/>
        <v/>
      </c>
      <c r="Q292" s="33" t="str">
        <f t="shared" si="142"/>
        <v/>
      </c>
      <c r="R292" s="33" t="str">
        <f t="shared" si="143"/>
        <v/>
      </c>
      <c r="S292" s="27" t="str">
        <f t="shared" si="144"/>
        <v/>
      </c>
      <c r="T292" s="33" t="str">
        <f t="shared" si="145"/>
        <v/>
      </c>
      <c r="U292" s="33"/>
      <c r="V292" s="33" t="str">
        <f t="shared" si="146"/>
        <v/>
      </c>
      <c r="W292" s="33" t="str">
        <f t="shared" si="147"/>
        <v/>
      </c>
      <c r="X292" s="33" t="str">
        <f t="shared" si="148"/>
        <v/>
      </c>
      <c r="Y292" s="33" t="str">
        <f t="shared" si="149"/>
        <v/>
      </c>
      <c r="Z292" s="33" t="str">
        <f t="shared" si="150"/>
        <v/>
      </c>
      <c r="AA292" s="33" t="str">
        <f t="shared" si="151"/>
        <v/>
      </c>
    </row>
    <row r="293" spans="4:27" x14ac:dyDescent="0.25">
      <c r="D293" s="70">
        <v>6</v>
      </c>
      <c r="E293" s="27" t="str">
        <f t="shared" si="132"/>
        <v/>
      </c>
      <c r="F293" s="33" t="str">
        <f t="shared" si="133"/>
        <v/>
      </c>
      <c r="G293" s="33" t="str">
        <f t="shared" si="134"/>
        <v/>
      </c>
      <c r="H293" s="33" t="str">
        <f t="shared" si="135"/>
        <v/>
      </c>
      <c r="I293" s="33" t="str">
        <f t="shared" si="136"/>
        <v/>
      </c>
      <c r="J293" s="33" t="str">
        <f t="shared" si="137"/>
        <v/>
      </c>
      <c r="K293" s="33" t="str">
        <f t="shared" si="138"/>
        <v/>
      </c>
      <c r="L293" s="33"/>
      <c r="M293" s="33"/>
      <c r="N293" s="33" t="str">
        <f t="shared" si="139"/>
        <v/>
      </c>
      <c r="O293" s="33" t="str">
        <f t="shared" si="140"/>
        <v/>
      </c>
      <c r="P293" s="33" t="str">
        <f t="shared" si="141"/>
        <v/>
      </c>
      <c r="Q293" s="33" t="str">
        <f t="shared" si="142"/>
        <v/>
      </c>
      <c r="R293" s="33" t="str">
        <f t="shared" si="143"/>
        <v/>
      </c>
      <c r="S293" s="27" t="str">
        <f t="shared" si="144"/>
        <v/>
      </c>
      <c r="T293" s="33" t="str">
        <f t="shared" si="145"/>
        <v/>
      </c>
      <c r="U293" s="33"/>
      <c r="V293" s="33" t="str">
        <f t="shared" si="146"/>
        <v/>
      </c>
      <c r="W293" s="33" t="str">
        <f t="shared" si="147"/>
        <v/>
      </c>
      <c r="X293" s="33" t="str">
        <f t="shared" si="148"/>
        <v/>
      </c>
      <c r="Y293" s="33" t="str">
        <f t="shared" si="149"/>
        <v/>
      </c>
      <c r="Z293" s="33" t="str">
        <f t="shared" si="150"/>
        <v/>
      </c>
      <c r="AA293" s="33" t="str">
        <f t="shared" si="151"/>
        <v/>
      </c>
    </row>
    <row r="294" spans="4:27" x14ac:dyDescent="0.25">
      <c r="D294" s="70">
        <v>7</v>
      </c>
      <c r="E294" s="27" t="str">
        <f t="shared" si="132"/>
        <v/>
      </c>
      <c r="F294" s="33" t="str">
        <f t="shared" si="133"/>
        <v/>
      </c>
      <c r="G294" s="33" t="str">
        <f t="shared" si="134"/>
        <v/>
      </c>
      <c r="H294" s="33" t="str">
        <f t="shared" si="135"/>
        <v/>
      </c>
      <c r="I294" s="33" t="str">
        <f t="shared" si="136"/>
        <v/>
      </c>
      <c r="J294" s="33" t="str">
        <f t="shared" si="137"/>
        <v/>
      </c>
      <c r="K294" s="33" t="str">
        <f t="shared" si="138"/>
        <v/>
      </c>
      <c r="L294" s="33"/>
      <c r="M294" s="33"/>
      <c r="N294" s="33" t="str">
        <f t="shared" si="139"/>
        <v/>
      </c>
      <c r="O294" s="33" t="str">
        <f t="shared" si="140"/>
        <v/>
      </c>
      <c r="P294" s="33" t="str">
        <f t="shared" si="141"/>
        <v/>
      </c>
      <c r="Q294" s="33" t="str">
        <f t="shared" si="142"/>
        <v/>
      </c>
      <c r="R294" s="33" t="str">
        <f t="shared" si="143"/>
        <v/>
      </c>
      <c r="S294" s="27" t="str">
        <f t="shared" si="144"/>
        <v/>
      </c>
      <c r="T294" s="33" t="str">
        <f t="shared" si="145"/>
        <v/>
      </c>
      <c r="U294" s="33"/>
      <c r="V294" s="33" t="str">
        <f t="shared" si="146"/>
        <v/>
      </c>
      <c r="W294" s="33" t="str">
        <f t="shared" si="147"/>
        <v/>
      </c>
      <c r="X294" s="33" t="str">
        <f t="shared" si="148"/>
        <v/>
      </c>
      <c r="Y294" s="33" t="str">
        <f t="shared" si="149"/>
        <v/>
      </c>
      <c r="Z294" s="33" t="str">
        <f t="shared" si="150"/>
        <v/>
      </c>
      <c r="AA294" s="33" t="str">
        <f t="shared" si="151"/>
        <v/>
      </c>
    </row>
    <row r="295" spans="4:27" x14ac:dyDescent="0.25">
      <c r="D295" s="70">
        <v>8</v>
      </c>
      <c r="E295" s="27" t="str">
        <f t="shared" si="132"/>
        <v/>
      </c>
      <c r="F295" s="33" t="str">
        <f t="shared" si="133"/>
        <v/>
      </c>
      <c r="G295" s="33" t="str">
        <f t="shared" si="134"/>
        <v/>
      </c>
      <c r="H295" s="33" t="str">
        <f t="shared" si="135"/>
        <v/>
      </c>
      <c r="I295" s="33" t="str">
        <f t="shared" si="136"/>
        <v/>
      </c>
      <c r="J295" s="33" t="str">
        <f t="shared" si="137"/>
        <v/>
      </c>
      <c r="K295" s="33" t="str">
        <f t="shared" si="138"/>
        <v/>
      </c>
      <c r="L295" s="33"/>
      <c r="M295" s="33"/>
      <c r="N295" s="33" t="str">
        <f t="shared" si="139"/>
        <v/>
      </c>
      <c r="O295" s="33" t="str">
        <f t="shared" si="140"/>
        <v/>
      </c>
      <c r="P295" s="33" t="str">
        <f t="shared" si="141"/>
        <v/>
      </c>
      <c r="Q295" s="33" t="str">
        <f t="shared" si="142"/>
        <v/>
      </c>
      <c r="R295" s="33" t="str">
        <f t="shared" si="143"/>
        <v/>
      </c>
      <c r="S295" s="27" t="str">
        <f t="shared" si="144"/>
        <v/>
      </c>
      <c r="T295" s="33" t="str">
        <f t="shared" si="145"/>
        <v/>
      </c>
      <c r="U295" s="33"/>
      <c r="V295" s="33" t="str">
        <f t="shared" si="146"/>
        <v/>
      </c>
      <c r="W295" s="33" t="str">
        <f t="shared" si="147"/>
        <v/>
      </c>
      <c r="X295" s="33" t="str">
        <f t="shared" si="148"/>
        <v/>
      </c>
      <c r="Y295" s="33" t="str">
        <f t="shared" si="149"/>
        <v/>
      </c>
      <c r="Z295" s="33" t="str">
        <f t="shared" si="150"/>
        <v/>
      </c>
      <c r="AA295" s="33" t="str">
        <f t="shared" si="151"/>
        <v/>
      </c>
    </row>
    <row r="296" spans="4:27" x14ac:dyDescent="0.25">
      <c r="D296" s="70">
        <v>9</v>
      </c>
      <c r="E296" s="27" t="str">
        <f t="shared" si="132"/>
        <v/>
      </c>
      <c r="F296" s="33" t="str">
        <f t="shared" si="133"/>
        <v/>
      </c>
      <c r="G296" s="33" t="str">
        <f t="shared" si="134"/>
        <v/>
      </c>
      <c r="H296" s="33" t="str">
        <f t="shared" si="135"/>
        <v/>
      </c>
      <c r="I296" s="33" t="str">
        <f t="shared" si="136"/>
        <v/>
      </c>
      <c r="J296" s="33" t="str">
        <f t="shared" si="137"/>
        <v/>
      </c>
      <c r="K296" s="33" t="str">
        <f t="shared" si="138"/>
        <v/>
      </c>
      <c r="L296" s="33"/>
      <c r="M296" s="33"/>
      <c r="N296" s="33" t="str">
        <f t="shared" si="139"/>
        <v/>
      </c>
      <c r="O296" s="33" t="str">
        <f t="shared" si="140"/>
        <v/>
      </c>
      <c r="P296" s="33" t="str">
        <f t="shared" si="141"/>
        <v/>
      </c>
      <c r="Q296" s="33" t="str">
        <f t="shared" si="142"/>
        <v/>
      </c>
      <c r="R296" s="33" t="str">
        <f t="shared" si="143"/>
        <v/>
      </c>
      <c r="S296" s="27" t="str">
        <f t="shared" si="144"/>
        <v/>
      </c>
      <c r="T296" s="33" t="str">
        <f t="shared" si="145"/>
        <v/>
      </c>
      <c r="U296" s="33"/>
      <c r="V296" s="33" t="str">
        <f t="shared" si="146"/>
        <v/>
      </c>
      <c r="W296" s="33" t="str">
        <f t="shared" si="147"/>
        <v/>
      </c>
      <c r="X296" s="33" t="str">
        <f t="shared" si="148"/>
        <v/>
      </c>
      <c r="Y296" s="33" t="str">
        <f t="shared" si="149"/>
        <v/>
      </c>
      <c r="Z296" s="33" t="str">
        <f t="shared" si="150"/>
        <v/>
      </c>
      <c r="AA296" s="33" t="str">
        <f t="shared" si="151"/>
        <v/>
      </c>
    </row>
    <row r="297" spans="4:27" x14ac:dyDescent="0.25">
      <c r="D297" s="70">
        <v>10</v>
      </c>
      <c r="E297" s="27" t="str">
        <f t="shared" si="132"/>
        <v/>
      </c>
      <c r="F297" s="33" t="str">
        <f t="shared" si="133"/>
        <v/>
      </c>
      <c r="G297" s="33" t="str">
        <f t="shared" si="134"/>
        <v/>
      </c>
      <c r="H297" s="33" t="str">
        <f t="shared" si="135"/>
        <v/>
      </c>
      <c r="I297" s="33" t="str">
        <f t="shared" si="136"/>
        <v/>
      </c>
      <c r="J297" s="33" t="str">
        <f t="shared" si="137"/>
        <v/>
      </c>
      <c r="K297" s="33" t="str">
        <f t="shared" si="138"/>
        <v/>
      </c>
      <c r="L297" s="33"/>
      <c r="M297" s="33"/>
      <c r="N297" s="33" t="str">
        <f t="shared" si="139"/>
        <v/>
      </c>
      <c r="O297" s="33" t="str">
        <f t="shared" si="140"/>
        <v/>
      </c>
      <c r="P297" s="33" t="str">
        <f t="shared" si="141"/>
        <v/>
      </c>
      <c r="Q297" s="33" t="str">
        <f t="shared" si="142"/>
        <v/>
      </c>
      <c r="R297" s="33" t="str">
        <f t="shared" si="143"/>
        <v/>
      </c>
      <c r="S297" s="27" t="str">
        <f t="shared" si="144"/>
        <v/>
      </c>
      <c r="T297" s="33" t="str">
        <f t="shared" si="145"/>
        <v/>
      </c>
      <c r="U297" s="33"/>
      <c r="V297" s="33" t="str">
        <f t="shared" si="146"/>
        <v/>
      </c>
      <c r="W297" s="33" t="str">
        <f t="shared" si="147"/>
        <v/>
      </c>
      <c r="X297" s="33" t="str">
        <f t="shared" si="148"/>
        <v/>
      </c>
      <c r="Y297" s="33" t="str">
        <f t="shared" si="149"/>
        <v/>
      </c>
      <c r="Z297" s="33" t="str">
        <f t="shared" si="150"/>
        <v/>
      </c>
      <c r="AA297" s="33" t="str">
        <f t="shared" si="151"/>
        <v/>
      </c>
    </row>
    <row r="298" spans="4:27" x14ac:dyDescent="0.25">
      <c r="D298" s="70">
        <v>11</v>
      </c>
      <c r="E298" s="27" t="str">
        <f t="shared" si="132"/>
        <v/>
      </c>
      <c r="F298" s="33" t="str">
        <f t="shared" si="133"/>
        <v/>
      </c>
      <c r="G298" s="33" t="str">
        <f t="shared" si="134"/>
        <v/>
      </c>
      <c r="H298" s="33" t="str">
        <f t="shared" si="135"/>
        <v/>
      </c>
      <c r="I298" s="33" t="str">
        <f t="shared" si="136"/>
        <v/>
      </c>
      <c r="J298" s="33" t="str">
        <f t="shared" si="137"/>
        <v/>
      </c>
      <c r="K298" s="33" t="str">
        <f t="shared" si="138"/>
        <v/>
      </c>
      <c r="L298" s="33"/>
      <c r="M298" s="33"/>
      <c r="N298" s="33" t="str">
        <f t="shared" si="139"/>
        <v/>
      </c>
      <c r="O298" s="33" t="str">
        <f t="shared" si="140"/>
        <v/>
      </c>
      <c r="P298" s="33" t="str">
        <f t="shared" si="141"/>
        <v/>
      </c>
      <c r="Q298" s="33" t="str">
        <f t="shared" si="142"/>
        <v/>
      </c>
      <c r="R298" s="33" t="str">
        <f t="shared" si="143"/>
        <v/>
      </c>
      <c r="S298" s="27" t="str">
        <f t="shared" si="144"/>
        <v/>
      </c>
      <c r="T298" s="33" t="str">
        <f t="shared" si="145"/>
        <v/>
      </c>
      <c r="U298" s="33"/>
      <c r="V298" s="33" t="str">
        <f t="shared" si="146"/>
        <v/>
      </c>
      <c r="W298" s="33" t="str">
        <f t="shared" si="147"/>
        <v/>
      </c>
      <c r="X298" s="33" t="str">
        <f t="shared" si="148"/>
        <v/>
      </c>
      <c r="Y298" s="33" t="str">
        <f t="shared" si="149"/>
        <v/>
      </c>
      <c r="Z298" s="33" t="str">
        <f t="shared" si="150"/>
        <v/>
      </c>
      <c r="AA298" s="33" t="str">
        <f t="shared" si="151"/>
        <v/>
      </c>
    </row>
    <row r="299" spans="4:27" x14ac:dyDescent="0.25">
      <c r="D299" s="70">
        <v>12</v>
      </c>
      <c r="E299" s="27" t="str">
        <f t="shared" si="132"/>
        <v/>
      </c>
      <c r="F299" s="33" t="str">
        <f t="shared" si="133"/>
        <v/>
      </c>
      <c r="G299" s="33" t="str">
        <f t="shared" si="134"/>
        <v/>
      </c>
      <c r="H299" s="33" t="str">
        <f t="shared" si="135"/>
        <v/>
      </c>
      <c r="I299" s="33" t="str">
        <f t="shared" si="136"/>
        <v/>
      </c>
      <c r="J299" s="33" t="str">
        <f t="shared" si="137"/>
        <v/>
      </c>
      <c r="K299" s="33" t="str">
        <f t="shared" si="138"/>
        <v/>
      </c>
      <c r="L299" s="33"/>
      <c r="M299" s="33"/>
      <c r="N299" s="33" t="str">
        <f t="shared" si="139"/>
        <v/>
      </c>
      <c r="O299" s="33" t="str">
        <f t="shared" si="140"/>
        <v/>
      </c>
      <c r="P299" s="33" t="str">
        <f t="shared" si="141"/>
        <v/>
      </c>
      <c r="Q299" s="33" t="str">
        <f t="shared" si="142"/>
        <v/>
      </c>
      <c r="R299" s="33" t="str">
        <f t="shared" si="143"/>
        <v/>
      </c>
      <c r="S299" s="27" t="str">
        <f t="shared" si="144"/>
        <v/>
      </c>
      <c r="T299" s="33" t="str">
        <f t="shared" si="145"/>
        <v/>
      </c>
      <c r="U299" s="33"/>
      <c r="V299" s="33" t="str">
        <f t="shared" si="146"/>
        <v/>
      </c>
      <c r="W299" s="33" t="str">
        <f t="shared" si="147"/>
        <v/>
      </c>
      <c r="X299" s="33" t="str">
        <f t="shared" si="148"/>
        <v/>
      </c>
      <c r="Y299" s="33" t="str">
        <f t="shared" si="149"/>
        <v/>
      </c>
      <c r="Z299" s="33" t="str">
        <f t="shared" si="150"/>
        <v/>
      </c>
      <c r="AA299" s="33" t="str">
        <f t="shared" si="151"/>
        <v/>
      </c>
    </row>
    <row r="300" spans="4:27" x14ac:dyDescent="0.25">
      <c r="D300" s="70">
        <v>13</v>
      </c>
      <c r="E300" s="27" t="str">
        <f t="shared" si="132"/>
        <v/>
      </c>
      <c r="F300" s="33" t="str">
        <f t="shared" si="133"/>
        <v/>
      </c>
      <c r="G300" s="33" t="str">
        <f t="shared" si="134"/>
        <v/>
      </c>
      <c r="H300" s="33" t="str">
        <f t="shared" si="135"/>
        <v/>
      </c>
      <c r="I300" s="33" t="str">
        <f t="shared" si="136"/>
        <v/>
      </c>
      <c r="J300" s="33" t="str">
        <f t="shared" si="137"/>
        <v/>
      </c>
      <c r="K300" s="33" t="str">
        <f t="shared" si="138"/>
        <v/>
      </c>
      <c r="L300" s="33"/>
      <c r="M300" s="33"/>
      <c r="N300" s="33" t="str">
        <f t="shared" si="139"/>
        <v/>
      </c>
      <c r="O300" s="33" t="str">
        <f t="shared" si="140"/>
        <v/>
      </c>
      <c r="P300" s="33" t="str">
        <f t="shared" si="141"/>
        <v/>
      </c>
      <c r="Q300" s="33" t="str">
        <f t="shared" si="142"/>
        <v/>
      </c>
      <c r="R300" s="33" t="str">
        <f t="shared" si="143"/>
        <v/>
      </c>
      <c r="S300" s="27" t="str">
        <f t="shared" si="144"/>
        <v/>
      </c>
      <c r="T300" s="33" t="str">
        <f t="shared" si="145"/>
        <v/>
      </c>
      <c r="U300" s="33"/>
      <c r="V300" s="33" t="str">
        <f t="shared" si="146"/>
        <v/>
      </c>
      <c r="W300" s="33" t="str">
        <f t="shared" si="147"/>
        <v/>
      </c>
      <c r="X300" s="33" t="str">
        <f t="shared" si="148"/>
        <v/>
      </c>
      <c r="Y300" s="33" t="str">
        <f t="shared" si="149"/>
        <v/>
      </c>
      <c r="Z300" s="33" t="str">
        <f t="shared" si="150"/>
        <v/>
      </c>
      <c r="AA300" s="33" t="str">
        <f t="shared" si="151"/>
        <v/>
      </c>
    </row>
    <row r="301" spans="4:27" x14ac:dyDescent="0.25">
      <c r="D301" s="70">
        <v>14</v>
      </c>
      <c r="E301" s="27" t="str">
        <f t="shared" si="132"/>
        <v/>
      </c>
      <c r="F301" s="33" t="str">
        <f t="shared" si="133"/>
        <v/>
      </c>
      <c r="G301" s="33" t="str">
        <f t="shared" si="134"/>
        <v/>
      </c>
      <c r="H301" s="33" t="str">
        <f t="shared" si="135"/>
        <v/>
      </c>
      <c r="I301" s="33" t="str">
        <f t="shared" si="136"/>
        <v/>
      </c>
      <c r="J301" s="33" t="str">
        <f t="shared" si="137"/>
        <v/>
      </c>
      <c r="K301" s="33" t="str">
        <f t="shared" si="138"/>
        <v/>
      </c>
      <c r="L301" s="33"/>
      <c r="M301" s="33"/>
      <c r="N301" s="33" t="str">
        <f t="shared" si="139"/>
        <v/>
      </c>
      <c r="O301" s="33" t="str">
        <f t="shared" si="140"/>
        <v/>
      </c>
      <c r="P301" s="33" t="str">
        <f t="shared" si="141"/>
        <v/>
      </c>
      <c r="Q301" s="33" t="str">
        <f t="shared" si="142"/>
        <v/>
      </c>
      <c r="R301" s="33" t="str">
        <f t="shared" si="143"/>
        <v/>
      </c>
      <c r="S301" s="27" t="str">
        <f t="shared" si="144"/>
        <v/>
      </c>
      <c r="T301" s="33" t="str">
        <f t="shared" si="145"/>
        <v/>
      </c>
      <c r="U301" s="33"/>
      <c r="V301" s="33" t="str">
        <f t="shared" si="146"/>
        <v/>
      </c>
      <c r="W301" s="33" t="str">
        <f t="shared" si="147"/>
        <v/>
      </c>
      <c r="X301" s="33" t="str">
        <f t="shared" si="148"/>
        <v/>
      </c>
      <c r="Y301" s="33" t="str">
        <f t="shared" si="149"/>
        <v/>
      </c>
      <c r="Z301" s="33" t="str">
        <f t="shared" si="150"/>
        <v/>
      </c>
      <c r="AA301" s="33" t="str">
        <f t="shared" si="151"/>
        <v/>
      </c>
    </row>
    <row r="302" spans="4:27" x14ac:dyDescent="0.25">
      <c r="D302" s="70">
        <v>15</v>
      </c>
      <c r="E302" s="27" t="str">
        <f t="shared" si="132"/>
        <v/>
      </c>
      <c r="F302" s="33" t="str">
        <f t="shared" si="133"/>
        <v/>
      </c>
      <c r="G302" s="33" t="str">
        <f t="shared" si="134"/>
        <v/>
      </c>
      <c r="H302" s="33" t="str">
        <f t="shared" si="135"/>
        <v/>
      </c>
      <c r="I302" s="33" t="str">
        <f t="shared" si="136"/>
        <v/>
      </c>
      <c r="J302" s="33" t="str">
        <f t="shared" si="137"/>
        <v/>
      </c>
      <c r="K302" s="33" t="str">
        <f t="shared" si="138"/>
        <v/>
      </c>
      <c r="L302" s="33"/>
      <c r="M302" s="33"/>
      <c r="N302" s="33" t="str">
        <f t="shared" si="139"/>
        <v/>
      </c>
      <c r="O302" s="33" t="str">
        <f t="shared" si="140"/>
        <v/>
      </c>
      <c r="P302" s="33" t="str">
        <f t="shared" si="141"/>
        <v/>
      </c>
      <c r="Q302" s="33" t="str">
        <f t="shared" si="142"/>
        <v/>
      </c>
      <c r="R302" s="33" t="str">
        <f t="shared" si="143"/>
        <v/>
      </c>
      <c r="S302" s="27" t="str">
        <f t="shared" si="144"/>
        <v/>
      </c>
      <c r="T302" s="33" t="str">
        <f t="shared" si="145"/>
        <v/>
      </c>
      <c r="U302" s="33"/>
      <c r="V302" s="33" t="str">
        <f t="shared" si="146"/>
        <v/>
      </c>
      <c r="W302" s="33" t="str">
        <f t="shared" si="147"/>
        <v/>
      </c>
      <c r="X302" s="33" t="str">
        <f t="shared" si="148"/>
        <v/>
      </c>
      <c r="Y302" s="33" t="str">
        <f t="shared" si="149"/>
        <v/>
      </c>
      <c r="Z302" s="33" t="str">
        <f t="shared" si="150"/>
        <v/>
      </c>
      <c r="AA302" s="33" t="str">
        <f t="shared" si="151"/>
        <v/>
      </c>
    </row>
    <row r="303" spans="4:27" x14ac:dyDescent="0.25">
      <c r="D303" s="70">
        <v>16</v>
      </c>
      <c r="E303" s="27" t="str">
        <f t="shared" si="132"/>
        <v/>
      </c>
      <c r="F303" s="33" t="str">
        <f t="shared" si="133"/>
        <v/>
      </c>
      <c r="G303" s="33" t="str">
        <f t="shared" si="134"/>
        <v/>
      </c>
      <c r="H303" s="33" t="str">
        <f t="shared" si="135"/>
        <v/>
      </c>
      <c r="I303" s="33" t="str">
        <f t="shared" si="136"/>
        <v/>
      </c>
      <c r="J303" s="33" t="str">
        <f t="shared" si="137"/>
        <v/>
      </c>
      <c r="K303" s="33" t="str">
        <f t="shared" si="138"/>
        <v/>
      </c>
      <c r="L303" s="33"/>
      <c r="M303" s="33"/>
      <c r="N303" s="33" t="str">
        <f t="shared" si="139"/>
        <v/>
      </c>
      <c r="O303" s="33" t="str">
        <f t="shared" si="140"/>
        <v/>
      </c>
      <c r="P303" s="33" t="str">
        <f t="shared" si="141"/>
        <v/>
      </c>
      <c r="Q303" s="33" t="str">
        <f t="shared" si="142"/>
        <v/>
      </c>
      <c r="R303" s="33" t="str">
        <f t="shared" si="143"/>
        <v/>
      </c>
      <c r="S303" s="27" t="str">
        <f t="shared" si="144"/>
        <v/>
      </c>
      <c r="T303" s="33" t="str">
        <f t="shared" si="145"/>
        <v/>
      </c>
      <c r="U303" s="33"/>
      <c r="V303" s="33" t="str">
        <f t="shared" si="146"/>
        <v/>
      </c>
      <c r="W303" s="33" t="str">
        <f t="shared" si="147"/>
        <v/>
      </c>
      <c r="X303" s="33" t="str">
        <f t="shared" si="148"/>
        <v/>
      </c>
      <c r="Y303" s="33" t="str">
        <f t="shared" si="149"/>
        <v/>
      </c>
      <c r="Z303" s="33" t="str">
        <f t="shared" si="150"/>
        <v/>
      </c>
      <c r="AA303" s="33" t="str">
        <f t="shared" si="151"/>
        <v/>
      </c>
    </row>
    <row r="304" spans="4:27" x14ac:dyDescent="0.25">
      <c r="D304" s="70">
        <v>17</v>
      </c>
      <c r="E304" s="27" t="str">
        <f t="shared" si="132"/>
        <v/>
      </c>
      <c r="F304" s="33" t="str">
        <f t="shared" si="133"/>
        <v/>
      </c>
      <c r="G304" s="33" t="str">
        <f t="shared" si="134"/>
        <v/>
      </c>
      <c r="H304" s="33" t="str">
        <f t="shared" si="135"/>
        <v/>
      </c>
      <c r="I304" s="33" t="str">
        <f t="shared" si="136"/>
        <v/>
      </c>
      <c r="J304" s="33" t="str">
        <f t="shared" si="137"/>
        <v/>
      </c>
      <c r="K304" s="33" t="str">
        <f t="shared" si="138"/>
        <v/>
      </c>
      <c r="L304" s="33"/>
      <c r="M304" s="33"/>
      <c r="N304" s="33" t="str">
        <f t="shared" si="139"/>
        <v/>
      </c>
      <c r="O304" s="33" t="str">
        <f t="shared" si="140"/>
        <v/>
      </c>
      <c r="P304" s="33" t="str">
        <f t="shared" si="141"/>
        <v/>
      </c>
      <c r="Q304" s="33" t="str">
        <f t="shared" si="142"/>
        <v/>
      </c>
      <c r="R304" s="33" t="str">
        <f t="shared" si="143"/>
        <v/>
      </c>
      <c r="S304" s="27" t="str">
        <f t="shared" si="144"/>
        <v/>
      </c>
      <c r="T304" s="33" t="str">
        <f t="shared" si="145"/>
        <v/>
      </c>
      <c r="U304" s="33"/>
      <c r="V304" s="33" t="str">
        <f t="shared" si="146"/>
        <v/>
      </c>
      <c r="W304" s="33" t="str">
        <f t="shared" si="147"/>
        <v/>
      </c>
      <c r="X304" s="33" t="str">
        <f t="shared" si="148"/>
        <v/>
      </c>
      <c r="Y304" s="33" t="str">
        <f t="shared" si="149"/>
        <v/>
      </c>
      <c r="Z304" s="33" t="str">
        <f t="shared" si="150"/>
        <v/>
      </c>
      <c r="AA304" s="33" t="str">
        <f t="shared" si="151"/>
        <v/>
      </c>
    </row>
    <row r="305" spans="4:27" x14ac:dyDescent="0.25">
      <c r="D305" s="70">
        <v>18</v>
      </c>
      <c r="E305" s="27" t="str">
        <f t="shared" si="132"/>
        <v/>
      </c>
      <c r="F305" s="33" t="str">
        <f t="shared" si="133"/>
        <v/>
      </c>
      <c r="G305" s="33" t="str">
        <f t="shared" si="134"/>
        <v/>
      </c>
      <c r="H305" s="33" t="str">
        <f t="shared" si="135"/>
        <v/>
      </c>
      <c r="I305" s="33" t="str">
        <f t="shared" si="136"/>
        <v/>
      </c>
      <c r="J305" s="33" t="str">
        <f t="shared" si="137"/>
        <v/>
      </c>
      <c r="K305" s="33" t="str">
        <f t="shared" si="138"/>
        <v/>
      </c>
      <c r="L305" s="33"/>
      <c r="M305" s="33"/>
      <c r="N305" s="33" t="str">
        <f t="shared" si="139"/>
        <v/>
      </c>
      <c r="O305" s="33" t="str">
        <f t="shared" si="140"/>
        <v/>
      </c>
      <c r="P305" s="33" t="str">
        <f t="shared" si="141"/>
        <v/>
      </c>
      <c r="Q305" s="33" t="str">
        <f t="shared" si="142"/>
        <v/>
      </c>
      <c r="R305" s="33" t="str">
        <f t="shared" si="143"/>
        <v/>
      </c>
      <c r="S305" s="27" t="str">
        <f t="shared" si="144"/>
        <v/>
      </c>
      <c r="T305" s="33" t="str">
        <f t="shared" si="145"/>
        <v/>
      </c>
      <c r="U305" s="33"/>
      <c r="V305" s="33" t="str">
        <f t="shared" si="146"/>
        <v/>
      </c>
      <c r="W305" s="33" t="str">
        <f t="shared" si="147"/>
        <v/>
      </c>
      <c r="X305" s="33" t="str">
        <f t="shared" si="148"/>
        <v/>
      </c>
      <c r="Y305" s="33" t="str">
        <f t="shared" si="149"/>
        <v/>
      </c>
      <c r="Z305" s="33" t="str">
        <f t="shared" si="150"/>
        <v/>
      </c>
      <c r="AA305" s="33" t="str">
        <f t="shared" si="151"/>
        <v/>
      </c>
    </row>
    <row r="306" spans="4:27" x14ac:dyDescent="0.25">
      <c r="D306" s="70">
        <v>19</v>
      </c>
      <c r="E306" s="27" t="str">
        <f t="shared" si="132"/>
        <v/>
      </c>
      <c r="F306" s="33" t="str">
        <f t="shared" si="133"/>
        <v/>
      </c>
      <c r="G306" s="33" t="str">
        <f t="shared" si="134"/>
        <v/>
      </c>
      <c r="H306" s="33" t="str">
        <f t="shared" si="135"/>
        <v/>
      </c>
      <c r="I306" s="33" t="str">
        <f t="shared" si="136"/>
        <v/>
      </c>
      <c r="J306" s="33" t="str">
        <f t="shared" si="137"/>
        <v/>
      </c>
      <c r="K306" s="33" t="str">
        <f t="shared" si="138"/>
        <v/>
      </c>
      <c r="L306" s="33"/>
      <c r="M306" s="33"/>
      <c r="N306" s="33" t="str">
        <f t="shared" si="139"/>
        <v/>
      </c>
      <c r="O306" s="33" t="str">
        <f t="shared" si="140"/>
        <v/>
      </c>
      <c r="P306" s="33" t="str">
        <f t="shared" si="141"/>
        <v/>
      </c>
      <c r="Q306" s="33" t="str">
        <f t="shared" si="142"/>
        <v/>
      </c>
      <c r="R306" s="33" t="str">
        <f t="shared" si="143"/>
        <v/>
      </c>
      <c r="S306" s="27" t="str">
        <f t="shared" si="144"/>
        <v/>
      </c>
      <c r="T306" s="33" t="str">
        <f t="shared" si="145"/>
        <v/>
      </c>
      <c r="U306" s="33"/>
      <c r="V306" s="33" t="str">
        <f t="shared" si="146"/>
        <v/>
      </c>
      <c r="W306" s="33" t="str">
        <f t="shared" si="147"/>
        <v/>
      </c>
      <c r="X306" s="33" t="str">
        <f t="shared" si="148"/>
        <v/>
      </c>
      <c r="Y306" s="33" t="str">
        <f t="shared" si="149"/>
        <v/>
      </c>
      <c r="Z306" s="33" t="str">
        <f t="shared" si="150"/>
        <v/>
      </c>
      <c r="AA306" s="33" t="str">
        <f t="shared" si="151"/>
        <v/>
      </c>
    </row>
    <row r="307" spans="4:27" x14ac:dyDescent="0.25">
      <c r="D307" s="70">
        <v>20</v>
      </c>
      <c r="E307" s="27" t="str">
        <f t="shared" si="132"/>
        <v/>
      </c>
      <c r="F307" s="33" t="str">
        <f t="shared" si="133"/>
        <v/>
      </c>
      <c r="G307" s="33" t="str">
        <f t="shared" si="134"/>
        <v/>
      </c>
      <c r="H307" s="33" t="str">
        <f t="shared" si="135"/>
        <v/>
      </c>
      <c r="I307" s="33" t="str">
        <f t="shared" si="136"/>
        <v/>
      </c>
      <c r="J307" s="33" t="str">
        <f t="shared" si="137"/>
        <v/>
      </c>
      <c r="K307" s="33" t="str">
        <f t="shared" si="138"/>
        <v/>
      </c>
      <c r="L307" s="33"/>
      <c r="M307" s="33"/>
      <c r="N307" s="33" t="str">
        <f t="shared" si="139"/>
        <v/>
      </c>
      <c r="O307" s="33" t="str">
        <f t="shared" si="140"/>
        <v/>
      </c>
      <c r="P307" s="33" t="str">
        <f t="shared" si="141"/>
        <v/>
      </c>
      <c r="Q307" s="33" t="str">
        <f t="shared" si="142"/>
        <v/>
      </c>
      <c r="R307" s="33" t="str">
        <f t="shared" si="143"/>
        <v/>
      </c>
      <c r="S307" s="27" t="str">
        <f t="shared" si="144"/>
        <v/>
      </c>
      <c r="T307" s="33" t="str">
        <f t="shared" si="145"/>
        <v/>
      </c>
      <c r="U307" s="33"/>
      <c r="V307" s="33" t="str">
        <f t="shared" si="146"/>
        <v/>
      </c>
      <c r="W307" s="33" t="str">
        <f t="shared" si="147"/>
        <v/>
      </c>
      <c r="X307" s="33" t="str">
        <f t="shared" si="148"/>
        <v/>
      </c>
      <c r="Y307" s="33" t="str">
        <f t="shared" si="149"/>
        <v/>
      </c>
      <c r="Z307" s="33" t="str">
        <f t="shared" si="150"/>
        <v/>
      </c>
      <c r="AA307" s="33" t="str">
        <f t="shared" si="151"/>
        <v/>
      </c>
    </row>
    <row r="308" spans="4:27" x14ac:dyDescent="0.25">
      <c r="D308" s="70">
        <v>21</v>
      </c>
      <c r="E308" s="27" t="str">
        <f t="shared" si="132"/>
        <v/>
      </c>
      <c r="F308" s="33" t="str">
        <f t="shared" si="133"/>
        <v/>
      </c>
      <c r="G308" s="33" t="str">
        <f t="shared" si="134"/>
        <v/>
      </c>
      <c r="H308" s="33" t="str">
        <f t="shared" si="135"/>
        <v/>
      </c>
      <c r="I308" s="33" t="str">
        <f t="shared" si="136"/>
        <v/>
      </c>
      <c r="J308" s="33" t="str">
        <f t="shared" si="137"/>
        <v/>
      </c>
      <c r="K308" s="33" t="str">
        <f t="shared" si="138"/>
        <v/>
      </c>
      <c r="L308" s="33"/>
      <c r="M308" s="33"/>
      <c r="N308" s="33" t="str">
        <f t="shared" si="139"/>
        <v/>
      </c>
      <c r="O308" s="33" t="str">
        <f t="shared" si="140"/>
        <v/>
      </c>
      <c r="P308" s="33" t="str">
        <f t="shared" si="141"/>
        <v/>
      </c>
      <c r="Q308" s="33" t="str">
        <f t="shared" si="142"/>
        <v/>
      </c>
      <c r="R308" s="33" t="str">
        <f t="shared" si="143"/>
        <v/>
      </c>
      <c r="S308" s="27" t="str">
        <f t="shared" si="144"/>
        <v/>
      </c>
      <c r="T308" s="33" t="str">
        <f t="shared" si="145"/>
        <v/>
      </c>
      <c r="U308" s="33"/>
      <c r="V308" s="33" t="str">
        <f t="shared" si="146"/>
        <v/>
      </c>
      <c r="W308" s="33" t="str">
        <f t="shared" si="147"/>
        <v/>
      </c>
      <c r="X308" s="33" t="str">
        <f t="shared" si="148"/>
        <v/>
      </c>
      <c r="Y308" s="33" t="str">
        <f t="shared" si="149"/>
        <v/>
      </c>
      <c r="Z308" s="33" t="str">
        <f t="shared" si="150"/>
        <v/>
      </c>
      <c r="AA308" s="33" t="str">
        <f t="shared" si="151"/>
        <v/>
      </c>
    </row>
    <row r="309" spans="4:27" x14ac:dyDescent="0.25">
      <c r="D309" s="70">
        <v>22</v>
      </c>
      <c r="E309" s="27" t="str">
        <f t="shared" si="132"/>
        <v/>
      </c>
      <c r="F309" s="33" t="str">
        <f t="shared" si="133"/>
        <v/>
      </c>
      <c r="G309" s="33" t="str">
        <f t="shared" si="134"/>
        <v/>
      </c>
      <c r="H309" s="33" t="str">
        <f t="shared" si="135"/>
        <v/>
      </c>
      <c r="I309" s="33" t="str">
        <f t="shared" si="136"/>
        <v/>
      </c>
      <c r="J309" s="33" t="str">
        <f t="shared" si="137"/>
        <v/>
      </c>
      <c r="K309" s="33" t="str">
        <f t="shared" si="138"/>
        <v/>
      </c>
      <c r="L309" s="33"/>
      <c r="M309" s="33"/>
      <c r="N309" s="33" t="str">
        <f t="shared" si="139"/>
        <v/>
      </c>
      <c r="O309" s="33" t="str">
        <f t="shared" si="140"/>
        <v/>
      </c>
      <c r="P309" s="33" t="str">
        <f t="shared" si="141"/>
        <v/>
      </c>
      <c r="Q309" s="33" t="str">
        <f t="shared" si="142"/>
        <v/>
      </c>
      <c r="R309" s="33" t="str">
        <f t="shared" si="143"/>
        <v/>
      </c>
      <c r="S309" s="27" t="str">
        <f t="shared" si="144"/>
        <v/>
      </c>
      <c r="T309" s="33" t="str">
        <f t="shared" si="145"/>
        <v/>
      </c>
      <c r="U309" s="33"/>
      <c r="V309" s="33" t="str">
        <f t="shared" si="146"/>
        <v/>
      </c>
      <c r="W309" s="33" t="str">
        <f t="shared" si="147"/>
        <v/>
      </c>
      <c r="X309" s="33" t="str">
        <f t="shared" si="148"/>
        <v/>
      </c>
      <c r="Y309" s="33" t="str">
        <f t="shared" si="149"/>
        <v/>
      </c>
      <c r="Z309" s="33" t="str">
        <f t="shared" si="150"/>
        <v/>
      </c>
      <c r="AA309" s="33" t="str">
        <f t="shared" si="151"/>
        <v/>
      </c>
    </row>
    <row r="310" spans="4:27" x14ac:dyDescent="0.25">
      <c r="D310" s="70">
        <v>23</v>
      </c>
      <c r="E310" s="27" t="str">
        <f t="shared" si="132"/>
        <v/>
      </c>
      <c r="F310" s="33" t="str">
        <f t="shared" si="133"/>
        <v/>
      </c>
      <c r="G310" s="33" t="str">
        <f t="shared" si="134"/>
        <v/>
      </c>
      <c r="H310" s="33" t="str">
        <f t="shared" si="135"/>
        <v/>
      </c>
      <c r="I310" s="33" t="str">
        <f t="shared" si="136"/>
        <v/>
      </c>
      <c r="J310" s="33" t="str">
        <f t="shared" si="137"/>
        <v/>
      </c>
      <c r="K310" s="33" t="str">
        <f t="shared" si="138"/>
        <v/>
      </c>
      <c r="L310" s="33"/>
      <c r="M310" s="33"/>
      <c r="N310" s="33" t="str">
        <f t="shared" si="139"/>
        <v/>
      </c>
      <c r="O310" s="33" t="str">
        <f t="shared" si="140"/>
        <v/>
      </c>
      <c r="P310" s="33" t="str">
        <f t="shared" si="141"/>
        <v/>
      </c>
      <c r="Q310" s="33" t="str">
        <f t="shared" si="142"/>
        <v/>
      </c>
      <c r="R310" s="33" t="str">
        <f t="shared" si="143"/>
        <v/>
      </c>
      <c r="S310" s="27" t="str">
        <f t="shared" si="144"/>
        <v/>
      </c>
      <c r="T310" s="33" t="str">
        <f t="shared" si="145"/>
        <v/>
      </c>
      <c r="U310" s="33"/>
      <c r="V310" s="33" t="str">
        <f t="shared" si="146"/>
        <v/>
      </c>
      <c r="W310" s="33" t="str">
        <f t="shared" si="147"/>
        <v/>
      </c>
      <c r="X310" s="33" t="str">
        <f t="shared" si="148"/>
        <v/>
      </c>
      <c r="Y310" s="33" t="str">
        <f t="shared" si="149"/>
        <v/>
      </c>
      <c r="Z310" s="33" t="str">
        <f t="shared" si="150"/>
        <v/>
      </c>
      <c r="AA310" s="33" t="str">
        <f t="shared" si="151"/>
        <v/>
      </c>
    </row>
    <row r="311" spans="4:27" x14ac:dyDescent="0.25">
      <c r="D311" s="70">
        <v>24</v>
      </c>
      <c r="E311" s="27" t="str">
        <f t="shared" si="132"/>
        <v/>
      </c>
      <c r="F311" s="33" t="str">
        <f t="shared" si="133"/>
        <v/>
      </c>
      <c r="G311" s="33" t="str">
        <f t="shared" si="134"/>
        <v/>
      </c>
      <c r="H311" s="33" t="str">
        <f t="shared" si="135"/>
        <v/>
      </c>
      <c r="I311" s="33" t="str">
        <f t="shared" si="136"/>
        <v/>
      </c>
      <c r="J311" s="33" t="str">
        <f t="shared" si="137"/>
        <v/>
      </c>
      <c r="K311" s="33" t="str">
        <f t="shared" si="138"/>
        <v/>
      </c>
      <c r="L311" s="33"/>
      <c r="M311" s="33"/>
      <c r="N311" s="33" t="str">
        <f t="shared" si="139"/>
        <v/>
      </c>
      <c r="O311" s="33" t="str">
        <f t="shared" si="140"/>
        <v/>
      </c>
      <c r="P311" s="33" t="str">
        <f t="shared" si="141"/>
        <v/>
      </c>
      <c r="Q311" s="33" t="str">
        <f t="shared" si="142"/>
        <v/>
      </c>
      <c r="R311" s="33" t="str">
        <f t="shared" si="143"/>
        <v/>
      </c>
      <c r="S311" s="27" t="str">
        <f t="shared" si="144"/>
        <v/>
      </c>
      <c r="T311" s="33" t="str">
        <f t="shared" si="145"/>
        <v/>
      </c>
      <c r="U311" s="33"/>
      <c r="V311" s="33" t="str">
        <f t="shared" si="146"/>
        <v/>
      </c>
      <c r="W311" s="33" t="str">
        <f t="shared" si="147"/>
        <v/>
      </c>
      <c r="X311" s="33" t="str">
        <f t="shared" si="148"/>
        <v/>
      </c>
      <c r="Y311" s="33" t="str">
        <f t="shared" si="149"/>
        <v/>
      </c>
      <c r="Z311" s="33" t="str">
        <f t="shared" si="150"/>
        <v/>
      </c>
      <c r="AA311" s="33" t="str">
        <f t="shared" si="151"/>
        <v/>
      </c>
    </row>
    <row r="312" spans="4:27" x14ac:dyDescent="0.25">
      <c r="D312" s="70">
        <v>25</v>
      </c>
      <c r="E312" s="27" t="str">
        <f t="shared" si="132"/>
        <v/>
      </c>
      <c r="F312" s="33" t="str">
        <f t="shared" si="133"/>
        <v/>
      </c>
      <c r="G312" s="33" t="str">
        <f t="shared" si="134"/>
        <v/>
      </c>
      <c r="H312" s="33" t="str">
        <f t="shared" si="135"/>
        <v/>
      </c>
      <c r="I312" s="33" t="str">
        <f t="shared" si="136"/>
        <v/>
      </c>
      <c r="J312" s="33" t="str">
        <f t="shared" si="137"/>
        <v/>
      </c>
      <c r="K312" s="33" t="str">
        <f t="shared" si="138"/>
        <v/>
      </c>
      <c r="L312" s="33"/>
      <c r="M312" s="33"/>
      <c r="N312" s="33" t="str">
        <f t="shared" si="139"/>
        <v/>
      </c>
      <c r="O312" s="33" t="str">
        <f t="shared" si="140"/>
        <v/>
      </c>
      <c r="P312" s="33" t="str">
        <f t="shared" si="141"/>
        <v/>
      </c>
      <c r="Q312" s="33" t="str">
        <f t="shared" si="142"/>
        <v/>
      </c>
      <c r="R312" s="33" t="str">
        <f t="shared" si="143"/>
        <v/>
      </c>
      <c r="S312" s="27" t="str">
        <f t="shared" si="144"/>
        <v/>
      </c>
      <c r="T312" s="33" t="str">
        <f t="shared" si="145"/>
        <v/>
      </c>
      <c r="U312" s="33"/>
      <c r="V312" s="33" t="str">
        <f t="shared" si="146"/>
        <v/>
      </c>
      <c r="W312" s="33" t="str">
        <f t="shared" si="147"/>
        <v/>
      </c>
      <c r="X312" s="33" t="str">
        <f t="shared" si="148"/>
        <v/>
      </c>
      <c r="Y312" s="33" t="str">
        <f t="shared" si="149"/>
        <v/>
      </c>
      <c r="Z312" s="33" t="str">
        <f t="shared" si="150"/>
        <v/>
      </c>
      <c r="AA312" s="33" t="str">
        <f t="shared" si="151"/>
        <v/>
      </c>
    </row>
    <row r="313" spans="4:27" x14ac:dyDescent="0.25">
      <c r="D313" s="70">
        <v>26</v>
      </c>
      <c r="E313" s="27" t="str">
        <f t="shared" si="132"/>
        <v/>
      </c>
      <c r="F313" s="33" t="str">
        <f t="shared" si="133"/>
        <v/>
      </c>
      <c r="G313" s="33" t="str">
        <f t="shared" si="134"/>
        <v/>
      </c>
      <c r="H313" s="33" t="str">
        <f t="shared" si="135"/>
        <v/>
      </c>
      <c r="I313" s="33" t="str">
        <f t="shared" si="136"/>
        <v/>
      </c>
      <c r="J313" s="33" t="str">
        <f t="shared" si="137"/>
        <v/>
      </c>
      <c r="K313" s="33" t="str">
        <f t="shared" si="138"/>
        <v/>
      </c>
      <c r="L313" s="33"/>
      <c r="M313" s="33"/>
      <c r="N313" s="33" t="str">
        <f t="shared" si="139"/>
        <v/>
      </c>
      <c r="O313" s="33" t="str">
        <f t="shared" si="140"/>
        <v/>
      </c>
      <c r="P313" s="33" t="str">
        <f t="shared" si="141"/>
        <v/>
      </c>
      <c r="Q313" s="33" t="str">
        <f t="shared" si="142"/>
        <v/>
      </c>
      <c r="R313" s="33" t="str">
        <f t="shared" si="143"/>
        <v/>
      </c>
      <c r="S313" s="27" t="str">
        <f t="shared" si="144"/>
        <v/>
      </c>
      <c r="T313" s="33" t="str">
        <f t="shared" si="145"/>
        <v/>
      </c>
      <c r="U313" s="33"/>
      <c r="V313" s="33" t="str">
        <f t="shared" si="146"/>
        <v/>
      </c>
      <c r="W313" s="33" t="str">
        <f t="shared" si="147"/>
        <v/>
      </c>
      <c r="X313" s="33" t="str">
        <f t="shared" si="148"/>
        <v/>
      </c>
      <c r="Y313" s="33" t="str">
        <f t="shared" si="149"/>
        <v/>
      </c>
      <c r="Z313" s="33" t="str">
        <f t="shared" si="150"/>
        <v/>
      </c>
      <c r="AA313" s="33" t="str">
        <f t="shared" si="151"/>
        <v/>
      </c>
    </row>
    <row r="314" spans="4:27" x14ac:dyDescent="0.25">
      <c r="D314" s="70">
        <v>27</v>
      </c>
      <c r="E314" s="27" t="str">
        <f t="shared" si="132"/>
        <v/>
      </c>
      <c r="F314" s="33" t="str">
        <f t="shared" si="133"/>
        <v/>
      </c>
      <c r="G314" s="33" t="str">
        <f t="shared" si="134"/>
        <v/>
      </c>
      <c r="H314" s="33" t="str">
        <f t="shared" si="135"/>
        <v/>
      </c>
      <c r="I314" s="33" t="str">
        <f t="shared" si="136"/>
        <v/>
      </c>
      <c r="J314" s="33" t="str">
        <f t="shared" si="137"/>
        <v/>
      </c>
      <c r="K314" s="33" t="str">
        <f t="shared" si="138"/>
        <v/>
      </c>
      <c r="L314" s="33"/>
      <c r="M314" s="33"/>
      <c r="N314" s="33" t="str">
        <f t="shared" si="139"/>
        <v/>
      </c>
      <c r="O314" s="33" t="str">
        <f t="shared" si="140"/>
        <v/>
      </c>
      <c r="P314" s="33" t="str">
        <f t="shared" si="141"/>
        <v/>
      </c>
      <c r="Q314" s="33" t="str">
        <f t="shared" si="142"/>
        <v/>
      </c>
      <c r="R314" s="33" t="str">
        <f t="shared" si="143"/>
        <v/>
      </c>
      <c r="S314" s="27" t="str">
        <f t="shared" si="144"/>
        <v/>
      </c>
      <c r="T314" s="33" t="str">
        <f t="shared" si="145"/>
        <v/>
      </c>
      <c r="U314" s="33"/>
      <c r="V314" s="33" t="str">
        <f t="shared" si="146"/>
        <v/>
      </c>
      <c r="W314" s="33" t="str">
        <f t="shared" si="147"/>
        <v/>
      </c>
      <c r="X314" s="33" t="str">
        <f t="shared" si="148"/>
        <v/>
      </c>
      <c r="Y314" s="33" t="str">
        <f t="shared" si="149"/>
        <v/>
      </c>
      <c r="Z314" s="33" t="str">
        <f t="shared" si="150"/>
        <v/>
      </c>
      <c r="AA314" s="33" t="str">
        <f t="shared" si="151"/>
        <v/>
      </c>
    </row>
    <row r="315" spans="4:27" x14ac:dyDescent="0.25">
      <c r="D315" s="70">
        <v>28</v>
      </c>
      <c r="E315" s="27" t="str">
        <f t="shared" si="132"/>
        <v/>
      </c>
      <c r="F315" s="33" t="str">
        <f t="shared" si="133"/>
        <v/>
      </c>
      <c r="G315" s="33" t="str">
        <f t="shared" si="134"/>
        <v/>
      </c>
      <c r="H315" s="33" t="str">
        <f t="shared" si="135"/>
        <v/>
      </c>
      <c r="I315" s="33" t="str">
        <f t="shared" si="136"/>
        <v/>
      </c>
      <c r="J315" s="33" t="str">
        <f t="shared" si="137"/>
        <v/>
      </c>
      <c r="K315" s="33" t="str">
        <f t="shared" si="138"/>
        <v/>
      </c>
      <c r="L315" s="33"/>
      <c r="M315" s="33"/>
      <c r="N315" s="33" t="str">
        <f t="shared" si="139"/>
        <v/>
      </c>
      <c r="O315" s="33" t="str">
        <f t="shared" si="140"/>
        <v/>
      </c>
      <c r="P315" s="33" t="str">
        <f t="shared" si="141"/>
        <v/>
      </c>
      <c r="Q315" s="33" t="str">
        <f t="shared" si="142"/>
        <v/>
      </c>
      <c r="R315" s="33" t="str">
        <f t="shared" si="143"/>
        <v/>
      </c>
      <c r="S315" s="27" t="str">
        <f t="shared" si="144"/>
        <v/>
      </c>
      <c r="T315" s="33" t="str">
        <f t="shared" si="145"/>
        <v/>
      </c>
      <c r="U315" s="33"/>
      <c r="V315" s="33" t="str">
        <f t="shared" si="146"/>
        <v/>
      </c>
      <c r="W315" s="33" t="str">
        <f t="shared" si="147"/>
        <v/>
      </c>
      <c r="X315" s="33" t="str">
        <f t="shared" si="148"/>
        <v/>
      </c>
      <c r="Y315" s="33" t="str">
        <f t="shared" si="149"/>
        <v/>
      </c>
      <c r="Z315" s="33" t="str">
        <f t="shared" si="150"/>
        <v/>
      </c>
      <c r="AA315" s="33" t="str">
        <f t="shared" si="151"/>
        <v/>
      </c>
    </row>
    <row r="316" spans="4:27" x14ac:dyDescent="0.25">
      <c r="D316" s="70">
        <v>29</v>
      </c>
      <c r="E316" s="27" t="str">
        <f t="shared" si="132"/>
        <v/>
      </c>
      <c r="F316" s="33" t="str">
        <f t="shared" si="133"/>
        <v/>
      </c>
      <c r="G316" s="33" t="str">
        <f t="shared" si="134"/>
        <v/>
      </c>
      <c r="H316" s="33" t="str">
        <f t="shared" si="135"/>
        <v/>
      </c>
      <c r="I316" s="33" t="str">
        <f t="shared" si="136"/>
        <v/>
      </c>
      <c r="J316" s="33" t="str">
        <f t="shared" si="137"/>
        <v/>
      </c>
      <c r="K316" s="33" t="str">
        <f t="shared" si="138"/>
        <v/>
      </c>
      <c r="L316" s="33"/>
      <c r="M316" s="33"/>
      <c r="N316" s="33" t="str">
        <f t="shared" si="139"/>
        <v/>
      </c>
      <c r="O316" s="33" t="str">
        <f t="shared" si="140"/>
        <v/>
      </c>
      <c r="P316" s="33" t="str">
        <f t="shared" si="141"/>
        <v/>
      </c>
      <c r="Q316" s="33" t="str">
        <f t="shared" si="142"/>
        <v/>
      </c>
      <c r="R316" s="33" t="str">
        <f t="shared" si="143"/>
        <v/>
      </c>
      <c r="S316" s="27" t="str">
        <f t="shared" si="144"/>
        <v/>
      </c>
      <c r="T316" s="33" t="str">
        <f t="shared" si="145"/>
        <v/>
      </c>
      <c r="U316" s="33"/>
      <c r="V316" s="33" t="str">
        <f t="shared" si="146"/>
        <v/>
      </c>
      <c r="W316" s="33" t="str">
        <f t="shared" si="147"/>
        <v/>
      </c>
      <c r="X316" s="33" t="str">
        <f t="shared" si="148"/>
        <v/>
      </c>
      <c r="Y316" s="33" t="str">
        <f t="shared" si="149"/>
        <v/>
      </c>
      <c r="Z316" s="33" t="str">
        <f t="shared" si="150"/>
        <v/>
      </c>
      <c r="AA316" s="33" t="str">
        <f t="shared" si="151"/>
        <v/>
      </c>
    </row>
    <row r="317" spans="4:27" x14ac:dyDescent="0.25">
      <c r="D317" s="70">
        <v>30</v>
      </c>
      <c r="E317" s="27" t="str">
        <f t="shared" si="132"/>
        <v/>
      </c>
      <c r="F317" s="33" t="str">
        <f t="shared" si="133"/>
        <v/>
      </c>
      <c r="G317" s="33" t="str">
        <f t="shared" si="134"/>
        <v/>
      </c>
      <c r="H317" s="33" t="str">
        <f t="shared" si="135"/>
        <v/>
      </c>
      <c r="I317" s="33" t="str">
        <f t="shared" si="136"/>
        <v/>
      </c>
      <c r="J317" s="33" t="str">
        <f t="shared" si="137"/>
        <v/>
      </c>
      <c r="K317" s="33" t="str">
        <f t="shared" si="138"/>
        <v/>
      </c>
      <c r="L317" s="33"/>
      <c r="M317" s="33"/>
      <c r="N317" s="33" t="str">
        <f t="shared" si="139"/>
        <v/>
      </c>
      <c r="O317" s="33" t="str">
        <f t="shared" si="140"/>
        <v/>
      </c>
      <c r="P317" s="33" t="str">
        <f t="shared" si="141"/>
        <v/>
      </c>
      <c r="Q317" s="33" t="str">
        <f t="shared" si="142"/>
        <v/>
      </c>
      <c r="R317" s="33" t="str">
        <f t="shared" si="143"/>
        <v/>
      </c>
      <c r="S317" s="27" t="str">
        <f t="shared" si="144"/>
        <v/>
      </c>
      <c r="T317" s="33" t="str">
        <f t="shared" si="145"/>
        <v/>
      </c>
      <c r="U317" s="33"/>
      <c r="V317" s="33" t="str">
        <f t="shared" si="146"/>
        <v/>
      </c>
      <c r="W317" s="33" t="str">
        <f t="shared" si="147"/>
        <v/>
      </c>
      <c r="X317" s="33" t="str">
        <f t="shared" si="148"/>
        <v/>
      </c>
      <c r="Y317" s="33" t="str">
        <f t="shared" si="149"/>
        <v/>
      </c>
      <c r="Z317" s="33" t="str">
        <f t="shared" si="150"/>
        <v/>
      </c>
      <c r="AA317" s="33" t="str">
        <f t="shared" si="151"/>
        <v/>
      </c>
    </row>
    <row r="318" spans="4:27" x14ac:dyDescent="0.25">
      <c r="D318" s="70">
        <v>31</v>
      </c>
      <c r="E318" s="27" t="str">
        <f t="shared" si="132"/>
        <v/>
      </c>
      <c r="F318" s="33" t="str">
        <f t="shared" si="133"/>
        <v/>
      </c>
      <c r="G318" s="33" t="str">
        <f t="shared" si="134"/>
        <v/>
      </c>
      <c r="H318" s="33" t="str">
        <f t="shared" si="135"/>
        <v/>
      </c>
      <c r="I318" s="33" t="str">
        <f t="shared" si="136"/>
        <v/>
      </c>
      <c r="J318" s="33" t="str">
        <f t="shared" si="137"/>
        <v/>
      </c>
      <c r="K318" s="33" t="str">
        <f t="shared" si="138"/>
        <v/>
      </c>
      <c r="L318" s="33"/>
      <c r="M318" s="33"/>
      <c r="N318" s="33" t="str">
        <f t="shared" si="139"/>
        <v/>
      </c>
      <c r="O318" s="33" t="str">
        <f t="shared" si="140"/>
        <v/>
      </c>
      <c r="P318" s="33" t="str">
        <f t="shared" si="141"/>
        <v/>
      </c>
      <c r="Q318" s="33" t="str">
        <f t="shared" si="142"/>
        <v/>
      </c>
      <c r="R318" s="33" t="str">
        <f t="shared" si="143"/>
        <v/>
      </c>
      <c r="S318" s="27" t="str">
        <f t="shared" si="144"/>
        <v/>
      </c>
      <c r="T318" s="33" t="str">
        <f t="shared" si="145"/>
        <v/>
      </c>
      <c r="U318" s="33"/>
      <c r="V318" s="33" t="str">
        <f t="shared" si="146"/>
        <v/>
      </c>
      <c r="W318" s="33" t="str">
        <f t="shared" si="147"/>
        <v/>
      </c>
      <c r="X318" s="33" t="str">
        <f t="shared" si="148"/>
        <v/>
      </c>
      <c r="Y318" s="33" t="str">
        <f t="shared" si="149"/>
        <v/>
      </c>
      <c r="Z318" s="33" t="str">
        <f t="shared" si="150"/>
        <v/>
      </c>
      <c r="AA318" s="33" t="str">
        <f t="shared" si="151"/>
        <v/>
      </c>
    </row>
    <row r="319" spans="4:27" x14ac:dyDescent="0.25">
      <c r="D319" s="70">
        <v>32</v>
      </c>
      <c r="E319" s="27" t="str">
        <f t="shared" si="132"/>
        <v/>
      </c>
      <c r="F319" s="33" t="str">
        <f t="shared" si="133"/>
        <v/>
      </c>
      <c r="G319" s="33" t="str">
        <f t="shared" si="134"/>
        <v/>
      </c>
      <c r="H319" s="33" t="str">
        <f t="shared" si="135"/>
        <v/>
      </c>
      <c r="I319" s="33" t="str">
        <f t="shared" si="136"/>
        <v/>
      </c>
      <c r="J319" s="33" t="str">
        <f t="shared" si="137"/>
        <v/>
      </c>
      <c r="K319" s="33" t="str">
        <f t="shared" si="138"/>
        <v/>
      </c>
      <c r="L319" s="33"/>
      <c r="M319" s="33"/>
      <c r="N319" s="33" t="str">
        <f t="shared" si="139"/>
        <v/>
      </c>
      <c r="O319" s="33" t="str">
        <f t="shared" si="140"/>
        <v/>
      </c>
      <c r="P319" s="33" t="str">
        <f t="shared" si="141"/>
        <v/>
      </c>
      <c r="Q319" s="33" t="str">
        <f t="shared" si="142"/>
        <v/>
      </c>
      <c r="R319" s="33" t="str">
        <f t="shared" si="143"/>
        <v/>
      </c>
      <c r="S319" s="27" t="str">
        <f t="shared" si="144"/>
        <v/>
      </c>
      <c r="T319" s="33" t="str">
        <f t="shared" si="145"/>
        <v/>
      </c>
      <c r="U319" s="33"/>
      <c r="V319" s="33" t="str">
        <f t="shared" si="146"/>
        <v/>
      </c>
      <c r="W319" s="33" t="str">
        <f t="shared" si="147"/>
        <v/>
      </c>
      <c r="X319" s="33" t="str">
        <f t="shared" si="148"/>
        <v/>
      </c>
      <c r="Y319" s="33" t="str">
        <f t="shared" si="149"/>
        <v/>
      </c>
      <c r="Z319" s="33" t="str">
        <f t="shared" si="150"/>
        <v/>
      </c>
      <c r="AA319" s="33" t="str">
        <f t="shared" si="151"/>
        <v/>
      </c>
    </row>
    <row r="320" spans="4:27" x14ac:dyDescent="0.25">
      <c r="D320" s="70">
        <v>33</v>
      </c>
      <c r="E320" s="27" t="str">
        <f t="shared" ref="E320:E351" si="152">IFERROR(VLOOKUP(SMALL($D$157:$D$284,D320),$D$157:$AW$284,2,FALSE),"")</f>
        <v/>
      </c>
      <c r="F320" s="33" t="str">
        <f t="shared" ref="F320:F351" si="153">IFERROR(VLOOKUP(SMALL($D$157:$D$284,D320),$D$157:$AW$284,12,FALSE),"")</f>
        <v/>
      </c>
      <c r="G320" s="33" t="str">
        <f t="shared" ref="G320:G351" si="154">IFERROR(VLOOKUP(SMALL($D$157:$D$284,D320),$D$157:$AW$284,21,FALSE),"")</f>
        <v/>
      </c>
      <c r="H320" s="33" t="str">
        <f t="shared" ref="H320:H351" si="155">IFERROR(VLOOKUP(SMALL($D$157:$D$284,D320),$D$157:$AW$284,29,FALSE),"")</f>
        <v/>
      </c>
      <c r="I320" s="33" t="str">
        <f t="shared" ref="I320:I351" si="156">IFERROR(VLOOKUP(SMALL($D$157:$D$284,D320),$D$157:$AW$284,40,FALSE),"")</f>
        <v/>
      </c>
      <c r="J320" s="33" t="str">
        <f t="shared" ref="J320:J351" si="157">IFERROR(VLOOKUP(SMALL($D$157:$D$284,D320),$D$157:$AW$284,4,FALSE),"")</f>
        <v/>
      </c>
      <c r="K320" s="33" t="str">
        <f t="shared" ref="K320:K351" si="158">IFERROR(VLOOKUP(SMALL($D$157:$D$284,D320),$D$157:$AW$284,14,FALSE),"")</f>
        <v/>
      </c>
      <c r="L320" s="33"/>
      <c r="M320" s="33"/>
      <c r="N320" s="33" t="str">
        <f t="shared" ref="N320:N351" si="159">IFERROR(VLOOKUP(SMALL($D$157:$D$284,D320),$D$157:$AW$284,23,FALSE),"")</f>
        <v/>
      </c>
      <c r="O320" s="33" t="str">
        <f t="shared" ref="O320:O351" si="160">IFERROR(VLOOKUP(SMALL($D$157:$D$284,D320),$D$157:$AW$284,31,FALSE),"")</f>
        <v/>
      </c>
      <c r="P320" s="33" t="str">
        <f t="shared" ref="P320:P351" si="161">IFERROR(VLOOKUP(SMALL($D$157:$D$284,D320),$D$157:$AW$284,42,FALSE),"")</f>
        <v/>
      </c>
      <c r="Q320" s="33" t="str">
        <f t="shared" ref="Q320:Q351" si="162">IFERROR(VLOOKUP(SMALL($D$157:$D$284,D320),$D$157:$AW$284,6,FALSE),"")</f>
        <v/>
      </c>
      <c r="R320" s="33" t="str">
        <f t="shared" ref="R320:R351" si="163">IFERROR(VLOOKUP(SMALL($D$157:$D$284,D320),$D$157:$AW$284,16,FALSE),"")</f>
        <v/>
      </c>
      <c r="S320" s="27" t="str">
        <f t="shared" ref="S320:S351" si="164">IFERROR(VLOOKUP(SMALL($D$157:$D$284,D320),$D$157:$AW$284,25,FALSE),"")</f>
        <v/>
      </c>
      <c r="T320" s="33" t="str">
        <f t="shared" ref="T320:T351" si="165">IFERROR(VLOOKUP(SMALL($D$157:$D$284,D320),$D$157:$AW$284,33,FALSE),"")</f>
        <v/>
      </c>
      <c r="U320" s="33"/>
      <c r="V320" s="33" t="str">
        <f t="shared" ref="V320:V351" si="166">IFERROR(VLOOKUP(SMALL($D$157:$D$284,D320),$D$157:$AW$284,44,FALSE),"")</f>
        <v/>
      </c>
      <c r="W320" s="33" t="str">
        <f t="shared" ref="W320:W351" si="167">IFERROR(VLOOKUP(SMALL($D$157:$D$284,D320),$D$157:$AW$284,8,FALSE),"")</f>
        <v/>
      </c>
      <c r="X320" s="33" t="str">
        <f t="shared" ref="X320:X351" si="168">IFERROR(VLOOKUP(SMALL($D$157:$D$284,D320),$D$157:$AW$284,19,FALSE),"")</f>
        <v/>
      </c>
      <c r="Y320" s="33" t="str">
        <f t="shared" ref="Y320:Y351" si="169">IFERROR(VLOOKUP(SMALL($D$157:$D$284,D320),$D$157:$AW$284,27,FALSE),"")</f>
        <v/>
      </c>
      <c r="Z320" s="33" t="str">
        <f t="shared" ref="Z320:Z351" si="170">IFERROR(VLOOKUP(SMALL($D$157:$D$284,D320),$D$157:$AW$284,35,FALSE),"")</f>
        <v/>
      </c>
      <c r="AA320" s="33" t="str">
        <f t="shared" ref="AA320:AA351" si="171">IFERROR(VLOOKUP(SMALL($D$157:$D$284,D320),$D$157:$AW$284,46,FALSE),"")</f>
        <v/>
      </c>
    </row>
    <row r="321" spans="4:27" x14ac:dyDescent="0.25">
      <c r="D321" s="70">
        <v>34</v>
      </c>
      <c r="E321" s="27" t="str">
        <f t="shared" si="152"/>
        <v/>
      </c>
      <c r="F321" s="33" t="str">
        <f t="shared" si="153"/>
        <v/>
      </c>
      <c r="G321" s="33" t="str">
        <f t="shared" si="154"/>
        <v/>
      </c>
      <c r="H321" s="33" t="str">
        <f t="shared" si="155"/>
        <v/>
      </c>
      <c r="I321" s="33" t="str">
        <f t="shared" si="156"/>
        <v/>
      </c>
      <c r="J321" s="33" t="str">
        <f t="shared" si="157"/>
        <v/>
      </c>
      <c r="K321" s="33" t="str">
        <f t="shared" si="158"/>
        <v/>
      </c>
      <c r="L321" s="33"/>
      <c r="M321" s="33"/>
      <c r="N321" s="33" t="str">
        <f t="shared" si="159"/>
        <v/>
      </c>
      <c r="O321" s="33" t="str">
        <f t="shared" si="160"/>
        <v/>
      </c>
      <c r="P321" s="33" t="str">
        <f t="shared" si="161"/>
        <v/>
      </c>
      <c r="Q321" s="33" t="str">
        <f t="shared" si="162"/>
        <v/>
      </c>
      <c r="R321" s="33" t="str">
        <f t="shared" si="163"/>
        <v/>
      </c>
      <c r="S321" s="27" t="str">
        <f t="shared" si="164"/>
        <v/>
      </c>
      <c r="T321" s="33" t="str">
        <f t="shared" si="165"/>
        <v/>
      </c>
      <c r="U321" s="33"/>
      <c r="V321" s="33" t="str">
        <f t="shared" si="166"/>
        <v/>
      </c>
      <c r="W321" s="33" t="str">
        <f t="shared" si="167"/>
        <v/>
      </c>
      <c r="X321" s="33" t="str">
        <f t="shared" si="168"/>
        <v/>
      </c>
      <c r="Y321" s="33" t="str">
        <f t="shared" si="169"/>
        <v/>
      </c>
      <c r="Z321" s="33" t="str">
        <f t="shared" si="170"/>
        <v/>
      </c>
      <c r="AA321" s="33" t="str">
        <f t="shared" si="171"/>
        <v/>
      </c>
    </row>
    <row r="322" spans="4:27" x14ac:dyDescent="0.25">
      <c r="D322" s="70">
        <v>35</v>
      </c>
      <c r="E322" s="27" t="str">
        <f t="shared" si="152"/>
        <v/>
      </c>
      <c r="F322" s="33" t="str">
        <f t="shared" si="153"/>
        <v/>
      </c>
      <c r="G322" s="33" t="str">
        <f t="shared" si="154"/>
        <v/>
      </c>
      <c r="H322" s="33" t="str">
        <f t="shared" si="155"/>
        <v/>
      </c>
      <c r="I322" s="33" t="str">
        <f t="shared" si="156"/>
        <v/>
      </c>
      <c r="J322" s="33" t="str">
        <f t="shared" si="157"/>
        <v/>
      </c>
      <c r="K322" s="33" t="str">
        <f t="shared" si="158"/>
        <v/>
      </c>
      <c r="L322" s="33"/>
      <c r="M322" s="33"/>
      <c r="N322" s="33" t="str">
        <f t="shared" si="159"/>
        <v/>
      </c>
      <c r="O322" s="33" t="str">
        <f t="shared" si="160"/>
        <v/>
      </c>
      <c r="P322" s="33" t="str">
        <f t="shared" si="161"/>
        <v/>
      </c>
      <c r="Q322" s="33" t="str">
        <f t="shared" si="162"/>
        <v/>
      </c>
      <c r="R322" s="33" t="str">
        <f t="shared" si="163"/>
        <v/>
      </c>
      <c r="S322" s="27" t="str">
        <f t="shared" si="164"/>
        <v/>
      </c>
      <c r="T322" s="33" t="str">
        <f t="shared" si="165"/>
        <v/>
      </c>
      <c r="U322" s="33"/>
      <c r="V322" s="33" t="str">
        <f t="shared" si="166"/>
        <v/>
      </c>
      <c r="W322" s="33" t="str">
        <f t="shared" si="167"/>
        <v/>
      </c>
      <c r="X322" s="33" t="str">
        <f t="shared" si="168"/>
        <v/>
      </c>
      <c r="Y322" s="33" t="str">
        <f t="shared" si="169"/>
        <v/>
      </c>
      <c r="Z322" s="33" t="str">
        <f t="shared" si="170"/>
        <v/>
      </c>
      <c r="AA322" s="33" t="str">
        <f t="shared" si="171"/>
        <v/>
      </c>
    </row>
    <row r="323" spans="4:27" x14ac:dyDescent="0.25">
      <c r="D323" s="70">
        <v>36</v>
      </c>
      <c r="E323" s="27" t="str">
        <f t="shared" si="152"/>
        <v/>
      </c>
      <c r="F323" s="33" t="str">
        <f t="shared" si="153"/>
        <v/>
      </c>
      <c r="G323" s="33" t="str">
        <f t="shared" si="154"/>
        <v/>
      </c>
      <c r="H323" s="33" t="str">
        <f t="shared" si="155"/>
        <v/>
      </c>
      <c r="I323" s="33" t="str">
        <f t="shared" si="156"/>
        <v/>
      </c>
      <c r="J323" s="33" t="str">
        <f t="shared" si="157"/>
        <v/>
      </c>
      <c r="K323" s="33" t="str">
        <f t="shared" si="158"/>
        <v/>
      </c>
      <c r="L323" s="33"/>
      <c r="M323" s="33"/>
      <c r="N323" s="33" t="str">
        <f t="shared" si="159"/>
        <v/>
      </c>
      <c r="O323" s="33" t="str">
        <f t="shared" si="160"/>
        <v/>
      </c>
      <c r="P323" s="33" t="str">
        <f t="shared" si="161"/>
        <v/>
      </c>
      <c r="Q323" s="33" t="str">
        <f t="shared" si="162"/>
        <v/>
      </c>
      <c r="R323" s="33" t="str">
        <f t="shared" si="163"/>
        <v/>
      </c>
      <c r="S323" s="27" t="str">
        <f t="shared" si="164"/>
        <v/>
      </c>
      <c r="T323" s="33" t="str">
        <f t="shared" si="165"/>
        <v/>
      </c>
      <c r="U323" s="33"/>
      <c r="V323" s="33" t="str">
        <f t="shared" si="166"/>
        <v/>
      </c>
      <c r="W323" s="33" t="str">
        <f t="shared" si="167"/>
        <v/>
      </c>
      <c r="X323" s="33" t="str">
        <f t="shared" si="168"/>
        <v/>
      </c>
      <c r="Y323" s="33" t="str">
        <f t="shared" si="169"/>
        <v/>
      </c>
      <c r="Z323" s="33" t="str">
        <f t="shared" si="170"/>
        <v/>
      </c>
      <c r="AA323" s="33" t="str">
        <f t="shared" si="171"/>
        <v/>
      </c>
    </row>
    <row r="324" spans="4:27" x14ac:dyDescent="0.25">
      <c r="D324" s="70">
        <v>37</v>
      </c>
      <c r="E324" s="27" t="str">
        <f t="shared" si="152"/>
        <v/>
      </c>
      <c r="F324" s="33" t="str">
        <f t="shared" si="153"/>
        <v/>
      </c>
      <c r="G324" s="33" t="str">
        <f t="shared" si="154"/>
        <v/>
      </c>
      <c r="H324" s="33" t="str">
        <f t="shared" si="155"/>
        <v/>
      </c>
      <c r="I324" s="33" t="str">
        <f t="shared" si="156"/>
        <v/>
      </c>
      <c r="J324" s="33" t="str">
        <f t="shared" si="157"/>
        <v/>
      </c>
      <c r="K324" s="33" t="str">
        <f t="shared" si="158"/>
        <v/>
      </c>
      <c r="L324" s="33"/>
      <c r="M324" s="33"/>
      <c r="N324" s="33" t="str">
        <f t="shared" si="159"/>
        <v/>
      </c>
      <c r="O324" s="33" t="str">
        <f t="shared" si="160"/>
        <v/>
      </c>
      <c r="P324" s="33" t="str">
        <f t="shared" si="161"/>
        <v/>
      </c>
      <c r="Q324" s="33" t="str">
        <f t="shared" si="162"/>
        <v/>
      </c>
      <c r="R324" s="33" t="str">
        <f t="shared" si="163"/>
        <v/>
      </c>
      <c r="S324" s="27" t="str">
        <f t="shared" si="164"/>
        <v/>
      </c>
      <c r="T324" s="33" t="str">
        <f t="shared" si="165"/>
        <v/>
      </c>
      <c r="U324" s="33"/>
      <c r="V324" s="33" t="str">
        <f t="shared" si="166"/>
        <v/>
      </c>
      <c r="W324" s="33" t="str">
        <f t="shared" si="167"/>
        <v/>
      </c>
      <c r="X324" s="33" t="str">
        <f t="shared" si="168"/>
        <v/>
      </c>
      <c r="Y324" s="33" t="str">
        <f t="shared" si="169"/>
        <v/>
      </c>
      <c r="Z324" s="33" t="str">
        <f t="shared" si="170"/>
        <v/>
      </c>
      <c r="AA324" s="33" t="str">
        <f t="shared" si="171"/>
        <v/>
      </c>
    </row>
    <row r="325" spans="4:27" x14ac:dyDescent="0.25">
      <c r="D325" s="70">
        <v>38</v>
      </c>
      <c r="E325" s="27" t="str">
        <f t="shared" si="152"/>
        <v/>
      </c>
      <c r="F325" s="33" t="str">
        <f t="shared" si="153"/>
        <v/>
      </c>
      <c r="G325" s="33" t="str">
        <f t="shared" si="154"/>
        <v/>
      </c>
      <c r="H325" s="33" t="str">
        <f t="shared" si="155"/>
        <v/>
      </c>
      <c r="I325" s="33" t="str">
        <f t="shared" si="156"/>
        <v/>
      </c>
      <c r="J325" s="33" t="str">
        <f t="shared" si="157"/>
        <v/>
      </c>
      <c r="K325" s="33" t="str">
        <f t="shared" si="158"/>
        <v/>
      </c>
      <c r="L325" s="33"/>
      <c r="M325" s="33"/>
      <c r="N325" s="33" t="str">
        <f t="shared" si="159"/>
        <v/>
      </c>
      <c r="O325" s="33" t="str">
        <f t="shared" si="160"/>
        <v/>
      </c>
      <c r="P325" s="33" t="str">
        <f t="shared" si="161"/>
        <v/>
      </c>
      <c r="Q325" s="33" t="str">
        <f t="shared" si="162"/>
        <v/>
      </c>
      <c r="R325" s="33" t="str">
        <f t="shared" si="163"/>
        <v/>
      </c>
      <c r="S325" s="27" t="str">
        <f t="shared" si="164"/>
        <v/>
      </c>
      <c r="T325" s="33" t="str">
        <f t="shared" si="165"/>
        <v/>
      </c>
      <c r="U325" s="33"/>
      <c r="V325" s="33" t="str">
        <f t="shared" si="166"/>
        <v/>
      </c>
      <c r="W325" s="33" t="str">
        <f t="shared" si="167"/>
        <v/>
      </c>
      <c r="X325" s="33" t="str">
        <f t="shared" si="168"/>
        <v/>
      </c>
      <c r="Y325" s="33" t="str">
        <f t="shared" si="169"/>
        <v/>
      </c>
      <c r="Z325" s="33" t="str">
        <f t="shared" si="170"/>
        <v/>
      </c>
      <c r="AA325" s="33" t="str">
        <f t="shared" si="171"/>
        <v/>
      </c>
    </row>
    <row r="326" spans="4:27" x14ac:dyDescent="0.25">
      <c r="D326" s="70">
        <v>39</v>
      </c>
      <c r="E326" s="27" t="str">
        <f t="shared" si="152"/>
        <v/>
      </c>
      <c r="F326" s="33" t="str">
        <f t="shared" si="153"/>
        <v/>
      </c>
      <c r="G326" s="33" t="str">
        <f t="shared" si="154"/>
        <v/>
      </c>
      <c r="H326" s="33" t="str">
        <f t="shared" si="155"/>
        <v/>
      </c>
      <c r="I326" s="33" t="str">
        <f t="shared" si="156"/>
        <v/>
      </c>
      <c r="J326" s="33" t="str">
        <f t="shared" si="157"/>
        <v/>
      </c>
      <c r="K326" s="33" t="str">
        <f t="shared" si="158"/>
        <v/>
      </c>
      <c r="L326" s="33"/>
      <c r="M326" s="33"/>
      <c r="N326" s="33" t="str">
        <f t="shared" si="159"/>
        <v/>
      </c>
      <c r="O326" s="33" t="str">
        <f t="shared" si="160"/>
        <v/>
      </c>
      <c r="P326" s="33" t="str">
        <f t="shared" si="161"/>
        <v/>
      </c>
      <c r="Q326" s="33" t="str">
        <f t="shared" si="162"/>
        <v/>
      </c>
      <c r="R326" s="33" t="str">
        <f t="shared" si="163"/>
        <v/>
      </c>
      <c r="S326" s="27" t="str">
        <f t="shared" si="164"/>
        <v/>
      </c>
      <c r="T326" s="33" t="str">
        <f t="shared" si="165"/>
        <v/>
      </c>
      <c r="U326" s="33"/>
      <c r="V326" s="33" t="str">
        <f t="shared" si="166"/>
        <v/>
      </c>
      <c r="W326" s="33" t="str">
        <f t="shared" si="167"/>
        <v/>
      </c>
      <c r="X326" s="33" t="str">
        <f t="shared" si="168"/>
        <v/>
      </c>
      <c r="Y326" s="33" t="str">
        <f t="shared" si="169"/>
        <v/>
      </c>
      <c r="Z326" s="33" t="str">
        <f t="shared" si="170"/>
        <v/>
      </c>
      <c r="AA326" s="33" t="str">
        <f t="shared" si="171"/>
        <v/>
      </c>
    </row>
    <row r="327" spans="4:27" x14ac:dyDescent="0.25">
      <c r="D327" s="70">
        <v>40</v>
      </c>
      <c r="E327" s="27" t="str">
        <f t="shared" si="152"/>
        <v/>
      </c>
      <c r="F327" s="33" t="str">
        <f t="shared" si="153"/>
        <v/>
      </c>
      <c r="G327" s="33" t="str">
        <f t="shared" si="154"/>
        <v/>
      </c>
      <c r="H327" s="33" t="str">
        <f t="shared" si="155"/>
        <v/>
      </c>
      <c r="I327" s="33" t="str">
        <f t="shared" si="156"/>
        <v/>
      </c>
      <c r="J327" s="33" t="str">
        <f t="shared" si="157"/>
        <v/>
      </c>
      <c r="K327" s="33" t="str">
        <f t="shared" si="158"/>
        <v/>
      </c>
      <c r="L327" s="33"/>
      <c r="M327" s="33"/>
      <c r="N327" s="33" t="str">
        <f t="shared" si="159"/>
        <v/>
      </c>
      <c r="O327" s="33" t="str">
        <f t="shared" si="160"/>
        <v/>
      </c>
      <c r="P327" s="33" t="str">
        <f t="shared" si="161"/>
        <v/>
      </c>
      <c r="Q327" s="33" t="str">
        <f t="shared" si="162"/>
        <v/>
      </c>
      <c r="R327" s="33" t="str">
        <f t="shared" si="163"/>
        <v/>
      </c>
      <c r="S327" s="27" t="str">
        <f t="shared" si="164"/>
        <v/>
      </c>
      <c r="T327" s="33" t="str">
        <f t="shared" si="165"/>
        <v/>
      </c>
      <c r="U327" s="33"/>
      <c r="V327" s="33" t="str">
        <f t="shared" si="166"/>
        <v/>
      </c>
      <c r="W327" s="33" t="str">
        <f t="shared" si="167"/>
        <v/>
      </c>
      <c r="X327" s="33" t="str">
        <f t="shared" si="168"/>
        <v/>
      </c>
      <c r="Y327" s="33" t="str">
        <f t="shared" si="169"/>
        <v/>
      </c>
      <c r="Z327" s="33" t="str">
        <f t="shared" si="170"/>
        <v/>
      </c>
      <c r="AA327" s="33" t="str">
        <f t="shared" si="171"/>
        <v/>
      </c>
    </row>
    <row r="328" spans="4:27" x14ac:dyDescent="0.25">
      <c r="D328" s="70">
        <v>41</v>
      </c>
      <c r="E328" s="27" t="str">
        <f t="shared" si="152"/>
        <v/>
      </c>
      <c r="F328" s="33" t="str">
        <f t="shared" si="153"/>
        <v/>
      </c>
      <c r="G328" s="33" t="str">
        <f t="shared" si="154"/>
        <v/>
      </c>
      <c r="H328" s="33" t="str">
        <f t="shared" si="155"/>
        <v/>
      </c>
      <c r="I328" s="33" t="str">
        <f t="shared" si="156"/>
        <v/>
      </c>
      <c r="J328" s="33" t="str">
        <f t="shared" si="157"/>
        <v/>
      </c>
      <c r="K328" s="33" t="str">
        <f t="shared" si="158"/>
        <v/>
      </c>
      <c r="L328" s="33"/>
      <c r="M328" s="33"/>
      <c r="N328" s="33" t="str">
        <f t="shared" si="159"/>
        <v/>
      </c>
      <c r="O328" s="33" t="str">
        <f t="shared" si="160"/>
        <v/>
      </c>
      <c r="P328" s="33" t="str">
        <f t="shared" si="161"/>
        <v/>
      </c>
      <c r="Q328" s="33" t="str">
        <f t="shared" si="162"/>
        <v/>
      </c>
      <c r="R328" s="33" t="str">
        <f t="shared" si="163"/>
        <v/>
      </c>
      <c r="S328" s="27" t="str">
        <f t="shared" si="164"/>
        <v/>
      </c>
      <c r="T328" s="33" t="str">
        <f t="shared" si="165"/>
        <v/>
      </c>
      <c r="U328" s="33"/>
      <c r="V328" s="33" t="str">
        <f t="shared" si="166"/>
        <v/>
      </c>
      <c r="W328" s="33" t="str">
        <f t="shared" si="167"/>
        <v/>
      </c>
      <c r="X328" s="33" t="str">
        <f t="shared" si="168"/>
        <v/>
      </c>
      <c r="Y328" s="33" t="str">
        <f t="shared" si="169"/>
        <v/>
      </c>
      <c r="Z328" s="33" t="str">
        <f t="shared" si="170"/>
        <v/>
      </c>
      <c r="AA328" s="33" t="str">
        <f t="shared" si="171"/>
        <v/>
      </c>
    </row>
    <row r="329" spans="4:27" x14ac:dyDescent="0.25">
      <c r="D329" s="70">
        <v>42</v>
      </c>
      <c r="E329" s="27" t="str">
        <f t="shared" si="152"/>
        <v/>
      </c>
      <c r="F329" s="33" t="str">
        <f t="shared" si="153"/>
        <v/>
      </c>
      <c r="G329" s="33" t="str">
        <f t="shared" si="154"/>
        <v/>
      </c>
      <c r="H329" s="33" t="str">
        <f t="shared" si="155"/>
        <v/>
      </c>
      <c r="I329" s="33" t="str">
        <f t="shared" si="156"/>
        <v/>
      </c>
      <c r="J329" s="33" t="str">
        <f t="shared" si="157"/>
        <v/>
      </c>
      <c r="K329" s="33" t="str">
        <f t="shared" si="158"/>
        <v/>
      </c>
      <c r="L329" s="33"/>
      <c r="M329" s="33"/>
      <c r="N329" s="33" t="str">
        <f t="shared" si="159"/>
        <v/>
      </c>
      <c r="O329" s="33" t="str">
        <f t="shared" si="160"/>
        <v/>
      </c>
      <c r="P329" s="33" t="str">
        <f t="shared" si="161"/>
        <v/>
      </c>
      <c r="Q329" s="33" t="str">
        <f t="shared" si="162"/>
        <v/>
      </c>
      <c r="R329" s="33" t="str">
        <f t="shared" si="163"/>
        <v/>
      </c>
      <c r="S329" s="27" t="str">
        <f t="shared" si="164"/>
        <v/>
      </c>
      <c r="T329" s="33" t="str">
        <f t="shared" si="165"/>
        <v/>
      </c>
      <c r="U329" s="33"/>
      <c r="V329" s="33" t="str">
        <f t="shared" si="166"/>
        <v/>
      </c>
      <c r="W329" s="33" t="str">
        <f t="shared" si="167"/>
        <v/>
      </c>
      <c r="X329" s="33" t="str">
        <f t="shared" si="168"/>
        <v/>
      </c>
      <c r="Y329" s="33" t="str">
        <f t="shared" si="169"/>
        <v/>
      </c>
      <c r="Z329" s="33" t="str">
        <f t="shared" si="170"/>
        <v/>
      </c>
      <c r="AA329" s="33" t="str">
        <f t="shared" si="171"/>
        <v/>
      </c>
    </row>
    <row r="330" spans="4:27" x14ac:dyDescent="0.25">
      <c r="D330" s="70">
        <v>43</v>
      </c>
      <c r="E330" s="27" t="str">
        <f t="shared" si="152"/>
        <v/>
      </c>
      <c r="F330" s="33" t="str">
        <f t="shared" si="153"/>
        <v/>
      </c>
      <c r="G330" s="33" t="str">
        <f t="shared" si="154"/>
        <v/>
      </c>
      <c r="H330" s="33" t="str">
        <f t="shared" si="155"/>
        <v/>
      </c>
      <c r="I330" s="33" t="str">
        <f t="shared" si="156"/>
        <v/>
      </c>
      <c r="J330" s="33" t="str">
        <f t="shared" si="157"/>
        <v/>
      </c>
      <c r="K330" s="33" t="str">
        <f t="shared" si="158"/>
        <v/>
      </c>
      <c r="L330" s="33"/>
      <c r="M330" s="33"/>
      <c r="N330" s="33" t="str">
        <f t="shared" si="159"/>
        <v/>
      </c>
      <c r="O330" s="33" t="str">
        <f t="shared" si="160"/>
        <v/>
      </c>
      <c r="P330" s="33" t="str">
        <f t="shared" si="161"/>
        <v/>
      </c>
      <c r="Q330" s="33" t="str">
        <f t="shared" si="162"/>
        <v/>
      </c>
      <c r="R330" s="33" t="str">
        <f t="shared" si="163"/>
        <v/>
      </c>
      <c r="S330" s="27" t="str">
        <f t="shared" si="164"/>
        <v/>
      </c>
      <c r="T330" s="33" t="str">
        <f t="shared" si="165"/>
        <v/>
      </c>
      <c r="U330" s="33"/>
      <c r="V330" s="33" t="str">
        <f t="shared" si="166"/>
        <v/>
      </c>
      <c r="W330" s="33" t="str">
        <f t="shared" si="167"/>
        <v/>
      </c>
      <c r="X330" s="33" t="str">
        <f t="shared" si="168"/>
        <v/>
      </c>
      <c r="Y330" s="33" t="str">
        <f t="shared" si="169"/>
        <v/>
      </c>
      <c r="Z330" s="33" t="str">
        <f t="shared" si="170"/>
        <v/>
      </c>
      <c r="AA330" s="33" t="str">
        <f t="shared" si="171"/>
        <v/>
      </c>
    </row>
    <row r="331" spans="4:27" x14ac:dyDescent="0.25">
      <c r="D331" s="70">
        <v>44</v>
      </c>
      <c r="E331" s="27" t="str">
        <f t="shared" si="152"/>
        <v/>
      </c>
      <c r="F331" s="33" t="str">
        <f t="shared" si="153"/>
        <v/>
      </c>
      <c r="G331" s="33" t="str">
        <f t="shared" si="154"/>
        <v/>
      </c>
      <c r="H331" s="33" t="str">
        <f t="shared" si="155"/>
        <v/>
      </c>
      <c r="I331" s="33" t="str">
        <f t="shared" si="156"/>
        <v/>
      </c>
      <c r="J331" s="33" t="str">
        <f t="shared" si="157"/>
        <v/>
      </c>
      <c r="K331" s="33" t="str">
        <f t="shared" si="158"/>
        <v/>
      </c>
      <c r="L331" s="33"/>
      <c r="M331" s="33"/>
      <c r="N331" s="33" t="str">
        <f t="shared" si="159"/>
        <v/>
      </c>
      <c r="O331" s="33" t="str">
        <f t="shared" si="160"/>
        <v/>
      </c>
      <c r="P331" s="33" t="str">
        <f t="shared" si="161"/>
        <v/>
      </c>
      <c r="Q331" s="33" t="str">
        <f t="shared" si="162"/>
        <v/>
      </c>
      <c r="R331" s="33" t="str">
        <f t="shared" si="163"/>
        <v/>
      </c>
      <c r="S331" s="27" t="str">
        <f t="shared" si="164"/>
        <v/>
      </c>
      <c r="T331" s="33" t="str">
        <f t="shared" si="165"/>
        <v/>
      </c>
      <c r="U331" s="33"/>
      <c r="V331" s="33" t="str">
        <f t="shared" si="166"/>
        <v/>
      </c>
      <c r="W331" s="33" t="str">
        <f t="shared" si="167"/>
        <v/>
      </c>
      <c r="X331" s="33" t="str">
        <f t="shared" si="168"/>
        <v/>
      </c>
      <c r="Y331" s="33" t="str">
        <f t="shared" si="169"/>
        <v/>
      </c>
      <c r="Z331" s="33" t="str">
        <f t="shared" si="170"/>
        <v/>
      </c>
      <c r="AA331" s="33" t="str">
        <f t="shared" si="171"/>
        <v/>
      </c>
    </row>
    <row r="332" spans="4:27" x14ac:dyDescent="0.25">
      <c r="D332" s="70">
        <v>45</v>
      </c>
      <c r="E332" s="27" t="str">
        <f t="shared" si="152"/>
        <v/>
      </c>
      <c r="F332" s="33" t="str">
        <f t="shared" si="153"/>
        <v/>
      </c>
      <c r="G332" s="33" t="str">
        <f t="shared" si="154"/>
        <v/>
      </c>
      <c r="H332" s="33" t="str">
        <f t="shared" si="155"/>
        <v/>
      </c>
      <c r="I332" s="33" t="str">
        <f t="shared" si="156"/>
        <v/>
      </c>
      <c r="J332" s="33" t="str">
        <f t="shared" si="157"/>
        <v/>
      </c>
      <c r="K332" s="33" t="str">
        <f t="shared" si="158"/>
        <v/>
      </c>
      <c r="L332" s="33"/>
      <c r="M332" s="33"/>
      <c r="N332" s="33" t="str">
        <f t="shared" si="159"/>
        <v/>
      </c>
      <c r="O332" s="33" t="str">
        <f t="shared" si="160"/>
        <v/>
      </c>
      <c r="P332" s="33" t="str">
        <f t="shared" si="161"/>
        <v/>
      </c>
      <c r="Q332" s="33" t="str">
        <f t="shared" si="162"/>
        <v/>
      </c>
      <c r="R332" s="33" t="str">
        <f t="shared" si="163"/>
        <v/>
      </c>
      <c r="S332" s="27" t="str">
        <f t="shared" si="164"/>
        <v/>
      </c>
      <c r="T332" s="33" t="str">
        <f t="shared" si="165"/>
        <v/>
      </c>
      <c r="U332" s="33"/>
      <c r="V332" s="33" t="str">
        <f t="shared" si="166"/>
        <v/>
      </c>
      <c r="W332" s="33" t="str">
        <f t="shared" si="167"/>
        <v/>
      </c>
      <c r="X332" s="33" t="str">
        <f t="shared" si="168"/>
        <v/>
      </c>
      <c r="Y332" s="33" t="str">
        <f t="shared" si="169"/>
        <v/>
      </c>
      <c r="Z332" s="33" t="str">
        <f t="shared" si="170"/>
        <v/>
      </c>
      <c r="AA332" s="33" t="str">
        <f t="shared" si="171"/>
        <v/>
      </c>
    </row>
    <row r="333" spans="4:27" x14ac:dyDescent="0.25">
      <c r="D333" s="70">
        <v>46</v>
      </c>
      <c r="E333" s="27" t="str">
        <f t="shared" si="152"/>
        <v/>
      </c>
      <c r="F333" s="33" t="str">
        <f t="shared" si="153"/>
        <v/>
      </c>
      <c r="G333" s="33" t="str">
        <f t="shared" si="154"/>
        <v/>
      </c>
      <c r="H333" s="33" t="str">
        <f t="shared" si="155"/>
        <v/>
      </c>
      <c r="I333" s="33" t="str">
        <f t="shared" si="156"/>
        <v/>
      </c>
      <c r="J333" s="33" t="str">
        <f t="shared" si="157"/>
        <v/>
      </c>
      <c r="K333" s="33" t="str">
        <f t="shared" si="158"/>
        <v/>
      </c>
      <c r="L333" s="33"/>
      <c r="M333" s="33"/>
      <c r="N333" s="33" t="str">
        <f t="shared" si="159"/>
        <v/>
      </c>
      <c r="O333" s="33" t="str">
        <f t="shared" si="160"/>
        <v/>
      </c>
      <c r="P333" s="33" t="str">
        <f t="shared" si="161"/>
        <v/>
      </c>
      <c r="Q333" s="33" t="str">
        <f t="shared" si="162"/>
        <v/>
      </c>
      <c r="R333" s="33" t="str">
        <f t="shared" si="163"/>
        <v/>
      </c>
      <c r="S333" s="27" t="str">
        <f t="shared" si="164"/>
        <v/>
      </c>
      <c r="T333" s="33" t="str">
        <f t="shared" si="165"/>
        <v/>
      </c>
      <c r="U333" s="33"/>
      <c r="V333" s="33" t="str">
        <f t="shared" si="166"/>
        <v/>
      </c>
      <c r="W333" s="33" t="str">
        <f t="shared" si="167"/>
        <v/>
      </c>
      <c r="X333" s="33" t="str">
        <f t="shared" si="168"/>
        <v/>
      </c>
      <c r="Y333" s="33" t="str">
        <f t="shared" si="169"/>
        <v/>
      </c>
      <c r="Z333" s="33" t="str">
        <f t="shared" si="170"/>
        <v/>
      </c>
      <c r="AA333" s="33" t="str">
        <f t="shared" si="171"/>
        <v/>
      </c>
    </row>
    <row r="334" spans="4:27" x14ac:dyDescent="0.25">
      <c r="D334" s="70">
        <v>47</v>
      </c>
      <c r="E334" s="27" t="str">
        <f t="shared" si="152"/>
        <v/>
      </c>
      <c r="F334" s="33" t="str">
        <f t="shared" si="153"/>
        <v/>
      </c>
      <c r="G334" s="33" t="str">
        <f t="shared" si="154"/>
        <v/>
      </c>
      <c r="H334" s="33" t="str">
        <f t="shared" si="155"/>
        <v/>
      </c>
      <c r="I334" s="33" t="str">
        <f t="shared" si="156"/>
        <v/>
      </c>
      <c r="J334" s="33" t="str">
        <f t="shared" si="157"/>
        <v/>
      </c>
      <c r="K334" s="33" t="str">
        <f t="shared" si="158"/>
        <v/>
      </c>
      <c r="L334" s="33"/>
      <c r="M334" s="33"/>
      <c r="N334" s="33" t="str">
        <f t="shared" si="159"/>
        <v/>
      </c>
      <c r="O334" s="33" t="str">
        <f t="shared" si="160"/>
        <v/>
      </c>
      <c r="P334" s="33" t="str">
        <f t="shared" si="161"/>
        <v/>
      </c>
      <c r="Q334" s="33" t="str">
        <f t="shared" si="162"/>
        <v/>
      </c>
      <c r="R334" s="33" t="str">
        <f t="shared" si="163"/>
        <v/>
      </c>
      <c r="S334" s="27" t="str">
        <f t="shared" si="164"/>
        <v/>
      </c>
      <c r="T334" s="33" t="str">
        <f t="shared" si="165"/>
        <v/>
      </c>
      <c r="U334" s="33"/>
      <c r="V334" s="33" t="str">
        <f t="shared" si="166"/>
        <v/>
      </c>
      <c r="W334" s="33" t="str">
        <f t="shared" si="167"/>
        <v/>
      </c>
      <c r="X334" s="33" t="str">
        <f t="shared" si="168"/>
        <v/>
      </c>
      <c r="Y334" s="33" t="str">
        <f t="shared" si="169"/>
        <v/>
      </c>
      <c r="Z334" s="33" t="str">
        <f t="shared" si="170"/>
        <v/>
      </c>
      <c r="AA334" s="33" t="str">
        <f t="shared" si="171"/>
        <v/>
      </c>
    </row>
    <row r="335" spans="4:27" x14ac:dyDescent="0.25">
      <c r="D335" s="70">
        <v>48</v>
      </c>
      <c r="E335" s="27" t="str">
        <f t="shared" si="152"/>
        <v/>
      </c>
      <c r="F335" s="33" t="str">
        <f t="shared" si="153"/>
        <v/>
      </c>
      <c r="G335" s="33" t="str">
        <f t="shared" si="154"/>
        <v/>
      </c>
      <c r="H335" s="33" t="str">
        <f t="shared" si="155"/>
        <v/>
      </c>
      <c r="I335" s="33" t="str">
        <f t="shared" si="156"/>
        <v/>
      </c>
      <c r="J335" s="33" t="str">
        <f t="shared" si="157"/>
        <v/>
      </c>
      <c r="K335" s="33" t="str">
        <f t="shared" si="158"/>
        <v/>
      </c>
      <c r="L335" s="33"/>
      <c r="M335" s="33"/>
      <c r="N335" s="33" t="str">
        <f t="shared" si="159"/>
        <v/>
      </c>
      <c r="O335" s="33" t="str">
        <f t="shared" si="160"/>
        <v/>
      </c>
      <c r="P335" s="33" t="str">
        <f t="shared" si="161"/>
        <v/>
      </c>
      <c r="Q335" s="33" t="str">
        <f t="shared" si="162"/>
        <v/>
      </c>
      <c r="R335" s="33" t="str">
        <f t="shared" si="163"/>
        <v/>
      </c>
      <c r="S335" s="27" t="str">
        <f t="shared" si="164"/>
        <v/>
      </c>
      <c r="T335" s="33" t="str">
        <f t="shared" si="165"/>
        <v/>
      </c>
      <c r="U335" s="33"/>
      <c r="V335" s="33" t="str">
        <f t="shared" si="166"/>
        <v/>
      </c>
      <c r="W335" s="33" t="str">
        <f t="shared" si="167"/>
        <v/>
      </c>
      <c r="X335" s="33" t="str">
        <f t="shared" si="168"/>
        <v/>
      </c>
      <c r="Y335" s="33" t="str">
        <f t="shared" si="169"/>
        <v/>
      </c>
      <c r="Z335" s="33" t="str">
        <f t="shared" si="170"/>
        <v/>
      </c>
      <c r="AA335" s="33" t="str">
        <f t="shared" si="171"/>
        <v/>
      </c>
    </row>
    <row r="336" spans="4:27" x14ac:dyDescent="0.25">
      <c r="D336" s="70">
        <v>49</v>
      </c>
      <c r="E336" s="27" t="str">
        <f t="shared" si="152"/>
        <v/>
      </c>
      <c r="F336" s="33" t="str">
        <f t="shared" si="153"/>
        <v/>
      </c>
      <c r="G336" s="33" t="str">
        <f t="shared" si="154"/>
        <v/>
      </c>
      <c r="H336" s="33" t="str">
        <f t="shared" si="155"/>
        <v/>
      </c>
      <c r="I336" s="33" t="str">
        <f t="shared" si="156"/>
        <v/>
      </c>
      <c r="J336" s="33" t="str">
        <f t="shared" si="157"/>
        <v/>
      </c>
      <c r="K336" s="33" t="str">
        <f t="shared" si="158"/>
        <v/>
      </c>
      <c r="L336" s="33"/>
      <c r="M336" s="33"/>
      <c r="N336" s="33" t="str">
        <f t="shared" si="159"/>
        <v/>
      </c>
      <c r="O336" s="33" t="str">
        <f t="shared" si="160"/>
        <v/>
      </c>
      <c r="P336" s="33" t="str">
        <f t="shared" si="161"/>
        <v/>
      </c>
      <c r="Q336" s="33" t="str">
        <f t="shared" si="162"/>
        <v/>
      </c>
      <c r="R336" s="33" t="str">
        <f t="shared" si="163"/>
        <v/>
      </c>
      <c r="S336" s="27" t="str">
        <f t="shared" si="164"/>
        <v/>
      </c>
      <c r="T336" s="33" t="str">
        <f t="shared" si="165"/>
        <v/>
      </c>
      <c r="U336" s="33"/>
      <c r="V336" s="33" t="str">
        <f t="shared" si="166"/>
        <v/>
      </c>
      <c r="W336" s="33" t="str">
        <f t="shared" si="167"/>
        <v/>
      </c>
      <c r="X336" s="33" t="str">
        <f t="shared" si="168"/>
        <v/>
      </c>
      <c r="Y336" s="33" t="str">
        <f t="shared" si="169"/>
        <v/>
      </c>
      <c r="Z336" s="33" t="str">
        <f t="shared" si="170"/>
        <v/>
      </c>
      <c r="AA336" s="33" t="str">
        <f t="shared" si="171"/>
        <v/>
      </c>
    </row>
    <row r="337" spans="4:27" x14ac:dyDescent="0.25">
      <c r="D337" s="70">
        <v>50</v>
      </c>
      <c r="E337" s="27" t="str">
        <f t="shared" si="152"/>
        <v/>
      </c>
      <c r="F337" s="33" t="str">
        <f t="shared" si="153"/>
        <v/>
      </c>
      <c r="G337" s="33" t="str">
        <f t="shared" si="154"/>
        <v/>
      </c>
      <c r="H337" s="33" t="str">
        <f t="shared" si="155"/>
        <v/>
      </c>
      <c r="I337" s="33" t="str">
        <f t="shared" si="156"/>
        <v/>
      </c>
      <c r="J337" s="33" t="str">
        <f t="shared" si="157"/>
        <v/>
      </c>
      <c r="K337" s="33" t="str">
        <f t="shared" si="158"/>
        <v/>
      </c>
      <c r="L337" s="33"/>
      <c r="M337" s="33"/>
      <c r="N337" s="33" t="str">
        <f t="shared" si="159"/>
        <v/>
      </c>
      <c r="O337" s="33" t="str">
        <f t="shared" si="160"/>
        <v/>
      </c>
      <c r="P337" s="33" t="str">
        <f t="shared" si="161"/>
        <v/>
      </c>
      <c r="Q337" s="33" t="str">
        <f t="shared" si="162"/>
        <v/>
      </c>
      <c r="R337" s="33" t="str">
        <f t="shared" si="163"/>
        <v/>
      </c>
      <c r="S337" s="27" t="str">
        <f t="shared" si="164"/>
        <v/>
      </c>
      <c r="T337" s="33" t="str">
        <f t="shared" si="165"/>
        <v/>
      </c>
      <c r="U337" s="33"/>
      <c r="V337" s="33" t="str">
        <f t="shared" si="166"/>
        <v/>
      </c>
      <c r="W337" s="33" t="str">
        <f t="shared" si="167"/>
        <v/>
      </c>
      <c r="X337" s="33" t="str">
        <f t="shared" si="168"/>
        <v/>
      </c>
      <c r="Y337" s="33" t="str">
        <f t="shared" si="169"/>
        <v/>
      </c>
      <c r="Z337" s="33" t="str">
        <f t="shared" si="170"/>
        <v/>
      </c>
      <c r="AA337" s="33" t="str">
        <f t="shared" si="171"/>
        <v/>
      </c>
    </row>
    <row r="338" spans="4:27" x14ac:dyDescent="0.25">
      <c r="D338" s="70">
        <v>51</v>
      </c>
      <c r="E338" s="27" t="str">
        <f t="shared" si="152"/>
        <v/>
      </c>
      <c r="F338" s="33" t="str">
        <f t="shared" si="153"/>
        <v/>
      </c>
      <c r="G338" s="33" t="str">
        <f t="shared" si="154"/>
        <v/>
      </c>
      <c r="H338" s="33" t="str">
        <f t="shared" si="155"/>
        <v/>
      </c>
      <c r="I338" s="33" t="str">
        <f t="shared" si="156"/>
        <v/>
      </c>
      <c r="J338" s="33" t="str">
        <f t="shared" si="157"/>
        <v/>
      </c>
      <c r="K338" s="33" t="str">
        <f t="shared" si="158"/>
        <v/>
      </c>
      <c r="L338" s="33"/>
      <c r="M338" s="33"/>
      <c r="N338" s="33" t="str">
        <f t="shared" si="159"/>
        <v/>
      </c>
      <c r="O338" s="33" t="str">
        <f t="shared" si="160"/>
        <v/>
      </c>
      <c r="P338" s="33" t="str">
        <f t="shared" si="161"/>
        <v/>
      </c>
      <c r="Q338" s="33" t="str">
        <f t="shared" si="162"/>
        <v/>
      </c>
      <c r="R338" s="33" t="str">
        <f t="shared" si="163"/>
        <v/>
      </c>
      <c r="S338" s="27" t="str">
        <f t="shared" si="164"/>
        <v/>
      </c>
      <c r="T338" s="33" t="str">
        <f t="shared" si="165"/>
        <v/>
      </c>
      <c r="U338" s="33"/>
      <c r="V338" s="33" t="str">
        <f t="shared" si="166"/>
        <v/>
      </c>
      <c r="W338" s="33" t="str">
        <f t="shared" si="167"/>
        <v/>
      </c>
      <c r="X338" s="33" t="str">
        <f t="shared" si="168"/>
        <v/>
      </c>
      <c r="Y338" s="33" t="str">
        <f t="shared" si="169"/>
        <v/>
      </c>
      <c r="Z338" s="33" t="str">
        <f t="shared" si="170"/>
        <v/>
      </c>
      <c r="AA338" s="33" t="str">
        <f t="shared" si="171"/>
        <v/>
      </c>
    </row>
    <row r="339" spans="4:27" x14ac:dyDescent="0.25">
      <c r="D339" s="70">
        <v>52</v>
      </c>
      <c r="E339" s="27" t="str">
        <f t="shared" si="152"/>
        <v/>
      </c>
      <c r="F339" s="33" t="str">
        <f t="shared" si="153"/>
        <v/>
      </c>
      <c r="G339" s="33" t="str">
        <f t="shared" si="154"/>
        <v/>
      </c>
      <c r="H339" s="33" t="str">
        <f t="shared" si="155"/>
        <v/>
      </c>
      <c r="I339" s="33" t="str">
        <f t="shared" si="156"/>
        <v/>
      </c>
      <c r="J339" s="33" t="str">
        <f t="shared" si="157"/>
        <v/>
      </c>
      <c r="K339" s="33" t="str">
        <f t="shared" si="158"/>
        <v/>
      </c>
      <c r="L339" s="33"/>
      <c r="M339" s="33"/>
      <c r="N339" s="33" t="str">
        <f t="shared" si="159"/>
        <v/>
      </c>
      <c r="O339" s="33" t="str">
        <f t="shared" si="160"/>
        <v/>
      </c>
      <c r="P339" s="33" t="str">
        <f t="shared" si="161"/>
        <v/>
      </c>
      <c r="Q339" s="33" t="str">
        <f t="shared" si="162"/>
        <v/>
      </c>
      <c r="R339" s="33" t="str">
        <f t="shared" si="163"/>
        <v/>
      </c>
      <c r="S339" s="27" t="str">
        <f t="shared" si="164"/>
        <v/>
      </c>
      <c r="T339" s="33" t="str">
        <f t="shared" si="165"/>
        <v/>
      </c>
      <c r="U339" s="33"/>
      <c r="V339" s="33" t="str">
        <f t="shared" si="166"/>
        <v/>
      </c>
      <c r="W339" s="33" t="str">
        <f t="shared" si="167"/>
        <v/>
      </c>
      <c r="X339" s="33" t="str">
        <f t="shared" si="168"/>
        <v/>
      </c>
      <c r="Y339" s="33" t="str">
        <f t="shared" si="169"/>
        <v/>
      </c>
      <c r="Z339" s="33" t="str">
        <f t="shared" si="170"/>
        <v/>
      </c>
      <c r="AA339" s="33" t="str">
        <f t="shared" si="171"/>
        <v/>
      </c>
    </row>
    <row r="340" spans="4:27" x14ac:dyDescent="0.25">
      <c r="D340" s="70">
        <v>53</v>
      </c>
      <c r="E340" s="27" t="str">
        <f t="shared" si="152"/>
        <v/>
      </c>
      <c r="F340" s="33" t="str">
        <f t="shared" si="153"/>
        <v/>
      </c>
      <c r="G340" s="33" t="str">
        <f t="shared" si="154"/>
        <v/>
      </c>
      <c r="H340" s="33" t="str">
        <f t="shared" si="155"/>
        <v/>
      </c>
      <c r="I340" s="33" t="str">
        <f t="shared" si="156"/>
        <v/>
      </c>
      <c r="J340" s="33" t="str">
        <f t="shared" si="157"/>
        <v/>
      </c>
      <c r="K340" s="33" t="str">
        <f t="shared" si="158"/>
        <v/>
      </c>
      <c r="L340" s="33"/>
      <c r="M340" s="33"/>
      <c r="N340" s="33" t="str">
        <f t="shared" si="159"/>
        <v/>
      </c>
      <c r="O340" s="33" t="str">
        <f t="shared" si="160"/>
        <v/>
      </c>
      <c r="P340" s="33" t="str">
        <f t="shared" si="161"/>
        <v/>
      </c>
      <c r="Q340" s="33" t="str">
        <f t="shared" si="162"/>
        <v/>
      </c>
      <c r="R340" s="33" t="str">
        <f t="shared" si="163"/>
        <v/>
      </c>
      <c r="S340" s="27" t="str">
        <f t="shared" si="164"/>
        <v/>
      </c>
      <c r="T340" s="33" t="str">
        <f t="shared" si="165"/>
        <v/>
      </c>
      <c r="U340" s="33"/>
      <c r="V340" s="33" t="str">
        <f t="shared" si="166"/>
        <v/>
      </c>
      <c r="W340" s="33" t="str">
        <f t="shared" si="167"/>
        <v/>
      </c>
      <c r="X340" s="33" t="str">
        <f t="shared" si="168"/>
        <v/>
      </c>
      <c r="Y340" s="33" t="str">
        <f t="shared" si="169"/>
        <v/>
      </c>
      <c r="Z340" s="33" t="str">
        <f t="shared" si="170"/>
        <v/>
      </c>
      <c r="AA340" s="33" t="str">
        <f t="shared" si="171"/>
        <v/>
      </c>
    </row>
    <row r="341" spans="4:27" x14ac:dyDescent="0.25">
      <c r="D341" s="70">
        <v>54</v>
      </c>
      <c r="E341" s="27" t="str">
        <f t="shared" si="152"/>
        <v/>
      </c>
      <c r="F341" s="33" t="str">
        <f t="shared" si="153"/>
        <v/>
      </c>
      <c r="G341" s="33" t="str">
        <f t="shared" si="154"/>
        <v/>
      </c>
      <c r="H341" s="33" t="str">
        <f t="shared" si="155"/>
        <v/>
      </c>
      <c r="I341" s="33" t="str">
        <f t="shared" si="156"/>
        <v/>
      </c>
      <c r="J341" s="33" t="str">
        <f t="shared" si="157"/>
        <v/>
      </c>
      <c r="K341" s="33" t="str">
        <f t="shared" si="158"/>
        <v/>
      </c>
      <c r="L341" s="33"/>
      <c r="M341" s="33"/>
      <c r="N341" s="33" t="str">
        <f t="shared" si="159"/>
        <v/>
      </c>
      <c r="O341" s="33" t="str">
        <f t="shared" si="160"/>
        <v/>
      </c>
      <c r="P341" s="33" t="str">
        <f t="shared" si="161"/>
        <v/>
      </c>
      <c r="Q341" s="33" t="str">
        <f t="shared" si="162"/>
        <v/>
      </c>
      <c r="R341" s="33" t="str">
        <f t="shared" si="163"/>
        <v/>
      </c>
      <c r="S341" s="27" t="str">
        <f t="shared" si="164"/>
        <v/>
      </c>
      <c r="T341" s="33" t="str">
        <f t="shared" si="165"/>
        <v/>
      </c>
      <c r="U341" s="33"/>
      <c r="V341" s="33" t="str">
        <f t="shared" si="166"/>
        <v/>
      </c>
      <c r="W341" s="33" t="str">
        <f t="shared" si="167"/>
        <v/>
      </c>
      <c r="X341" s="33" t="str">
        <f t="shared" si="168"/>
        <v/>
      </c>
      <c r="Y341" s="33" t="str">
        <f t="shared" si="169"/>
        <v/>
      </c>
      <c r="Z341" s="33" t="str">
        <f t="shared" si="170"/>
        <v/>
      </c>
      <c r="AA341" s="33" t="str">
        <f t="shared" si="171"/>
        <v/>
      </c>
    </row>
    <row r="342" spans="4:27" x14ac:dyDescent="0.25">
      <c r="D342" s="70">
        <v>55</v>
      </c>
      <c r="E342" s="27" t="str">
        <f t="shared" si="152"/>
        <v/>
      </c>
      <c r="F342" s="33" t="str">
        <f t="shared" si="153"/>
        <v/>
      </c>
      <c r="G342" s="33" t="str">
        <f t="shared" si="154"/>
        <v/>
      </c>
      <c r="H342" s="33" t="str">
        <f t="shared" si="155"/>
        <v/>
      </c>
      <c r="I342" s="33" t="str">
        <f t="shared" si="156"/>
        <v/>
      </c>
      <c r="J342" s="33" t="str">
        <f t="shared" si="157"/>
        <v/>
      </c>
      <c r="K342" s="33" t="str">
        <f t="shared" si="158"/>
        <v/>
      </c>
      <c r="L342" s="33"/>
      <c r="M342" s="33"/>
      <c r="N342" s="33" t="str">
        <f t="shared" si="159"/>
        <v/>
      </c>
      <c r="O342" s="33" t="str">
        <f t="shared" si="160"/>
        <v/>
      </c>
      <c r="P342" s="33" t="str">
        <f t="shared" si="161"/>
        <v/>
      </c>
      <c r="Q342" s="33" t="str">
        <f t="shared" si="162"/>
        <v/>
      </c>
      <c r="R342" s="33" t="str">
        <f t="shared" si="163"/>
        <v/>
      </c>
      <c r="S342" s="27" t="str">
        <f t="shared" si="164"/>
        <v/>
      </c>
      <c r="T342" s="33" t="str">
        <f t="shared" si="165"/>
        <v/>
      </c>
      <c r="U342" s="33"/>
      <c r="V342" s="33" t="str">
        <f t="shared" si="166"/>
        <v/>
      </c>
      <c r="W342" s="33" t="str">
        <f t="shared" si="167"/>
        <v/>
      </c>
      <c r="X342" s="33" t="str">
        <f t="shared" si="168"/>
        <v/>
      </c>
      <c r="Y342" s="33" t="str">
        <f t="shared" si="169"/>
        <v/>
      </c>
      <c r="Z342" s="33" t="str">
        <f t="shared" si="170"/>
        <v/>
      </c>
      <c r="AA342" s="33" t="str">
        <f t="shared" si="171"/>
        <v/>
      </c>
    </row>
    <row r="343" spans="4:27" x14ac:dyDescent="0.25">
      <c r="D343" s="70">
        <v>56</v>
      </c>
      <c r="E343" s="27" t="str">
        <f t="shared" si="152"/>
        <v/>
      </c>
      <c r="F343" s="33" t="str">
        <f t="shared" si="153"/>
        <v/>
      </c>
      <c r="G343" s="33" t="str">
        <f t="shared" si="154"/>
        <v/>
      </c>
      <c r="H343" s="33" t="str">
        <f t="shared" si="155"/>
        <v/>
      </c>
      <c r="I343" s="33" t="str">
        <f t="shared" si="156"/>
        <v/>
      </c>
      <c r="J343" s="33" t="str">
        <f t="shared" si="157"/>
        <v/>
      </c>
      <c r="K343" s="33" t="str">
        <f t="shared" si="158"/>
        <v/>
      </c>
      <c r="L343" s="33"/>
      <c r="M343" s="33"/>
      <c r="N343" s="33" t="str">
        <f t="shared" si="159"/>
        <v/>
      </c>
      <c r="O343" s="33" t="str">
        <f t="shared" si="160"/>
        <v/>
      </c>
      <c r="P343" s="33" t="str">
        <f t="shared" si="161"/>
        <v/>
      </c>
      <c r="Q343" s="33" t="str">
        <f t="shared" si="162"/>
        <v/>
      </c>
      <c r="R343" s="33" t="str">
        <f t="shared" si="163"/>
        <v/>
      </c>
      <c r="S343" s="27" t="str">
        <f t="shared" si="164"/>
        <v/>
      </c>
      <c r="T343" s="33" t="str">
        <f t="shared" si="165"/>
        <v/>
      </c>
      <c r="U343" s="33"/>
      <c r="V343" s="33" t="str">
        <f t="shared" si="166"/>
        <v/>
      </c>
      <c r="W343" s="33" t="str">
        <f t="shared" si="167"/>
        <v/>
      </c>
      <c r="X343" s="33" t="str">
        <f t="shared" si="168"/>
        <v/>
      </c>
      <c r="Y343" s="33" t="str">
        <f t="shared" si="169"/>
        <v/>
      </c>
      <c r="Z343" s="33" t="str">
        <f t="shared" si="170"/>
        <v/>
      </c>
      <c r="AA343" s="33" t="str">
        <f t="shared" si="171"/>
        <v/>
      </c>
    </row>
    <row r="344" spans="4:27" x14ac:dyDescent="0.25">
      <c r="D344" s="70">
        <v>57</v>
      </c>
      <c r="E344" s="27" t="str">
        <f t="shared" si="152"/>
        <v/>
      </c>
      <c r="F344" s="33" t="str">
        <f t="shared" si="153"/>
        <v/>
      </c>
      <c r="G344" s="33" t="str">
        <f t="shared" si="154"/>
        <v/>
      </c>
      <c r="H344" s="33" t="str">
        <f t="shared" si="155"/>
        <v/>
      </c>
      <c r="I344" s="33" t="str">
        <f t="shared" si="156"/>
        <v/>
      </c>
      <c r="J344" s="33" t="str">
        <f t="shared" si="157"/>
        <v/>
      </c>
      <c r="K344" s="33" t="str">
        <f t="shared" si="158"/>
        <v/>
      </c>
      <c r="L344" s="33"/>
      <c r="M344" s="33"/>
      <c r="N344" s="33" t="str">
        <f t="shared" si="159"/>
        <v/>
      </c>
      <c r="O344" s="33" t="str">
        <f t="shared" si="160"/>
        <v/>
      </c>
      <c r="P344" s="33" t="str">
        <f t="shared" si="161"/>
        <v/>
      </c>
      <c r="Q344" s="33" t="str">
        <f t="shared" si="162"/>
        <v/>
      </c>
      <c r="R344" s="33" t="str">
        <f t="shared" si="163"/>
        <v/>
      </c>
      <c r="S344" s="27" t="str">
        <f t="shared" si="164"/>
        <v/>
      </c>
      <c r="T344" s="33" t="str">
        <f t="shared" si="165"/>
        <v/>
      </c>
      <c r="U344" s="33"/>
      <c r="V344" s="33" t="str">
        <f t="shared" si="166"/>
        <v/>
      </c>
      <c r="W344" s="33" t="str">
        <f t="shared" si="167"/>
        <v/>
      </c>
      <c r="X344" s="33" t="str">
        <f t="shared" si="168"/>
        <v/>
      </c>
      <c r="Y344" s="33" t="str">
        <f t="shared" si="169"/>
        <v/>
      </c>
      <c r="Z344" s="33" t="str">
        <f t="shared" si="170"/>
        <v/>
      </c>
      <c r="AA344" s="33" t="str">
        <f t="shared" si="171"/>
        <v/>
      </c>
    </row>
    <row r="345" spans="4:27" x14ac:dyDescent="0.25">
      <c r="D345" s="70">
        <v>58</v>
      </c>
      <c r="E345" s="27" t="str">
        <f t="shared" si="152"/>
        <v/>
      </c>
      <c r="F345" s="33" t="str">
        <f t="shared" si="153"/>
        <v/>
      </c>
      <c r="G345" s="33" t="str">
        <f t="shared" si="154"/>
        <v/>
      </c>
      <c r="H345" s="33" t="str">
        <f t="shared" si="155"/>
        <v/>
      </c>
      <c r="I345" s="33" t="str">
        <f t="shared" si="156"/>
        <v/>
      </c>
      <c r="J345" s="33" t="str">
        <f t="shared" si="157"/>
        <v/>
      </c>
      <c r="K345" s="33" t="str">
        <f t="shared" si="158"/>
        <v/>
      </c>
      <c r="L345" s="33"/>
      <c r="M345" s="33"/>
      <c r="N345" s="33" t="str">
        <f t="shared" si="159"/>
        <v/>
      </c>
      <c r="O345" s="33" t="str">
        <f t="shared" si="160"/>
        <v/>
      </c>
      <c r="P345" s="33" t="str">
        <f t="shared" si="161"/>
        <v/>
      </c>
      <c r="Q345" s="33" t="str">
        <f t="shared" si="162"/>
        <v/>
      </c>
      <c r="R345" s="33" t="str">
        <f t="shared" si="163"/>
        <v/>
      </c>
      <c r="S345" s="27" t="str">
        <f t="shared" si="164"/>
        <v/>
      </c>
      <c r="T345" s="33" t="str">
        <f t="shared" si="165"/>
        <v/>
      </c>
      <c r="U345" s="33"/>
      <c r="V345" s="33" t="str">
        <f t="shared" si="166"/>
        <v/>
      </c>
      <c r="W345" s="33" t="str">
        <f t="shared" si="167"/>
        <v/>
      </c>
      <c r="X345" s="33" t="str">
        <f t="shared" si="168"/>
        <v/>
      </c>
      <c r="Y345" s="33" t="str">
        <f t="shared" si="169"/>
        <v/>
      </c>
      <c r="Z345" s="33" t="str">
        <f t="shared" si="170"/>
        <v/>
      </c>
      <c r="AA345" s="33" t="str">
        <f t="shared" si="171"/>
        <v/>
      </c>
    </row>
    <row r="346" spans="4:27" x14ac:dyDescent="0.25">
      <c r="D346" s="70">
        <v>59</v>
      </c>
      <c r="E346" s="27" t="str">
        <f t="shared" si="152"/>
        <v/>
      </c>
      <c r="F346" s="33" t="str">
        <f t="shared" si="153"/>
        <v/>
      </c>
      <c r="G346" s="33" t="str">
        <f t="shared" si="154"/>
        <v/>
      </c>
      <c r="H346" s="33" t="str">
        <f t="shared" si="155"/>
        <v/>
      </c>
      <c r="I346" s="33" t="str">
        <f t="shared" si="156"/>
        <v/>
      </c>
      <c r="J346" s="33" t="str">
        <f t="shared" si="157"/>
        <v/>
      </c>
      <c r="K346" s="33" t="str">
        <f t="shared" si="158"/>
        <v/>
      </c>
      <c r="L346" s="33"/>
      <c r="M346" s="33"/>
      <c r="N346" s="33" t="str">
        <f t="shared" si="159"/>
        <v/>
      </c>
      <c r="O346" s="33" t="str">
        <f t="shared" si="160"/>
        <v/>
      </c>
      <c r="P346" s="33" t="str">
        <f t="shared" si="161"/>
        <v/>
      </c>
      <c r="Q346" s="33" t="str">
        <f t="shared" si="162"/>
        <v/>
      </c>
      <c r="R346" s="33" t="str">
        <f t="shared" si="163"/>
        <v/>
      </c>
      <c r="S346" s="27" t="str">
        <f t="shared" si="164"/>
        <v/>
      </c>
      <c r="T346" s="33" t="str">
        <f t="shared" si="165"/>
        <v/>
      </c>
      <c r="U346" s="33"/>
      <c r="V346" s="33" t="str">
        <f t="shared" si="166"/>
        <v/>
      </c>
      <c r="W346" s="33" t="str">
        <f t="shared" si="167"/>
        <v/>
      </c>
      <c r="X346" s="33" t="str">
        <f t="shared" si="168"/>
        <v/>
      </c>
      <c r="Y346" s="33" t="str">
        <f t="shared" si="169"/>
        <v/>
      </c>
      <c r="Z346" s="33" t="str">
        <f t="shared" si="170"/>
        <v/>
      </c>
      <c r="AA346" s="33" t="str">
        <f t="shared" si="171"/>
        <v/>
      </c>
    </row>
    <row r="347" spans="4:27" x14ac:dyDescent="0.25">
      <c r="D347" s="70">
        <v>60</v>
      </c>
      <c r="E347" s="27" t="str">
        <f t="shared" si="152"/>
        <v/>
      </c>
      <c r="F347" s="33" t="str">
        <f t="shared" si="153"/>
        <v/>
      </c>
      <c r="G347" s="33" t="str">
        <f t="shared" si="154"/>
        <v/>
      </c>
      <c r="H347" s="33" t="str">
        <f t="shared" si="155"/>
        <v/>
      </c>
      <c r="I347" s="33" t="str">
        <f t="shared" si="156"/>
        <v/>
      </c>
      <c r="J347" s="33" t="str">
        <f t="shared" si="157"/>
        <v/>
      </c>
      <c r="K347" s="33" t="str">
        <f t="shared" si="158"/>
        <v/>
      </c>
      <c r="L347" s="33"/>
      <c r="M347" s="33"/>
      <c r="N347" s="33" t="str">
        <f t="shared" si="159"/>
        <v/>
      </c>
      <c r="O347" s="33" t="str">
        <f t="shared" si="160"/>
        <v/>
      </c>
      <c r="P347" s="33" t="str">
        <f t="shared" si="161"/>
        <v/>
      </c>
      <c r="Q347" s="33" t="str">
        <f t="shared" si="162"/>
        <v/>
      </c>
      <c r="R347" s="33" t="str">
        <f t="shared" si="163"/>
        <v/>
      </c>
      <c r="S347" s="27" t="str">
        <f t="shared" si="164"/>
        <v/>
      </c>
      <c r="T347" s="33" t="str">
        <f t="shared" si="165"/>
        <v/>
      </c>
      <c r="U347" s="33"/>
      <c r="V347" s="33" t="str">
        <f t="shared" si="166"/>
        <v/>
      </c>
      <c r="W347" s="33" t="str">
        <f t="shared" si="167"/>
        <v/>
      </c>
      <c r="X347" s="33" t="str">
        <f t="shared" si="168"/>
        <v/>
      </c>
      <c r="Y347" s="33" t="str">
        <f t="shared" si="169"/>
        <v/>
      </c>
      <c r="Z347" s="33" t="str">
        <f t="shared" si="170"/>
        <v/>
      </c>
      <c r="AA347" s="33" t="str">
        <f t="shared" si="171"/>
        <v/>
      </c>
    </row>
    <row r="348" spans="4:27" x14ac:dyDescent="0.25">
      <c r="D348" s="70">
        <v>61</v>
      </c>
      <c r="E348" s="27" t="str">
        <f t="shared" si="152"/>
        <v/>
      </c>
      <c r="F348" s="33" t="str">
        <f t="shared" si="153"/>
        <v/>
      </c>
      <c r="G348" s="33" t="str">
        <f t="shared" si="154"/>
        <v/>
      </c>
      <c r="H348" s="33" t="str">
        <f t="shared" si="155"/>
        <v/>
      </c>
      <c r="I348" s="33" t="str">
        <f t="shared" si="156"/>
        <v/>
      </c>
      <c r="J348" s="33" t="str">
        <f t="shared" si="157"/>
        <v/>
      </c>
      <c r="K348" s="33" t="str">
        <f t="shared" si="158"/>
        <v/>
      </c>
      <c r="L348" s="33"/>
      <c r="M348" s="33"/>
      <c r="N348" s="33" t="str">
        <f t="shared" si="159"/>
        <v/>
      </c>
      <c r="O348" s="33" t="str">
        <f t="shared" si="160"/>
        <v/>
      </c>
      <c r="P348" s="33" t="str">
        <f t="shared" si="161"/>
        <v/>
      </c>
      <c r="Q348" s="33" t="str">
        <f t="shared" si="162"/>
        <v/>
      </c>
      <c r="R348" s="33" t="str">
        <f t="shared" si="163"/>
        <v/>
      </c>
      <c r="S348" s="27" t="str">
        <f t="shared" si="164"/>
        <v/>
      </c>
      <c r="T348" s="33" t="str">
        <f t="shared" si="165"/>
        <v/>
      </c>
      <c r="U348" s="33"/>
      <c r="V348" s="33" t="str">
        <f t="shared" si="166"/>
        <v/>
      </c>
      <c r="W348" s="33" t="str">
        <f t="shared" si="167"/>
        <v/>
      </c>
      <c r="X348" s="33" t="str">
        <f t="shared" si="168"/>
        <v/>
      </c>
      <c r="Y348" s="33" t="str">
        <f t="shared" si="169"/>
        <v/>
      </c>
      <c r="Z348" s="33" t="str">
        <f t="shared" si="170"/>
        <v/>
      </c>
      <c r="AA348" s="33" t="str">
        <f t="shared" si="171"/>
        <v/>
      </c>
    </row>
    <row r="349" spans="4:27" x14ac:dyDescent="0.25">
      <c r="D349" s="70">
        <v>62</v>
      </c>
      <c r="E349" s="27" t="str">
        <f t="shared" si="152"/>
        <v/>
      </c>
      <c r="F349" s="33" t="str">
        <f t="shared" si="153"/>
        <v/>
      </c>
      <c r="G349" s="33" t="str">
        <f t="shared" si="154"/>
        <v/>
      </c>
      <c r="H349" s="33" t="str">
        <f t="shared" si="155"/>
        <v/>
      </c>
      <c r="I349" s="33" t="str">
        <f t="shared" si="156"/>
        <v/>
      </c>
      <c r="J349" s="33" t="str">
        <f t="shared" si="157"/>
        <v/>
      </c>
      <c r="K349" s="33" t="str">
        <f t="shared" si="158"/>
        <v/>
      </c>
      <c r="L349" s="33"/>
      <c r="M349" s="33"/>
      <c r="N349" s="33" t="str">
        <f t="shared" si="159"/>
        <v/>
      </c>
      <c r="O349" s="33" t="str">
        <f t="shared" si="160"/>
        <v/>
      </c>
      <c r="P349" s="33" t="str">
        <f t="shared" si="161"/>
        <v/>
      </c>
      <c r="Q349" s="33" t="str">
        <f t="shared" si="162"/>
        <v/>
      </c>
      <c r="R349" s="33" t="str">
        <f t="shared" si="163"/>
        <v/>
      </c>
      <c r="S349" s="27" t="str">
        <f t="shared" si="164"/>
        <v/>
      </c>
      <c r="T349" s="33" t="str">
        <f t="shared" si="165"/>
        <v/>
      </c>
      <c r="U349" s="33"/>
      <c r="V349" s="33" t="str">
        <f t="shared" si="166"/>
        <v/>
      </c>
      <c r="W349" s="33" t="str">
        <f t="shared" si="167"/>
        <v/>
      </c>
      <c r="X349" s="33" t="str">
        <f t="shared" si="168"/>
        <v/>
      </c>
      <c r="Y349" s="33" t="str">
        <f t="shared" si="169"/>
        <v/>
      </c>
      <c r="Z349" s="33" t="str">
        <f t="shared" si="170"/>
        <v/>
      </c>
      <c r="AA349" s="33" t="str">
        <f t="shared" si="171"/>
        <v/>
      </c>
    </row>
    <row r="350" spans="4:27" x14ac:dyDescent="0.25">
      <c r="D350" s="70">
        <v>63</v>
      </c>
      <c r="E350" s="27" t="str">
        <f t="shared" si="152"/>
        <v/>
      </c>
      <c r="F350" s="33" t="str">
        <f t="shared" si="153"/>
        <v/>
      </c>
      <c r="G350" s="33" t="str">
        <f t="shared" si="154"/>
        <v/>
      </c>
      <c r="H350" s="33" t="str">
        <f t="shared" si="155"/>
        <v/>
      </c>
      <c r="I350" s="33" t="str">
        <f t="shared" si="156"/>
        <v/>
      </c>
      <c r="J350" s="33" t="str">
        <f t="shared" si="157"/>
        <v/>
      </c>
      <c r="K350" s="33" t="str">
        <f t="shared" si="158"/>
        <v/>
      </c>
      <c r="L350" s="33"/>
      <c r="M350" s="33"/>
      <c r="N350" s="33" t="str">
        <f t="shared" si="159"/>
        <v/>
      </c>
      <c r="O350" s="33" t="str">
        <f t="shared" si="160"/>
        <v/>
      </c>
      <c r="P350" s="33" t="str">
        <f t="shared" si="161"/>
        <v/>
      </c>
      <c r="Q350" s="33" t="str">
        <f t="shared" si="162"/>
        <v/>
      </c>
      <c r="R350" s="33" t="str">
        <f t="shared" si="163"/>
        <v/>
      </c>
      <c r="S350" s="27" t="str">
        <f t="shared" si="164"/>
        <v/>
      </c>
      <c r="T350" s="33" t="str">
        <f t="shared" si="165"/>
        <v/>
      </c>
      <c r="U350" s="33"/>
      <c r="V350" s="33" t="str">
        <f t="shared" si="166"/>
        <v/>
      </c>
      <c r="W350" s="33" t="str">
        <f t="shared" si="167"/>
        <v/>
      </c>
      <c r="X350" s="33" t="str">
        <f t="shared" si="168"/>
        <v/>
      </c>
      <c r="Y350" s="33" t="str">
        <f t="shared" si="169"/>
        <v/>
      </c>
      <c r="Z350" s="33" t="str">
        <f t="shared" si="170"/>
        <v/>
      </c>
      <c r="AA350" s="33" t="str">
        <f t="shared" si="171"/>
        <v/>
      </c>
    </row>
    <row r="351" spans="4:27" x14ac:dyDescent="0.25">
      <c r="D351" s="70">
        <v>64</v>
      </c>
      <c r="E351" s="27" t="str">
        <f t="shared" si="152"/>
        <v/>
      </c>
      <c r="F351" s="33" t="str">
        <f t="shared" si="153"/>
        <v/>
      </c>
      <c r="G351" s="33" t="str">
        <f t="shared" si="154"/>
        <v/>
      </c>
      <c r="H351" s="33" t="str">
        <f t="shared" si="155"/>
        <v/>
      </c>
      <c r="I351" s="33" t="str">
        <f t="shared" si="156"/>
        <v/>
      </c>
      <c r="J351" s="33" t="str">
        <f t="shared" si="157"/>
        <v/>
      </c>
      <c r="K351" s="33" t="str">
        <f t="shared" si="158"/>
        <v/>
      </c>
      <c r="L351" s="33"/>
      <c r="M351" s="33"/>
      <c r="N351" s="33" t="str">
        <f t="shared" si="159"/>
        <v/>
      </c>
      <c r="O351" s="33" t="str">
        <f t="shared" si="160"/>
        <v/>
      </c>
      <c r="P351" s="33" t="str">
        <f t="shared" si="161"/>
        <v/>
      </c>
      <c r="Q351" s="33" t="str">
        <f t="shared" si="162"/>
        <v/>
      </c>
      <c r="R351" s="33" t="str">
        <f t="shared" si="163"/>
        <v/>
      </c>
      <c r="S351" s="27" t="str">
        <f t="shared" si="164"/>
        <v/>
      </c>
      <c r="T351" s="33" t="str">
        <f t="shared" si="165"/>
        <v/>
      </c>
      <c r="U351" s="33"/>
      <c r="V351" s="33" t="str">
        <f t="shared" si="166"/>
        <v/>
      </c>
      <c r="W351" s="33" t="str">
        <f t="shared" si="167"/>
        <v/>
      </c>
      <c r="X351" s="33" t="str">
        <f t="shared" si="168"/>
        <v/>
      </c>
      <c r="Y351" s="33" t="str">
        <f t="shared" si="169"/>
        <v/>
      </c>
      <c r="Z351" s="33" t="str">
        <f t="shared" si="170"/>
        <v/>
      </c>
      <c r="AA351" s="33" t="str">
        <f t="shared" si="171"/>
        <v/>
      </c>
    </row>
    <row r="352" spans="4:27" x14ac:dyDescent="0.25">
      <c r="D352" s="70">
        <v>65</v>
      </c>
      <c r="E352" s="27" t="str">
        <f t="shared" ref="E352:E383" si="172">IFERROR(VLOOKUP(SMALL($D$157:$D$284,D352),$D$157:$AW$284,2,FALSE),"")</f>
        <v/>
      </c>
      <c r="F352" s="33" t="str">
        <f t="shared" ref="F352:F383" si="173">IFERROR(VLOOKUP(SMALL($D$157:$D$284,D352),$D$157:$AW$284,12,FALSE),"")</f>
        <v/>
      </c>
      <c r="G352" s="33" t="str">
        <f t="shared" ref="G352:G383" si="174">IFERROR(VLOOKUP(SMALL($D$157:$D$284,D352),$D$157:$AW$284,21,FALSE),"")</f>
        <v/>
      </c>
      <c r="H352" s="33" t="str">
        <f t="shared" ref="H352:H383" si="175">IFERROR(VLOOKUP(SMALL($D$157:$D$284,D352),$D$157:$AW$284,29,FALSE),"")</f>
        <v/>
      </c>
      <c r="I352" s="33" t="str">
        <f t="shared" ref="I352:I383" si="176">IFERROR(VLOOKUP(SMALL($D$157:$D$284,D352),$D$157:$AW$284,40,FALSE),"")</f>
        <v/>
      </c>
      <c r="J352" s="33" t="str">
        <f t="shared" ref="J352:J383" si="177">IFERROR(VLOOKUP(SMALL($D$157:$D$284,D352),$D$157:$AW$284,4,FALSE),"")</f>
        <v/>
      </c>
      <c r="K352" s="33" t="str">
        <f t="shared" ref="K352:K383" si="178">IFERROR(VLOOKUP(SMALL($D$157:$D$284,D352),$D$157:$AW$284,14,FALSE),"")</f>
        <v/>
      </c>
      <c r="L352" s="33"/>
      <c r="M352" s="33"/>
      <c r="N352" s="33" t="str">
        <f t="shared" ref="N352:N383" si="179">IFERROR(VLOOKUP(SMALL($D$157:$D$284,D352),$D$157:$AW$284,23,FALSE),"")</f>
        <v/>
      </c>
      <c r="O352" s="33" t="str">
        <f t="shared" ref="O352:O383" si="180">IFERROR(VLOOKUP(SMALL($D$157:$D$284,D352),$D$157:$AW$284,31,FALSE),"")</f>
        <v/>
      </c>
      <c r="P352" s="33" t="str">
        <f t="shared" ref="P352:P383" si="181">IFERROR(VLOOKUP(SMALL($D$157:$D$284,D352),$D$157:$AW$284,42,FALSE),"")</f>
        <v/>
      </c>
      <c r="Q352" s="33" t="str">
        <f t="shared" ref="Q352:Q383" si="182">IFERROR(VLOOKUP(SMALL($D$157:$D$284,D352),$D$157:$AW$284,6,FALSE),"")</f>
        <v/>
      </c>
      <c r="R352" s="33" t="str">
        <f t="shared" ref="R352:R383" si="183">IFERROR(VLOOKUP(SMALL($D$157:$D$284,D352),$D$157:$AW$284,16,FALSE),"")</f>
        <v/>
      </c>
      <c r="S352" s="27" t="str">
        <f t="shared" ref="S352:S383" si="184">IFERROR(VLOOKUP(SMALL($D$157:$D$284,D352),$D$157:$AW$284,25,FALSE),"")</f>
        <v/>
      </c>
      <c r="T352" s="33" t="str">
        <f t="shared" ref="T352:T383" si="185">IFERROR(VLOOKUP(SMALL($D$157:$D$284,D352),$D$157:$AW$284,33,FALSE),"")</f>
        <v/>
      </c>
      <c r="U352" s="33"/>
      <c r="V352" s="33" t="str">
        <f t="shared" ref="V352:V383" si="186">IFERROR(VLOOKUP(SMALL($D$157:$D$284,D352),$D$157:$AW$284,44,FALSE),"")</f>
        <v/>
      </c>
      <c r="W352" s="33" t="str">
        <f t="shared" ref="W352:W383" si="187">IFERROR(VLOOKUP(SMALL($D$157:$D$284,D352),$D$157:$AW$284,8,FALSE),"")</f>
        <v/>
      </c>
      <c r="X352" s="33" t="str">
        <f t="shared" ref="X352:X383" si="188">IFERROR(VLOOKUP(SMALL($D$157:$D$284,D352),$D$157:$AW$284,19,FALSE),"")</f>
        <v/>
      </c>
      <c r="Y352" s="33" t="str">
        <f t="shared" ref="Y352:Y383" si="189">IFERROR(VLOOKUP(SMALL($D$157:$D$284,D352),$D$157:$AW$284,27,FALSE),"")</f>
        <v/>
      </c>
      <c r="Z352" s="33" t="str">
        <f t="shared" ref="Z352:Z383" si="190">IFERROR(VLOOKUP(SMALL($D$157:$D$284,D352),$D$157:$AW$284,35,FALSE),"")</f>
        <v/>
      </c>
      <c r="AA352" s="33" t="str">
        <f t="shared" ref="AA352:AA383" si="191">IFERROR(VLOOKUP(SMALL($D$157:$D$284,D352),$D$157:$AW$284,46,FALSE),"")</f>
        <v/>
      </c>
    </row>
    <row r="353" spans="4:27" x14ac:dyDescent="0.25">
      <c r="D353" s="70">
        <v>66</v>
      </c>
      <c r="E353" s="27" t="str">
        <f t="shared" si="172"/>
        <v/>
      </c>
      <c r="F353" s="33" t="str">
        <f t="shared" si="173"/>
        <v/>
      </c>
      <c r="G353" s="33" t="str">
        <f t="shared" si="174"/>
        <v/>
      </c>
      <c r="H353" s="33" t="str">
        <f t="shared" si="175"/>
        <v/>
      </c>
      <c r="I353" s="33" t="str">
        <f t="shared" si="176"/>
        <v/>
      </c>
      <c r="J353" s="33" t="str">
        <f t="shared" si="177"/>
        <v/>
      </c>
      <c r="K353" s="33" t="str">
        <f t="shared" si="178"/>
        <v/>
      </c>
      <c r="L353" s="33"/>
      <c r="M353" s="33"/>
      <c r="N353" s="33" t="str">
        <f t="shared" si="179"/>
        <v/>
      </c>
      <c r="O353" s="33" t="str">
        <f t="shared" si="180"/>
        <v/>
      </c>
      <c r="P353" s="33" t="str">
        <f t="shared" si="181"/>
        <v/>
      </c>
      <c r="Q353" s="33" t="str">
        <f t="shared" si="182"/>
        <v/>
      </c>
      <c r="R353" s="33" t="str">
        <f t="shared" si="183"/>
        <v/>
      </c>
      <c r="S353" s="27" t="str">
        <f t="shared" si="184"/>
        <v/>
      </c>
      <c r="T353" s="33" t="str">
        <f t="shared" si="185"/>
        <v/>
      </c>
      <c r="U353" s="33"/>
      <c r="V353" s="33" t="str">
        <f t="shared" si="186"/>
        <v/>
      </c>
      <c r="W353" s="33" t="str">
        <f t="shared" si="187"/>
        <v/>
      </c>
      <c r="X353" s="33" t="str">
        <f t="shared" si="188"/>
        <v/>
      </c>
      <c r="Y353" s="33" t="str">
        <f t="shared" si="189"/>
        <v/>
      </c>
      <c r="Z353" s="33" t="str">
        <f t="shared" si="190"/>
        <v/>
      </c>
      <c r="AA353" s="33" t="str">
        <f t="shared" si="191"/>
        <v/>
      </c>
    </row>
    <row r="354" spans="4:27" x14ac:dyDescent="0.25">
      <c r="D354" s="70">
        <v>67</v>
      </c>
      <c r="E354" s="27" t="str">
        <f t="shared" si="172"/>
        <v/>
      </c>
      <c r="F354" s="33" t="str">
        <f t="shared" si="173"/>
        <v/>
      </c>
      <c r="G354" s="33" t="str">
        <f t="shared" si="174"/>
        <v/>
      </c>
      <c r="H354" s="33" t="str">
        <f t="shared" si="175"/>
        <v/>
      </c>
      <c r="I354" s="33" t="str">
        <f t="shared" si="176"/>
        <v/>
      </c>
      <c r="J354" s="33" t="str">
        <f t="shared" si="177"/>
        <v/>
      </c>
      <c r="K354" s="33" t="str">
        <f t="shared" si="178"/>
        <v/>
      </c>
      <c r="L354" s="33"/>
      <c r="M354" s="33"/>
      <c r="N354" s="33" t="str">
        <f t="shared" si="179"/>
        <v/>
      </c>
      <c r="O354" s="33" t="str">
        <f t="shared" si="180"/>
        <v/>
      </c>
      <c r="P354" s="33" t="str">
        <f t="shared" si="181"/>
        <v/>
      </c>
      <c r="Q354" s="33" t="str">
        <f t="shared" si="182"/>
        <v/>
      </c>
      <c r="R354" s="33" t="str">
        <f t="shared" si="183"/>
        <v/>
      </c>
      <c r="S354" s="27" t="str">
        <f t="shared" si="184"/>
        <v/>
      </c>
      <c r="T354" s="33" t="str">
        <f t="shared" si="185"/>
        <v/>
      </c>
      <c r="U354" s="33"/>
      <c r="V354" s="33" t="str">
        <f t="shared" si="186"/>
        <v/>
      </c>
      <c r="W354" s="33" t="str">
        <f t="shared" si="187"/>
        <v/>
      </c>
      <c r="X354" s="33" t="str">
        <f t="shared" si="188"/>
        <v/>
      </c>
      <c r="Y354" s="33" t="str">
        <f t="shared" si="189"/>
        <v/>
      </c>
      <c r="Z354" s="33" t="str">
        <f t="shared" si="190"/>
        <v/>
      </c>
      <c r="AA354" s="33" t="str">
        <f t="shared" si="191"/>
        <v/>
      </c>
    </row>
    <row r="355" spans="4:27" x14ac:dyDescent="0.25">
      <c r="D355" s="70">
        <v>68</v>
      </c>
      <c r="E355" s="27" t="str">
        <f t="shared" si="172"/>
        <v/>
      </c>
      <c r="F355" s="33" t="str">
        <f t="shared" si="173"/>
        <v/>
      </c>
      <c r="G355" s="33" t="str">
        <f t="shared" si="174"/>
        <v/>
      </c>
      <c r="H355" s="33" t="str">
        <f t="shared" si="175"/>
        <v/>
      </c>
      <c r="I355" s="33" t="str">
        <f t="shared" si="176"/>
        <v/>
      </c>
      <c r="J355" s="33" t="str">
        <f t="shared" si="177"/>
        <v/>
      </c>
      <c r="K355" s="33" t="str">
        <f t="shared" si="178"/>
        <v/>
      </c>
      <c r="L355" s="33"/>
      <c r="M355" s="33"/>
      <c r="N355" s="33" t="str">
        <f t="shared" si="179"/>
        <v/>
      </c>
      <c r="O355" s="33" t="str">
        <f t="shared" si="180"/>
        <v/>
      </c>
      <c r="P355" s="33" t="str">
        <f t="shared" si="181"/>
        <v/>
      </c>
      <c r="Q355" s="33" t="str">
        <f t="shared" si="182"/>
        <v/>
      </c>
      <c r="R355" s="33" t="str">
        <f t="shared" si="183"/>
        <v/>
      </c>
      <c r="S355" s="27" t="str">
        <f t="shared" si="184"/>
        <v/>
      </c>
      <c r="T355" s="33" t="str">
        <f t="shared" si="185"/>
        <v/>
      </c>
      <c r="U355" s="33"/>
      <c r="V355" s="33" t="str">
        <f t="shared" si="186"/>
        <v/>
      </c>
      <c r="W355" s="33" t="str">
        <f t="shared" si="187"/>
        <v/>
      </c>
      <c r="X355" s="33" t="str">
        <f t="shared" si="188"/>
        <v/>
      </c>
      <c r="Y355" s="33" t="str">
        <f t="shared" si="189"/>
        <v/>
      </c>
      <c r="Z355" s="33" t="str">
        <f t="shared" si="190"/>
        <v/>
      </c>
      <c r="AA355" s="33" t="str">
        <f t="shared" si="191"/>
        <v/>
      </c>
    </row>
    <row r="356" spans="4:27" x14ac:dyDescent="0.25">
      <c r="D356" s="70">
        <v>69</v>
      </c>
      <c r="E356" s="27" t="str">
        <f t="shared" si="172"/>
        <v/>
      </c>
      <c r="F356" s="33" t="str">
        <f t="shared" si="173"/>
        <v/>
      </c>
      <c r="G356" s="33" t="str">
        <f t="shared" si="174"/>
        <v/>
      </c>
      <c r="H356" s="33" t="str">
        <f t="shared" si="175"/>
        <v/>
      </c>
      <c r="I356" s="33" t="str">
        <f t="shared" si="176"/>
        <v/>
      </c>
      <c r="J356" s="33" t="str">
        <f t="shared" si="177"/>
        <v/>
      </c>
      <c r="K356" s="33" t="str">
        <f t="shared" si="178"/>
        <v/>
      </c>
      <c r="L356" s="33"/>
      <c r="M356" s="33"/>
      <c r="N356" s="33" t="str">
        <f t="shared" si="179"/>
        <v/>
      </c>
      <c r="O356" s="33" t="str">
        <f t="shared" si="180"/>
        <v/>
      </c>
      <c r="P356" s="33" t="str">
        <f t="shared" si="181"/>
        <v/>
      </c>
      <c r="Q356" s="33" t="str">
        <f t="shared" si="182"/>
        <v/>
      </c>
      <c r="R356" s="33" t="str">
        <f t="shared" si="183"/>
        <v/>
      </c>
      <c r="S356" s="27" t="str">
        <f t="shared" si="184"/>
        <v/>
      </c>
      <c r="T356" s="33" t="str">
        <f t="shared" si="185"/>
        <v/>
      </c>
      <c r="U356" s="33"/>
      <c r="V356" s="33" t="str">
        <f t="shared" si="186"/>
        <v/>
      </c>
      <c r="W356" s="33" t="str">
        <f t="shared" si="187"/>
        <v/>
      </c>
      <c r="X356" s="33" t="str">
        <f t="shared" si="188"/>
        <v/>
      </c>
      <c r="Y356" s="33" t="str">
        <f t="shared" si="189"/>
        <v/>
      </c>
      <c r="Z356" s="33" t="str">
        <f t="shared" si="190"/>
        <v/>
      </c>
      <c r="AA356" s="33" t="str">
        <f t="shared" si="191"/>
        <v/>
      </c>
    </row>
    <row r="357" spans="4:27" x14ac:dyDescent="0.25">
      <c r="D357" s="70">
        <v>70</v>
      </c>
      <c r="E357" s="27" t="str">
        <f t="shared" si="172"/>
        <v/>
      </c>
      <c r="F357" s="33" t="str">
        <f t="shared" si="173"/>
        <v/>
      </c>
      <c r="G357" s="33" t="str">
        <f t="shared" si="174"/>
        <v/>
      </c>
      <c r="H357" s="33" t="str">
        <f t="shared" si="175"/>
        <v/>
      </c>
      <c r="I357" s="33" t="str">
        <f t="shared" si="176"/>
        <v/>
      </c>
      <c r="J357" s="33" t="str">
        <f t="shared" si="177"/>
        <v/>
      </c>
      <c r="K357" s="33" t="str">
        <f t="shared" si="178"/>
        <v/>
      </c>
      <c r="L357" s="33"/>
      <c r="M357" s="33"/>
      <c r="N357" s="33" t="str">
        <f t="shared" si="179"/>
        <v/>
      </c>
      <c r="O357" s="33" t="str">
        <f t="shared" si="180"/>
        <v/>
      </c>
      <c r="P357" s="33" t="str">
        <f t="shared" si="181"/>
        <v/>
      </c>
      <c r="Q357" s="33" t="str">
        <f t="shared" si="182"/>
        <v/>
      </c>
      <c r="R357" s="33" t="str">
        <f t="shared" si="183"/>
        <v/>
      </c>
      <c r="S357" s="27" t="str">
        <f t="shared" si="184"/>
        <v/>
      </c>
      <c r="T357" s="33" t="str">
        <f t="shared" si="185"/>
        <v/>
      </c>
      <c r="U357" s="33"/>
      <c r="V357" s="33" t="str">
        <f t="shared" si="186"/>
        <v/>
      </c>
      <c r="W357" s="33" t="str">
        <f t="shared" si="187"/>
        <v/>
      </c>
      <c r="X357" s="33" t="str">
        <f t="shared" si="188"/>
        <v/>
      </c>
      <c r="Y357" s="33" t="str">
        <f t="shared" si="189"/>
        <v/>
      </c>
      <c r="Z357" s="33" t="str">
        <f t="shared" si="190"/>
        <v/>
      </c>
      <c r="AA357" s="33" t="str">
        <f t="shared" si="191"/>
        <v/>
      </c>
    </row>
    <row r="358" spans="4:27" x14ac:dyDescent="0.25">
      <c r="D358" s="70">
        <v>71</v>
      </c>
      <c r="E358" s="27" t="str">
        <f t="shared" si="172"/>
        <v/>
      </c>
      <c r="F358" s="33" t="str">
        <f t="shared" si="173"/>
        <v/>
      </c>
      <c r="G358" s="33" t="str">
        <f t="shared" si="174"/>
        <v/>
      </c>
      <c r="H358" s="33" t="str">
        <f t="shared" si="175"/>
        <v/>
      </c>
      <c r="I358" s="33" t="str">
        <f t="shared" si="176"/>
        <v/>
      </c>
      <c r="J358" s="33" t="str">
        <f t="shared" si="177"/>
        <v/>
      </c>
      <c r="K358" s="33" t="str">
        <f t="shared" si="178"/>
        <v/>
      </c>
      <c r="L358" s="33"/>
      <c r="M358" s="33"/>
      <c r="N358" s="33" t="str">
        <f t="shared" si="179"/>
        <v/>
      </c>
      <c r="O358" s="33" t="str">
        <f t="shared" si="180"/>
        <v/>
      </c>
      <c r="P358" s="33" t="str">
        <f t="shared" si="181"/>
        <v/>
      </c>
      <c r="Q358" s="33" t="str">
        <f t="shared" si="182"/>
        <v/>
      </c>
      <c r="R358" s="33" t="str">
        <f t="shared" si="183"/>
        <v/>
      </c>
      <c r="S358" s="27" t="str">
        <f t="shared" si="184"/>
        <v/>
      </c>
      <c r="T358" s="33" t="str">
        <f t="shared" si="185"/>
        <v/>
      </c>
      <c r="U358" s="33"/>
      <c r="V358" s="33" t="str">
        <f t="shared" si="186"/>
        <v/>
      </c>
      <c r="W358" s="33" t="str">
        <f t="shared" si="187"/>
        <v/>
      </c>
      <c r="X358" s="33" t="str">
        <f t="shared" si="188"/>
        <v/>
      </c>
      <c r="Y358" s="33" t="str">
        <f t="shared" si="189"/>
        <v/>
      </c>
      <c r="Z358" s="33" t="str">
        <f t="shared" si="190"/>
        <v/>
      </c>
      <c r="AA358" s="33" t="str">
        <f t="shared" si="191"/>
        <v/>
      </c>
    </row>
    <row r="359" spans="4:27" x14ac:dyDescent="0.25">
      <c r="D359" s="70">
        <v>72</v>
      </c>
      <c r="E359" s="27" t="str">
        <f t="shared" si="172"/>
        <v/>
      </c>
      <c r="F359" s="33" t="str">
        <f t="shared" si="173"/>
        <v/>
      </c>
      <c r="G359" s="33" t="str">
        <f t="shared" si="174"/>
        <v/>
      </c>
      <c r="H359" s="33" t="str">
        <f t="shared" si="175"/>
        <v/>
      </c>
      <c r="I359" s="33" t="str">
        <f t="shared" si="176"/>
        <v/>
      </c>
      <c r="J359" s="33" t="str">
        <f t="shared" si="177"/>
        <v/>
      </c>
      <c r="K359" s="33" t="str">
        <f t="shared" si="178"/>
        <v/>
      </c>
      <c r="L359" s="33"/>
      <c r="M359" s="33"/>
      <c r="N359" s="33" t="str">
        <f t="shared" si="179"/>
        <v/>
      </c>
      <c r="O359" s="33" t="str">
        <f t="shared" si="180"/>
        <v/>
      </c>
      <c r="P359" s="33" t="str">
        <f t="shared" si="181"/>
        <v/>
      </c>
      <c r="Q359" s="33" t="str">
        <f t="shared" si="182"/>
        <v/>
      </c>
      <c r="R359" s="33" t="str">
        <f t="shared" si="183"/>
        <v/>
      </c>
      <c r="S359" s="27" t="str">
        <f t="shared" si="184"/>
        <v/>
      </c>
      <c r="T359" s="33" t="str">
        <f t="shared" si="185"/>
        <v/>
      </c>
      <c r="U359" s="33"/>
      <c r="V359" s="33" t="str">
        <f t="shared" si="186"/>
        <v/>
      </c>
      <c r="W359" s="33" t="str">
        <f t="shared" si="187"/>
        <v/>
      </c>
      <c r="X359" s="33" t="str">
        <f t="shared" si="188"/>
        <v/>
      </c>
      <c r="Y359" s="33" t="str">
        <f t="shared" si="189"/>
        <v/>
      </c>
      <c r="Z359" s="33" t="str">
        <f t="shared" si="190"/>
        <v/>
      </c>
      <c r="AA359" s="33" t="str">
        <f t="shared" si="191"/>
        <v/>
      </c>
    </row>
    <row r="360" spans="4:27" x14ac:dyDescent="0.25">
      <c r="D360" s="70">
        <v>73</v>
      </c>
      <c r="E360" s="27" t="str">
        <f t="shared" si="172"/>
        <v/>
      </c>
      <c r="F360" s="33" t="str">
        <f t="shared" si="173"/>
        <v/>
      </c>
      <c r="G360" s="33" t="str">
        <f t="shared" si="174"/>
        <v/>
      </c>
      <c r="H360" s="33" t="str">
        <f t="shared" si="175"/>
        <v/>
      </c>
      <c r="I360" s="33" t="str">
        <f t="shared" si="176"/>
        <v/>
      </c>
      <c r="J360" s="33" t="str">
        <f t="shared" si="177"/>
        <v/>
      </c>
      <c r="K360" s="33" t="str">
        <f t="shared" si="178"/>
        <v/>
      </c>
      <c r="L360" s="33"/>
      <c r="M360" s="33"/>
      <c r="N360" s="33" t="str">
        <f t="shared" si="179"/>
        <v/>
      </c>
      <c r="O360" s="33" t="str">
        <f t="shared" si="180"/>
        <v/>
      </c>
      <c r="P360" s="33" t="str">
        <f t="shared" si="181"/>
        <v/>
      </c>
      <c r="Q360" s="33" t="str">
        <f t="shared" si="182"/>
        <v/>
      </c>
      <c r="R360" s="33" t="str">
        <f t="shared" si="183"/>
        <v/>
      </c>
      <c r="S360" s="27" t="str">
        <f t="shared" si="184"/>
        <v/>
      </c>
      <c r="T360" s="33" t="str">
        <f t="shared" si="185"/>
        <v/>
      </c>
      <c r="U360" s="33"/>
      <c r="V360" s="33" t="str">
        <f t="shared" si="186"/>
        <v/>
      </c>
      <c r="W360" s="33" t="str">
        <f t="shared" si="187"/>
        <v/>
      </c>
      <c r="X360" s="33" t="str">
        <f t="shared" si="188"/>
        <v/>
      </c>
      <c r="Y360" s="33" t="str">
        <f t="shared" si="189"/>
        <v/>
      </c>
      <c r="Z360" s="33" t="str">
        <f t="shared" si="190"/>
        <v/>
      </c>
      <c r="AA360" s="33" t="str">
        <f t="shared" si="191"/>
        <v/>
      </c>
    </row>
    <row r="361" spans="4:27" x14ac:dyDescent="0.25">
      <c r="D361" s="70">
        <v>74</v>
      </c>
      <c r="E361" s="27" t="str">
        <f t="shared" si="172"/>
        <v/>
      </c>
      <c r="F361" s="33" t="str">
        <f t="shared" si="173"/>
        <v/>
      </c>
      <c r="G361" s="33" t="str">
        <f t="shared" si="174"/>
        <v/>
      </c>
      <c r="H361" s="33" t="str">
        <f t="shared" si="175"/>
        <v/>
      </c>
      <c r="I361" s="33" t="str">
        <f t="shared" si="176"/>
        <v/>
      </c>
      <c r="J361" s="33" t="str">
        <f t="shared" si="177"/>
        <v/>
      </c>
      <c r="K361" s="33" t="str">
        <f t="shared" si="178"/>
        <v/>
      </c>
      <c r="L361" s="33"/>
      <c r="M361" s="33"/>
      <c r="N361" s="33" t="str">
        <f t="shared" si="179"/>
        <v/>
      </c>
      <c r="O361" s="33" t="str">
        <f t="shared" si="180"/>
        <v/>
      </c>
      <c r="P361" s="33" t="str">
        <f t="shared" si="181"/>
        <v/>
      </c>
      <c r="Q361" s="33" t="str">
        <f t="shared" si="182"/>
        <v/>
      </c>
      <c r="R361" s="33" t="str">
        <f t="shared" si="183"/>
        <v/>
      </c>
      <c r="S361" s="27" t="str">
        <f t="shared" si="184"/>
        <v/>
      </c>
      <c r="T361" s="33" t="str">
        <f t="shared" si="185"/>
        <v/>
      </c>
      <c r="U361" s="33"/>
      <c r="V361" s="33" t="str">
        <f t="shared" si="186"/>
        <v/>
      </c>
      <c r="W361" s="33" t="str">
        <f t="shared" si="187"/>
        <v/>
      </c>
      <c r="X361" s="33" t="str">
        <f t="shared" si="188"/>
        <v/>
      </c>
      <c r="Y361" s="33" t="str">
        <f t="shared" si="189"/>
        <v/>
      </c>
      <c r="Z361" s="33" t="str">
        <f t="shared" si="190"/>
        <v/>
      </c>
      <c r="AA361" s="33" t="str">
        <f t="shared" si="191"/>
        <v/>
      </c>
    </row>
    <row r="362" spans="4:27" x14ac:dyDescent="0.25">
      <c r="D362" s="70">
        <v>75</v>
      </c>
      <c r="E362" s="27" t="str">
        <f t="shared" si="172"/>
        <v/>
      </c>
      <c r="F362" s="33" t="str">
        <f t="shared" si="173"/>
        <v/>
      </c>
      <c r="G362" s="33" t="str">
        <f t="shared" si="174"/>
        <v/>
      </c>
      <c r="H362" s="33" t="str">
        <f t="shared" si="175"/>
        <v/>
      </c>
      <c r="I362" s="33" t="str">
        <f t="shared" si="176"/>
        <v/>
      </c>
      <c r="J362" s="33" t="str">
        <f t="shared" si="177"/>
        <v/>
      </c>
      <c r="K362" s="33" t="str">
        <f t="shared" si="178"/>
        <v/>
      </c>
      <c r="L362" s="33"/>
      <c r="M362" s="33"/>
      <c r="N362" s="33" t="str">
        <f t="shared" si="179"/>
        <v/>
      </c>
      <c r="O362" s="33" t="str">
        <f t="shared" si="180"/>
        <v/>
      </c>
      <c r="P362" s="33" t="str">
        <f t="shared" si="181"/>
        <v/>
      </c>
      <c r="Q362" s="33" t="str">
        <f t="shared" si="182"/>
        <v/>
      </c>
      <c r="R362" s="33" t="str">
        <f t="shared" si="183"/>
        <v/>
      </c>
      <c r="S362" s="27" t="str">
        <f t="shared" si="184"/>
        <v/>
      </c>
      <c r="T362" s="33" t="str">
        <f t="shared" si="185"/>
        <v/>
      </c>
      <c r="U362" s="33"/>
      <c r="V362" s="33" t="str">
        <f t="shared" si="186"/>
        <v/>
      </c>
      <c r="W362" s="33" t="str">
        <f t="shared" si="187"/>
        <v/>
      </c>
      <c r="X362" s="33" t="str">
        <f t="shared" si="188"/>
        <v/>
      </c>
      <c r="Y362" s="33" t="str">
        <f t="shared" si="189"/>
        <v/>
      </c>
      <c r="Z362" s="33" t="str">
        <f t="shared" si="190"/>
        <v/>
      </c>
      <c r="AA362" s="33" t="str">
        <f t="shared" si="191"/>
        <v/>
      </c>
    </row>
    <row r="363" spans="4:27" x14ac:dyDescent="0.25">
      <c r="D363" s="70">
        <v>76</v>
      </c>
      <c r="E363" s="27" t="str">
        <f t="shared" si="172"/>
        <v/>
      </c>
      <c r="F363" s="33" t="str">
        <f t="shared" si="173"/>
        <v/>
      </c>
      <c r="G363" s="33" t="str">
        <f t="shared" si="174"/>
        <v/>
      </c>
      <c r="H363" s="33" t="str">
        <f t="shared" si="175"/>
        <v/>
      </c>
      <c r="I363" s="33" t="str">
        <f t="shared" si="176"/>
        <v/>
      </c>
      <c r="J363" s="33" t="str">
        <f t="shared" si="177"/>
        <v/>
      </c>
      <c r="K363" s="33" t="str">
        <f t="shared" si="178"/>
        <v/>
      </c>
      <c r="L363" s="33"/>
      <c r="M363" s="33"/>
      <c r="N363" s="33" t="str">
        <f t="shared" si="179"/>
        <v/>
      </c>
      <c r="O363" s="33" t="str">
        <f t="shared" si="180"/>
        <v/>
      </c>
      <c r="P363" s="33" t="str">
        <f t="shared" si="181"/>
        <v/>
      </c>
      <c r="Q363" s="33" t="str">
        <f t="shared" si="182"/>
        <v/>
      </c>
      <c r="R363" s="33" t="str">
        <f t="shared" si="183"/>
        <v/>
      </c>
      <c r="S363" s="27" t="str">
        <f t="shared" si="184"/>
        <v/>
      </c>
      <c r="T363" s="33" t="str">
        <f t="shared" si="185"/>
        <v/>
      </c>
      <c r="U363" s="33"/>
      <c r="V363" s="33" t="str">
        <f t="shared" si="186"/>
        <v/>
      </c>
      <c r="W363" s="33" t="str">
        <f t="shared" si="187"/>
        <v/>
      </c>
      <c r="X363" s="33" t="str">
        <f t="shared" si="188"/>
        <v/>
      </c>
      <c r="Y363" s="33" t="str">
        <f t="shared" si="189"/>
        <v/>
      </c>
      <c r="Z363" s="33" t="str">
        <f t="shared" si="190"/>
        <v/>
      </c>
      <c r="AA363" s="33" t="str">
        <f t="shared" si="191"/>
        <v/>
      </c>
    </row>
    <row r="364" spans="4:27" x14ac:dyDescent="0.25">
      <c r="D364" s="70">
        <v>77</v>
      </c>
      <c r="E364" s="27" t="str">
        <f t="shared" si="172"/>
        <v/>
      </c>
      <c r="F364" s="33" t="str">
        <f t="shared" si="173"/>
        <v/>
      </c>
      <c r="G364" s="33" t="str">
        <f t="shared" si="174"/>
        <v/>
      </c>
      <c r="H364" s="33" t="str">
        <f t="shared" si="175"/>
        <v/>
      </c>
      <c r="I364" s="33" t="str">
        <f t="shared" si="176"/>
        <v/>
      </c>
      <c r="J364" s="33" t="str">
        <f t="shared" si="177"/>
        <v/>
      </c>
      <c r="K364" s="33" t="str">
        <f t="shared" si="178"/>
        <v/>
      </c>
      <c r="L364" s="33"/>
      <c r="M364" s="33"/>
      <c r="N364" s="33" t="str">
        <f t="shared" si="179"/>
        <v/>
      </c>
      <c r="O364" s="33" t="str">
        <f t="shared" si="180"/>
        <v/>
      </c>
      <c r="P364" s="33" t="str">
        <f t="shared" si="181"/>
        <v/>
      </c>
      <c r="Q364" s="33" t="str">
        <f t="shared" si="182"/>
        <v/>
      </c>
      <c r="R364" s="33" t="str">
        <f t="shared" si="183"/>
        <v/>
      </c>
      <c r="S364" s="27" t="str">
        <f t="shared" si="184"/>
        <v/>
      </c>
      <c r="T364" s="33" t="str">
        <f t="shared" si="185"/>
        <v/>
      </c>
      <c r="U364" s="33"/>
      <c r="V364" s="33" t="str">
        <f t="shared" si="186"/>
        <v/>
      </c>
      <c r="W364" s="33" t="str">
        <f t="shared" si="187"/>
        <v/>
      </c>
      <c r="X364" s="33" t="str">
        <f t="shared" si="188"/>
        <v/>
      </c>
      <c r="Y364" s="33" t="str">
        <f t="shared" si="189"/>
        <v/>
      </c>
      <c r="Z364" s="33" t="str">
        <f t="shared" si="190"/>
        <v/>
      </c>
      <c r="AA364" s="33" t="str">
        <f t="shared" si="191"/>
        <v/>
      </c>
    </row>
    <row r="365" spans="4:27" x14ac:dyDescent="0.25">
      <c r="D365" s="70">
        <v>78</v>
      </c>
      <c r="E365" s="27" t="str">
        <f t="shared" si="172"/>
        <v/>
      </c>
      <c r="F365" s="33" t="str">
        <f t="shared" si="173"/>
        <v/>
      </c>
      <c r="G365" s="33" t="str">
        <f t="shared" si="174"/>
        <v/>
      </c>
      <c r="H365" s="33" t="str">
        <f t="shared" si="175"/>
        <v/>
      </c>
      <c r="I365" s="33" t="str">
        <f t="shared" si="176"/>
        <v/>
      </c>
      <c r="J365" s="33" t="str">
        <f t="shared" si="177"/>
        <v/>
      </c>
      <c r="K365" s="33" t="str">
        <f t="shared" si="178"/>
        <v/>
      </c>
      <c r="L365" s="33"/>
      <c r="M365" s="33"/>
      <c r="N365" s="33" t="str">
        <f t="shared" si="179"/>
        <v/>
      </c>
      <c r="O365" s="33" t="str">
        <f t="shared" si="180"/>
        <v/>
      </c>
      <c r="P365" s="33" t="str">
        <f t="shared" si="181"/>
        <v/>
      </c>
      <c r="Q365" s="33" t="str">
        <f t="shared" si="182"/>
        <v/>
      </c>
      <c r="R365" s="33" t="str">
        <f t="shared" si="183"/>
        <v/>
      </c>
      <c r="S365" s="27" t="str">
        <f t="shared" si="184"/>
        <v/>
      </c>
      <c r="T365" s="33" t="str">
        <f t="shared" si="185"/>
        <v/>
      </c>
      <c r="U365" s="33"/>
      <c r="V365" s="33" t="str">
        <f t="shared" si="186"/>
        <v/>
      </c>
      <c r="W365" s="33" t="str">
        <f t="shared" si="187"/>
        <v/>
      </c>
      <c r="X365" s="33" t="str">
        <f t="shared" si="188"/>
        <v/>
      </c>
      <c r="Y365" s="33" t="str">
        <f t="shared" si="189"/>
        <v/>
      </c>
      <c r="Z365" s="33" t="str">
        <f t="shared" si="190"/>
        <v/>
      </c>
      <c r="AA365" s="33" t="str">
        <f t="shared" si="191"/>
        <v/>
      </c>
    </row>
    <row r="366" spans="4:27" x14ac:dyDescent="0.25">
      <c r="D366" s="70">
        <v>79</v>
      </c>
      <c r="E366" s="27" t="str">
        <f t="shared" si="172"/>
        <v/>
      </c>
      <c r="F366" s="33" t="str">
        <f t="shared" si="173"/>
        <v/>
      </c>
      <c r="G366" s="33" t="str">
        <f t="shared" si="174"/>
        <v/>
      </c>
      <c r="H366" s="33" t="str">
        <f t="shared" si="175"/>
        <v/>
      </c>
      <c r="I366" s="33" t="str">
        <f t="shared" si="176"/>
        <v/>
      </c>
      <c r="J366" s="33" t="str">
        <f t="shared" si="177"/>
        <v/>
      </c>
      <c r="K366" s="33" t="str">
        <f t="shared" si="178"/>
        <v/>
      </c>
      <c r="L366" s="33"/>
      <c r="M366" s="33"/>
      <c r="N366" s="33" t="str">
        <f t="shared" si="179"/>
        <v/>
      </c>
      <c r="O366" s="33" t="str">
        <f t="shared" si="180"/>
        <v/>
      </c>
      <c r="P366" s="33" t="str">
        <f t="shared" si="181"/>
        <v/>
      </c>
      <c r="Q366" s="33" t="str">
        <f t="shared" si="182"/>
        <v/>
      </c>
      <c r="R366" s="33" t="str">
        <f t="shared" si="183"/>
        <v/>
      </c>
      <c r="S366" s="27" t="str">
        <f t="shared" si="184"/>
        <v/>
      </c>
      <c r="T366" s="33" t="str">
        <f t="shared" si="185"/>
        <v/>
      </c>
      <c r="U366" s="33"/>
      <c r="V366" s="33" t="str">
        <f t="shared" si="186"/>
        <v/>
      </c>
      <c r="W366" s="33" t="str">
        <f t="shared" si="187"/>
        <v/>
      </c>
      <c r="X366" s="33" t="str">
        <f t="shared" si="188"/>
        <v/>
      </c>
      <c r="Y366" s="33" t="str">
        <f t="shared" si="189"/>
        <v/>
      </c>
      <c r="Z366" s="33" t="str">
        <f t="shared" si="190"/>
        <v/>
      </c>
      <c r="AA366" s="33" t="str">
        <f t="shared" si="191"/>
        <v/>
      </c>
    </row>
    <row r="367" spans="4:27" x14ac:dyDescent="0.25">
      <c r="D367" s="70">
        <v>80</v>
      </c>
      <c r="E367" s="27" t="str">
        <f t="shared" si="172"/>
        <v/>
      </c>
      <c r="F367" s="33" t="str">
        <f t="shared" si="173"/>
        <v/>
      </c>
      <c r="G367" s="33" t="str">
        <f t="shared" si="174"/>
        <v/>
      </c>
      <c r="H367" s="33" t="str">
        <f t="shared" si="175"/>
        <v/>
      </c>
      <c r="I367" s="33" t="str">
        <f t="shared" si="176"/>
        <v/>
      </c>
      <c r="J367" s="33" t="str">
        <f t="shared" si="177"/>
        <v/>
      </c>
      <c r="K367" s="33" t="str">
        <f t="shared" si="178"/>
        <v/>
      </c>
      <c r="L367" s="33"/>
      <c r="M367" s="33"/>
      <c r="N367" s="33" t="str">
        <f t="shared" si="179"/>
        <v/>
      </c>
      <c r="O367" s="33" t="str">
        <f t="shared" si="180"/>
        <v/>
      </c>
      <c r="P367" s="33" t="str">
        <f t="shared" si="181"/>
        <v/>
      </c>
      <c r="Q367" s="33" t="str">
        <f t="shared" si="182"/>
        <v/>
      </c>
      <c r="R367" s="33" t="str">
        <f t="shared" si="183"/>
        <v/>
      </c>
      <c r="S367" s="27" t="str">
        <f t="shared" si="184"/>
        <v/>
      </c>
      <c r="T367" s="33" t="str">
        <f t="shared" si="185"/>
        <v/>
      </c>
      <c r="U367" s="33"/>
      <c r="V367" s="33" t="str">
        <f t="shared" si="186"/>
        <v/>
      </c>
      <c r="W367" s="33" t="str">
        <f t="shared" si="187"/>
        <v/>
      </c>
      <c r="X367" s="33" t="str">
        <f t="shared" si="188"/>
        <v/>
      </c>
      <c r="Y367" s="33" t="str">
        <f t="shared" si="189"/>
        <v/>
      </c>
      <c r="Z367" s="33" t="str">
        <f t="shared" si="190"/>
        <v/>
      </c>
      <c r="AA367" s="33" t="str">
        <f t="shared" si="191"/>
        <v/>
      </c>
    </row>
    <row r="368" spans="4:27" x14ac:dyDescent="0.25">
      <c r="D368" s="70">
        <v>81</v>
      </c>
      <c r="E368" s="27" t="str">
        <f t="shared" si="172"/>
        <v/>
      </c>
      <c r="F368" s="33" t="str">
        <f t="shared" si="173"/>
        <v/>
      </c>
      <c r="G368" s="33" t="str">
        <f t="shared" si="174"/>
        <v/>
      </c>
      <c r="H368" s="33" t="str">
        <f t="shared" si="175"/>
        <v/>
      </c>
      <c r="I368" s="33" t="str">
        <f t="shared" si="176"/>
        <v/>
      </c>
      <c r="J368" s="33" t="str">
        <f t="shared" si="177"/>
        <v/>
      </c>
      <c r="K368" s="33" t="str">
        <f t="shared" si="178"/>
        <v/>
      </c>
      <c r="L368" s="33"/>
      <c r="M368" s="33"/>
      <c r="N368" s="33" t="str">
        <f t="shared" si="179"/>
        <v/>
      </c>
      <c r="O368" s="33" t="str">
        <f t="shared" si="180"/>
        <v/>
      </c>
      <c r="P368" s="33" t="str">
        <f t="shared" si="181"/>
        <v/>
      </c>
      <c r="Q368" s="33" t="str">
        <f t="shared" si="182"/>
        <v/>
      </c>
      <c r="R368" s="33" t="str">
        <f t="shared" si="183"/>
        <v/>
      </c>
      <c r="S368" s="27" t="str">
        <f t="shared" si="184"/>
        <v/>
      </c>
      <c r="T368" s="33" t="str">
        <f t="shared" si="185"/>
        <v/>
      </c>
      <c r="U368" s="33"/>
      <c r="V368" s="33" t="str">
        <f t="shared" si="186"/>
        <v/>
      </c>
      <c r="W368" s="33" t="str">
        <f t="shared" si="187"/>
        <v/>
      </c>
      <c r="X368" s="33" t="str">
        <f t="shared" si="188"/>
        <v/>
      </c>
      <c r="Y368" s="33" t="str">
        <f t="shared" si="189"/>
        <v/>
      </c>
      <c r="Z368" s="33" t="str">
        <f t="shared" si="190"/>
        <v/>
      </c>
      <c r="AA368" s="33" t="str">
        <f t="shared" si="191"/>
        <v/>
      </c>
    </row>
    <row r="369" spans="4:27" x14ac:dyDescent="0.25">
      <c r="D369" s="70">
        <v>82</v>
      </c>
      <c r="E369" s="27" t="str">
        <f t="shared" si="172"/>
        <v/>
      </c>
      <c r="F369" s="33" t="str">
        <f t="shared" si="173"/>
        <v/>
      </c>
      <c r="G369" s="33" t="str">
        <f t="shared" si="174"/>
        <v/>
      </c>
      <c r="H369" s="33" t="str">
        <f t="shared" si="175"/>
        <v/>
      </c>
      <c r="I369" s="33" t="str">
        <f t="shared" si="176"/>
        <v/>
      </c>
      <c r="J369" s="33" t="str">
        <f t="shared" si="177"/>
        <v/>
      </c>
      <c r="K369" s="33" t="str">
        <f t="shared" si="178"/>
        <v/>
      </c>
      <c r="L369" s="33"/>
      <c r="M369" s="33"/>
      <c r="N369" s="33" t="str">
        <f t="shared" si="179"/>
        <v/>
      </c>
      <c r="O369" s="33" t="str">
        <f t="shared" si="180"/>
        <v/>
      </c>
      <c r="P369" s="33" t="str">
        <f t="shared" si="181"/>
        <v/>
      </c>
      <c r="Q369" s="33" t="str">
        <f t="shared" si="182"/>
        <v/>
      </c>
      <c r="R369" s="33" t="str">
        <f t="shared" si="183"/>
        <v/>
      </c>
      <c r="S369" s="27" t="str">
        <f t="shared" si="184"/>
        <v/>
      </c>
      <c r="T369" s="33" t="str">
        <f t="shared" si="185"/>
        <v/>
      </c>
      <c r="U369" s="33"/>
      <c r="V369" s="33" t="str">
        <f t="shared" si="186"/>
        <v/>
      </c>
      <c r="W369" s="33" t="str">
        <f t="shared" si="187"/>
        <v/>
      </c>
      <c r="X369" s="33" t="str">
        <f t="shared" si="188"/>
        <v/>
      </c>
      <c r="Y369" s="33" t="str">
        <f t="shared" si="189"/>
        <v/>
      </c>
      <c r="Z369" s="33" t="str">
        <f t="shared" si="190"/>
        <v/>
      </c>
      <c r="AA369" s="33" t="str">
        <f t="shared" si="191"/>
        <v/>
      </c>
    </row>
    <row r="370" spans="4:27" x14ac:dyDescent="0.25">
      <c r="D370" s="70">
        <v>83</v>
      </c>
      <c r="E370" s="27" t="str">
        <f t="shared" si="172"/>
        <v/>
      </c>
      <c r="F370" s="33" t="str">
        <f t="shared" si="173"/>
        <v/>
      </c>
      <c r="G370" s="33" t="str">
        <f t="shared" si="174"/>
        <v/>
      </c>
      <c r="H370" s="33" t="str">
        <f t="shared" si="175"/>
        <v/>
      </c>
      <c r="I370" s="33" t="str">
        <f t="shared" si="176"/>
        <v/>
      </c>
      <c r="J370" s="33" t="str">
        <f t="shared" si="177"/>
        <v/>
      </c>
      <c r="K370" s="33" t="str">
        <f t="shared" si="178"/>
        <v/>
      </c>
      <c r="L370" s="33"/>
      <c r="M370" s="33"/>
      <c r="N370" s="33" t="str">
        <f t="shared" si="179"/>
        <v/>
      </c>
      <c r="O370" s="33" t="str">
        <f t="shared" si="180"/>
        <v/>
      </c>
      <c r="P370" s="33" t="str">
        <f t="shared" si="181"/>
        <v/>
      </c>
      <c r="Q370" s="33" t="str">
        <f t="shared" si="182"/>
        <v/>
      </c>
      <c r="R370" s="33" t="str">
        <f t="shared" si="183"/>
        <v/>
      </c>
      <c r="S370" s="27" t="str">
        <f t="shared" si="184"/>
        <v/>
      </c>
      <c r="T370" s="33" t="str">
        <f t="shared" si="185"/>
        <v/>
      </c>
      <c r="U370" s="33"/>
      <c r="V370" s="33" t="str">
        <f t="shared" si="186"/>
        <v/>
      </c>
      <c r="W370" s="33" t="str">
        <f t="shared" si="187"/>
        <v/>
      </c>
      <c r="X370" s="33" t="str">
        <f t="shared" si="188"/>
        <v/>
      </c>
      <c r="Y370" s="33" t="str">
        <f t="shared" si="189"/>
        <v/>
      </c>
      <c r="Z370" s="33" t="str">
        <f t="shared" si="190"/>
        <v/>
      </c>
      <c r="AA370" s="33" t="str">
        <f t="shared" si="191"/>
        <v/>
      </c>
    </row>
    <row r="371" spans="4:27" x14ac:dyDescent="0.25">
      <c r="D371" s="70">
        <v>84</v>
      </c>
      <c r="E371" s="27" t="str">
        <f t="shared" si="172"/>
        <v/>
      </c>
      <c r="F371" s="33" t="str">
        <f t="shared" si="173"/>
        <v/>
      </c>
      <c r="G371" s="33" t="str">
        <f t="shared" si="174"/>
        <v/>
      </c>
      <c r="H371" s="33" t="str">
        <f t="shared" si="175"/>
        <v/>
      </c>
      <c r="I371" s="33" t="str">
        <f t="shared" si="176"/>
        <v/>
      </c>
      <c r="J371" s="33" t="str">
        <f t="shared" si="177"/>
        <v/>
      </c>
      <c r="K371" s="33" t="str">
        <f t="shared" si="178"/>
        <v/>
      </c>
      <c r="L371" s="33"/>
      <c r="M371" s="33"/>
      <c r="N371" s="33" t="str">
        <f t="shared" si="179"/>
        <v/>
      </c>
      <c r="O371" s="33" t="str">
        <f t="shared" si="180"/>
        <v/>
      </c>
      <c r="P371" s="33" t="str">
        <f t="shared" si="181"/>
        <v/>
      </c>
      <c r="Q371" s="33" t="str">
        <f t="shared" si="182"/>
        <v/>
      </c>
      <c r="R371" s="33" t="str">
        <f t="shared" si="183"/>
        <v/>
      </c>
      <c r="S371" s="27" t="str">
        <f t="shared" si="184"/>
        <v/>
      </c>
      <c r="T371" s="33" t="str">
        <f t="shared" si="185"/>
        <v/>
      </c>
      <c r="U371" s="33"/>
      <c r="V371" s="33" t="str">
        <f t="shared" si="186"/>
        <v/>
      </c>
      <c r="W371" s="33" t="str">
        <f t="shared" si="187"/>
        <v/>
      </c>
      <c r="X371" s="33" t="str">
        <f t="shared" si="188"/>
        <v/>
      </c>
      <c r="Y371" s="33" t="str">
        <f t="shared" si="189"/>
        <v/>
      </c>
      <c r="Z371" s="33" t="str">
        <f t="shared" si="190"/>
        <v/>
      </c>
      <c r="AA371" s="33" t="str">
        <f t="shared" si="191"/>
        <v/>
      </c>
    </row>
    <row r="372" spans="4:27" x14ac:dyDescent="0.25">
      <c r="D372" s="70">
        <v>85</v>
      </c>
      <c r="E372" s="27" t="str">
        <f t="shared" si="172"/>
        <v/>
      </c>
      <c r="F372" s="33" t="str">
        <f t="shared" si="173"/>
        <v/>
      </c>
      <c r="G372" s="33" t="str">
        <f t="shared" si="174"/>
        <v/>
      </c>
      <c r="H372" s="33" t="str">
        <f t="shared" si="175"/>
        <v/>
      </c>
      <c r="I372" s="33" t="str">
        <f t="shared" si="176"/>
        <v/>
      </c>
      <c r="J372" s="33" t="str">
        <f t="shared" si="177"/>
        <v/>
      </c>
      <c r="K372" s="33" t="str">
        <f t="shared" si="178"/>
        <v/>
      </c>
      <c r="L372" s="33"/>
      <c r="M372" s="33"/>
      <c r="N372" s="33" t="str">
        <f t="shared" si="179"/>
        <v/>
      </c>
      <c r="O372" s="33" t="str">
        <f t="shared" si="180"/>
        <v/>
      </c>
      <c r="P372" s="33" t="str">
        <f t="shared" si="181"/>
        <v/>
      </c>
      <c r="Q372" s="33" t="str">
        <f t="shared" si="182"/>
        <v/>
      </c>
      <c r="R372" s="33" t="str">
        <f t="shared" si="183"/>
        <v/>
      </c>
      <c r="S372" s="27" t="str">
        <f t="shared" si="184"/>
        <v/>
      </c>
      <c r="T372" s="33" t="str">
        <f t="shared" si="185"/>
        <v/>
      </c>
      <c r="U372" s="33"/>
      <c r="V372" s="33" t="str">
        <f t="shared" si="186"/>
        <v/>
      </c>
      <c r="W372" s="33" t="str">
        <f t="shared" si="187"/>
        <v/>
      </c>
      <c r="X372" s="33" t="str">
        <f t="shared" si="188"/>
        <v/>
      </c>
      <c r="Y372" s="33" t="str">
        <f t="shared" si="189"/>
        <v/>
      </c>
      <c r="Z372" s="33" t="str">
        <f t="shared" si="190"/>
        <v/>
      </c>
      <c r="AA372" s="33" t="str">
        <f t="shared" si="191"/>
        <v/>
      </c>
    </row>
    <row r="373" spans="4:27" x14ac:dyDescent="0.25">
      <c r="D373" s="70">
        <v>86</v>
      </c>
      <c r="E373" s="27" t="str">
        <f t="shared" si="172"/>
        <v/>
      </c>
      <c r="F373" s="33" t="str">
        <f t="shared" si="173"/>
        <v/>
      </c>
      <c r="G373" s="33" t="str">
        <f t="shared" si="174"/>
        <v/>
      </c>
      <c r="H373" s="33" t="str">
        <f t="shared" si="175"/>
        <v/>
      </c>
      <c r="I373" s="33" t="str">
        <f t="shared" si="176"/>
        <v/>
      </c>
      <c r="J373" s="33" t="str">
        <f t="shared" si="177"/>
        <v/>
      </c>
      <c r="K373" s="33" t="str">
        <f t="shared" si="178"/>
        <v/>
      </c>
      <c r="L373" s="33"/>
      <c r="M373" s="33"/>
      <c r="N373" s="33" t="str">
        <f t="shared" si="179"/>
        <v/>
      </c>
      <c r="O373" s="33" t="str">
        <f t="shared" si="180"/>
        <v/>
      </c>
      <c r="P373" s="33" t="str">
        <f t="shared" si="181"/>
        <v/>
      </c>
      <c r="Q373" s="33" t="str">
        <f t="shared" si="182"/>
        <v/>
      </c>
      <c r="R373" s="33" t="str">
        <f t="shared" si="183"/>
        <v/>
      </c>
      <c r="S373" s="27" t="str">
        <f t="shared" si="184"/>
        <v/>
      </c>
      <c r="T373" s="33" t="str">
        <f t="shared" si="185"/>
        <v/>
      </c>
      <c r="U373" s="33"/>
      <c r="V373" s="33" t="str">
        <f t="shared" si="186"/>
        <v/>
      </c>
      <c r="W373" s="33" t="str">
        <f t="shared" si="187"/>
        <v/>
      </c>
      <c r="X373" s="33" t="str">
        <f t="shared" si="188"/>
        <v/>
      </c>
      <c r="Y373" s="33" t="str">
        <f t="shared" si="189"/>
        <v/>
      </c>
      <c r="Z373" s="33" t="str">
        <f t="shared" si="190"/>
        <v/>
      </c>
      <c r="AA373" s="33" t="str">
        <f t="shared" si="191"/>
        <v/>
      </c>
    </row>
    <row r="374" spans="4:27" x14ac:dyDescent="0.25">
      <c r="D374" s="70">
        <v>87</v>
      </c>
      <c r="E374" s="27" t="str">
        <f t="shared" si="172"/>
        <v/>
      </c>
      <c r="F374" s="33" t="str">
        <f t="shared" si="173"/>
        <v/>
      </c>
      <c r="G374" s="33" t="str">
        <f t="shared" si="174"/>
        <v/>
      </c>
      <c r="H374" s="33" t="str">
        <f t="shared" si="175"/>
        <v/>
      </c>
      <c r="I374" s="33" t="str">
        <f t="shared" si="176"/>
        <v/>
      </c>
      <c r="J374" s="33" t="str">
        <f t="shared" si="177"/>
        <v/>
      </c>
      <c r="K374" s="33" t="str">
        <f t="shared" si="178"/>
        <v/>
      </c>
      <c r="L374" s="33"/>
      <c r="M374" s="33"/>
      <c r="N374" s="33" t="str">
        <f t="shared" si="179"/>
        <v/>
      </c>
      <c r="O374" s="33" t="str">
        <f t="shared" si="180"/>
        <v/>
      </c>
      <c r="P374" s="33" t="str">
        <f t="shared" si="181"/>
        <v/>
      </c>
      <c r="Q374" s="33" t="str">
        <f t="shared" si="182"/>
        <v/>
      </c>
      <c r="R374" s="33" t="str">
        <f t="shared" si="183"/>
        <v/>
      </c>
      <c r="S374" s="27" t="str">
        <f t="shared" si="184"/>
        <v/>
      </c>
      <c r="T374" s="33" t="str">
        <f t="shared" si="185"/>
        <v/>
      </c>
      <c r="U374" s="33"/>
      <c r="V374" s="33" t="str">
        <f t="shared" si="186"/>
        <v/>
      </c>
      <c r="W374" s="33" t="str">
        <f t="shared" si="187"/>
        <v/>
      </c>
      <c r="X374" s="33" t="str">
        <f t="shared" si="188"/>
        <v/>
      </c>
      <c r="Y374" s="33" t="str">
        <f t="shared" si="189"/>
        <v/>
      </c>
      <c r="Z374" s="33" t="str">
        <f t="shared" si="190"/>
        <v/>
      </c>
      <c r="AA374" s="33" t="str">
        <f t="shared" si="191"/>
        <v/>
      </c>
    </row>
    <row r="375" spans="4:27" x14ac:dyDescent="0.25">
      <c r="D375" s="70">
        <v>88</v>
      </c>
      <c r="E375" s="27" t="str">
        <f t="shared" si="172"/>
        <v/>
      </c>
      <c r="F375" s="33" t="str">
        <f t="shared" si="173"/>
        <v/>
      </c>
      <c r="G375" s="33" t="str">
        <f t="shared" si="174"/>
        <v/>
      </c>
      <c r="H375" s="33" t="str">
        <f t="shared" si="175"/>
        <v/>
      </c>
      <c r="I375" s="33" t="str">
        <f t="shared" si="176"/>
        <v/>
      </c>
      <c r="J375" s="33" t="str">
        <f t="shared" si="177"/>
        <v/>
      </c>
      <c r="K375" s="33" t="str">
        <f t="shared" si="178"/>
        <v/>
      </c>
      <c r="L375" s="33"/>
      <c r="M375" s="33"/>
      <c r="N375" s="33" t="str">
        <f t="shared" si="179"/>
        <v/>
      </c>
      <c r="O375" s="33" t="str">
        <f t="shared" si="180"/>
        <v/>
      </c>
      <c r="P375" s="33" t="str">
        <f t="shared" si="181"/>
        <v/>
      </c>
      <c r="Q375" s="33" t="str">
        <f t="shared" si="182"/>
        <v/>
      </c>
      <c r="R375" s="33" t="str">
        <f t="shared" si="183"/>
        <v/>
      </c>
      <c r="S375" s="27" t="str">
        <f t="shared" si="184"/>
        <v/>
      </c>
      <c r="T375" s="33" t="str">
        <f t="shared" si="185"/>
        <v/>
      </c>
      <c r="U375" s="33"/>
      <c r="V375" s="33" t="str">
        <f t="shared" si="186"/>
        <v/>
      </c>
      <c r="W375" s="33" t="str">
        <f t="shared" si="187"/>
        <v/>
      </c>
      <c r="X375" s="33" t="str">
        <f t="shared" si="188"/>
        <v/>
      </c>
      <c r="Y375" s="33" t="str">
        <f t="shared" si="189"/>
        <v/>
      </c>
      <c r="Z375" s="33" t="str">
        <f t="shared" si="190"/>
        <v/>
      </c>
      <c r="AA375" s="33" t="str">
        <f t="shared" si="191"/>
        <v/>
      </c>
    </row>
    <row r="376" spans="4:27" x14ac:dyDescent="0.25">
      <c r="D376" s="70">
        <v>89</v>
      </c>
      <c r="E376" s="27" t="str">
        <f t="shared" si="172"/>
        <v/>
      </c>
      <c r="F376" s="33" t="str">
        <f t="shared" si="173"/>
        <v/>
      </c>
      <c r="G376" s="33" t="str">
        <f t="shared" si="174"/>
        <v/>
      </c>
      <c r="H376" s="33" t="str">
        <f t="shared" si="175"/>
        <v/>
      </c>
      <c r="I376" s="33" t="str">
        <f t="shared" si="176"/>
        <v/>
      </c>
      <c r="J376" s="33" t="str">
        <f t="shared" si="177"/>
        <v/>
      </c>
      <c r="K376" s="33" t="str">
        <f t="shared" si="178"/>
        <v/>
      </c>
      <c r="L376" s="33"/>
      <c r="M376" s="33"/>
      <c r="N376" s="33" t="str">
        <f t="shared" si="179"/>
        <v/>
      </c>
      <c r="O376" s="33" t="str">
        <f t="shared" si="180"/>
        <v/>
      </c>
      <c r="P376" s="33" t="str">
        <f t="shared" si="181"/>
        <v/>
      </c>
      <c r="Q376" s="33" t="str">
        <f t="shared" si="182"/>
        <v/>
      </c>
      <c r="R376" s="33" t="str">
        <f t="shared" si="183"/>
        <v/>
      </c>
      <c r="S376" s="27" t="str">
        <f t="shared" si="184"/>
        <v/>
      </c>
      <c r="T376" s="33" t="str">
        <f t="shared" si="185"/>
        <v/>
      </c>
      <c r="U376" s="33"/>
      <c r="V376" s="33" t="str">
        <f t="shared" si="186"/>
        <v/>
      </c>
      <c r="W376" s="33" t="str">
        <f t="shared" si="187"/>
        <v/>
      </c>
      <c r="X376" s="33" t="str">
        <f t="shared" si="188"/>
        <v/>
      </c>
      <c r="Y376" s="33" t="str">
        <f t="shared" si="189"/>
        <v/>
      </c>
      <c r="Z376" s="33" t="str">
        <f t="shared" si="190"/>
        <v/>
      </c>
      <c r="AA376" s="33" t="str">
        <f t="shared" si="191"/>
        <v/>
      </c>
    </row>
    <row r="377" spans="4:27" x14ac:dyDescent="0.25">
      <c r="D377" s="70">
        <v>90</v>
      </c>
      <c r="E377" s="27" t="str">
        <f t="shared" si="172"/>
        <v/>
      </c>
      <c r="F377" s="33" t="str">
        <f t="shared" si="173"/>
        <v/>
      </c>
      <c r="G377" s="33" t="str">
        <f t="shared" si="174"/>
        <v/>
      </c>
      <c r="H377" s="33" t="str">
        <f t="shared" si="175"/>
        <v/>
      </c>
      <c r="I377" s="33" t="str">
        <f t="shared" si="176"/>
        <v/>
      </c>
      <c r="J377" s="33" t="str">
        <f t="shared" si="177"/>
        <v/>
      </c>
      <c r="K377" s="33" t="str">
        <f t="shared" si="178"/>
        <v/>
      </c>
      <c r="L377" s="33"/>
      <c r="M377" s="33"/>
      <c r="N377" s="33" t="str">
        <f t="shared" si="179"/>
        <v/>
      </c>
      <c r="O377" s="33" t="str">
        <f t="shared" si="180"/>
        <v/>
      </c>
      <c r="P377" s="33" t="str">
        <f t="shared" si="181"/>
        <v/>
      </c>
      <c r="Q377" s="33" t="str">
        <f t="shared" si="182"/>
        <v/>
      </c>
      <c r="R377" s="33" t="str">
        <f t="shared" si="183"/>
        <v/>
      </c>
      <c r="S377" s="27" t="str">
        <f t="shared" si="184"/>
        <v/>
      </c>
      <c r="T377" s="33" t="str">
        <f t="shared" si="185"/>
        <v/>
      </c>
      <c r="U377" s="33"/>
      <c r="V377" s="33" t="str">
        <f t="shared" si="186"/>
        <v/>
      </c>
      <c r="W377" s="33" t="str">
        <f t="shared" si="187"/>
        <v/>
      </c>
      <c r="X377" s="33" t="str">
        <f t="shared" si="188"/>
        <v/>
      </c>
      <c r="Y377" s="33" t="str">
        <f t="shared" si="189"/>
        <v/>
      </c>
      <c r="Z377" s="33" t="str">
        <f t="shared" si="190"/>
        <v/>
      </c>
      <c r="AA377" s="33" t="str">
        <f t="shared" si="191"/>
        <v/>
      </c>
    </row>
    <row r="378" spans="4:27" x14ac:dyDescent="0.25">
      <c r="D378" s="70">
        <v>91</v>
      </c>
      <c r="E378" s="27" t="str">
        <f t="shared" si="172"/>
        <v/>
      </c>
      <c r="F378" s="33" t="str">
        <f t="shared" si="173"/>
        <v/>
      </c>
      <c r="G378" s="33" t="str">
        <f t="shared" si="174"/>
        <v/>
      </c>
      <c r="H378" s="33" t="str">
        <f t="shared" si="175"/>
        <v/>
      </c>
      <c r="I378" s="33" t="str">
        <f t="shared" si="176"/>
        <v/>
      </c>
      <c r="J378" s="33" t="str">
        <f t="shared" si="177"/>
        <v/>
      </c>
      <c r="K378" s="33" t="str">
        <f t="shared" si="178"/>
        <v/>
      </c>
      <c r="L378" s="33"/>
      <c r="M378" s="33"/>
      <c r="N378" s="33" t="str">
        <f t="shared" si="179"/>
        <v/>
      </c>
      <c r="O378" s="33" t="str">
        <f t="shared" si="180"/>
        <v/>
      </c>
      <c r="P378" s="33" t="str">
        <f t="shared" si="181"/>
        <v/>
      </c>
      <c r="Q378" s="33" t="str">
        <f t="shared" si="182"/>
        <v/>
      </c>
      <c r="R378" s="33" t="str">
        <f t="shared" si="183"/>
        <v/>
      </c>
      <c r="S378" s="27" t="str">
        <f t="shared" si="184"/>
        <v/>
      </c>
      <c r="T378" s="33" t="str">
        <f t="shared" si="185"/>
        <v/>
      </c>
      <c r="U378" s="33"/>
      <c r="V378" s="33" t="str">
        <f t="shared" si="186"/>
        <v/>
      </c>
      <c r="W378" s="33" t="str">
        <f t="shared" si="187"/>
        <v/>
      </c>
      <c r="X378" s="33" t="str">
        <f t="shared" si="188"/>
        <v/>
      </c>
      <c r="Y378" s="33" t="str">
        <f t="shared" si="189"/>
        <v/>
      </c>
      <c r="Z378" s="33" t="str">
        <f t="shared" si="190"/>
        <v/>
      </c>
      <c r="AA378" s="33" t="str">
        <f t="shared" si="191"/>
        <v/>
      </c>
    </row>
    <row r="379" spans="4:27" x14ac:dyDescent="0.25">
      <c r="D379" s="70">
        <v>92</v>
      </c>
      <c r="E379" s="27" t="str">
        <f t="shared" si="172"/>
        <v/>
      </c>
      <c r="F379" s="33" t="str">
        <f t="shared" si="173"/>
        <v/>
      </c>
      <c r="G379" s="33" t="str">
        <f t="shared" si="174"/>
        <v/>
      </c>
      <c r="H379" s="33" t="str">
        <f t="shared" si="175"/>
        <v/>
      </c>
      <c r="I379" s="33" t="str">
        <f t="shared" si="176"/>
        <v/>
      </c>
      <c r="J379" s="33" t="str">
        <f t="shared" si="177"/>
        <v/>
      </c>
      <c r="K379" s="33" t="str">
        <f t="shared" si="178"/>
        <v/>
      </c>
      <c r="L379" s="33"/>
      <c r="M379" s="33"/>
      <c r="N379" s="33" t="str">
        <f t="shared" si="179"/>
        <v/>
      </c>
      <c r="O379" s="33" t="str">
        <f t="shared" si="180"/>
        <v/>
      </c>
      <c r="P379" s="33" t="str">
        <f t="shared" si="181"/>
        <v/>
      </c>
      <c r="Q379" s="33" t="str">
        <f t="shared" si="182"/>
        <v/>
      </c>
      <c r="R379" s="33" t="str">
        <f t="shared" si="183"/>
        <v/>
      </c>
      <c r="S379" s="27" t="str">
        <f t="shared" si="184"/>
        <v/>
      </c>
      <c r="T379" s="33" t="str">
        <f t="shared" si="185"/>
        <v/>
      </c>
      <c r="U379" s="33"/>
      <c r="V379" s="33" t="str">
        <f t="shared" si="186"/>
        <v/>
      </c>
      <c r="W379" s="33" t="str">
        <f t="shared" si="187"/>
        <v/>
      </c>
      <c r="X379" s="33" t="str">
        <f t="shared" si="188"/>
        <v/>
      </c>
      <c r="Y379" s="33" t="str">
        <f t="shared" si="189"/>
        <v/>
      </c>
      <c r="Z379" s="33" t="str">
        <f t="shared" si="190"/>
        <v/>
      </c>
      <c r="AA379" s="33" t="str">
        <f t="shared" si="191"/>
        <v/>
      </c>
    </row>
    <row r="380" spans="4:27" x14ac:dyDescent="0.25">
      <c r="D380" s="70">
        <v>93</v>
      </c>
      <c r="E380" s="27" t="str">
        <f t="shared" si="172"/>
        <v/>
      </c>
      <c r="F380" s="33" t="str">
        <f t="shared" si="173"/>
        <v/>
      </c>
      <c r="G380" s="33" t="str">
        <f t="shared" si="174"/>
        <v/>
      </c>
      <c r="H380" s="33" t="str">
        <f t="shared" si="175"/>
        <v/>
      </c>
      <c r="I380" s="33" t="str">
        <f t="shared" si="176"/>
        <v/>
      </c>
      <c r="J380" s="33" t="str">
        <f t="shared" si="177"/>
        <v/>
      </c>
      <c r="K380" s="33" t="str">
        <f t="shared" si="178"/>
        <v/>
      </c>
      <c r="L380" s="33"/>
      <c r="M380" s="33"/>
      <c r="N380" s="33" t="str">
        <f t="shared" si="179"/>
        <v/>
      </c>
      <c r="O380" s="33" t="str">
        <f t="shared" si="180"/>
        <v/>
      </c>
      <c r="P380" s="33" t="str">
        <f t="shared" si="181"/>
        <v/>
      </c>
      <c r="Q380" s="33" t="str">
        <f t="shared" si="182"/>
        <v/>
      </c>
      <c r="R380" s="33" t="str">
        <f t="shared" si="183"/>
        <v/>
      </c>
      <c r="S380" s="27" t="str">
        <f t="shared" si="184"/>
        <v/>
      </c>
      <c r="T380" s="33" t="str">
        <f t="shared" si="185"/>
        <v/>
      </c>
      <c r="U380" s="33"/>
      <c r="V380" s="33" t="str">
        <f t="shared" si="186"/>
        <v/>
      </c>
      <c r="W380" s="33" t="str">
        <f t="shared" si="187"/>
        <v/>
      </c>
      <c r="X380" s="33" t="str">
        <f t="shared" si="188"/>
        <v/>
      </c>
      <c r="Y380" s="33" t="str">
        <f t="shared" si="189"/>
        <v/>
      </c>
      <c r="Z380" s="33" t="str">
        <f t="shared" si="190"/>
        <v/>
      </c>
      <c r="AA380" s="33" t="str">
        <f t="shared" si="191"/>
        <v/>
      </c>
    </row>
    <row r="381" spans="4:27" x14ac:dyDescent="0.25">
      <c r="D381" s="70">
        <v>94</v>
      </c>
      <c r="E381" s="27" t="str">
        <f t="shared" si="172"/>
        <v/>
      </c>
      <c r="F381" s="33" t="str">
        <f t="shared" si="173"/>
        <v/>
      </c>
      <c r="G381" s="33" t="str">
        <f t="shared" si="174"/>
        <v/>
      </c>
      <c r="H381" s="33" t="str">
        <f t="shared" si="175"/>
        <v/>
      </c>
      <c r="I381" s="33" t="str">
        <f t="shared" si="176"/>
        <v/>
      </c>
      <c r="J381" s="33" t="str">
        <f t="shared" si="177"/>
        <v/>
      </c>
      <c r="K381" s="33" t="str">
        <f t="shared" si="178"/>
        <v/>
      </c>
      <c r="L381" s="33"/>
      <c r="M381" s="33"/>
      <c r="N381" s="33" t="str">
        <f t="shared" si="179"/>
        <v/>
      </c>
      <c r="O381" s="33" t="str">
        <f t="shared" si="180"/>
        <v/>
      </c>
      <c r="P381" s="33" t="str">
        <f t="shared" si="181"/>
        <v/>
      </c>
      <c r="Q381" s="33" t="str">
        <f t="shared" si="182"/>
        <v/>
      </c>
      <c r="R381" s="33" t="str">
        <f t="shared" si="183"/>
        <v/>
      </c>
      <c r="S381" s="27" t="str">
        <f t="shared" si="184"/>
        <v/>
      </c>
      <c r="T381" s="33" t="str">
        <f t="shared" si="185"/>
        <v/>
      </c>
      <c r="U381" s="33"/>
      <c r="V381" s="33" t="str">
        <f t="shared" si="186"/>
        <v/>
      </c>
      <c r="W381" s="33" t="str">
        <f t="shared" si="187"/>
        <v/>
      </c>
      <c r="X381" s="33" t="str">
        <f t="shared" si="188"/>
        <v/>
      </c>
      <c r="Y381" s="33" t="str">
        <f t="shared" si="189"/>
        <v/>
      </c>
      <c r="Z381" s="33" t="str">
        <f t="shared" si="190"/>
        <v/>
      </c>
      <c r="AA381" s="33" t="str">
        <f t="shared" si="191"/>
        <v/>
      </c>
    </row>
    <row r="382" spans="4:27" x14ac:dyDescent="0.25">
      <c r="D382" s="70">
        <v>95</v>
      </c>
      <c r="E382" s="27" t="str">
        <f t="shared" si="172"/>
        <v/>
      </c>
      <c r="F382" s="33" t="str">
        <f t="shared" si="173"/>
        <v/>
      </c>
      <c r="G382" s="33" t="str">
        <f t="shared" si="174"/>
        <v/>
      </c>
      <c r="H382" s="33" t="str">
        <f t="shared" si="175"/>
        <v/>
      </c>
      <c r="I382" s="33" t="str">
        <f t="shared" si="176"/>
        <v/>
      </c>
      <c r="J382" s="33" t="str">
        <f t="shared" si="177"/>
        <v/>
      </c>
      <c r="K382" s="33" t="str">
        <f t="shared" si="178"/>
        <v/>
      </c>
      <c r="L382" s="33"/>
      <c r="M382" s="33"/>
      <c r="N382" s="33" t="str">
        <f t="shared" si="179"/>
        <v/>
      </c>
      <c r="O382" s="33" t="str">
        <f t="shared" si="180"/>
        <v/>
      </c>
      <c r="P382" s="33" t="str">
        <f t="shared" si="181"/>
        <v/>
      </c>
      <c r="Q382" s="33" t="str">
        <f t="shared" si="182"/>
        <v/>
      </c>
      <c r="R382" s="33" t="str">
        <f t="shared" si="183"/>
        <v/>
      </c>
      <c r="S382" s="27" t="str">
        <f t="shared" si="184"/>
        <v/>
      </c>
      <c r="T382" s="33" t="str">
        <f t="shared" si="185"/>
        <v/>
      </c>
      <c r="U382" s="33"/>
      <c r="V382" s="33" t="str">
        <f t="shared" si="186"/>
        <v/>
      </c>
      <c r="W382" s="33" t="str">
        <f t="shared" si="187"/>
        <v/>
      </c>
      <c r="X382" s="33" t="str">
        <f t="shared" si="188"/>
        <v/>
      </c>
      <c r="Y382" s="33" t="str">
        <f t="shared" si="189"/>
        <v/>
      </c>
      <c r="Z382" s="33" t="str">
        <f t="shared" si="190"/>
        <v/>
      </c>
      <c r="AA382" s="33" t="str">
        <f t="shared" si="191"/>
        <v/>
      </c>
    </row>
    <row r="383" spans="4:27" x14ac:dyDescent="0.25">
      <c r="D383" s="70">
        <v>96</v>
      </c>
      <c r="E383" s="27" t="str">
        <f t="shared" si="172"/>
        <v/>
      </c>
      <c r="F383" s="33" t="str">
        <f t="shared" si="173"/>
        <v/>
      </c>
      <c r="G383" s="33" t="str">
        <f t="shared" si="174"/>
        <v/>
      </c>
      <c r="H383" s="33" t="str">
        <f t="shared" si="175"/>
        <v/>
      </c>
      <c r="I383" s="33" t="str">
        <f t="shared" si="176"/>
        <v/>
      </c>
      <c r="J383" s="33" t="str">
        <f t="shared" si="177"/>
        <v/>
      </c>
      <c r="K383" s="33" t="str">
        <f t="shared" si="178"/>
        <v/>
      </c>
      <c r="L383" s="33"/>
      <c r="M383" s="33"/>
      <c r="N383" s="33" t="str">
        <f t="shared" si="179"/>
        <v/>
      </c>
      <c r="O383" s="33" t="str">
        <f t="shared" si="180"/>
        <v/>
      </c>
      <c r="P383" s="33" t="str">
        <f t="shared" si="181"/>
        <v/>
      </c>
      <c r="Q383" s="33" t="str">
        <f t="shared" si="182"/>
        <v/>
      </c>
      <c r="R383" s="33" t="str">
        <f t="shared" si="183"/>
        <v/>
      </c>
      <c r="S383" s="27" t="str">
        <f t="shared" si="184"/>
        <v/>
      </c>
      <c r="T383" s="33" t="str">
        <f t="shared" si="185"/>
        <v/>
      </c>
      <c r="U383" s="33"/>
      <c r="V383" s="33" t="str">
        <f t="shared" si="186"/>
        <v/>
      </c>
      <c r="W383" s="33" t="str">
        <f t="shared" si="187"/>
        <v/>
      </c>
      <c r="X383" s="33" t="str">
        <f t="shared" si="188"/>
        <v/>
      </c>
      <c r="Y383" s="33" t="str">
        <f t="shared" si="189"/>
        <v/>
      </c>
      <c r="Z383" s="33" t="str">
        <f t="shared" si="190"/>
        <v/>
      </c>
      <c r="AA383" s="33" t="str">
        <f t="shared" si="191"/>
        <v/>
      </c>
    </row>
    <row r="384" spans="4:27" x14ac:dyDescent="0.25">
      <c r="D384" s="70">
        <v>97</v>
      </c>
      <c r="E384" s="27" t="str">
        <f t="shared" ref="E384:E415" si="192">IFERROR(VLOOKUP(SMALL($D$157:$D$284,D384),$D$157:$AW$284,2,FALSE),"")</f>
        <v/>
      </c>
      <c r="F384" s="33" t="str">
        <f t="shared" ref="F384:F415" si="193">IFERROR(VLOOKUP(SMALL($D$157:$D$284,D384),$D$157:$AW$284,12,FALSE),"")</f>
        <v/>
      </c>
      <c r="G384" s="33" t="str">
        <f t="shared" ref="G384:G415" si="194">IFERROR(VLOOKUP(SMALL($D$157:$D$284,D384),$D$157:$AW$284,21,FALSE),"")</f>
        <v/>
      </c>
      <c r="H384" s="33" t="str">
        <f t="shared" ref="H384:H415" si="195">IFERROR(VLOOKUP(SMALL($D$157:$D$284,D384),$D$157:$AW$284,29,FALSE),"")</f>
        <v/>
      </c>
      <c r="I384" s="33" t="str">
        <f t="shared" ref="I384:I415" si="196">IFERROR(VLOOKUP(SMALL($D$157:$D$284,D384),$D$157:$AW$284,40,FALSE),"")</f>
        <v/>
      </c>
      <c r="J384" s="33" t="str">
        <f t="shared" ref="J384:J415" si="197">IFERROR(VLOOKUP(SMALL($D$157:$D$284,D384),$D$157:$AW$284,4,FALSE),"")</f>
        <v/>
      </c>
      <c r="K384" s="33" t="str">
        <f t="shared" ref="K384:K415" si="198">IFERROR(VLOOKUP(SMALL($D$157:$D$284,D384),$D$157:$AW$284,14,FALSE),"")</f>
        <v/>
      </c>
      <c r="L384" s="33"/>
      <c r="M384" s="33"/>
      <c r="N384" s="33" t="str">
        <f t="shared" ref="N384:N415" si="199">IFERROR(VLOOKUP(SMALL($D$157:$D$284,D384),$D$157:$AW$284,23,FALSE),"")</f>
        <v/>
      </c>
      <c r="O384" s="33" t="str">
        <f t="shared" ref="O384:O415" si="200">IFERROR(VLOOKUP(SMALL($D$157:$D$284,D384),$D$157:$AW$284,31,FALSE),"")</f>
        <v/>
      </c>
      <c r="P384" s="33" t="str">
        <f t="shared" ref="P384:P415" si="201">IFERROR(VLOOKUP(SMALL($D$157:$D$284,D384),$D$157:$AW$284,42,FALSE),"")</f>
        <v/>
      </c>
      <c r="Q384" s="33" t="str">
        <f t="shared" ref="Q384:Q415" si="202">IFERROR(VLOOKUP(SMALL($D$157:$D$284,D384),$D$157:$AW$284,6,FALSE),"")</f>
        <v/>
      </c>
      <c r="R384" s="33" t="str">
        <f t="shared" ref="R384:R415" si="203">IFERROR(VLOOKUP(SMALL($D$157:$D$284,D384),$D$157:$AW$284,16,FALSE),"")</f>
        <v/>
      </c>
      <c r="S384" s="27" t="str">
        <f t="shared" ref="S384:S415" si="204">IFERROR(VLOOKUP(SMALL($D$157:$D$284,D384),$D$157:$AW$284,25,FALSE),"")</f>
        <v/>
      </c>
      <c r="T384" s="33" t="str">
        <f t="shared" ref="T384:T415" si="205">IFERROR(VLOOKUP(SMALL($D$157:$D$284,D384),$D$157:$AW$284,33,FALSE),"")</f>
        <v/>
      </c>
      <c r="U384" s="33"/>
      <c r="V384" s="33" t="str">
        <f t="shared" ref="V384:V415" si="206">IFERROR(VLOOKUP(SMALL($D$157:$D$284,D384),$D$157:$AW$284,44,FALSE),"")</f>
        <v/>
      </c>
      <c r="W384" s="33" t="str">
        <f t="shared" ref="W384:W415" si="207">IFERROR(VLOOKUP(SMALL($D$157:$D$284,D384),$D$157:$AW$284,8,FALSE),"")</f>
        <v/>
      </c>
      <c r="X384" s="33" t="str">
        <f t="shared" ref="X384:X415" si="208">IFERROR(VLOOKUP(SMALL($D$157:$D$284,D384),$D$157:$AW$284,19,FALSE),"")</f>
        <v/>
      </c>
      <c r="Y384" s="33" t="str">
        <f t="shared" ref="Y384:Y415" si="209">IFERROR(VLOOKUP(SMALL($D$157:$D$284,D384),$D$157:$AW$284,27,FALSE),"")</f>
        <v/>
      </c>
      <c r="Z384" s="33" t="str">
        <f t="shared" ref="Z384:Z415" si="210">IFERROR(VLOOKUP(SMALL($D$157:$D$284,D384),$D$157:$AW$284,35,FALSE),"")</f>
        <v/>
      </c>
      <c r="AA384" s="33" t="str">
        <f t="shared" ref="AA384:AA415" si="211">IFERROR(VLOOKUP(SMALL($D$157:$D$284,D384),$D$157:$AW$284,46,FALSE),"")</f>
        <v/>
      </c>
    </row>
    <row r="385" spans="4:27" x14ac:dyDescent="0.25">
      <c r="D385" s="70">
        <v>98</v>
      </c>
      <c r="E385" s="27" t="str">
        <f t="shared" si="192"/>
        <v/>
      </c>
      <c r="F385" s="33" t="str">
        <f t="shared" si="193"/>
        <v/>
      </c>
      <c r="G385" s="33" t="str">
        <f t="shared" si="194"/>
        <v/>
      </c>
      <c r="H385" s="33" t="str">
        <f t="shared" si="195"/>
        <v/>
      </c>
      <c r="I385" s="33" t="str">
        <f t="shared" si="196"/>
        <v/>
      </c>
      <c r="J385" s="33" t="str">
        <f t="shared" si="197"/>
        <v/>
      </c>
      <c r="K385" s="33" t="str">
        <f t="shared" si="198"/>
        <v/>
      </c>
      <c r="L385" s="33"/>
      <c r="M385" s="33"/>
      <c r="N385" s="33" t="str">
        <f t="shared" si="199"/>
        <v/>
      </c>
      <c r="O385" s="33" t="str">
        <f t="shared" si="200"/>
        <v/>
      </c>
      <c r="P385" s="33" t="str">
        <f t="shared" si="201"/>
        <v/>
      </c>
      <c r="Q385" s="33" t="str">
        <f t="shared" si="202"/>
        <v/>
      </c>
      <c r="R385" s="33" t="str">
        <f t="shared" si="203"/>
        <v/>
      </c>
      <c r="S385" s="27" t="str">
        <f t="shared" si="204"/>
        <v/>
      </c>
      <c r="T385" s="33" t="str">
        <f t="shared" si="205"/>
        <v/>
      </c>
      <c r="U385" s="33"/>
      <c r="V385" s="33" t="str">
        <f t="shared" si="206"/>
        <v/>
      </c>
      <c r="W385" s="33" t="str">
        <f t="shared" si="207"/>
        <v/>
      </c>
      <c r="X385" s="33" t="str">
        <f t="shared" si="208"/>
        <v/>
      </c>
      <c r="Y385" s="33" t="str">
        <f t="shared" si="209"/>
        <v/>
      </c>
      <c r="Z385" s="33" t="str">
        <f t="shared" si="210"/>
        <v/>
      </c>
      <c r="AA385" s="33" t="str">
        <f t="shared" si="211"/>
        <v/>
      </c>
    </row>
    <row r="386" spans="4:27" x14ac:dyDescent="0.25">
      <c r="D386" s="70">
        <v>99</v>
      </c>
      <c r="E386" s="27" t="str">
        <f t="shared" si="192"/>
        <v/>
      </c>
      <c r="F386" s="33" t="str">
        <f t="shared" si="193"/>
        <v/>
      </c>
      <c r="G386" s="33" t="str">
        <f t="shared" si="194"/>
        <v/>
      </c>
      <c r="H386" s="33" t="str">
        <f t="shared" si="195"/>
        <v/>
      </c>
      <c r="I386" s="33" t="str">
        <f t="shared" si="196"/>
        <v/>
      </c>
      <c r="J386" s="33" t="str">
        <f t="shared" si="197"/>
        <v/>
      </c>
      <c r="K386" s="33" t="str">
        <f t="shared" si="198"/>
        <v/>
      </c>
      <c r="L386" s="33"/>
      <c r="M386" s="33"/>
      <c r="N386" s="33" t="str">
        <f t="shared" si="199"/>
        <v/>
      </c>
      <c r="O386" s="33" t="str">
        <f t="shared" si="200"/>
        <v/>
      </c>
      <c r="P386" s="33" t="str">
        <f t="shared" si="201"/>
        <v/>
      </c>
      <c r="Q386" s="33" t="str">
        <f t="shared" si="202"/>
        <v/>
      </c>
      <c r="R386" s="33" t="str">
        <f t="shared" si="203"/>
        <v/>
      </c>
      <c r="S386" s="27" t="str">
        <f t="shared" si="204"/>
        <v/>
      </c>
      <c r="T386" s="33" t="str">
        <f t="shared" si="205"/>
        <v/>
      </c>
      <c r="U386" s="33"/>
      <c r="V386" s="33" t="str">
        <f t="shared" si="206"/>
        <v/>
      </c>
      <c r="W386" s="33" t="str">
        <f t="shared" si="207"/>
        <v/>
      </c>
      <c r="X386" s="33" t="str">
        <f t="shared" si="208"/>
        <v/>
      </c>
      <c r="Y386" s="33" t="str">
        <f t="shared" si="209"/>
        <v/>
      </c>
      <c r="Z386" s="33" t="str">
        <f t="shared" si="210"/>
        <v/>
      </c>
      <c r="AA386" s="33" t="str">
        <f t="shared" si="211"/>
        <v/>
      </c>
    </row>
    <row r="387" spans="4:27" x14ac:dyDescent="0.25">
      <c r="D387" s="70">
        <v>100</v>
      </c>
      <c r="E387" s="27" t="str">
        <f t="shared" si="192"/>
        <v/>
      </c>
      <c r="F387" s="33" t="str">
        <f t="shared" si="193"/>
        <v/>
      </c>
      <c r="G387" s="33" t="str">
        <f t="shared" si="194"/>
        <v/>
      </c>
      <c r="H387" s="33" t="str">
        <f t="shared" si="195"/>
        <v/>
      </c>
      <c r="I387" s="33" t="str">
        <f t="shared" si="196"/>
        <v/>
      </c>
      <c r="J387" s="33" t="str">
        <f t="shared" si="197"/>
        <v/>
      </c>
      <c r="K387" s="33" t="str">
        <f t="shared" si="198"/>
        <v/>
      </c>
      <c r="L387" s="33"/>
      <c r="M387" s="33"/>
      <c r="N387" s="33" t="str">
        <f t="shared" si="199"/>
        <v/>
      </c>
      <c r="O387" s="33" t="str">
        <f t="shared" si="200"/>
        <v/>
      </c>
      <c r="P387" s="33" t="str">
        <f t="shared" si="201"/>
        <v/>
      </c>
      <c r="Q387" s="33" t="str">
        <f t="shared" si="202"/>
        <v/>
      </c>
      <c r="R387" s="33" t="str">
        <f t="shared" si="203"/>
        <v/>
      </c>
      <c r="S387" s="27" t="str">
        <f t="shared" si="204"/>
        <v/>
      </c>
      <c r="T387" s="33" t="str">
        <f t="shared" si="205"/>
        <v/>
      </c>
      <c r="U387" s="33"/>
      <c r="V387" s="33" t="str">
        <f t="shared" si="206"/>
        <v/>
      </c>
      <c r="W387" s="33" t="str">
        <f t="shared" si="207"/>
        <v/>
      </c>
      <c r="X387" s="33" t="str">
        <f t="shared" si="208"/>
        <v/>
      </c>
      <c r="Y387" s="33" t="str">
        <f t="shared" si="209"/>
        <v/>
      </c>
      <c r="Z387" s="33" t="str">
        <f t="shared" si="210"/>
        <v/>
      </c>
      <c r="AA387" s="33" t="str">
        <f t="shared" si="211"/>
        <v/>
      </c>
    </row>
    <row r="388" spans="4:27" x14ac:dyDescent="0.25">
      <c r="D388" s="70">
        <v>101</v>
      </c>
      <c r="E388" s="27" t="str">
        <f t="shared" si="192"/>
        <v/>
      </c>
      <c r="F388" s="33" t="str">
        <f t="shared" si="193"/>
        <v/>
      </c>
      <c r="G388" s="33" t="str">
        <f t="shared" si="194"/>
        <v/>
      </c>
      <c r="H388" s="33" t="str">
        <f t="shared" si="195"/>
        <v/>
      </c>
      <c r="I388" s="33" t="str">
        <f t="shared" si="196"/>
        <v/>
      </c>
      <c r="J388" s="33" t="str">
        <f t="shared" si="197"/>
        <v/>
      </c>
      <c r="K388" s="33" t="str">
        <f t="shared" si="198"/>
        <v/>
      </c>
      <c r="L388" s="33"/>
      <c r="M388" s="33"/>
      <c r="N388" s="33" t="str">
        <f t="shared" si="199"/>
        <v/>
      </c>
      <c r="O388" s="33" t="str">
        <f t="shared" si="200"/>
        <v/>
      </c>
      <c r="P388" s="33" t="str">
        <f t="shared" si="201"/>
        <v/>
      </c>
      <c r="Q388" s="33" t="str">
        <f t="shared" si="202"/>
        <v/>
      </c>
      <c r="R388" s="33" t="str">
        <f t="shared" si="203"/>
        <v/>
      </c>
      <c r="S388" s="27" t="str">
        <f t="shared" si="204"/>
        <v/>
      </c>
      <c r="T388" s="33" t="str">
        <f t="shared" si="205"/>
        <v/>
      </c>
      <c r="U388" s="33"/>
      <c r="V388" s="33" t="str">
        <f t="shared" si="206"/>
        <v/>
      </c>
      <c r="W388" s="33" t="str">
        <f t="shared" si="207"/>
        <v/>
      </c>
      <c r="X388" s="33" t="str">
        <f t="shared" si="208"/>
        <v/>
      </c>
      <c r="Y388" s="33" t="str">
        <f t="shared" si="209"/>
        <v/>
      </c>
      <c r="Z388" s="33" t="str">
        <f t="shared" si="210"/>
        <v/>
      </c>
      <c r="AA388" s="33" t="str">
        <f t="shared" si="211"/>
        <v/>
      </c>
    </row>
    <row r="389" spans="4:27" x14ac:dyDescent="0.25">
      <c r="D389" s="70">
        <v>102</v>
      </c>
      <c r="E389" s="27" t="str">
        <f t="shared" si="192"/>
        <v/>
      </c>
      <c r="F389" s="33" t="str">
        <f t="shared" si="193"/>
        <v/>
      </c>
      <c r="G389" s="33" t="str">
        <f t="shared" si="194"/>
        <v/>
      </c>
      <c r="H389" s="33" t="str">
        <f t="shared" si="195"/>
        <v/>
      </c>
      <c r="I389" s="33" t="str">
        <f t="shared" si="196"/>
        <v/>
      </c>
      <c r="J389" s="33" t="str">
        <f t="shared" si="197"/>
        <v/>
      </c>
      <c r="K389" s="33" t="str">
        <f t="shared" si="198"/>
        <v/>
      </c>
      <c r="L389" s="33"/>
      <c r="M389" s="33"/>
      <c r="N389" s="33" t="str">
        <f t="shared" si="199"/>
        <v/>
      </c>
      <c r="O389" s="33" t="str">
        <f t="shared" si="200"/>
        <v/>
      </c>
      <c r="P389" s="33" t="str">
        <f t="shared" si="201"/>
        <v/>
      </c>
      <c r="Q389" s="33" t="str">
        <f t="shared" si="202"/>
        <v/>
      </c>
      <c r="R389" s="33" t="str">
        <f t="shared" si="203"/>
        <v/>
      </c>
      <c r="S389" s="27" t="str">
        <f t="shared" si="204"/>
        <v/>
      </c>
      <c r="T389" s="33" t="str">
        <f t="shared" si="205"/>
        <v/>
      </c>
      <c r="U389" s="33"/>
      <c r="V389" s="33" t="str">
        <f t="shared" si="206"/>
        <v/>
      </c>
      <c r="W389" s="33" t="str">
        <f t="shared" si="207"/>
        <v/>
      </c>
      <c r="X389" s="33" t="str">
        <f t="shared" si="208"/>
        <v/>
      </c>
      <c r="Y389" s="33" t="str">
        <f t="shared" si="209"/>
        <v/>
      </c>
      <c r="Z389" s="33" t="str">
        <f t="shared" si="210"/>
        <v/>
      </c>
      <c r="AA389" s="33" t="str">
        <f t="shared" si="211"/>
        <v/>
      </c>
    </row>
    <row r="390" spans="4:27" x14ac:dyDescent="0.25">
      <c r="D390" s="70">
        <v>103</v>
      </c>
      <c r="E390" s="27" t="str">
        <f t="shared" si="192"/>
        <v/>
      </c>
      <c r="F390" s="33" t="str">
        <f t="shared" si="193"/>
        <v/>
      </c>
      <c r="G390" s="33" t="str">
        <f t="shared" si="194"/>
        <v/>
      </c>
      <c r="H390" s="33" t="str">
        <f t="shared" si="195"/>
        <v/>
      </c>
      <c r="I390" s="33" t="str">
        <f t="shared" si="196"/>
        <v/>
      </c>
      <c r="J390" s="33" t="str">
        <f t="shared" si="197"/>
        <v/>
      </c>
      <c r="K390" s="33" t="str">
        <f t="shared" si="198"/>
        <v/>
      </c>
      <c r="L390" s="33"/>
      <c r="M390" s="33"/>
      <c r="N390" s="33" t="str">
        <f t="shared" si="199"/>
        <v/>
      </c>
      <c r="O390" s="33" t="str">
        <f t="shared" si="200"/>
        <v/>
      </c>
      <c r="P390" s="33" t="str">
        <f t="shared" si="201"/>
        <v/>
      </c>
      <c r="Q390" s="33" t="str">
        <f t="shared" si="202"/>
        <v/>
      </c>
      <c r="R390" s="33" t="str">
        <f t="shared" si="203"/>
        <v/>
      </c>
      <c r="S390" s="27" t="str">
        <f t="shared" si="204"/>
        <v/>
      </c>
      <c r="T390" s="33" t="str">
        <f t="shared" si="205"/>
        <v/>
      </c>
      <c r="U390" s="33"/>
      <c r="V390" s="33" t="str">
        <f t="shared" si="206"/>
        <v/>
      </c>
      <c r="W390" s="33" t="str">
        <f t="shared" si="207"/>
        <v/>
      </c>
      <c r="X390" s="33" t="str">
        <f t="shared" si="208"/>
        <v/>
      </c>
      <c r="Y390" s="33" t="str">
        <f t="shared" si="209"/>
        <v/>
      </c>
      <c r="Z390" s="33" t="str">
        <f t="shared" si="210"/>
        <v/>
      </c>
      <c r="AA390" s="33" t="str">
        <f t="shared" si="211"/>
        <v/>
      </c>
    </row>
    <row r="391" spans="4:27" x14ac:dyDescent="0.25">
      <c r="D391" s="70">
        <v>104</v>
      </c>
      <c r="E391" s="27" t="str">
        <f t="shared" si="192"/>
        <v/>
      </c>
      <c r="F391" s="33" t="str">
        <f t="shared" si="193"/>
        <v/>
      </c>
      <c r="G391" s="33" t="str">
        <f t="shared" si="194"/>
        <v/>
      </c>
      <c r="H391" s="33" t="str">
        <f t="shared" si="195"/>
        <v/>
      </c>
      <c r="I391" s="33" t="str">
        <f t="shared" si="196"/>
        <v/>
      </c>
      <c r="J391" s="33" t="str">
        <f t="shared" si="197"/>
        <v/>
      </c>
      <c r="K391" s="33" t="str">
        <f t="shared" si="198"/>
        <v/>
      </c>
      <c r="L391" s="33"/>
      <c r="M391" s="33"/>
      <c r="N391" s="33" t="str">
        <f t="shared" si="199"/>
        <v/>
      </c>
      <c r="O391" s="33" t="str">
        <f t="shared" si="200"/>
        <v/>
      </c>
      <c r="P391" s="33" t="str">
        <f t="shared" si="201"/>
        <v/>
      </c>
      <c r="Q391" s="33" t="str">
        <f t="shared" si="202"/>
        <v/>
      </c>
      <c r="R391" s="33" t="str">
        <f t="shared" si="203"/>
        <v/>
      </c>
      <c r="S391" s="27" t="str">
        <f t="shared" si="204"/>
        <v/>
      </c>
      <c r="T391" s="33" t="str">
        <f t="shared" si="205"/>
        <v/>
      </c>
      <c r="U391" s="33"/>
      <c r="V391" s="33" t="str">
        <f t="shared" si="206"/>
        <v/>
      </c>
      <c r="W391" s="33" t="str">
        <f t="shared" si="207"/>
        <v/>
      </c>
      <c r="X391" s="33" t="str">
        <f t="shared" si="208"/>
        <v/>
      </c>
      <c r="Y391" s="33" t="str">
        <f t="shared" si="209"/>
        <v/>
      </c>
      <c r="Z391" s="33" t="str">
        <f t="shared" si="210"/>
        <v/>
      </c>
      <c r="AA391" s="33" t="str">
        <f t="shared" si="211"/>
        <v/>
      </c>
    </row>
    <row r="392" spans="4:27" x14ac:dyDescent="0.25">
      <c r="D392" s="70">
        <v>105</v>
      </c>
      <c r="E392" s="27" t="str">
        <f t="shared" si="192"/>
        <v/>
      </c>
      <c r="F392" s="33" t="str">
        <f t="shared" si="193"/>
        <v/>
      </c>
      <c r="G392" s="33" t="str">
        <f t="shared" si="194"/>
        <v/>
      </c>
      <c r="H392" s="33" t="str">
        <f t="shared" si="195"/>
        <v/>
      </c>
      <c r="I392" s="33" t="str">
        <f t="shared" si="196"/>
        <v/>
      </c>
      <c r="J392" s="33" t="str">
        <f t="shared" si="197"/>
        <v/>
      </c>
      <c r="K392" s="33" t="str">
        <f t="shared" si="198"/>
        <v/>
      </c>
      <c r="L392" s="33"/>
      <c r="M392" s="33"/>
      <c r="N392" s="33" t="str">
        <f t="shared" si="199"/>
        <v/>
      </c>
      <c r="O392" s="33" t="str">
        <f t="shared" si="200"/>
        <v/>
      </c>
      <c r="P392" s="33" t="str">
        <f t="shared" si="201"/>
        <v/>
      </c>
      <c r="Q392" s="33" t="str">
        <f t="shared" si="202"/>
        <v/>
      </c>
      <c r="R392" s="33" t="str">
        <f t="shared" si="203"/>
        <v/>
      </c>
      <c r="S392" s="27" t="str">
        <f t="shared" si="204"/>
        <v/>
      </c>
      <c r="T392" s="33" t="str">
        <f t="shared" si="205"/>
        <v/>
      </c>
      <c r="U392" s="33"/>
      <c r="V392" s="33" t="str">
        <f t="shared" si="206"/>
        <v/>
      </c>
      <c r="W392" s="33" t="str">
        <f t="shared" si="207"/>
        <v/>
      </c>
      <c r="X392" s="33" t="str">
        <f t="shared" si="208"/>
        <v/>
      </c>
      <c r="Y392" s="33" t="str">
        <f t="shared" si="209"/>
        <v/>
      </c>
      <c r="Z392" s="33" t="str">
        <f t="shared" si="210"/>
        <v/>
      </c>
      <c r="AA392" s="33" t="str">
        <f t="shared" si="211"/>
        <v/>
      </c>
    </row>
    <row r="393" spans="4:27" x14ac:dyDescent="0.25">
      <c r="D393" s="70">
        <v>106</v>
      </c>
      <c r="E393" s="27" t="str">
        <f t="shared" si="192"/>
        <v/>
      </c>
      <c r="F393" s="33" t="str">
        <f t="shared" si="193"/>
        <v/>
      </c>
      <c r="G393" s="33" t="str">
        <f t="shared" si="194"/>
        <v/>
      </c>
      <c r="H393" s="33" t="str">
        <f t="shared" si="195"/>
        <v/>
      </c>
      <c r="I393" s="33" t="str">
        <f t="shared" si="196"/>
        <v/>
      </c>
      <c r="J393" s="33" t="str">
        <f t="shared" si="197"/>
        <v/>
      </c>
      <c r="K393" s="33" t="str">
        <f t="shared" si="198"/>
        <v/>
      </c>
      <c r="L393" s="33"/>
      <c r="M393" s="33"/>
      <c r="N393" s="33" t="str">
        <f t="shared" si="199"/>
        <v/>
      </c>
      <c r="O393" s="33" t="str">
        <f t="shared" si="200"/>
        <v/>
      </c>
      <c r="P393" s="33" t="str">
        <f t="shared" si="201"/>
        <v/>
      </c>
      <c r="Q393" s="33" t="str">
        <f t="shared" si="202"/>
        <v/>
      </c>
      <c r="R393" s="33" t="str">
        <f t="shared" si="203"/>
        <v/>
      </c>
      <c r="S393" s="27" t="str">
        <f t="shared" si="204"/>
        <v/>
      </c>
      <c r="T393" s="33" t="str">
        <f t="shared" si="205"/>
        <v/>
      </c>
      <c r="U393" s="33"/>
      <c r="V393" s="33" t="str">
        <f t="shared" si="206"/>
        <v/>
      </c>
      <c r="W393" s="33" t="str">
        <f t="shared" si="207"/>
        <v/>
      </c>
      <c r="X393" s="33" t="str">
        <f t="shared" si="208"/>
        <v/>
      </c>
      <c r="Y393" s="33" t="str">
        <f t="shared" si="209"/>
        <v/>
      </c>
      <c r="Z393" s="33" t="str">
        <f t="shared" si="210"/>
        <v/>
      </c>
      <c r="AA393" s="33" t="str">
        <f t="shared" si="211"/>
        <v/>
      </c>
    </row>
    <row r="394" spans="4:27" x14ac:dyDescent="0.25">
      <c r="D394" s="70">
        <v>107</v>
      </c>
      <c r="E394" s="27" t="str">
        <f t="shared" si="192"/>
        <v/>
      </c>
      <c r="F394" s="33" t="str">
        <f t="shared" si="193"/>
        <v/>
      </c>
      <c r="G394" s="33" t="str">
        <f t="shared" si="194"/>
        <v/>
      </c>
      <c r="H394" s="33" t="str">
        <f t="shared" si="195"/>
        <v/>
      </c>
      <c r="I394" s="33" t="str">
        <f t="shared" si="196"/>
        <v/>
      </c>
      <c r="J394" s="33" t="str">
        <f t="shared" si="197"/>
        <v/>
      </c>
      <c r="K394" s="33" t="str">
        <f t="shared" si="198"/>
        <v/>
      </c>
      <c r="L394" s="33"/>
      <c r="M394" s="33"/>
      <c r="N394" s="33" t="str">
        <f t="shared" si="199"/>
        <v/>
      </c>
      <c r="O394" s="33" t="str">
        <f t="shared" si="200"/>
        <v/>
      </c>
      <c r="P394" s="33" t="str">
        <f t="shared" si="201"/>
        <v/>
      </c>
      <c r="Q394" s="33" t="str">
        <f t="shared" si="202"/>
        <v/>
      </c>
      <c r="R394" s="33" t="str">
        <f t="shared" si="203"/>
        <v/>
      </c>
      <c r="S394" s="27" t="str">
        <f t="shared" si="204"/>
        <v/>
      </c>
      <c r="T394" s="33" t="str">
        <f t="shared" si="205"/>
        <v/>
      </c>
      <c r="U394" s="33"/>
      <c r="V394" s="33" t="str">
        <f t="shared" si="206"/>
        <v/>
      </c>
      <c r="W394" s="33" t="str">
        <f t="shared" si="207"/>
        <v/>
      </c>
      <c r="X394" s="33" t="str">
        <f t="shared" si="208"/>
        <v/>
      </c>
      <c r="Y394" s="33" t="str">
        <f t="shared" si="209"/>
        <v/>
      </c>
      <c r="Z394" s="33" t="str">
        <f t="shared" si="210"/>
        <v/>
      </c>
      <c r="AA394" s="33" t="str">
        <f t="shared" si="211"/>
        <v/>
      </c>
    </row>
    <row r="395" spans="4:27" x14ac:dyDescent="0.25">
      <c r="D395" s="70">
        <v>108</v>
      </c>
      <c r="E395" s="27" t="str">
        <f t="shared" si="192"/>
        <v/>
      </c>
      <c r="F395" s="33" t="str">
        <f t="shared" si="193"/>
        <v/>
      </c>
      <c r="G395" s="33" t="str">
        <f t="shared" si="194"/>
        <v/>
      </c>
      <c r="H395" s="33" t="str">
        <f t="shared" si="195"/>
        <v/>
      </c>
      <c r="I395" s="33" t="str">
        <f t="shared" si="196"/>
        <v/>
      </c>
      <c r="J395" s="33" t="str">
        <f t="shared" si="197"/>
        <v/>
      </c>
      <c r="K395" s="33" t="str">
        <f t="shared" si="198"/>
        <v/>
      </c>
      <c r="L395" s="33"/>
      <c r="M395" s="33"/>
      <c r="N395" s="33" t="str">
        <f t="shared" si="199"/>
        <v/>
      </c>
      <c r="O395" s="33" t="str">
        <f t="shared" si="200"/>
        <v/>
      </c>
      <c r="P395" s="33" t="str">
        <f t="shared" si="201"/>
        <v/>
      </c>
      <c r="Q395" s="33" t="str">
        <f t="shared" si="202"/>
        <v/>
      </c>
      <c r="R395" s="33" t="str">
        <f t="shared" si="203"/>
        <v/>
      </c>
      <c r="S395" s="27" t="str">
        <f t="shared" si="204"/>
        <v/>
      </c>
      <c r="T395" s="33" t="str">
        <f t="shared" si="205"/>
        <v/>
      </c>
      <c r="U395" s="33"/>
      <c r="V395" s="33" t="str">
        <f t="shared" si="206"/>
        <v/>
      </c>
      <c r="W395" s="33" t="str">
        <f t="shared" si="207"/>
        <v/>
      </c>
      <c r="X395" s="33" t="str">
        <f t="shared" si="208"/>
        <v/>
      </c>
      <c r="Y395" s="33" t="str">
        <f t="shared" si="209"/>
        <v/>
      </c>
      <c r="Z395" s="33" t="str">
        <f t="shared" si="210"/>
        <v/>
      </c>
      <c r="AA395" s="33" t="str">
        <f t="shared" si="211"/>
        <v/>
      </c>
    </row>
    <row r="396" spans="4:27" x14ac:dyDescent="0.25">
      <c r="D396" s="70">
        <v>109</v>
      </c>
      <c r="E396" s="27" t="str">
        <f t="shared" si="192"/>
        <v/>
      </c>
      <c r="F396" s="33" t="str">
        <f t="shared" si="193"/>
        <v/>
      </c>
      <c r="G396" s="33" t="str">
        <f t="shared" si="194"/>
        <v/>
      </c>
      <c r="H396" s="33" t="str">
        <f t="shared" si="195"/>
        <v/>
      </c>
      <c r="I396" s="33" t="str">
        <f t="shared" si="196"/>
        <v/>
      </c>
      <c r="J396" s="33" t="str">
        <f t="shared" si="197"/>
        <v/>
      </c>
      <c r="K396" s="33" t="str">
        <f t="shared" si="198"/>
        <v/>
      </c>
      <c r="L396" s="33"/>
      <c r="M396" s="33"/>
      <c r="N396" s="33" t="str">
        <f t="shared" si="199"/>
        <v/>
      </c>
      <c r="O396" s="33" t="str">
        <f t="shared" si="200"/>
        <v/>
      </c>
      <c r="P396" s="33" t="str">
        <f t="shared" si="201"/>
        <v/>
      </c>
      <c r="Q396" s="33" t="str">
        <f t="shared" si="202"/>
        <v/>
      </c>
      <c r="R396" s="33" t="str">
        <f t="shared" si="203"/>
        <v/>
      </c>
      <c r="S396" s="27" t="str">
        <f t="shared" si="204"/>
        <v/>
      </c>
      <c r="T396" s="33" t="str">
        <f t="shared" si="205"/>
        <v/>
      </c>
      <c r="U396" s="33"/>
      <c r="V396" s="33" t="str">
        <f t="shared" si="206"/>
        <v/>
      </c>
      <c r="W396" s="33" t="str">
        <f t="shared" si="207"/>
        <v/>
      </c>
      <c r="X396" s="33" t="str">
        <f t="shared" si="208"/>
        <v/>
      </c>
      <c r="Y396" s="33" t="str">
        <f t="shared" si="209"/>
        <v/>
      </c>
      <c r="Z396" s="33" t="str">
        <f t="shared" si="210"/>
        <v/>
      </c>
      <c r="AA396" s="33" t="str">
        <f t="shared" si="211"/>
        <v/>
      </c>
    </row>
    <row r="397" spans="4:27" x14ac:dyDescent="0.25">
      <c r="D397" s="70">
        <v>110</v>
      </c>
      <c r="E397" s="27" t="str">
        <f t="shared" si="192"/>
        <v/>
      </c>
      <c r="F397" s="33" t="str">
        <f t="shared" si="193"/>
        <v/>
      </c>
      <c r="G397" s="33" t="str">
        <f t="shared" si="194"/>
        <v/>
      </c>
      <c r="H397" s="33" t="str">
        <f t="shared" si="195"/>
        <v/>
      </c>
      <c r="I397" s="33" t="str">
        <f t="shared" si="196"/>
        <v/>
      </c>
      <c r="J397" s="33" t="str">
        <f t="shared" si="197"/>
        <v/>
      </c>
      <c r="K397" s="33" t="str">
        <f t="shared" si="198"/>
        <v/>
      </c>
      <c r="L397" s="33"/>
      <c r="M397" s="33"/>
      <c r="N397" s="33" t="str">
        <f t="shared" si="199"/>
        <v/>
      </c>
      <c r="O397" s="33" t="str">
        <f t="shared" si="200"/>
        <v/>
      </c>
      <c r="P397" s="33" t="str">
        <f t="shared" si="201"/>
        <v/>
      </c>
      <c r="Q397" s="33" t="str">
        <f t="shared" si="202"/>
        <v/>
      </c>
      <c r="R397" s="33" t="str">
        <f t="shared" si="203"/>
        <v/>
      </c>
      <c r="S397" s="27" t="str">
        <f t="shared" si="204"/>
        <v/>
      </c>
      <c r="T397" s="33" t="str">
        <f t="shared" si="205"/>
        <v/>
      </c>
      <c r="U397" s="33"/>
      <c r="V397" s="33" t="str">
        <f t="shared" si="206"/>
        <v/>
      </c>
      <c r="W397" s="33" t="str">
        <f t="shared" si="207"/>
        <v/>
      </c>
      <c r="X397" s="33" t="str">
        <f t="shared" si="208"/>
        <v/>
      </c>
      <c r="Y397" s="33" t="str">
        <f t="shared" si="209"/>
        <v/>
      </c>
      <c r="Z397" s="33" t="str">
        <f t="shared" si="210"/>
        <v/>
      </c>
      <c r="AA397" s="33" t="str">
        <f t="shared" si="211"/>
        <v/>
      </c>
    </row>
    <row r="398" spans="4:27" x14ac:dyDescent="0.25">
      <c r="D398" s="70">
        <v>111</v>
      </c>
      <c r="E398" s="27" t="str">
        <f t="shared" si="192"/>
        <v/>
      </c>
      <c r="F398" s="33" t="str">
        <f t="shared" si="193"/>
        <v/>
      </c>
      <c r="G398" s="33" t="str">
        <f t="shared" si="194"/>
        <v/>
      </c>
      <c r="H398" s="33" t="str">
        <f t="shared" si="195"/>
        <v/>
      </c>
      <c r="I398" s="33" t="str">
        <f t="shared" si="196"/>
        <v/>
      </c>
      <c r="J398" s="33" t="str">
        <f t="shared" si="197"/>
        <v/>
      </c>
      <c r="K398" s="33" t="str">
        <f t="shared" si="198"/>
        <v/>
      </c>
      <c r="L398" s="33"/>
      <c r="M398" s="33"/>
      <c r="N398" s="33" t="str">
        <f t="shared" si="199"/>
        <v/>
      </c>
      <c r="O398" s="33" t="str">
        <f t="shared" si="200"/>
        <v/>
      </c>
      <c r="P398" s="33" t="str">
        <f t="shared" si="201"/>
        <v/>
      </c>
      <c r="Q398" s="33" t="str">
        <f t="shared" si="202"/>
        <v/>
      </c>
      <c r="R398" s="33" t="str">
        <f t="shared" si="203"/>
        <v/>
      </c>
      <c r="S398" s="27" t="str">
        <f t="shared" si="204"/>
        <v/>
      </c>
      <c r="T398" s="33" t="str">
        <f t="shared" si="205"/>
        <v/>
      </c>
      <c r="U398" s="33"/>
      <c r="V398" s="33" t="str">
        <f t="shared" si="206"/>
        <v/>
      </c>
      <c r="W398" s="33" t="str">
        <f t="shared" si="207"/>
        <v/>
      </c>
      <c r="X398" s="33" t="str">
        <f t="shared" si="208"/>
        <v/>
      </c>
      <c r="Y398" s="33" t="str">
        <f t="shared" si="209"/>
        <v/>
      </c>
      <c r="Z398" s="33" t="str">
        <f t="shared" si="210"/>
        <v/>
      </c>
      <c r="AA398" s="33" t="str">
        <f t="shared" si="211"/>
        <v/>
      </c>
    </row>
    <row r="399" spans="4:27" x14ac:dyDescent="0.25">
      <c r="D399" s="70">
        <v>112</v>
      </c>
      <c r="E399" s="27" t="str">
        <f t="shared" si="192"/>
        <v/>
      </c>
      <c r="F399" s="33" t="str">
        <f t="shared" si="193"/>
        <v/>
      </c>
      <c r="G399" s="33" t="str">
        <f t="shared" si="194"/>
        <v/>
      </c>
      <c r="H399" s="33" t="str">
        <f t="shared" si="195"/>
        <v/>
      </c>
      <c r="I399" s="33" t="str">
        <f t="shared" si="196"/>
        <v/>
      </c>
      <c r="J399" s="33" t="str">
        <f t="shared" si="197"/>
        <v/>
      </c>
      <c r="K399" s="33" t="str">
        <f t="shared" si="198"/>
        <v/>
      </c>
      <c r="L399" s="33"/>
      <c r="M399" s="33"/>
      <c r="N399" s="33" t="str">
        <f t="shared" si="199"/>
        <v/>
      </c>
      <c r="O399" s="33" t="str">
        <f t="shared" si="200"/>
        <v/>
      </c>
      <c r="P399" s="33" t="str">
        <f t="shared" si="201"/>
        <v/>
      </c>
      <c r="Q399" s="33" t="str">
        <f t="shared" si="202"/>
        <v/>
      </c>
      <c r="R399" s="33" t="str">
        <f t="shared" si="203"/>
        <v/>
      </c>
      <c r="S399" s="27" t="str">
        <f t="shared" si="204"/>
        <v/>
      </c>
      <c r="T399" s="33" t="str">
        <f t="shared" si="205"/>
        <v/>
      </c>
      <c r="U399" s="33"/>
      <c r="V399" s="33" t="str">
        <f t="shared" si="206"/>
        <v/>
      </c>
      <c r="W399" s="33" t="str">
        <f t="shared" si="207"/>
        <v/>
      </c>
      <c r="X399" s="33" t="str">
        <f t="shared" si="208"/>
        <v/>
      </c>
      <c r="Y399" s="33" t="str">
        <f t="shared" si="209"/>
        <v/>
      </c>
      <c r="Z399" s="33" t="str">
        <f t="shared" si="210"/>
        <v/>
      </c>
      <c r="AA399" s="33" t="str">
        <f t="shared" si="211"/>
        <v/>
      </c>
    </row>
    <row r="400" spans="4:27" x14ac:dyDescent="0.25">
      <c r="D400" s="70">
        <v>113</v>
      </c>
      <c r="E400" s="27" t="str">
        <f t="shared" si="192"/>
        <v/>
      </c>
      <c r="F400" s="33" t="str">
        <f t="shared" si="193"/>
        <v/>
      </c>
      <c r="G400" s="33" t="str">
        <f t="shared" si="194"/>
        <v/>
      </c>
      <c r="H400" s="33" t="str">
        <f t="shared" si="195"/>
        <v/>
      </c>
      <c r="I400" s="33" t="str">
        <f t="shared" si="196"/>
        <v/>
      </c>
      <c r="J400" s="33" t="str">
        <f t="shared" si="197"/>
        <v/>
      </c>
      <c r="K400" s="33" t="str">
        <f t="shared" si="198"/>
        <v/>
      </c>
      <c r="L400" s="33"/>
      <c r="M400" s="33"/>
      <c r="N400" s="33" t="str">
        <f t="shared" si="199"/>
        <v/>
      </c>
      <c r="O400" s="33" t="str">
        <f t="shared" si="200"/>
        <v/>
      </c>
      <c r="P400" s="33" t="str">
        <f t="shared" si="201"/>
        <v/>
      </c>
      <c r="Q400" s="33" t="str">
        <f t="shared" si="202"/>
        <v/>
      </c>
      <c r="R400" s="33" t="str">
        <f t="shared" si="203"/>
        <v/>
      </c>
      <c r="S400" s="27" t="str">
        <f t="shared" si="204"/>
        <v/>
      </c>
      <c r="T400" s="33" t="str">
        <f t="shared" si="205"/>
        <v/>
      </c>
      <c r="U400" s="33"/>
      <c r="V400" s="33" t="str">
        <f t="shared" si="206"/>
        <v/>
      </c>
      <c r="W400" s="33" t="str">
        <f t="shared" si="207"/>
        <v/>
      </c>
      <c r="X400" s="33" t="str">
        <f t="shared" si="208"/>
        <v/>
      </c>
      <c r="Y400" s="33" t="str">
        <f t="shared" si="209"/>
        <v/>
      </c>
      <c r="Z400" s="33" t="str">
        <f t="shared" si="210"/>
        <v/>
      </c>
      <c r="AA400" s="33" t="str">
        <f t="shared" si="211"/>
        <v/>
      </c>
    </row>
    <row r="401" spans="4:27" x14ac:dyDescent="0.25">
      <c r="D401" s="70">
        <v>114</v>
      </c>
      <c r="E401" s="27" t="str">
        <f t="shared" si="192"/>
        <v/>
      </c>
      <c r="F401" s="33" t="str">
        <f t="shared" si="193"/>
        <v/>
      </c>
      <c r="G401" s="33" t="str">
        <f t="shared" si="194"/>
        <v/>
      </c>
      <c r="H401" s="33" t="str">
        <f t="shared" si="195"/>
        <v/>
      </c>
      <c r="I401" s="33" t="str">
        <f t="shared" si="196"/>
        <v/>
      </c>
      <c r="J401" s="33" t="str">
        <f t="shared" si="197"/>
        <v/>
      </c>
      <c r="K401" s="33" t="str">
        <f t="shared" si="198"/>
        <v/>
      </c>
      <c r="L401" s="33"/>
      <c r="M401" s="33"/>
      <c r="N401" s="33" t="str">
        <f t="shared" si="199"/>
        <v/>
      </c>
      <c r="O401" s="33" t="str">
        <f t="shared" si="200"/>
        <v/>
      </c>
      <c r="P401" s="33" t="str">
        <f t="shared" si="201"/>
        <v/>
      </c>
      <c r="Q401" s="33" t="str">
        <f t="shared" si="202"/>
        <v/>
      </c>
      <c r="R401" s="33" t="str">
        <f t="shared" si="203"/>
        <v/>
      </c>
      <c r="S401" s="27" t="str">
        <f t="shared" si="204"/>
        <v/>
      </c>
      <c r="T401" s="33" t="str">
        <f t="shared" si="205"/>
        <v/>
      </c>
      <c r="U401" s="33"/>
      <c r="V401" s="33" t="str">
        <f t="shared" si="206"/>
        <v/>
      </c>
      <c r="W401" s="33" t="str">
        <f t="shared" si="207"/>
        <v/>
      </c>
      <c r="X401" s="33" t="str">
        <f t="shared" si="208"/>
        <v/>
      </c>
      <c r="Y401" s="33" t="str">
        <f t="shared" si="209"/>
        <v/>
      </c>
      <c r="Z401" s="33" t="str">
        <f t="shared" si="210"/>
        <v/>
      </c>
      <c r="AA401" s="33" t="str">
        <f t="shared" si="211"/>
        <v/>
      </c>
    </row>
    <row r="402" spans="4:27" x14ac:dyDescent="0.25">
      <c r="D402" s="70">
        <v>115</v>
      </c>
      <c r="E402" s="27" t="str">
        <f t="shared" si="192"/>
        <v/>
      </c>
      <c r="F402" s="33" t="str">
        <f t="shared" si="193"/>
        <v/>
      </c>
      <c r="G402" s="33" t="str">
        <f t="shared" si="194"/>
        <v/>
      </c>
      <c r="H402" s="33" t="str">
        <f t="shared" si="195"/>
        <v/>
      </c>
      <c r="I402" s="33" t="str">
        <f t="shared" si="196"/>
        <v/>
      </c>
      <c r="J402" s="33" t="str">
        <f t="shared" si="197"/>
        <v/>
      </c>
      <c r="K402" s="33" t="str">
        <f t="shared" si="198"/>
        <v/>
      </c>
      <c r="L402" s="33"/>
      <c r="M402" s="33"/>
      <c r="N402" s="33" t="str">
        <f t="shared" si="199"/>
        <v/>
      </c>
      <c r="O402" s="33" t="str">
        <f t="shared" si="200"/>
        <v/>
      </c>
      <c r="P402" s="33" t="str">
        <f t="shared" si="201"/>
        <v/>
      </c>
      <c r="Q402" s="33" t="str">
        <f t="shared" si="202"/>
        <v/>
      </c>
      <c r="R402" s="33" t="str">
        <f t="shared" si="203"/>
        <v/>
      </c>
      <c r="S402" s="27" t="str">
        <f t="shared" si="204"/>
        <v/>
      </c>
      <c r="T402" s="33" t="str">
        <f t="shared" si="205"/>
        <v/>
      </c>
      <c r="U402" s="33"/>
      <c r="V402" s="33" t="str">
        <f t="shared" si="206"/>
        <v/>
      </c>
      <c r="W402" s="33" t="str">
        <f t="shared" si="207"/>
        <v/>
      </c>
      <c r="X402" s="33" t="str">
        <f t="shared" si="208"/>
        <v/>
      </c>
      <c r="Y402" s="33" t="str">
        <f t="shared" si="209"/>
        <v/>
      </c>
      <c r="Z402" s="33" t="str">
        <f t="shared" si="210"/>
        <v/>
      </c>
      <c r="AA402" s="33" t="str">
        <f t="shared" si="211"/>
        <v/>
      </c>
    </row>
    <row r="403" spans="4:27" x14ac:dyDescent="0.25">
      <c r="D403" s="70">
        <v>116</v>
      </c>
      <c r="E403" s="27" t="str">
        <f t="shared" si="192"/>
        <v/>
      </c>
      <c r="F403" s="33" t="str">
        <f t="shared" si="193"/>
        <v/>
      </c>
      <c r="G403" s="33" t="str">
        <f t="shared" si="194"/>
        <v/>
      </c>
      <c r="H403" s="33" t="str">
        <f t="shared" si="195"/>
        <v/>
      </c>
      <c r="I403" s="33" t="str">
        <f t="shared" si="196"/>
        <v/>
      </c>
      <c r="J403" s="33" t="str">
        <f t="shared" si="197"/>
        <v/>
      </c>
      <c r="K403" s="33" t="str">
        <f t="shared" si="198"/>
        <v/>
      </c>
      <c r="L403" s="33"/>
      <c r="M403" s="33"/>
      <c r="N403" s="33" t="str">
        <f t="shared" si="199"/>
        <v/>
      </c>
      <c r="O403" s="33" t="str">
        <f t="shared" si="200"/>
        <v/>
      </c>
      <c r="P403" s="33" t="str">
        <f t="shared" si="201"/>
        <v/>
      </c>
      <c r="Q403" s="33" t="str">
        <f t="shared" si="202"/>
        <v/>
      </c>
      <c r="R403" s="33" t="str">
        <f t="shared" si="203"/>
        <v/>
      </c>
      <c r="S403" s="27" t="str">
        <f t="shared" si="204"/>
        <v/>
      </c>
      <c r="T403" s="33" t="str">
        <f t="shared" si="205"/>
        <v/>
      </c>
      <c r="U403" s="33"/>
      <c r="V403" s="33" t="str">
        <f t="shared" si="206"/>
        <v/>
      </c>
      <c r="W403" s="33" t="str">
        <f t="shared" si="207"/>
        <v/>
      </c>
      <c r="X403" s="33" t="str">
        <f t="shared" si="208"/>
        <v/>
      </c>
      <c r="Y403" s="33" t="str">
        <f t="shared" si="209"/>
        <v/>
      </c>
      <c r="Z403" s="33" t="str">
        <f t="shared" si="210"/>
        <v/>
      </c>
      <c r="AA403" s="33" t="str">
        <f t="shared" si="211"/>
        <v/>
      </c>
    </row>
    <row r="404" spans="4:27" x14ac:dyDescent="0.25">
      <c r="D404" s="70">
        <v>117</v>
      </c>
      <c r="E404" s="27" t="str">
        <f t="shared" si="192"/>
        <v/>
      </c>
      <c r="F404" s="33" t="str">
        <f t="shared" si="193"/>
        <v/>
      </c>
      <c r="G404" s="33" t="str">
        <f t="shared" si="194"/>
        <v/>
      </c>
      <c r="H404" s="33" t="str">
        <f t="shared" si="195"/>
        <v/>
      </c>
      <c r="I404" s="33" t="str">
        <f t="shared" si="196"/>
        <v/>
      </c>
      <c r="J404" s="33" t="str">
        <f t="shared" si="197"/>
        <v/>
      </c>
      <c r="K404" s="33" t="str">
        <f t="shared" si="198"/>
        <v/>
      </c>
      <c r="L404" s="33"/>
      <c r="M404" s="33"/>
      <c r="N404" s="33" t="str">
        <f t="shared" si="199"/>
        <v/>
      </c>
      <c r="O404" s="33" t="str">
        <f t="shared" si="200"/>
        <v/>
      </c>
      <c r="P404" s="33" t="str">
        <f t="shared" si="201"/>
        <v/>
      </c>
      <c r="Q404" s="33" t="str">
        <f t="shared" si="202"/>
        <v/>
      </c>
      <c r="R404" s="33" t="str">
        <f t="shared" si="203"/>
        <v/>
      </c>
      <c r="S404" s="27" t="str">
        <f t="shared" si="204"/>
        <v/>
      </c>
      <c r="T404" s="33" t="str">
        <f t="shared" si="205"/>
        <v/>
      </c>
      <c r="U404" s="33"/>
      <c r="V404" s="33" t="str">
        <f t="shared" si="206"/>
        <v/>
      </c>
      <c r="W404" s="33" t="str">
        <f t="shared" si="207"/>
        <v/>
      </c>
      <c r="X404" s="33" t="str">
        <f t="shared" si="208"/>
        <v/>
      </c>
      <c r="Y404" s="33" t="str">
        <f t="shared" si="209"/>
        <v/>
      </c>
      <c r="Z404" s="33" t="str">
        <f t="shared" si="210"/>
        <v/>
      </c>
      <c r="AA404" s="33" t="str">
        <f t="shared" si="211"/>
        <v/>
      </c>
    </row>
    <row r="405" spans="4:27" x14ac:dyDescent="0.25">
      <c r="D405" s="70">
        <v>118</v>
      </c>
      <c r="E405" s="27" t="str">
        <f t="shared" si="192"/>
        <v/>
      </c>
      <c r="F405" s="33" t="str">
        <f t="shared" si="193"/>
        <v/>
      </c>
      <c r="G405" s="33" t="str">
        <f t="shared" si="194"/>
        <v/>
      </c>
      <c r="H405" s="33" t="str">
        <f t="shared" si="195"/>
        <v/>
      </c>
      <c r="I405" s="33" t="str">
        <f t="shared" si="196"/>
        <v/>
      </c>
      <c r="J405" s="33" t="str">
        <f t="shared" si="197"/>
        <v/>
      </c>
      <c r="K405" s="33" t="str">
        <f t="shared" si="198"/>
        <v/>
      </c>
      <c r="L405" s="33"/>
      <c r="M405" s="33"/>
      <c r="N405" s="33" t="str">
        <f t="shared" si="199"/>
        <v/>
      </c>
      <c r="O405" s="33" t="str">
        <f t="shared" si="200"/>
        <v/>
      </c>
      <c r="P405" s="33" t="str">
        <f t="shared" si="201"/>
        <v/>
      </c>
      <c r="Q405" s="33" t="str">
        <f t="shared" si="202"/>
        <v/>
      </c>
      <c r="R405" s="33" t="str">
        <f t="shared" si="203"/>
        <v/>
      </c>
      <c r="S405" s="27" t="str">
        <f t="shared" si="204"/>
        <v/>
      </c>
      <c r="T405" s="33" t="str">
        <f t="shared" si="205"/>
        <v/>
      </c>
      <c r="U405" s="33"/>
      <c r="V405" s="33" t="str">
        <f t="shared" si="206"/>
        <v/>
      </c>
      <c r="W405" s="33" t="str">
        <f t="shared" si="207"/>
        <v/>
      </c>
      <c r="X405" s="33" t="str">
        <f t="shared" si="208"/>
        <v/>
      </c>
      <c r="Y405" s="33" t="str">
        <f t="shared" si="209"/>
        <v/>
      </c>
      <c r="Z405" s="33" t="str">
        <f t="shared" si="210"/>
        <v/>
      </c>
      <c r="AA405" s="33" t="str">
        <f t="shared" si="211"/>
        <v/>
      </c>
    </row>
    <row r="406" spans="4:27" x14ac:dyDescent="0.25">
      <c r="D406" s="70">
        <v>119</v>
      </c>
      <c r="E406" s="27" t="str">
        <f t="shared" si="192"/>
        <v/>
      </c>
      <c r="F406" s="33" t="str">
        <f t="shared" si="193"/>
        <v/>
      </c>
      <c r="G406" s="33" t="str">
        <f t="shared" si="194"/>
        <v/>
      </c>
      <c r="H406" s="33" t="str">
        <f t="shared" si="195"/>
        <v/>
      </c>
      <c r="I406" s="33" t="str">
        <f t="shared" si="196"/>
        <v/>
      </c>
      <c r="J406" s="33" t="str">
        <f t="shared" si="197"/>
        <v/>
      </c>
      <c r="K406" s="33" t="str">
        <f t="shared" si="198"/>
        <v/>
      </c>
      <c r="L406" s="33"/>
      <c r="M406" s="33"/>
      <c r="N406" s="33" t="str">
        <f t="shared" si="199"/>
        <v/>
      </c>
      <c r="O406" s="33" t="str">
        <f t="shared" si="200"/>
        <v/>
      </c>
      <c r="P406" s="33" t="str">
        <f t="shared" si="201"/>
        <v/>
      </c>
      <c r="Q406" s="33" t="str">
        <f t="shared" si="202"/>
        <v/>
      </c>
      <c r="R406" s="33" t="str">
        <f t="shared" si="203"/>
        <v/>
      </c>
      <c r="S406" s="27" t="str">
        <f t="shared" si="204"/>
        <v/>
      </c>
      <c r="T406" s="33" t="str">
        <f t="shared" si="205"/>
        <v/>
      </c>
      <c r="U406" s="33"/>
      <c r="V406" s="33" t="str">
        <f t="shared" si="206"/>
        <v/>
      </c>
      <c r="W406" s="33" t="str">
        <f t="shared" si="207"/>
        <v/>
      </c>
      <c r="X406" s="33" t="str">
        <f t="shared" si="208"/>
        <v/>
      </c>
      <c r="Y406" s="33" t="str">
        <f t="shared" si="209"/>
        <v/>
      </c>
      <c r="Z406" s="33" t="str">
        <f t="shared" si="210"/>
        <v/>
      </c>
      <c r="AA406" s="33" t="str">
        <f t="shared" si="211"/>
        <v/>
      </c>
    </row>
    <row r="407" spans="4:27" x14ac:dyDescent="0.25">
      <c r="D407" s="70">
        <v>120</v>
      </c>
      <c r="E407" s="27" t="str">
        <f t="shared" si="192"/>
        <v/>
      </c>
      <c r="F407" s="33" t="str">
        <f t="shared" si="193"/>
        <v/>
      </c>
      <c r="G407" s="33" t="str">
        <f t="shared" si="194"/>
        <v/>
      </c>
      <c r="H407" s="33" t="str">
        <f t="shared" si="195"/>
        <v/>
      </c>
      <c r="I407" s="33" t="str">
        <f t="shared" si="196"/>
        <v/>
      </c>
      <c r="J407" s="33" t="str">
        <f t="shared" si="197"/>
        <v/>
      </c>
      <c r="K407" s="33" t="str">
        <f t="shared" si="198"/>
        <v/>
      </c>
      <c r="L407" s="33"/>
      <c r="M407" s="33"/>
      <c r="N407" s="33" t="str">
        <f t="shared" si="199"/>
        <v/>
      </c>
      <c r="O407" s="33" t="str">
        <f t="shared" si="200"/>
        <v/>
      </c>
      <c r="P407" s="33" t="str">
        <f t="shared" si="201"/>
        <v/>
      </c>
      <c r="Q407" s="33" t="str">
        <f t="shared" si="202"/>
        <v/>
      </c>
      <c r="R407" s="33" t="str">
        <f t="shared" si="203"/>
        <v/>
      </c>
      <c r="S407" s="27" t="str">
        <f t="shared" si="204"/>
        <v/>
      </c>
      <c r="T407" s="33" t="str">
        <f t="shared" si="205"/>
        <v/>
      </c>
      <c r="U407" s="33"/>
      <c r="V407" s="33" t="str">
        <f t="shared" si="206"/>
        <v/>
      </c>
      <c r="W407" s="33" t="str">
        <f t="shared" si="207"/>
        <v/>
      </c>
      <c r="X407" s="33" t="str">
        <f t="shared" si="208"/>
        <v/>
      </c>
      <c r="Y407" s="33" t="str">
        <f t="shared" si="209"/>
        <v/>
      </c>
      <c r="Z407" s="33" t="str">
        <f t="shared" si="210"/>
        <v/>
      </c>
      <c r="AA407" s="33" t="str">
        <f t="shared" si="211"/>
        <v/>
      </c>
    </row>
    <row r="408" spans="4:27" x14ac:dyDescent="0.25">
      <c r="D408" s="70">
        <v>121</v>
      </c>
      <c r="E408" s="27" t="str">
        <f t="shared" si="192"/>
        <v/>
      </c>
      <c r="F408" s="33" t="str">
        <f t="shared" si="193"/>
        <v/>
      </c>
      <c r="G408" s="33" t="str">
        <f t="shared" si="194"/>
        <v/>
      </c>
      <c r="H408" s="33" t="str">
        <f t="shared" si="195"/>
        <v/>
      </c>
      <c r="I408" s="33" t="str">
        <f t="shared" si="196"/>
        <v/>
      </c>
      <c r="J408" s="33" t="str">
        <f t="shared" si="197"/>
        <v/>
      </c>
      <c r="K408" s="33" t="str">
        <f t="shared" si="198"/>
        <v/>
      </c>
      <c r="L408" s="33"/>
      <c r="M408" s="33"/>
      <c r="N408" s="33" t="str">
        <f t="shared" si="199"/>
        <v/>
      </c>
      <c r="O408" s="33" t="str">
        <f t="shared" si="200"/>
        <v/>
      </c>
      <c r="P408" s="33" t="str">
        <f t="shared" si="201"/>
        <v/>
      </c>
      <c r="Q408" s="33" t="str">
        <f t="shared" si="202"/>
        <v/>
      </c>
      <c r="R408" s="33" t="str">
        <f t="shared" si="203"/>
        <v/>
      </c>
      <c r="S408" s="27" t="str">
        <f t="shared" si="204"/>
        <v/>
      </c>
      <c r="T408" s="33" t="str">
        <f t="shared" si="205"/>
        <v/>
      </c>
      <c r="U408" s="33"/>
      <c r="V408" s="33" t="str">
        <f t="shared" si="206"/>
        <v/>
      </c>
      <c r="W408" s="33" t="str">
        <f t="shared" si="207"/>
        <v/>
      </c>
      <c r="X408" s="33" t="str">
        <f t="shared" si="208"/>
        <v/>
      </c>
      <c r="Y408" s="33" t="str">
        <f t="shared" si="209"/>
        <v/>
      </c>
      <c r="Z408" s="33" t="str">
        <f t="shared" si="210"/>
        <v/>
      </c>
      <c r="AA408" s="33" t="str">
        <f t="shared" si="211"/>
        <v/>
      </c>
    </row>
    <row r="409" spans="4:27" x14ac:dyDescent="0.25">
      <c r="D409" s="70">
        <v>122</v>
      </c>
      <c r="E409" s="27" t="str">
        <f t="shared" si="192"/>
        <v/>
      </c>
      <c r="F409" s="33" t="str">
        <f t="shared" si="193"/>
        <v/>
      </c>
      <c r="G409" s="33" t="str">
        <f t="shared" si="194"/>
        <v/>
      </c>
      <c r="H409" s="33" t="str">
        <f t="shared" si="195"/>
        <v/>
      </c>
      <c r="I409" s="33" t="str">
        <f t="shared" si="196"/>
        <v/>
      </c>
      <c r="J409" s="33" t="str">
        <f t="shared" si="197"/>
        <v/>
      </c>
      <c r="K409" s="33" t="str">
        <f t="shared" si="198"/>
        <v/>
      </c>
      <c r="L409" s="33"/>
      <c r="M409" s="33"/>
      <c r="N409" s="33" t="str">
        <f t="shared" si="199"/>
        <v/>
      </c>
      <c r="O409" s="33" t="str">
        <f t="shared" si="200"/>
        <v/>
      </c>
      <c r="P409" s="33" t="str">
        <f t="shared" si="201"/>
        <v/>
      </c>
      <c r="Q409" s="33" t="str">
        <f t="shared" si="202"/>
        <v/>
      </c>
      <c r="R409" s="33" t="str">
        <f t="shared" si="203"/>
        <v/>
      </c>
      <c r="S409" s="27" t="str">
        <f t="shared" si="204"/>
        <v/>
      </c>
      <c r="T409" s="33" t="str">
        <f t="shared" si="205"/>
        <v/>
      </c>
      <c r="U409" s="33"/>
      <c r="V409" s="33" t="str">
        <f t="shared" si="206"/>
        <v/>
      </c>
      <c r="W409" s="33" t="str">
        <f t="shared" si="207"/>
        <v/>
      </c>
      <c r="X409" s="33" t="str">
        <f t="shared" si="208"/>
        <v/>
      </c>
      <c r="Y409" s="33" t="str">
        <f t="shared" si="209"/>
        <v/>
      </c>
      <c r="Z409" s="33" t="str">
        <f t="shared" si="210"/>
        <v/>
      </c>
      <c r="AA409" s="33" t="str">
        <f t="shared" si="211"/>
        <v/>
      </c>
    </row>
    <row r="410" spans="4:27" x14ac:dyDescent="0.25">
      <c r="D410" s="70">
        <v>123</v>
      </c>
      <c r="E410" s="27" t="str">
        <f t="shared" si="192"/>
        <v/>
      </c>
      <c r="F410" s="33" t="str">
        <f t="shared" si="193"/>
        <v/>
      </c>
      <c r="G410" s="33" t="str">
        <f t="shared" si="194"/>
        <v/>
      </c>
      <c r="H410" s="33" t="str">
        <f t="shared" si="195"/>
        <v/>
      </c>
      <c r="I410" s="33" t="str">
        <f t="shared" si="196"/>
        <v/>
      </c>
      <c r="J410" s="33" t="str">
        <f t="shared" si="197"/>
        <v/>
      </c>
      <c r="K410" s="33" t="str">
        <f t="shared" si="198"/>
        <v/>
      </c>
      <c r="L410" s="33"/>
      <c r="M410" s="33"/>
      <c r="N410" s="33" t="str">
        <f t="shared" si="199"/>
        <v/>
      </c>
      <c r="O410" s="33" t="str">
        <f t="shared" si="200"/>
        <v/>
      </c>
      <c r="P410" s="33" t="str">
        <f t="shared" si="201"/>
        <v/>
      </c>
      <c r="Q410" s="33" t="str">
        <f t="shared" si="202"/>
        <v/>
      </c>
      <c r="R410" s="33" t="str">
        <f t="shared" si="203"/>
        <v/>
      </c>
      <c r="S410" s="27" t="str">
        <f t="shared" si="204"/>
        <v/>
      </c>
      <c r="T410" s="33" t="str">
        <f t="shared" si="205"/>
        <v/>
      </c>
      <c r="U410" s="33"/>
      <c r="V410" s="33" t="str">
        <f t="shared" si="206"/>
        <v/>
      </c>
      <c r="W410" s="33" t="str">
        <f t="shared" si="207"/>
        <v/>
      </c>
      <c r="X410" s="33" t="str">
        <f t="shared" si="208"/>
        <v/>
      </c>
      <c r="Y410" s="33" t="str">
        <f t="shared" si="209"/>
        <v/>
      </c>
      <c r="Z410" s="33" t="str">
        <f t="shared" si="210"/>
        <v/>
      </c>
      <c r="AA410" s="33" t="str">
        <f t="shared" si="211"/>
        <v/>
      </c>
    </row>
    <row r="411" spans="4:27" x14ac:dyDescent="0.25">
      <c r="D411" s="70">
        <v>124</v>
      </c>
      <c r="E411" s="27" t="str">
        <f t="shared" si="192"/>
        <v/>
      </c>
      <c r="F411" s="33" t="str">
        <f t="shared" si="193"/>
        <v/>
      </c>
      <c r="G411" s="33" t="str">
        <f t="shared" si="194"/>
        <v/>
      </c>
      <c r="H411" s="33" t="str">
        <f t="shared" si="195"/>
        <v/>
      </c>
      <c r="I411" s="33" t="str">
        <f t="shared" si="196"/>
        <v/>
      </c>
      <c r="J411" s="33" t="str">
        <f t="shared" si="197"/>
        <v/>
      </c>
      <c r="K411" s="33" t="str">
        <f t="shared" si="198"/>
        <v/>
      </c>
      <c r="L411" s="33"/>
      <c r="M411" s="33"/>
      <c r="N411" s="33" t="str">
        <f t="shared" si="199"/>
        <v/>
      </c>
      <c r="O411" s="33" t="str">
        <f t="shared" si="200"/>
        <v/>
      </c>
      <c r="P411" s="33" t="str">
        <f t="shared" si="201"/>
        <v/>
      </c>
      <c r="Q411" s="33" t="str">
        <f t="shared" si="202"/>
        <v/>
      </c>
      <c r="R411" s="33" t="str">
        <f t="shared" si="203"/>
        <v/>
      </c>
      <c r="S411" s="27" t="str">
        <f t="shared" si="204"/>
        <v/>
      </c>
      <c r="T411" s="33" t="str">
        <f t="shared" si="205"/>
        <v/>
      </c>
      <c r="U411" s="33"/>
      <c r="V411" s="33" t="str">
        <f t="shared" si="206"/>
        <v/>
      </c>
      <c r="W411" s="33" t="str">
        <f t="shared" si="207"/>
        <v/>
      </c>
      <c r="X411" s="33" t="str">
        <f t="shared" si="208"/>
        <v/>
      </c>
      <c r="Y411" s="33" t="str">
        <f t="shared" si="209"/>
        <v/>
      </c>
      <c r="Z411" s="33" t="str">
        <f t="shared" si="210"/>
        <v/>
      </c>
      <c r="AA411" s="33" t="str">
        <f t="shared" si="211"/>
        <v/>
      </c>
    </row>
    <row r="412" spans="4:27" x14ac:dyDescent="0.25">
      <c r="D412" s="70">
        <v>125</v>
      </c>
      <c r="E412" s="27" t="str">
        <f t="shared" si="192"/>
        <v/>
      </c>
      <c r="F412" s="33" t="str">
        <f t="shared" si="193"/>
        <v/>
      </c>
      <c r="G412" s="33" t="str">
        <f t="shared" si="194"/>
        <v/>
      </c>
      <c r="H412" s="33" t="str">
        <f t="shared" si="195"/>
        <v/>
      </c>
      <c r="I412" s="33" t="str">
        <f t="shared" si="196"/>
        <v/>
      </c>
      <c r="J412" s="33" t="str">
        <f t="shared" si="197"/>
        <v/>
      </c>
      <c r="K412" s="33" t="str">
        <f t="shared" si="198"/>
        <v/>
      </c>
      <c r="L412" s="33"/>
      <c r="M412" s="33"/>
      <c r="N412" s="33" t="str">
        <f t="shared" si="199"/>
        <v/>
      </c>
      <c r="O412" s="33" t="str">
        <f t="shared" si="200"/>
        <v/>
      </c>
      <c r="P412" s="33" t="str">
        <f t="shared" si="201"/>
        <v/>
      </c>
      <c r="Q412" s="33" t="str">
        <f t="shared" si="202"/>
        <v/>
      </c>
      <c r="R412" s="33" t="str">
        <f t="shared" si="203"/>
        <v/>
      </c>
      <c r="S412" s="27" t="str">
        <f t="shared" si="204"/>
        <v/>
      </c>
      <c r="T412" s="33" t="str">
        <f t="shared" si="205"/>
        <v/>
      </c>
      <c r="U412" s="33"/>
      <c r="V412" s="33" t="str">
        <f t="shared" si="206"/>
        <v/>
      </c>
      <c r="W412" s="33" t="str">
        <f t="shared" si="207"/>
        <v/>
      </c>
      <c r="X412" s="33" t="str">
        <f t="shared" si="208"/>
        <v/>
      </c>
      <c r="Y412" s="33" t="str">
        <f t="shared" si="209"/>
        <v/>
      </c>
      <c r="Z412" s="33" t="str">
        <f t="shared" si="210"/>
        <v/>
      </c>
      <c r="AA412" s="33" t="str">
        <f t="shared" si="211"/>
        <v/>
      </c>
    </row>
    <row r="413" spans="4:27" x14ac:dyDescent="0.25">
      <c r="D413" s="70">
        <v>126</v>
      </c>
      <c r="E413" s="27" t="str">
        <f t="shared" si="192"/>
        <v/>
      </c>
      <c r="F413" s="33" t="str">
        <f t="shared" si="193"/>
        <v/>
      </c>
      <c r="G413" s="33" t="str">
        <f t="shared" si="194"/>
        <v/>
      </c>
      <c r="H413" s="33" t="str">
        <f t="shared" si="195"/>
        <v/>
      </c>
      <c r="I413" s="33" t="str">
        <f t="shared" si="196"/>
        <v/>
      </c>
      <c r="J413" s="33" t="str">
        <f t="shared" si="197"/>
        <v/>
      </c>
      <c r="K413" s="33" t="str">
        <f t="shared" si="198"/>
        <v/>
      </c>
      <c r="L413" s="33"/>
      <c r="M413" s="33"/>
      <c r="N413" s="33" t="str">
        <f t="shared" si="199"/>
        <v/>
      </c>
      <c r="O413" s="33" t="str">
        <f t="shared" si="200"/>
        <v/>
      </c>
      <c r="P413" s="33" t="str">
        <f t="shared" si="201"/>
        <v/>
      </c>
      <c r="Q413" s="33" t="str">
        <f t="shared" si="202"/>
        <v/>
      </c>
      <c r="R413" s="33" t="str">
        <f t="shared" si="203"/>
        <v/>
      </c>
      <c r="S413" s="27" t="str">
        <f t="shared" si="204"/>
        <v/>
      </c>
      <c r="T413" s="33" t="str">
        <f t="shared" si="205"/>
        <v/>
      </c>
      <c r="U413" s="33"/>
      <c r="V413" s="33" t="str">
        <f t="shared" si="206"/>
        <v/>
      </c>
      <c r="W413" s="33" t="str">
        <f t="shared" si="207"/>
        <v/>
      </c>
      <c r="X413" s="33" t="str">
        <f t="shared" si="208"/>
        <v/>
      </c>
      <c r="Y413" s="33" t="str">
        <f t="shared" si="209"/>
        <v/>
      </c>
      <c r="Z413" s="33" t="str">
        <f t="shared" si="210"/>
        <v/>
      </c>
      <c r="AA413" s="33" t="str">
        <f t="shared" si="211"/>
        <v/>
      </c>
    </row>
    <row r="414" spans="4:27" x14ac:dyDescent="0.25">
      <c r="D414" s="70">
        <v>127</v>
      </c>
      <c r="E414" s="27" t="str">
        <f t="shared" si="192"/>
        <v/>
      </c>
      <c r="F414" s="33" t="str">
        <f t="shared" si="193"/>
        <v/>
      </c>
      <c r="G414" s="33" t="str">
        <f t="shared" si="194"/>
        <v/>
      </c>
      <c r="H414" s="33" t="str">
        <f t="shared" si="195"/>
        <v/>
      </c>
      <c r="I414" s="33" t="str">
        <f t="shared" si="196"/>
        <v/>
      </c>
      <c r="J414" s="33" t="str">
        <f t="shared" si="197"/>
        <v/>
      </c>
      <c r="K414" s="33" t="str">
        <f t="shared" si="198"/>
        <v/>
      </c>
      <c r="L414" s="33"/>
      <c r="M414" s="33"/>
      <c r="N414" s="33" t="str">
        <f t="shared" si="199"/>
        <v/>
      </c>
      <c r="O414" s="33" t="str">
        <f t="shared" si="200"/>
        <v/>
      </c>
      <c r="P414" s="33" t="str">
        <f t="shared" si="201"/>
        <v/>
      </c>
      <c r="Q414" s="33" t="str">
        <f t="shared" si="202"/>
        <v/>
      </c>
      <c r="R414" s="33" t="str">
        <f t="shared" si="203"/>
        <v/>
      </c>
      <c r="S414" s="27" t="str">
        <f t="shared" si="204"/>
        <v/>
      </c>
      <c r="T414" s="33" t="str">
        <f t="shared" si="205"/>
        <v/>
      </c>
      <c r="U414" s="33"/>
      <c r="V414" s="33" t="str">
        <f t="shared" si="206"/>
        <v/>
      </c>
      <c r="W414" s="33" t="str">
        <f t="shared" si="207"/>
        <v/>
      </c>
      <c r="X414" s="33" t="str">
        <f t="shared" si="208"/>
        <v/>
      </c>
      <c r="Y414" s="33" t="str">
        <f t="shared" si="209"/>
        <v/>
      </c>
      <c r="Z414" s="33" t="str">
        <f t="shared" si="210"/>
        <v/>
      </c>
      <c r="AA414" s="33" t="str">
        <f t="shared" si="211"/>
        <v/>
      </c>
    </row>
    <row r="415" spans="4:27" x14ac:dyDescent="0.25">
      <c r="D415" s="70">
        <v>128</v>
      </c>
      <c r="E415" s="27" t="str">
        <f t="shared" si="192"/>
        <v/>
      </c>
      <c r="F415" s="33" t="str">
        <f t="shared" si="193"/>
        <v/>
      </c>
      <c r="G415" s="33" t="str">
        <f t="shared" si="194"/>
        <v/>
      </c>
      <c r="H415" s="33" t="str">
        <f t="shared" si="195"/>
        <v/>
      </c>
      <c r="I415" s="33" t="str">
        <f t="shared" si="196"/>
        <v/>
      </c>
      <c r="J415" s="33" t="str">
        <f t="shared" si="197"/>
        <v/>
      </c>
      <c r="K415" s="33" t="str">
        <f t="shared" si="198"/>
        <v/>
      </c>
      <c r="L415" s="33"/>
      <c r="M415" s="33"/>
      <c r="N415" s="33" t="str">
        <f t="shared" si="199"/>
        <v/>
      </c>
      <c r="O415" s="33" t="str">
        <f t="shared" si="200"/>
        <v/>
      </c>
      <c r="P415" s="33" t="str">
        <f t="shared" si="201"/>
        <v/>
      </c>
      <c r="Q415" s="33" t="str">
        <f t="shared" si="202"/>
        <v/>
      </c>
      <c r="R415" s="33" t="str">
        <f t="shared" si="203"/>
        <v/>
      </c>
      <c r="S415" s="27" t="str">
        <f t="shared" si="204"/>
        <v/>
      </c>
      <c r="T415" s="33" t="str">
        <f t="shared" si="205"/>
        <v/>
      </c>
      <c r="U415" s="33"/>
      <c r="V415" s="33" t="str">
        <f t="shared" si="206"/>
        <v/>
      </c>
      <c r="W415" s="33" t="str">
        <f t="shared" si="207"/>
        <v/>
      </c>
      <c r="X415" s="33" t="str">
        <f t="shared" si="208"/>
        <v/>
      </c>
      <c r="Y415" s="33" t="str">
        <f t="shared" si="209"/>
        <v/>
      </c>
      <c r="Z415" s="33" t="str">
        <f t="shared" si="210"/>
        <v/>
      </c>
      <c r="AA415" s="33" t="str">
        <f t="shared" si="211"/>
        <v/>
      </c>
    </row>
    <row r="425" spans="5:41" ht="15.75" customHeight="1" thickBot="1" x14ac:dyDescent="0.3"/>
    <row r="426" spans="5:41" ht="18.75" customHeight="1" thickBot="1" x14ac:dyDescent="0.3">
      <c r="E426" s="602" t="s">
        <v>535</v>
      </c>
      <c r="F426" s="544"/>
      <c r="G426" s="544"/>
      <c r="H426" s="544"/>
      <c r="I426" s="544"/>
      <c r="J426" s="544"/>
      <c r="K426" s="544"/>
      <c r="L426" s="544"/>
      <c r="M426" s="544"/>
      <c r="N426" s="544"/>
      <c r="O426" s="545"/>
      <c r="R426" s="602" t="s">
        <v>535</v>
      </c>
      <c r="S426" s="544"/>
      <c r="T426" s="544"/>
      <c r="U426" s="544"/>
      <c r="V426" s="544"/>
      <c r="W426" s="544"/>
      <c r="X426" s="544"/>
      <c r="Y426" s="544"/>
      <c r="Z426" s="544"/>
      <c r="AA426" s="545"/>
      <c r="AD426" s="602" t="s">
        <v>535</v>
      </c>
      <c r="AE426" s="544"/>
      <c r="AF426" s="544"/>
      <c r="AG426" s="544"/>
      <c r="AH426" s="544"/>
      <c r="AI426" s="544"/>
      <c r="AJ426" s="544"/>
      <c r="AK426" s="544"/>
      <c r="AL426" s="545"/>
      <c r="AM426" s="224"/>
      <c r="AN426" s="224"/>
      <c r="AO426" s="224"/>
    </row>
    <row r="427" spans="5:41" x14ac:dyDescent="0.25">
      <c r="E427" s="610" t="s">
        <v>41</v>
      </c>
      <c r="F427" s="598" t="s">
        <v>9</v>
      </c>
      <c r="G427" s="598" t="s">
        <v>495</v>
      </c>
      <c r="H427" s="598" t="s">
        <v>376</v>
      </c>
      <c r="I427" s="599" t="s">
        <v>529</v>
      </c>
      <c r="J427" s="547"/>
      <c r="K427" s="547"/>
      <c r="L427" s="547"/>
      <c r="M427" s="547"/>
      <c r="N427" s="547"/>
      <c r="O427" s="548"/>
      <c r="R427" s="610" t="s">
        <v>41</v>
      </c>
      <c r="S427" s="598" t="s">
        <v>9</v>
      </c>
      <c r="T427" s="598" t="s">
        <v>495</v>
      </c>
      <c r="U427" s="238"/>
      <c r="V427" s="598" t="s">
        <v>520</v>
      </c>
      <c r="W427" s="599" t="s">
        <v>370</v>
      </c>
      <c r="X427" s="547"/>
      <c r="Y427" s="547"/>
      <c r="Z427" s="547"/>
      <c r="AA427" s="548"/>
      <c r="AD427" s="610" t="s">
        <v>41</v>
      </c>
      <c r="AE427" s="598" t="s">
        <v>9</v>
      </c>
      <c r="AF427" s="598" t="s">
        <v>495</v>
      </c>
      <c r="AG427" s="598" t="s">
        <v>520</v>
      </c>
      <c r="AH427" s="599" t="s">
        <v>370</v>
      </c>
      <c r="AI427" s="547"/>
      <c r="AJ427" s="547"/>
      <c r="AK427" s="547"/>
      <c r="AL427" s="548"/>
      <c r="AM427" s="225"/>
      <c r="AN427" s="225"/>
      <c r="AO427" s="225"/>
    </row>
    <row r="428" spans="5:41" x14ac:dyDescent="0.25">
      <c r="E428" s="611"/>
      <c r="F428" s="591"/>
      <c r="G428" s="591"/>
      <c r="H428" s="591"/>
      <c r="I428" s="84">
        <v>0.8</v>
      </c>
      <c r="J428" s="84">
        <v>0.96</v>
      </c>
      <c r="K428" s="84">
        <v>1.1200000000000001</v>
      </c>
      <c r="L428" s="84"/>
      <c r="M428" s="84"/>
      <c r="N428" s="84">
        <v>1.3</v>
      </c>
      <c r="O428" s="100">
        <v>1.5</v>
      </c>
      <c r="R428" s="611"/>
      <c r="S428" s="591"/>
      <c r="T428" s="591"/>
      <c r="U428" s="239"/>
      <c r="V428" s="591"/>
      <c r="W428" s="84">
        <v>0.8</v>
      </c>
      <c r="X428" s="84">
        <v>0.96</v>
      </c>
      <c r="Y428" s="84">
        <v>1.1200000000000001</v>
      </c>
      <c r="Z428" s="84">
        <v>1.3</v>
      </c>
      <c r="AA428" s="100">
        <v>1.5</v>
      </c>
      <c r="AD428" s="611"/>
      <c r="AE428" s="591"/>
      <c r="AF428" s="591"/>
      <c r="AG428" s="591"/>
      <c r="AH428" s="84">
        <v>0.8</v>
      </c>
      <c r="AI428" s="84">
        <v>0.96</v>
      </c>
      <c r="AJ428" s="84">
        <v>1.1200000000000001</v>
      </c>
      <c r="AK428" s="84">
        <v>1.3</v>
      </c>
      <c r="AL428" s="100">
        <v>1.5</v>
      </c>
      <c r="AM428" s="225"/>
      <c r="AN428" s="225"/>
      <c r="AO428" s="225"/>
    </row>
    <row r="429" spans="5:41" x14ac:dyDescent="0.25">
      <c r="E429" s="603">
        <v>0.25</v>
      </c>
      <c r="F429" s="633"/>
      <c r="G429" s="609" t="s">
        <v>471</v>
      </c>
      <c r="H429" s="87" t="s">
        <v>522</v>
      </c>
      <c r="I429" s="88">
        <v>1</v>
      </c>
      <c r="J429" s="88">
        <v>1.1391296477793049</v>
      </c>
      <c r="K429" s="88">
        <v>1.1734054524357891</v>
      </c>
      <c r="L429" s="88"/>
      <c r="M429" s="88"/>
      <c r="N429" s="88">
        <v>1.207618452137091</v>
      </c>
      <c r="O429" s="101">
        <v>1.2414948383242781</v>
      </c>
      <c r="P429">
        <v>1.141494838324278</v>
      </c>
      <c r="R429" s="603">
        <v>0.35</v>
      </c>
      <c r="S429" s="633"/>
      <c r="T429" s="609" t="s">
        <v>471</v>
      </c>
      <c r="U429" s="235"/>
      <c r="V429" s="87" t="s">
        <v>522</v>
      </c>
      <c r="W429" s="88">
        <v>1</v>
      </c>
      <c r="X429" s="88">
        <v>1.1391296477793049</v>
      </c>
      <c r="Y429" s="88">
        <v>1.1734054524357891</v>
      </c>
      <c r="Z429" s="88">
        <v>1.207618452137091</v>
      </c>
      <c r="AA429" s="101">
        <v>1.2414948383242781</v>
      </c>
      <c r="AD429" s="603">
        <v>0.45</v>
      </c>
      <c r="AE429" s="633"/>
      <c r="AF429" s="609" t="s">
        <v>471</v>
      </c>
      <c r="AG429" s="87" t="s">
        <v>522</v>
      </c>
      <c r="AH429" s="88">
        <v>1</v>
      </c>
      <c r="AI429" s="88">
        <v>1.1391296477793049</v>
      </c>
      <c r="AJ429" s="88">
        <v>1.1734054524357891</v>
      </c>
      <c r="AK429" s="88">
        <v>1.207618452137091</v>
      </c>
      <c r="AL429" s="101">
        <v>1.2414948383242781</v>
      </c>
      <c r="AM429" s="226"/>
      <c r="AN429" s="226"/>
      <c r="AO429" s="226"/>
    </row>
    <row r="430" spans="5:41" x14ac:dyDescent="0.25">
      <c r="E430" s="604"/>
      <c r="F430" s="589"/>
      <c r="G430" s="589"/>
      <c r="H430" s="90" t="s">
        <v>523</v>
      </c>
      <c r="I430" s="91">
        <v>1</v>
      </c>
      <c r="J430" s="91">
        <v>1.152371757746474</v>
      </c>
      <c r="K430" s="91">
        <v>1.1870843548430969</v>
      </c>
      <c r="L430" s="91"/>
      <c r="M430" s="91"/>
      <c r="N430" s="91">
        <v>1.22173334663193</v>
      </c>
      <c r="O430" s="103">
        <v>1.2560414352848679</v>
      </c>
      <c r="P430">
        <v>1.16490248708251</v>
      </c>
      <c r="R430" s="604"/>
      <c r="S430" s="589"/>
      <c r="T430" s="589"/>
      <c r="U430" s="236"/>
      <c r="V430" s="90" t="s">
        <v>523</v>
      </c>
      <c r="W430" s="91">
        <v>1</v>
      </c>
      <c r="X430" s="91">
        <v>1.160711341984928</v>
      </c>
      <c r="Y430" s="91">
        <v>1.195699021176345</v>
      </c>
      <c r="Z430" s="91">
        <v>1.2306225910158279</v>
      </c>
      <c r="AA430" s="103">
        <v>1.2652025562117031</v>
      </c>
      <c r="AD430" s="604"/>
      <c r="AE430" s="589"/>
      <c r="AF430" s="589"/>
      <c r="AG430" s="90" t="s">
        <v>523</v>
      </c>
      <c r="AH430" s="91">
        <v>1</v>
      </c>
      <c r="AI430" s="91">
        <v>1.1852947843390751</v>
      </c>
      <c r="AJ430" s="91">
        <v>1.2210933510551769</v>
      </c>
      <c r="AK430" s="91">
        <v>1.256826322597052</v>
      </c>
      <c r="AL430" s="103">
        <v>1.2922077259857261</v>
      </c>
      <c r="AM430" s="226"/>
      <c r="AN430" s="226"/>
      <c r="AO430" s="226"/>
    </row>
    <row r="431" spans="5:41" x14ac:dyDescent="0.25">
      <c r="E431" s="604"/>
      <c r="F431" s="589"/>
      <c r="G431" s="589"/>
      <c r="H431" s="90" t="s">
        <v>524</v>
      </c>
      <c r="I431" s="91">
        <v>1</v>
      </c>
      <c r="J431" s="91">
        <v>1.147563120058694</v>
      </c>
      <c r="K431" s="91">
        <v>1.195126240117389</v>
      </c>
      <c r="L431" s="91"/>
      <c r="M431" s="91"/>
      <c r="N431" s="91">
        <v>1.2300315535206341</v>
      </c>
      <c r="O431" s="103">
        <v>1.2645934419009781</v>
      </c>
      <c r="P431">
        <v>1.236253260851861</v>
      </c>
      <c r="R431" s="604"/>
      <c r="S431" s="589"/>
      <c r="T431" s="589"/>
      <c r="U431" s="236"/>
      <c r="V431" s="90" t="s">
        <v>524</v>
      </c>
      <c r="W431" s="91">
        <v>1</v>
      </c>
      <c r="X431" s="91">
        <v>1.154790939767018</v>
      </c>
      <c r="Y431" s="91">
        <v>1.209581879534037</v>
      </c>
      <c r="Z431" s="91">
        <v>1.2449479422151271</v>
      </c>
      <c r="AA431" s="103">
        <v>1.2799660466714651</v>
      </c>
      <c r="AD431" s="604"/>
      <c r="AE431" s="589"/>
      <c r="AF431" s="589"/>
      <c r="AG431" s="90" t="s">
        <v>524</v>
      </c>
      <c r="AH431" s="91">
        <v>1</v>
      </c>
      <c r="AI431" s="91">
        <v>1.1762306029763161</v>
      </c>
      <c r="AJ431" s="91">
        <v>1.252461205952633</v>
      </c>
      <c r="AK431" s="91">
        <v>1.289193975294866</v>
      </c>
      <c r="AL431" s="103">
        <v>1.3255653397126721</v>
      </c>
      <c r="AM431" s="226"/>
      <c r="AN431" s="226"/>
      <c r="AO431" s="226"/>
    </row>
    <row r="432" spans="5:41" x14ac:dyDescent="0.25">
      <c r="E432" s="604"/>
      <c r="F432" s="589"/>
      <c r="G432" s="609" t="s">
        <v>7</v>
      </c>
      <c r="H432" s="87" t="s">
        <v>522</v>
      </c>
      <c r="I432" s="88">
        <v>1</v>
      </c>
      <c r="J432" s="88">
        <v>1.1391296477793049</v>
      </c>
      <c r="K432" s="88">
        <v>1.1734054524357891</v>
      </c>
      <c r="L432" s="88"/>
      <c r="M432" s="88"/>
      <c r="N432" s="88">
        <v>1.207618452137091</v>
      </c>
      <c r="O432" s="101">
        <v>1.2414948383242781</v>
      </c>
      <c r="P432">
        <v>1.141494838324278</v>
      </c>
      <c r="R432" s="604"/>
      <c r="S432" s="589"/>
      <c r="T432" s="609" t="s">
        <v>7</v>
      </c>
      <c r="U432" s="235"/>
      <c r="V432" s="87" t="s">
        <v>522</v>
      </c>
      <c r="W432" s="88">
        <v>1</v>
      </c>
      <c r="X432" s="88">
        <v>1.1391296477793049</v>
      </c>
      <c r="Y432" s="88">
        <v>1.1734054524357891</v>
      </c>
      <c r="Z432" s="88">
        <v>1.207618452137091</v>
      </c>
      <c r="AA432" s="101">
        <v>1.2414948383242781</v>
      </c>
      <c r="AD432" s="604"/>
      <c r="AE432" s="589"/>
      <c r="AF432" s="609" t="s">
        <v>7</v>
      </c>
      <c r="AG432" s="87" t="s">
        <v>522</v>
      </c>
      <c r="AH432" s="88">
        <v>1</v>
      </c>
      <c r="AI432" s="88">
        <v>1.1391296477793049</v>
      </c>
      <c r="AJ432" s="88">
        <v>1.1734054524357891</v>
      </c>
      <c r="AK432" s="88">
        <v>1.207618452137091</v>
      </c>
      <c r="AL432" s="101">
        <v>1.2414948383242781</v>
      </c>
      <c r="AM432" s="226"/>
      <c r="AN432" s="226"/>
      <c r="AO432" s="226"/>
    </row>
    <row r="433" spans="5:41" x14ac:dyDescent="0.25">
      <c r="E433" s="604"/>
      <c r="F433" s="589"/>
      <c r="G433" s="589"/>
      <c r="H433" s="90" t="s">
        <v>523</v>
      </c>
      <c r="I433" s="91">
        <v>1</v>
      </c>
      <c r="J433" s="91">
        <v>1.160438181986202</v>
      </c>
      <c r="K433" s="91">
        <v>1.195416850965298</v>
      </c>
      <c r="L433" s="91"/>
      <c r="M433" s="91"/>
      <c r="N433" s="91">
        <v>1.2303314271022381</v>
      </c>
      <c r="O433" s="103">
        <v>1.2649024870824579</v>
      </c>
      <c r="P433">
        <v>1.164902487082506</v>
      </c>
      <c r="R433" s="604"/>
      <c r="S433" s="589"/>
      <c r="T433" s="589"/>
      <c r="U433" s="236"/>
      <c r="V433" s="90" t="s">
        <v>523</v>
      </c>
      <c r="W433" s="91">
        <v>1</v>
      </c>
      <c r="X433" s="91">
        <v>1.134542521073943</v>
      </c>
      <c r="Y433" s="91">
        <v>1.168667018856234</v>
      </c>
      <c r="Z433" s="91">
        <v>1.2027289889291</v>
      </c>
      <c r="AA433" s="103">
        <v>1.236455831432212</v>
      </c>
      <c r="AD433" s="604"/>
      <c r="AE433" s="589"/>
      <c r="AF433" s="589"/>
      <c r="AG433" s="90" t="s">
        <v>523</v>
      </c>
      <c r="AH433" s="91">
        <v>1</v>
      </c>
      <c r="AI433" s="91">
        <v>1.1537815121044741</v>
      </c>
      <c r="AJ433" s="91">
        <v>1.188540610102204</v>
      </c>
      <c r="AK433" s="91">
        <v>1.223236017586645</v>
      </c>
      <c r="AL433" s="103">
        <v>1.2575900652622729</v>
      </c>
      <c r="AM433" s="226"/>
      <c r="AN433" s="226"/>
      <c r="AO433" s="226"/>
    </row>
    <row r="434" spans="5:41" x14ac:dyDescent="0.25">
      <c r="E434" s="604"/>
      <c r="F434" s="589"/>
      <c r="G434" s="589"/>
      <c r="H434" s="90" t="s">
        <v>524</v>
      </c>
      <c r="I434" s="91">
        <v>1</v>
      </c>
      <c r="J434" s="91">
        <v>1.181255799955242</v>
      </c>
      <c r="K434" s="91">
        <v>1.262511599910483</v>
      </c>
      <c r="L434" s="91"/>
      <c r="M434" s="91"/>
      <c r="N434" s="91">
        <v>1.2995647087150299</v>
      </c>
      <c r="O434" s="103">
        <v>1.3362532608518629</v>
      </c>
      <c r="P434">
        <v>1.236253260851861</v>
      </c>
      <c r="R434" s="604"/>
      <c r="S434" s="589"/>
      <c r="T434" s="589"/>
      <c r="U434" s="236"/>
      <c r="V434" s="90" t="s">
        <v>524</v>
      </c>
      <c r="W434" s="91">
        <v>1</v>
      </c>
      <c r="X434" s="91">
        <v>1.1512476791401629</v>
      </c>
      <c r="Y434" s="91">
        <v>1.2024953582803259</v>
      </c>
      <c r="Z434" s="91">
        <v>1.2376355499739089</v>
      </c>
      <c r="AA434" s="103">
        <v>1.272430005733318</v>
      </c>
      <c r="AD434" s="604"/>
      <c r="AE434" s="589"/>
      <c r="AF434" s="589"/>
      <c r="AG434" s="90" t="s">
        <v>524</v>
      </c>
      <c r="AH434" s="91">
        <v>1</v>
      </c>
      <c r="AI434" s="91">
        <v>1.168035844903629</v>
      </c>
      <c r="AJ434" s="91">
        <v>1.236071689807257</v>
      </c>
      <c r="AK434" s="91">
        <v>1.272282070792216</v>
      </c>
      <c r="AL434" s="103">
        <v>1.3081361865067469</v>
      </c>
      <c r="AM434" s="226"/>
      <c r="AN434" s="226"/>
      <c r="AO434" s="226"/>
    </row>
    <row r="435" spans="5:41" x14ac:dyDescent="0.25">
      <c r="E435" s="604"/>
      <c r="F435" s="619"/>
      <c r="G435" s="609" t="s">
        <v>471</v>
      </c>
      <c r="H435" s="87" t="s">
        <v>522</v>
      </c>
      <c r="I435" s="88">
        <v>1</v>
      </c>
      <c r="J435" s="88">
        <v>1.0391296477793051</v>
      </c>
      <c r="K435" s="88">
        <v>1.073405452435789</v>
      </c>
      <c r="L435" s="88"/>
      <c r="M435" s="88"/>
      <c r="N435" s="88">
        <v>1.1076184521370911</v>
      </c>
      <c r="O435" s="101">
        <v>1.141494838324278</v>
      </c>
      <c r="P435">
        <v>1.141494838324278</v>
      </c>
      <c r="R435" s="604"/>
      <c r="S435" s="619"/>
      <c r="T435" s="609" t="s">
        <v>471</v>
      </c>
      <c r="U435" s="235"/>
      <c r="V435" s="87" t="s">
        <v>522</v>
      </c>
      <c r="W435" s="88">
        <v>1</v>
      </c>
      <c r="X435" s="88">
        <v>1.0391296477793051</v>
      </c>
      <c r="Y435" s="88">
        <v>1.073405452435789</v>
      </c>
      <c r="Z435" s="88">
        <v>1.1076184521370911</v>
      </c>
      <c r="AA435" s="101">
        <v>1.141494838324278</v>
      </c>
      <c r="AB435">
        <v>1.141494838324278</v>
      </c>
      <c r="AD435" s="604"/>
      <c r="AE435" s="619"/>
      <c r="AF435" s="609" t="s">
        <v>471</v>
      </c>
      <c r="AG435" s="87" t="s">
        <v>522</v>
      </c>
      <c r="AH435" s="88">
        <v>1</v>
      </c>
      <c r="AI435" s="88">
        <v>1.0391296477793051</v>
      </c>
      <c r="AJ435" s="88">
        <v>1.073405452435789</v>
      </c>
      <c r="AK435" s="88">
        <v>1.1076184521370911</v>
      </c>
      <c r="AL435" s="101">
        <v>1.141494838324278</v>
      </c>
      <c r="AM435" s="226"/>
      <c r="AN435" s="226"/>
      <c r="AO435" s="226"/>
    </row>
    <row r="436" spans="5:41" x14ac:dyDescent="0.25">
      <c r="E436" s="604"/>
      <c r="F436" s="589"/>
      <c r="G436" s="589"/>
      <c r="H436" s="90" t="s">
        <v>523</v>
      </c>
      <c r="I436" s="91">
        <v>1</v>
      </c>
      <c r="J436" s="91">
        <v>1.0716152789507729</v>
      </c>
      <c r="K436" s="91">
        <v>1.1069626256911109</v>
      </c>
      <c r="L436" s="91"/>
      <c r="M436" s="91"/>
      <c r="N436" s="91">
        <v>1.1422452040459921</v>
      </c>
      <c r="O436" s="103">
        <v>1.1771806455584231</v>
      </c>
      <c r="P436">
        <v>1.2757126700481001</v>
      </c>
      <c r="R436" s="604"/>
      <c r="S436" s="589"/>
      <c r="T436" s="589"/>
      <c r="U436" s="236"/>
      <c r="V436" s="90" t="s">
        <v>523</v>
      </c>
      <c r="W436" s="91">
        <v>1</v>
      </c>
      <c r="X436" s="91">
        <v>1.065822616726823</v>
      </c>
      <c r="Y436" s="91">
        <v>1.1009788918725301</v>
      </c>
      <c r="Z436" s="91">
        <v>1.136070748741058</v>
      </c>
      <c r="AA436" s="103">
        <v>1.1708173452301851</v>
      </c>
      <c r="AB436">
        <v>1.1150641383144619</v>
      </c>
      <c r="AD436" s="604"/>
      <c r="AE436" s="589"/>
      <c r="AF436" s="589"/>
      <c r="AG436" s="90" t="s">
        <v>523</v>
      </c>
      <c r="AH436" s="91">
        <v>1</v>
      </c>
      <c r="AI436" s="91">
        <v>1.097041049150985</v>
      </c>
      <c r="AJ436" s="91">
        <v>1.1332270676917919</v>
      </c>
      <c r="AK436" s="91">
        <v>1.169346781114587</v>
      </c>
      <c r="AL436" s="103">
        <v>1.205111121323392</v>
      </c>
      <c r="AM436" s="226"/>
      <c r="AN436" s="226"/>
      <c r="AO436" s="226"/>
    </row>
    <row r="437" spans="5:41" x14ac:dyDescent="0.25">
      <c r="E437" s="604"/>
      <c r="F437" s="589"/>
      <c r="G437" s="589"/>
      <c r="H437" s="90" t="s">
        <v>524</v>
      </c>
      <c r="I437" s="91">
        <v>1</v>
      </c>
      <c r="J437" s="91">
        <v>1.042542682178385</v>
      </c>
      <c r="K437" s="91">
        <v>1.0850853643567691</v>
      </c>
      <c r="L437" s="91"/>
      <c r="M437" s="91"/>
      <c r="N437" s="91">
        <v>1.119670641674285</v>
      </c>
      <c r="O437" s="103">
        <v>1.1539156427273349</v>
      </c>
      <c r="P437">
        <v>1.488414325822526</v>
      </c>
      <c r="R437" s="604"/>
      <c r="S437" s="589"/>
      <c r="T437" s="589"/>
      <c r="U437" s="236"/>
      <c r="V437" s="90" t="s">
        <v>524</v>
      </c>
      <c r="W437" s="91">
        <v>1</v>
      </c>
      <c r="X437" s="91">
        <v>1.0611192987348601</v>
      </c>
      <c r="Y437" s="91">
        <v>1.12223859746972</v>
      </c>
      <c r="Z437" s="91">
        <v>1.158008071821554</v>
      </c>
      <c r="AA437" s="103">
        <v>1.193425618877777</v>
      </c>
      <c r="AB437">
        <v>1.193425618877777</v>
      </c>
      <c r="AD437" s="604"/>
      <c r="AE437" s="589"/>
      <c r="AF437" s="589"/>
      <c r="AG437" s="90" t="s">
        <v>524</v>
      </c>
      <c r="AH437" s="91">
        <v>1</v>
      </c>
      <c r="AI437" s="91">
        <v>1.0248979699703771</v>
      </c>
      <c r="AJ437" s="91">
        <v>1.049795939940753</v>
      </c>
      <c r="AK437" s="91">
        <v>1.0832564260023041</v>
      </c>
      <c r="AL437" s="103">
        <v>1.116387702351304</v>
      </c>
      <c r="AM437" s="226"/>
      <c r="AN437" s="226"/>
      <c r="AO437" s="226"/>
    </row>
    <row r="438" spans="5:41" x14ac:dyDescent="0.25">
      <c r="E438" s="604"/>
      <c r="F438" s="589"/>
      <c r="G438" s="609" t="s">
        <v>7</v>
      </c>
      <c r="H438" s="87" t="s">
        <v>522</v>
      </c>
      <c r="I438" s="88">
        <v>1</v>
      </c>
      <c r="J438" s="88">
        <v>1.0391296477793051</v>
      </c>
      <c r="K438" s="88">
        <v>1.073405452435789</v>
      </c>
      <c r="L438" s="88"/>
      <c r="M438" s="88"/>
      <c r="N438" s="88">
        <v>1.1076184521370911</v>
      </c>
      <c r="O438" s="101">
        <v>1.141494838324278</v>
      </c>
      <c r="R438" s="604"/>
      <c r="S438" s="589"/>
      <c r="T438" s="609" t="s">
        <v>7</v>
      </c>
      <c r="U438" s="235"/>
      <c r="V438" s="87" t="s">
        <v>522</v>
      </c>
      <c r="W438" s="88">
        <v>1</v>
      </c>
      <c r="X438" s="88">
        <v>1.0391296477793051</v>
      </c>
      <c r="Y438" s="88">
        <v>1.073405452435789</v>
      </c>
      <c r="Z438" s="88">
        <v>1.1076184521370911</v>
      </c>
      <c r="AA438" s="101">
        <v>1.141494838324278</v>
      </c>
      <c r="AD438" s="604"/>
      <c r="AE438" s="589"/>
      <c r="AF438" s="609" t="s">
        <v>7</v>
      </c>
      <c r="AG438" s="87" t="s">
        <v>522</v>
      </c>
      <c r="AH438" s="88">
        <v>1</v>
      </c>
      <c r="AI438" s="88">
        <v>1.0391296477793051</v>
      </c>
      <c r="AJ438" s="88">
        <v>1.073405452435789</v>
      </c>
      <c r="AK438" s="88">
        <v>1.1076184521370911</v>
      </c>
      <c r="AL438" s="101">
        <v>1.141494838324278</v>
      </c>
      <c r="AM438" s="226"/>
      <c r="AN438" s="226"/>
      <c r="AO438" s="226"/>
    </row>
    <row r="439" spans="5:41" x14ac:dyDescent="0.25">
      <c r="E439" s="604"/>
      <c r="F439" s="589"/>
      <c r="G439" s="589"/>
      <c r="H439" s="90" t="s">
        <v>523</v>
      </c>
      <c r="I439" s="91">
        <v>1</v>
      </c>
      <c r="J439" s="91">
        <v>1.0813788416747721</v>
      </c>
      <c r="K439" s="91">
        <v>1.117048240595407</v>
      </c>
      <c r="L439" s="91"/>
      <c r="M439" s="91"/>
      <c r="N439" s="91">
        <v>1.152652281021237</v>
      </c>
      <c r="O439" s="103">
        <v>1.1879060218162529</v>
      </c>
      <c r="R439" s="604"/>
      <c r="S439" s="589"/>
      <c r="T439" s="589"/>
      <c r="U439" s="236"/>
      <c r="V439" s="90" t="s">
        <v>523</v>
      </c>
      <c r="W439" s="91">
        <v>1</v>
      </c>
      <c r="X439" s="91">
        <v>1.0986631431973271</v>
      </c>
      <c r="Y439" s="91">
        <v>1.134902666686997</v>
      </c>
      <c r="Z439" s="91">
        <v>1.171075787019354</v>
      </c>
      <c r="AA439" s="103">
        <v>1.2068930086799241</v>
      </c>
      <c r="AD439" s="604"/>
      <c r="AE439" s="589"/>
      <c r="AF439" s="589"/>
      <c r="AG439" s="90" t="s">
        <v>523</v>
      </c>
      <c r="AH439" s="91">
        <v>1</v>
      </c>
      <c r="AI439" s="91">
        <v>1.061057143177687</v>
      </c>
      <c r="AJ439" s="91">
        <v>1.0960562286591251</v>
      </c>
      <c r="AK439" s="91">
        <v>1.130991183888419</v>
      </c>
      <c r="AL439" s="103">
        <v>1.165582422455981</v>
      </c>
      <c r="AM439" s="226"/>
      <c r="AN439" s="226"/>
      <c r="AO439" s="226"/>
    </row>
    <row r="440" spans="5:41" x14ac:dyDescent="0.25">
      <c r="E440" s="604"/>
      <c r="F440" s="589"/>
      <c r="G440" s="589"/>
      <c r="H440" s="112" t="s">
        <v>524</v>
      </c>
      <c r="I440" s="91">
        <v>1</v>
      </c>
      <c r="J440" s="91">
        <v>1.0406219641646</v>
      </c>
      <c r="K440" s="91">
        <v>1.081243928329199</v>
      </c>
      <c r="L440" s="91"/>
      <c r="M440" s="91"/>
      <c r="N440" s="91">
        <v>1.115706766311825</v>
      </c>
      <c r="O440" s="103">
        <v>1.1498305326812921</v>
      </c>
      <c r="R440" s="604"/>
      <c r="S440" s="589"/>
      <c r="T440" s="589"/>
      <c r="U440" s="236"/>
      <c r="V440" s="90" t="s">
        <v>524</v>
      </c>
      <c r="W440" s="91">
        <v>1</v>
      </c>
      <c r="X440" s="91">
        <v>1.056343735412749</v>
      </c>
      <c r="Y440" s="91">
        <v>1.112687470825499</v>
      </c>
      <c r="Z440" s="91">
        <v>1.1481525190238371</v>
      </c>
      <c r="AA440" s="103">
        <v>1.183268635102616</v>
      </c>
      <c r="AD440" s="604"/>
      <c r="AE440" s="589"/>
      <c r="AF440" s="589"/>
      <c r="AG440" s="90" t="s">
        <v>524</v>
      </c>
      <c r="AH440" s="91">
        <v>1</v>
      </c>
      <c r="AI440" s="91">
        <v>1.089404492986193</v>
      </c>
      <c r="AJ440" s="91">
        <v>1.1788089859723869</v>
      </c>
      <c r="AK440" s="91">
        <v>1.2163815466422121</v>
      </c>
      <c r="AL440" s="103">
        <v>1.253584439881769</v>
      </c>
      <c r="AM440" s="226"/>
      <c r="AN440" s="226"/>
      <c r="AO440" s="226"/>
    </row>
    <row r="441" spans="5:41" x14ac:dyDescent="0.25">
      <c r="E441" s="604"/>
      <c r="F441" s="621"/>
      <c r="G441" s="609" t="s">
        <v>471</v>
      </c>
      <c r="H441" s="87" t="s">
        <v>522</v>
      </c>
      <c r="I441" s="88">
        <v>1</v>
      </c>
      <c r="J441" s="88">
        <v>1.1391296477793049</v>
      </c>
      <c r="K441" s="88">
        <v>1.1734054524357891</v>
      </c>
      <c r="L441" s="88"/>
      <c r="M441" s="88"/>
      <c r="N441" s="88">
        <v>1.207618452137091</v>
      </c>
      <c r="O441" s="101">
        <v>1.2414948383242781</v>
      </c>
      <c r="R441" s="604"/>
      <c r="S441" s="621"/>
      <c r="T441" s="609" t="s">
        <v>471</v>
      </c>
      <c r="U441" s="235"/>
      <c r="V441" s="87" t="s">
        <v>522</v>
      </c>
      <c r="W441" s="88">
        <v>1</v>
      </c>
      <c r="X441" s="88">
        <v>1.1391296477793049</v>
      </c>
      <c r="Y441" s="88">
        <v>1.1734054524357891</v>
      </c>
      <c r="Z441" s="88">
        <v>1.207618452137091</v>
      </c>
      <c r="AA441" s="101">
        <v>1.2414948383242781</v>
      </c>
      <c r="AD441" s="604"/>
      <c r="AE441" s="621"/>
      <c r="AF441" s="609" t="s">
        <v>471</v>
      </c>
      <c r="AG441" s="87" t="s">
        <v>522</v>
      </c>
      <c r="AH441" s="88">
        <v>1</v>
      </c>
      <c r="AI441" s="88">
        <v>1.1391296477793049</v>
      </c>
      <c r="AJ441" s="88">
        <v>1.1734054524357891</v>
      </c>
      <c r="AK441" s="88">
        <v>1.207618452137091</v>
      </c>
      <c r="AL441" s="101">
        <v>1.2414948383242781</v>
      </c>
      <c r="AM441" s="226"/>
      <c r="AN441" s="226"/>
      <c r="AO441" s="226"/>
    </row>
    <row r="442" spans="5:41" x14ac:dyDescent="0.25">
      <c r="E442" s="604"/>
      <c r="F442" s="589"/>
      <c r="G442" s="589"/>
      <c r="H442" s="90" t="s">
        <v>523</v>
      </c>
      <c r="I442" s="91">
        <v>1</v>
      </c>
      <c r="J442" s="91">
        <v>1.1687417810625129</v>
      </c>
      <c r="K442" s="91">
        <v>1.203994345161908</v>
      </c>
      <c r="L442" s="91"/>
      <c r="M442" s="91"/>
      <c r="N442" s="91">
        <v>1.239182314549945</v>
      </c>
      <c r="O442" s="103">
        <v>1.2740240779305101</v>
      </c>
      <c r="R442" s="604"/>
      <c r="S442" s="589"/>
      <c r="T442" s="589"/>
      <c r="U442" s="236"/>
      <c r="V442" s="90" t="s">
        <v>523</v>
      </c>
      <c r="W442" s="91">
        <v>1</v>
      </c>
      <c r="X442" s="91">
        <v>1.140274227811013</v>
      </c>
      <c r="Y442" s="91">
        <v>1.1745877865645571</v>
      </c>
      <c r="Z442" s="91">
        <v>1.208838471184547</v>
      </c>
      <c r="AA442" s="103">
        <v>1.242752171517528</v>
      </c>
      <c r="AD442" s="604"/>
      <c r="AE442" s="589"/>
      <c r="AF442" s="589"/>
      <c r="AG442" s="90" t="s">
        <v>523</v>
      </c>
      <c r="AH442" s="91">
        <v>1</v>
      </c>
      <c r="AI442" s="91">
        <v>1.175336301382095</v>
      </c>
      <c r="AJ442" s="91">
        <v>1.2108063864527761</v>
      </c>
      <c r="AK442" s="91">
        <v>1.2462114782395499</v>
      </c>
      <c r="AL442" s="103">
        <v>1.281268227803545</v>
      </c>
      <c r="AM442" s="226"/>
      <c r="AN442" s="226"/>
      <c r="AO442" s="226"/>
    </row>
    <row r="443" spans="5:41" x14ac:dyDescent="0.25">
      <c r="E443" s="604"/>
      <c r="F443" s="589"/>
      <c r="G443" s="589"/>
      <c r="H443" s="109" t="s">
        <v>524</v>
      </c>
      <c r="I443" s="96">
        <v>1</v>
      </c>
      <c r="J443" s="96">
        <v>1.149376267405203</v>
      </c>
      <c r="K443" s="96">
        <v>1.1987525348104071</v>
      </c>
      <c r="L443" s="96"/>
      <c r="M443" s="96"/>
      <c r="N443" s="96">
        <v>1.2337734302790939</v>
      </c>
      <c r="O443" s="110">
        <v>1.268449763540606</v>
      </c>
      <c r="R443" s="604"/>
      <c r="S443" s="589"/>
      <c r="T443" s="589"/>
      <c r="U443" s="236"/>
      <c r="V443" s="109" t="s">
        <v>524</v>
      </c>
      <c r="W443" s="96">
        <v>1</v>
      </c>
      <c r="X443" s="96">
        <v>1.15341722784682</v>
      </c>
      <c r="Y443" s="96">
        <v>1.206834455693639</v>
      </c>
      <c r="Z443" s="96">
        <v>1.242112948844672</v>
      </c>
      <c r="AA443" s="110">
        <v>1.2770443453465961</v>
      </c>
      <c r="AD443" s="604"/>
      <c r="AE443" s="589"/>
      <c r="AF443" s="589"/>
      <c r="AG443" s="109" t="s">
        <v>524</v>
      </c>
      <c r="AH443" s="96">
        <v>1</v>
      </c>
      <c r="AI443" s="96">
        <v>1.1916152978727299</v>
      </c>
      <c r="AJ443" s="96">
        <v>1.2832305957454599</v>
      </c>
      <c r="AK443" s="96">
        <v>1.3209440878159051</v>
      </c>
      <c r="AL443" s="110">
        <v>1.3582865258657679</v>
      </c>
      <c r="AM443" s="226"/>
      <c r="AN443" s="226"/>
      <c r="AO443" s="226"/>
    </row>
    <row r="444" spans="5:41" x14ac:dyDescent="0.25">
      <c r="E444" s="604"/>
      <c r="F444" s="589"/>
      <c r="G444" s="609" t="s">
        <v>7</v>
      </c>
      <c r="H444" s="111" t="s">
        <v>522</v>
      </c>
      <c r="I444" s="91">
        <v>1</v>
      </c>
      <c r="J444" s="91">
        <v>1.1391296477793049</v>
      </c>
      <c r="K444" s="91">
        <v>1.1734054524357891</v>
      </c>
      <c r="L444" s="91"/>
      <c r="M444" s="91"/>
      <c r="N444" s="91">
        <v>1.207618452137091</v>
      </c>
      <c r="O444" s="103">
        <v>1.2414948383242781</v>
      </c>
      <c r="R444" s="604"/>
      <c r="S444" s="589"/>
      <c r="T444" s="609" t="s">
        <v>7</v>
      </c>
      <c r="U444" s="236"/>
      <c r="V444" s="111" t="s">
        <v>522</v>
      </c>
      <c r="W444" s="91">
        <v>1</v>
      </c>
      <c r="X444" s="91">
        <v>1.1391296477793049</v>
      </c>
      <c r="Y444" s="91">
        <v>1.1734054524357891</v>
      </c>
      <c r="Z444" s="91">
        <v>1.207618452137091</v>
      </c>
      <c r="AA444" s="103">
        <v>1.2414948383242781</v>
      </c>
      <c r="AD444" s="604"/>
      <c r="AE444" s="589"/>
      <c r="AF444" s="609" t="s">
        <v>7</v>
      </c>
      <c r="AG444" s="111" t="s">
        <v>522</v>
      </c>
      <c r="AH444" s="91">
        <v>1</v>
      </c>
      <c r="AI444" s="91">
        <v>1.1391296477793049</v>
      </c>
      <c r="AJ444" s="91">
        <v>1.1734054524357891</v>
      </c>
      <c r="AK444" s="91">
        <v>1.207618452137091</v>
      </c>
      <c r="AL444" s="103">
        <v>1.2414948383242781</v>
      </c>
      <c r="AM444" s="226"/>
      <c r="AN444" s="226"/>
      <c r="AO444" s="226"/>
    </row>
    <row r="445" spans="5:41" x14ac:dyDescent="0.25">
      <c r="E445" s="604"/>
      <c r="F445" s="589"/>
      <c r="G445" s="589"/>
      <c r="H445" s="90" t="s">
        <v>523</v>
      </c>
      <c r="I445" s="91">
        <v>1</v>
      </c>
      <c r="J445" s="91">
        <v>1.178155729720664</v>
      </c>
      <c r="K445" s="91">
        <v>1.213718813942301</v>
      </c>
      <c r="L445" s="91"/>
      <c r="M445" s="91"/>
      <c r="N445" s="91">
        <v>1.2492167344738909</v>
      </c>
      <c r="O445" s="103">
        <v>1.2843653994629041</v>
      </c>
      <c r="R445" s="604"/>
      <c r="S445" s="589"/>
      <c r="T445" s="589"/>
      <c r="U445" s="236"/>
      <c r="V445" s="90" t="s">
        <v>523</v>
      </c>
      <c r="W445" s="91">
        <v>1</v>
      </c>
      <c r="X445" s="91">
        <v>1.1521890768921541</v>
      </c>
      <c r="Y445" s="91">
        <v>1.1868956482408921</v>
      </c>
      <c r="Z445" s="91">
        <v>1.221538625323064</v>
      </c>
      <c r="AA445" s="103">
        <v>1.2558407584466</v>
      </c>
      <c r="AD445" s="604"/>
      <c r="AE445" s="589"/>
      <c r="AF445" s="589"/>
      <c r="AG445" s="90" t="s">
        <v>523</v>
      </c>
      <c r="AH445" s="91">
        <v>1</v>
      </c>
      <c r="AI445" s="91">
        <v>1.18409360571559</v>
      </c>
      <c r="AJ445" s="91">
        <v>1.2198525514239149</v>
      </c>
      <c r="AK445" s="91">
        <v>1.255545974557202</v>
      </c>
      <c r="AL445" s="103">
        <v>1.290888218644612</v>
      </c>
      <c r="AM445" s="226"/>
      <c r="AN445" s="226"/>
      <c r="AO445" s="226"/>
    </row>
    <row r="446" spans="5:41" x14ac:dyDescent="0.25">
      <c r="E446" s="604"/>
      <c r="F446" s="589"/>
      <c r="G446" s="589"/>
      <c r="H446" s="112" t="s">
        <v>524</v>
      </c>
      <c r="I446" s="91">
        <v>1</v>
      </c>
      <c r="J446" s="91">
        <v>1.156587691693401</v>
      </c>
      <c r="K446" s="91">
        <v>1.213175383386802</v>
      </c>
      <c r="L446" s="91"/>
      <c r="M446" s="91"/>
      <c r="N446" s="91">
        <v>1.2486559829802599</v>
      </c>
      <c r="O446" s="103">
        <v>1.2837874974477039</v>
      </c>
      <c r="R446" s="604"/>
      <c r="S446" s="589"/>
      <c r="T446" s="589"/>
      <c r="U446" s="236"/>
      <c r="V446" s="112" t="s">
        <v>524</v>
      </c>
      <c r="W446" s="91">
        <v>1</v>
      </c>
      <c r="X446" s="91">
        <v>1.1429606259738629</v>
      </c>
      <c r="Y446" s="91">
        <v>1.185921251947726</v>
      </c>
      <c r="Z446" s="91">
        <v>1.2205331717812029</v>
      </c>
      <c r="AA446" s="103">
        <v>1.2548045532208789</v>
      </c>
      <c r="AD446" s="604"/>
      <c r="AE446" s="589"/>
      <c r="AF446" s="589"/>
      <c r="AG446" s="112" t="s">
        <v>524</v>
      </c>
      <c r="AH446" s="91">
        <v>1</v>
      </c>
      <c r="AI446" s="91">
        <v>1.1709340186458539</v>
      </c>
      <c r="AJ446" s="91">
        <v>1.241868037291709</v>
      </c>
      <c r="AK446" s="91">
        <v>1.2782631671376921</v>
      </c>
      <c r="AL446" s="103">
        <v>1.3143002140134279</v>
      </c>
      <c r="AM446" s="226"/>
      <c r="AN446" s="226"/>
      <c r="AO446" s="226"/>
    </row>
    <row r="447" spans="5:41" x14ac:dyDescent="0.25">
      <c r="E447" s="604"/>
      <c r="F447" s="625"/>
      <c r="G447" s="609" t="s">
        <v>471</v>
      </c>
      <c r="H447" s="87" t="s">
        <v>522</v>
      </c>
      <c r="I447" s="88">
        <v>1</v>
      </c>
      <c r="J447" s="88">
        <v>1.0391296477793051</v>
      </c>
      <c r="K447" s="88">
        <v>1.073405452435789</v>
      </c>
      <c r="L447" s="88"/>
      <c r="M447" s="88"/>
      <c r="N447" s="88">
        <v>1.1076184521370911</v>
      </c>
      <c r="O447" s="101">
        <v>1.141494838324278</v>
      </c>
      <c r="R447" s="604"/>
      <c r="S447" s="625"/>
      <c r="T447" s="609" t="s">
        <v>471</v>
      </c>
      <c r="U447" s="235"/>
      <c r="V447" s="87" t="s">
        <v>522</v>
      </c>
      <c r="W447" s="88">
        <v>1</v>
      </c>
      <c r="X447" s="88">
        <v>1.0391296477793051</v>
      </c>
      <c r="Y447" s="88">
        <v>1.073405452435789</v>
      </c>
      <c r="Z447" s="88">
        <v>1.1076184521370911</v>
      </c>
      <c r="AA447" s="101">
        <v>1.141494838324278</v>
      </c>
      <c r="AD447" s="604"/>
      <c r="AE447" s="625"/>
      <c r="AF447" s="609" t="s">
        <v>471</v>
      </c>
      <c r="AG447" s="87" t="s">
        <v>522</v>
      </c>
      <c r="AH447" s="88">
        <v>1</v>
      </c>
      <c r="AI447" s="88">
        <v>1.0391296477793051</v>
      </c>
      <c r="AJ447" s="88">
        <v>1.073405452435789</v>
      </c>
      <c r="AK447" s="88">
        <v>1.1076184521370911</v>
      </c>
      <c r="AL447" s="101">
        <v>1.141494838324278</v>
      </c>
      <c r="AM447" s="226"/>
      <c r="AN447" s="226"/>
      <c r="AO447" s="226"/>
    </row>
    <row r="448" spans="5:41" x14ac:dyDescent="0.25">
      <c r="E448" s="604"/>
      <c r="F448" s="589"/>
      <c r="G448" s="589"/>
      <c r="H448" s="90" t="s">
        <v>523</v>
      </c>
      <c r="I448" s="91">
        <v>1</v>
      </c>
      <c r="J448" s="91">
        <v>1.0203346560525111</v>
      </c>
      <c r="K448" s="91">
        <v>1.053990505858968</v>
      </c>
      <c r="L448" s="91"/>
      <c r="M448" s="91"/>
      <c r="N448" s="91">
        <v>1.087584686678805</v>
      </c>
      <c r="O448" s="103">
        <v>1.120848342395369</v>
      </c>
      <c r="R448" s="604"/>
      <c r="S448" s="589"/>
      <c r="T448" s="589"/>
      <c r="U448" s="236"/>
      <c r="V448" s="90" t="s">
        <v>523</v>
      </c>
      <c r="W448" s="91">
        <v>1</v>
      </c>
      <c r="X448" s="91">
        <v>1.0207775145567639</v>
      </c>
      <c r="Y448" s="91">
        <v>1.054447972099237</v>
      </c>
      <c r="Z448" s="91">
        <v>1.088056733888741</v>
      </c>
      <c r="AA448" s="103">
        <v>1.1213348271163019</v>
      </c>
      <c r="AD448" s="604"/>
      <c r="AE448" s="589"/>
      <c r="AF448" s="589"/>
      <c r="AG448" s="90" t="s">
        <v>523</v>
      </c>
      <c r="AH448" s="91">
        <v>1</v>
      </c>
      <c r="AI448" s="91">
        <v>1.0032717660151671</v>
      </c>
      <c r="AJ448" s="91">
        <v>1.0363647945345551</v>
      </c>
      <c r="AK448" s="91">
        <v>1.069397185347728</v>
      </c>
      <c r="AL448" s="103">
        <v>1.1021045783750221</v>
      </c>
      <c r="AM448" s="226"/>
      <c r="AN448" s="226"/>
      <c r="AO448" s="226"/>
    </row>
    <row r="449" spans="5:41" x14ac:dyDescent="0.25">
      <c r="E449" s="604"/>
      <c r="F449" s="589"/>
      <c r="G449" s="589"/>
      <c r="H449" s="109" t="s">
        <v>524</v>
      </c>
      <c r="I449" s="96">
        <v>1</v>
      </c>
      <c r="J449" s="96">
        <v>1.1765237528481569</v>
      </c>
      <c r="K449" s="96">
        <v>1.2325486934599741</v>
      </c>
      <c r="L449" s="96"/>
      <c r="M449" s="96"/>
      <c r="N449" s="96">
        <v>1.2718341172348351</v>
      </c>
      <c r="O449" s="110">
        <v>1.3107330211293631</v>
      </c>
      <c r="R449" s="604"/>
      <c r="S449" s="589"/>
      <c r="T449" s="589"/>
      <c r="U449" s="236"/>
      <c r="V449" s="109" t="s">
        <v>524</v>
      </c>
      <c r="W449" s="96">
        <v>1</v>
      </c>
      <c r="X449" s="96">
        <v>1.157488092740304</v>
      </c>
      <c r="Y449" s="96">
        <v>1.2126065733469851</v>
      </c>
      <c r="Z449" s="96">
        <v>1.2512563754674919</v>
      </c>
      <c r="AA449" s="110">
        <v>1.289525911436969</v>
      </c>
      <c r="AD449" s="604"/>
      <c r="AE449" s="589"/>
      <c r="AF449" s="589"/>
      <c r="AG449" s="109" t="s">
        <v>524</v>
      </c>
      <c r="AH449" s="96">
        <v>1</v>
      </c>
      <c r="AI449" s="96">
        <v>1.128707173755122</v>
      </c>
      <c r="AJ449" s="96">
        <v>1.182455134410128</v>
      </c>
      <c r="AK449" s="96">
        <v>1.220143909950232</v>
      </c>
      <c r="AL449" s="110">
        <v>1.2574618746497781</v>
      </c>
      <c r="AM449" s="226"/>
      <c r="AN449" s="226"/>
      <c r="AO449" s="226"/>
    </row>
    <row r="450" spans="5:41" x14ac:dyDescent="0.25">
      <c r="E450" s="604"/>
      <c r="F450" s="589"/>
      <c r="G450" s="609" t="s">
        <v>7</v>
      </c>
      <c r="H450" s="111" t="s">
        <v>522</v>
      </c>
      <c r="I450" s="91">
        <v>1</v>
      </c>
      <c r="J450" s="91">
        <v>1.0391296477793051</v>
      </c>
      <c r="K450" s="91">
        <v>1.073405452435789</v>
      </c>
      <c r="L450" s="91"/>
      <c r="M450" s="91"/>
      <c r="N450" s="91">
        <v>1.1076184521370911</v>
      </c>
      <c r="O450" s="103">
        <v>1.141494838324278</v>
      </c>
      <c r="R450" s="604"/>
      <c r="S450" s="589"/>
      <c r="T450" s="609" t="s">
        <v>7</v>
      </c>
      <c r="U450" s="236"/>
      <c r="V450" s="111" t="s">
        <v>522</v>
      </c>
      <c r="W450" s="91">
        <v>1</v>
      </c>
      <c r="X450" s="91">
        <v>1.0391296477793051</v>
      </c>
      <c r="Y450" s="91">
        <v>1.073405452435789</v>
      </c>
      <c r="Z450" s="91">
        <v>1.1076184521370911</v>
      </c>
      <c r="AA450" s="103">
        <v>1.141494838324278</v>
      </c>
      <c r="AD450" s="604"/>
      <c r="AE450" s="589"/>
      <c r="AF450" s="609" t="s">
        <v>7</v>
      </c>
      <c r="AG450" s="111" t="s">
        <v>522</v>
      </c>
      <c r="AH450" s="91">
        <v>1</v>
      </c>
      <c r="AI450" s="91">
        <v>1.0391296477793051</v>
      </c>
      <c r="AJ450" s="91">
        <v>1.073405452435789</v>
      </c>
      <c r="AK450" s="91">
        <v>1.1076184521370911</v>
      </c>
      <c r="AL450" s="103">
        <v>1.141494838324278</v>
      </c>
      <c r="AM450" s="226"/>
      <c r="AN450" s="226"/>
      <c r="AO450" s="226"/>
    </row>
    <row r="451" spans="5:41" x14ac:dyDescent="0.25">
      <c r="E451" s="604"/>
      <c r="F451" s="589"/>
      <c r="G451" s="589"/>
      <c r="H451" s="90" t="s">
        <v>523</v>
      </c>
      <c r="I451" s="91">
        <v>1</v>
      </c>
      <c r="J451" s="91">
        <v>1.059714161247937</v>
      </c>
      <c r="K451" s="91">
        <v>1.0946689483240899</v>
      </c>
      <c r="L451" s="91"/>
      <c r="M451" s="91"/>
      <c r="N451" s="91">
        <v>1.1295596863178741</v>
      </c>
      <c r="O451" s="103">
        <v>1.164107142692721</v>
      </c>
      <c r="R451" s="604"/>
      <c r="S451" s="589"/>
      <c r="T451" s="589"/>
      <c r="U451" s="236"/>
      <c r="V451" s="90" t="s">
        <v>523</v>
      </c>
      <c r="W451" s="91">
        <v>1</v>
      </c>
      <c r="X451" s="91">
        <v>1.1029980027118731</v>
      </c>
      <c r="Y451" s="91">
        <v>1.13938051201496</v>
      </c>
      <c r="Z451" s="91">
        <v>1.175696356161996</v>
      </c>
      <c r="AA451" s="103">
        <v>1.211654897411796</v>
      </c>
      <c r="AD451" s="604"/>
      <c r="AE451" s="589"/>
      <c r="AF451" s="589"/>
      <c r="AG451" s="90" t="s">
        <v>523</v>
      </c>
      <c r="AH451" s="91">
        <v>1</v>
      </c>
      <c r="AI451" s="91">
        <v>1.1743612098894209</v>
      </c>
      <c r="AJ451" s="91">
        <v>1.2130976423570581</v>
      </c>
      <c r="AK451" s="91">
        <v>1.251763096479199</v>
      </c>
      <c r="AL451" s="103">
        <v>1.2900481304540119</v>
      </c>
      <c r="AM451" s="226"/>
      <c r="AN451" s="226"/>
      <c r="AO451" s="226"/>
    </row>
    <row r="452" spans="5:41" x14ac:dyDescent="0.25">
      <c r="E452" s="604"/>
      <c r="F452" s="589"/>
      <c r="G452" s="589"/>
      <c r="H452" s="90" t="s">
        <v>524</v>
      </c>
      <c r="I452" s="91">
        <v>1</v>
      </c>
      <c r="J452" s="91">
        <v>1.0809232864940279</v>
      </c>
      <c r="K452" s="91">
        <v>1.1323958239461249</v>
      </c>
      <c r="L452" s="91"/>
      <c r="M452" s="91"/>
      <c r="N452" s="91">
        <v>1.168489042867743</v>
      </c>
      <c r="O452" s="103">
        <v>1.204227149248428</v>
      </c>
      <c r="R452" s="604"/>
      <c r="S452" s="589"/>
      <c r="T452" s="589"/>
      <c r="U452" s="236"/>
      <c r="V452" s="90" t="s">
        <v>524</v>
      </c>
      <c r="W452" s="91">
        <v>1</v>
      </c>
      <c r="X452" s="91">
        <v>1.0970177820736129</v>
      </c>
      <c r="Y452" s="91">
        <v>1.1492567240771181</v>
      </c>
      <c r="Z452" s="91">
        <v>1.1858873559304819</v>
      </c>
      <c r="AA452" s="103">
        <v>1.2221575877657229</v>
      </c>
      <c r="AD452" s="604"/>
      <c r="AE452" s="589"/>
      <c r="AF452" s="589"/>
      <c r="AG452" s="90" t="s">
        <v>524</v>
      </c>
      <c r="AH452" s="91">
        <v>1</v>
      </c>
      <c r="AI452" s="91">
        <v>1.0823753609018829</v>
      </c>
      <c r="AJ452" s="91">
        <v>1.133917044754353</v>
      </c>
      <c r="AK452" s="91">
        <v>1.170058750039572</v>
      </c>
      <c r="AL452" s="103">
        <v>1.205844865738132</v>
      </c>
      <c r="AM452" s="226"/>
      <c r="AN452" s="226"/>
      <c r="AO452" s="226"/>
    </row>
    <row r="453" spans="5:41" x14ac:dyDescent="0.25">
      <c r="E453" s="604"/>
      <c r="F453" s="623"/>
      <c r="G453" s="609" t="s">
        <v>471</v>
      </c>
      <c r="H453" s="87" t="s">
        <v>522</v>
      </c>
      <c r="I453" s="88">
        <v>1</v>
      </c>
      <c r="J453" s="88">
        <v>1.0391296477793051</v>
      </c>
      <c r="K453" s="88">
        <v>1.073405452435789</v>
      </c>
      <c r="L453" s="88"/>
      <c r="M453" s="88"/>
      <c r="N453" s="88">
        <v>1.1076184521370911</v>
      </c>
      <c r="O453" s="101">
        <v>1.141494838324278</v>
      </c>
      <c r="P453">
        <v>1.141494838324278</v>
      </c>
      <c r="R453" s="604"/>
      <c r="S453" s="623"/>
      <c r="T453" s="609" t="s">
        <v>471</v>
      </c>
      <c r="U453" s="235"/>
      <c r="V453" s="87" t="s">
        <v>522</v>
      </c>
      <c r="W453" s="88">
        <v>1</v>
      </c>
      <c r="X453" s="88">
        <v>1.0391296477793051</v>
      </c>
      <c r="Y453" s="88">
        <v>1.073405452435789</v>
      </c>
      <c r="Z453" s="88">
        <v>1.1076184521370911</v>
      </c>
      <c r="AA453" s="101">
        <v>1.141494838324278</v>
      </c>
      <c r="AD453" s="604"/>
      <c r="AE453" s="623"/>
      <c r="AF453" s="609" t="s">
        <v>471</v>
      </c>
      <c r="AG453" s="87" t="s">
        <v>522</v>
      </c>
      <c r="AH453" s="88">
        <v>1</v>
      </c>
      <c r="AI453" s="88">
        <v>1.0391296477793051</v>
      </c>
      <c r="AJ453" s="88">
        <v>1.073405452435789</v>
      </c>
      <c r="AK453" s="88">
        <v>1.1076184521370911</v>
      </c>
      <c r="AL453" s="101">
        <v>1.141494838324278</v>
      </c>
      <c r="AM453" s="226"/>
      <c r="AN453" s="226"/>
      <c r="AO453" s="226"/>
    </row>
    <row r="454" spans="5:41" x14ac:dyDescent="0.25">
      <c r="E454" s="604"/>
      <c r="F454" s="589"/>
      <c r="G454" s="589"/>
      <c r="H454" s="90" t="s">
        <v>523</v>
      </c>
      <c r="I454" s="91">
        <v>1</v>
      </c>
      <c r="J454" s="91">
        <v>1.0764764813914229</v>
      </c>
      <c r="K454" s="91">
        <v>1.111984175423947</v>
      </c>
      <c r="L454" s="91"/>
      <c r="M454" s="91"/>
      <c r="N454" s="91">
        <v>1.147426807260129</v>
      </c>
      <c r="O454" s="103">
        <v>1.182520727525971</v>
      </c>
      <c r="P454">
        <v>1.182520727525971</v>
      </c>
      <c r="R454" s="604"/>
      <c r="S454" s="589"/>
      <c r="T454" s="589"/>
      <c r="U454" s="236"/>
      <c r="V454" s="90" t="s">
        <v>523</v>
      </c>
      <c r="W454" s="91">
        <v>1</v>
      </c>
      <c r="X454" s="91">
        <v>1.0299951962274629</v>
      </c>
      <c r="Y454" s="91">
        <v>1.0639697000042121</v>
      </c>
      <c r="Z454" s="91">
        <v>1.097881950911672</v>
      </c>
      <c r="AA454" s="103">
        <v>1.131460547300406</v>
      </c>
      <c r="AD454" s="604"/>
      <c r="AE454" s="589"/>
      <c r="AF454" s="589"/>
      <c r="AG454" s="90" t="s">
        <v>523</v>
      </c>
      <c r="AH454" s="91">
        <v>1</v>
      </c>
      <c r="AI454" s="91">
        <v>1.0379365502206639</v>
      </c>
      <c r="AJ454" s="91">
        <v>1.072173000424175</v>
      </c>
      <c r="AK454" s="91">
        <v>1.106346717783274</v>
      </c>
      <c r="AL454" s="103">
        <v>1.1401842081178191</v>
      </c>
      <c r="AM454" s="226"/>
      <c r="AN454" s="226"/>
      <c r="AO454" s="226"/>
    </row>
    <row r="455" spans="5:41" x14ac:dyDescent="0.25">
      <c r="E455" s="604"/>
      <c r="F455" s="589"/>
      <c r="G455" s="589"/>
      <c r="H455" s="90" t="s">
        <v>524</v>
      </c>
      <c r="I455" s="96">
        <v>1</v>
      </c>
      <c r="J455" s="96">
        <v>1.1998487239753131</v>
      </c>
      <c r="K455" s="96">
        <v>1.256984377497947</v>
      </c>
      <c r="L455" s="96"/>
      <c r="M455" s="96"/>
      <c r="N455" s="96">
        <v>1.2970486477457741</v>
      </c>
      <c r="O455" s="110">
        <v>1.336718735229262</v>
      </c>
      <c r="P455">
        <v>1.2151988502084199</v>
      </c>
      <c r="R455" s="604"/>
      <c r="S455" s="589"/>
      <c r="T455" s="589"/>
      <c r="U455" s="236"/>
      <c r="V455" s="90" t="s">
        <v>524</v>
      </c>
      <c r="W455" s="96">
        <v>1</v>
      </c>
      <c r="X455" s="96">
        <v>1.167911706342305</v>
      </c>
      <c r="Y455" s="96">
        <v>1.2235265495014629</v>
      </c>
      <c r="Z455" s="96">
        <v>1.262524407559326</v>
      </c>
      <c r="AA455" s="110">
        <v>1.3011385750271101</v>
      </c>
      <c r="AD455" s="604"/>
      <c r="AE455" s="589"/>
      <c r="AF455" s="589"/>
      <c r="AG455" s="90" t="s">
        <v>524</v>
      </c>
      <c r="AH455" s="96">
        <v>1</v>
      </c>
      <c r="AI455" s="96">
        <v>1.0664656029572079</v>
      </c>
      <c r="AJ455" s="96">
        <v>1.1172496792885029</v>
      </c>
      <c r="AK455" s="96">
        <v>1.152860140235052</v>
      </c>
      <c r="AL455" s="110">
        <v>1.1881202383808189</v>
      </c>
      <c r="AM455" s="226"/>
      <c r="AN455" s="226"/>
      <c r="AO455" s="226"/>
    </row>
    <row r="456" spans="5:41" x14ac:dyDescent="0.25">
      <c r="E456" s="604"/>
      <c r="F456" s="589"/>
      <c r="G456" s="614" t="s">
        <v>7</v>
      </c>
      <c r="H456" s="87" t="s">
        <v>522</v>
      </c>
      <c r="I456" s="91">
        <v>1</v>
      </c>
      <c r="J456" s="91">
        <v>1.0391296477793051</v>
      </c>
      <c r="K456" s="91">
        <v>1.073405452435789</v>
      </c>
      <c r="L456" s="91"/>
      <c r="M456" s="91"/>
      <c r="N456" s="91">
        <v>1.1076184521370911</v>
      </c>
      <c r="O456" s="103">
        <v>1.141494838324278</v>
      </c>
      <c r="R456" s="604"/>
      <c r="S456" s="589"/>
      <c r="T456" s="614" t="s">
        <v>7</v>
      </c>
      <c r="U456" s="235"/>
      <c r="V456" s="87" t="s">
        <v>522</v>
      </c>
      <c r="W456" s="91">
        <v>1</v>
      </c>
      <c r="X456" s="91">
        <v>1.0391296477793051</v>
      </c>
      <c r="Y456" s="91">
        <v>1.073405452435789</v>
      </c>
      <c r="Z456" s="91">
        <v>1.1076184521370911</v>
      </c>
      <c r="AA456" s="103">
        <v>1.141494838324278</v>
      </c>
      <c r="AD456" s="604"/>
      <c r="AE456" s="589"/>
      <c r="AF456" s="614" t="s">
        <v>7</v>
      </c>
      <c r="AG456" s="87" t="s">
        <v>522</v>
      </c>
      <c r="AH456" s="91">
        <v>1</v>
      </c>
      <c r="AI456" s="91">
        <v>1.0391296477793051</v>
      </c>
      <c r="AJ456" s="91">
        <v>1.073405452435789</v>
      </c>
      <c r="AK456" s="91">
        <v>1.1076184521370911</v>
      </c>
      <c r="AL456" s="103">
        <v>1.141494838324278</v>
      </c>
      <c r="AM456" s="226"/>
      <c r="AN456" s="226"/>
      <c r="AO456" s="226"/>
    </row>
    <row r="457" spans="5:41" x14ac:dyDescent="0.25">
      <c r="E457" s="604"/>
      <c r="F457" s="589"/>
      <c r="G457" s="589"/>
      <c r="H457" s="90" t="s">
        <v>523</v>
      </c>
      <c r="I457" s="91">
        <v>1</v>
      </c>
      <c r="J457" s="91">
        <v>1.052456903021149</v>
      </c>
      <c r="K457" s="91">
        <v>1.087172308643934</v>
      </c>
      <c r="L457" s="91"/>
      <c r="M457" s="91"/>
      <c r="N457" s="91">
        <v>1.121824103812753</v>
      </c>
      <c r="O457" s="103">
        <v>1.1561349682638919</v>
      </c>
      <c r="R457" s="604"/>
      <c r="S457" s="589"/>
      <c r="T457" s="589"/>
      <c r="U457" s="236"/>
      <c r="V457" s="90" t="s">
        <v>523</v>
      </c>
      <c r="W457" s="91">
        <v>1</v>
      </c>
      <c r="X457" s="91">
        <v>1.0807918831715559</v>
      </c>
      <c r="Y457" s="91">
        <v>1.1164419212020069</v>
      </c>
      <c r="Z457" s="91">
        <v>1.152026636213402</v>
      </c>
      <c r="AA457" s="103">
        <v>1.1872612417321089</v>
      </c>
      <c r="AD457" s="604"/>
      <c r="AE457" s="589"/>
      <c r="AF457" s="589"/>
      <c r="AG457" s="90" t="s">
        <v>523</v>
      </c>
      <c r="AH457" s="91">
        <v>1</v>
      </c>
      <c r="AI457" s="91">
        <v>1.141252347345256</v>
      </c>
      <c r="AJ457" s="91">
        <v>1.178896680374302</v>
      </c>
      <c r="AK457" s="91">
        <v>1.2164720361562069</v>
      </c>
      <c r="AL457" s="103">
        <v>1.2536776970074051</v>
      </c>
      <c r="AM457" s="226"/>
      <c r="AN457" s="226"/>
      <c r="AO457" s="226"/>
    </row>
    <row r="458" spans="5:41" ht="15.75" customHeight="1" thickBot="1" x14ac:dyDescent="0.3">
      <c r="E458" s="605"/>
      <c r="F458" s="608"/>
      <c r="G458" s="608"/>
      <c r="H458" s="98" t="s">
        <v>524</v>
      </c>
      <c r="I458" s="99">
        <v>1</v>
      </c>
      <c r="J458" s="99">
        <v>1.013882560423933</v>
      </c>
      <c r="K458" s="99">
        <v>1.027765120847866</v>
      </c>
      <c r="L458" s="99"/>
      <c r="M458" s="99"/>
      <c r="N458" s="99">
        <v>1.0605234114758699</v>
      </c>
      <c r="O458" s="119">
        <v>1.0929594011241019</v>
      </c>
      <c r="R458" s="605"/>
      <c r="S458" s="608"/>
      <c r="T458" s="608"/>
      <c r="U458" s="237"/>
      <c r="V458" s="98" t="s">
        <v>524</v>
      </c>
      <c r="W458" s="99">
        <v>1</v>
      </c>
      <c r="X458" s="99">
        <v>1.051783939821257</v>
      </c>
      <c r="Y458" s="99">
        <v>1.1018688893365549</v>
      </c>
      <c r="Z458" s="99">
        <v>1.1369891133825569</v>
      </c>
      <c r="AA458" s="119">
        <v>1.1717637979512889</v>
      </c>
      <c r="AD458" s="605"/>
      <c r="AE458" s="608"/>
      <c r="AF458" s="608"/>
      <c r="AG458" s="98" t="s">
        <v>524</v>
      </c>
      <c r="AH458" s="99">
        <v>1</v>
      </c>
      <c r="AI458" s="99">
        <v>1.0433798980356059</v>
      </c>
      <c r="AJ458" s="99">
        <v>1.086759796071211</v>
      </c>
      <c r="AK458" s="99">
        <v>1.121398443093172</v>
      </c>
      <c r="AL458" s="119">
        <v>1.1556962887589211</v>
      </c>
      <c r="AM458" s="226"/>
      <c r="AN458" s="226"/>
      <c r="AO458" s="226"/>
    </row>
    <row r="464" spans="5:41" x14ac:dyDescent="0.25">
      <c r="I464" s="58">
        <v>1</v>
      </c>
      <c r="J464" s="58">
        <v>2</v>
      </c>
      <c r="K464" s="58">
        <v>3</v>
      </c>
      <c r="L464" s="58">
        <v>4</v>
      </c>
      <c r="M464" s="58">
        <v>5</v>
      </c>
      <c r="N464" s="58">
        <v>6</v>
      </c>
      <c r="O464" s="58">
        <v>7</v>
      </c>
      <c r="P464" s="58">
        <v>8</v>
      </c>
      <c r="Q464" s="58">
        <v>9</v>
      </c>
      <c r="R464" s="58">
        <v>10</v>
      </c>
      <c r="S464" s="58">
        <v>11</v>
      </c>
      <c r="T464" s="58">
        <v>12</v>
      </c>
      <c r="U464" s="58">
        <v>13</v>
      </c>
      <c r="V464" s="58">
        <v>14</v>
      </c>
      <c r="W464" s="58">
        <v>15</v>
      </c>
      <c r="X464" s="58">
        <v>16</v>
      </c>
      <c r="Y464" s="58">
        <v>17</v>
      </c>
      <c r="Z464" s="58">
        <v>18</v>
      </c>
      <c r="AA464" s="58">
        <v>19</v>
      </c>
      <c r="AB464" s="58">
        <v>20</v>
      </c>
    </row>
    <row r="465" spans="5:24" x14ac:dyDescent="0.25">
      <c r="E465" s="632" t="s">
        <v>540</v>
      </c>
      <c r="F465" s="572"/>
      <c r="G465" s="572"/>
      <c r="H465" s="572"/>
      <c r="I465" s="572"/>
      <c r="J465" s="572"/>
      <c r="K465" s="572"/>
      <c r="L465" s="572"/>
      <c r="M465" s="572"/>
      <c r="N465" s="572"/>
      <c r="O465" s="572"/>
      <c r="P465" s="572"/>
      <c r="Q465" s="572"/>
      <c r="R465" s="572"/>
      <c r="S465" s="572"/>
      <c r="T465" s="572"/>
      <c r="U465" s="572"/>
      <c r="V465" s="572"/>
      <c r="W465" s="572"/>
      <c r="X465" s="554"/>
    </row>
    <row r="466" spans="5:24" x14ac:dyDescent="0.25">
      <c r="E466" s="34" t="s">
        <v>9</v>
      </c>
      <c r="F466" s="34" t="s">
        <v>495</v>
      </c>
      <c r="G466" s="41" t="s">
        <v>515</v>
      </c>
      <c r="H466" s="41" t="s">
        <v>496</v>
      </c>
      <c r="I466" s="613" t="s">
        <v>497</v>
      </c>
      <c r="J466" s="572"/>
      <c r="K466" s="572"/>
      <c r="L466" s="572"/>
      <c r="M466" s="572"/>
      <c r="N466" s="572"/>
      <c r="O466" s="572"/>
      <c r="P466" s="572"/>
      <c r="Q466" s="572"/>
      <c r="R466" s="572"/>
      <c r="S466" s="572"/>
      <c r="T466" s="572"/>
      <c r="U466" s="572"/>
      <c r="V466" s="572"/>
      <c r="W466" s="572"/>
      <c r="X466" s="554"/>
    </row>
    <row r="467" spans="5:24" x14ac:dyDescent="0.25">
      <c r="E467" s="638"/>
      <c r="F467" s="637" t="s">
        <v>6</v>
      </c>
      <c r="G467" s="50"/>
      <c r="H467" s="24" t="s">
        <v>498</v>
      </c>
      <c r="I467" s="50" t="str">
        <f>IF(F4="","",F4*Inputs!$B$39*$Q$52)</f>
        <v/>
      </c>
      <c r="J467" s="50" t="str">
        <f>IF(G4="","",G4*Inputs!$B$39*$Q$52)</f>
        <v/>
      </c>
      <c r="K467" s="50" t="str">
        <f>IF(H4="","",H4*Inputs!$B$39*$Q$52)</f>
        <v/>
      </c>
      <c r="L467" s="50" t="str">
        <f>IF(I4="","",I4*Inputs!$B$39*$Q$52)</f>
        <v/>
      </c>
      <c r="M467" s="50" t="str">
        <f>IF(J4="","",J4*Inputs!$B$39*$Q$52)</f>
        <v/>
      </c>
      <c r="N467" s="50" t="str">
        <f>IF(K4="","",K4*Inputs!$B$39*$Q$52)</f>
        <v/>
      </c>
      <c r="O467" s="50" t="str">
        <f>IF(L4="","",L4*Inputs!$B$39*$Q$52)</f>
        <v/>
      </c>
      <c r="P467" s="50" t="str">
        <f>IF(M4="","",M4*Inputs!$B$39*$Q$52)</f>
        <v/>
      </c>
      <c r="Q467" s="50" t="str">
        <f>IF(N4="","",N4*Inputs!$B$39*$Q$52)</f>
        <v/>
      </c>
      <c r="R467" s="50" t="str">
        <f>IF(O4="","",O4*Inputs!$B$39*$Q$52)</f>
        <v/>
      </c>
      <c r="S467" s="50" t="str">
        <f>IF(P4="","",P4*Inputs!$B$39*$Q$52)</f>
        <v/>
      </c>
      <c r="T467" s="50" t="str">
        <f>IF(Q4="","",Q4*Inputs!$B$39*$Q$52)</f>
        <v/>
      </c>
      <c r="U467" s="50" t="str">
        <f>IF(R4="","",R4*Inputs!$B$39*$Q$52)</f>
        <v/>
      </c>
      <c r="V467" s="50" t="str">
        <f>IF(S4="","",S4*Inputs!$B$39*$Q$52)</f>
        <v/>
      </c>
      <c r="W467" s="50" t="str">
        <f>IF(T4="","",T4*Inputs!$B$39*$Q$52)</f>
        <v/>
      </c>
      <c r="X467" s="50" t="str">
        <f>IF(U4="","",U4*Inputs!$B$39*$Q$52)</f>
        <v/>
      </c>
    </row>
    <row r="468" spans="5:24" x14ac:dyDescent="0.25">
      <c r="E468" s="589"/>
      <c r="F468" s="555"/>
      <c r="G468" s="51"/>
      <c r="H468" s="27" t="s">
        <v>499</v>
      </c>
      <c r="I468" s="50" t="str">
        <f>IF(F5="","",F5*Inputs!$B$39*$Q$52)</f>
        <v/>
      </c>
      <c r="J468" s="50" t="str">
        <f>IF(G5="","",G5*Inputs!$B$39*$Q$52)</f>
        <v/>
      </c>
      <c r="K468" s="50" t="str">
        <f>IF(H5="","",H5*Inputs!$B$39*$Q$52)</f>
        <v/>
      </c>
      <c r="L468" s="50" t="str">
        <f>IF(I5="","",I5*Inputs!$B$39*$Q$52)</f>
        <v/>
      </c>
      <c r="M468" s="50" t="str">
        <f>IF(J5="","",J5*Inputs!$B$39*$Q$52)</f>
        <v/>
      </c>
      <c r="N468" s="50" t="str">
        <f>IF(K5="","",K5*Inputs!$B$39*$Q$52)</f>
        <v/>
      </c>
      <c r="O468" s="50" t="str">
        <f>IF(L5="","",L5*Inputs!$B$39*$Q$52)</f>
        <v/>
      </c>
      <c r="P468" s="50" t="str">
        <f>IF(M5="","",M5*Inputs!$B$39*$Q$52)</f>
        <v/>
      </c>
      <c r="Q468" s="50" t="str">
        <f>IF(N5="","",N5*Inputs!$B$39*$Q$52)</f>
        <v/>
      </c>
      <c r="R468" s="50" t="str">
        <f>IF(O5="","",O5*Inputs!$B$39*$Q$52)</f>
        <v/>
      </c>
      <c r="S468" s="50" t="str">
        <f>IF(P5="","",P5*Inputs!$B$39*$Q$52)</f>
        <v/>
      </c>
      <c r="T468" s="50" t="str">
        <f>IF(Q5="","",Q5*Inputs!$B$39*$Q$52)</f>
        <v/>
      </c>
      <c r="U468" s="50" t="str">
        <f>IF(R5="","",R5*Inputs!$B$39*$Q$52)</f>
        <v/>
      </c>
      <c r="V468" s="50" t="str">
        <f>IF(S5="","",S5*Inputs!$B$39*$Q$52)</f>
        <v/>
      </c>
      <c r="W468" s="50" t="str">
        <f>IF(T5="","",T5*Inputs!$B$39*$Q$52)</f>
        <v/>
      </c>
      <c r="X468" s="50" t="str">
        <f>IF(U5="","",U5*Inputs!$B$39*$Q$52)</f>
        <v/>
      </c>
    </row>
    <row r="469" spans="5:24" x14ac:dyDescent="0.25">
      <c r="E469" s="589"/>
      <c r="F469" s="555"/>
      <c r="G469" s="51"/>
      <c r="H469" s="27" t="s">
        <v>500</v>
      </c>
      <c r="I469" s="50" t="str">
        <f>IF(F6="","",F6*Inputs!$B$39*$Q$52)</f>
        <v/>
      </c>
      <c r="J469" s="50" t="str">
        <f>IF(G6="","",G6*Inputs!$B$39*$Q$52)</f>
        <v/>
      </c>
      <c r="K469" s="50" t="str">
        <f>IF(H6="","",H6*Inputs!$B$39*$Q$52)</f>
        <v/>
      </c>
      <c r="L469" s="50" t="str">
        <f>IF(I6="","",I6*Inputs!$B$39*$Q$52)</f>
        <v/>
      </c>
      <c r="M469" s="50" t="str">
        <f>IF(J6="","",J6*Inputs!$B$39*$Q$52)</f>
        <v/>
      </c>
      <c r="N469" s="50" t="str">
        <f>IF(K6="","",K6*Inputs!$B$39*$Q$52)</f>
        <v/>
      </c>
      <c r="O469" s="50" t="str">
        <f>IF(L6="","",L6*Inputs!$B$39*$Q$52)</f>
        <v/>
      </c>
      <c r="P469" s="50" t="str">
        <f>IF(M6="","",M6*Inputs!$B$39*$Q$52)</f>
        <v/>
      </c>
      <c r="Q469" s="50" t="str">
        <f>IF(N6="","",N6*Inputs!$B$39*$Q$52)</f>
        <v/>
      </c>
      <c r="R469" s="50" t="str">
        <f>IF(O6="","",O6*Inputs!$B$39*$Q$52)</f>
        <v/>
      </c>
      <c r="S469" s="50" t="str">
        <f>IF(P6="","",P6*Inputs!$B$39*$Q$52)</f>
        <v/>
      </c>
      <c r="T469" s="50" t="str">
        <f>IF(Q6="","",Q6*Inputs!$B$39*$Q$52)</f>
        <v/>
      </c>
      <c r="U469" s="50" t="str">
        <f>IF(R6="","",R6*Inputs!$B$39*$Q$52)</f>
        <v/>
      </c>
      <c r="V469" s="50" t="str">
        <f>IF(S6="","",S6*Inputs!$B$39*$Q$52)</f>
        <v/>
      </c>
      <c r="W469" s="50" t="str">
        <f>IF(T6="","",T6*Inputs!$B$39*$Q$52)</f>
        <v/>
      </c>
      <c r="X469" s="50" t="str">
        <f>IF(U6="","",U6*Inputs!$B$39*$Q$52)</f>
        <v/>
      </c>
    </row>
    <row r="470" spans="5:24" x14ac:dyDescent="0.25">
      <c r="E470" s="589"/>
      <c r="F470" s="555"/>
      <c r="G470" s="52"/>
      <c r="H470" s="29" t="s">
        <v>501</v>
      </c>
      <c r="I470" s="50" t="str">
        <f>IF(F7="","",F7*Inputs!$B$39*$Q$52)</f>
        <v/>
      </c>
      <c r="J470" s="50" t="str">
        <f>IF(G7="","",G7*Inputs!$B$39*$Q$52)</f>
        <v/>
      </c>
      <c r="K470" s="50" t="str">
        <f>IF(H7="","",H7*Inputs!$B$39*$Q$52)</f>
        <v/>
      </c>
      <c r="L470" s="50" t="str">
        <f>IF(I7="","",I7*Inputs!$B$39*$Q$52)</f>
        <v/>
      </c>
      <c r="M470" s="50" t="str">
        <f>IF(J7="","",J7*Inputs!$B$39*$Q$52)</f>
        <v/>
      </c>
      <c r="N470" s="50" t="str">
        <f>IF(K7="","",K7*Inputs!$B$39*$Q$52)</f>
        <v/>
      </c>
      <c r="O470" s="50" t="str">
        <f>IF(L7="","",L7*Inputs!$B$39*$Q$52)</f>
        <v/>
      </c>
      <c r="P470" s="50" t="str">
        <f>IF(M7="","",M7*Inputs!$B$39*$Q$52)</f>
        <v/>
      </c>
      <c r="Q470" s="50" t="str">
        <f>IF(N7="","",N7*Inputs!$B$39*$Q$52)</f>
        <v/>
      </c>
      <c r="R470" s="50" t="str">
        <f>IF(O7="","",O7*Inputs!$B$39*$Q$52)</f>
        <v/>
      </c>
      <c r="S470" s="50" t="str">
        <f>IF(P7="","",P7*Inputs!$B$39*$Q$52)</f>
        <v/>
      </c>
      <c r="T470" s="50" t="str">
        <f>IF(Q7="","",Q7*Inputs!$B$39*$Q$52)</f>
        <v/>
      </c>
      <c r="U470" s="50" t="str">
        <f>IF(R7="","",R7*Inputs!$B$39*$Q$52)</f>
        <v/>
      </c>
      <c r="V470" s="50" t="str">
        <f>IF(S7="","",S7*Inputs!$B$39*$Q$52)</f>
        <v/>
      </c>
      <c r="W470" s="50" t="str">
        <f>IF(T7="","",T7*Inputs!$B$39*$Q$52)</f>
        <v/>
      </c>
      <c r="X470" s="50" t="str">
        <f>IF(U7="","",U7*Inputs!$B$39*$Q$52)</f>
        <v/>
      </c>
    </row>
    <row r="471" spans="5:24" x14ac:dyDescent="0.25">
      <c r="E471" s="596"/>
      <c r="F471" s="555"/>
      <c r="G471" s="50"/>
      <c r="H471" s="24" t="s">
        <v>498</v>
      </c>
      <c r="I471" s="50" t="str">
        <f>IF(F8="","",F8*Inputs!$B$39*$Q$58)</f>
        <v/>
      </c>
      <c r="J471" s="50" t="str">
        <f>IF(G8="","",G8*Inputs!$B$39*$Q$58)</f>
        <v/>
      </c>
      <c r="K471" s="50" t="str">
        <f>IF(H8="","",H8*Inputs!$B$39*$Q$58)</f>
        <v/>
      </c>
      <c r="L471" s="50" t="str">
        <f>IF(I8="","",I8*Inputs!$B$39*$Q$58)</f>
        <v/>
      </c>
      <c r="M471" s="50" t="str">
        <f>IF(J8="","",J8*Inputs!$B$39*$Q$58)</f>
        <v/>
      </c>
      <c r="N471" s="50" t="str">
        <f>IF(K8="","",K8*Inputs!$B$39*$Q$58)</f>
        <v/>
      </c>
      <c r="O471" s="50" t="str">
        <f>IF(L8="","",L8*Inputs!$B$39*$Q$58)</f>
        <v/>
      </c>
      <c r="P471" s="50" t="str">
        <f>IF(M8="","",M8*Inputs!$B$39*$Q$58)</f>
        <v/>
      </c>
      <c r="Q471" s="50" t="str">
        <f>IF(N8="","",N8*Inputs!$B$39*$Q$58)</f>
        <v/>
      </c>
      <c r="R471" s="50" t="str">
        <f>IF(O8="","",O8*Inputs!$B$39*$Q$58)</f>
        <v/>
      </c>
      <c r="S471" s="50" t="str">
        <f>IF(P8="","",P8*Inputs!$B$39*$Q$58)</f>
        <v/>
      </c>
      <c r="T471" s="50" t="str">
        <f>IF(Q8="","",Q8*Inputs!$B$39*$Q$52)</f>
        <v/>
      </c>
      <c r="U471" s="50" t="str">
        <f>IF(R8="","",R8*Inputs!$B$39*$Q$52)</f>
        <v/>
      </c>
      <c r="V471" s="50" t="str">
        <f>IF(S8="","",S8*Inputs!$B$39*$Q$52)</f>
        <v/>
      </c>
      <c r="W471" s="50" t="str">
        <f>IF(T8="","",T8*Inputs!$B$39*$Q$52)</f>
        <v/>
      </c>
      <c r="X471" s="50" t="str">
        <f>IF(U8="","",U8*Inputs!$B$39*$Q$52)</f>
        <v/>
      </c>
    </row>
    <row r="472" spans="5:24" x14ac:dyDescent="0.25">
      <c r="E472" s="589"/>
      <c r="F472" s="555"/>
      <c r="G472" s="51"/>
      <c r="H472" s="27" t="s">
        <v>499</v>
      </c>
      <c r="I472" s="50" t="str">
        <f>IF(F9="","",F9*Inputs!$B$39*$Q$58)</f>
        <v/>
      </c>
      <c r="J472" s="50" t="str">
        <f>IF(G9="","",G9*Inputs!$B$39*$Q$58)</f>
        <v/>
      </c>
      <c r="K472" s="50" t="str">
        <f>IF(H9="","",H9*Inputs!$B$39*$Q$58)</f>
        <v/>
      </c>
      <c r="L472" s="50" t="str">
        <f>IF(I9="","",I9*Inputs!$B$39*$Q$58)</f>
        <v/>
      </c>
      <c r="M472" s="50" t="str">
        <f>IF(J9="","",J9*Inputs!$B$39*$Q$58)</f>
        <v/>
      </c>
      <c r="N472" s="50" t="str">
        <f>IF(K9="","",K9*Inputs!$B$39*$Q$58)</f>
        <v/>
      </c>
      <c r="O472" s="50" t="str">
        <f>IF(L9="","",L9*Inputs!$B$39*$Q$58)</f>
        <v/>
      </c>
      <c r="P472" s="50" t="str">
        <f>IF(M9="","",M9*Inputs!$B$39*$Q$58)</f>
        <v/>
      </c>
      <c r="Q472" s="50" t="str">
        <f>IF(N9="","",N9*Inputs!$B$39*$Q$58)</f>
        <v/>
      </c>
      <c r="R472" s="50" t="str">
        <f>IF(O9="","",O9*Inputs!$B$39*$Q$58)</f>
        <v/>
      </c>
      <c r="S472" s="50" t="str">
        <f>IF(P9="","",P9*Inputs!$B$39*$Q$58)</f>
        <v/>
      </c>
      <c r="T472" s="50" t="str">
        <f>IF(Q9="","",Q9*Inputs!$B$39*$Q$52)</f>
        <v/>
      </c>
      <c r="U472" s="50" t="str">
        <f>IF(R9="","",R9*Inputs!$B$39*$Q$52)</f>
        <v/>
      </c>
      <c r="V472" s="50" t="str">
        <f>IF(S9="","",S9*Inputs!$B$39*$Q$52)</f>
        <v/>
      </c>
      <c r="W472" s="50" t="str">
        <f>IF(T9="","",T9*Inputs!$B$39*$Q$52)</f>
        <v/>
      </c>
      <c r="X472" s="50" t="str">
        <f>IF(U9="","",U9*Inputs!$B$39*$Q$52)</f>
        <v/>
      </c>
    </row>
    <row r="473" spans="5:24" x14ac:dyDescent="0.25">
      <c r="E473" s="589"/>
      <c r="F473" s="555"/>
      <c r="G473" s="51"/>
      <c r="H473" s="27" t="s">
        <v>500</v>
      </c>
      <c r="I473" s="50" t="str">
        <f>IF(F10="","",F10*Inputs!$B$39*$Q$58)</f>
        <v/>
      </c>
      <c r="J473" s="50" t="str">
        <f>IF(G10="","",G10*Inputs!$B$39*$Q$58)</f>
        <v/>
      </c>
      <c r="K473" s="50" t="str">
        <f>IF(H10="","",H10*Inputs!$B$39*$Q$58)</f>
        <v/>
      </c>
      <c r="L473" s="50" t="str">
        <f>IF(I10="","",I10*Inputs!$B$39*$Q$58)</f>
        <v/>
      </c>
      <c r="M473" s="50" t="str">
        <f>IF(J10="","",J10*Inputs!$B$39*$Q$58)</f>
        <v/>
      </c>
      <c r="N473" s="50" t="str">
        <f>IF(K10="","",K10*Inputs!$B$39*$Q$58)</f>
        <v/>
      </c>
      <c r="O473" s="50" t="str">
        <f>IF(L10="","",L10*Inputs!$B$39*$Q$58)</f>
        <v/>
      </c>
      <c r="P473" s="50" t="str">
        <f>IF(M10="","",M10*Inputs!$B$39*$Q$58)</f>
        <v/>
      </c>
      <c r="Q473" s="50" t="str">
        <f>IF(N10="","",N10*Inputs!$B$39*$Q$58)</f>
        <v/>
      </c>
      <c r="R473" s="50" t="str">
        <f>IF(O10="","",O10*Inputs!$B$39*$Q$58)</f>
        <v/>
      </c>
      <c r="S473" s="50" t="str">
        <f>IF(P10="","",P10*Inputs!$B$39*$Q$58)</f>
        <v/>
      </c>
      <c r="T473" s="50" t="str">
        <f>IF(Q10="","",Q10*Inputs!$B$39*$Q$52)</f>
        <v/>
      </c>
      <c r="U473" s="50" t="str">
        <f>IF(R10="","",R10*Inputs!$B$39*$Q$52)</f>
        <v/>
      </c>
      <c r="V473" s="50" t="str">
        <f>IF(S10="","",S10*Inputs!$B$39*$Q$52)</f>
        <v/>
      </c>
      <c r="W473" s="50" t="str">
        <f>IF(T10="","",T10*Inputs!$B$39*$Q$52)</f>
        <v/>
      </c>
      <c r="X473" s="50" t="str">
        <f>IF(U10="","",U10*Inputs!$B$39*$Q$52)</f>
        <v/>
      </c>
    </row>
    <row r="474" spans="5:24" x14ac:dyDescent="0.25">
      <c r="E474" s="589"/>
      <c r="F474" s="555"/>
      <c r="G474" s="52"/>
      <c r="H474" s="29" t="s">
        <v>501</v>
      </c>
      <c r="I474" s="50" t="str">
        <f>IF(F11="","",F11*Inputs!$B$39*$Q$58)</f>
        <v/>
      </c>
      <c r="J474" s="50" t="str">
        <f>IF(G11="","",G11*Inputs!$B$39*$Q$58)</f>
        <v/>
      </c>
      <c r="K474" s="50" t="str">
        <f>IF(H11="","",H11*Inputs!$B$39*$Q$58)</f>
        <v/>
      </c>
      <c r="L474" s="50" t="str">
        <f>IF(I11="","",I11*Inputs!$B$39*$Q$58)</f>
        <v/>
      </c>
      <c r="M474" s="50" t="str">
        <f>IF(J11="","",J11*Inputs!$B$39*$Q$58)</f>
        <v/>
      </c>
      <c r="N474" s="50" t="str">
        <f>IF(K11="","",K11*Inputs!$B$39*$Q$58)</f>
        <v/>
      </c>
      <c r="O474" s="50" t="str">
        <f>IF(L11="","",L11*Inputs!$B$39*$Q$58)</f>
        <v/>
      </c>
      <c r="P474" s="50" t="str">
        <f>IF(M11="","",M11*Inputs!$B$39*$Q$58)</f>
        <v/>
      </c>
      <c r="Q474" s="50" t="str">
        <f>IF(N11="","",N11*Inputs!$B$39*$Q$58)</f>
        <v/>
      </c>
      <c r="R474" s="50" t="str">
        <f>IF(O11="","",O11*Inputs!$B$39*$Q$58)</f>
        <v/>
      </c>
      <c r="S474" s="50" t="str">
        <f>IF(P11="","",P11*Inputs!$B$39*$Q$58)</f>
        <v/>
      </c>
      <c r="T474" s="50" t="str">
        <f>IF(Q11="","",Q11*Inputs!$B$39*$Q$52)</f>
        <v/>
      </c>
      <c r="U474" s="50" t="str">
        <f>IF(R11="","",R11*Inputs!$B$39*$Q$52)</f>
        <v/>
      </c>
      <c r="V474" s="50" t="str">
        <f>IF(S11="","",S11*Inputs!$B$39*$Q$52)</f>
        <v/>
      </c>
      <c r="W474" s="50" t="str">
        <f>IF(T11="","",T11*Inputs!$B$39*$Q$52)</f>
        <v/>
      </c>
      <c r="X474" s="50" t="str">
        <f>IF(U11="","",U11*Inputs!$B$39*$Q$52)</f>
        <v/>
      </c>
    </row>
    <row r="475" spans="5:24" x14ac:dyDescent="0.25">
      <c r="E475" s="630"/>
      <c r="F475" s="555"/>
      <c r="G475" s="50"/>
      <c r="H475" s="24" t="s">
        <v>498</v>
      </c>
      <c r="I475" s="50" t="str">
        <f>IF(F12="","",F12*Inputs!$B$39*$Q$64)</f>
        <v/>
      </c>
      <c r="J475" s="50" t="str">
        <f>IF(G12="","",G12*Inputs!$B$39*$Q$64)</f>
        <v/>
      </c>
      <c r="K475" s="50" t="str">
        <f>IF(H12="","",H12*Inputs!$B$39*$Q$64)</f>
        <v/>
      </c>
      <c r="L475" s="50" t="str">
        <f>IF(I12="","",I12*Inputs!$B$39*$Q$64)</f>
        <v/>
      </c>
      <c r="M475" s="50" t="str">
        <f>IF(J12="","",J12*Inputs!$B$39*$Q$64)</f>
        <v/>
      </c>
      <c r="N475" s="50" t="str">
        <f>IF(K12="","",K12*Inputs!$B$39*$Q$64)</f>
        <v/>
      </c>
      <c r="O475" s="50" t="str">
        <f>IF(L12="","",L12*Inputs!$B$39*$Q$64)</f>
        <v/>
      </c>
      <c r="P475" s="50" t="str">
        <f>IF(M12="","",M12*Inputs!$B$39*$Q$64)</f>
        <v/>
      </c>
      <c r="Q475" s="50" t="str">
        <f>IF(N12="","",N12*Inputs!$B$39*$Q$64)</f>
        <v/>
      </c>
      <c r="R475" s="50" t="str">
        <f>IF(O12="","",O12*Inputs!$B$39*$Q$64)</f>
        <v/>
      </c>
      <c r="S475" s="50" t="str">
        <f>IF(P12="","",P12*Inputs!$B$39*$Q$64)</f>
        <v/>
      </c>
      <c r="T475" s="50" t="str">
        <f>IF(Q12="","",Q12*Inputs!$B$39*$Q$52)</f>
        <v/>
      </c>
      <c r="U475" s="50" t="str">
        <f>IF(R12="","",R12*Inputs!$B$39*$Q$52)</f>
        <v/>
      </c>
      <c r="V475" s="50" t="str">
        <f>IF(S12="","",S12*Inputs!$B$39*$Q$52)</f>
        <v/>
      </c>
      <c r="W475" s="50" t="str">
        <f>IF(T12="","",T12*Inputs!$B$39*$Q$52)</f>
        <v/>
      </c>
      <c r="X475" s="50" t="str">
        <f>IF(U12="","",U12*Inputs!$B$39*$Q$52)</f>
        <v/>
      </c>
    </row>
    <row r="476" spans="5:24" x14ac:dyDescent="0.25">
      <c r="E476" s="589"/>
      <c r="F476" s="555"/>
      <c r="G476" s="51"/>
      <c r="H476" s="27" t="s">
        <v>499</v>
      </c>
      <c r="I476" s="50" t="str">
        <f>IF(F13="","",F13*Inputs!$B$39*$Q$64)</f>
        <v/>
      </c>
      <c r="J476" s="50" t="str">
        <f>IF(G13="","",G13*Inputs!$B$39*$Q$64)</f>
        <v/>
      </c>
      <c r="K476" s="50" t="str">
        <f>IF(H13="","",H13*Inputs!$B$39*$Q$64)</f>
        <v/>
      </c>
      <c r="L476" s="50" t="str">
        <f>IF(I13="","",I13*Inputs!$B$39*$Q$64)</f>
        <v/>
      </c>
      <c r="M476" s="50" t="str">
        <f>IF(J13="","",J13*Inputs!$B$39*$Q$64)</f>
        <v/>
      </c>
      <c r="N476" s="50" t="str">
        <f>IF(K13="","",K13*Inputs!$B$39*$Q$64)</f>
        <v/>
      </c>
      <c r="O476" s="50" t="str">
        <f>IF(L13="","",L13*Inputs!$B$39*$Q$64)</f>
        <v/>
      </c>
      <c r="P476" s="50" t="str">
        <f>IF(M13="","",M13*Inputs!$B$39*$Q$64)</f>
        <v/>
      </c>
      <c r="Q476" s="50" t="str">
        <f>IF(N13="","",N13*Inputs!$B$39*$Q$64)</f>
        <v/>
      </c>
      <c r="R476" s="50" t="str">
        <f>IF(O13="","",O13*Inputs!$B$39*$Q$64)</f>
        <v/>
      </c>
      <c r="S476" s="50" t="str">
        <f>IF(P13="","",P13*Inputs!$B$39*$Q$64)</f>
        <v/>
      </c>
      <c r="T476" s="50" t="str">
        <f>IF(Q13="","",Q13*Inputs!$B$39*$Q$52)</f>
        <v/>
      </c>
      <c r="U476" s="50" t="str">
        <f>IF(R13="","",R13*Inputs!$B$39*$Q$52)</f>
        <v/>
      </c>
      <c r="V476" s="50" t="str">
        <f>IF(S13="","",S13*Inputs!$B$39*$Q$52)</f>
        <v/>
      </c>
      <c r="W476" s="50" t="str">
        <f>IF(T13="","",T13*Inputs!$B$39*$Q$52)</f>
        <v/>
      </c>
      <c r="X476" s="50" t="str">
        <f>IF(U13="","",U13*Inputs!$B$39*$Q$52)</f>
        <v/>
      </c>
    </row>
    <row r="477" spans="5:24" x14ac:dyDescent="0.25">
      <c r="E477" s="589"/>
      <c r="F477" s="555"/>
      <c r="G477" s="51"/>
      <c r="H477" s="27" t="s">
        <v>500</v>
      </c>
      <c r="I477" s="50" t="str">
        <f>IF(F14="","",F14*Inputs!$B$39*$Q$64)</f>
        <v/>
      </c>
      <c r="J477" s="50" t="str">
        <f>IF(G14="","",G14*Inputs!$B$39*$Q$64)</f>
        <v/>
      </c>
      <c r="K477" s="50" t="str">
        <f>IF(H14="","",H14*Inputs!$B$39*$Q$64)</f>
        <v/>
      </c>
      <c r="L477" s="50" t="str">
        <f>IF(I14="","",I14*Inputs!$B$39*$Q$64)</f>
        <v/>
      </c>
      <c r="M477" s="50" t="str">
        <f>IF(J14="","",J14*Inputs!$B$39*$Q$64)</f>
        <v/>
      </c>
      <c r="N477" s="50" t="str">
        <f>IF(K14="","",K14*Inputs!$B$39*$Q$64)</f>
        <v/>
      </c>
      <c r="O477" s="50" t="str">
        <f>IF(L14="","",L14*Inputs!$B$39*$Q$64)</f>
        <v/>
      </c>
      <c r="P477" s="50" t="str">
        <f>IF(M14="","",M14*Inputs!$B$39*$Q$64)</f>
        <v/>
      </c>
      <c r="Q477" s="50" t="str">
        <f>IF(N14="","",N14*Inputs!$B$39*$Q$64)</f>
        <v/>
      </c>
      <c r="R477" s="50" t="str">
        <f>IF(O14="","",O14*Inputs!$B$39*$Q$64)</f>
        <v/>
      </c>
      <c r="S477" s="50" t="str">
        <f>IF(P14="","",P14*Inputs!$B$39*$Q$64)</f>
        <v/>
      </c>
      <c r="T477" s="50" t="str">
        <f>IF(Q14="","",Q14*Inputs!$B$39*$Q$52)</f>
        <v/>
      </c>
      <c r="U477" s="50" t="str">
        <f>IF(R14="","",R14*Inputs!$B$39*$Q$52)</f>
        <v/>
      </c>
      <c r="V477" s="50" t="str">
        <f>IF(S14="","",S14*Inputs!$B$39*$Q$52)</f>
        <v/>
      </c>
      <c r="W477" s="50" t="str">
        <f>IF(T14="","",T14*Inputs!$B$39*$Q$52)</f>
        <v/>
      </c>
      <c r="X477" s="50" t="str">
        <f>IF(U14="","",U14*Inputs!$B$39*$Q$52)</f>
        <v/>
      </c>
    </row>
    <row r="478" spans="5:24" x14ac:dyDescent="0.25">
      <c r="E478" s="589"/>
      <c r="F478" s="555"/>
      <c r="G478" s="52"/>
      <c r="H478" s="29" t="s">
        <v>501</v>
      </c>
      <c r="I478" s="50" t="str">
        <f>IF(F15="","",F15*Inputs!$B$39*$Q$64)</f>
        <v/>
      </c>
      <c r="J478" s="50" t="str">
        <f>IF(G15="","",G15*Inputs!$B$39*$Q$64)</f>
        <v/>
      </c>
      <c r="K478" s="50" t="str">
        <f>IF(H15="","",H15*Inputs!$B$39*$Q$64)</f>
        <v/>
      </c>
      <c r="L478" s="50" t="str">
        <f>IF(I15="","",I15*Inputs!$B$39*$Q$64)</f>
        <v/>
      </c>
      <c r="M478" s="50" t="str">
        <f>IF(J15="","",J15*Inputs!$B$39*$Q$64)</f>
        <v/>
      </c>
      <c r="N478" s="50" t="str">
        <f>IF(K15="","",K15*Inputs!$B$39*$Q$64)</f>
        <v/>
      </c>
      <c r="O478" s="50" t="str">
        <f>IF(L15="","",L15*Inputs!$B$39*$Q$64)</f>
        <v/>
      </c>
      <c r="P478" s="50" t="str">
        <f>IF(M15="","",M15*Inputs!$B$39*$Q$64)</f>
        <v/>
      </c>
      <c r="Q478" s="50" t="str">
        <f>IF(N15="","",N15*Inputs!$B$39*$Q$64)</f>
        <v/>
      </c>
      <c r="R478" s="50" t="str">
        <f>IF(O15="","",O15*Inputs!$B$39*$Q$64)</f>
        <v/>
      </c>
      <c r="S478" s="50" t="str">
        <f>IF(P15="","",P15*Inputs!$B$39*$Q$64)</f>
        <v/>
      </c>
      <c r="T478" s="50" t="str">
        <f>IF(Q15="","",Q15*Inputs!$B$39*$Q$52)</f>
        <v/>
      </c>
      <c r="U478" s="50" t="str">
        <f>IF(R15="","",R15*Inputs!$B$39*$Q$52)</f>
        <v/>
      </c>
      <c r="V478" s="50" t="str">
        <f>IF(S15="","",S15*Inputs!$B$39*$Q$52)</f>
        <v/>
      </c>
      <c r="W478" s="50" t="str">
        <f>IF(T15="","",T15*Inputs!$B$39*$Q$52)</f>
        <v/>
      </c>
      <c r="X478" s="50" t="str">
        <f>IF(U15="","",U15*Inputs!$B$39*$Q$52)</f>
        <v/>
      </c>
    </row>
    <row r="479" spans="5:24" x14ac:dyDescent="0.25">
      <c r="E479" s="626"/>
      <c r="F479" s="555"/>
      <c r="G479" s="50"/>
      <c r="H479" s="24" t="s">
        <v>498</v>
      </c>
      <c r="I479" s="50" t="str">
        <f>IF(F16="","",F16*Inputs!$B$39*$Q$70)</f>
        <v/>
      </c>
      <c r="J479" s="50" t="str">
        <f>IF(G16="","",G16*Inputs!$B$39*$Q$70)</f>
        <v/>
      </c>
      <c r="K479" s="50" t="str">
        <f>IF(H16="","",H16*Inputs!$B$39*$Q$70)</f>
        <v/>
      </c>
      <c r="L479" s="50" t="str">
        <f>IF(I16="","",I16*Inputs!$B$39*$Q$70)</f>
        <v/>
      </c>
      <c r="M479" s="50" t="str">
        <f>IF(J16="","",J16*Inputs!$B$39*$Q$70)</f>
        <v/>
      </c>
      <c r="N479" s="50" t="str">
        <f>IF(K16="","",K16*Inputs!$B$39*$Q$70)</f>
        <v/>
      </c>
      <c r="O479" s="50" t="str">
        <f>IF(L16="","",L16*Inputs!$B$39*$Q$70)</f>
        <v/>
      </c>
      <c r="P479" s="50" t="str">
        <f>IF(M16="","",M16*Inputs!$B$39*$Q$70)</f>
        <v/>
      </c>
      <c r="Q479" s="50" t="str">
        <f>IF(N16="","",N16*Inputs!$B$39*$Q$70)</f>
        <v/>
      </c>
      <c r="R479" s="50" t="str">
        <f>IF(O16="","",O16*Inputs!$B$39*$Q$70)</f>
        <v/>
      </c>
      <c r="S479" s="50" t="str">
        <f>IF(P16="","",P16*Inputs!$B$39*$Q$70)</f>
        <v/>
      </c>
      <c r="T479" s="50" t="str">
        <f>IF(Q16="","",Q16*Inputs!$B$39*$Q$52)</f>
        <v/>
      </c>
      <c r="U479" s="50" t="str">
        <f>IF(R16="","",R16*Inputs!$B$39*$Q$52)</f>
        <v/>
      </c>
      <c r="V479" s="50" t="str">
        <f>IF(S16="","",S16*Inputs!$B$39*$Q$52)</f>
        <v/>
      </c>
      <c r="W479" s="50" t="str">
        <f>IF(T16="","",T16*Inputs!$B$39*$Q$52)</f>
        <v/>
      </c>
      <c r="X479" s="50" t="str">
        <f>IF(U16="","",U16*Inputs!$B$39*$Q$52)</f>
        <v/>
      </c>
    </row>
    <row r="480" spans="5:24" x14ac:dyDescent="0.25">
      <c r="E480" s="589"/>
      <c r="F480" s="555"/>
      <c r="G480" s="51"/>
      <c r="H480" s="27" t="s">
        <v>499</v>
      </c>
      <c r="I480" s="50" t="str">
        <f>IF(F17="","",F17*Inputs!$B$39*$Q$70)</f>
        <v/>
      </c>
      <c r="J480" s="50" t="str">
        <f>IF(G17="","",G17*Inputs!$B$39*$Q$70)</f>
        <v/>
      </c>
      <c r="K480" s="50" t="str">
        <f>IF(H17="","",H17*Inputs!$B$39*$Q$70)</f>
        <v/>
      </c>
      <c r="L480" s="50" t="str">
        <f>IF(I17="","",I17*Inputs!$B$39*$Q$70)</f>
        <v/>
      </c>
      <c r="M480" s="50" t="str">
        <f>IF(J17="","",J17*Inputs!$B$39*$Q$70)</f>
        <v/>
      </c>
      <c r="N480" s="50" t="str">
        <f>IF(K17="","",K17*Inputs!$B$39*$Q$70)</f>
        <v/>
      </c>
      <c r="O480" s="50" t="str">
        <f>IF(L17="","",L17*Inputs!$B$39*$Q$70)</f>
        <v/>
      </c>
      <c r="P480" s="50" t="str">
        <f>IF(M17="","",M17*Inputs!$B$39*$Q$70)</f>
        <v/>
      </c>
      <c r="Q480" s="50" t="str">
        <f>IF(N17="","",N17*Inputs!$B$39*$Q$70)</f>
        <v/>
      </c>
      <c r="R480" s="50" t="str">
        <f>IF(O17="","",O17*Inputs!$B$39*$Q$70)</f>
        <v/>
      </c>
      <c r="S480" s="50" t="str">
        <f>IF(P17="","",P17*Inputs!$B$39*$Q$70)</f>
        <v/>
      </c>
      <c r="T480" s="50" t="str">
        <f>IF(Q17="","",Q17*Inputs!$B$39*$Q$52)</f>
        <v/>
      </c>
      <c r="U480" s="50" t="str">
        <f>IF(R17="","",R17*Inputs!$B$39*$Q$52)</f>
        <v/>
      </c>
      <c r="V480" s="50" t="str">
        <f>IF(S17="","",S17*Inputs!$B$39*$Q$52)</f>
        <v/>
      </c>
      <c r="W480" s="50" t="str">
        <f>IF(T17="","",T17*Inputs!$B$39*$Q$52)</f>
        <v/>
      </c>
      <c r="X480" s="50" t="str">
        <f>IF(U17="","",U17*Inputs!$B$39*$Q$52)</f>
        <v/>
      </c>
    </row>
    <row r="481" spans="5:24" x14ac:dyDescent="0.25">
      <c r="E481" s="589"/>
      <c r="F481" s="555"/>
      <c r="G481" s="51"/>
      <c r="H481" s="27" t="s">
        <v>500</v>
      </c>
      <c r="I481" s="50" t="str">
        <f>IF(F18="","",F18*Inputs!$B$39*$Q$70)</f>
        <v/>
      </c>
      <c r="J481" s="50" t="str">
        <f>IF(G18="","",G18*Inputs!$B$39*$Q$70)</f>
        <v/>
      </c>
      <c r="K481" s="50" t="str">
        <f>IF(H18="","",H18*Inputs!$B$39*$Q$70)</f>
        <v/>
      </c>
      <c r="L481" s="50" t="str">
        <f>IF(I18="","",I18*Inputs!$B$39*$Q$70)</f>
        <v/>
      </c>
      <c r="M481" s="50" t="str">
        <f>IF(J18="","",J18*Inputs!$B$39*$Q$70)</f>
        <v/>
      </c>
      <c r="N481" s="50" t="str">
        <f>IF(K18="","",K18*Inputs!$B$39*$Q$70)</f>
        <v/>
      </c>
      <c r="O481" s="50" t="str">
        <f>IF(L18="","",L18*Inputs!$B$39*$Q$70)</f>
        <v/>
      </c>
      <c r="P481" s="50" t="str">
        <f>IF(M18="","",M18*Inputs!$B$39*$Q$70)</f>
        <v/>
      </c>
      <c r="Q481" s="50" t="str">
        <f>IF(N18="","",N18*Inputs!$B$39*$Q$70)</f>
        <v/>
      </c>
      <c r="R481" s="50" t="str">
        <f>IF(O18="","",O18*Inputs!$B$39*$Q$70)</f>
        <v/>
      </c>
      <c r="S481" s="50" t="str">
        <f>IF(P18="","",P18*Inputs!$B$39*$Q$70)</f>
        <v/>
      </c>
      <c r="T481" s="50" t="str">
        <f>IF(Q18="","",Q18*Inputs!$B$39*$Q$52)</f>
        <v/>
      </c>
      <c r="U481" s="50" t="str">
        <f>IF(R18="","",R18*Inputs!$B$39*$Q$52)</f>
        <v/>
      </c>
      <c r="V481" s="50" t="str">
        <f>IF(S18="","",S18*Inputs!$B$39*$Q$52)</f>
        <v/>
      </c>
      <c r="W481" s="50" t="str">
        <f>IF(T18="","",T18*Inputs!$B$39*$Q$52)</f>
        <v/>
      </c>
      <c r="X481" s="50" t="str">
        <f>IF(U18="","",U18*Inputs!$B$39*$Q$52)</f>
        <v/>
      </c>
    </row>
    <row r="482" spans="5:24" x14ac:dyDescent="0.25">
      <c r="E482" s="589"/>
      <c r="F482" s="555"/>
      <c r="G482" s="52"/>
      <c r="H482" s="29" t="s">
        <v>501</v>
      </c>
      <c r="I482" s="50" t="str">
        <f>IF(F19="","",F19*Inputs!$B$39*$Q$70)</f>
        <v/>
      </c>
      <c r="J482" s="50" t="str">
        <f>IF(G19="","",G19*Inputs!$B$39*$Q$70)</f>
        <v/>
      </c>
      <c r="K482" s="50" t="str">
        <f>IF(H19="","",H19*Inputs!$B$39*$Q$70)</f>
        <v/>
      </c>
      <c r="L482" s="50" t="str">
        <f>IF(I19="","",I19*Inputs!$B$39*$Q$70)</f>
        <v/>
      </c>
      <c r="M482" s="50" t="str">
        <f>IF(J19="","",J19*Inputs!$B$39*$Q$70)</f>
        <v/>
      </c>
      <c r="N482" s="50" t="str">
        <f>IF(K19="","",K19*Inputs!$B$39*$Q$70)</f>
        <v/>
      </c>
      <c r="O482" s="50" t="str">
        <f>IF(L19="","",L19*Inputs!$B$39*$Q$70)</f>
        <v/>
      </c>
      <c r="P482" s="50" t="str">
        <f>IF(M19="","",M19*Inputs!$B$39*$Q$70)</f>
        <v/>
      </c>
      <c r="Q482" s="50" t="str">
        <f>IF(N19="","",N19*Inputs!$B$39*$Q$70)</f>
        <v/>
      </c>
      <c r="R482" s="50" t="str">
        <f>IF(O19="","",O19*Inputs!$B$39*$Q$70)</f>
        <v/>
      </c>
      <c r="S482" s="50" t="str">
        <f>IF(P19="","",P19*Inputs!$B$39*$Q$70)</f>
        <v/>
      </c>
      <c r="T482" s="50" t="str">
        <f>IF(Q19="","",Q19*Inputs!$B$39*$Q$52)</f>
        <v/>
      </c>
      <c r="U482" s="50" t="str">
        <f>IF(R19="","",R19*Inputs!$B$39*$Q$52)</f>
        <v/>
      </c>
      <c r="V482" s="50" t="str">
        <f>IF(S19="","",S19*Inputs!$B$39*$Q$52)</f>
        <v/>
      </c>
      <c r="W482" s="50" t="str">
        <f>IF(T19="","",T19*Inputs!$B$39*$Q$52)</f>
        <v/>
      </c>
      <c r="X482" s="50" t="str">
        <f>IF(U19="","",U19*Inputs!$B$39*$Q$52)</f>
        <v/>
      </c>
    </row>
    <row r="483" spans="5:24" x14ac:dyDescent="0.25">
      <c r="E483" s="620"/>
      <c r="F483" s="555"/>
      <c r="G483" s="50"/>
      <c r="H483" s="24" t="s">
        <v>498</v>
      </c>
      <c r="I483" s="50" t="str">
        <f>IF(F20="","",F20*Inputs!$B$39*$Q$76)</f>
        <v/>
      </c>
      <c r="J483" s="50" t="str">
        <f>IF(G20="","",G20*Inputs!$B$39*$Q$76)</f>
        <v/>
      </c>
      <c r="K483" s="50" t="str">
        <f>IF(H20="","",H20*Inputs!$B$39*$Q$76)</f>
        <v/>
      </c>
      <c r="L483" s="50" t="str">
        <f>IF(I20="","",I20*Inputs!$B$39*$Q$76)</f>
        <v/>
      </c>
      <c r="M483" s="50" t="str">
        <f>IF(J20="","",J20*Inputs!$B$39*$Q$76)</f>
        <v/>
      </c>
      <c r="N483" s="50" t="str">
        <f>IF(K20="","",K20*Inputs!$B$39*$Q$76)</f>
        <v/>
      </c>
      <c r="O483" s="50" t="str">
        <f>IF(L20="","",L20*Inputs!$B$39*$Q$76)</f>
        <v/>
      </c>
      <c r="P483" s="50" t="str">
        <f>IF(M20="","",M20*Inputs!$B$39*$Q$76)</f>
        <v/>
      </c>
      <c r="Q483" s="50" t="str">
        <f>IF(N20="","",N20*Inputs!$B$39*$Q$76)</f>
        <v/>
      </c>
      <c r="R483" s="50" t="str">
        <f>IF(O20="","",O20*Inputs!$B$39*$Q$76)</f>
        <v/>
      </c>
      <c r="S483" s="50" t="str">
        <f>IF(P20="","",P20*Inputs!$B$39*$Q$76)</f>
        <v/>
      </c>
      <c r="T483" s="50" t="str">
        <f>IF(Q20="","",Q20*Inputs!$B$39*$Q$52)</f>
        <v/>
      </c>
      <c r="U483" s="50" t="str">
        <f>IF(R20="","",R20*Inputs!$B$39*$Q$52)</f>
        <v/>
      </c>
      <c r="V483" s="50" t="str">
        <f>IF(S20="","",S20*Inputs!$B$39*$Q$52)</f>
        <v/>
      </c>
      <c r="W483" s="50" t="str">
        <f>IF(T20="","",T20*Inputs!$B$39*$Q$52)</f>
        <v/>
      </c>
      <c r="X483" s="50" t="str">
        <f>IF(U20="","",U20*Inputs!$B$39*$Q$52)</f>
        <v/>
      </c>
    </row>
    <row r="484" spans="5:24" x14ac:dyDescent="0.25">
      <c r="E484" s="589"/>
      <c r="F484" s="555"/>
      <c r="G484" s="51"/>
      <c r="H484" s="27" t="s">
        <v>499</v>
      </c>
      <c r="I484" s="50" t="str">
        <f>IF(F21="","",F21*Inputs!$B$39*$Q$76)</f>
        <v/>
      </c>
      <c r="J484" s="50" t="str">
        <f>IF(G21="","",G21*Inputs!$B$39*$Q$76)</f>
        <v/>
      </c>
      <c r="K484" s="50" t="str">
        <f>IF(H21="","",H21*Inputs!$B$39*$Q$76)</f>
        <v/>
      </c>
      <c r="L484" s="50" t="str">
        <f>IF(I21="","",I21*Inputs!$B$39*$Q$76)</f>
        <v/>
      </c>
      <c r="M484" s="50" t="str">
        <f>IF(J21="","",J21*Inputs!$B$39*$Q$76)</f>
        <v/>
      </c>
      <c r="N484" s="50" t="str">
        <f>IF(K21="","",K21*Inputs!$B$39*$Q$76)</f>
        <v/>
      </c>
      <c r="O484" s="50" t="str">
        <f>IF(L21="","",L21*Inputs!$B$39*$Q$76)</f>
        <v/>
      </c>
      <c r="P484" s="50" t="str">
        <f>IF(M21="","",M21*Inputs!$B$39*$Q$76)</f>
        <v/>
      </c>
      <c r="Q484" s="50" t="str">
        <f>IF(N21="","",N21*Inputs!$B$39*$Q$76)</f>
        <v/>
      </c>
      <c r="R484" s="50" t="str">
        <f>IF(O21="","",O21*Inputs!$B$39*$Q$76)</f>
        <v/>
      </c>
      <c r="S484" s="50" t="str">
        <f>IF(P21="","",P21*Inputs!$B$39*$Q$76)</f>
        <v/>
      </c>
      <c r="T484" s="50" t="str">
        <f>IF(Q21="","",Q21*Inputs!$B$39*$Q$52)</f>
        <v/>
      </c>
      <c r="U484" s="50" t="str">
        <f>IF(R21="","",R21*Inputs!$B$39*$Q$52)</f>
        <v/>
      </c>
      <c r="V484" s="50" t="str">
        <f>IF(S21="","",S21*Inputs!$B$39*$Q$52)</f>
        <v/>
      </c>
      <c r="W484" s="50" t="str">
        <f>IF(T21="","",T21*Inputs!$B$39*$Q$52)</f>
        <v/>
      </c>
      <c r="X484" s="50" t="str">
        <f>IF(U21="","",U21*Inputs!$B$39*$Q$52)</f>
        <v/>
      </c>
    </row>
    <row r="485" spans="5:24" x14ac:dyDescent="0.25">
      <c r="E485" s="589"/>
      <c r="F485" s="555"/>
      <c r="G485" s="51"/>
      <c r="H485" s="27" t="s">
        <v>500</v>
      </c>
      <c r="I485" s="50" t="str">
        <f>IF(F22="","",F22*Inputs!$B$39*$Q$76)</f>
        <v/>
      </c>
      <c r="J485" s="50" t="str">
        <f>IF(G22="","",G22*Inputs!$B$39*$Q$76)</f>
        <v/>
      </c>
      <c r="K485" s="50" t="str">
        <f>IF(H22="","",H22*Inputs!$B$39*$Q$76)</f>
        <v/>
      </c>
      <c r="L485" s="50" t="str">
        <f>IF(I22="","",I22*Inputs!$B$39*$Q$76)</f>
        <v/>
      </c>
      <c r="M485" s="50" t="str">
        <f>IF(J22="","",J22*Inputs!$B$39*$Q$76)</f>
        <v/>
      </c>
      <c r="N485" s="50" t="str">
        <f>IF(K22="","",K22*Inputs!$B$39*$Q$76)</f>
        <v/>
      </c>
      <c r="O485" s="50" t="str">
        <f>IF(L22="","",L22*Inputs!$B$39*$Q$76)</f>
        <v/>
      </c>
      <c r="P485" s="50" t="str">
        <f>IF(M22="","",M22*Inputs!$B$39*$Q$76)</f>
        <v/>
      </c>
      <c r="Q485" s="50" t="str">
        <f>IF(N22="","",N22*Inputs!$B$39*$Q$76)</f>
        <v/>
      </c>
      <c r="R485" s="50" t="str">
        <f>IF(O22="","",O22*Inputs!$B$39*$Q$76)</f>
        <v/>
      </c>
      <c r="S485" s="50" t="str">
        <f>IF(P22="","",P22*Inputs!$B$39*$Q$76)</f>
        <v/>
      </c>
      <c r="T485" s="50" t="str">
        <f>IF(Q22="","",Q22*Inputs!$B$39*$Q$52)</f>
        <v/>
      </c>
      <c r="U485" s="50" t="str">
        <f>IF(R22="","",R22*Inputs!$B$39*$Q$52)</f>
        <v/>
      </c>
      <c r="V485" s="50" t="str">
        <f>IF(S22="","",S22*Inputs!$B$39*$Q$52)</f>
        <v/>
      </c>
      <c r="W485" s="50" t="str">
        <f>IF(T22="","",T22*Inputs!$B$39*$Q$52)</f>
        <v/>
      </c>
      <c r="X485" s="50" t="str">
        <f>IF(U22="","",U22*Inputs!$B$39*$Q$52)</f>
        <v/>
      </c>
    </row>
    <row r="486" spans="5:24" x14ac:dyDescent="0.25">
      <c r="E486" s="591"/>
      <c r="F486" s="555"/>
      <c r="G486" s="52"/>
      <c r="H486" s="29" t="s">
        <v>501</v>
      </c>
      <c r="I486" s="50" t="str">
        <f>IF(F23="","",F23*Inputs!$B$39*$Q$76)</f>
        <v/>
      </c>
      <c r="J486" s="50" t="str">
        <f>IF(G23="","",G23*Inputs!$B$39*$Q$76)</f>
        <v/>
      </c>
      <c r="K486" s="50" t="str">
        <f>IF(H23="","",H23*Inputs!$B$39*$Q$76)</f>
        <v/>
      </c>
      <c r="L486" s="50" t="str">
        <f>IF(I23="","",I23*Inputs!$B$39*$Q$76)</f>
        <v/>
      </c>
      <c r="M486" s="50" t="str">
        <f>IF(J23="","",J23*Inputs!$B$39*$Q$76)</f>
        <v/>
      </c>
      <c r="N486" s="50" t="str">
        <f>IF(K23="","",K23*Inputs!$B$39*$Q$76)</f>
        <v/>
      </c>
      <c r="O486" s="50" t="str">
        <f>IF(L23="","",L23*Inputs!$B$39*$Q$76)</f>
        <v/>
      </c>
      <c r="P486" s="50" t="str">
        <f>IF(M23="","",M23*Inputs!$B$39*$Q$76)</f>
        <v/>
      </c>
      <c r="Q486" s="50" t="str">
        <f>IF(N23="","",N23*Inputs!$B$39*$Q$76)</f>
        <v/>
      </c>
      <c r="R486" s="50" t="str">
        <f>IF(O23="","",O23*Inputs!$B$39*$Q$76)</f>
        <v/>
      </c>
      <c r="S486" s="50" t="str">
        <f>IF(P23="","",P23*Inputs!$B$39*$Q$76)</f>
        <v/>
      </c>
      <c r="T486" s="50" t="str">
        <f>IF(Q23="","",Q23*Inputs!$B$39*$Q$52)</f>
        <v/>
      </c>
      <c r="U486" s="50" t="str">
        <f>IF(R23="","",R23*Inputs!$B$39*$Q$52)</f>
        <v/>
      </c>
      <c r="V486" s="50" t="str">
        <f>IF(S23="","",S23*Inputs!$B$39*$Q$52)</f>
        <v/>
      </c>
      <c r="W486" s="50" t="str">
        <f>IF(T23="","",T23*Inputs!$B$39*$Q$52)</f>
        <v/>
      </c>
      <c r="X486" s="50" t="str">
        <f>IF(U23="","",U23*Inputs!$B$39*$Q$52)</f>
        <v/>
      </c>
    </row>
    <row r="487" spans="5:24" x14ac:dyDescent="0.25">
      <c r="E487" s="590"/>
      <c r="F487" s="622" t="s">
        <v>7</v>
      </c>
      <c r="G487" s="50"/>
      <c r="H487" s="24" t="s">
        <v>498</v>
      </c>
      <c r="I487" s="50" t="str">
        <f>IF(F24="","",F24*Inputs!$B$39*$Q$55)</f>
        <v/>
      </c>
      <c r="J487" s="50" t="str">
        <f>IF(G24="","",G24*Inputs!$B$39*$Q$55)</f>
        <v/>
      </c>
      <c r="K487" s="50" t="str">
        <f>IF(H24="","",H24*Inputs!$B$39*$Q$55)</f>
        <v/>
      </c>
      <c r="L487" s="50" t="str">
        <f>IF(I24="","",I24*Inputs!$B$39*$Q$55)</f>
        <v/>
      </c>
      <c r="M487" s="50" t="str">
        <f>IF(J24="","",J24*Inputs!$B$39*$Q$55)</f>
        <v/>
      </c>
      <c r="N487" s="50" t="str">
        <f>IF(K24="","",K24*Inputs!$B$39*$Q$55)</f>
        <v/>
      </c>
      <c r="O487" s="50" t="str">
        <f>IF(L24="","",L24*Inputs!$B$39*$Q$55)</f>
        <v/>
      </c>
      <c r="P487" s="50" t="str">
        <f>IF(M24="","",M24*Inputs!$B$39*$Q$55)</f>
        <v/>
      </c>
      <c r="Q487" s="50" t="str">
        <f>IF(N24="","",N24*Inputs!$B$39*$Q$55)</f>
        <v/>
      </c>
      <c r="R487" s="50" t="str">
        <f>IF(O24="","",O24*Inputs!$B$39*$Q$55)</f>
        <v/>
      </c>
      <c r="S487" s="50" t="str">
        <f>IF(P24="","",P24*Inputs!$B$39*$Q$55)</f>
        <v/>
      </c>
      <c r="T487" s="50" t="str">
        <f>IF(Q24="","",Q24*Inputs!$B$39*$Q$52)</f>
        <v/>
      </c>
      <c r="U487" s="50" t="str">
        <f>IF(R24="","",R24*Inputs!$B$39*$Q$52)</f>
        <v/>
      </c>
      <c r="V487" s="50" t="str">
        <f>IF(S24="","",S24*Inputs!$B$39*$Q$52)</f>
        <v/>
      </c>
      <c r="W487" s="50" t="str">
        <f>IF(T24="","",T24*Inputs!$B$39*$Q$52)</f>
        <v/>
      </c>
      <c r="X487" s="50" t="str">
        <f>IF(U24="","",U24*Inputs!$B$39*$Q$52)</f>
        <v/>
      </c>
    </row>
    <row r="488" spans="5:24" x14ac:dyDescent="0.25">
      <c r="E488" s="589"/>
      <c r="F488" s="555"/>
      <c r="G488" s="51"/>
      <c r="H488" s="27" t="s">
        <v>499</v>
      </c>
      <c r="I488" s="50" t="str">
        <f>IF(F25="","",F25*Inputs!$B$39*$Q$55)</f>
        <v/>
      </c>
      <c r="J488" s="50" t="str">
        <f>IF(G25="","",G25*Inputs!$B$39*$Q$55)</f>
        <v/>
      </c>
      <c r="K488" s="50" t="str">
        <f>IF(H25="","",H25*Inputs!$B$39*$Q$55)</f>
        <v/>
      </c>
      <c r="L488" s="50" t="str">
        <f>IF(I25="","",I25*Inputs!$B$39*$Q$55)</f>
        <v/>
      </c>
      <c r="M488" s="50" t="str">
        <f>IF(J25="","",J25*Inputs!$B$39*$Q$55)</f>
        <v/>
      </c>
      <c r="N488" s="50" t="str">
        <f>IF(K25="","",K25*Inputs!$B$39*$Q$55)</f>
        <v/>
      </c>
      <c r="O488" s="50" t="str">
        <f>IF(L25="","",L25*Inputs!$B$39*$Q$55)</f>
        <v/>
      </c>
      <c r="P488" s="50" t="str">
        <f>IF(M25="","",M25*Inputs!$B$39*$Q$55)</f>
        <v/>
      </c>
      <c r="Q488" s="50" t="str">
        <f>IF(N25="","",N25*Inputs!$B$39*$Q$55)</f>
        <v/>
      </c>
      <c r="R488" s="50" t="str">
        <f>IF(O25="","",O25*Inputs!$B$39*$Q$55)</f>
        <v/>
      </c>
      <c r="S488" s="50" t="str">
        <f>IF(P25="","",P25*Inputs!$B$39*$Q$55)</f>
        <v/>
      </c>
      <c r="T488" s="50" t="str">
        <f>IF(Q25="","",Q25*Inputs!$B$39*$Q$52)</f>
        <v/>
      </c>
      <c r="U488" s="50" t="str">
        <f>IF(R25="","",R25*Inputs!$B$39*$Q$52)</f>
        <v/>
      </c>
      <c r="V488" s="50" t="str">
        <f>IF(S25="","",S25*Inputs!$B$39*$Q$52)</f>
        <v/>
      </c>
      <c r="W488" s="50" t="str">
        <f>IF(T25="","",T25*Inputs!$B$39*$Q$52)</f>
        <v/>
      </c>
      <c r="X488" s="50" t="str">
        <f>IF(U25="","",U25*Inputs!$B$39*$Q$52)</f>
        <v/>
      </c>
    </row>
    <row r="489" spans="5:24" x14ac:dyDescent="0.25">
      <c r="E489" s="589"/>
      <c r="F489" s="555"/>
      <c r="G489" s="51"/>
      <c r="H489" s="27" t="s">
        <v>500</v>
      </c>
      <c r="I489" s="50" t="str">
        <f>IF(F26="","",F26*Inputs!$B$39*$Q$55)</f>
        <v/>
      </c>
      <c r="J489" s="50" t="str">
        <f>IF(G26="","",G26*Inputs!$B$39*$Q$55)</f>
        <v/>
      </c>
      <c r="K489" s="50" t="str">
        <f>IF(H26="","",H26*Inputs!$B$39*$Q$55)</f>
        <v/>
      </c>
      <c r="L489" s="50" t="str">
        <f>IF(I26="","",I26*Inputs!$B$39*$Q$55)</f>
        <v/>
      </c>
      <c r="M489" s="50" t="str">
        <f>IF(J26="","",J26*Inputs!$B$39*$Q$55)</f>
        <v/>
      </c>
      <c r="N489" s="50" t="str">
        <f>IF(K26="","",K26*Inputs!$B$39*$Q$55)</f>
        <v/>
      </c>
      <c r="O489" s="50" t="str">
        <f>IF(L26="","",L26*Inputs!$B$39*$Q$55)</f>
        <v/>
      </c>
      <c r="P489" s="50" t="str">
        <f>IF(M26="","",M26*Inputs!$B$39*$Q$55)</f>
        <v/>
      </c>
      <c r="Q489" s="50" t="str">
        <f>IF(N26="","",N26*Inputs!$B$39*$Q$55)</f>
        <v/>
      </c>
      <c r="R489" s="50" t="str">
        <f>IF(O26="","",O26*Inputs!$B$39*$Q$55)</f>
        <v/>
      </c>
      <c r="S489" s="50" t="str">
        <f>IF(P26="","",P26*Inputs!$B$39*$Q$55)</f>
        <v/>
      </c>
      <c r="T489" s="50" t="str">
        <f>IF(Q26="","",Q26*Inputs!$B$39*$Q$52)</f>
        <v/>
      </c>
      <c r="U489" s="50" t="str">
        <f>IF(R26="","",R26*Inputs!$B$39*$Q$52)</f>
        <v/>
      </c>
      <c r="V489" s="50" t="str">
        <f>IF(S26="","",S26*Inputs!$B$39*$Q$52)</f>
        <v/>
      </c>
      <c r="W489" s="50" t="str">
        <f>IF(T26="","",T26*Inputs!$B$39*$Q$52)</f>
        <v/>
      </c>
      <c r="X489" s="50" t="str">
        <f>IF(U26="","",U26*Inputs!$B$39*$Q$52)</f>
        <v/>
      </c>
    </row>
    <row r="490" spans="5:24" x14ac:dyDescent="0.25">
      <c r="E490" s="591"/>
      <c r="F490" s="555"/>
      <c r="G490" s="52"/>
      <c r="H490" s="29" t="s">
        <v>501</v>
      </c>
      <c r="I490" s="50" t="str">
        <f>IF(F27="","",F27*Inputs!$B$39*$Q$55)</f>
        <v/>
      </c>
      <c r="J490" s="50" t="str">
        <f>IF(G27="","",G27*Inputs!$B$39*$Q$55)</f>
        <v/>
      </c>
      <c r="K490" s="50" t="str">
        <f>IF(H27="","",H27*Inputs!$B$39*$Q$55)</f>
        <v/>
      </c>
      <c r="L490" s="50" t="str">
        <f>IF(I27="","",I27*Inputs!$B$39*$Q$55)</f>
        <v/>
      </c>
      <c r="M490" s="50" t="str">
        <f>IF(J27="","",J27*Inputs!$B$39*$Q$55)</f>
        <v/>
      </c>
      <c r="N490" s="50" t="str">
        <f>IF(K27="","",K27*Inputs!$B$39*$Q$55)</f>
        <v/>
      </c>
      <c r="O490" s="50" t="str">
        <f>IF(L27="","",L27*Inputs!$B$39*$Q$55)</f>
        <v/>
      </c>
      <c r="P490" s="50" t="str">
        <f>IF(M27="","",M27*Inputs!$B$39*$Q$55)</f>
        <v/>
      </c>
      <c r="Q490" s="50" t="str">
        <f>IF(N27="","",N27*Inputs!$B$39*$Q$55)</f>
        <v/>
      </c>
      <c r="R490" s="50" t="str">
        <f>IF(O27="","",O27*Inputs!$B$39*$Q$55)</f>
        <v/>
      </c>
      <c r="S490" s="50" t="str">
        <f>IF(P27="","",P27*Inputs!$B$39*$Q$55)</f>
        <v/>
      </c>
      <c r="T490" s="50" t="str">
        <f>IF(Q27="","",Q27*Inputs!$B$39*$Q$52)</f>
        <v/>
      </c>
      <c r="U490" s="50" t="str">
        <f>IF(R27="","",R27*Inputs!$B$39*$Q$52)</f>
        <v/>
      </c>
      <c r="V490" s="50" t="str">
        <f>IF(S27="","",S27*Inputs!$B$39*$Q$52)</f>
        <v/>
      </c>
      <c r="W490" s="50" t="str">
        <f>IF(T27="","",T27*Inputs!$B$39*$Q$52)</f>
        <v/>
      </c>
      <c r="X490" s="50" t="str">
        <f>IF(U27="","",U27*Inputs!$B$39*$Q$52)</f>
        <v/>
      </c>
    </row>
    <row r="491" spans="5:24" x14ac:dyDescent="0.25">
      <c r="E491" s="593"/>
      <c r="F491" s="555"/>
      <c r="G491" s="50"/>
      <c r="H491" s="24" t="s">
        <v>498</v>
      </c>
      <c r="I491" s="50" t="str">
        <f>IF(F28="","",F28*Inputs!$B$39*$Q$61)</f>
        <v/>
      </c>
      <c r="J491" s="50" t="str">
        <f>IF(G28="","",G28*Inputs!$B$39*$Q$61)</f>
        <v/>
      </c>
      <c r="K491" s="50" t="str">
        <f>IF(H28="","",H28*Inputs!$B$39*$Q$61)</f>
        <v/>
      </c>
      <c r="L491" s="50" t="str">
        <f>IF(I28="","",I28*Inputs!$B$39*$Q$61)</f>
        <v/>
      </c>
      <c r="M491" s="50" t="str">
        <f>IF(J28="","",J28*Inputs!$B$39*$Q$61)</f>
        <v/>
      </c>
      <c r="N491" s="50" t="str">
        <f>IF(K28="","",K28*Inputs!$B$39*$Q$61)</f>
        <v/>
      </c>
      <c r="O491" s="50" t="str">
        <f>IF(L28="","",L28*Inputs!$B$39*$Q$61)</f>
        <v/>
      </c>
      <c r="P491" s="50" t="str">
        <f>IF(M28="","",M28*Inputs!$B$39*$Q$61)</f>
        <v/>
      </c>
      <c r="Q491" s="50" t="str">
        <f>IF(N28="","",N28*Inputs!$B$39*$Q$61)</f>
        <v/>
      </c>
      <c r="R491" s="50" t="str">
        <f>IF(O28="","",O28*Inputs!$B$39*$Q$61)</f>
        <v/>
      </c>
      <c r="S491" s="50" t="str">
        <f>IF(P28="","",P28*Inputs!$B$39*$Q$61)</f>
        <v/>
      </c>
      <c r="T491" s="50" t="str">
        <f>IF(Q28="","",Q28*Inputs!$B$39*$Q$52)</f>
        <v/>
      </c>
      <c r="U491" s="50" t="str">
        <f>IF(R28="","",R28*Inputs!$B$39*$Q$52)</f>
        <v/>
      </c>
      <c r="V491" s="50" t="str">
        <f>IF(S28="","",S28*Inputs!$B$39*$Q$52)</f>
        <v/>
      </c>
      <c r="W491" s="50" t="str">
        <f>IF(T28="","",T28*Inputs!$B$39*$Q$52)</f>
        <v/>
      </c>
      <c r="X491" s="50" t="str">
        <f>IF(U28="","",U28*Inputs!$B$39*$Q$52)</f>
        <v/>
      </c>
    </row>
    <row r="492" spans="5:24" x14ac:dyDescent="0.25">
      <c r="E492" s="589"/>
      <c r="F492" s="555"/>
      <c r="G492" s="51"/>
      <c r="H492" s="27" t="s">
        <v>499</v>
      </c>
      <c r="I492" s="50" t="str">
        <f>IF(F29="","",F29*Inputs!$B$39*$Q$61)</f>
        <v/>
      </c>
      <c r="J492" s="50" t="str">
        <f>IF(G29="","",G29*Inputs!$B$39*$Q$61)</f>
        <v/>
      </c>
      <c r="K492" s="50" t="str">
        <f>IF(H29="","",H29*Inputs!$B$39*$Q$61)</f>
        <v/>
      </c>
      <c r="L492" s="50" t="str">
        <f>IF(I29="","",I29*Inputs!$B$39*$Q$61)</f>
        <v/>
      </c>
      <c r="M492" s="50" t="str">
        <f>IF(J29="","",J29*Inputs!$B$39*$Q$61)</f>
        <v/>
      </c>
      <c r="N492" s="50" t="str">
        <f>IF(K29="","",K29*Inputs!$B$39*$Q$61)</f>
        <v/>
      </c>
      <c r="O492" s="50" t="str">
        <f>IF(L29="","",L29*Inputs!$B$39*$Q$61)</f>
        <v/>
      </c>
      <c r="P492" s="50" t="str">
        <f>IF(M29="","",M29*Inputs!$B$39*$Q$61)</f>
        <v/>
      </c>
      <c r="Q492" s="50" t="str">
        <f>IF(N29="","",N29*Inputs!$B$39*$Q$61)</f>
        <v/>
      </c>
      <c r="R492" s="50" t="str">
        <f>IF(O29="","",O29*Inputs!$B$39*$Q$61)</f>
        <v/>
      </c>
      <c r="S492" s="50" t="str">
        <f>IF(P29="","",P29*Inputs!$B$39*$Q$61)</f>
        <v/>
      </c>
      <c r="T492" s="50" t="str">
        <f>IF(Q29="","",Q29*Inputs!$B$39*$Q$52)</f>
        <v/>
      </c>
      <c r="U492" s="50" t="str">
        <f>IF(R29="","",R29*Inputs!$B$39*$Q$52)</f>
        <v/>
      </c>
      <c r="V492" s="50" t="str">
        <f>IF(S29="","",S29*Inputs!$B$39*$Q$52)</f>
        <v/>
      </c>
      <c r="W492" s="50" t="str">
        <f>IF(T29="","",T29*Inputs!$B$39*$Q$52)</f>
        <v/>
      </c>
      <c r="X492" s="50" t="str">
        <f>IF(U29="","",U29*Inputs!$B$39*$Q$52)</f>
        <v/>
      </c>
    </row>
    <row r="493" spans="5:24" x14ac:dyDescent="0.25">
      <c r="E493" s="589"/>
      <c r="F493" s="555"/>
      <c r="G493" s="51"/>
      <c r="H493" s="27" t="s">
        <v>500</v>
      </c>
      <c r="I493" s="50" t="str">
        <f>IF(F30="","",F30*Inputs!$B$39*$Q$61)</f>
        <v/>
      </c>
      <c r="J493" s="50" t="str">
        <f>IF(G30="","",G30*Inputs!$B$39*$Q$61)</f>
        <v/>
      </c>
      <c r="K493" s="50" t="str">
        <f>IF(H30="","",H30*Inputs!$B$39*$Q$61)</f>
        <v/>
      </c>
      <c r="L493" s="50" t="str">
        <f>IF(I30="","",I30*Inputs!$B$39*$Q$61)</f>
        <v/>
      </c>
      <c r="M493" s="50" t="str">
        <f>IF(J30="","",J30*Inputs!$B$39*$Q$61)</f>
        <v/>
      </c>
      <c r="N493" s="50" t="str">
        <f>IF(K30="","",K30*Inputs!$B$39*$Q$61)</f>
        <v/>
      </c>
      <c r="O493" s="50" t="str">
        <f>IF(L30="","",L30*Inputs!$B$39*$Q$61)</f>
        <v/>
      </c>
      <c r="P493" s="50" t="str">
        <f>IF(M30="","",M30*Inputs!$B$39*$Q$61)</f>
        <v/>
      </c>
      <c r="Q493" s="50" t="str">
        <f>IF(N30="","",N30*Inputs!$B$39*$Q$61)</f>
        <v/>
      </c>
      <c r="R493" s="50" t="str">
        <f>IF(O30="","",O30*Inputs!$B$39*$Q$61)</f>
        <v/>
      </c>
      <c r="S493" s="50" t="str">
        <f>IF(P30="","",P30*Inputs!$B$39*$Q$61)</f>
        <v/>
      </c>
      <c r="T493" s="50" t="str">
        <f>IF(Q30="","",Q30*Inputs!$B$39*$Q$52)</f>
        <v/>
      </c>
      <c r="U493" s="50" t="str">
        <f>IF(R30="","",R30*Inputs!$B$39*$Q$52)</f>
        <v/>
      </c>
      <c r="V493" s="50" t="str">
        <f>IF(S30="","",S30*Inputs!$B$39*$Q$52)</f>
        <v/>
      </c>
      <c r="W493" s="50" t="str">
        <f>IF(T30="","",T30*Inputs!$B$39*$Q$52)</f>
        <v/>
      </c>
      <c r="X493" s="50" t="str">
        <f>IF(U30="","",U30*Inputs!$B$39*$Q$52)</f>
        <v/>
      </c>
    </row>
    <row r="494" spans="5:24" x14ac:dyDescent="0.25">
      <c r="E494" s="591"/>
      <c r="F494" s="555"/>
      <c r="G494" s="52"/>
      <c r="H494" s="29" t="s">
        <v>501</v>
      </c>
      <c r="I494" s="50" t="str">
        <f>IF(F31="","",F31*Inputs!$B$39*$Q$61)</f>
        <v/>
      </c>
      <c r="J494" s="50" t="str">
        <f>IF(G31="","",G31*Inputs!$B$39*$Q$61)</f>
        <v/>
      </c>
      <c r="K494" s="50" t="str">
        <f>IF(H31="","",H31*Inputs!$B$39*$Q$61)</f>
        <v/>
      </c>
      <c r="L494" s="50" t="str">
        <f>IF(I31="","",I31*Inputs!$B$39*$Q$61)</f>
        <v/>
      </c>
      <c r="M494" s="50" t="str">
        <f>IF(J31="","",J31*Inputs!$B$39*$Q$61)</f>
        <v/>
      </c>
      <c r="N494" s="50" t="str">
        <f>IF(K31="","",K31*Inputs!$B$39*$Q$61)</f>
        <v/>
      </c>
      <c r="O494" s="50" t="str">
        <f>IF(L31="","",L31*Inputs!$B$39*$Q$61)</f>
        <v/>
      </c>
      <c r="P494" s="50" t="str">
        <f>IF(M31="","",M31*Inputs!$B$39*$Q$61)</f>
        <v/>
      </c>
      <c r="Q494" s="50" t="str">
        <f>IF(N31="","",N31*Inputs!$B$39*$Q$61)</f>
        <v/>
      </c>
      <c r="R494" s="50" t="str">
        <f>IF(O31="","",O31*Inputs!$B$39*$Q$61)</f>
        <v/>
      </c>
      <c r="S494" s="50" t="str">
        <f>IF(P31="","",P31*Inputs!$B$39*$Q$61)</f>
        <v/>
      </c>
      <c r="T494" s="50" t="str">
        <f>IF(Q31="","",Q31*Inputs!$B$39*$Q$52)</f>
        <v/>
      </c>
      <c r="U494" s="50" t="str">
        <f>IF(R31="","",R31*Inputs!$B$39*$Q$52)</f>
        <v/>
      </c>
      <c r="V494" s="50" t="str">
        <f>IF(S31="","",S31*Inputs!$B$39*$Q$52)</f>
        <v/>
      </c>
      <c r="W494" s="50" t="str">
        <f>IF(T31="","",T31*Inputs!$B$39*$Q$52)</f>
        <v/>
      </c>
      <c r="X494" s="50" t="str">
        <f>IF(U31="","",U31*Inputs!$B$39*$Q$52)</f>
        <v/>
      </c>
    </row>
    <row r="495" spans="5:24" x14ac:dyDescent="0.25">
      <c r="E495" s="624"/>
      <c r="F495" s="555"/>
      <c r="G495" s="50"/>
      <c r="H495" s="24" t="s">
        <v>498</v>
      </c>
      <c r="I495" s="50" t="str">
        <f>IF(F32="","",F32*Inputs!$B$39*$Q$67)</f>
        <v/>
      </c>
      <c r="J495" s="50" t="str">
        <f>IF(G32="","",G32*Inputs!$B$39*$Q$67)</f>
        <v/>
      </c>
      <c r="K495" s="50" t="str">
        <f>IF(H32="","",H32*Inputs!$B$39*$Q$67)</f>
        <v/>
      </c>
      <c r="L495" s="50" t="str">
        <f>IF(I32="","",I32*Inputs!$B$39*$Q$67)</f>
        <v/>
      </c>
      <c r="M495" s="50" t="str">
        <f>IF(J32="","",J32*Inputs!$B$39*$Q$67)</f>
        <v/>
      </c>
      <c r="N495" s="50" t="str">
        <f>IF(K32="","",K32*Inputs!$B$39*$Q$67)</f>
        <v/>
      </c>
      <c r="O495" s="50" t="str">
        <f>IF(L32="","",L32*Inputs!$B$39*$Q$67)</f>
        <v/>
      </c>
      <c r="P495" s="50" t="str">
        <f>IF(M32="","",M32*Inputs!$B$39*$Q$67)</f>
        <v/>
      </c>
      <c r="Q495" s="50" t="str">
        <f>IF(N32="","",N32*Inputs!$B$39*$Q$67)</f>
        <v/>
      </c>
      <c r="R495" s="50" t="str">
        <f>IF(O32="","",O32*Inputs!$B$39*$Q$67)</f>
        <v/>
      </c>
      <c r="S495" s="50" t="str">
        <f>IF(P32="","",P32*Inputs!$B$39*$Q$67)</f>
        <v/>
      </c>
      <c r="T495" s="50" t="str">
        <f>IF(Q32="","",Q32*Inputs!$B$39*$Q$52)</f>
        <v/>
      </c>
      <c r="U495" s="50" t="str">
        <f>IF(R32="","",R32*Inputs!$B$39*$Q$52)</f>
        <v/>
      </c>
      <c r="V495" s="50" t="str">
        <f>IF(S32="","",S32*Inputs!$B$39*$Q$52)</f>
        <v/>
      </c>
      <c r="W495" s="50" t="str">
        <f>IF(T32="","",T32*Inputs!$B$39*$Q$52)</f>
        <v/>
      </c>
      <c r="X495" s="50" t="str">
        <f>IF(U32="","",U32*Inputs!$B$39*$Q$52)</f>
        <v/>
      </c>
    </row>
    <row r="496" spans="5:24" x14ac:dyDescent="0.25">
      <c r="E496" s="589"/>
      <c r="F496" s="555"/>
      <c r="G496" s="51"/>
      <c r="H496" s="27" t="s">
        <v>499</v>
      </c>
      <c r="I496" s="50" t="str">
        <f>IF(F33="","",F33*Inputs!$B$39*$Q$67)</f>
        <v/>
      </c>
      <c r="J496" s="50" t="str">
        <f>IF(G33="","",G33*Inputs!$B$39*$Q$67)</f>
        <v/>
      </c>
      <c r="K496" s="50" t="str">
        <f>IF(H33="","",H33*Inputs!$B$39*$Q$67)</f>
        <v/>
      </c>
      <c r="L496" s="50" t="str">
        <f>IF(I33="","",I33*Inputs!$B$39*$Q$67)</f>
        <v/>
      </c>
      <c r="M496" s="50" t="str">
        <f>IF(J33="","",J33*Inputs!$B$39*$Q$67)</f>
        <v/>
      </c>
      <c r="N496" s="50" t="str">
        <f>IF(K33="","",K33*Inputs!$B$39*$Q$67)</f>
        <v/>
      </c>
      <c r="O496" s="50" t="str">
        <f>IF(L33="","",L33*Inputs!$B$39*$Q$67)</f>
        <v/>
      </c>
      <c r="P496" s="50" t="str">
        <f>IF(M33="","",M33*Inputs!$B$39*$Q$67)</f>
        <v/>
      </c>
      <c r="Q496" s="50" t="str">
        <f>IF(N33="","",N33*Inputs!$B$39*$Q$67)</f>
        <v/>
      </c>
      <c r="R496" s="50" t="str">
        <f>IF(O33="","",O33*Inputs!$B$39*$Q$67)</f>
        <v/>
      </c>
      <c r="S496" s="50" t="str">
        <f>IF(P33="","",P33*Inputs!$B$39*$Q$67)</f>
        <v/>
      </c>
      <c r="T496" s="50" t="str">
        <f>IF(Q33="","",Q33*Inputs!$B$39*$Q$52)</f>
        <v/>
      </c>
      <c r="U496" s="50" t="str">
        <f>IF(R33="","",R33*Inputs!$B$39*$Q$52)</f>
        <v/>
      </c>
      <c r="V496" s="50" t="str">
        <f>IF(S33="","",S33*Inputs!$B$39*$Q$52)</f>
        <v/>
      </c>
      <c r="W496" s="50" t="str">
        <f>IF(T33="","",T33*Inputs!$B$39*$Q$52)</f>
        <v/>
      </c>
      <c r="X496" s="50" t="str">
        <f>IF(U33="","",U33*Inputs!$B$39*$Q$52)</f>
        <v/>
      </c>
    </row>
    <row r="497" spans="5:24" x14ac:dyDescent="0.25">
      <c r="E497" s="589"/>
      <c r="F497" s="555"/>
      <c r="G497" s="51"/>
      <c r="H497" s="27" t="s">
        <v>500</v>
      </c>
      <c r="I497" s="50" t="str">
        <f>IF(F34="","",F34*Inputs!$B$39*$Q$67)</f>
        <v/>
      </c>
      <c r="J497" s="50" t="str">
        <f>IF(G34="","",G34*Inputs!$B$39*$Q$67)</f>
        <v/>
      </c>
      <c r="K497" s="50" t="str">
        <f>IF(H34="","",H34*Inputs!$B$39*$Q$67)</f>
        <v/>
      </c>
      <c r="L497" s="50" t="str">
        <f>IF(I34="","",I34*Inputs!$B$39*$Q$67)</f>
        <v/>
      </c>
      <c r="M497" s="50" t="str">
        <f>IF(J34="","",J34*Inputs!$B$39*$Q$67)</f>
        <v/>
      </c>
      <c r="N497" s="50" t="str">
        <f>IF(K34="","",K34*Inputs!$B$39*$Q$67)</f>
        <v/>
      </c>
      <c r="O497" s="50" t="str">
        <f>IF(L34="","",L34*Inputs!$B$39*$Q$67)</f>
        <v/>
      </c>
      <c r="P497" s="50" t="str">
        <f>IF(M34="","",M34*Inputs!$B$39*$Q$67)</f>
        <v/>
      </c>
      <c r="Q497" s="50" t="str">
        <f>IF(N34="","",N34*Inputs!$B$39*$Q$67)</f>
        <v/>
      </c>
      <c r="R497" s="50" t="str">
        <f>IF(O34="","",O34*Inputs!$B$39*$Q$67)</f>
        <v/>
      </c>
      <c r="S497" s="50" t="str">
        <f>IF(P34="","",P34*Inputs!$B$39*$Q$67)</f>
        <v/>
      </c>
      <c r="T497" s="50" t="str">
        <f>IF(Q34="","",Q34*Inputs!$B$39*$Q$52)</f>
        <v/>
      </c>
      <c r="U497" s="50" t="str">
        <f>IF(R34="","",R34*Inputs!$B$39*$Q$52)</f>
        <v/>
      </c>
      <c r="V497" s="50" t="str">
        <f>IF(S34="","",S34*Inputs!$B$39*$Q$52)</f>
        <v/>
      </c>
      <c r="W497" s="50" t="str">
        <f>IF(T34="","",T34*Inputs!$B$39*$Q$52)</f>
        <v/>
      </c>
      <c r="X497" s="50" t="str">
        <f>IF(U34="","",U34*Inputs!$B$39*$Q$52)</f>
        <v/>
      </c>
    </row>
    <row r="498" spans="5:24" x14ac:dyDescent="0.25">
      <c r="E498" s="591"/>
      <c r="F498" s="555"/>
      <c r="G498" s="52"/>
      <c r="H498" s="29" t="s">
        <v>501</v>
      </c>
      <c r="I498" s="50" t="str">
        <f>IF(F35="","",F35*Inputs!$B$39*$Q$67)</f>
        <v/>
      </c>
      <c r="J498" s="50" t="str">
        <f>IF(G35="","",G35*Inputs!$B$39*$Q$67)</f>
        <v/>
      </c>
      <c r="K498" s="50" t="str">
        <f>IF(H35="","",H35*Inputs!$B$39*$Q$67)</f>
        <v/>
      </c>
      <c r="L498" s="50" t="str">
        <f>IF(I35="","",I35*Inputs!$B$39*$Q$67)</f>
        <v/>
      </c>
      <c r="M498" s="50" t="str">
        <f>IF(J35="","",J35*Inputs!$B$39*$Q$67)</f>
        <v/>
      </c>
      <c r="N498" s="50" t="str">
        <f>IF(K35="","",K35*Inputs!$B$39*$Q$67)</f>
        <v/>
      </c>
      <c r="O498" s="50" t="str">
        <f>IF(L35="","",L35*Inputs!$B$39*$Q$67)</f>
        <v/>
      </c>
      <c r="P498" s="50" t="str">
        <f>IF(M35="","",M35*Inputs!$B$39*$Q$67)</f>
        <v/>
      </c>
      <c r="Q498" s="50" t="str">
        <f>IF(N35="","",N35*Inputs!$B$39*$Q$67)</f>
        <v/>
      </c>
      <c r="R498" s="50" t="str">
        <f>IF(O35="","",O35*Inputs!$B$39*$Q$67)</f>
        <v/>
      </c>
      <c r="S498" s="50" t="str">
        <f>IF(P35="","",P35*Inputs!$B$39*$Q$67)</f>
        <v/>
      </c>
      <c r="T498" s="50" t="str">
        <f>IF(Q35="","",Q35*Inputs!$B$39*$Q$52)</f>
        <v/>
      </c>
      <c r="U498" s="50" t="str">
        <f>IF(R35="","",R35*Inputs!$B$39*$Q$52)</f>
        <v/>
      </c>
      <c r="V498" s="50" t="str">
        <f>IF(S35="","",S35*Inputs!$B$39*$Q$52)</f>
        <v/>
      </c>
      <c r="W498" s="50" t="str">
        <f>IF(T35="","",T35*Inputs!$B$39*$Q$52)</f>
        <v/>
      </c>
      <c r="X498" s="50" t="str">
        <f>IF(U35="","",U35*Inputs!$B$39*$Q$52)</f>
        <v/>
      </c>
    </row>
    <row r="499" spans="5:24" x14ac:dyDescent="0.25">
      <c r="E499" s="631"/>
      <c r="F499" s="555"/>
      <c r="G499" s="50"/>
      <c r="H499" s="24" t="s">
        <v>498</v>
      </c>
      <c r="I499" s="50" t="str">
        <f>IF(F36="","",F36*Inputs!$B$39*$Q$73)</f>
        <v/>
      </c>
      <c r="J499" s="50" t="str">
        <f>IF(G36="","",G36*Inputs!$B$39*$Q$73)</f>
        <v/>
      </c>
      <c r="K499" s="50" t="str">
        <f>IF(H36="","",H36*Inputs!$B$39*$Q$73)</f>
        <v/>
      </c>
      <c r="L499" s="50" t="str">
        <f>IF(I36="","",I36*Inputs!$B$39*$Q$73)</f>
        <v/>
      </c>
      <c r="M499" s="50" t="str">
        <f>IF(J36="","",J36*Inputs!$B$39*$Q$73)</f>
        <v/>
      </c>
      <c r="N499" s="50" t="str">
        <f>IF(K36="","",K36*Inputs!$B$39*$Q$73)</f>
        <v/>
      </c>
      <c r="O499" s="50" t="str">
        <f>IF(L36="","",L36*Inputs!$B$39*$Q$73)</f>
        <v/>
      </c>
      <c r="P499" s="50" t="str">
        <f>IF(M36="","",M36*Inputs!$B$39*$Q$73)</f>
        <v/>
      </c>
      <c r="Q499" s="50" t="str">
        <f>IF(N36="","",N36*Inputs!$B$39*$Q$73)</f>
        <v/>
      </c>
      <c r="R499" s="50" t="str">
        <f>IF(O36="","",O36*Inputs!$B$39*$Q$73)</f>
        <v/>
      </c>
      <c r="S499" s="50" t="str">
        <f>IF(P36="","",P36*Inputs!$B$39*$Q$73)</f>
        <v/>
      </c>
      <c r="T499" s="50" t="str">
        <f>IF(Q36="","",Q36*Inputs!$B$39*$Q$52)</f>
        <v/>
      </c>
      <c r="U499" s="50" t="str">
        <f>IF(R36="","",R36*Inputs!$B$39*$Q$52)</f>
        <v/>
      </c>
      <c r="V499" s="50" t="str">
        <f>IF(S36="","",S36*Inputs!$B$39*$Q$52)</f>
        <v/>
      </c>
      <c r="W499" s="50" t="str">
        <f>IF(T36="","",T36*Inputs!$B$39*$Q$52)</f>
        <v/>
      </c>
      <c r="X499" s="50" t="str">
        <f>IF(U36="","",U36*Inputs!$B$39*$Q$52)</f>
        <v/>
      </c>
    </row>
    <row r="500" spans="5:24" x14ac:dyDescent="0.25">
      <c r="E500" s="589"/>
      <c r="F500" s="555"/>
      <c r="G500" s="51"/>
      <c r="H500" s="27" t="s">
        <v>499</v>
      </c>
      <c r="I500" s="50" t="str">
        <f>IF(F37="","",F37*Inputs!$B$39*$Q$73)</f>
        <v/>
      </c>
      <c r="J500" s="50" t="str">
        <f>IF(G37="","",G37*Inputs!$B$39*$Q$73)</f>
        <v/>
      </c>
      <c r="K500" s="50" t="str">
        <f>IF(H37="","",H37*Inputs!$B$39*$Q$73)</f>
        <v/>
      </c>
      <c r="L500" s="50" t="str">
        <f>IF(I37="","",I37*Inputs!$B$39*$Q$73)</f>
        <v/>
      </c>
      <c r="M500" s="50" t="str">
        <f>IF(J37="","",J37*Inputs!$B$39*$Q$73)</f>
        <v/>
      </c>
      <c r="N500" s="50" t="str">
        <f>IF(K37="","",K37*Inputs!$B$39*$Q$73)</f>
        <v/>
      </c>
      <c r="O500" s="50" t="str">
        <f>IF(L37="","",L37*Inputs!$B$39*$Q$73)</f>
        <v/>
      </c>
      <c r="P500" s="50" t="str">
        <f>IF(M37="","",M37*Inputs!$B$39*$Q$73)</f>
        <v/>
      </c>
      <c r="Q500" s="50" t="str">
        <f>IF(N37="","",N37*Inputs!$B$39*$Q$73)</f>
        <v/>
      </c>
      <c r="R500" s="50" t="str">
        <f>IF(O37="","",O37*Inputs!$B$39*$Q$73)</f>
        <v/>
      </c>
      <c r="S500" s="50" t="str">
        <f>IF(P37="","",P37*Inputs!$B$39*$Q$73)</f>
        <v/>
      </c>
      <c r="T500" s="50" t="str">
        <f>IF(Q37="","",Q37*Inputs!$B$39*$Q$52)</f>
        <v/>
      </c>
      <c r="U500" s="50" t="str">
        <f>IF(R37="","",R37*Inputs!$B$39*$Q$52)</f>
        <v/>
      </c>
      <c r="V500" s="50" t="str">
        <f>IF(S37="","",S37*Inputs!$B$39*$Q$52)</f>
        <v/>
      </c>
      <c r="W500" s="50" t="str">
        <f>IF(T37="","",T37*Inputs!$B$39*$Q$52)</f>
        <v/>
      </c>
      <c r="X500" s="50" t="str">
        <f>IF(U37="","",U37*Inputs!$B$39*$Q$52)</f>
        <v/>
      </c>
    </row>
    <row r="501" spans="5:24" x14ac:dyDescent="0.25">
      <c r="E501" s="589"/>
      <c r="F501" s="555"/>
      <c r="G501" s="51"/>
      <c r="H501" s="27" t="s">
        <v>500</v>
      </c>
      <c r="I501" s="50" t="str">
        <f>IF(F38="","",F38*Inputs!$B$39*$Q$73)</f>
        <v/>
      </c>
      <c r="J501" s="50" t="str">
        <f>IF(G38="","",G38*Inputs!$B$39*$Q$73)</f>
        <v/>
      </c>
      <c r="K501" s="50" t="str">
        <f>IF(H38="","",H38*Inputs!$B$39*$Q$73)</f>
        <v/>
      </c>
      <c r="L501" s="50" t="str">
        <f>IF(I38="","",I38*Inputs!$B$39*$Q$73)</f>
        <v/>
      </c>
      <c r="M501" s="50" t="str">
        <f>IF(J38="","",J38*Inputs!$B$39*$Q$73)</f>
        <v/>
      </c>
      <c r="N501" s="50" t="str">
        <f>IF(K38="","",K38*Inputs!$B$39*$Q$73)</f>
        <v/>
      </c>
      <c r="O501" s="50" t="str">
        <f>IF(L38="","",L38*Inputs!$B$39*$Q$73)</f>
        <v/>
      </c>
      <c r="P501" s="50" t="str">
        <f>IF(M38="","",M38*Inputs!$B$39*$Q$73)</f>
        <v/>
      </c>
      <c r="Q501" s="50" t="str">
        <f>IF(N38="","",N38*Inputs!$B$39*$Q$73)</f>
        <v/>
      </c>
      <c r="R501" s="50" t="str">
        <f>IF(O38="","",O38*Inputs!$B$39*$Q$73)</f>
        <v/>
      </c>
      <c r="S501" s="50" t="str">
        <f>IF(P38="","",P38*Inputs!$B$39*$Q$73)</f>
        <v/>
      </c>
      <c r="T501" s="50" t="str">
        <f>IF(Q38="","",Q38*Inputs!$B$39*$Q$52)</f>
        <v/>
      </c>
      <c r="U501" s="50" t="str">
        <f>IF(R38="","",R38*Inputs!$B$39*$Q$52)</f>
        <v/>
      </c>
      <c r="V501" s="50" t="str">
        <f>IF(S38="","",S38*Inputs!$B$39*$Q$52)</f>
        <v/>
      </c>
      <c r="W501" s="50" t="str">
        <f>IF(T38="","",T38*Inputs!$B$39*$Q$52)</f>
        <v/>
      </c>
      <c r="X501" s="50" t="str">
        <f>IF(U38="","",U38*Inputs!$B$39*$Q$52)</f>
        <v/>
      </c>
    </row>
    <row r="502" spans="5:24" x14ac:dyDescent="0.25">
      <c r="E502" s="591"/>
      <c r="F502" s="555"/>
      <c r="G502" s="52"/>
      <c r="H502" s="29" t="s">
        <v>501</v>
      </c>
      <c r="I502" s="50" t="str">
        <f>IF(F39="","",F39*Inputs!$B$39*$Q$73)</f>
        <v/>
      </c>
      <c r="J502" s="50" t="str">
        <f>IF(G39="","",G39*Inputs!$B$39*$Q$73)</f>
        <v/>
      </c>
      <c r="K502" s="50" t="str">
        <f>IF(H39="","",H39*Inputs!$B$39*$Q$73)</f>
        <v/>
      </c>
      <c r="L502" s="50" t="str">
        <f>IF(I39="","",I39*Inputs!$B$39*$Q$73)</f>
        <v/>
      </c>
      <c r="M502" s="50" t="str">
        <f>IF(J39="","",J39*Inputs!$B$39*$Q$73)</f>
        <v/>
      </c>
      <c r="N502" s="50" t="str">
        <f>IF(K39="","",K39*Inputs!$B$39*$Q$73)</f>
        <v/>
      </c>
      <c r="O502" s="50" t="str">
        <f>IF(L39="","",L39*Inputs!$B$39*$Q$73)</f>
        <v/>
      </c>
      <c r="P502" s="50" t="str">
        <f>IF(M39="","",M39*Inputs!$B$39*$Q$73)</f>
        <v/>
      </c>
      <c r="Q502" s="50" t="str">
        <f>IF(N39="","",N39*Inputs!$B$39*$Q$73)</f>
        <v/>
      </c>
      <c r="R502" s="50" t="str">
        <f>IF(O39="","",O39*Inputs!$B$39*$Q$73)</f>
        <v/>
      </c>
      <c r="S502" s="50" t="str">
        <f>IF(P39="","",P39*Inputs!$B$39*$Q$73)</f>
        <v/>
      </c>
      <c r="T502" s="50" t="str">
        <f>IF(Q39="","",Q39*Inputs!$B$39*$Q$52)</f>
        <v/>
      </c>
      <c r="U502" s="50" t="str">
        <f>IF(R39="","",R39*Inputs!$B$39*$Q$52)</f>
        <v/>
      </c>
      <c r="V502" s="50" t="str">
        <f>IF(S39="","",S39*Inputs!$B$39*$Q$52)</f>
        <v/>
      </c>
      <c r="W502" s="50" t="str">
        <f>IF(T39="","",T39*Inputs!$B$39*$Q$52)</f>
        <v/>
      </c>
      <c r="X502" s="50" t="str">
        <f>IF(U39="","",U39*Inputs!$B$39*$Q$52)</f>
        <v/>
      </c>
    </row>
    <row r="503" spans="5:24" x14ac:dyDescent="0.25">
      <c r="E503" s="620"/>
      <c r="F503" s="555"/>
      <c r="G503" s="51"/>
      <c r="H503" s="27" t="s">
        <v>498</v>
      </c>
      <c r="I503" s="50" t="str">
        <f>IF(F40="","",F40*Inputs!$B$39*$Q$79)</f>
        <v/>
      </c>
      <c r="J503" s="50" t="str">
        <f>IF(G40="","",G40*Inputs!$B$39*$Q$79)</f>
        <v/>
      </c>
      <c r="K503" s="50" t="str">
        <f>IF(H40="","",H40*Inputs!$B$39*$Q$79)</f>
        <v/>
      </c>
      <c r="L503" s="50" t="str">
        <f>IF(I40="","",I40*Inputs!$B$39*$Q$79)</f>
        <v/>
      </c>
      <c r="M503" s="50" t="str">
        <f>IF(J40="","",J40*Inputs!$B$39*$Q$79)</f>
        <v/>
      </c>
      <c r="N503" s="50" t="str">
        <f>IF(K40="","",K40*Inputs!$B$39*$Q$79)</f>
        <v/>
      </c>
      <c r="O503" s="50" t="str">
        <f>IF(L40="","",L40*Inputs!$B$39*$Q$79)</f>
        <v/>
      </c>
      <c r="P503" s="50" t="str">
        <f>IF(M40="","",M40*Inputs!$B$39*$Q$79)</f>
        <v/>
      </c>
      <c r="Q503" s="50" t="str">
        <f>IF(N40="","",N40*Inputs!$B$39*$Q$79)</f>
        <v/>
      </c>
      <c r="R503" s="50" t="str">
        <f>IF(O40="","",O40*Inputs!$B$39*$Q$79)</f>
        <v/>
      </c>
      <c r="S503" s="50" t="str">
        <f>IF(P40="","",P40*Inputs!$B$39*$Q$79)</f>
        <v/>
      </c>
      <c r="T503" s="50" t="str">
        <f>IF(Q40="","",Q40*Inputs!$B$39*$Q$52)</f>
        <v/>
      </c>
      <c r="U503" s="50" t="str">
        <f>IF(R40="","",R40*Inputs!$B$39*$Q$52)</f>
        <v/>
      </c>
      <c r="V503" s="50" t="str">
        <f>IF(S40="","",S40*Inputs!$B$39*$Q$52)</f>
        <v/>
      </c>
      <c r="W503" s="50" t="str">
        <f>IF(T40="","",T40*Inputs!$B$39*$Q$52)</f>
        <v/>
      </c>
      <c r="X503" s="50" t="str">
        <f>IF(U40="","",U40*Inputs!$B$39*$Q$52)</f>
        <v/>
      </c>
    </row>
    <row r="504" spans="5:24" x14ac:dyDescent="0.25">
      <c r="E504" s="589"/>
      <c r="F504" s="555"/>
      <c r="G504" s="51"/>
      <c r="H504" s="27" t="s">
        <v>499</v>
      </c>
      <c r="I504" s="50" t="str">
        <f>IF(F41="","",F41*Inputs!$B$39*$Q$79)</f>
        <v/>
      </c>
      <c r="J504" s="50" t="str">
        <f>IF(G41="","",G41*Inputs!$B$39*$Q$79)</f>
        <v/>
      </c>
      <c r="K504" s="50" t="str">
        <f>IF(H41="","",H41*Inputs!$B$39*$Q$79)</f>
        <v/>
      </c>
      <c r="L504" s="50" t="str">
        <f>IF(I41="","",I41*Inputs!$B$39*$Q$79)</f>
        <v/>
      </c>
      <c r="M504" s="50" t="str">
        <f>IF(J41="","",J41*Inputs!$B$39*$Q$79)</f>
        <v/>
      </c>
      <c r="N504" s="50" t="str">
        <f>IF(K41="","",K41*Inputs!$B$39*$Q$79)</f>
        <v/>
      </c>
      <c r="O504" s="50" t="str">
        <f>IF(L41="","",L41*Inputs!$B$39*$Q$79)</f>
        <v/>
      </c>
      <c r="P504" s="50" t="str">
        <f>IF(M41="","",M41*Inputs!$B$39*$Q$79)</f>
        <v/>
      </c>
      <c r="Q504" s="50" t="str">
        <f>IF(N41="","",N41*Inputs!$B$39*$Q$79)</f>
        <v/>
      </c>
      <c r="R504" s="50" t="str">
        <f>IF(O41="","",O41*Inputs!$B$39*$Q$79)</f>
        <v/>
      </c>
      <c r="S504" s="50" t="str">
        <f>IF(P41="","",P41*Inputs!$B$39*$Q$79)</f>
        <v/>
      </c>
      <c r="T504" s="50" t="str">
        <f>IF(Q41="","",Q41*Inputs!$B$39*$Q$52)</f>
        <v/>
      </c>
      <c r="U504" s="50" t="str">
        <f>IF(R41="","",R41*Inputs!$B$39*$Q$52)</f>
        <v/>
      </c>
      <c r="V504" s="50" t="str">
        <f>IF(S41="","",S41*Inputs!$B$39*$Q$52)</f>
        <v/>
      </c>
      <c r="W504" s="50" t="str">
        <f>IF(T41="","",T41*Inputs!$B$39*$Q$52)</f>
        <v/>
      </c>
      <c r="X504" s="50" t="str">
        <f>IF(U41="","",U41*Inputs!$B$39*$Q$52)</f>
        <v/>
      </c>
    </row>
    <row r="505" spans="5:24" x14ac:dyDescent="0.25">
      <c r="E505" s="589"/>
      <c r="F505" s="555"/>
      <c r="G505" s="51"/>
      <c r="H505" s="27" t="s">
        <v>500</v>
      </c>
      <c r="I505" s="50" t="str">
        <f>IF(F42="","",F42*Inputs!$B$39*$Q$79)</f>
        <v/>
      </c>
      <c r="J505" s="50" t="str">
        <f>IF(G42="","",G42*Inputs!$B$39*$Q$79)</f>
        <v/>
      </c>
      <c r="K505" s="50" t="str">
        <f>IF(H42="","",H42*Inputs!$B$39*$Q$79)</f>
        <v/>
      </c>
      <c r="L505" s="50" t="str">
        <f>IF(I42="","",I42*Inputs!$B$39*$Q$79)</f>
        <v/>
      </c>
      <c r="M505" s="50" t="str">
        <f>IF(J42="","",J42*Inputs!$B$39*$Q$79)</f>
        <v/>
      </c>
      <c r="N505" s="50" t="str">
        <f>IF(K42="","",K42*Inputs!$B$39*$Q$79)</f>
        <v/>
      </c>
      <c r="O505" s="50" t="str">
        <f>IF(L42="","",L42*Inputs!$B$39*$Q$79)</f>
        <v/>
      </c>
      <c r="P505" s="50" t="str">
        <f>IF(M42="","",M42*Inputs!$B$39*$Q$79)</f>
        <v/>
      </c>
      <c r="Q505" s="50" t="str">
        <f>IF(N42="","",N42*Inputs!$B$39*$Q$79)</f>
        <v/>
      </c>
      <c r="R505" s="50" t="str">
        <f>IF(O42="","",O42*Inputs!$B$39*$Q$79)</f>
        <v/>
      </c>
      <c r="S505" s="50" t="str">
        <f>IF(P42="","",P42*Inputs!$B$39*$Q$79)</f>
        <v/>
      </c>
      <c r="T505" s="50" t="str">
        <f>IF(Q42="","",Q42*Inputs!$B$39*$Q$52)</f>
        <v/>
      </c>
      <c r="U505" s="50" t="str">
        <f>IF(R42="","",R42*Inputs!$B$39*$Q$52)</f>
        <v/>
      </c>
      <c r="V505" s="50" t="str">
        <f>IF(S42="","",S42*Inputs!$B$39*$Q$52)</f>
        <v/>
      </c>
      <c r="W505" s="50" t="str">
        <f>IF(T42="","",T42*Inputs!$B$39*$Q$52)</f>
        <v/>
      </c>
      <c r="X505" s="50" t="str">
        <f>IF(U42="","",U42*Inputs!$B$39*$Q$52)</f>
        <v/>
      </c>
    </row>
    <row r="506" spans="5:24" x14ac:dyDescent="0.25">
      <c r="E506" s="591"/>
      <c r="F506" s="560"/>
      <c r="G506" s="52"/>
      <c r="H506" s="29" t="s">
        <v>501</v>
      </c>
      <c r="I506" s="50" t="str">
        <f>IF(F43="","",F43*Inputs!$B$39*$Q$79)</f>
        <v/>
      </c>
      <c r="J506" s="50" t="str">
        <f>IF(G43="","",G43*Inputs!$B$39*$Q$79)</f>
        <v/>
      </c>
      <c r="K506" s="50" t="str">
        <f>IF(H43="","",H43*Inputs!$B$39*$Q$79)</f>
        <v/>
      </c>
      <c r="L506" s="50" t="str">
        <f>IF(I43="","",I43*Inputs!$B$39*$Q$79)</f>
        <v/>
      </c>
      <c r="M506" s="50" t="str">
        <f>IF(J43="","",J43*Inputs!$B$39*$Q$79)</f>
        <v/>
      </c>
      <c r="N506" s="50" t="str">
        <f>IF(K43="","",K43*Inputs!$B$39*$Q$79)</f>
        <v/>
      </c>
      <c r="O506" s="50" t="str">
        <f>IF(L43="","",L43*Inputs!$B$39*$Q$79)</f>
        <v/>
      </c>
      <c r="P506" s="50" t="str">
        <f>IF(M43="","",M43*Inputs!$B$39*$Q$79)</f>
        <v/>
      </c>
      <c r="Q506" s="50" t="str">
        <f>IF(N43="","",N43*Inputs!$B$39*$Q$79)</f>
        <v/>
      </c>
      <c r="R506" s="50" t="str">
        <f>IF(O43="","",O43*Inputs!$B$39*$Q$79)</f>
        <v/>
      </c>
      <c r="S506" s="50" t="str">
        <f>IF(P43="","",P43*Inputs!$B$39*$Q$79)</f>
        <v/>
      </c>
      <c r="T506" s="50" t="str">
        <f>IF(Q43="","",Q43*Inputs!$B$39*$Q$52)</f>
        <v/>
      </c>
      <c r="U506" s="50" t="str">
        <f>IF(R43="","",R43*Inputs!$B$39*$Q$52)</f>
        <v/>
      </c>
      <c r="V506" s="50" t="str">
        <f>IF(S43="","",S43*Inputs!$B$39*$Q$52)</f>
        <v/>
      </c>
      <c r="W506" s="50" t="str">
        <f>IF(T43="","",T43*Inputs!$B$39*$Q$52)</f>
        <v/>
      </c>
      <c r="X506" s="50" t="str">
        <f>IF(U43="","",U43*Inputs!$B$39*$Q$52)</f>
        <v/>
      </c>
    </row>
  </sheetData>
  <mergeCells count="172">
    <mergeCell ref="AV3:BK3"/>
    <mergeCell ref="T432:T434"/>
    <mergeCell ref="E467:E470"/>
    <mergeCell ref="F467:F486"/>
    <mergeCell ref="AE427:AE428"/>
    <mergeCell ref="R429:R458"/>
    <mergeCell ref="AR4:AR7"/>
    <mergeCell ref="AF441:AF443"/>
    <mergeCell ref="AF450:AF452"/>
    <mergeCell ref="G438:G440"/>
    <mergeCell ref="G427:G428"/>
    <mergeCell ref="D4:D7"/>
    <mergeCell ref="AR24:AR27"/>
    <mergeCell ref="B40:B43"/>
    <mergeCell ref="W12:W15"/>
    <mergeCell ref="S441:S446"/>
    <mergeCell ref="W8:W11"/>
    <mergeCell ref="B20:B23"/>
    <mergeCell ref="T441:T443"/>
    <mergeCell ref="D20:D23"/>
    <mergeCell ref="W4:W7"/>
    <mergeCell ref="F427:F428"/>
    <mergeCell ref="AF432:AF434"/>
    <mergeCell ref="H427:H428"/>
    <mergeCell ref="W2:AP2"/>
    <mergeCell ref="R427:R428"/>
    <mergeCell ref="T427:T428"/>
    <mergeCell ref="C4:C23"/>
    <mergeCell ref="C62:C67"/>
    <mergeCell ref="D62:D64"/>
    <mergeCell ref="W427:AA427"/>
    <mergeCell ref="E429:E458"/>
    <mergeCell ref="B12:B15"/>
    <mergeCell ref="G51:G53"/>
    <mergeCell ref="AD426:AL426"/>
    <mergeCell ref="F69:F74"/>
    <mergeCell ref="AA3:AP3"/>
    <mergeCell ref="G63:G65"/>
    <mergeCell ref="AH427:AL427"/>
    <mergeCell ref="T435:T437"/>
    <mergeCell ref="E503:E506"/>
    <mergeCell ref="AF447:AF449"/>
    <mergeCell ref="T444:T446"/>
    <mergeCell ref="B32:B35"/>
    <mergeCell ref="E487:E490"/>
    <mergeCell ref="W28:W31"/>
    <mergeCell ref="F487:F506"/>
    <mergeCell ref="D74:D76"/>
    <mergeCell ref="T429:T431"/>
    <mergeCell ref="E427:E428"/>
    <mergeCell ref="D71:D73"/>
    <mergeCell ref="AF429:AF431"/>
    <mergeCell ref="E479:E482"/>
    <mergeCell ref="D40:D43"/>
    <mergeCell ref="G444:G446"/>
    <mergeCell ref="G60:G62"/>
    <mergeCell ref="AE429:AE434"/>
    <mergeCell ref="G75:G77"/>
    <mergeCell ref="F51:F56"/>
    <mergeCell ref="T456:T458"/>
    <mergeCell ref="D50:D52"/>
    <mergeCell ref="I49:O49"/>
    <mergeCell ref="D59:D61"/>
    <mergeCell ref="AF456:AF458"/>
    <mergeCell ref="E499:E502"/>
    <mergeCell ref="AR8:AR11"/>
    <mergeCell ref="H49:H50"/>
    <mergeCell ref="E48:O48"/>
    <mergeCell ref="F453:F458"/>
    <mergeCell ref="D36:D39"/>
    <mergeCell ref="T438:T440"/>
    <mergeCell ref="E491:E494"/>
    <mergeCell ref="AF438:AF440"/>
    <mergeCell ref="G72:G74"/>
    <mergeCell ref="G453:G455"/>
    <mergeCell ref="G435:G437"/>
    <mergeCell ref="AR16:AR19"/>
    <mergeCell ref="E475:E478"/>
    <mergeCell ref="V427:V428"/>
    <mergeCell ref="D28:D31"/>
    <mergeCell ref="G57:G59"/>
    <mergeCell ref="AR36:AR39"/>
    <mergeCell ref="D12:D15"/>
    <mergeCell ref="S447:S452"/>
    <mergeCell ref="AR20:AR23"/>
    <mergeCell ref="AD427:AD428"/>
    <mergeCell ref="F441:F446"/>
    <mergeCell ref="I466:X466"/>
    <mergeCell ref="D8:D11"/>
    <mergeCell ref="T453:T455"/>
    <mergeCell ref="AR2:BH2"/>
    <mergeCell ref="B16:B19"/>
    <mergeCell ref="AF444:AF446"/>
    <mergeCell ref="AF453:AF455"/>
    <mergeCell ref="D56:D58"/>
    <mergeCell ref="G447:G449"/>
    <mergeCell ref="C74:C79"/>
    <mergeCell ref="S429:S434"/>
    <mergeCell ref="C68:C73"/>
    <mergeCell ref="B28:B31"/>
    <mergeCell ref="AS4:AS23"/>
    <mergeCell ref="B4:B7"/>
    <mergeCell ref="W20:W23"/>
    <mergeCell ref="B8:B11"/>
    <mergeCell ref="X4:X23"/>
    <mergeCell ref="D16:D19"/>
    <mergeCell ref="AG427:AG428"/>
    <mergeCell ref="C50:C55"/>
    <mergeCell ref="G441:G443"/>
    <mergeCell ref="AR40:AR43"/>
    <mergeCell ref="G450:G452"/>
    <mergeCell ref="AD429:AD458"/>
    <mergeCell ref="AR12:AR15"/>
    <mergeCell ref="AS24:AS43"/>
    <mergeCell ref="B24:B27"/>
    <mergeCell ref="G69:G71"/>
    <mergeCell ref="S427:S428"/>
    <mergeCell ref="C24:C43"/>
    <mergeCell ref="D24:D27"/>
    <mergeCell ref="F435:F440"/>
    <mergeCell ref="G66:G68"/>
    <mergeCell ref="AR32:AR35"/>
    <mergeCell ref="F49:F50"/>
    <mergeCell ref="AE435:AE440"/>
    <mergeCell ref="B47:J47"/>
    <mergeCell ref="C48:C49"/>
    <mergeCell ref="F429:F434"/>
    <mergeCell ref="B36:B39"/>
    <mergeCell ref="D77:D79"/>
    <mergeCell ref="G78:G80"/>
    <mergeCell ref="W36:W39"/>
    <mergeCell ref="B48:B49"/>
    <mergeCell ref="D48:D49"/>
    <mergeCell ref="AR28:AR31"/>
    <mergeCell ref="F447:F452"/>
    <mergeCell ref="W16:W19"/>
    <mergeCell ref="E426:O426"/>
    <mergeCell ref="E49:E50"/>
    <mergeCell ref="G49:G50"/>
    <mergeCell ref="D32:D35"/>
    <mergeCell ref="E471:E474"/>
    <mergeCell ref="AF435:AF437"/>
    <mergeCell ref="I427:O427"/>
    <mergeCell ref="F75:F80"/>
    <mergeCell ref="E51:E80"/>
    <mergeCell ref="D65:D67"/>
    <mergeCell ref="R426:AA426"/>
    <mergeCell ref="AE441:AE446"/>
    <mergeCell ref="AE447:AE452"/>
    <mergeCell ref="G456:G458"/>
    <mergeCell ref="E465:X465"/>
    <mergeCell ref="T450:T452"/>
    <mergeCell ref="AF427:AF428"/>
    <mergeCell ref="B50:B79"/>
    <mergeCell ref="G432:G434"/>
    <mergeCell ref="S453:S458"/>
    <mergeCell ref="S435:S440"/>
    <mergeCell ref="AE453:AE458"/>
    <mergeCell ref="T447:T449"/>
    <mergeCell ref="W32:W35"/>
    <mergeCell ref="E495:E498"/>
    <mergeCell ref="G429:G431"/>
    <mergeCell ref="C56:C61"/>
    <mergeCell ref="F57:F62"/>
    <mergeCell ref="D53:D55"/>
    <mergeCell ref="G54:G56"/>
    <mergeCell ref="E483:E486"/>
    <mergeCell ref="W40:W43"/>
    <mergeCell ref="D68:D70"/>
    <mergeCell ref="F63:F68"/>
    <mergeCell ref="W24:W27"/>
    <mergeCell ref="X24:X43"/>
  </mergeCells>
  <conditionalFormatting sqref="I51:O80">
    <cfRule type="colorScale" priority="32">
      <colorScale>
        <cfvo type="num" val="1"/>
        <cfvo type="max"/>
        <color theme="0"/>
        <color rgb="FF00B050"/>
      </colorScale>
    </cfRule>
  </conditionalFormatting>
  <conditionalFormatting sqref="I435:O458">
    <cfRule type="colorScale" priority="30">
      <colorScale>
        <cfvo type="num" val="1"/>
        <cfvo type="max"/>
        <color theme="0"/>
        <color rgb="FF00B050"/>
      </colorScale>
    </cfRule>
  </conditionalFormatting>
  <conditionalFormatting sqref="I429:O434">
    <cfRule type="colorScale" priority="29">
      <colorScale>
        <cfvo type="num" val="1"/>
        <cfvo type="max"/>
        <color theme="0"/>
        <color rgb="FF00B050"/>
      </colorScale>
    </cfRule>
  </conditionalFormatting>
  <conditionalFormatting sqref="W435:AA440 W453:AA458">
    <cfRule type="colorScale" priority="28">
      <colorScale>
        <cfvo type="num" val="1"/>
        <cfvo type="max"/>
        <color theme="0"/>
        <color rgb="FF00B050"/>
      </colorScale>
    </cfRule>
  </conditionalFormatting>
  <conditionalFormatting sqref="W429:AA434">
    <cfRule type="colorScale" priority="27">
      <colorScale>
        <cfvo type="num" val="1"/>
        <cfvo type="max"/>
        <color theme="0"/>
        <color rgb="FF00B050"/>
      </colorScale>
    </cfRule>
  </conditionalFormatting>
  <conditionalFormatting sqref="AH435:AO440 AH453:AO458">
    <cfRule type="colorScale" priority="26">
      <colorScale>
        <cfvo type="num" val="1"/>
        <cfvo type="max"/>
        <color theme="0"/>
        <color rgb="FF00B050"/>
      </colorScale>
    </cfRule>
  </conditionalFormatting>
  <conditionalFormatting sqref="AH429:AO434">
    <cfRule type="colorScale" priority="25">
      <colorScale>
        <cfvo type="num" val="1"/>
        <cfvo type="max"/>
        <color theme="0"/>
        <color rgb="FF00B050"/>
      </colorScale>
    </cfRule>
  </conditionalFormatting>
  <conditionalFormatting sqref="W441:AA452">
    <cfRule type="colorScale" priority="24">
      <colorScale>
        <cfvo type="num" val="1"/>
        <cfvo type="max"/>
        <color theme="0"/>
        <color rgb="FF00B050"/>
      </colorScale>
    </cfRule>
  </conditionalFormatting>
  <conditionalFormatting sqref="AH441:AO452">
    <cfRule type="colorScale" priority="23">
      <colorScale>
        <cfvo type="num" val="1"/>
        <cfvo type="max"/>
        <color theme="0"/>
        <color rgb="FF00B050"/>
      </colorScale>
    </cfRule>
  </conditionalFormatting>
  <conditionalFormatting sqref="R4:U43">
    <cfRule type="colorScale" priority="5">
      <colorScale>
        <cfvo type="num" val="-4"/>
        <cfvo type="num" val="0"/>
        <cfvo type="num" val="4"/>
        <color indexed="10"/>
        <color indexed="9"/>
        <color indexed="40"/>
      </colorScale>
    </cfRule>
    <cfRule type="colorScale" priority="6">
      <colorScale>
        <cfvo type="num" val="-4"/>
        <cfvo type="num" val="0"/>
        <cfvo type="num" val="4"/>
        <color indexed="10"/>
        <color indexed="9"/>
        <color indexed="40"/>
      </colorScale>
    </cfRule>
  </conditionalFormatting>
  <conditionalFormatting sqref="F4:Q43">
    <cfRule type="colorScale" priority="1">
      <colorScale>
        <cfvo type="num" val="-4"/>
        <cfvo type="num" val="0"/>
        <cfvo type="num" val="4"/>
        <color indexed="10"/>
        <color indexed="9"/>
        <color indexed="40"/>
      </colorScale>
    </cfRule>
    <cfRule type="colorScale" priority="2">
      <colorScale>
        <cfvo type="num" val="-4"/>
        <cfvo type="num" val="0"/>
        <cfvo type="num" val="4"/>
        <color indexed="10"/>
        <color indexed="9"/>
        <color indexed="40"/>
      </colorScale>
    </cfRule>
  </conditionalFormatting>
  <pageMargins left="0.7" right="0.7" top="0.75" bottom="0.75" header="0.3" footer="0.3"/>
  <pageSetup scale="39"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pageSetUpPr fitToPage="1"/>
  </sheetPr>
  <dimension ref="A2:DD562"/>
  <sheetViews>
    <sheetView topLeftCell="A18" zoomScale="70" zoomScaleNormal="70" workbookViewId="0">
      <selection activeCell="L30" sqref="L30"/>
    </sheetView>
  </sheetViews>
  <sheetFormatPr defaultRowHeight="15" x14ac:dyDescent="0.25"/>
  <cols>
    <col min="2" max="21" width="15.7109375" customWidth="1"/>
    <col min="22" max="24" width="16.7109375" bestFit="1" customWidth="1"/>
    <col min="25" max="25" width="15.85546875" customWidth="1"/>
    <col min="26" max="26" width="15.7109375" customWidth="1"/>
    <col min="27" max="39" width="16.7109375" bestFit="1" customWidth="1"/>
    <col min="40" max="42" width="16.7109375" customWidth="1"/>
    <col min="43" max="44" width="16.7109375" bestFit="1" customWidth="1"/>
    <col min="45" max="45" width="11.5703125" bestFit="1" customWidth="1"/>
    <col min="46" max="46" width="15.85546875" bestFit="1" customWidth="1"/>
    <col min="47" max="47" width="15.7109375" bestFit="1" customWidth="1"/>
    <col min="48" max="48" width="14.85546875" bestFit="1" customWidth="1"/>
    <col min="49" max="50" width="16.7109375" bestFit="1" customWidth="1"/>
    <col min="65" max="65" width="18" bestFit="1" customWidth="1"/>
    <col min="78" max="109" width="0" hidden="1"/>
  </cols>
  <sheetData>
    <row r="2" spans="1:108" ht="15" customHeight="1" thickBot="1" x14ac:dyDescent="0.3">
      <c r="A2" t="str">
        <f>"Tilt ="&amp;Inputs!B33</f>
        <v>Tilt =XX</v>
      </c>
      <c r="B2" s="537"/>
      <c r="C2" s="538"/>
      <c r="D2" s="538"/>
      <c r="E2" s="538"/>
      <c r="F2" s="538"/>
      <c r="G2" s="538"/>
      <c r="H2" s="538"/>
      <c r="I2" s="538"/>
      <c r="J2" s="542" t="s">
        <v>541</v>
      </c>
      <c r="K2" s="538"/>
      <c r="L2" s="538"/>
      <c r="M2" s="538"/>
      <c r="N2" s="538"/>
      <c r="O2" s="538"/>
      <c r="P2" s="538"/>
      <c r="Q2" s="538"/>
      <c r="R2" s="539"/>
      <c r="S2" s="215"/>
      <c r="T2" s="215"/>
      <c r="U2" s="215"/>
      <c r="W2" s="632" t="s">
        <v>542</v>
      </c>
      <c r="X2" s="572"/>
      <c r="Y2" s="572"/>
      <c r="Z2" s="572"/>
      <c r="AA2" s="572"/>
      <c r="AB2" s="572"/>
      <c r="AC2" s="572"/>
      <c r="AD2" s="572"/>
      <c r="AE2" s="572"/>
      <c r="AF2" s="572"/>
      <c r="AG2" s="572"/>
      <c r="AH2" s="572"/>
      <c r="AI2" s="572"/>
      <c r="AJ2" s="572"/>
      <c r="AK2" s="572"/>
      <c r="AL2" s="572"/>
      <c r="AM2" s="554"/>
      <c r="AN2" s="215"/>
      <c r="AO2" s="215"/>
      <c r="AP2" s="215"/>
      <c r="AR2" s="632" t="s">
        <v>543</v>
      </c>
      <c r="AS2" s="572"/>
      <c r="AT2" s="572"/>
      <c r="AU2" s="572"/>
      <c r="AV2" s="572"/>
      <c r="AW2" s="572"/>
      <c r="AX2" s="572"/>
      <c r="AY2" s="572"/>
      <c r="AZ2" s="572"/>
      <c r="BA2" s="572"/>
      <c r="BB2" s="572"/>
      <c r="BC2" s="572"/>
      <c r="BD2" s="572"/>
      <c r="BE2" s="572"/>
      <c r="BF2" s="572"/>
      <c r="BG2" s="572"/>
      <c r="BH2" s="554"/>
      <c r="BI2" s="215"/>
      <c r="BJ2" s="215"/>
      <c r="BK2" s="215"/>
    </row>
    <row r="3" spans="1:108" ht="19.5" customHeight="1" thickBot="1" x14ac:dyDescent="0.3">
      <c r="A3" s="1"/>
      <c r="B3" s="21" t="s">
        <v>9</v>
      </c>
      <c r="C3" s="35" t="s">
        <v>495</v>
      </c>
      <c r="D3" s="35" t="s">
        <v>515</v>
      </c>
      <c r="E3" s="218" t="s">
        <v>496</v>
      </c>
      <c r="F3" s="529"/>
      <c r="G3" s="530"/>
      <c r="H3" s="530"/>
      <c r="I3" s="530"/>
      <c r="J3" s="531" t="s">
        <v>497</v>
      </c>
      <c r="K3" s="530"/>
      <c r="L3" s="530"/>
      <c r="M3" s="530"/>
      <c r="N3" s="530"/>
      <c r="O3" s="530"/>
      <c r="P3" s="530"/>
      <c r="Q3" s="530"/>
      <c r="R3" s="530"/>
      <c r="S3" s="530"/>
      <c r="T3" s="530"/>
      <c r="U3" s="532"/>
      <c r="W3" s="21" t="s">
        <v>9</v>
      </c>
      <c r="X3" s="35" t="s">
        <v>495</v>
      </c>
      <c r="Y3" s="35" t="s">
        <v>515</v>
      </c>
      <c r="Z3" s="35" t="s">
        <v>496</v>
      </c>
      <c r="AA3" s="600" t="s">
        <v>497</v>
      </c>
      <c r="AB3" s="601"/>
      <c r="AC3" s="601"/>
      <c r="AD3" s="601"/>
      <c r="AE3" s="601"/>
      <c r="AF3" s="601"/>
      <c r="AG3" s="601"/>
      <c r="AH3" s="601"/>
      <c r="AI3" s="601"/>
      <c r="AJ3" s="601"/>
      <c r="AK3" s="601"/>
      <c r="AL3" s="601"/>
      <c r="AM3" s="601"/>
      <c r="AN3" s="601"/>
      <c r="AO3" s="601"/>
      <c r="AP3" s="601"/>
      <c r="AR3" s="21" t="s">
        <v>9</v>
      </c>
      <c r="AS3" s="35" t="s">
        <v>495</v>
      </c>
      <c r="AT3" s="35" t="s">
        <v>515</v>
      </c>
      <c r="AU3" s="35" t="s">
        <v>496</v>
      </c>
      <c r="AV3" s="600" t="s">
        <v>497</v>
      </c>
      <c r="AW3" s="601"/>
      <c r="AX3" s="601"/>
      <c r="AY3" s="601"/>
      <c r="AZ3" s="601"/>
      <c r="BA3" s="601"/>
      <c r="BB3" s="601"/>
      <c r="BC3" s="601"/>
      <c r="BD3" s="601"/>
      <c r="BE3" s="601"/>
      <c r="BF3" s="601"/>
      <c r="BG3" s="601"/>
      <c r="BH3" s="601"/>
      <c r="BI3" s="601"/>
      <c r="BJ3" s="601"/>
      <c r="BK3" s="601"/>
      <c r="BM3" s="602" t="s">
        <v>544</v>
      </c>
      <c r="BN3" s="544"/>
      <c r="BO3" s="544"/>
      <c r="BP3" s="544"/>
      <c r="BQ3" s="544"/>
      <c r="BR3" s="544"/>
      <c r="BS3" s="544"/>
      <c r="BT3" s="544"/>
      <c r="BU3" s="545"/>
      <c r="BV3" s="146" t="s">
        <v>284</v>
      </c>
      <c r="BW3" s="146" t="str">
        <f>Inputs!B33</f>
        <v>XX</v>
      </c>
      <c r="BZ3" s="602" t="s">
        <v>544</v>
      </c>
      <c r="CA3" s="544"/>
      <c r="CB3" s="544"/>
      <c r="CC3" s="544"/>
      <c r="CD3" s="544"/>
      <c r="CE3" s="544"/>
      <c r="CF3" s="544"/>
      <c r="CG3" s="544"/>
      <c r="CH3" s="545"/>
      <c r="CK3" s="602" t="s">
        <v>544</v>
      </c>
      <c r="CL3" s="544"/>
      <c r="CM3" s="544"/>
      <c r="CN3" s="544"/>
      <c r="CO3" s="544"/>
      <c r="CP3" s="544"/>
      <c r="CQ3" s="544"/>
      <c r="CR3" s="544"/>
      <c r="CS3" s="545"/>
      <c r="CV3" s="602" t="s">
        <v>544</v>
      </c>
      <c r="CW3" s="544"/>
      <c r="CX3" s="544"/>
      <c r="CY3" s="544"/>
      <c r="CZ3" s="544"/>
      <c r="DA3" s="544"/>
      <c r="DB3" s="544"/>
      <c r="DC3" s="544"/>
      <c r="DD3" s="545"/>
    </row>
    <row r="4" spans="1:108" x14ac:dyDescent="0.25">
      <c r="A4" s="1"/>
      <c r="B4" s="638"/>
      <c r="C4" s="613" t="s">
        <v>6</v>
      </c>
      <c r="D4" s="588"/>
      <c r="E4" s="150"/>
      <c r="F4" s="152"/>
      <c r="G4" s="152"/>
      <c r="H4" s="152"/>
      <c r="I4" s="152"/>
      <c r="J4" s="152"/>
      <c r="K4" s="152"/>
      <c r="L4" s="152"/>
      <c r="M4" s="152"/>
      <c r="N4" s="152"/>
      <c r="O4" s="152"/>
      <c r="P4" s="152"/>
      <c r="Q4" s="152"/>
      <c r="R4" s="152"/>
      <c r="S4" s="152"/>
      <c r="T4" s="152"/>
      <c r="U4" s="152"/>
      <c r="W4" s="638"/>
      <c r="X4" s="613" t="s">
        <v>6</v>
      </c>
      <c r="Y4" s="32">
        <v>-0.14510301069024689</v>
      </c>
      <c r="Z4" s="24" t="s">
        <v>498</v>
      </c>
      <c r="AA4" s="32" t="str">
        <f>IF(F4=""," ",F4*Inputs!$B$39)</f>
        <v xml:space="preserve"> </v>
      </c>
      <c r="AB4" s="32" t="str">
        <f>IF(G4=""," ",G4*Inputs!$B$39)</f>
        <v xml:space="preserve"> </v>
      </c>
      <c r="AC4" s="32" t="str">
        <f>IF(H4=""," ",H4*Inputs!$B$39)</f>
        <v xml:space="preserve"> </v>
      </c>
      <c r="AD4" s="32" t="str">
        <f>IF(I4=""," ",I4*Inputs!$B$39)</f>
        <v xml:space="preserve"> </v>
      </c>
      <c r="AE4" s="32" t="str">
        <f>IF(J4=""," ",J4*Inputs!$B$39)</f>
        <v xml:space="preserve"> </v>
      </c>
      <c r="AF4" s="32" t="str">
        <f>IF(K4=""," ",K4*Inputs!$B$39)</f>
        <v xml:space="preserve"> </v>
      </c>
      <c r="AG4" s="32" t="str">
        <f>IF(L4=""," ",L4*Inputs!$B$39)</f>
        <v xml:space="preserve"> </v>
      </c>
      <c r="AH4" s="32" t="str">
        <f>IF(M4=""," ",M4*Inputs!$B$39)</f>
        <v xml:space="preserve"> </v>
      </c>
      <c r="AI4" s="32" t="str">
        <f>IF(N4=""," ",N4*Inputs!$B$39)</f>
        <v xml:space="preserve"> </v>
      </c>
      <c r="AJ4" s="32" t="str">
        <f>IF(O4=""," ",O4*Inputs!$B$39)</f>
        <v xml:space="preserve"> </v>
      </c>
      <c r="AK4" s="32" t="str">
        <f>IF(P4=""," ",P4*Inputs!$B$39)</f>
        <v xml:space="preserve"> </v>
      </c>
      <c r="AL4" s="32" t="str">
        <f>IF(Q4=""," ",Q4*Inputs!$B$39)</f>
        <v xml:space="preserve"> </v>
      </c>
      <c r="AM4" s="32" t="str">
        <f>IF(R4=""," ",R4*Inputs!$B$39)</f>
        <v xml:space="preserve"> </v>
      </c>
      <c r="AN4" s="32" t="str">
        <f>IF(S4=""," ",S4*Inputs!$B$39)</f>
        <v xml:space="preserve"> </v>
      </c>
      <c r="AO4" s="32" t="str">
        <f>IF(T4=""," ",T4*Inputs!$B$39)</f>
        <v xml:space="preserve"> </v>
      </c>
      <c r="AP4" s="32" t="str">
        <f>IF(U4=""," ",U4*Inputs!$B$39)</f>
        <v xml:space="preserve"> </v>
      </c>
      <c r="AR4" s="638"/>
      <c r="AS4" s="613" t="s">
        <v>6</v>
      </c>
      <c r="AT4" s="32">
        <v>-0.14510301069024689</v>
      </c>
      <c r="AU4" s="24" t="s">
        <v>498</v>
      </c>
      <c r="AV4" s="32" t="str">
        <f>IF(AA4=" "," ",AA4*Inputs!$B$53)</f>
        <v xml:space="preserve"> </v>
      </c>
      <c r="AW4" s="32" t="str">
        <f>IF(AB4=" "," ",AB4*Inputs!$B$53)</f>
        <v xml:space="preserve"> </v>
      </c>
      <c r="AX4" s="32" t="str">
        <f>IF(AC4=" "," ",AC4*Inputs!$B$53)</f>
        <v xml:space="preserve"> </v>
      </c>
      <c r="AY4" s="32" t="str">
        <f>IF(AD4=" "," ",AD4*Inputs!$B$53)</f>
        <v xml:space="preserve"> </v>
      </c>
      <c r="AZ4" s="32" t="str">
        <f>IF(AE4=" "," ",AE4*Inputs!$B$53)</f>
        <v xml:space="preserve"> </v>
      </c>
      <c r="BA4" s="32" t="str">
        <f>IF(AF4=" "," ",AF4*Inputs!$B$53)</f>
        <v xml:space="preserve"> </v>
      </c>
      <c r="BB4" s="32" t="str">
        <f>IF(AG4=" "," ",AG4*Inputs!$B$53)</f>
        <v xml:space="preserve"> </v>
      </c>
      <c r="BC4" s="32" t="str">
        <f>IF(AH4=" "," ",AH4*Inputs!$B$53)</f>
        <v xml:space="preserve"> </v>
      </c>
      <c r="BD4" s="32" t="str">
        <f>IF(AI4=" "," ",AI4*Inputs!$B$53)</f>
        <v xml:space="preserve"> </v>
      </c>
      <c r="BE4" s="32" t="str">
        <f>IF(AJ4=" "," ",AJ4*Inputs!$B$53)</f>
        <v xml:space="preserve"> </v>
      </c>
      <c r="BF4" s="32" t="str">
        <f>IF(AK4=" "," ",AK4*Inputs!$B$53)</f>
        <v xml:space="preserve"> </v>
      </c>
      <c r="BG4" s="32" t="str">
        <f>IF(AL4=" "," ",AL4*Inputs!$B$53)</f>
        <v xml:space="preserve"> </v>
      </c>
      <c r="BH4" s="32" t="str">
        <f>IF(AM4=" "," ",AM4*Inputs!$B$53)</f>
        <v xml:space="preserve"> </v>
      </c>
      <c r="BI4" s="32" t="str">
        <f>IF(AN4=" "," ",AN4*Inputs!$B$53)</f>
        <v xml:space="preserve"> </v>
      </c>
      <c r="BJ4" s="32" t="str">
        <f>IF(AO4=" "," ",AO4*Inputs!$B$53)</f>
        <v xml:space="preserve"> </v>
      </c>
      <c r="BK4" s="32" t="str">
        <f>IF(AP4=" "," ",AP4*Inputs!$B$53)</f>
        <v xml:space="preserve"> </v>
      </c>
      <c r="BM4" s="610" t="s">
        <v>41</v>
      </c>
      <c r="BN4" s="598" t="s">
        <v>9</v>
      </c>
      <c r="BO4" s="598" t="s">
        <v>495</v>
      </c>
      <c r="BP4" s="598" t="s">
        <v>520</v>
      </c>
      <c r="BQ4" s="599" t="s">
        <v>370</v>
      </c>
      <c r="BR4" s="547"/>
      <c r="BS4" s="547"/>
      <c r="BT4" s="547"/>
      <c r="BU4" s="548"/>
      <c r="BZ4" s="610" t="s">
        <v>41</v>
      </c>
      <c r="CA4" s="598" t="s">
        <v>9</v>
      </c>
      <c r="CB4" s="598" t="s">
        <v>495</v>
      </c>
      <c r="CC4" s="598" t="s">
        <v>376</v>
      </c>
      <c r="CD4" s="599" t="s">
        <v>529</v>
      </c>
      <c r="CE4" s="547"/>
      <c r="CF4" s="547"/>
      <c r="CG4" s="547"/>
      <c r="CH4" s="548"/>
      <c r="CK4" s="610" t="s">
        <v>41</v>
      </c>
      <c r="CL4" s="598" t="s">
        <v>9</v>
      </c>
      <c r="CM4" s="598" t="s">
        <v>495</v>
      </c>
      <c r="CN4" s="598" t="s">
        <v>520</v>
      </c>
      <c r="CO4" s="599" t="s">
        <v>370</v>
      </c>
      <c r="CP4" s="547"/>
      <c r="CQ4" s="547"/>
      <c r="CR4" s="547"/>
      <c r="CS4" s="548"/>
      <c r="CV4" s="610" t="s">
        <v>41</v>
      </c>
      <c r="CW4" s="598" t="s">
        <v>9</v>
      </c>
      <c r="CX4" s="598" t="s">
        <v>495</v>
      </c>
      <c r="CY4" s="598" t="s">
        <v>520</v>
      </c>
      <c r="CZ4" s="599" t="s">
        <v>370</v>
      </c>
      <c r="DA4" s="547"/>
      <c r="DB4" s="547"/>
      <c r="DC4" s="547"/>
      <c r="DD4" s="548"/>
    </row>
    <row r="5" spans="1:108" x14ac:dyDescent="0.25">
      <c r="A5" s="1"/>
      <c r="B5" s="589"/>
      <c r="C5" s="589"/>
      <c r="D5" s="589"/>
      <c r="E5" s="21"/>
      <c r="F5" s="152"/>
      <c r="G5" s="152"/>
      <c r="H5" s="152"/>
      <c r="I5" s="152"/>
      <c r="J5" s="152"/>
      <c r="K5" s="152"/>
      <c r="L5" s="152"/>
      <c r="M5" s="152"/>
      <c r="N5" s="152"/>
      <c r="O5" s="152"/>
      <c r="P5" s="152"/>
      <c r="Q5" s="152"/>
      <c r="R5" s="152"/>
      <c r="S5" s="152"/>
      <c r="T5" s="152"/>
      <c r="U5" s="152"/>
      <c r="W5" s="589"/>
      <c r="X5" s="589"/>
      <c r="Y5" s="33"/>
      <c r="Z5" s="27" t="s">
        <v>499</v>
      </c>
      <c r="AA5" s="32" t="str">
        <f>IF(F5=""," ",F5*Inputs!$B$39)</f>
        <v xml:space="preserve"> </v>
      </c>
      <c r="AB5" s="32" t="str">
        <f>IF(G5=""," ",G5*Inputs!$B$39)</f>
        <v xml:space="preserve"> </v>
      </c>
      <c r="AC5" s="32" t="str">
        <f>IF(H5=""," ",H5*Inputs!$B$39)</f>
        <v xml:space="preserve"> </v>
      </c>
      <c r="AD5" s="32" t="str">
        <f>IF(I5=""," ",I5*Inputs!$B$39)</f>
        <v xml:space="preserve"> </v>
      </c>
      <c r="AE5" s="32" t="str">
        <f>IF(J5=""," ",J5*Inputs!$B$39)</f>
        <v xml:space="preserve"> </v>
      </c>
      <c r="AF5" s="32" t="str">
        <f>IF(K5=""," ",K5*Inputs!$B$39)</f>
        <v xml:space="preserve"> </v>
      </c>
      <c r="AG5" s="32" t="str">
        <f>IF(L5=""," ",L5*Inputs!$B$39)</f>
        <v xml:space="preserve"> </v>
      </c>
      <c r="AH5" s="32" t="str">
        <f>IF(M5=""," ",M5*Inputs!$B$39)</f>
        <v xml:space="preserve"> </v>
      </c>
      <c r="AI5" s="32" t="str">
        <f>IF(N5=""," ",N5*Inputs!$B$39)</f>
        <v xml:space="preserve"> </v>
      </c>
      <c r="AJ5" s="32" t="str">
        <f>IF(O5=""," ",O5*Inputs!$B$39)</f>
        <v xml:space="preserve"> </v>
      </c>
      <c r="AK5" s="32" t="str">
        <f>IF(P5=""," ",P5*Inputs!$B$39)</f>
        <v xml:space="preserve"> </v>
      </c>
      <c r="AL5" s="32" t="str">
        <f>IF(Q5=""," ",Q5*Inputs!$B$39)</f>
        <v xml:space="preserve"> </v>
      </c>
      <c r="AM5" s="32" t="str">
        <f>IF(R5=""," ",R5*Inputs!$B$39)</f>
        <v xml:space="preserve"> </v>
      </c>
      <c r="AN5" s="32" t="str">
        <f>IF(S5=""," ",S5*Inputs!$B$39)</f>
        <v xml:space="preserve"> </v>
      </c>
      <c r="AO5" s="32" t="str">
        <f>IF(T5=""," ",T5*Inputs!$B$39)</f>
        <v xml:space="preserve"> </v>
      </c>
      <c r="AP5" s="32" t="str">
        <f>IF(U5=""," ",U5*Inputs!$B$39)</f>
        <v xml:space="preserve"> </v>
      </c>
      <c r="AR5" s="589"/>
      <c r="AS5" s="589"/>
      <c r="AT5" s="33"/>
      <c r="AU5" s="27" t="s">
        <v>499</v>
      </c>
      <c r="AV5" s="32" t="str">
        <f>IF(AA5=" "," ",AA5*Inputs!$B$53)</f>
        <v xml:space="preserve"> </v>
      </c>
      <c r="AW5" s="32" t="str">
        <f>IF(AB5=" "," ",AB5*Inputs!$B$53)</f>
        <v xml:space="preserve"> </v>
      </c>
      <c r="AX5" s="32" t="str">
        <f>IF(AC5=" "," ",AC5*Inputs!$B$53)</f>
        <v xml:space="preserve"> </v>
      </c>
      <c r="AY5" s="32" t="str">
        <f>IF(AD5=" "," ",AD5*Inputs!$B$53)</f>
        <v xml:space="preserve"> </v>
      </c>
      <c r="AZ5" s="32" t="str">
        <f>IF(AE5=" "," ",AE5*Inputs!$B$53)</f>
        <v xml:space="preserve"> </v>
      </c>
      <c r="BA5" s="32" t="str">
        <f>IF(AF5=" "," ",AF5*Inputs!$B$53)</f>
        <v xml:space="preserve"> </v>
      </c>
      <c r="BB5" s="32" t="str">
        <f>IF(AG5=" "," ",AG5*Inputs!$B$53)</f>
        <v xml:space="preserve"> </v>
      </c>
      <c r="BC5" s="32" t="str">
        <f>IF(AH5=" "," ",AH5*Inputs!$B$53)</f>
        <v xml:space="preserve"> </v>
      </c>
      <c r="BD5" s="32" t="str">
        <f>IF(AI5=" "," ",AI5*Inputs!$B$53)</f>
        <v xml:space="preserve"> </v>
      </c>
      <c r="BE5" s="32" t="str">
        <f>IF(AJ5=" "," ",AJ5*Inputs!$B$53)</f>
        <v xml:space="preserve"> </v>
      </c>
      <c r="BF5" s="32" t="str">
        <f>IF(AK5=" "," ",AK5*Inputs!$B$53)</f>
        <v xml:space="preserve"> </v>
      </c>
      <c r="BG5" s="32" t="str">
        <f>IF(AL5=" "," ",AL5*Inputs!$B$53)</f>
        <v xml:space="preserve"> </v>
      </c>
      <c r="BH5" s="32" t="str">
        <f>IF(AM5=" "," ",AM5*Inputs!$B$53)</f>
        <v xml:space="preserve"> </v>
      </c>
      <c r="BI5" s="32" t="str">
        <f>IF(AN5=" "," ",AN5*Inputs!$B$53)</f>
        <v xml:space="preserve"> </v>
      </c>
      <c r="BJ5" s="32" t="str">
        <f>IF(AO5=" "," ",AO5*Inputs!$B$53)</f>
        <v xml:space="preserve"> </v>
      </c>
      <c r="BK5" s="32" t="str">
        <f>IF(AP5=" "," ",AP5*Inputs!$B$53)</f>
        <v xml:space="preserve"> </v>
      </c>
      <c r="BM5" s="611"/>
      <c r="BN5" s="591"/>
      <c r="BO5" s="591"/>
      <c r="BP5" s="591"/>
      <c r="BQ5" s="84">
        <v>0.8</v>
      </c>
      <c r="BR5" s="84">
        <v>0.96</v>
      </c>
      <c r="BS5" s="84">
        <v>1.1200000000000001</v>
      </c>
      <c r="BT5" s="84">
        <v>1.3</v>
      </c>
      <c r="BU5" s="100">
        <v>1.5</v>
      </c>
      <c r="BW5" s="86" t="e">
        <f>Inputs!B67</f>
        <v>#VALUE!</v>
      </c>
      <c r="BZ5" s="611"/>
      <c r="CA5" s="591"/>
      <c r="CB5" s="591"/>
      <c r="CC5" s="591"/>
      <c r="CD5" s="84">
        <v>0.8</v>
      </c>
      <c r="CE5" s="84">
        <v>0.96</v>
      </c>
      <c r="CF5" s="84">
        <v>1.1200000000000001</v>
      </c>
      <c r="CG5" s="84">
        <v>1.3</v>
      </c>
      <c r="CH5" s="100">
        <v>1.5</v>
      </c>
      <c r="CK5" s="611"/>
      <c r="CL5" s="591"/>
      <c r="CM5" s="591"/>
      <c r="CN5" s="591"/>
      <c r="CO5" s="84">
        <v>0.8</v>
      </c>
      <c r="CP5" s="84">
        <v>0.96</v>
      </c>
      <c r="CQ5" s="84">
        <v>1.1200000000000001</v>
      </c>
      <c r="CR5" s="84">
        <v>1.3</v>
      </c>
      <c r="CS5" s="100">
        <v>1.5</v>
      </c>
      <c r="CV5" s="611"/>
      <c r="CW5" s="591"/>
      <c r="CX5" s="591"/>
      <c r="CY5" s="591"/>
      <c r="CZ5" s="84">
        <v>0.8</v>
      </c>
      <c r="DA5" s="84">
        <v>0.96</v>
      </c>
      <c r="DB5" s="84">
        <v>1.1200000000000001</v>
      </c>
      <c r="DC5" s="84">
        <v>1.3</v>
      </c>
      <c r="DD5" s="100">
        <v>1.5</v>
      </c>
    </row>
    <row r="6" spans="1:108" x14ac:dyDescent="0.25">
      <c r="A6" s="1"/>
      <c r="B6" s="589"/>
      <c r="C6" s="589"/>
      <c r="D6" s="589"/>
      <c r="E6" s="21"/>
      <c r="F6" s="152"/>
      <c r="G6" s="152"/>
      <c r="H6" s="152"/>
      <c r="I6" s="152"/>
      <c r="J6" s="152"/>
      <c r="K6" s="152"/>
      <c r="L6" s="152"/>
      <c r="M6" s="152"/>
      <c r="N6" s="152"/>
      <c r="O6" s="152"/>
      <c r="P6" s="152"/>
      <c r="Q6" s="152"/>
      <c r="R6" s="152"/>
      <c r="S6" s="152"/>
      <c r="T6" s="152"/>
      <c r="U6" s="152"/>
      <c r="W6" s="589"/>
      <c r="X6" s="589"/>
      <c r="Y6" s="33"/>
      <c r="Z6" s="27" t="s">
        <v>500</v>
      </c>
      <c r="AA6" s="32" t="str">
        <f>IF(F6=""," ",F6*Inputs!$B$39)</f>
        <v xml:space="preserve"> </v>
      </c>
      <c r="AB6" s="32" t="str">
        <f>IF(G6=""," ",G6*Inputs!$B$39)</f>
        <v xml:space="preserve"> </v>
      </c>
      <c r="AC6" s="32" t="str">
        <f>IF(H6=""," ",H6*Inputs!$B$39)</f>
        <v xml:space="preserve"> </v>
      </c>
      <c r="AD6" s="32" t="str">
        <f>IF(I6=""," ",I6*Inputs!$B$39)</f>
        <v xml:space="preserve"> </v>
      </c>
      <c r="AE6" s="32" t="str">
        <f>IF(J6=""," ",J6*Inputs!$B$39)</f>
        <v xml:space="preserve"> </v>
      </c>
      <c r="AF6" s="32" t="str">
        <f>IF(K6=""," ",K6*Inputs!$B$39)</f>
        <v xml:space="preserve"> </v>
      </c>
      <c r="AG6" s="32" t="str">
        <f>IF(L6=""," ",L6*Inputs!$B$39)</f>
        <v xml:space="preserve"> </v>
      </c>
      <c r="AH6" s="32" t="str">
        <f>IF(M6=""," ",M6*Inputs!$B$39)</f>
        <v xml:space="preserve"> </v>
      </c>
      <c r="AI6" s="32" t="str">
        <f>IF(N6=""," ",N6*Inputs!$B$39)</f>
        <v xml:space="preserve"> </v>
      </c>
      <c r="AJ6" s="32" t="str">
        <f>IF(O6=""," ",O6*Inputs!$B$39)</f>
        <v xml:space="preserve"> </v>
      </c>
      <c r="AK6" s="32" t="str">
        <f>IF(P6=""," ",P6*Inputs!$B$39)</f>
        <v xml:space="preserve"> </v>
      </c>
      <c r="AL6" s="32" t="str">
        <f>IF(Q6=""," ",Q6*Inputs!$B$39)</f>
        <v xml:space="preserve"> </v>
      </c>
      <c r="AM6" s="32" t="str">
        <f>IF(R6=""," ",R6*Inputs!$B$39)</f>
        <v xml:space="preserve"> </v>
      </c>
      <c r="AN6" s="32" t="str">
        <f>IF(S6=""," ",S6*Inputs!$B$39)</f>
        <v xml:space="preserve"> </v>
      </c>
      <c r="AO6" s="32" t="str">
        <f>IF(T6=""," ",T6*Inputs!$B$39)</f>
        <v xml:space="preserve"> </v>
      </c>
      <c r="AP6" s="32" t="str">
        <f>IF(U6=""," ",U6*Inputs!$B$39)</f>
        <v xml:space="preserve"> </v>
      </c>
      <c r="AR6" s="589"/>
      <c r="AS6" s="589"/>
      <c r="AT6" s="33"/>
      <c r="AU6" s="27" t="s">
        <v>500</v>
      </c>
      <c r="AV6" s="32" t="str">
        <f>IF(AA6=" "," ",AA6*Inputs!$B$53)</f>
        <v xml:space="preserve"> </v>
      </c>
      <c r="AW6" s="32" t="str">
        <f>IF(AB6=" "," ",AB6*Inputs!$B$53)</f>
        <v xml:space="preserve"> </v>
      </c>
      <c r="AX6" s="32" t="str">
        <f>IF(AC6=" "," ",AC6*Inputs!$B$53)</f>
        <v xml:space="preserve"> </v>
      </c>
      <c r="AY6" s="32" t="str">
        <f>IF(AD6=" "," ",AD6*Inputs!$B$53)</f>
        <v xml:space="preserve"> </v>
      </c>
      <c r="AZ6" s="32" t="str">
        <f>IF(AE6=" "," ",AE6*Inputs!$B$53)</f>
        <v xml:space="preserve"> </v>
      </c>
      <c r="BA6" s="32" t="str">
        <f>IF(AF6=" "," ",AF6*Inputs!$B$53)</f>
        <v xml:space="preserve"> </v>
      </c>
      <c r="BB6" s="32" t="str">
        <f>IF(AG6=" "," ",AG6*Inputs!$B$53)</f>
        <v xml:space="preserve"> </v>
      </c>
      <c r="BC6" s="32" t="str">
        <f>IF(AH6=" "," ",AH6*Inputs!$B$53)</f>
        <v xml:space="preserve"> </v>
      </c>
      <c r="BD6" s="32" t="str">
        <f>IF(AI6=" "," ",AI6*Inputs!$B$53)</f>
        <v xml:space="preserve"> </v>
      </c>
      <c r="BE6" s="32" t="str">
        <f>IF(AJ6=" "," ",AJ6*Inputs!$B$53)</f>
        <v xml:space="preserve"> </v>
      </c>
      <c r="BF6" s="32" t="str">
        <f>IF(AK6=" "," ",AK6*Inputs!$B$53)</f>
        <v xml:space="preserve"> </v>
      </c>
      <c r="BG6" s="32" t="str">
        <f>IF(AL6=" "," ",AL6*Inputs!$B$53)</f>
        <v xml:space="preserve"> </v>
      </c>
      <c r="BH6" s="32" t="str">
        <f>IF(AM6=" "," ",AM6*Inputs!$B$53)</f>
        <v xml:space="preserve"> </v>
      </c>
      <c r="BI6" s="32" t="str">
        <f>IF(AN6=" "," ",AN6*Inputs!$B$53)</f>
        <v xml:space="preserve"> </v>
      </c>
      <c r="BJ6" s="32" t="str">
        <f>IF(AO6=" "," ",AO6*Inputs!$B$53)</f>
        <v xml:space="preserve"> </v>
      </c>
      <c r="BK6" s="32" t="str">
        <f>IF(AP6=" "," ",AP6*Inputs!$B$53)</f>
        <v xml:space="preserve"> </v>
      </c>
      <c r="BM6" s="640" t="str">
        <f>Inputs!B7</f>
        <v>XX</v>
      </c>
      <c r="BN6" s="633"/>
      <c r="BO6" s="609" t="s">
        <v>521</v>
      </c>
      <c r="BP6" s="87" t="s">
        <v>522</v>
      </c>
      <c r="BQ6" s="120">
        <f t="shared" ref="BQ6:BQ37" si="0">IF(AND($BZ$6&gt;=0.25,$BZ$6&lt;0.35),CD6,IF(AND($BZ$6&gt;=0.35,$BZ$6&lt;0.45),CO6,CZ6))</f>
        <v>1</v>
      </c>
      <c r="BR6" s="120">
        <f t="shared" ref="BR6:BR37" si="1">IF(AND($BZ$6&gt;=0.25,$BZ$6&lt;0.35),CE6,IF(AND($BZ$6&gt;=0.35,$BZ$6&lt;0.45),CP6,DA6))</f>
        <v>1.1391296477793049</v>
      </c>
      <c r="BS6" s="120">
        <f t="shared" ref="BS6:BS37" si="2">IF(AND($BZ$6&gt;=0.25,$BZ$6&lt;0.35),CF6,IF(AND($BZ$6&gt;=0.35,$BZ$6&lt;0.45),CQ6,DB6))</f>
        <v>1.1734054524357891</v>
      </c>
      <c r="BT6" s="120">
        <f t="shared" ref="BT6:BT37" si="3">IF(AND($BZ$6&gt;=0.25,$BZ$6&lt;0.35),CG6,IF(AND($BZ$6&gt;=0.35,$BZ$6&lt;0.45),CR6,DC6))</f>
        <v>1.207618452137091</v>
      </c>
      <c r="BU6" s="120">
        <f t="shared" ref="BU6:BU37" si="4">IF(AND($BZ$6&gt;=0.25,$BZ$6&lt;0.35),CH6,IF(AND($BZ$6&gt;=0.35,$BZ$6&lt;0.45),CS6,DD6))</f>
        <v>1.2414948383242781</v>
      </c>
      <c r="BV6" s="102">
        <v>0</v>
      </c>
      <c r="BW6" s="32" t="e">
        <f>IF(VALUE($BW$5)&lt;=0.8,"1",IF(AND(VALUE($BW5)&gt;0.8,VALUE($BW$5)&lt;=0.96),FORECAST(VALUE($BW$5),BQ6:BR6,$BQ$5:$BR$5),IF(AND(VALUE($BW$5)&gt;0.96,VALUE($BW$5)&lt;=1.12),FORECAST(VALUE($BW$5),BR6:BS6,$BR$5:$BS$5),IF(AND(VALUE($BW$5)&gt;1.12,VALUE($BW$5)&lt;=1.3),FORECAST(VALUE($BW$5),BS6:BT6,$BS$5:$BT$5),FORECAST(VALUE($BW$5),BT6:BU6,$BT$5:$BU$5)))))</f>
        <v>#VALUE!</v>
      </c>
      <c r="BZ6" s="640">
        <v>0.25</v>
      </c>
      <c r="CA6" s="633"/>
      <c r="CB6" s="609" t="s">
        <v>521</v>
      </c>
      <c r="CC6" s="87" t="s">
        <v>522</v>
      </c>
      <c r="CD6" s="120">
        <v>1</v>
      </c>
      <c r="CE6" s="120">
        <v>1.1391296477793049</v>
      </c>
      <c r="CF6" s="120">
        <v>1.1734054524357891</v>
      </c>
      <c r="CG6" s="120">
        <v>1.207618452137091</v>
      </c>
      <c r="CH6" s="121">
        <v>1.2414948383242781</v>
      </c>
      <c r="CI6">
        <v>1.141494838324278</v>
      </c>
      <c r="CK6" s="640">
        <v>0.35</v>
      </c>
      <c r="CL6" s="633"/>
      <c r="CM6" s="609" t="s">
        <v>521</v>
      </c>
      <c r="CN6" s="87" t="s">
        <v>522</v>
      </c>
      <c r="CO6" s="120">
        <v>1</v>
      </c>
      <c r="CP6" s="120">
        <v>1.1391296477793049</v>
      </c>
      <c r="CQ6" s="120">
        <v>1.1734054524357891</v>
      </c>
      <c r="CR6" s="120">
        <v>1.207618452137091</v>
      </c>
      <c r="CS6" s="121">
        <v>1.2414948383242781</v>
      </c>
      <c r="CV6" s="640">
        <v>0.45</v>
      </c>
      <c r="CW6" s="633"/>
      <c r="CX6" s="609" t="s">
        <v>521</v>
      </c>
      <c r="CY6" s="87" t="s">
        <v>522</v>
      </c>
      <c r="CZ6" s="120">
        <v>1</v>
      </c>
      <c r="DA6" s="120">
        <v>1.1391296477793049</v>
      </c>
      <c r="DB6" s="120">
        <v>1.1734054524357891</v>
      </c>
      <c r="DC6" s="120">
        <v>1.207618452137091</v>
      </c>
      <c r="DD6" s="121">
        <v>1.2414948383242781</v>
      </c>
    </row>
    <row r="7" spans="1:108" x14ac:dyDescent="0.25">
      <c r="A7" s="1"/>
      <c r="B7" s="589"/>
      <c r="C7" s="589"/>
      <c r="D7" s="589"/>
      <c r="E7" s="21"/>
      <c r="F7" s="152"/>
      <c r="G7" s="152"/>
      <c r="H7" s="152"/>
      <c r="I7" s="152"/>
      <c r="J7" s="152"/>
      <c r="K7" s="152"/>
      <c r="L7" s="152"/>
      <c r="M7" s="152"/>
      <c r="N7" s="152"/>
      <c r="O7" s="152"/>
      <c r="P7" s="152"/>
      <c r="Q7" s="152"/>
      <c r="R7" s="152"/>
      <c r="S7" s="152"/>
      <c r="T7" s="152"/>
      <c r="U7" s="152"/>
      <c r="W7" s="589"/>
      <c r="X7" s="589"/>
      <c r="Y7" s="6"/>
      <c r="Z7" s="29" t="s">
        <v>501</v>
      </c>
      <c r="AA7" s="32" t="str">
        <f>IF(F7=""," ",F7*Inputs!$B$39)</f>
        <v xml:space="preserve"> </v>
      </c>
      <c r="AB7" s="32" t="str">
        <f>IF(G7=""," ",G7*Inputs!$B$39)</f>
        <v xml:space="preserve"> </v>
      </c>
      <c r="AC7" s="32" t="str">
        <f>IF(H7=""," ",H7*Inputs!$B$39)</f>
        <v xml:space="preserve"> </v>
      </c>
      <c r="AD7" s="32" t="str">
        <f>IF(I7=""," ",I7*Inputs!$B$39)</f>
        <v xml:space="preserve"> </v>
      </c>
      <c r="AE7" s="32" t="str">
        <f>IF(J7=""," ",J7*Inputs!$B$39)</f>
        <v xml:space="preserve"> </v>
      </c>
      <c r="AF7" s="32" t="str">
        <f>IF(K7=""," ",K7*Inputs!$B$39)</f>
        <v xml:space="preserve"> </v>
      </c>
      <c r="AG7" s="32" t="str">
        <f>IF(L7=""," ",L7*Inputs!$B$39)</f>
        <v xml:space="preserve"> </v>
      </c>
      <c r="AH7" s="32" t="str">
        <f>IF(M7=""," ",M7*Inputs!$B$39)</f>
        <v xml:space="preserve"> </v>
      </c>
      <c r="AI7" s="32" t="str">
        <f>IF(N7=""," ",N7*Inputs!$B$39)</f>
        <v xml:space="preserve"> </v>
      </c>
      <c r="AJ7" s="32" t="str">
        <f>IF(O7=""," ",O7*Inputs!$B$39)</f>
        <v xml:space="preserve"> </v>
      </c>
      <c r="AK7" s="32" t="str">
        <f>IF(P7=""," ",P7*Inputs!$B$39)</f>
        <v xml:space="preserve"> </v>
      </c>
      <c r="AL7" s="32" t="str">
        <f>IF(Q7=""," ",Q7*Inputs!$B$39)</f>
        <v xml:space="preserve"> </v>
      </c>
      <c r="AM7" s="32" t="str">
        <f>IF(R7=""," ",R7*Inputs!$B$39)</f>
        <v xml:space="preserve"> </v>
      </c>
      <c r="AN7" s="32" t="str">
        <f>IF(S7=""," ",S7*Inputs!$B$39)</f>
        <v xml:space="preserve"> </v>
      </c>
      <c r="AO7" s="32" t="str">
        <f>IF(T7=""," ",T7*Inputs!$B$39)</f>
        <v xml:space="preserve"> </v>
      </c>
      <c r="AP7" s="32" t="str">
        <f>IF(U7=""," ",U7*Inputs!$B$39)</f>
        <v xml:space="preserve"> </v>
      </c>
      <c r="AR7" s="589"/>
      <c r="AS7" s="589"/>
      <c r="AT7" s="6"/>
      <c r="AU7" s="29" t="s">
        <v>501</v>
      </c>
      <c r="AV7" s="32" t="str">
        <f>IF(AA7=" "," ",AA7*Inputs!$B$53)</f>
        <v xml:space="preserve"> </v>
      </c>
      <c r="AW7" s="32" t="str">
        <f>IF(AB7=" "," ",AB7*Inputs!$B$53)</f>
        <v xml:space="preserve"> </v>
      </c>
      <c r="AX7" s="32" t="str">
        <f>IF(AC7=" "," ",AC7*Inputs!$B$53)</f>
        <v xml:space="preserve"> </v>
      </c>
      <c r="AY7" s="32" t="str">
        <f>IF(AD7=" "," ",AD7*Inputs!$B$53)</f>
        <v xml:space="preserve"> </v>
      </c>
      <c r="AZ7" s="32" t="str">
        <f>IF(AE7=" "," ",AE7*Inputs!$B$53)</f>
        <v xml:space="preserve"> </v>
      </c>
      <c r="BA7" s="32" t="str">
        <f>IF(AF7=" "," ",AF7*Inputs!$B$53)</f>
        <v xml:space="preserve"> </v>
      </c>
      <c r="BB7" s="32" t="str">
        <f>IF(AG7=" "," ",AG7*Inputs!$B$53)</f>
        <v xml:space="preserve"> </v>
      </c>
      <c r="BC7" s="32" t="str">
        <f>IF(AH7=" "," ",AH7*Inputs!$B$53)</f>
        <v xml:space="preserve"> </v>
      </c>
      <c r="BD7" s="32" t="str">
        <f>IF(AI7=" "," ",AI7*Inputs!$B$53)</f>
        <v xml:space="preserve"> </v>
      </c>
      <c r="BE7" s="32" t="str">
        <f>IF(AJ7=" "," ",AJ7*Inputs!$B$53)</f>
        <v xml:space="preserve"> </v>
      </c>
      <c r="BF7" s="32" t="str">
        <f>IF(AK7=" "," ",AK7*Inputs!$B$53)</f>
        <v xml:space="preserve"> </v>
      </c>
      <c r="BG7" s="32" t="str">
        <f>IF(AL7=" "," ",AL7*Inputs!$B$53)</f>
        <v xml:space="preserve"> </v>
      </c>
      <c r="BH7" s="32" t="str">
        <f>IF(AM7=" "," ",AM7*Inputs!$B$53)</f>
        <v xml:space="preserve"> </v>
      </c>
      <c r="BI7" s="32" t="str">
        <f>IF(AN7=" "," ",AN7*Inputs!$B$53)</f>
        <v xml:space="preserve"> </v>
      </c>
      <c r="BJ7" s="32" t="str">
        <f>IF(AO7=" "," ",AO7*Inputs!$B$53)</f>
        <v xml:space="preserve"> </v>
      </c>
      <c r="BK7" s="32" t="str">
        <f>IF(AP7=" "," ",AP7*Inputs!$B$53)</f>
        <v xml:space="preserve"> </v>
      </c>
      <c r="BM7" s="641"/>
      <c r="BN7" s="589"/>
      <c r="BO7" s="589"/>
      <c r="BP7" s="90" t="s">
        <v>523</v>
      </c>
      <c r="BQ7" s="120">
        <f t="shared" si="0"/>
        <v>1</v>
      </c>
      <c r="BR7" s="120">
        <f t="shared" si="1"/>
        <v>1.1872781989846599</v>
      </c>
      <c r="BS7" s="120">
        <f t="shared" si="2"/>
        <v>1.2231421888489611</v>
      </c>
      <c r="BT7" s="120">
        <f t="shared" si="3"/>
        <v>1.258940463661532</v>
      </c>
      <c r="BU7" s="120">
        <f t="shared" si="4"/>
        <v>1.2943865278176541</v>
      </c>
      <c r="BV7" s="104"/>
      <c r="BW7" s="148" t="e">
        <f>IF($BW$3=0,BW6,BW8)</f>
        <v>#VALUE!</v>
      </c>
      <c r="BZ7" s="641"/>
      <c r="CA7" s="589"/>
      <c r="CB7" s="589"/>
      <c r="CC7" s="90" t="s">
        <v>523</v>
      </c>
      <c r="CD7" s="122">
        <v>1</v>
      </c>
      <c r="CE7" s="122">
        <v>1.1872781989846599</v>
      </c>
      <c r="CF7" s="122">
        <v>1.2231421888489611</v>
      </c>
      <c r="CG7" s="122">
        <v>1.258940463661532</v>
      </c>
      <c r="CH7" s="123">
        <v>1.2943865278176541</v>
      </c>
      <c r="CI7">
        <v>1.164902487082506</v>
      </c>
      <c r="CK7" s="641"/>
      <c r="CL7" s="589"/>
      <c r="CM7" s="589"/>
      <c r="CN7" s="90" t="s">
        <v>523</v>
      </c>
      <c r="CO7" s="122">
        <v>1</v>
      </c>
      <c r="CP7" s="122">
        <v>1.154389474676248</v>
      </c>
      <c r="CQ7" s="122">
        <v>1.189168626385652</v>
      </c>
      <c r="CR7" s="122">
        <v>1.223884050836533</v>
      </c>
      <c r="CS7" s="123">
        <v>1.25825791853646</v>
      </c>
      <c r="CV7" s="641"/>
      <c r="CW7" s="589"/>
      <c r="CX7" s="589"/>
      <c r="CY7" s="90" t="s">
        <v>523</v>
      </c>
      <c r="CZ7" s="122">
        <v>1</v>
      </c>
      <c r="DA7" s="122">
        <v>1.210243813104604</v>
      </c>
      <c r="DB7" s="122">
        <v>1.2468653262530061</v>
      </c>
      <c r="DC7" s="122">
        <v>1.28341973630886</v>
      </c>
      <c r="DD7" s="123">
        <v>1.3196144962746099</v>
      </c>
    </row>
    <row r="8" spans="1:108" x14ac:dyDescent="0.25">
      <c r="A8" s="1"/>
      <c r="B8" s="596"/>
      <c r="C8" s="589"/>
      <c r="D8" s="588"/>
      <c r="E8" s="150"/>
      <c r="F8" s="151"/>
      <c r="G8" s="151"/>
      <c r="H8" s="151"/>
      <c r="I8" s="151"/>
      <c r="J8" s="151"/>
      <c r="K8" s="151"/>
      <c r="L8" s="151"/>
      <c r="M8" s="151"/>
      <c r="N8" s="151"/>
      <c r="O8" s="151"/>
      <c r="P8" s="151"/>
      <c r="Q8" s="151"/>
      <c r="R8" s="151"/>
      <c r="S8" s="151"/>
      <c r="T8" s="151"/>
      <c r="U8" s="151"/>
      <c r="W8" s="596"/>
      <c r="X8" s="589"/>
      <c r="Y8" s="32">
        <v>-0.1432470976392444</v>
      </c>
      <c r="Z8" s="24" t="s">
        <v>498</v>
      </c>
      <c r="AA8" s="32" t="str">
        <f>IF(F8=""," ",F8*Inputs!$B$39)</f>
        <v xml:space="preserve"> </v>
      </c>
      <c r="AB8" s="32" t="str">
        <f>IF(G8=""," ",G8*Inputs!$B$39)</f>
        <v xml:space="preserve"> </v>
      </c>
      <c r="AC8" s="32" t="str">
        <f>IF(H8=""," ",H8*Inputs!$B$39)</f>
        <v xml:space="preserve"> </v>
      </c>
      <c r="AD8" s="32" t="str">
        <f>IF(I8=""," ",I8*Inputs!$B$39)</f>
        <v xml:space="preserve"> </v>
      </c>
      <c r="AE8" s="32" t="str">
        <f>IF(J8=""," ",J8*Inputs!$B$39)</f>
        <v xml:space="preserve"> </v>
      </c>
      <c r="AF8" s="32" t="str">
        <f>IF(K8=""," ",K8*Inputs!$B$39)</f>
        <v xml:space="preserve"> </v>
      </c>
      <c r="AG8" s="32" t="str">
        <f>IF(L8=""," ",L8*Inputs!$B$39)</f>
        <v xml:space="preserve"> </v>
      </c>
      <c r="AH8" s="32" t="str">
        <f>IF(M8=""," ",M8*Inputs!$B$39)</f>
        <v xml:space="preserve"> </v>
      </c>
      <c r="AI8" s="32" t="str">
        <f>IF(N8=""," ",N8*Inputs!$B$39)</f>
        <v xml:space="preserve"> </v>
      </c>
      <c r="AJ8" s="32" t="str">
        <f>IF(O8=""," ",O8*Inputs!$B$39)</f>
        <v xml:space="preserve"> </v>
      </c>
      <c r="AK8" s="32" t="str">
        <f>IF(P8=""," ",P8*Inputs!$B$39)</f>
        <v xml:space="preserve"> </v>
      </c>
      <c r="AL8" s="32" t="str">
        <f>IF(Q8=""," ",Q8*Inputs!$B$39)</f>
        <v xml:space="preserve"> </v>
      </c>
      <c r="AM8" s="32" t="str">
        <f>IF(R8=""," ",R8*Inputs!$B$39)</f>
        <v xml:space="preserve"> </v>
      </c>
      <c r="AN8" s="32" t="str">
        <f>IF(S8=""," ",S8*Inputs!$B$39)</f>
        <v xml:space="preserve"> </v>
      </c>
      <c r="AO8" s="32" t="str">
        <f>IF(T8=""," ",T8*Inputs!$B$39)</f>
        <v xml:space="preserve"> </v>
      </c>
      <c r="AP8" s="32" t="str">
        <f>IF(U8=""," ",U8*Inputs!$B$39)</f>
        <v xml:space="preserve"> </v>
      </c>
      <c r="AR8" s="596"/>
      <c r="AS8" s="589"/>
      <c r="AT8" s="32">
        <v>-0.1432470976392444</v>
      </c>
      <c r="AU8" s="24" t="s">
        <v>498</v>
      </c>
      <c r="AV8" s="32" t="str">
        <f>IF(AA8=" "," ",AA8*Inputs!$B$53)</f>
        <v xml:space="preserve"> </v>
      </c>
      <c r="AW8" s="32" t="str">
        <f>IF(AB8=" "," ",AB8*Inputs!$B$53)</f>
        <v xml:space="preserve"> </v>
      </c>
      <c r="AX8" s="32" t="str">
        <f>IF(AC8=" "," ",AC8*Inputs!$B$53)</f>
        <v xml:space="preserve"> </v>
      </c>
      <c r="AY8" s="32" t="str">
        <f>IF(AD8=" "," ",AD8*Inputs!$B$53)</f>
        <v xml:space="preserve"> </v>
      </c>
      <c r="AZ8" s="32" t="str">
        <f>IF(AE8=" "," ",AE8*Inputs!$B$53)</f>
        <v xml:space="preserve"> </v>
      </c>
      <c r="BA8" s="32" t="str">
        <f>IF(AF8=" "," ",AF8*Inputs!$B$53)</f>
        <v xml:space="preserve"> </v>
      </c>
      <c r="BB8" s="32" t="str">
        <f>IF(AG8=" "," ",AG8*Inputs!$B$53)</f>
        <v xml:space="preserve"> </v>
      </c>
      <c r="BC8" s="32" t="str">
        <f>IF(AH8=" "," ",AH8*Inputs!$B$53)</f>
        <v xml:space="preserve"> </v>
      </c>
      <c r="BD8" s="32" t="str">
        <f>IF(AI8=" "," ",AI8*Inputs!$B$53)</f>
        <v xml:space="preserve"> </v>
      </c>
      <c r="BE8" s="32" t="str">
        <f>IF(AJ8=" "," ",AJ8*Inputs!$B$53)</f>
        <v xml:space="preserve"> </v>
      </c>
      <c r="BF8" s="32" t="str">
        <f>IF(AK8=" "," ",AK8*Inputs!$B$53)</f>
        <v xml:space="preserve"> </v>
      </c>
      <c r="BG8" s="32" t="str">
        <f>IF(AL8=" "," ",AL8*Inputs!$B$53)</f>
        <v xml:space="preserve"> </v>
      </c>
      <c r="BH8" s="32" t="str">
        <f>IF(AM8=" "," ",AM8*Inputs!$B$53)</f>
        <v xml:space="preserve"> </v>
      </c>
      <c r="BI8" s="32" t="str">
        <f>IF(AN8=" "," ",AN8*Inputs!$B$53)</f>
        <v xml:space="preserve"> </v>
      </c>
      <c r="BJ8" s="32" t="str">
        <f>IF(AO8=" "," ",AO8*Inputs!$B$53)</f>
        <v xml:space="preserve"> </v>
      </c>
      <c r="BK8" s="32" t="str">
        <f>IF(AP8=" "," ",AP8*Inputs!$B$53)</f>
        <v xml:space="preserve"> </v>
      </c>
      <c r="BM8" s="641"/>
      <c r="BN8" s="589"/>
      <c r="BO8" s="589"/>
      <c r="BP8" s="112" t="s">
        <v>524</v>
      </c>
      <c r="BQ8" s="120">
        <f t="shared" si="0"/>
        <v>1</v>
      </c>
      <c r="BR8" s="120">
        <f t="shared" si="1"/>
        <v>1.268327248396532</v>
      </c>
      <c r="BS8" s="120">
        <f t="shared" si="2"/>
        <v>1.4366544967930639</v>
      </c>
      <c r="BT8" s="120">
        <f t="shared" si="3"/>
        <v>1.479258118561289</v>
      </c>
      <c r="BU8" s="120">
        <f t="shared" si="4"/>
        <v>1.5214425734934389</v>
      </c>
      <c r="BV8" s="105">
        <v>55</v>
      </c>
      <c r="BW8" s="32" t="e">
        <f>IF(VALUE($BW$5)&lt;=0.8,"1",IF(AND(VALUE($BW5)&gt;0.8,VALUE($BW$5)&lt;=0.96),FORECAST(VALUE($BW$5),BQ8:BR8,$BQ$5:$BR$5),IF(AND(VALUE($BW$5)&gt;0.96,VALUE($BW$5)&lt;=1.12),FORECAST(VALUE($BW$5),BR8:BS8,$BR$5:$BS$5),IF(AND(VALUE($BW$5)&gt;1.12,VALUE($BW$5)&lt;=1.3),FORECAST(VALUE($BW$5),BS8:BT8,$BS$5:$BT$5),FORECAST(VALUE($BW$5),BT8:BU8,$BT$5:$BU$5)))))</f>
        <v>#VALUE!</v>
      </c>
      <c r="BZ8" s="641"/>
      <c r="CA8" s="589"/>
      <c r="CB8" s="589"/>
      <c r="CC8" s="112" t="s">
        <v>524</v>
      </c>
      <c r="CD8" s="122">
        <v>1</v>
      </c>
      <c r="CE8" s="122">
        <v>1.268327248396532</v>
      </c>
      <c r="CF8" s="122">
        <v>1.4366544967930639</v>
      </c>
      <c r="CG8" s="122">
        <v>1.479258118561289</v>
      </c>
      <c r="CH8" s="123">
        <v>1.5214425734934389</v>
      </c>
      <c r="CI8">
        <v>1.236253260851861</v>
      </c>
      <c r="CK8" s="641"/>
      <c r="CL8" s="589"/>
      <c r="CM8" s="589"/>
      <c r="CN8" s="112" t="s">
        <v>524</v>
      </c>
      <c r="CO8" s="122">
        <v>1</v>
      </c>
      <c r="CP8" s="122">
        <v>1.2548338612113381</v>
      </c>
      <c r="CQ8" s="122">
        <v>1.409667722422677</v>
      </c>
      <c r="CR8" s="122">
        <v>1.451411185989377</v>
      </c>
      <c r="CS8" s="123">
        <v>1.4927439456106431</v>
      </c>
      <c r="CV8" s="641"/>
      <c r="CW8" s="589"/>
      <c r="CX8" s="589"/>
      <c r="CY8" s="112" t="s">
        <v>524</v>
      </c>
      <c r="CZ8" s="122">
        <v>1</v>
      </c>
      <c r="DA8" s="122">
        <v>1.289955072233427</v>
      </c>
      <c r="DB8" s="122">
        <v>1.479910144466855</v>
      </c>
      <c r="DC8" s="122">
        <v>1.523892467505495</v>
      </c>
      <c r="DD8" s="123">
        <v>1.567442058996295</v>
      </c>
    </row>
    <row r="9" spans="1:108" x14ac:dyDescent="0.25">
      <c r="A9" s="1"/>
      <c r="B9" s="589"/>
      <c r="C9" s="589"/>
      <c r="D9" s="589"/>
      <c r="E9" s="21"/>
      <c r="F9" s="152"/>
      <c r="G9" s="152"/>
      <c r="H9" s="152"/>
      <c r="I9" s="152"/>
      <c r="J9" s="152"/>
      <c r="K9" s="152"/>
      <c r="L9" s="152"/>
      <c r="M9" s="152"/>
      <c r="N9" s="152"/>
      <c r="O9" s="152"/>
      <c r="P9" s="152"/>
      <c r="Q9" s="152"/>
      <c r="R9" s="152"/>
      <c r="S9" s="152"/>
      <c r="T9" s="152"/>
      <c r="U9" s="152"/>
      <c r="W9" s="589"/>
      <c r="X9" s="589"/>
      <c r="Y9" s="33"/>
      <c r="Z9" s="27" t="s">
        <v>499</v>
      </c>
      <c r="AA9" s="32" t="str">
        <f>IF(F9=""," ",F9*Inputs!$B$39)</f>
        <v xml:space="preserve"> </v>
      </c>
      <c r="AB9" s="32" t="str">
        <f>IF(G9=""," ",G9*Inputs!$B$39)</f>
        <v xml:space="preserve"> </v>
      </c>
      <c r="AC9" s="32" t="str">
        <f>IF(H9=""," ",H9*Inputs!$B$39)</f>
        <v xml:space="preserve"> </v>
      </c>
      <c r="AD9" s="32" t="str">
        <f>IF(I9=""," ",I9*Inputs!$B$39)</f>
        <v xml:space="preserve"> </v>
      </c>
      <c r="AE9" s="32" t="str">
        <f>IF(J9=""," ",J9*Inputs!$B$39)</f>
        <v xml:space="preserve"> </v>
      </c>
      <c r="AF9" s="32" t="str">
        <f>IF(K9=""," ",K9*Inputs!$B$39)</f>
        <v xml:space="preserve"> </v>
      </c>
      <c r="AG9" s="32" t="str">
        <f>IF(L9=""," ",L9*Inputs!$B$39)</f>
        <v xml:space="preserve"> </v>
      </c>
      <c r="AH9" s="32" t="str">
        <f>IF(M9=""," ",M9*Inputs!$B$39)</f>
        <v xml:space="preserve"> </v>
      </c>
      <c r="AI9" s="32" t="str">
        <f>IF(N9=""," ",N9*Inputs!$B$39)</f>
        <v xml:space="preserve"> </v>
      </c>
      <c r="AJ9" s="32" t="str">
        <f>IF(O9=""," ",O9*Inputs!$B$39)</f>
        <v xml:space="preserve"> </v>
      </c>
      <c r="AK9" s="32" t="str">
        <f>IF(P9=""," ",P9*Inputs!$B$39)</f>
        <v xml:space="preserve"> </v>
      </c>
      <c r="AL9" s="32" t="str">
        <f>IF(Q9=""," ",Q9*Inputs!$B$39)</f>
        <v xml:space="preserve"> </v>
      </c>
      <c r="AM9" s="32" t="str">
        <f>IF(R9=""," ",R9*Inputs!$B$39)</f>
        <v xml:space="preserve"> </v>
      </c>
      <c r="AN9" s="32" t="str">
        <f>IF(S9=""," ",S9*Inputs!$B$39)</f>
        <v xml:space="preserve"> </v>
      </c>
      <c r="AO9" s="32" t="str">
        <f>IF(T9=""," ",T9*Inputs!$B$39)</f>
        <v xml:space="preserve"> </v>
      </c>
      <c r="AP9" s="32" t="str">
        <f>IF(U9=""," ",U9*Inputs!$B$39)</f>
        <v xml:space="preserve"> </v>
      </c>
      <c r="AR9" s="589"/>
      <c r="AS9" s="589"/>
      <c r="AT9" s="33"/>
      <c r="AU9" s="27" t="s">
        <v>499</v>
      </c>
      <c r="AV9" s="32" t="str">
        <f>IF(AA9=" "," ",AA9*Inputs!$B$53)</f>
        <v xml:space="preserve"> </v>
      </c>
      <c r="AW9" s="32" t="str">
        <f>IF(AB9=" "," ",AB9*Inputs!$B$53)</f>
        <v xml:space="preserve"> </v>
      </c>
      <c r="AX9" s="32" t="str">
        <f>IF(AC9=" "," ",AC9*Inputs!$B$53)</f>
        <v xml:space="preserve"> </v>
      </c>
      <c r="AY9" s="32" t="str">
        <f>IF(AD9=" "," ",AD9*Inputs!$B$53)</f>
        <v xml:space="preserve"> </v>
      </c>
      <c r="AZ9" s="32" t="str">
        <f>IF(AE9=" "," ",AE9*Inputs!$B$53)</f>
        <v xml:space="preserve"> </v>
      </c>
      <c r="BA9" s="32" t="str">
        <f>IF(AF9=" "," ",AF9*Inputs!$B$53)</f>
        <v xml:space="preserve"> </v>
      </c>
      <c r="BB9" s="32" t="str">
        <f>IF(AG9=" "," ",AG9*Inputs!$B$53)</f>
        <v xml:space="preserve"> </v>
      </c>
      <c r="BC9" s="32" t="str">
        <f>IF(AH9=" "," ",AH9*Inputs!$B$53)</f>
        <v xml:space="preserve"> </v>
      </c>
      <c r="BD9" s="32" t="str">
        <f>IF(AI9=" "," ",AI9*Inputs!$B$53)</f>
        <v xml:space="preserve"> </v>
      </c>
      <c r="BE9" s="32" t="str">
        <f>IF(AJ9=" "," ",AJ9*Inputs!$B$53)</f>
        <v xml:space="preserve"> </v>
      </c>
      <c r="BF9" s="32" t="str">
        <f>IF(AK9=" "," ",AK9*Inputs!$B$53)</f>
        <v xml:space="preserve"> </v>
      </c>
      <c r="BG9" s="32" t="str">
        <f>IF(AL9=" "," ",AL9*Inputs!$B$53)</f>
        <v xml:space="preserve"> </v>
      </c>
      <c r="BH9" s="32" t="str">
        <f>IF(AM9=" "," ",AM9*Inputs!$B$53)</f>
        <v xml:space="preserve"> </v>
      </c>
      <c r="BI9" s="32" t="str">
        <f>IF(AN9=" "," ",AN9*Inputs!$B$53)</f>
        <v xml:space="preserve"> </v>
      </c>
      <c r="BJ9" s="32" t="str">
        <f>IF(AO9=" "," ",AO9*Inputs!$B$53)</f>
        <v xml:space="preserve"> </v>
      </c>
      <c r="BK9" s="32" t="str">
        <f>IF(AP9=" "," ",AP9*Inputs!$B$53)</f>
        <v xml:space="preserve"> </v>
      </c>
      <c r="BM9" s="641"/>
      <c r="BN9" s="589"/>
      <c r="BO9" s="642" t="s">
        <v>525</v>
      </c>
      <c r="BP9" s="87" t="s">
        <v>522</v>
      </c>
      <c r="BQ9" s="120">
        <f t="shared" si="0"/>
        <v>0</v>
      </c>
      <c r="BR9" s="120">
        <f t="shared" si="1"/>
        <v>0</v>
      </c>
      <c r="BS9" s="120">
        <f t="shared" si="2"/>
        <v>0</v>
      </c>
      <c r="BT9" s="120">
        <f t="shared" si="3"/>
        <v>0</v>
      </c>
      <c r="BU9" s="120">
        <f t="shared" si="4"/>
        <v>0</v>
      </c>
      <c r="BV9" s="102">
        <v>0</v>
      </c>
      <c r="BW9" s="32">
        <v>1</v>
      </c>
      <c r="BZ9" s="641"/>
      <c r="CA9" s="589"/>
      <c r="CB9" s="642" t="s">
        <v>525</v>
      </c>
      <c r="CC9" s="87" t="s">
        <v>522</v>
      </c>
      <c r="CD9" s="124"/>
      <c r="CE9" s="124"/>
      <c r="CF9" s="124"/>
      <c r="CG9" s="124"/>
      <c r="CH9" s="125"/>
      <c r="CI9">
        <v>1.141494838324278</v>
      </c>
      <c r="CK9" s="641"/>
      <c r="CL9" s="589"/>
      <c r="CM9" s="642" t="s">
        <v>525</v>
      </c>
      <c r="CN9" s="87" t="s">
        <v>522</v>
      </c>
      <c r="CO9" s="124"/>
      <c r="CP9" s="124"/>
      <c r="CQ9" s="124"/>
      <c r="CR9" s="124"/>
      <c r="CS9" s="125"/>
      <c r="CV9" s="641"/>
      <c r="CW9" s="589"/>
      <c r="CX9" s="642" t="s">
        <v>525</v>
      </c>
      <c r="CY9" s="87" t="s">
        <v>522</v>
      </c>
      <c r="CZ9" s="124"/>
      <c r="DA9" s="124"/>
      <c r="DB9" s="124"/>
      <c r="DC9" s="124"/>
      <c r="DD9" s="125"/>
    </row>
    <row r="10" spans="1:108" x14ac:dyDescent="0.25">
      <c r="A10" s="1"/>
      <c r="B10" s="589"/>
      <c r="C10" s="589"/>
      <c r="D10" s="589"/>
      <c r="E10" s="21"/>
      <c r="F10" s="152"/>
      <c r="G10" s="152"/>
      <c r="H10" s="152"/>
      <c r="I10" s="152"/>
      <c r="J10" s="152"/>
      <c r="K10" s="152"/>
      <c r="L10" s="152"/>
      <c r="M10" s="152"/>
      <c r="N10" s="152"/>
      <c r="O10" s="152"/>
      <c r="P10" s="152"/>
      <c r="Q10" s="152"/>
      <c r="R10" s="152"/>
      <c r="S10" s="152"/>
      <c r="T10" s="152"/>
      <c r="U10" s="152"/>
      <c r="W10" s="589"/>
      <c r="X10" s="589"/>
      <c r="Y10" s="33"/>
      <c r="Z10" s="27" t="s">
        <v>500</v>
      </c>
      <c r="AA10" s="32" t="str">
        <f>IF(F10=""," ",F10*Inputs!$B$39)</f>
        <v xml:space="preserve"> </v>
      </c>
      <c r="AB10" s="32" t="str">
        <f>IF(G10=""," ",G10*Inputs!$B$39)</f>
        <v xml:space="preserve"> </v>
      </c>
      <c r="AC10" s="32" t="str">
        <f>IF(H10=""," ",H10*Inputs!$B$39)</f>
        <v xml:space="preserve"> </v>
      </c>
      <c r="AD10" s="32" t="str">
        <f>IF(I10=""," ",I10*Inputs!$B$39)</f>
        <v xml:space="preserve"> </v>
      </c>
      <c r="AE10" s="32" t="str">
        <f>IF(J10=""," ",J10*Inputs!$B$39)</f>
        <v xml:space="preserve"> </v>
      </c>
      <c r="AF10" s="32" t="str">
        <f>IF(K10=""," ",K10*Inputs!$B$39)</f>
        <v xml:space="preserve"> </v>
      </c>
      <c r="AG10" s="32" t="str">
        <f>IF(L10=""," ",L10*Inputs!$B$39)</f>
        <v xml:space="preserve"> </v>
      </c>
      <c r="AH10" s="32" t="str">
        <f>IF(M10=""," ",M10*Inputs!$B$39)</f>
        <v xml:space="preserve"> </v>
      </c>
      <c r="AI10" s="32" t="str">
        <f>IF(N10=""," ",N10*Inputs!$B$39)</f>
        <v xml:space="preserve"> </v>
      </c>
      <c r="AJ10" s="32" t="str">
        <f>IF(O10=""," ",O10*Inputs!$B$39)</f>
        <v xml:space="preserve"> </v>
      </c>
      <c r="AK10" s="32" t="str">
        <f>IF(P10=""," ",P10*Inputs!$B$39)</f>
        <v xml:space="preserve"> </v>
      </c>
      <c r="AL10" s="32" t="str">
        <f>IF(Q10=""," ",Q10*Inputs!$B$39)</f>
        <v xml:space="preserve"> </v>
      </c>
      <c r="AM10" s="32" t="str">
        <f>IF(R10=""," ",R10*Inputs!$B$39)</f>
        <v xml:space="preserve"> </v>
      </c>
      <c r="AN10" s="32" t="str">
        <f>IF(S10=""," ",S10*Inputs!$B$39)</f>
        <v xml:space="preserve"> </v>
      </c>
      <c r="AO10" s="32" t="str">
        <f>IF(T10=""," ",T10*Inputs!$B$39)</f>
        <v xml:space="preserve"> </v>
      </c>
      <c r="AP10" s="32" t="str">
        <f>IF(U10=""," ",U10*Inputs!$B$39)</f>
        <v xml:space="preserve"> </v>
      </c>
      <c r="AR10" s="589"/>
      <c r="AS10" s="589"/>
      <c r="AT10" s="33"/>
      <c r="AU10" s="27" t="s">
        <v>500</v>
      </c>
      <c r="AV10" s="32" t="str">
        <f>IF(AA10=" "," ",AA10*Inputs!$B$53)</f>
        <v xml:space="preserve"> </v>
      </c>
      <c r="AW10" s="32" t="str">
        <f>IF(AB10=" "," ",AB10*Inputs!$B$53)</f>
        <v xml:space="preserve"> </v>
      </c>
      <c r="AX10" s="32" t="str">
        <f>IF(AC10=" "," ",AC10*Inputs!$B$53)</f>
        <v xml:space="preserve"> </v>
      </c>
      <c r="AY10" s="32" t="str">
        <f>IF(AD10=" "," ",AD10*Inputs!$B$53)</f>
        <v xml:space="preserve"> </v>
      </c>
      <c r="AZ10" s="32" t="str">
        <f>IF(AE10=" "," ",AE10*Inputs!$B$53)</f>
        <v xml:space="preserve"> </v>
      </c>
      <c r="BA10" s="32" t="str">
        <f>IF(AF10=" "," ",AF10*Inputs!$B$53)</f>
        <v xml:space="preserve"> </v>
      </c>
      <c r="BB10" s="32" t="str">
        <f>IF(AG10=" "," ",AG10*Inputs!$B$53)</f>
        <v xml:space="preserve"> </v>
      </c>
      <c r="BC10" s="32" t="str">
        <f>IF(AH10=" "," ",AH10*Inputs!$B$53)</f>
        <v xml:space="preserve"> </v>
      </c>
      <c r="BD10" s="32" t="str">
        <f>IF(AI10=" "," ",AI10*Inputs!$B$53)</f>
        <v xml:space="preserve"> </v>
      </c>
      <c r="BE10" s="32" t="str">
        <f>IF(AJ10=" "," ",AJ10*Inputs!$B$53)</f>
        <v xml:space="preserve"> </v>
      </c>
      <c r="BF10" s="32" t="str">
        <f>IF(AK10=" "," ",AK10*Inputs!$B$53)</f>
        <v xml:space="preserve"> </v>
      </c>
      <c r="BG10" s="32" t="str">
        <f>IF(AL10=" "," ",AL10*Inputs!$B$53)</f>
        <v xml:space="preserve"> </v>
      </c>
      <c r="BH10" s="32" t="str">
        <f>IF(AM10=" "," ",AM10*Inputs!$B$53)</f>
        <v xml:space="preserve"> </v>
      </c>
      <c r="BI10" s="32" t="str">
        <f>IF(AN10=" "," ",AN10*Inputs!$B$53)</f>
        <v xml:space="preserve"> </v>
      </c>
      <c r="BJ10" s="32" t="str">
        <f>IF(AO10=" "," ",AO10*Inputs!$B$53)</f>
        <v xml:space="preserve"> </v>
      </c>
      <c r="BK10" s="32" t="str">
        <f>IF(AP10=" "," ",AP10*Inputs!$B$53)</f>
        <v xml:space="preserve"> </v>
      </c>
      <c r="BM10" s="641"/>
      <c r="BN10" s="589"/>
      <c r="BO10" s="589"/>
      <c r="BP10" s="90" t="s">
        <v>523</v>
      </c>
      <c r="BQ10" s="120">
        <f t="shared" si="0"/>
        <v>0</v>
      </c>
      <c r="BR10" s="120">
        <f t="shared" si="1"/>
        <v>0</v>
      </c>
      <c r="BS10" s="120">
        <f t="shared" si="2"/>
        <v>0</v>
      </c>
      <c r="BT10" s="120">
        <f t="shared" si="3"/>
        <v>0</v>
      </c>
      <c r="BU10" s="120">
        <f t="shared" si="4"/>
        <v>0</v>
      </c>
      <c r="BV10" s="104"/>
      <c r="BW10" s="148">
        <f>IF($BW$3=0,BW9,BW11)</f>
        <v>1</v>
      </c>
      <c r="BZ10" s="641"/>
      <c r="CA10" s="589"/>
      <c r="CB10" s="589"/>
      <c r="CC10" s="90" t="s">
        <v>523</v>
      </c>
      <c r="CD10" s="126"/>
      <c r="CE10" s="126"/>
      <c r="CF10" s="126"/>
      <c r="CG10" s="126"/>
      <c r="CH10" s="127"/>
      <c r="CI10">
        <v>1.164902487082506</v>
      </c>
      <c r="CK10" s="641"/>
      <c r="CL10" s="589"/>
      <c r="CM10" s="589"/>
      <c r="CN10" s="90" t="s">
        <v>523</v>
      </c>
      <c r="CO10" s="126"/>
      <c r="CP10" s="126"/>
      <c r="CQ10" s="126"/>
      <c r="CR10" s="126"/>
      <c r="CS10" s="127"/>
      <c r="CV10" s="641"/>
      <c r="CW10" s="589"/>
      <c r="CX10" s="589"/>
      <c r="CY10" s="90" t="s">
        <v>523</v>
      </c>
      <c r="CZ10" s="126"/>
      <c r="DA10" s="126"/>
      <c r="DB10" s="126"/>
      <c r="DC10" s="126"/>
      <c r="DD10" s="127"/>
    </row>
    <row r="11" spans="1:108" x14ac:dyDescent="0.25">
      <c r="A11" s="1"/>
      <c r="B11" s="589"/>
      <c r="C11" s="589"/>
      <c r="D11" s="589"/>
      <c r="E11" s="21"/>
      <c r="F11" s="152"/>
      <c r="G11" s="152"/>
      <c r="H11" s="152"/>
      <c r="I11" s="152"/>
      <c r="J11" s="152"/>
      <c r="K11" s="152"/>
      <c r="L11" s="152"/>
      <c r="M11" s="152"/>
      <c r="N11" s="152"/>
      <c r="O11" s="152"/>
      <c r="P11" s="152"/>
      <c r="Q11" s="152"/>
      <c r="R11" s="152"/>
      <c r="S11" s="152"/>
      <c r="T11" s="152"/>
      <c r="U11" s="152"/>
      <c r="W11" s="589"/>
      <c r="X11" s="589"/>
      <c r="Y11" s="6"/>
      <c r="Z11" s="29" t="s">
        <v>501</v>
      </c>
      <c r="AA11" s="32" t="str">
        <f>IF(F11=""," ",F11*Inputs!$B$39)</f>
        <v xml:space="preserve"> </v>
      </c>
      <c r="AB11" s="32" t="str">
        <f>IF(G11=""," ",G11*Inputs!$B$39)</f>
        <v xml:space="preserve"> </v>
      </c>
      <c r="AC11" s="32" t="str">
        <f>IF(H11=""," ",H11*Inputs!$B$39)</f>
        <v xml:space="preserve"> </v>
      </c>
      <c r="AD11" s="32" t="str">
        <f>IF(I11=""," ",I11*Inputs!$B$39)</f>
        <v xml:space="preserve"> </v>
      </c>
      <c r="AE11" s="32" t="str">
        <f>IF(J11=""," ",J11*Inputs!$B$39)</f>
        <v xml:space="preserve"> </v>
      </c>
      <c r="AF11" s="32" t="str">
        <f>IF(K11=""," ",K11*Inputs!$B$39)</f>
        <v xml:space="preserve"> </v>
      </c>
      <c r="AG11" s="32" t="str">
        <f>IF(L11=""," ",L11*Inputs!$B$39)</f>
        <v xml:space="preserve"> </v>
      </c>
      <c r="AH11" s="32" t="str">
        <f>IF(M11=""," ",M11*Inputs!$B$39)</f>
        <v xml:space="preserve"> </v>
      </c>
      <c r="AI11" s="32" t="str">
        <f>IF(N11=""," ",N11*Inputs!$B$39)</f>
        <v xml:space="preserve"> </v>
      </c>
      <c r="AJ11" s="32" t="str">
        <f>IF(O11=""," ",O11*Inputs!$B$39)</f>
        <v xml:space="preserve"> </v>
      </c>
      <c r="AK11" s="32" t="str">
        <f>IF(P11=""," ",P11*Inputs!$B$39)</f>
        <v xml:space="preserve"> </v>
      </c>
      <c r="AL11" s="32" t="str">
        <f>IF(Q11=""," ",Q11*Inputs!$B$39)</f>
        <v xml:space="preserve"> </v>
      </c>
      <c r="AM11" s="32" t="str">
        <f>IF(R11=""," ",R11*Inputs!$B$39)</f>
        <v xml:space="preserve"> </v>
      </c>
      <c r="AN11" s="32" t="str">
        <f>IF(S11=""," ",S11*Inputs!$B$39)</f>
        <v xml:space="preserve"> </v>
      </c>
      <c r="AO11" s="32" t="str">
        <f>IF(T11=""," ",T11*Inputs!$B$39)</f>
        <v xml:space="preserve"> </v>
      </c>
      <c r="AP11" s="32" t="str">
        <f>IF(U11=""," ",U11*Inputs!$B$39)</f>
        <v xml:space="preserve"> </v>
      </c>
      <c r="AR11" s="589"/>
      <c r="AS11" s="589"/>
      <c r="AT11" s="6"/>
      <c r="AU11" s="29" t="s">
        <v>501</v>
      </c>
      <c r="AV11" s="32" t="str">
        <f>IF(AA11=" "," ",AA11*Inputs!$B$53)</f>
        <v xml:space="preserve"> </v>
      </c>
      <c r="AW11" s="32" t="str">
        <f>IF(AB11=" "," ",AB11*Inputs!$B$53)</f>
        <v xml:space="preserve"> </v>
      </c>
      <c r="AX11" s="32" t="str">
        <f>IF(AC11=" "," ",AC11*Inputs!$B$53)</f>
        <v xml:space="preserve"> </v>
      </c>
      <c r="AY11" s="32" t="str">
        <f>IF(AD11=" "," ",AD11*Inputs!$B$53)</f>
        <v xml:space="preserve"> </v>
      </c>
      <c r="AZ11" s="32" t="str">
        <f>IF(AE11=" "," ",AE11*Inputs!$B$53)</f>
        <v xml:space="preserve"> </v>
      </c>
      <c r="BA11" s="32" t="str">
        <f>IF(AF11=" "," ",AF11*Inputs!$B$53)</f>
        <v xml:space="preserve"> </v>
      </c>
      <c r="BB11" s="32" t="str">
        <f>IF(AG11=" "," ",AG11*Inputs!$B$53)</f>
        <v xml:space="preserve"> </v>
      </c>
      <c r="BC11" s="32" t="str">
        <f>IF(AH11=" "," ",AH11*Inputs!$B$53)</f>
        <v xml:space="preserve"> </v>
      </c>
      <c r="BD11" s="32" t="str">
        <f>IF(AI11=" "," ",AI11*Inputs!$B$53)</f>
        <v xml:space="preserve"> </v>
      </c>
      <c r="BE11" s="32" t="str">
        <f>IF(AJ11=" "," ",AJ11*Inputs!$B$53)</f>
        <v xml:space="preserve"> </v>
      </c>
      <c r="BF11" s="32" t="str">
        <f>IF(AK11=" "," ",AK11*Inputs!$B$53)</f>
        <v xml:space="preserve"> </v>
      </c>
      <c r="BG11" s="32" t="str">
        <f>IF(AL11=" "," ",AL11*Inputs!$B$53)</f>
        <v xml:space="preserve"> </v>
      </c>
      <c r="BH11" s="32" t="str">
        <f>IF(AM11=" "," ",AM11*Inputs!$B$53)</f>
        <v xml:space="preserve"> </v>
      </c>
      <c r="BI11" s="32" t="str">
        <f>IF(AN11=" "," ",AN11*Inputs!$B$53)</f>
        <v xml:space="preserve"> </v>
      </c>
      <c r="BJ11" s="32" t="str">
        <f>IF(AO11=" "," ",AO11*Inputs!$B$53)</f>
        <v xml:space="preserve"> </v>
      </c>
      <c r="BK11" s="32" t="str">
        <f>IF(AP11=" "," ",AP11*Inputs!$B$53)</f>
        <v xml:space="preserve"> </v>
      </c>
      <c r="BM11" s="641"/>
      <c r="BN11" s="589"/>
      <c r="BO11" s="591"/>
      <c r="BP11" s="112" t="s">
        <v>524</v>
      </c>
      <c r="BQ11" s="120">
        <f t="shared" si="0"/>
        <v>0</v>
      </c>
      <c r="BR11" s="120">
        <f t="shared" si="1"/>
        <v>0</v>
      </c>
      <c r="BS11" s="120">
        <f t="shared" si="2"/>
        <v>0</v>
      </c>
      <c r="BT11" s="120">
        <f t="shared" si="3"/>
        <v>0</v>
      </c>
      <c r="BU11" s="120">
        <f t="shared" si="4"/>
        <v>0</v>
      </c>
      <c r="BV11" s="105">
        <v>55</v>
      </c>
      <c r="BW11" s="32">
        <v>1</v>
      </c>
      <c r="BZ11" s="641"/>
      <c r="CA11" s="589"/>
      <c r="CB11" s="591"/>
      <c r="CC11" s="112" t="s">
        <v>524</v>
      </c>
      <c r="CD11" s="128"/>
      <c r="CE11" s="128"/>
      <c r="CF11" s="128"/>
      <c r="CG11" s="128"/>
      <c r="CH11" s="129"/>
      <c r="CI11">
        <v>1.236253260851861</v>
      </c>
      <c r="CK11" s="641"/>
      <c r="CL11" s="589"/>
      <c r="CM11" s="591"/>
      <c r="CN11" s="112" t="s">
        <v>524</v>
      </c>
      <c r="CO11" s="128"/>
      <c r="CP11" s="128"/>
      <c r="CQ11" s="128"/>
      <c r="CR11" s="128"/>
      <c r="CS11" s="129"/>
      <c r="CV11" s="641"/>
      <c r="CW11" s="589"/>
      <c r="CX11" s="591"/>
      <c r="CY11" s="112" t="s">
        <v>524</v>
      </c>
      <c r="CZ11" s="128"/>
      <c r="DA11" s="128"/>
      <c r="DB11" s="128"/>
      <c r="DC11" s="128"/>
      <c r="DD11" s="129"/>
    </row>
    <row r="12" spans="1:108" x14ac:dyDescent="0.25">
      <c r="A12" s="1"/>
      <c r="B12" s="630"/>
      <c r="C12" s="589"/>
      <c r="D12" s="588"/>
      <c r="E12" s="150"/>
      <c r="F12" s="151"/>
      <c r="G12" s="151"/>
      <c r="H12" s="151"/>
      <c r="I12" s="151"/>
      <c r="J12" s="151"/>
      <c r="K12" s="151"/>
      <c r="L12" s="151"/>
      <c r="M12" s="151"/>
      <c r="N12" s="151"/>
      <c r="O12" s="151"/>
      <c r="P12" s="151"/>
      <c r="Q12" s="151"/>
      <c r="R12" s="151"/>
      <c r="S12" s="151"/>
      <c r="T12" s="151"/>
      <c r="U12" s="151"/>
      <c r="W12" s="630"/>
      <c r="X12" s="589"/>
      <c r="Y12" s="32">
        <v>-0.13716845587066731</v>
      </c>
      <c r="Z12" s="24" t="s">
        <v>498</v>
      </c>
      <c r="AA12" s="32" t="str">
        <f>IF(F12=""," ",F12*Inputs!$B$39)</f>
        <v xml:space="preserve"> </v>
      </c>
      <c r="AB12" s="32" t="str">
        <f>IF(G12=""," ",G12*Inputs!$B$39)</f>
        <v xml:space="preserve"> </v>
      </c>
      <c r="AC12" s="32" t="str">
        <f>IF(H12=""," ",H12*Inputs!$B$39)</f>
        <v xml:space="preserve"> </v>
      </c>
      <c r="AD12" s="32" t="str">
        <f>IF(I12=""," ",I12*Inputs!$B$39)</f>
        <v xml:space="preserve"> </v>
      </c>
      <c r="AE12" s="32" t="str">
        <f>IF(J12=""," ",J12*Inputs!$B$39)</f>
        <v xml:space="preserve"> </v>
      </c>
      <c r="AF12" s="32" t="str">
        <f>IF(K12=""," ",K12*Inputs!$B$39)</f>
        <v xml:space="preserve"> </v>
      </c>
      <c r="AG12" s="32" t="str">
        <f>IF(L12=""," ",L12*Inputs!$B$39)</f>
        <v xml:space="preserve"> </v>
      </c>
      <c r="AH12" s="32" t="str">
        <f>IF(M12=""," ",M12*Inputs!$B$39)</f>
        <v xml:space="preserve"> </v>
      </c>
      <c r="AI12" s="32" t="str">
        <f>IF(N12=""," ",N12*Inputs!$B$39)</f>
        <v xml:space="preserve"> </v>
      </c>
      <c r="AJ12" s="32" t="str">
        <f>IF(O12=""," ",O12*Inputs!$B$39)</f>
        <v xml:space="preserve"> </v>
      </c>
      <c r="AK12" s="32" t="str">
        <f>IF(P12=""," ",P12*Inputs!$B$39)</f>
        <v xml:space="preserve"> </v>
      </c>
      <c r="AL12" s="32" t="str">
        <f>IF(Q12=""," ",Q12*Inputs!$B$39)</f>
        <v xml:space="preserve"> </v>
      </c>
      <c r="AM12" s="32" t="str">
        <f>IF(R12=""," ",R12*Inputs!$B$39)</f>
        <v xml:space="preserve"> </v>
      </c>
      <c r="AN12" s="32" t="str">
        <f>IF(S12=""," ",S12*Inputs!$B$39)</f>
        <v xml:space="preserve"> </v>
      </c>
      <c r="AO12" s="32" t="str">
        <f>IF(T12=""," ",T12*Inputs!$B$39)</f>
        <v xml:space="preserve"> </v>
      </c>
      <c r="AP12" s="32" t="str">
        <f>IF(U12=""," ",U12*Inputs!$B$39)</f>
        <v xml:space="preserve"> </v>
      </c>
      <c r="AR12" s="630"/>
      <c r="AS12" s="589"/>
      <c r="AT12" s="32">
        <v>-0.13716845587066731</v>
      </c>
      <c r="AU12" s="24" t="s">
        <v>498</v>
      </c>
      <c r="AV12" s="32" t="str">
        <f>IF(AA12=" "," ",AA12*Inputs!$B$53)</f>
        <v xml:space="preserve"> </v>
      </c>
      <c r="AW12" s="32" t="str">
        <f>IF(AB12=" "," ",AB12*Inputs!$B$53)</f>
        <v xml:space="preserve"> </v>
      </c>
      <c r="AX12" s="32" t="str">
        <f>IF(AC12=" "," ",AC12*Inputs!$B$53)</f>
        <v xml:space="preserve"> </v>
      </c>
      <c r="AY12" s="32" t="str">
        <f>IF(AD12=" "," ",AD12*Inputs!$B$53)</f>
        <v xml:space="preserve"> </v>
      </c>
      <c r="AZ12" s="32" t="str">
        <f>IF(AE12=" "," ",AE12*Inputs!$B$53)</f>
        <v xml:space="preserve"> </v>
      </c>
      <c r="BA12" s="32" t="str">
        <f>IF(AF12=" "," ",AF12*Inputs!$B$53)</f>
        <v xml:space="preserve"> </v>
      </c>
      <c r="BB12" s="32" t="str">
        <f>IF(AG12=" "," ",AG12*Inputs!$B$53)</f>
        <v xml:space="preserve"> </v>
      </c>
      <c r="BC12" s="32" t="str">
        <f>IF(AH12=" "," ",AH12*Inputs!$B$53)</f>
        <v xml:space="preserve"> </v>
      </c>
      <c r="BD12" s="32" t="str">
        <f>IF(AI12=" "," ",AI12*Inputs!$B$53)</f>
        <v xml:space="preserve"> </v>
      </c>
      <c r="BE12" s="32" t="str">
        <f>IF(AJ12=" "," ",AJ12*Inputs!$B$53)</f>
        <v xml:space="preserve"> </v>
      </c>
      <c r="BF12" s="32" t="str">
        <f>IF(AK12=" "," ",AK12*Inputs!$B$53)</f>
        <v xml:space="preserve"> </v>
      </c>
      <c r="BG12" s="32" t="str">
        <f>IF(AL12=" "," ",AL12*Inputs!$B$53)</f>
        <v xml:space="preserve"> </v>
      </c>
      <c r="BH12" s="32" t="str">
        <f>IF(AM12=" "," ",AM12*Inputs!$B$53)</f>
        <v xml:space="preserve"> </v>
      </c>
      <c r="BI12" s="32" t="str">
        <f>IF(AN12=" "," ",AN12*Inputs!$B$53)</f>
        <v xml:space="preserve"> </v>
      </c>
      <c r="BJ12" s="32" t="str">
        <f>IF(AO12=" "," ",AO12*Inputs!$B$53)</f>
        <v xml:space="preserve"> </v>
      </c>
      <c r="BK12" s="32" t="str">
        <f>IF(AP12=" "," ",AP12*Inputs!$B$53)</f>
        <v xml:space="preserve"> </v>
      </c>
      <c r="BM12" s="641"/>
      <c r="BN12" s="130"/>
      <c r="BO12" s="609" t="s">
        <v>545</v>
      </c>
      <c r="BP12" s="87" t="s">
        <v>522</v>
      </c>
      <c r="BQ12" s="120">
        <f t="shared" si="0"/>
        <v>1</v>
      </c>
      <c r="BR12" s="120">
        <f t="shared" si="1"/>
        <v>1.1391296477793049</v>
      </c>
      <c r="BS12" s="120">
        <f t="shared" si="2"/>
        <v>1.1734054524357891</v>
      </c>
      <c r="BT12" s="120">
        <f t="shared" si="3"/>
        <v>1.207618452137091</v>
      </c>
      <c r="BU12" s="120">
        <f t="shared" si="4"/>
        <v>1.2414948383242781</v>
      </c>
      <c r="BV12" s="102">
        <v>0</v>
      </c>
      <c r="BW12" s="32" t="e">
        <f>IF(VALUE($BW$5)&lt;=0.8,"1",IF(AND(VALUE($BW5)&gt;0.8,VALUE($BW$5)&lt;=0.96),FORECAST(VALUE($BW$5),BQ12:BR12,$BQ$5:$BR$5),IF(AND(VALUE($BW$5)&gt;0.96,VALUE($BW$5)&lt;=1.12),FORECAST(VALUE($BW$5),BR12:BS12,$BR$5:$BS$5),IF(AND(VALUE($BW$5)&gt;1.12,VALUE($BW$5)&lt;=1.3),FORECAST(VALUE($BW$5),BS12:BT12,$BS$5:$BT$5),FORECAST(VALUE($BW$5),BT12:BU12,$BT$5:$BU$5)))))</f>
        <v>#VALUE!</v>
      </c>
      <c r="BZ12" s="641"/>
      <c r="CA12" s="130"/>
      <c r="CB12" s="609" t="s">
        <v>545</v>
      </c>
      <c r="CC12" s="87" t="s">
        <v>522</v>
      </c>
      <c r="CD12" s="120">
        <v>1</v>
      </c>
      <c r="CE12" s="120">
        <v>1.1391296477793049</v>
      </c>
      <c r="CF12" s="120">
        <v>1.1734054524357891</v>
      </c>
      <c r="CG12" s="120">
        <v>1.207618452137091</v>
      </c>
      <c r="CH12" s="121">
        <v>1.2414948383242781</v>
      </c>
      <c r="CK12" s="641"/>
      <c r="CL12" s="130"/>
      <c r="CM12" s="609" t="s">
        <v>545</v>
      </c>
      <c r="CN12" s="87" t="s">
        <v>522</v>
      </c>
      <c r="CO12" s="120">
        <v>1</v>
      </c>
      <c r="CP12" s="120">
        <v>1.1391296477793049</v>
      </c>
      <c r="CQ12" s="120">
        <v>1.1734054524357891</v>
      </c>
      <c r="CR12" s="120">
        <v>1.207618452137091</v>
      </c>
      <c r="CS12" s="121">
        <v>1.2414948383242781</v>
      </c>
      <c r="CV12" s="641"/>
      <c r="CW12" s="130"/>
      <c r="CX12" s="609" t="s">
        <v>545</v>
      </c>
      <c r="CY12" s="87" t="s">
        <v>522</v>
      </c>
      <c r="CZ12" s="120">
        <v>1</v>
      </c>
      <c r="DA12" s="120">
        <v>1.1391296477793049</v>
      </c>
      <c r="DB12" s="120">
        <v>1.1734054524357891</v>
      </c>
      <c r="DC12" s="120">
        <v>1.207618452137091</v>
      </c>
      <c r="DD12" s="121">
        <v>1.2414948383242781</v>
      </c>
    </row>
    <row r="13" spans="1:108" x14ac:dyDescent="0.25">
      <c r="A13" s="1"/>
      <c r="B13" s="589"/>
      <c r="C13" s="589"/>
      <c r="D13" s="589"/>
      <c r="E13" s="21"/>
      <c r="F13" s="152"/>
      <c r="G13" s="152"/>
      <c r="H13" s="152"/>
      <c r="I13" s="152"/>
      <c r="J13" s="152"/>
      <c r="K13" s="152"/>
      <c r="L13" s="152"/>
      <c r="M13" s="152"/>
      <c r="N13" s="152"/>
      <c r="O13" s="152"/>
      <c r="P13" s="152"/>
      <c r="Q13" s="152"/>
      <c r="R13" s="152"/>
      <c r="S13" s="152"/>
      <c r="T13" s="152"/>
      <c r="U13" s="152"/>
      <c r="W13" s="589"/>
      <c r="X13" s="589"/>
      <c r="Y13" s="33"/>
      <c r="Z13" s="27" t="s">
        <v>499</v>
      </c>
      <c r="AA13" s="32" t="str">
        <f>IF(F13=""," ",F13*Inputs!$B$39)</f>
        <v xml:space="preserve"> </v>
      </c>
      <c r="AB13" s="32" t="str">
        <f>IF(G13=""," ",G13*Inputs!$B$39)</f>
        <v xml:space="preserve"> </v>
      </c>
      <c r="AC13" s="32" t="str">
        <f>IF(H13=""," ",H13*Inputs!$B$39)</f>
        <v xml:space="preserve"> </v>
      </c>
      <c r="AD13" s="32" t="str">
        <f>IF(I13=""," ",I13*Inputs!$B$39)</f>
        <v xml:space="preserve"> </v>
      </c>
      <c r="AE13" s="32" t="str">
        <f>IF(J13=""," ",J13*Inputs!$B$39)</f>
        <v xml:space="preserve"> </v>
      </c>
      <c r="AF13" s="32" t="str">
        <f>IF(K13=""," ",K13*Inputs!$B$39)</f>
        <v xml:space="preserve"> </v>
      </c>
      <c r="AG13" s="32" t="str">
        <f>IF(L13=""," ",L13*Inputs!$B$39)</f>
        <v xml:space="preserve"> </v>
      </c>
      <c r="AH13" s="32" t="str">
        <f>IF(M13=""," ",M13*Inputs!$B$39)</f>
        <v xml:space="preserve"> </v>
      </c>
      <c r="AI13" s="32" t="str">
        <f>IF(N13=""," ",N13*Inputs!$B$39)</f>
        <v xml:space="preserve"> </v>
      </c>
      <c r="AJ13" s="32" t="str">
        <f>IF(O13=""," ",O13*Inputs!$B$39)</f>
        <v xml:space="preserve"> </v>
      </c>
      <c r="AK13" s="32" t="str">
        <f>IF(P13=""," ",P13*Inputs!$B$39)</f>
        <v xml:space="preserve"> </v>
      </c>
      <c r="AL13" s="32" t="str">
        <f>IF(Q13=""," ",Q13*Inputs!$B$39)</f>
        <v xml:space="preserve"> </v>
      </c>
      <c r="AM13" s="32" t="str">
        <f>IF(R13=""," ",R13*Inputs!$B$39)</f>
        <v xml:space="preserve"> </v>
      </c>
      <c r="AN13" s="32" t="str">
        <f>IF(S13=""," ",S13*Inputs!$B$39)</f>
        <v xml:space="preserve"> </v>
      </c>
      <c r="AO13" s="32" t="str">
        <f>IF(T13=""," ",T13*Inputs!$B$39)</f>
        <v xml:space="preserve"> </v>
      </c>
      <c r="AP13" s="32" t="str">
        <f>IF(U13=""," ",U13*Inputs!$B$39)</f>
        <v xml:space="preserve"> </v>
      </c>
      <c r="AR13" s="589"/>
      <c r="AS13" s="589"/>
      <c r="AT13" s="33"/>
      <c r="AU13" s="27" t="s">
        <v>499</v>
      </c>
      <c r="AV13" s="32" t="str">
        <f>IF(AA13=" "," ",AA13*Inputs!$B$53)</f>
        <v xml:space="preserve"> </v>
      </c>
      <c r="AW13" s="32" t="str">
        <f>IF(AB13=" "," ",AB13*Inputs!$B$53)</f>
        <v xml:space="preserve"> </v>
      </c>
      <c r="AX13" s="32" t="str">
        <f>IF(AC13=" "," ",AC13*Inputs!$B$53)</f>
        <v xml:space="preserve"> </v>
      </c>
      <c r="AY13" s="32" t="str">
        <f>IF(AD13=" "," ",AD13*Inputs!$B$53)</f>
        <v xml:space="preserve"> </v>
      </c>
      <c r="AZ13" s="32" t="str">
        <f>IF(AE13=" "," ",AE13*Inputs!$B$53)</f>
        <v xml:space="preserve"> </v>
      </c>
      <c r="BA13" s="32" t="str">
        <f>IF(AF13=" "," ",AF13*Inputs!$B$53)</f>
        <v xml:space="preserve"> </v>
      </c>
      <c r="BB13" s="32" t="str">
        <f>IF(AG13=" "," ",AG13*Inputs!$B$53)</f>
        <v xml:space="preserve"> </v>
      </c>
      <c r="BC13" s="32" t="str">
        <f>IF(AH13=" "," ",AH13*Inputs!$B$53)</f>
        <v xml:space="preserve"> </v>
      </c>
      <c r="BD13" s="32" t="str">
        <f>IF(AI13=" "," ",AI13*Inputs!$B$53)</f>
        <v xml:space="preserve"> </v>
      </c>
      <c r="BE13" s="32" t="str">
        <f>IF(AJ13=" "," ",AJ13*Inputs!$B$53)</f>
        <v xml:space="preserve"> </v>
      </c>
      <c r="BF13" s="32" t="str">
        <f>IF(AK13=" "," ",AK13*Inputs!$B$53)</f>
        <v xml:space="preserve"> </v>
      </c>
      <c r="BG13" s="32" t="str">
        <f>IF(AL13=" "," ",AL13*Inputs!$B$53)</f>
        <v xml:space="preserve"> </v>
      </c>
      <c r="BH13" s="32" t="str">
        <f>IF(AM13=" "," ",AM13*Inputs!$B$53)</f>
        <v xml:space="preserve"> </v>
      </c>
      <c r="BI13" s="32" t="str">
        <f>IF(AN13=" "," ",AN13*Inputs!$B$53)</f>
        <v xml:space="preserve"> </v>
      </c>
      <c r="BJ13" s="32" t="str">
        <f>IF(AO13=" "," ",AO13*Inputs!$B$53)</f>
        <v xml:space="preserve"> </v>
      </c>
      <c r="BK13" s="32" t="str">
        <f>IF(AP13=" "," ",AP13*Inputs!$B$53)</f>
        <v xml:space="preserve"> </v>
      </c>
      <c r="BM13" s="641"/>
      <c r="BN13" s="130"/>
      <c r="BO13" s="589"/>
      <c r="BP13" s="90" t="s">
        <v>523</v>
      </c>
      <c r="BQ13" s="120">
        <f t="shared" si="0"/>
        <v>1</v>
      </c>
      <c r="BR13" s="120">
        <f t="shared" si="1"/>
        <v>1.2550106043839939</v>
      </c>
      <c r="BS13" s="120">
        <f t="shared" si="2"/>
        <v>1.2931087550205751</v>
      </c>
      <c r="BT13" s="120">
        <f t="shared" si="3"/>
        <v>1.3311370968614979</v>
      </c>
      <c r="BU13" s="120">
        <f t="shared" si="4"/>
        <v>1.368791286950316</v>
      </c>
      <c r="BV13" s="104"/>
      <c r="BW13" s="148" t="e">
        <f>IF($BW$3=0,BW12,BW14)</f>
        <v>#VALUE!</v>
      </c>
      <c r="BZ13" s="641"/>
      <c r="CA13" s="130"/>
      <c r="CB13" s="589"/>
      <c r="CC13" s="90" t="s">
        <v>523</v>
      </c>
      <c r="CD13" s="122">
        <v>1</v>
      </c>
      <c r="CE13" s="122">
        <v>1.2550106043839939</v>
      </c>
      <c r="CF13" s="122">
        <v>1.2931087550205751</v>
      </c>
      <c r="CG13" s="122">
        <v>1.3311370968614979</v>
      </c>
      <c r="CH13" s="123">
        <v>1.368791286950316</v>
      </c>
      <c r="CK13" s="641"/>
      <c r="CL13" s="130"/>
      <c r="CM13" s="589"/>
      <c r="CN13" s="90" t="s">
        <v>523</v>
      </c>
      <c r="CO13" s="122">
        <v>1</v>
      </c>
      <c r="CP13" s="122">
        <v>1.245489336304471</v>
      </c>
      <c r="CQ13" s="122">
        <v>1.2832734268760031</v>
      </c>
      <c r="CR13" s="122">
        <v>1.3209882841169469</v>
      </c>
      <c r="CS13" s="123">
        <v>1.358332073905723</v>
      </c>
      <c r="CV13" s="641"/>
      <c r="CW13" s="130"/>
      <c r="CX13" s="589"/>
      <c r="CY13" s="90" t="s">
        <v>523</v>
      </c>
      <c r="CZ13" s="122">
        <v>1</v>
      </c>
      <c r="DA13" s="122">
        <v>1.2173972694780391</v>
      </c>
      <c r="DB13" s="122">
        <v>1.254254740164364</v>
      </c>
      <c r="DC13" s="122">
        <v>1.2910446754035201</v>
      </c>
      <c r="DD13" s="123">
        <v>1.3274726432766739</v>
      </c>
    </row>
    <row r="14" spans="1:108" x14ac:dyDescent="0.25">
      <c r="A14" s="1"/>
      <c r="B14" s="589"/>
      <c r="C14" s="589"/>
      <c r="D14" s="589"/>
      <c r="E14" s="21"/>
      <c r="F14" s="152"/>
      <c r="G14" s="152"/>
      <c r="H14" s="152"/>
      <c r="I14" s="152"/>
      <c r="J14" s="152"/>
      <c r="K14" s="152"/>
      <c r="L14" s="152"/>
      <c r="M14" s="152"/>
      <c r="N14" s="152"/>
      <c r="O14" s="152"/>
      <c r="P14" s="152"/>
      <c r="Q14" s="152"/>
      <c r="R14" s="152"/>
      <c r="S14" s="152"/>
      <c r="T14" s="152"/>
      <c r="U14" s="152"/>
      <c r="W14" s="589"/>
      <c r="X14" s="589"/>
      <c r="Y14" s="33"/>
      <c r="Z14" s="27" t="s">
        <v>500</v>
      </c>
      <c r="AA14" s="32" t="str">
        <f>IF(F14=""," ",F14*Inputs!$B$39)</f>
        <v xml:space="preserve"> </v>
      </c>
      <c r="AB14" s="32" t="str">
        <f>IF(G14=""," ",G14*Inputs!$B$39)</f>
        <v xml:space="preserve"> </v>
      </c>
      <c r="AC14" s="32" t="str">
        <f>IF(H14=""," ",H14*Inputs!$B$39)</f>
        <v xml:space="preserve"> </v>
      </c>
      <c r="AD14" s="32" t="str">
        <f>IF(I14=""," ",I14*Inputs!$B$39)</f>
        <v xml:space="preserve"> </v>
      </c>
      <c r="AE14" s="32" t="str">
        <f>IF(J14=""," ",J14*Inputs!$B$39)</f>
        <v xml:space="preserve"> </v>
      </c>
      <c r="AF14" s="32" t="str">
        <f>IF(K14=""," ",K14*Inputs!$B$39)</f>
        <v xml:space="preserve"> </v>
      </c>
      <c r="AG14" s="32" t="str">
        <f>IF(L14=""," ",L14*Inputs!$B$39)</f>
        <v xml:space="preserve"> </v>
      </c>
      <c r="AH14" s="32" t="str">
        <f>IF(M14=""," ",M14*Inputs!$B$39)</f>
        <v xml:space="preserve"> </v>
      </c>
      <c r="AI14" s="32" t="str">
        <f>IF(N14=""," ",N14*Inputs!$B$39)</f>
        <v xml:space="preserve"> </v>
      </c>
      <c r="AJ14" s="32" t="str">
        <f>IF(O14=""," ",O14*Inputs!$B$39)</f>
        <v xml:space="preserve"> </v>
      </c>
      <c r="AK14" s="32" t="str">
        <f>IF(P14=""," ",P14*Inputs!$B$39)</f>
        <v xml:space="preserve"> </v>
      </c>
      <c r="AL14" s="32" t="str">
        <f>IF(Q14=""," ",Q14*Inputs!$B$39)</f>
        <v xml:space="preserve"> </v>
      </c>
      <c r="AM14" s="32" t="str">
        <f>IF(R14=""," ",R14*Inputs!$B$39)</f>
        <v xml:space="preserve"> </v>
      </c>
      <c r="AN14" s="32" t="str">
        <f>IF(S14=""," ",S14*Inputs!$B$39)</f>
        <v xml:space="preserve"> </v>
      </c>
      <c r="AO14" s="32" t="str">
        <f>IF(T14=""," ",T14*Inputs!$B$39)</f>
        <v xml:space="preserve"> </v>
      </c>
      <c r="AP14" s="32" t="str">
        <f>IF(U14=""," ",U14*Inputs!$B$39)</f>
        <v xml:space="preserve"> </v>
      </c>
      <c r="AR14" s="589"/>
      <c r="AS14" s="589"/>
      <c r="AT14" s="33"/>
      <c r="AU14" s="27" t="s">
        <v>500</v>
      </c>
      <c r="AV14" s="32" t="str">
        <f>IF(AA14=" "," ",AA14*Inputs!$B$53)</f>
        <v xml:space="preserve"> </v>
      </c>
      <c r="AW14" s="32" t="str">
        <f>IF(AB14=" "," ",AB14*Inputs!$B$53)</f>
        <v xml:space="preserve"> </v>
      </c>
      <c r="AX14" s="32" t="str">
        <f>IF(AC14=" "," ",AC14*Inputs!$B$53)</f>
        <v xml:space="preserve"> </v>
      </c>
      <c r="AY14" s="32" t="str">
        <f>IF(AD14=" "," ",AD14*Inputs!$B$53)</f>
        <v xml:space="preserve"> </v>
      </c>
      <c r="AZ14" s="32" t="str">
        <f>IF(AE14=" "," ",AE14*Inputs!$B$53)</f>
        <v xml:space="preserve"> </v>
      </c>
      <c r="BA14" s="32" t="str">
        <f>IF(AF14=" "," ",AF14*Inputs!$B$53)</f>
        <v xml:space="preserve"> </v>
      </c>
      <c r="BB14" s="32" t="str">
        <f>IF(AG14=" "," ",AG14*Inputs!$B$53)</f>
        <v xml:space="preserve"> </v>
      </c>
      <c r="BC14" s="32" t="str">
        <f>IF(AH14=" "," ",AH14*Inputs!$B$53)</f>
        <v xml:space="preserve"> </v>
      </c>
      <c r="BD14" s="32" t="str">
        <f>IF(AI14=" "," ",AI14*Inputs!$B$53)</f>
        <v xml:space="preserve"> </v>
      </c>
      <c r="BE14" s="32" t="str">
        <f>IF(AJ14=" "," ",AJ14*Inputs!$B$53)</f>
        <v xml:space="preserve"> </v>
      </c>
      <c r="BF14" s="32" t="str">
        <f>IF(AK14=" "," ",AK14*Inputs!$B$53)</f>
        <v xml:space="preserve"> </v>
      </c>
      <c r="BG14" s="32" t="str">
        <f>IF(AL14=" "," ",AL14*Inputs!$B$53)</f>
        <v xml:space="preserve"> </v>
      </c>
      <c r="BH14" s="32" t="str">
        <f>IF(AM14=" "," ",AM14*Inputs!$B$53)</f>
        <v xml:space="preserve"> </v>
      </c>
      <c r="BI14" s="32" t="str">
        <f>IF(AN14=" "," ",AN14*Inputs!$B$53)</f>
        <v xml:space="preserve"> </v>
      </c>
      <c r="BJ14" s="32" t="str">
        <f>IF(AO14=" "," ",AO14*Inputs!$B$53)</f>
        <v xml:space="preserve"> </v>
      </c>
      <c r="BK14" s="32" t="str">
        <f>IF(AP14=" "," ",AP14*Inputs!$B$53)</f>
        <v xml:space="preserve"> </v>
      </c>
      <c r="BM14" s="641"/>
      <c r="BN14" s="130"/>
      <c r="BO14" s="589"/>
      <c r="BP14" s="90" t="s">
        <v>524</v>
      </c>
      <c r="BQ14" s="120">
        <f t="shared" si="0"/>
        <v>1</v>
      </c>
      <c r="BR14" s="120">
        <f t="shared" si="1"/>
        <v>1.1958856151375381</v>
      </c>
      <c r="BS14" s="120">
        <f t="shared" si="2"/>
        <v>1.291771230275077</v>
      </c>
      <c r="BT14" s="120">
        <f t="shared" si="3"/>
        <v>1.3297569407565131</v>
      </c>
      <c r="BU14" s="120">
        <f t="shared" si="4"/>
        <v>1.367368918925584</v>
      </c>
      <c r="BV14" s="105">
        <v>55</v>
      </c>
      <c r="BW14" s="32" t="e">
        <f>IF(VALUE($BW$5)&lt;=0.8,"1",IF(AND(VALUE($BW5)&gt;0.8,VALUE($BW$5)&lt;=0.96),FORECAST(VALUE($BW$5),BQ14:BR14,$BQ$5:$BR$5),IF(AND(VALUE($BW$5)&gt;0.96,VALUE($BW$5)&lt;=1.12),FORECAST(VALUE($BW$5),BR14:BS14,$BR$5:$BS$5),IF(AND(VALUE($BW$5)&gt;1.12,VALUE($BW$5)&lt;=1.3),FORECAST(VALUE($BW$5),BS14:BT14,$BS$5:$BT$5),FORECAST(VALUE($BW$5),BT14:BU14,$BT$5:$BU$5)))))</f>
        <v>#VALUE!</v>
      </c>
      <c r="BZ14" s="641"/>
      <c r="CA14" s="130"/>
      <c r="CB14" s="589"/>
      <c r="CC14" s="90" t="s">
        <v>524</v>
      </c>
      <c r="CD14" s="122">
        <v>1</v>
      </c>
      <c r="CE14" s="122">
        <v>1.1958856151375381</v>
      </c>
      <c r="CF14" s="122">
        <v>1.291771230275077</v>
      </c>
      <c r="CG14" s="122">
        <v>1.3297569407565131</v>
      </c>
      <c r="CH14" s="123">
        <v>1.367368918925584</v>
      </c>
      <c r="CK14" s="641"/>
      <c r="CL14" s="130"/>
      <c r="CM14" s="589"/>
      <c r="CN14" s="90" t="s">
        <v>524</v>
      </c>
      <c r="CO14" s="122">
        <v>1</v>
      </c>
      <c r="CP14" s="122">
        <v>1.2274453254706901</v>
      </c>
      <c r="CQ14" s="122">
        <v>1.3548906509413801</v>
      </c>
      <c r="CR14" s="122">
        <v>1.3948881871644341</v>
      </c>
      <c r="CS14" s="123">
        <v>1.4344921972032441</v>
      </c>
      <c r="CV14" s="641"/>
      <c r="CW14" s="130"/>
      <c r="CX14" s="589"/>
      <c r="CY14" s="90" t="s">
        <v>524</v>
      </c>
      <c r="CZ14" s="122">
        <v>1</v>
      </c>
      <c r="DA14" s="122">
        <v>1.304369943978938</v>
      </c>
      <c r="DB14" s="122">
        <v>1.5087398879578759</v>
      </c>
      <c r="DC14" s="122">
        <v>1.5536411107498269</v>
      </c>
      <c r="DD14" s="123">
        <v>1.598100561159234</v>
      </c>
    </row>
    <row r="15" spans="1:108" x14ac:dyDescent="0.25">
      <c r="A15" s="1"/>
      <c r="B15" s="589"/>
      <c r="C15" s="589"/>
      <c r="D15" s="589"/>
      <c r="E15" s="21"/>
      <c r="F15" s="152"/>
      <c r="G15" s="152"/>
      <c r="H15" s="152"/>
      <c r="I15" s="152"/>
      <c r="J15" s="152"/>
      <c r="K15" s="152"/>
      <c r="L15" s="152"/>
      <c r="M15" s="152"/>
      <c r="N15" s="152"/>
      <c r="O15" s="152"/>
      <c r="P15" s="152"/>
      <c r="Q15" s="152"/>
      <c r="R15" s="152"/>
      <c r="S15" s="152"/>
      <c r="T15" s="152"/>
      <c r="U15" s="152"/>
      <c r="W15" s="589"/>
      <c r="X15" s="589"/>
      <c r="Y15" s="6"/>
      <c r="Z15" s="29" t="s">
        <v>501</v>
      </c>
      <c r="AA15" s="32" t="str">
        <f>IF(F15=""," ",F15*Inputs!$B$39)</f>
        <v xml:space="preserve"> </v>
      </c>
      <c r="AB15" s="32" t="str">
        <f>IF(G15=""," ",G15*Inputs!$B$39)</f>
        <v xml:space="preserve"> </v>
      </c>
      <c r="AC15" s="32" t="str">
        <f>IF(H15=""," ",H15*Inputs!$B$39)</f>
        <v xml:space="preserve"> </v>
      </c>
      <c r="AD15" s="32" t="str">
        <f>IF(I15=""," ",I15*Inputs!$B$39)</f>
        <v xml:space="preserve"> </v>
      </c>
      <c r="AE15" s="32" t="str">
        <f>IF(J15=""," ",J15*Inputs!$B$39)</f>
        <v xml:space="preserve"> </v>
      </c>
      <c r="AF15" s="32" t="str">
        <f>IF(K15=""," ",K15*Inputs!$B$39)</f>
        <v xml:space="preserve"> </v>
      </c>
      <c r="AG15" s="32" t="str">
        <f>IF(L15=""," ",L15*Inputs!$B$39)</f>
        <v xml:space="preserve"> </v>
      </c>
      <c r="AH15" s="32" t="str">
        <f>IF(M15=""," ",M15*Inputs!$B$39)</f>
        <v xml:space="preserve"> </v>
      </c>
      <c r="AI15" s="32" t="str">
        <f>IF(N15=""," ",N15*Inputs!$B$39)</f>
        <v xml:space="preserve"> </v>
      </c>
      <c r="AJ15" s="32" t="str">
        <f>IF(O15=""," ",O15*Inputs!$B$39)</f>
        <v xml:space="preserve"> </v>
      </c>
      <c r="AK15" s="32" t="str">
        <f>IF(P15=""," ",P15*Inputs!$B$39)</f>
        <v xml:space="preserve"> </v>
      </c>
      <c r="AL15" s="32" t="str">
        <f>IF(Q15=""," ",Q15*Inputs!$B$39)</f>
        <v xml:space="preserve"> </v>
      </c>
      <c r="AM15" s="32" t="str">
        <f>IF(R15=""," ",R15*Inputs!$B$39)</f>
        <v xml:space="preserve"> </v>
      </c>
      <c r="AN15" s="32" t="str">
        <f>IF(S15=""," ",S15*Inputs!$B$39)</f>
        <v xml:space="preserve"> </v>
      </c>
      <c r="AO15" s="32" t="str">
        <f>IF(T15=""," ",T15*Inputs!$B$39)</f>
        <v xml:space="preserve"> </v>
      </c>
      <c r="AP15" s="32" t="str">
        <f>IF(U15=""," ",U15*Inputs!$B$39)</f>
        <v xml:space="preserve"> </v>
      </c>
      <c r="AR15" s="589"/>
      <c r="AS15" s="589"/>
      <c r="AT15" s="6"/>
      <c r="AU15" s="29" t="s">
        <v>501</v>
      </c>
      <c r="AV15" s="32" t="str">
        <f>IF(AA15=" "," ",AA15*Inputs!$B$53)</f>
        <v xml:space="preserve"> </v>
      </c>
      <c r="AW15" s="32" t="str">
        <f>IF(AB15=" "," ",AB15*Inputs!$B$53)</f>
        <v xml:space="preserve"> </v>
      </c>
      <c r="AX15" s="32" t="str">
        <f>IF(AC15=" "," ",AC15*Inputs!$B$53)</f>
        <v xml:space="preserve"> </v>
      </c>
      <c r="AY15" s="32" t="str">
        <f>IF(AD15=" "," ",AD15*Inputs!$B$53)</f>
        <v xml:space="preserve"> </v>
      </c>
      <c r="AZ15" s="32" t="str">
        <f>IF(AE15=" "," ",AE15*Inputs!$B$53)</f>
        <v xml:space="preserve"> </v>
      </c>
      <c r="BA15" s="32" t="str">
        <f>IF(AF15=" "," ",AF15*Inputs!$B$53)</f>
        <v xml:space="preserve"> </v>
      </c>
      <c r="BB15" s="32" t="str">
        <f>IF(AG15=" "," ",AG15*Inputs!$B$53)</f>
        <v xml:space="preserve"> </v>
      </c>
      <c r="BC15" s="32" t="str">
        <f>IF(AH15=" "," ",AH15*Inputs!$B$53)</f>
        <v xml:space="preserve"> </v>
      </c>
      <c r="BD15" s="32" t="str">
        <f>IF(AI15=" "," ",AI15*Inputs!$B$53)</f>
        <v xml:space="preserve"> </v>
      </c>
      <c r="BE15" s="32" t="str">
        <f>IF(AJ15=" "," ",AJ15*Inputs!$B$53)</f>
        <v xml:space="preserve"> </v>
      </c>
      <c r="BF15" s="32" t="str">
        <f>IF(AK15=" "," ",AK15*Inputs!$B$53)</f>
        <v xml:space="preserve"> </v>
      </c>
      <c r="BG15" s="32" t="str">
        <f>IF(AL15=" "," ",AL15*Inputs!$B$53)</f>
        <v xml:space="preserve"> </v>
      </c>
      <c r="BH15" s="32" t="str">
        <f>IF(AM15=" "," ",AM15*Inputs!$B$53)</f>
        <v xml:space="preserve"> </v>
      </c>
      <c r="BI15" s="32" t="str">
        <f>IF(AN15=" "," ",AN15*Inputs!$B$53)</f>
        <v xml:space="preserve"> </v>
      </c>
      <c r="BJ15" s="32" t="str">
        <f>IF(AO15=" "," ",AO15*Inputs!$B$53)</f>
        <v xml:space="preserve"> </v>
      </c>
      <c r="BK15" s="32" t="str">
        <f>IF(AP15=" "," ",AP15*Inputs!$B$53)</f>
        <v xml:space="preserve"> </v>
      </c>
      <c r="BM15" s="641"/>
      <c r="BN15" s="130"/>
      <c r="BO15" s="642" t="s">
        <v>546</v>
      </c>
      <c r="BP15" s="87" t="s">
        <v>522</v>
      </c>
      <c r="BQ15" s="120">
        <f t="shared" si="0"/>
        <v>1</v>
      </c>
      <c r="BR15" s="120">
        <f t="shared" si="1"/>
        <v>1.1391296477793049</v>
      </c>
      <c r="BS15" s="120">
        <f t="shared" si="2"/>
        <v>1.1734054524357891</v>
      </c>
      <c r="BT15" s="120">
        <f t="shared" si="3"/>
        <v>1.207618452137091</v>
      </c>
      <c r="BU15" s="120">
        <f t="shared" si="4"/>
        <v>1.2414948383242781</v>
      </c>
      <c r="BV15" s="102">
        <v>0</v>
      </c>
      <c r="BW15" s="32" t="e">
        <f>IF(VALUE($BW$5)&lt;=0.8,"1",IF(AND(VALUE($BW14)&gt;0.8,VALUE($BW$5)&lt;=0.96),FORECAST(VALUE($BW$5),BQ15:BR15,$BQ$5:$BR$5),IF(AND(VALUE($BW$5)&gt;0.96,VALUE($BW$5)&lt;=1.12),FORECAST(VALUE($BW$5),BR15:BS15,$BR$5:$BS$5),IF(AND(VALUE($BW$5)&gt;1.12,VALUE($BW$5)&lt;=1.3),FORECAST(VALUE($BW$5),BS15:BT15,$BS$5:$BT$5),FORECAST(VALUE($BW$5),BT15:BU15,$BT$5:$BU$5)))))</f>
        <v>#VALUE!</v>
      </c>
      <c r="BZ15" s="641"/>
      <c r="CA15" s="130"/>
      <c r="CB15" s="642" t="s">
        <v>546</v>
      </c>
      <c r="CC15" s="87" t="s">
        <v>522</v>
      </c>
      <c r="CD15" s="120">
        <v>1</v>
      </c>
      <c r="CE15" s="120">
        <v>1.1391296477793049</v>
      </c>
      <c r="CF15" s="120">
        <v>1.1734054524357891</v>
      </c>
      <c r="CG15" s="120">
        <v>1.207618452137091</v>
      </c>
      <c r="CH15" s="121">
        <v>1.2414948383242781</v>
      </c>
      <c r="CK15" s="641"/>
      <c r="CL15" s="130"/>
      <c r="CM15" s="642" t="s">
        <v>546</v>
      </c>
      <c r="CN15" s="87" t="s">
        <v>522</v>
      </c>
      <c r="CO15" s="120">
        <v>1</v>
      </c>
      <c r="CP15" s="120">
        <v>1.1391296477793049</v>
      </c>
      <c r="CQ15" s="120">
        <v>1.1734054524357891</v>
      </c>
      <c r="CR15" s="120">
        <v>1.207618452137091</v>
      </c>
      <c r="CS15" s="121">
        <v>1.2414948383242781</v>
      </c>
      <c r="CV15" s="641"/>
      <c r="CW15" s="130"/>
      <c r="CX15" s="642" t="s">
        <v>546</v>
      </c>
      <c r="CY15" s="87" t="s">
        <v>522</v>
      </c>
      <c r="CZ15" s="120">
        <v>1</v>
      </c>
      <c r="DA15" s="120">
        <v>1.1391296477793049</v>
      </c>
      <c r="DB15" s="120">
        <v>1.1734054524357891</v>
      </c>
      <c r="DC15" s="120">
        <v>1.207618452137091</v>
      </c>
      <c r="DD15" s="121">
        <v>1.2414948383242781</v>
      </c>
    </row>
    <row r="16" spans="1:108" x14ac:dyDescent="0.25">
      <c r="A16" s="1"/>
      <c r="B16" s="626"/>
      <c r="C16" s="589"/>
      <c r="D16" s="588"/>
      <c r="E16" s="150"/>
      <c r="F16" s="151"/>
      <c r="G16" s="151"/>
      <c r="H16" s="151"/>
      <c r="I16" s="151"/>
      <c r="J16" s="151"/>
      <c r="K16" s="151"/>
      <c r="L16" s="151"/>
      <c r="M16" s="151"/>
      <c r="N16" s="151"/>
      <c r="O16" s="151"/>
      <c r="P16" s="151"/>
      <c r="Q16" s="151"/>
      <c r="R16" s="151"/>
      <c r="S16" s="151"/>
      <c r="T16" s="151"/>
      <c r="U16" s="151"/>
      <c r="W16" s="626"/>
      <c r="X16" s="589"/>
      <c r="Y16" s="32">
        <v>-6.2450839841010422E-2</v>
      </c>
      <c r="Z16" s="24" t="s">
        <v>498</v>
      </c>
      <c r="AA16" s="32" t="str">
        <f>IF(F16=""," ",F16*Inputs!$B$39)</f>
        <v xml:space="preserve"> </v>
      </c>
      <c r="AB16" s="32" t="str">
        <f>IF(G16=""," ",G16*Inputs!$B$39)</f>
        <v xml:space="preserve"> </v>
      </c>
      <c r="AC16" s="32" t="str">
        <f>IF(H16=""," ",H16*Inputs!$B$39)</f>
        <v xml:space="preserve"> </v>
      </c>
      <c r="AD16" s="32" t="str">
        <f>IF(I16=""," ",I16*Inputs!$B$39)</f>
        <v xml:space="preserve"> </v>
      </c>
      <c r="AE16" s="32" t="str">
        <f>IF(J16=""," ",J16*Inputs!$B$39)</f>
        <v xml:space="preserve"> </v>
      </c>
      <c r="AF16" s="32" t="str">
        <f>IF(K16=""," ",K16*Inputs!$B$39)</f>
        <v xml:space="preserve"> </v>
      </c>
      <c r="AG16" s="32" t="str">
        <f>IF(L16=""," ",L16*Inputs!$B$39)</f>
        <v xml:space="preserve"> </v>
      </c>
      <c r="AH16" s="32" t="str">
        <f>IF(M16=""," ",M16*Inputs!$B$39)</f>
        <v xml:space="preserve"> </v>
      </c>
      <c r="AI16" s="32" t="str">
        <f>IF(N16=""," ",N16*Inputs!$B$39)</f>
        <v xml:space="preserve"> </v>
      </c>
      <c r="AJ16" s="32" t="str">
        <f>IF(O16=""," ",O16*Inputs!$B$39)</f>
        <v xml:space="preserve"> </v>
      </c>
      <c r="AK16" s="32" t="str">
        <f>IF(P16=""," ",P16*Inputs!$B$39)</f>
        <v xml:space="preserve"> </v>
      </c>
      <c r="AL16" s="32" t="str">
        <f>IF(Q16=""," ",Q16*Inputs!$B$39)</f>
        <v xml:space="preserve"> </v>
      </c>
      <c r="AM16" s="32" t="str">
        <f>IF(R16=""," ",R16*Inputs!$B$39)</f>
        <v xml:space="preserve"> </v>
      </c>
      <c r="AN16" s="32" t="str">
        <f>IF(S16=""," ",S16*Inputs!$B$39)</f>
        <v xml:space="preserve"> </v>
      </c>
      <c r="AO16" s="32" t="str">
        <f>IF(T16=""," ",T16*Inputs!$B$39)</f>
        <v xml:space="preserve"> </v>
      </c>
      <c r="AP16" s="32" t="str">
        <f>IF(U16=""," ",U16*Inputs!$B$39)</f>
        <v xml:space="preserve"> </v>
      </c>
      <c r="AR16" s="626"/>
      <c r="AS16" s="589"/>
      <c r="AT16" s="32">
        <v>-6.2450839841010422E-2</v>
      </c>
      <c r="AU16" s="24" t="s">
        <v>498</v>
      </c>
      <c r="AV16" s="32" t="str">
        <f>IF(AA16=" "," ",AA16*Inputs!$B$53)</f>
        <v xml:space="preserve"> </v>
      </c>
      <c r="AW16" s="32" t="str">
        <f>IF(AB16=" "," ",AB16*Inputs!$B$53)</f>
        <v xml:space="preserve"> </v>
      </c>
      <c r="AX16" s="32" t="str">
        <f>IF(AC16=" "," ",AC16*Inputs!$B$53)</f>
        <v xml:space="preserve"> </v>
      </c>
      <c r="AY16" s="32" t="str">
        <f>IF(AD16=" "," ",AD16*Inputs!$B$53)</f>
        <v xml:space="preserve"> </v>
      </c>
      <c r="AZ16" s="32" t="str">
        <f>IF(AE16=" "," ",AE16*Inputs!$B$53)</f>
        <v xml:space="preserve"> </v>
      </c>
      <c r="BA16" s="32" t="str">
        <f>IF(AF16=" "," ",AF16*Inputs!$B$53)</f>
        <v xml:space="preserve"> </v>
      </c>
      <c r="BB16" s="32" t="str">
        <f>IF(AG16=" "," ",AG16*Inputs!$B$53)</f>
        <v xml:space="preserve"> </v>
      </c>
      <c r="BC16" s="32" t="str">
        <f>IF(AH16=" "," ",AH16*Inputs!$B$53)</f>
        <v xml:space="preserve"> </v>
      </c>
      <c r="BD16" s="32" t="str">
        <f>IF(AI16=" "," ",AI16*Inputs!$B$53)</f>
        <v xml:space="preserve"> </v>
      </c>
      <c r="BE16" s="32" t="str">
        <f>IF(AJ16=" "," ",AJ16*Inputs!$B$53)</f>
        <v xml:space="preserve"> </v>
      </c>
      <c r="BF16" s="32" t="str">
        <f>IF(AK16=" "," ",AK16*Inputs!$B$53)</f>
        <v xml:space="preserve"> </v>
      </c>
      <c r="BG16" s="32" t="str">
        <f>IF(AL16=" "," ",AL16*Inputs!$B$53)</f>
        <v xml:space="preserve"> </v>
      </c>
      <c r="BH16" s="32" t="str">
        <f>IF(AM16=" "," ",AM16*Inputs!$B$53)</f>
        <v xml:space="preserve"> </v>
      </c>
      <c r="BI16" s="32" t="str">
        <f>IF(AN16=" "," ",AN16*Inputs!$B$53)</f>
        <v xml:space="preserve"> </v>
      </c>
      <c r="BJ16" s="32" t="str">
        <f>IF(AO16=" "," ",AO16*Inputs!$B$53)</f>
        <v xml:space="preserve"> </v>
      </c>
      <c r="BK16" s="32" t="str">
        <f>IF(AP16=" "," ",AP16*Inputs!$B$53)</f>
        <v xml:space="preserve"> </v>
      </c>
      <c r="BM16" s="641"/>
      <c r="BN16" s="130"/>
      <c r="BO16" s="589"/>
      <c r="BP16" s="90" t="s">
        <v>523</v>
      </c>
      <c r="BQ16" s="120">
        <f t="shared" si="0"/>
        <v>1</v>
      </c>
      <c r="BR16" s="120">
        <f t="shared" si="1"/>
        <v>1.1698908607945919</v>
      </c>
      <c r="BS16" s="120">
        <f t="shared" si="2"/>
        <v>1.205181327414155</v>
      </c>
      <c r="BT16" s="120">
        <f t="shared" si="3"/>
        <v>1.2404071298720249</v>
      </c>
      <c r="BU16" s="120">
        <f t="shared" si="4"/>
        <v>1.2752863540919051</v>
      </c>
      <c r="BV16" s="104"/>
      <c r="BW16" s="148" t="e">
        <f>IF($BW$3=0,BW15,BW17)</f>
        <v>#VALUE!</v>
      </c>
      <c r="BZ16" s="641"/>
      <c r="CA16" s="130"/>
      <c r="CB16" s="589"/>
      <c r="CC16" s="90" t="s">
        <v>523</v>
      </c>
      <c r="CD16" s="122">
        <v>1</v>
      </c>
      <c r="CE16" s="122">
        <v>1.1698908607945919</v>
      </c>
      <c r="CF16" s="122">
        <v>1.205181327414155</v>
      </c>
      <c r="CG16" s="122">
        <v>1.2404071298720249</v>
      </c>
      <c r="CH16" s="123">
        <v>1.2752863540919051</v>
      </c>
      <c r="CK16" s="641"/>
      <c r="CL16" s="130"/>
      <c r="CM16" s="589"/>
      <c r="CN16" s="90" t="s">
        <v>523</v>
      </c>
      <c r="CO16" s="122">
        <v>1</v>
      </c>
      <c r="CP16" s="122">
        <v>1.207406201110812</v>
      </c>
      <c r="CQ16" s="122">
        <v>1.2439341153184089</v>
      </c>
      <c r="CR16" s="122">
        <v>1.2803950979386161</v>
      </c>
      <c r="CS16" s="123">
        <v>1.316497349678895</v>
      </c>
      <c r="CV16" s="641"/>
      <c r="CW16" s="130"/>
      <c r="CX16" s="589"/>
      <c r="CY16" s="90" t="s">
        <v>523</v>
      </c>
      <c r="CZ16" s="122">
        <v>1</v>
      </c>
      <c r="DA16" s="122">
        <v>1.305898417763649</v>
      </c>
      <c r="DB16" s="122">
        <v>1.345675108469339</v>
      </c>
      <c r="DC16" s="122">
        <v>1.385378914721926</v>
      </c>
      <c r="DD16" s="123">
        <v>1.4246920847291351</v>
      </c>
    </row>
    <row r="17" spans="1:108" x14ac:dyDescent="0.25">
      <c r="A17" s="1"/>
      <c r="B17" s="589"/>
      <c r="C17" s="589"/>
      <c r="D17" s="589"/>
      <c r="E17" s="21"/>
      <c r="F17" s="152"/>
      <c r="G17" s="152"/>
      <c r="H17" s="152"/>
      <c r="I17" s="152"/>
      <c r="J17" s="152"/>
      <c r="K17" s="152"/>
      <c r="L17" s="152"/>
      <c r="M17" s="152"/>
      <c r="N17" s="152"/>
      <c r="O17" s="152"/>
      <c r="P17" s="152"/>
      <c r="Q17" s="152"/>
      <c r="R17" s="152"/>
      <c r="S17" s="152"/>
      <c r="T17" s="152"/>
      <c r="U17" s="152"/>
      <c r="W17" s="589"/>
      <c r="X17" s="589"/>
      <c r="Y17" s="33"/>
      <c r="Z17" s="27" t="s">
        <v>499</v>
      </c>
      <c r="AA17" s="32" t="str">
        <f>IF(F17=""," ",F17*Inputs!$B$39)</f>
        <v xml:space="preserve"> </v>
      </c>
      <c r="AB17" s="32" t="str">
        <f>IF(G17=""," ",G17*Inputs!$B$39)</f>
        <v xml:space="preserve"> </v>
      </c>
      <c r="AC17" s="32" t="str">
        <f>IF(H17=""," ",H17*Inputs!$B$39)</f>
        <v xml:space="preserve"> </v>
      </c>
      <c r="AD17" s="32" t="str">
        <f>IF(I17=""," ",I17*Inputs!$B$39)</f>
        <v xml:space="preserve"> </v>
      </c>
      <c r="AE17" s="32" t="str">
        <f>IF(J17=""," ",J17*Inputs!$B$39)</f>
        <v xml:space="preserve"> </v>
      </c>
      <c r="AF17" s="32" t="str">
        <f>IF(K17=""," ",K17*Inputs!$B$39)</f>
        <v xml:space="preserve"> </v>
      </c>
      <c r="AG17" s="32" t="str">
        <f>IF(L17=""," ",L17*Inputs!$B$39)</f>
        <v xml:space="preserve"> </v>
      </c>
      <c r="AH17" s="32" t="str">
        <f>IF(M17=""," ",M17*Inputs!$B$39)</f>
        <v xml:space="preserve"> </v>
      </c>
      <c r="AI17" s="32" t="str">
        <f>IF(N17=""," ",N17*Inputs!$B$39)</f>
        <v xml:space="preserve"> </v>
      </c>
      <c r="AJ17" s="32" t="str">
        <f>IF(O17=""," ",O17*Inputs!$B$39)</f>
        <v xml:space="preserve"> </v>
      </c>
      <c r="AK17" s="32" t="str">
        <f>IF(P17=""," ",P17*Inputs!$B$39)</f>
        <v xml:space="preserve"> </v>
      </c>
      <c r="AL17" s="32" t="str">
        <f>IF(Q17=""," ",Q17*Inputs!$B$39)</f>
        <v xml:space="preserve"> </v>
      </c>
      <c r="AM17" s="32" t="str">
        <f>IF(R17=""," ",R17*Inputs!$B$39)</f>
        <v xml:space="preserve"> </v>
      </c>
      <c r="AN17" s="32" t="str">
        <f>IF(S17=""," ",S17*Inputs!$B$39)</f>
        <v xml:space="preserve"> </v>
      </c>
      <c r="AO17" s="32" t="str">
        <f>IF(T17=""," ",T17*Inputs!$B$39)</f>
        <v xml:space="preserve"> </v>
      </c>
      <c r="AP17" s="32" t="str">
        <f>IF(U17=""," ",U17*Inputs!$B$39)</f>
        <v xml:space="preserve"> </v>
      </c>
      <c r="AR17" s="589"/>
      <c r="AS17" s="589"/>
      <c r="AT17" s="33"/>
      <c r="AU17" s="27" t="s">
        <v>499</v>
      </c>
      <c r="AV17" s="32" t="str">
        <f>IF(AA17=" "," ",AA17*Inputs!$B$53)</f>
        <v xml:space="preserve"> </v>
      </c>
      <c r="AW17" s="32" t="str">
        <f>IF(AB17=" "," ",AB17*Inputs!$B$53)</f>
        <v xml:space="preserve"> </v>
      </c>
      <c r="AX17" s="32" t="str">
        <f>IF(AC17=" "," ",AC17*Inputs!$B$53)</f>
        <v xml:space="preserve"> </v>
      </c>
      <c r="AY17" s="32" t="str">
        <f>IF(AD17=" "," ",AD17*Inputs!$B$53)</f>
        <v xml:space="preserve"> </v>
      </c>
      <c r="AZ17" s="32" t="str">
        <f>IF(AE17=" "," ",AE17*Inputs!$B$53)</f>
        <v xml:space="preserve"> </v>
      </c>
      <c r="BA17" s="32" t="str">
        <f>IF(AF17=" "," ",AF17*Inputs!$B$53)</f>
        <v xml:space="preserve"> </v>
      </c>
      <c r="BB17" s="32" t="str">
        <f>IF(AG17=" "," ",AG17*Inputs!$B$53)</f>
        <v xml:space="preserve"> </v>
      </c>
      <c r="BC17" s="32" t="str">
        <f>IF(AH17=" "," ",AH17*Inputs!$B$53)</f>
        <v xml:space="preserve"> </v>
      </c>
      <c r="BD17" s="32" t="str">
        <f>IF(AI17=" "," ",AI17*Inputs!$B$53)</f>
        <v xml:space="preserve"> </v>
      </c>
      <c r="BE17" s="32" t="str">
        <f>IF(AJ17=" "," ",AJ17*Inputs!$B$53)</f>
        <v xml:space="preserve"> </v>
      </c>
      <c r="BF17" s="32" t="str">
        <f>IF(AK17=" "," ",AK17*Inputs!$B$53)</f>
        <v xml:space="preserve"> </v>
      </c>
      <c r="BG17" s="32" t="str">
        <f>IF(AL17=" "," ",AL17*Inputs!$B$53)</f>
        <v xml:space="preserve"> </v>
      </c>
      <c r="BH17" s="32" t="str">
        <f>IF(AM17=" "," ",AM17*Inputs!$B$53)</f>
        <v xml:space="preserve"> </v>
      </c>
      <c r="BI17" s="32" t="str">
        <f>IF(AN17=" "," ",AN17*Inputs!$B$53)</f>
        <v xml:space="preserve"> </v>
      </c>
      <c r="BJ17" s="32" t="str">
        <f>IF(AO17=" "," ",AO17*Inputs!$B$53)</f>
        <v xml:space="preserve"> </v>
      </c>
      <c r="BK17" s="32" t="str">
        <f>IF(AP17=" "," ",AP17*Inputs!$B$53)</f>
        <v xml:space="preserve"> </v>
      </c>
      <c r="BM17" s="641"/>
      <c r="BN17" s="130"/>
      <c r="BO17" s="591"/>
      <c r="BP17" s="112" t="s">
        <v>524</v>
      </c>
      <c r="BQ17" s="120">
        <f t="shared" si="0"/>
        <v>1</v>
      </c>
      <c r="BR17" s="120">
        <f t="shared" si="1"/>
        <v>1.1202623041351061</v>
      </c>
      <c r="BS17" s="120">
        <f t="shared" si="2"/>
        <v>1.1405246082702121</v>
      </c>
      <c r="BT17" s="120">
        <f t="shared" si="3"/>
        <v>1.1736895861740999</v>
      </c>
      <c r="BU17" s="120">
        <f t="shared" si="4"/>
        <v>1.206528261799461</v>
      </c>
      <c r="BV17" s="105">
        <v>55</v>
      </c>
      <c r="BW17" s="32" t="e">
        <f>IF(VALUE($BW$5)&lt;=0.8,"1",IF(AND(VALUE($BW5)&gt;0.8,VALUE($BW$5)&lt;=0.96),FORECAST(VALUE($BW$5),BQ17:BR17,$BQ$5:$BR$5),IF(AND(VALUE($BW$5)&gt;0.96,VALUE($BW$5)&lt;=1.12),FORECAST(VALUE($BW$5),BR17:BS17,$BR$5:$BS$5),IF(AND(VALUE($BW$5)&gt;1.12,VALUE($BW$5)&lt;=1.3),FORECAST(VALUE($BW$5),BS17:BT17,$BS$5:$BT$5),FORECAST(VALUE($BW$5),BT17:BU17,$BT$5:$BU$5)))))</f>
        <v>#VALUE!</v>
      </c>
      <c r="BZ17" s="641"/>
      <c r="CA17" s="130"/>
      <c r="CB17" s="591"/>
      <c r="CC17" s="112" t="s">
        <v>524</v>
      </c>
      <c r="CD17" s="122">
        <v>1</v>
      </c>
      <c r="CE17" s="122">
        <v>1.1202623041351061</v>
      </c>
      <c r="CF17" s="122">
        <v>1.1405246082702121</v>
      </c>
      <c r="CG17" s="122">
        <v>1.1736895861740999</v>
      </c>
      <c r="CH17" s="123">
        <v>1.206528261799461</v>
      </c>
      <c r="CK17" s="641"/>
      <c r="CL17" s="130"/>
      <c r="CM17" s="591"/>
      <c r="CN17" s="112" t="s">
        <v>524</v>
      </c>
      <c r="CO17" s="122">
        <v>1</v>
      </c>
      <c r="CP17" s="122">
        <v>1.1785082688462361</v>
      </c>
      <c r="CQ17" s="122">
        <v>1.2570165376924729</v>
      </c>
      <c r="CR17" s="122">
        <v>1.29389450059889</v>
      </c>
      <c r="CS17" s="123">
        <v>1.3304096300561601</v>
      </c>
      <c r="CV17" s="641"/>
      <c r="CW17" s="130"/>
      <c r="CX17" s="591"/>
      <c r="CY17" s="112" t="s">
        <v>524</v>
      </c>
      <c r="CZ17" s="122">
        <v>1</v>
      </c>
      <c r="DA17" s="122">
        <v>1.222119736407367</v>
      </c>
      <c r="DB17" s="122">
        <v>1.2755540095696229</v>
      </c>
      <c r="DC17" s="122">
        <v>1.313022823322155</v>
      </c>
      <c r="DD17" s="123">
        <v>1.350122990385503</v>
      </c>
    </row>
    <row r="18" spans="1:108" x14ac:dyDescent="0.25">
      <c r="A18" s="1"/>
      <c r="B18" s="589"/>
      <c r="C18" s="589"/>
      <c r="D18" s="589"/>
      <c r="E18" s="21"/>
      <c r="F18" s="152"/>
      <c r="G18" s="152"/>
      <c r="H18" s="152"/>
      <c r="I18" s="152"/>
      <c r="J18" s="152"/>
      <c r="K18" s="152"/>
      <c r="L18" s="152"/>
      <c r="M18" s="152"/>
      <c r="N18" s="152"/>
      <c r="O18" s="152"/>
      <c r="P18" s="152"/>
      <c r="Q18" s="152"/>
      <c r="R18" s="152"/>
      <c r="S18" s="152"/>
      <c r="T18" s="152"/>
      <c r="U18" s="152"/>
      <c r="W18" s="589"/>
      <c r="X18" s="589"/>
      <c r="Y18" s="33"/>
      <c r="Z18" s="27" t="s">
        <v>500</v>
      </c>
      <c r="AA18" s="32" t="str">
        <f>IF(F18=""," ",F18*Inputs!$B$39)</f>
        <v xml:space="preserve"> </v>
      </c>
      <c r="AB18" s="32" t="str">
        <f>IF(G18=""," ",G18*Inputs!$B$39)</f>
        <v xml:space="preserve"> </v>
      </c>
      <c r="AC18" s="32" t="str">
        <f>IF(H18=""," ",H18*Inputs!$B$39)</f>
        <v xml:space="preserve"> </v>
      </c>
      <c r="AD18" s="32" t="str">
        <f>IF(I18=""," ",I18*Inputs!$B$39)</f>
        <v xml:space="preserve"> </v>
      </c>
      <c r="AE18" s="32" t="str">
        <f>IF(J18=""," ",J18*Inputs!$B$39)</f>
        <v xml:space="preserve"> </v>
      </c>
      <c r="AF18" s="32" t="str">
        <f>IF(K18=""," ",K18*Inputs!$B$39)</f>
        <v xml:space="preserve"> </v>
      </c>
      <c r="AG18" s="32" t="str">
        <f>IF(L18=""," ",L18*Inputs!$B$39)</f>
        <v xml:space="preserve"> </v>
      </c>
      <c r="AH18" s="32" t="str">
        <f>IF(M18=""," ",M18*Inputs!$B$39)</f>
        <v xml:space="preserve"> </v>
      </c>
      <c r="AI18" s="32" t="str">
        <f>IF(N18=""," ",N18*Inputs!$B$39)</f>
        <v xml:space="preserve"> </v>
      </c>
      <c r="AJ18" s="32" t="str">
        <f>IF(O18=""," ",O18*Inputs!$B$39)</f>
        <v xml:space="preserve"> </v>
      </c>
      <c r="AK18" s="32" t="str">
        <f>IF(P18=""," ",P18*Inputs!$B$39)</f>
        <v xml:space="preserve"> </v>
      </c>
      <c r="AL18" s="32" t="str">
        <f>IF(Q18=""," ",Q18*Inputs!$B$39)</f>
        <v xml:space="preserve"> </v>
      </c>
      <c r="AM18" s="32" t="str">
        <f>IF(R18=""," ",R18*Inputs!$B$39)</f>
        <v xml:space="preserve"> </v>
      </c>
      <c r="AN18" s="32" t="str">
        <f>IF(S18=""," ",S18*Inputs!$B$39)</f>
        <v xml:space="preserve"> </v>
      </c>
      <c r="AO18" s="32" t="str">
        <f>IF(T18=""," ",T18*Inputs!$B$39)</f>
        <v xml:space="preserve"> </v>
      </c>
      <c r="AP18" s="32" t="str">
        <f>IF(U18=""," ",U18*Inputs!$B$39)</f>
        <v xml:space="preserve"> </v>
      </c>
      <c r="AR18" s="589"/>
      <c r="AS18" s="589"/>
      <c r="AT18" s="33"/>
      <c r="AU18" s="27" t="s">
        <v>500</v>
      </c>
      <c r="AV18" s="32" t="str">
        <f>IF(AA18=" "," ",AA18*Inputs!$B$53)</f>
        <v xml:space="preserve"> </v>
      </c>
      <c r="AW18" s="32" t="str">
        <f>IF(AB18=" "," ",AB18*Inputs!$B$53)</f>
        <v xml:space="preserve"> </v>
      </c>
      <c r="AX18" s="32" t="str">
        <f>IF(AC18=" "," ",AC18*Inputs!$B$53)</f>
        <v xml:space="preserve"> </v>
      </c>
      <c r="AY18" s="32" t="str">
        <f>IF(AD18=" "," ",AD18*Inputs!$B$53)</f>
        <v xml:space="preserve"> </v>
      </c>
      <c r="AZ18" s="32" t="str">
        <f>IF(AE18=" "," ",AE18*Inputs!$B$53)</f>
        <v xml:space="preserve"> </v>
      </c>
      <c r="BA18" s="32" t="str">
        <f>IF(AF18=" "," ",AF18*Inputs!$B$53)</f>
        <v xml:space="preserve"> </v>
      </c>
      <c r="BB18" s="32" t="str">
        <f>IF(AG18=" "," ",AG18*Inputs!$B$53)</f>
        <v xml:space="preserve"> </v>
      </c>
      <c r="BC18" s="32" t="str">
        <f>IF(AH18=" "," ",AH18*Inputs!$B$53)</f>
        <v xml:space="preserve"> </v>
      </c>
      <c r="BD18" s="32" t="str">
        <f>IF(AI18=" "," ",AI18*Inputs!$B$53)</f>
        <v xml:space="preserve"> </v>
      </c>
      <c r="BE18" s="32" t="str">
        <f>IF(AJ18=" "," ",AJ18*Inputs!$B$53)</f>
        <v xml:space="preserve"> </v>
      </c>
      <c r="BF18" s="32" t="str">
        <f>IF(AK18=" "," ",AK18*Inputs!$B$53)</f>
        <v xml:space="preserve"> </v>
      </c>
      <c r="BG18" s="32" t="str">
        <f>IF(AL18=" "," ",AL18*Inputs!$B$53)</f>
        <v xml:space="preserve"> </v>
      </c>
      <c r="BH18" s="32" t="str">
        <f>IF(AM18=" "," ",AM18*Inputs!$B$53)</f>
        <v xml:space="preserve"> </v>
      </c>
      <c r="BI18" s="32" t="str">
        <f>IF(AN18=" "," ",AN18*Inputs!$B$53)</f>
        <v xml:space="preserve"> </v>
      </c>
      <c r="BJ18" s="32" t="str">
        <f>IF(AO18=" "," ",AO18*Inputs!$B$53)</f>
        <v xml:space="preserve"> </v>
      </c>
      <c r="BK18" s="32" t="str">
        <f>IF(AP18=" "," ",AP18*Inputs!$B$53)</f>
        <v xml:space="preserve"> </v>
      </c>
      <c r="BM18" s="641"/>
      <c r="BN18" s="619"/>
      <c r="BO18" s="609" t="s">
        <v>521</v>
      </c>
      <c r="BP18" s="87" t="s">
        <v>522</v>
      </c>
      <c r="BQ18" s="120">
        <f t="shared" si="0"/>
        <v>1</v>
      </c>
      <c r="BR18" s="120">
        <f t="shared" si="1"/>
        <v>1.0391296477793051</v>
      </c>
      <c r="BS18" s="120">
        <f t="shared" si="2"/>
        <v>1.073405452435789</v>
      </c>
      <c r="BT18" s="120">
        <f t="shared" si="3"/>
        <v>1.1076184521370911</v>
      </c>
      <c r="BU18" s="120">
        <f t="shared" si="4"/>
        <v>1.141494838324278</v>
      </c>
      <c r="BV18" s="106">
        <v>0</v>
      </c>
      <c r="BW18" s="32" t="e">
        <f>IF(VALUE($BW$5)&lt;=0.8,"1",IF(AND(VALUE($BW5)&gt;0.8,VALUE($BW$5)&lt;=0.96),FORECAST(VALUE($BW$5),BQ18:BR18,$BQ$5:$BR$5),IF(AND(VALUE($BW$5)&gt;0.96,VALUE($BW$5)&lt;=1.12),FORECAST(VALUE($BW$5),BR18:BS18,$BR$5:$BS$5),IF(AND(VALUE($BW$5)&gt;1.12,VALUE($BW$5)&lt;=1.3),FORECAST(VALUE($BW$5),BS18:BT18,$BS$5:$BT$5),FORECAST(VALUE($BW$5),BT18:BU18,$BT$5:$BU$5)))))</f>
        <v>#VALUE!</v>
      </c>
      <c r="BZ18" s="641"/>
      <c r="CA18" s="619"/>
      <c r="CB18" s="609" t="s">
        <v>521</v>
      </c>
      <c r="CC18" s="87" t="s">
        <v>522</v>
      </c>
      <c r="CD18" s="120">
        <v>1</v>
      </c>
      <c r="CE18" s="120">
        <v>1.0391296477793051</v>
      </c>
      <c r="CF18" s="120">
        <v>1.073405452435789</v>
      </c>
      <c r="CG18" s="120">
        <v>1.1076184521370911</v>
      </c>
      <c r="CH18" s="121">
        <v>1.141494838324278</v>
      </c>
      <c r="CI18">
        <v>1.141494838324278</v>
      </c>
      <c r="CK18" s="641"/>
      <c r="CL18" s="619"/>
      <c r="CM18" s="609" t="s">
        <v>521</v>
      </c>
      <c r="CN18" s="87" t="s">
        <v>522</v>
      </c>
      <c r="CO18" s="120">
        <v>1</v>
      </c>
      <c r="CP18" s="120">
        <v>1.0391296477793051</v>
      </c>
      <c r="CQ18" s="120">
        <v>1.073405452435789</v>
      </c>
      <c r="CR18" s="120">
        <v>1.1076184521370911</v>
      </c>
      <c r="CS18" s="121">
        <v>1.141494838324278</v>
      </c>
      <c r="CT18">
        <v>1.141494838324278</v>
      </c>
      <c r="CV18" s="641"/>
      <c r="CW18" s="619"/>
      <c r="CX18" s="609" t="s">
        <v>521</v>
      </c>
      <c r="CY18" s="87" t="s">
        <v>522</v>
      </c>
      <c r="CZ18" s="120">
        <v>1</v>
      </c>
      <c r="DA18" s="120">
        <v>1.0391296477793051</v>
      </c>
      <c r="DB18" s="120">
        <v>1.073405452435789</v>
      </c>
      <c r="DC18" s="120">
        <v>1.1076184521370911</v>
      </c>
      <c r="DD18" s="121">
        <v>1.141494838324278</v>
      </c>
    </row>
    <row r="19" spans="1:108" x14ac:dyDescent="0.25">
      <c r="A19" s="1"/>
      <c r="B19" s="589"/>
      <c r="C19" s="589"/>
      <c r="D19" s="589"/>
      <c r="E19" s="21"/>
      <c r="F19" s="152"/>
      <c r="G19" s="152"/>
      <c r="H19" s="152"/>
      <c r="I19" s="152"/>
      <c r="J19" s="152"/>
      <c r="K19" s="152"/>
      <c r="L19" s="152"/>
      <c r="M19" s="152"/>
      <c r="N19" s="152"/>
      <c r="O19" s="152"/>
      <c r="P19" s="152"/>
      <c r="Q19" s="152"/>
      <c r="R19" s="152"/>
      <c r="S19" s="152"/>
      <c r="T19" s="152"/>
      <c r="U19" s="152"/>
      <c r="W19" s="589"/>
      <c r="X19" s="589"/>
      <c r="Y19" s="6"/>
      <c r="Z19" s="29" t="s">
        <v>501</v>
      </c>
      <c r="AA19" s="32" t="str">
        <f>IF(F19=""," ",F19*Inputs!$B$39)</f>
        <v xml:space="preserve"> </v>
      </c>
      <c r="AB19" s="32" t="str">
        <f>IF(G19=""," ",G19*Inputs!$B$39)</f>
        <v xml:space="preserve"> </v>
      </c>
      <c r="AC19" s="32" t="str">
        <f>IF(H19=""," ",H19*Inputs!$B$39)</f>
        <v xml:space="preserve"> </v>
      </c>
      <c r="AD19" s="32" t="str">
        <f>IF(I19=""," ",I19*Inputs!$B$39)</f>
        <v xml:space="preserve"> </v>
      </c>
      <c r="AE19" s="32" t="str">
        <f>IF(J19=""," ",J19*Inputs!$B$39)</f>
        <v xml:space="preserve"> </v>
      </c>
      <c r="AF19" s="32" t="str">
        <f>IF(K19=""," ",K19*Inputs!$B$39)</f>
        <v xml:space="preserve"> </v>
      </c>
      <c r="AG19" s="32" t="str">
        <f>IF(L19=""," ",L19*Inputs!$B$39)</f>
        <v xml:space="preserve"> </v>
      </c>
      <c r="AH19" s="32" t="str">
        <f>IF(M19=""," ",M19*Inputs!$B$39)</f>
        <v xml:space="preserve"> </v>
      </c>
      <c r="AI19" s="32" t="str">
        <f>IF(N19=""," ",N19*Inputs!$B$39)</f>
        <v xml:space="preserve"> </v>
      </c>
      <c r="AJ19" s="32" t="str">
        <f>IF(O19=""," ",O19*Inputs!$B$39)</f>
        <v xml:space="preserve"> </v>
      </c>
      <c r="AK19" s="32" t="str">
        <f>IF(P19=""," ",P19*Inputs!$B$39)</f>
        <v xml:space="preserve"> </v>
      </c>
      <c r="AL19" s="32" t="str">
        <f>IF(Q19=""," ",Q19*Inputs!$B$39)</f>
        <v xml:space="preserve"> </v>
      </c>
      <c r="AM19" s="32" t="str">
        <f>IF(R19=""," ",R19*Inputs!$B$39)</f>
        <v xml:space="preserve"> </v>
      </c>
      <c r="AN19" s="32" t="str">
        <f>IF(S19=""," ",S19*Inputs!$B$39)</f>
        <v xml:space="preserve"> </v>
      </c>
      <c r="AO19" s="32" t="str">
        <f>IF(T19=""," ",T19*Inputs!$B$39)</f>
        <v xml:space="preserve"> </v>
      </c>
      <c r="AP19" s="32" t="str">
        <f>IF(U19=""," ",U19*Inputs!$B$39)</f>
        <v xml:space="preserve"> </v>
      </c>
      <c r="AR19" s="589"/>
      <c r="AS19" s="589"/>
      <c r="AT19" s="6"/>
      <c r="AU19" s="29" t="s">
        <v>501</v>
      </c>
      <c r="AV19" s="32" t="str">
        <f>IF(AA19=" "," ",AA19*Inputs!$B$53)</f>
        <v xml:space="preserve"> </v>
      </c>
      <c r="AW19" s="32" t="str">
        <f>IF(AB19=" "," ",AB19*Inputs!$B$53)</f>
        <v xml:space="preserve"> </v>
      </c>
      <c r="AX19" s="32" t="str">
        <f>IF(AC19=" "," ",AC19*Inputs!$B$53)</f>
        <v xml:space="preserve"> </v>
      </c>
      <c r="AY19" s="32" t="str">
        <f>IF(AD19=" "," ",AD19*Inputs!$B$53)</f>
        <v xml:space="preserve"> </v>
      </c>
      <c r="AZ19" s="32" t="str">
        <f>IF(AE19=" "," ",AE19*Inputs!$B$53)</f>
        <v xml:space="preserve"> </v>
      </c>
      <c r="BA19" s="32" t="str">
        <f>IF(AF19=" "," ",AF19*Inputs!$B$53)</f>
        <v xml:space="preserve"> </v>
      </c>
      <c r="BB19" s="32" t="str">
        <f>IF(AG19=" "," ",AG19*Inputs!$B$53)</f>
        <v xml:space="preserve"> </v>
      </c>
      <c r="BC19" s="32" t="str">
        <f>IF(AH19=" "," ",AH19*Inputs!$B$53)</f>
        <v xml:space="preserve"> </v>
      </c>
      <c r="BD19" s="32" t="str">
        <f>IF(AI19=" "," ",AI19*Inputs!$B$53)</f>
        <v xml:space="preserve"> </v>
      </c>
      <c r="BE19" s="32" t="str">
        <f>IF(AJ19=" "," ",AJ19*Inputs!$B$53)</f>
        <v xml:space="preserve"> </v>
      </c>
      <c r="BF19" s="32" t="str">
        <f>IF(AK19=" "," ",AK19*Inputs!$B$53)</f>
        <v xml:space="preserve"> </v>
      </c>
      <c r="BG19" s="32" t="str">
        <f>IF(AL19=" "," ",AL19*Inputs!$B$53)</f>
        <v xml:space="preserve"> </v>
      </c>
      <c r="BH19" s="32" t="str">
        <f>IF(AM19=" "," ",AM19*Inputs!$B$53)</f>
        <v xml:space="preserve"> </v>
      </c>
      <c r="BI19" s="32" t="str">
        <f>IF(AN19=" "," ",AN19*Inputs!$B$53)</f>
        <v xml:space="preserve"> </v>
      </c>
      <c r="BJ19" s="32" t="str">
        <f>IF(AO19=" "," ",AO19*Inputs!$B$53)</f>
        <v xml:space="preserve"> </v>
      </c>
      <c r="BK19" s="32" t="str">
        <f>IF(AP19=" "," ",AP19*Inputs!$B$53)</f>
        <v xml:space="preserve"> </v>
      </c>
      <c r="BM19" s="641"/>
      <c r="BN19" s="589"/>
      <c r="BO19" s="589"/>
      <c r="BP19" s="90" t="s">
        <v>523</v>
      </c>
      <c r="BQ19" s="120">
        <f t="shared" si="0"/>
        <v>1</v>
      </c>
      <c r="BR19" s="120">
        <f t="shared" si="1"/>
        <v>1.147177055083368</v>
      </c>
      <c r="BS19" s="120">
        <f t="shared" si="2"/>
        <v>1.1850168152427181</v>
      </c>
      <c r="BT19" s="120">
        <f t="shared" si="3"/>
        <v>1.222787240065822</v>
      </c>
      <c r="BU19" s="120">
        <f t="shared" si="4"/>
        <v>1.2601860507206191</v>
      </c>
      <c r="BV19" s="107"/>
      <c r="BW19" s="148" t="e">
        <f>IF($BW$3=0,BW18,BW20)</f>
        <v>#VALUE!</v>
      </c>
      <c r="BZ19" s="641"/>
      <c r="CA19" s="589"/>
      <c r="CB19" s="589"/>
      <c r="CC19" s="90" t="s">
        <v>523</v>
      </c>
      <c r="CD19" s="122">
        <v>1</v>
      </c>
      <c r="CE19" s="122">
        <v>1.147177055083368</v>
      </c>
      <c r="CF19" s="122">
        <v>1.1850168152427181</v>
      </c>
      <c r="CG19" s="122">
        <v>1.222787240065822</v>
      </c>
      <c r="CH19" s="123">
        <v>1.2601860507206191</v>
      </c>
      <c r="CI19">
        <v>1.2757126700481001</v>
      </c>
      <c r="CK19" s="641"/>
      <c r="CL19" s="589"/>
      <c r="CM19" s="589"/>
      <c r="CN19" s="90" t="s">
        <v>523</v>
      </c>
      <c r="CO19" s="122">
        <v>1</v>
      </c>
      <c r="CP19" s="122">
        <v>1.194166974361726</v>
      </c>
      <c r="CQ19" s="122">
        <v>1.2335567021285361</v>
      </c>
      <c r="CR19" s="122">
        <v>1.272874254490221</v>
      </c>
      <c r="CS19" s="123">
        <v>1.311804970866099</v>
      </c>
      <c r="CT19">
        <v>1.1150641383144619</v>
      </c>
      <c r="CV19" s="641"/>
      <c r="CW19" s="589"/>
      <c r="CX19" s="589"/>
      <c r="CY19" s="90" t="s">
        <v>523</v>
      </c>
      <c r="CZ19" s="122">
        <v>1</v>
      </c>
      <c r="DA19" s="122">
        <v>1.2345687535265599</v>
      </c>
      <c r="DB19" s="122">
        <v>1.275291138381335</v>
      </c>
      <c r="DC19" s="122">
        <v>1.3159389059490361</v>
      </c>
      <c r="DD19" s="123">
        <v>1.3561867498619471</v>
      </c>
    </row>
    <row r="20" spans="1:108" x14ac:dyDescent="0.25">
      <c r="A20" s="1"/>
      <c r="B20" s="620"/>
      <c r="C20" s="589"/>
      <c r="D20" s="595"/>
      <c r="E20" s="150"/>
      <c r="F20" s="151"/>
      <c r="G20" s="151"/>
      <c r="H20" s="151"/>
      <c r="I20" s="151"/>
      <c r="J20" s="151"/>
      <c r="K20" s="151"/>
      <c r="L20" s="151"/>
      <c r="M20" s="151"/>
      <c r="N20" s="151"/>
      <c r="O20" s="151"/>
      <c r="P20" s="151"/>
      <c r="Q20" s="151"/>
      <c r="R20" s="151"/>
      <c r="S20" s="151"/>
      <c r="T20" s="151"/>
      <c r="U20" s="151"/>
      <c r="W20" s="620"/>
      <c r="X20" s="589"/>
      <c r="Y20" s="32">
        <v>-6.0773092928967057E-2</v>
      </c>
      <c r="Z20" s="24" t="s">
        <v>498</v>
      </c>
      <c r="AA20" s="32" t="str">
        <f>IF(F20=""," ",F20*Inputs!$B$39)</f>
        <v xml:space="preserve"> </v>
      </c>
      <c r="AB20" s="32" t="str">
        <f>IF(G20=""," ",G20*Inputs!$B$39)</f>
        <v xml:space="preserve"> </v>
      </c>
      <c r="AC20" s="32" t="str">
        <f>IF(H20=""," ",H20*Inputs!$B$39)</f>
        <v xml:space="preserve"> </v>
      </c>
      <c r="AD20" s="32" t="str">
        <f>IF(I20=""," ",I20*Inputs!$B$39)</f>
        <v xml:space="preserve"> </v>
      </c>
      <c r="AE20" s="32" t="str">
        <f>IF(J20=""," ",J20*Inputs!$B$39)</f>
        <v xml:space="preserve"> </v>
      </c>
      <c r="AF20" s="32" t="str">
        <f>IF(K20=""," ",K20*Inputs!$B$39)</f>
        <v xml:space="preserve"> </v>
      </c>
      <c r="AG20" s="32" t="str">
        <f>IF(L20=""," ",L20*Inputs!$B$39)</f>
        <v xml:space="preserve"> </v>
      </c>
      <c r="AH20" s="32" t="str">
        <f>IF(M20=""," ",M20*Inputs!$B$39)</f>
        <v xml:space="preserve"> </v>
      </c>
      <c r="AI20" s="32" t="str">
        <f>IF(N20=""," ",N20*Inputs!$B$39)</f>
        <v xml:space="preserve"> </v>
      </c>
      <c r="AJ20" s="32" t="str">
        <f>IF(O20=""," ",O20*Inputs!$B$39)</f>
        <v xml:space="preserve"> </v>
      </c>
      <c r="AK20" s="32" t="str">
        <f>IF(P20=""," ",P20*Inputs!$B$39)</f>
        <v xml:space="preserve"> </v>
      </c>
      <c r="AL20" s="32" t="str">
        <f>IF(Q20=""," ",Q20*Inputs!$B$39)</f>
        <v xml:space="preserve"> </v>
      </c>
      <c r="AM20" s="32" t="str">
        <f>IF(R20=""," ",R20*Inputs!$B$39)</f>
        <v xml:space="preserve"> </v>
      </c>
      <c r="AN20" s="32" t="str">
        <f>IF(S20=""," ",S20*Inputs!$B$39)</f>
        <v xml:space="preserve"> </v>
      </c>
      <c r="AO20" s="32" t="str">
        <f>IF(T20=""," ",T20*Inputs!$B$39)</f>
        <v xml:space="preserve"> </v>
      </c>
      <c r="AP20" s="32" t="str">
        <f>IF(U20=""," ",U20*Inputs!$B$39)</f>
        <v xml:space="preserve"> </v>
      </c>
      <c r="AR20" s="620"/>
      <c r="AS20" s="589"/>
      <c r="AT20" s="32">
        <v>-6.0773092928967057E-2</v>
      </c>
      <c r="AU20" s="24" t="s">
        <v>498</v>
      </c>
      <c r="AV20" s="32" t="str">
        <f>IF(AA20=" "," ",AA20*Inputs!$B$53)</f>
        <v xml:space="preserve"> </v>
      </c>
      <c r="AW20" s="32" t="str">
        <f>IF(AB20=" "," ",AB20*Inputs!$B$53)</f>
        <v xml:space="preserve"> </v>
      </c>
      <c r="AX20" s="32" t="str">
        <f>IF(AC20=" "," ",AC20*Inputs!$B$53)</f>
        <v xml:space="preserve"> </v>
      </c>
      <c r="AY20" s="32" t="str">
        <f>IF(AD20=" "," ",AD20*Inputs!$B$53)</f>
        <v xml:space="preserve"> </v>
      </c>
      <c r="AZ20" s="32" t="str">
        <f>IF(AE20=" "," ",AE20*Inputs!$B$53)</f>
        <v xml:space="preserve"> </v>
      </c>
      <c r="BA20" s="32" t="str">
        <f>IF(AF20=" "," ",AF20*Inputs!$B$53)</f>
        <v xml:space="preserve"> </v>
      </c>
      <c r="BB20" s="32" t="str">
        <f>IF(AG20=" "," ",AG20*Inputs!$B$53)</f>
        <v xml:space="preserve"> </v>
      </c>
      <c r="BC20" s="32" t="str">
        <f>IF(AH20=" "," ",AH20*Inputs!$B$53)</f>
        <v xml:space="preserve"> </v>
      </c>
      <c r="BD20" s="32" t="str">
        <f>IF(AI20=" "," ",AI20*Inputs!$B$53)</f>
        <v xml:space="preserve"> </v>
      </c>
      <c r="BE20" s="32" t="str">
        <f>IF(AJ20=" "," ",AJ20*Inputs!$B$53)</f>
        <v xml:space="preserve"> </v>
      </c>
      <c r="BF20" s="32" t="str">
        <f>IF(AK20=" "," ",AK20*Inputs!$B$53)</f>
        <v xml:space="preserve"> </v>
      </c>
      <c r="BG20" s="32" t="str">
        <f>IF(AL20=" "," ",AL20*Inputs!$B$53)</f>
        <v xml:space="preserve"> </v>
      </c>
      <c r="BH20" s="32" t="str">
        <f>IF(AM20=" "," ",AM20*Inputs!$B$53)</f>
        <v xml:space="preserve"> </v>
      </c>
      <c r="BI20" s="32" t="str">
        <f>IF(AN20=" "," ",AN20*Inputs!$B$53)</f>
        <v xml:space="preserve"> </v>
      </c>
      <c r="BJ20" s="32" t="str">
        <f>IF(AO20=" "," ",AO20*Inputs!$B$53)</f>
        <v xml:space="preserve"> </v>
      </c>
      <c r="BK20" s="32" t="str">
        <f>IF(AP20=" "," ",AP20*Inputs!$B$53)</f>
        <v xml:space="preserve"> </v>
      </c>
      <c r="BM20" s="641"/>
      <c r="BN20" s="589"/>
      <c r="BO20" s="589"/>
      <c r="BP20" s="112" t="s">
        <v>524</v>
      </c>
      <c r="BQ20" s="120">
        <f t="shared" si="0"/>
        <v>1</v>
      </c>
      <c r="BR20" s="120">
        <f t="shared" si="1"/>
        <v>1.1621766218148051</v>
      </c>
      <c r="BS20" s="120">
        <f t="shared" si="2"/>
        <v>1.324353243629609</v>
      </c>
      <c r="BT20" s="120">
        <f t="shared" si="3"/>
        <v>1.366564783570924</v>
      </c>
      <c r="BU20" s="120">
        <f t="shared" si="4"/>
        <v>1.4083610142754011</v>
      </c>
      <c r="BV20" s="108">
        <v>55</v>
      </c>
      <c r="BW20" s="32" t="e">
        <f>IF(VALUE($BW$5)&lt;=0.8,"1",IF(AND(VALUE($BW5)&gt;0.8,VALUE($BW$5)&lt;=0.96),FORECAST(VALUE($BW$5),BQ20:BR20,$BQ$5:$BR$5),IF(AND(VALUE($BW$5)&gt;0.96,VALUE($BW$5)&lt;=1.12),FORECAST(VALUE($BW$5),BR20:BS20,$BR$5:$BS$5),IF(AND(VALUE($BW$5)&gt;1.12,VALUE($BW$5)&lt;=1.3),FORECAST(VALUE($BW$5),BS20:BT20,$BS$5:$BT$5),FORECAST(VALUE($BW$5),BT20:BU20,$BT$5:$BU$5)))))</f>
        <v>#VALUE!</v>
      </c>
      <c r="BZ20" s="641"/>
      <c r="CA20" s="589"/>
      <c r="CB20" s="589"/>
      <c r="CC20" s="112" t="s">
        <v>524</v>
      </c>
      <c r="CD20" s="122">
        <v>1</v>
      </c>
      <c r="CE20" s="122">
        <v>1.1621766218148051</v>
      </c>
      <c r="CF20" s="122">
        <v>1.324353243629609</v>
      </c>
      <c r="CG20" s="122">
        <v>1.366564783570924</v>
      </c>
      <c r="CH20" s="123">
        <v>1.4083610142754011</v>
      </c>
      <c r="CI20">
        <v>1.488414325822526</v>
      </c>
      <c r="CK20" s="641"/>
      <c r="CL20" s="589"/>
      <c r="CM20" s="589"/>
      <c r="CN20" s="112" t="s">
        <v>524</v>
      </c>
      <c r="CO20" s="122">
        <v>1</v>
      </c>
      <c r="CP20" s="122">
        <v>1.2111945398584689</v>
      </c>
      <c r="CQ20" s="122">
        <v>1.422389079716939</v>
      </c>
      <c r="CR20" s="122">
        <v>1.4677253476193051</v>
      </c>
      <c r="CS20" s="123">
        <v>1.512615562834428</v>
      </c>
      <c r="CT20">
        <v>1.193425618877777</v>
      </c>
      <c r="CV20" s="641"/>
      <c r="CW20" s="589"/>
      <c r="CX20" s="589"/>
      <c r="CY20" s="112" t="s">
        <v>524</v>
      </c>
      <c r="CZ20" s="122">
        <v>1</v>
      </c>
      <c r="DA20" s="122">
        <v>1.1994716690006879</v>
      </c>
      <c r="DB20" s="122">
        <v>1.3989433380013769</v>
      </c>
      <c r="DC20" s="122">
        <v>1.443532312183099</v>
      </c>
      <c r="DD20" s="123">
        <v>1.4876825861216061</v>
      </c>
    </row>
    <row r="21" spans="1:108" x14ac:dyDescent="0.25">
      <c r="A21" s="1"/>
      <c r="B21" s="589"/>
      <c r="C21" s="589"/>
      <c r="D21" s="589"/>
      <c r="E21" s="21"/>
      <c r="F21" s="152"/>
      <c r="G21" s="152"/>
      <c r="H21" s="152"/>
      <c r="I21" s="152"/>
      <c r="J21" s="152"/>
      <c r="K21" s="152"/>
      <c r="L21" s="152"/>
      <c r="M21" s="152"/>
      <c r="N21" s="152"/>
      <c r="O21" s="152"/>
      <c r="P21" s="152"/>
      <c r="Q21" s="152"/>
      <c r="R21" s="152"/>
      <c r="S21" s="152"/>
      <c r="T21" s="152"/>
      <c r="U21" s="152"/>
      <c r="W21" s="589"/>
      <c r="X21" s="589"/>
      <c r="Y21" s="33"/>
      <c r="Z21" s="27" t="s">
        <v>499</v>
      </c>
      <c r="AA21" s="32" t="str">
        <f>IF(F21=""," ",F21*Inputs!$B$39)</f>
        <v xml:space="preserve"> </v>
      </c>
      <c r="AB21" s="32" t="str">
        <f>IF(G21=""," ",G21*Inputs!$B$39)</f>
        <v xml:space="preserve"> </v>
      </c>
      <c r="AC21" s="32" t="str">
        <f>IF(H21=""," ",H21*Inputs!$B$39)</f>
        <v xml:space="preserve"> </v>
      </c>
      <c r="AD21" s="32" t="str">
        <f>IF(I21=""," ",I21*Inputs!$B$39)</f>
        <v xml:space="preserve"> </v>
      </c>
      <c r="AE21" s="32" t="str">
        <f>IF(J21=""," ",J21*Inputs!$B$39)</f>
        <v xml:space="preserve"> </v>
      </c>
      <c r="AF21" s="32" t="str">
        <f>IF(K21=""," ",K21*Inputs!$B$39)</f>
        <v xml:space="preserve"> </v>
      </c>
      <c r="AG21" s="32" t="str">
        <f>IF(L21=""," ",L21*Inputs!$B$39)</f>
        <v xml:space="preserve"> </v>
      </c>
      <c r="AH21" s="32" t="str">
        <f>IF(M21=""," ",M21*Inputs!$B$39)</f>
        <v xml:space="preserve"> </v>
      </c>
      <c r="AI21" s="32" t="str">
        <f>IF(N21=""," ",N21*Inputs!$B$39)</f>
        <v xml:space="preserve"> </v>
      </c>
      <c r="AJ21" s="32" t="str">
        <f>IF(O21=""," ",O21*Inputs!$B$39)</f>
        <v xml:space="preserve"> </v>
      </c>
      <c r="AK21" s="32" t="str">
        <f>IF(P21=""," ",P21*Inputs!$B$39)</f>
        <v xml:space="preserve"> </v>
      </c>
      <c r="AL21" s="32" t="str">
        <f>IF(Q21=""," ",Q21*Inputs!$B$39)</f>
        <v xml:space="preserve"> </v>
      </c>
      <c r="AM21" s="32" t="str">
        <f>IF(R21=""," ",R21*Inputs!$B$39)</f>
        <v xml:space="preserve"> </v>
      </c>
      <c r="AN21" s="32" t="str">
        <f>IF(S21=""," ",S21*Inputs!$B$39)</f>
        <v xml:space="preserve"> </v>
      </c>
      <c r="AO21" s="32" t="str">
        <f>IF(T21=""," ",T21*Inputs!$B$39)</f>
        <v xml:space="preserve"> </v>
      </c>
      <c r="AP21" s="32" t="str">
        <f>IF(U21=""," ",U21*Inputs!$B$39)</f>
        <v xml:space="preserve"> </v>
      </c>
      <c r="AR21" s="589"/>
      <c r="AS21" s="589"/>
      <c r="AT21" s="33"/>
      <c r="AU21" s="27" t="s">
        <v>499</v>
      </c>
      <c r="AV21" s="32" t="str">
        <f>IF(AA21=" "," ",AA21*Inputs!$B$53)</f>
        <v xml:space="preserve"> </v>
      </c>
      <c r="AW21" s="32" t="str">
        <f>IF(AB21=" "," ",AB21*Inputs!$B$53)</f>
        <v xml:space="preserve"> </v>
      </c>
      <c r="AX21" s="32" t="str">
        <f>IF(AC21=" "," ",AC21*Inputs!$B$53)</f>
        <v xml:space="preserve"> </v>
      </c>
      <c r="AY21" s="32" t="str">
        <f>IF(AD21=" "," ",AD21*Inputs!$B$53)</f>
        <v xml:space="preserve"> </v>
      </c>
      <c r="AZ21" s="32" t="str">
        <f>IF(AE21=" "," ",AE21*Inputs!$B$53)</f>
        <v xml:space="preserve"> </v>
      </c>
      <c r="BA21" s="32" t="str">
        <f>IF(AF21=" "," ",AF21*Inputs!$B$53)</f>
        <v xml:space="preserve"> </v>
      </c>
      <c r="BB21" s="32" t="str">
        <f>IF(AG21=" "," ",AG21*Inputs!$B$53)</f>
        <v xml:space="preserve"> </v>
      </c>
      <c r="BC21" s="32" t="str">
        <f>IF(AH21=" "," ",AH21*Inputs!$B$53)</f>
        <v xml:space="preserve"> </v>
      </c>
      <c r="BD21" s="32" t="str">
        <f>IF(AI21=" "," ",AI21*Inputs!$B$53)</f>
        <v xml:space="preserve"> </v>
      </c>
      <c r="BE21" s="32" t="str">
        <f>IF(AJ21=" "," ",AJ21*Inputs!$B$53)</f>
        <v xml:space="preserve"> </v>
      </c>
      <c r="BF21" s="32" t="str">
        <f>IF(AK21=" "," ",AK21*Inputs!$B$53)</f>
        <v xml:space="preserve"> </v>
      </c>
      <c r="BG21" s="32" t="str">
        <f>IF(AL21=" "," ",AL21*Inputs!$B$53)</f>
        <v xml:space="preserve"> </v>
      </c>
      <c r="BH21" s="32" t="str">
        <f>IF(AM21=" "," ",AM21*Inputs!$B$53)</f>
        <v xml:space="preserve"> </v>
      </c>
      <c r="BI21" s="32" t="str">
        <f>IF(AN21=" "," ",AN21*Inputs!$B$53)</f>
        <v xml:space="preserve"> </v>
      </c>
      <c r="BJ21" s="32" t="str">
        <f>IF(AO21=" "," ",AO21*Inputs!$B$53)</f>
        <v xml:space="preserve"> </v>
      </c>
      <c r="BK21" s="32" t="str">
        <f>IF(AP21=" "," ",AP21*Inputs!$B$53)</f>
        <v xml:space="preserve"> </v>
      </c>
      <c r="BM21" s="641"/>
      <c r="BN21" s="589"/>
      <c r="BO21" s="642" t="s">
        <v>525</v>
      </c>
      <c r="BP21" s="87" t="s">
        <v>522</v>
      </c>
      <c r="BQ21" s="120">
        <f t="shared" si="0"/>
        <v>0</v>
      </c>
      <c r="BR21" s="120">
        <f t="shared" si="1"/>
        <v>0</v>
      </c>
      <c r="BS21" s="120">
        <f t="shared" si="2"/>
        <v>0</v>
      </c>
      <c r="BT21" s="120">
        <f t="shared" si="3"/>
        <v>0</v>
      </c>
      <c r="BU21" s="120">
        <f t="shared" si="4"/>
        <v>0</v>
      </c>
      <c r="BV21" s="106">
        <v>0</v>
      </c>
      <c r="BW21" s="32">
        <v>1</v>
      </c>
      <c r="BZ21" s="641"/>
      <c r="CA21" s="589"/>
      <c r="CB21" s="642" t="s">
        <v>525</v>
      </c>
      <c r="CC21" s="87" t="s">
        <v>522</v>
      </c>
      <c r="CD21" s="124"/>
      <c r="CE21" s="124"/>
      <c r="CF21" s="124"/>
      <c r="CG21" s="124"/>
      <c r="CH21" s="125"/>
      <c r="CK21" s="641"/>
      <c r="CL21" s="589"/>
      <c r="CM21" s="642" t="s">
        <v>525</v>
      </c>
      <c r="CN21" s="87" t="s">
        <v>522</v>
      </c>
      <c r="CO21" s="124"/>
      <c r="CP21" s="124"/>
      <c r="CQ21" s="124"/>
      <c r="CR21" s="124"/>
      <c r="CS21" s="125"/>
      <c r="CV21" s="641"/>
      <c r="CW21" s="589"/>
      <c r="CX21" s="642" t="s">
        <v>525</v>
      </c>
      <c r="CY21" s="87" t="s">
        <v>522</v>
      </c>
      <c r="CZ21" s="124"/>
      <c r="DA21" s="124"/>
      <c r="DB21" s="124"/>
      <c r="DC21" s="124"/>
      <c r="DD21" s="125"/>
    </row>
    <row r="22" spans="1:108" x14ac:dyDescent="0.25">
      <c r="A22" s="1"/>
      <c r="B22" s="589"/>
      <c r="C22" s="589"/>
      <c r="D22" s="589"/>
      <c r="E22" s="21"/>
      <c r="F22" s="152"/>
      <c r="G22" s="152"/>
      <c r="H22" s="152"/>
      <c r="I22" s="152"/>
      <c r="J22" s="152"/>
      <c r="K22" s="152"/>
      <c r="L22" s="152"/>
      <c r="M22" s="152"/>
      <c r="N22" s="152"/>
      <c r="O22" s="152"/>
      <c r="P22" s="152"/>
      <c r="Q22" s="152"/>
      <c r="R22" s="152"/>
      <c r="S22" s="152"/>
      <c r="T22" s="152"/>
      <c r="U22" s="152"/>
      <c r="W22" s="589"/>
      <c r="X22" s="589"/>
      <c r="Y22" s="33"/>
      <c r="Z22" s="27" t="s">
        <v>500</v>
      </c>
      <c r="AA22" s="32" t="str">
        <f>IF(F22=""," ",F22*Inputs!$B$39)</f>
        <v xml:space="preserve"> </v>
      </c>
      <c r="AB22" s="32" t="str">
        <f>IF(G22=""," ",G22*Inputs!$B$39)</f>
        <v xml:space="preserve"> </v>
      </c>
      <c r="AC22" s="32" t="str">
        <f>IF(H22=""," ",H22*Inputs!$B$39)</f>
        <v xml:space="preserve"> </v>
      </c>
      <c r="AD22" s="32" t="str">
        <f>IF(I22=""," ",I22*Inputs!$B$39)</f>
        <v xml:space="preserve"> </v>
      </c>
      <c r="AE22" s="32" t="str">
        <f>IF(J22=""," ",J22*Inputs!$B$39)</f>
        <v xml:space="preserve"> </v>
      </c>
      <c r="AF22" s="32" t="str">
        <f>IF(K22=""," ",K22*Inputs!$B$39)</f>
        <v xml:space="preserve"> </v>
      </c>
      <c r="AG22" s="32" t="str">
        <f>IF(L22=""," ",L22*Inputs!$B$39)</f>
        <v xml:space="preserve"> </v>
      </c>
      <c r="AH22" s="32" t="str">
        <f>IF(M22=""," ",M22*Inputs!$B$39)</f>
        <v xml:space="preserve"> </v>
      </c>
      <c r="AI22" s="32" t="str">
        <f>IF(N22=""," ",N22*Inputs!$B$39)</f>
        <v xml:space="preserve"> </v>
      </c>
      <c r="AJ22" s="32" t="str">
        <f>IF(O22=""," ",O22*Inputs!$B$39)</f>
        <v xml:space="preserve"> </v>
      </c>
      <c r="AK22" s="32" t="str">
        <f>IF(P22=""," ",P22*Inputs!$B$39)</f>
        <v xml:space="preserve"> </v>
      </c>
      <c r="AL22" s="32" t="str">
        <f>IF(Q22=""," ",Q22*Inputs!$B$39)</f>
        <v xml:space="preserve"> </v>
      </c>
      <c r="AM22" s="32" t="str">
        <f>IF(R22=""," ",R22*Inputs!$B$39)</f>
        <v xml:space="preserve"> </v>
      </c>
      <c r="AN22" s="32" t="str">
        <f>IF(S22=""," ",S22*Inputs!$B$39)</f>
        <v xml:space="preserve"> </v>
      </c>
      <c r="AO22" s="32" t="str">
        <f>IF(T22=""," ",T22*Inputs!$B$39)</f>
        <v xml:space="preserve"> </v>
      </c>
      <c r="AP22" s="32" t="str">
        <f>IF(U22=""," ",U22*Inputs!$B$39)</f>
        <v xml:space="preserve"> </v>
      </c>
      <c r="AR22" s="589"/>
      <c r="AS22" s="589"/>
      <c r="AT22" s="33"/>
      <c r="AU22" s="27" t="s">
        <v>500</v>
      </c>
      <c r="AV22" s="32" t="str">
        <f>IF(AA22=" "," ",AA22*Inputs!$B$53)</f>
        <v xml:space="preserve"> </v>
      </c>
      <c r="AW22" s="32" t="str">
        <f>IF(AB22=" "," ",AB22*Inputs!$B$53)</f>
        <v xml:space="preserve"> </v>
      </c>
      <c r="AX22" s="32" t="str">
        <f>IF(AC22=" "," ",AC22*Inputs!$B$53)</f>
        <v xml:space="preserve"> </v>
      </c>
      <c r="AY22" s="32" t="str">
        <f>IF(AD22=" "," ",AD22*Inputs!$B$53)</f>
        <v xml:space="preserve"> </v>
      </c>
      <c r="AZ22" s="32" t="str">
        <f>IF(AE22=" "," ",AE22*Inputs!$B$53)</f>
        <v xml:space="preserve"> </v>
      </c>
      <c r="BA22" s="32" t="str">
        <f>IF(AF22=" "," ",AF22*Inputs!$B$53)</f>
        <v xml:space="preserve"> </v>
      </c>
      <c r="BB22" s="32" t="str">
        <f>IF(AG22=" "," ",AG22*Inputs!$B$53)</f>
        <v xml:space="preserve"> </v>
      </c>
      <c r="BC22" s="32" t="str">
        <f>IF(AH22=" "," ",AH22*Inputs!$B$53)</f>
        <v xml:space="preserve"> </v>
      </c>
      <c r="BD22" s="32" t="str">
        <f>IF(AI22=" "," ",AI22*Inputs!$B$53)</f>
        <v xml:space="preserve"> </v>
      </c>
      <c r="BE22" s="32" t="str">
        <f>IF(AJ22=" "," ",AJ22*Inputs!$B$53)</f>
        <v xml:space="preserve"> </v>
      </c>
      <c r="BF22" s="32" t="str">
        <f>IF(AK22=" "," ",AK22*Inputs!$B$53)</f>
        <v xml:space="preserve"> </v>
      </c>
      <c r="BG22" s="32" t="str">
        <f>IF(AL22=" "," ",AL22*Inputs!$B$53)</f>
        <v xml:space="preserve"> </v>
      </c>
      <c r="BH22" s="32" t="str">
        <f>IF(AM22=" "," ",AM22*Inputs!$B$53)</f>
        <v xml:space="preserve"> </v>
      </c>
      <c r="BI22" s="32" t="str">
        <f>IF(AN22=" "," ",AN22*Inputs!$B$53)</f>
        <v xml:space="preserve"> </v>
      </c>
      <c r="BJ22" s="32" t="str">
        <f>IF(AO22=" "," ",AO22*Inputs!$B$53)</f>
        <v xml:space="preserve"> </v>
      </c>
      <c r="BK22" s="32" t="str">
        <f>IF(AP22=" "," ",AP22*Inputs!$B$53)</f>
        <v xml:space="preserve"> </v>
      </c>
      <c r="BM22" s="641"/>
      <c r="BN22" s="589"/>
      <c r="BO22" s="589"/>
      <c r="BP22" s="90" t="s">
        <v>523</v>
      </c>
      <c r="BQ22" s="120">
        <f t="shared" si="0"/>
        <v>1</v>
      </c>
      <c r="BR22" s="120">
        <f t="shared" si="1"/>
        <v>1.0841431427484249</v>
      </c>
      <c r="BS22" s="120">
        <f t="shared" si="2"/>
        <v>1.1199037224411761</v>
      </c>
      <c r="BT22" s="120">
        <f t="shared" si="3"/>
        <v>1.155598776564873</v>
      </c>
      <c r="BU22" s="120">
        <f t="shared" si="4"/>
        <v>1.190942635595768</v>
      </c>
      <c r="BV22" s="107"/>
      <c r="BW22" s="148" t="e">
        <f>IF($BW$3=0,BW21,BW23)</f>
        <v>#VALUE!</v>
      </c>
      <c r="BZ22" s="641"/>
      <c r="CA22" s="589"/>
      <c r="CB22" s="589"/>
      <c r="CC22" s="90" t="s">
        <v>523</v>
      </c>
      <c r="CD22" s="126">
        <v>1</v>
      </c>
      <c r="CE22" s="126">
        <v>1.0841431427484249</v>
      </c>
      <c r="CF22" s="126">
        <v>1.1199037224411761</v>
      </c>
      <c r="CG22" s="126">
        <v>1.155598776564873</v>
      </c>
      <c r="CH22" s="131">
        <v>1.190942635595768</v>
      </c>
      <c r="CK22" s="641"/>
      <c r="CL22" s="589"/>
      <c r="CM22" s="589"/>
      <c r="CN22" s="90" t="s">
        <v>523</v>
      </c>
      <c r="CO22" s="126">
        <v>1</v>
      </c>
      <c r="CP22" s="126">
        <v>1.1524672104983209</v>
      </c>
      <c r="CQ22" s="126">
        <v>1.1904814670104531</v>
      </c>
      <c r="CR22" s="126">
        <v>1.2284260684495529</v>
      </c>
      <c r="CS22" s="131">
        <v>1.2659973420383159</v>
      </c>
      <c r="CV22" s="641"/>
      <c r="CW22" s="589"/>
      <c r="CX22" s="589"/>
      <c r="CY22" s="90" t="s">
        <v>523</v>
      </c>
      <c r="CZ22" s="126">
        <v>1</v>
      </c>
      <c r="DA22" s="126">
        <v>1.1517857126610109</v>
      </c>
      <c r="DB22" s="126">
        <v>1.1897774898927229</v>
      </c>
      <c r="DC22" s="126">
        <v>1.227699653241106</v>
      </c>
      <c r="DD22" s="131">
        <v>1.2652487095021541</v>
      </c>
    </row>
    <row r="23" spans="1:108" x14ac:dyDescent="0.25">
      <c r="A23" s="1"/>
      <c r="B23" s="591"/>
      <c r="C23" s="589"/>
      <c r="D23" s="591"/>
      <c r="E23" s="21"/>
      <c r="F23" s="152"/>
      <c r="G23" s="152"/>
      <c r="H23" s="152"/>
      <c r="I23" s="152"/>
      <c r="J23" s="152"/>
      <c r="K23" s="152"/>
      <c r="L23" s="152"/>
      <c r="M23" s="152"/>
      <c r="N23" s="152"/>
      <c r="O23" s="152"/>
      <c r="P23" s="152"/>
      <c r="Q23" s="152"/>
      <c r="R23" s="152"/>
      <c r="S23" s="152"/>
      <c r="T23" s="152"/>
      <c r="U23" s="152"/>
      <c r="W23" s="591"/>
      <c r="X23" s="589"/>
      <c r="Y23" s="6"/>
      <c r="Z23" s="29" t="s">
        <v>501</v>
      </c>
      <c r="AA23" s="32" t="str">
        <f>IF(F23=""," ",F23*Inputs!$B$39)</f>
        <v xml:space="preserve"> </v>
      </c>
      <c r="AB23" s="32" t="str">
        <f>IF(G23=""," ",G23*Inputs!$B$39)</f>
        <v xml:space="preserve"> </v>
      </c>
      <c r="AC23" s="32" t="str">
        <f>IF(H23=""," ",H23*Inputs!$B$39)</f>
        <v xml:space="preserve"> </v>
      </c>
      <c r="AD23" s="32" t="str">
        <f>IF(I23=""," ",I23*Inputs!$B$39)</f>
        <v xml:space="preserve"> </v>
      </c>
      <c r="AE23" s="32" t="str">
        <f>IF(J23=""," ",J23*Inputs!$B$39)</f>
        <v xml:space="preserve"> </v>
      </c>
      <c r="AF23" s="32" t="str">
        <f>IF(K23=""," ",K23*Inputs!$B$39)</f>
        <v xml:space="preserve"> </v>
      </c>
      <c r="AG23" s="32" t="str">
        <f>IF(L23=""," ",L23*Inputs!$B$39)</f>
        <v xml:space="preserve"> </v>
      </c>
      <c r="AH23" s="32" t="str">
        <f>IF(M23=""," ",M23*Inputs!$B$39)</f>
        <v xml:space="preserve"> </v>
      </c>
      <c r="AI23" s="32" t="str">
        <f>IF(N23=""," ",N23*Inputs!$B$39)</f>
        <v xml:space="preserve"> </v>
      </c>
      <c r="AJ23" s="32" t="str">
        <f>IF(O23=""," ",O23*Inputs!$B$39)</f>
        <v xml:space="preserve"> </v>
      </c>
      <c r="AK23" s="32" t="str">
        <f>IF(P23=""," ",P23*Inputs!$B$39)</f>
        <v xml:space="preserve"> </v>
      </c>
      <c r="AL23" s="32" t="str">
        <f>IF(Q23=""," ",Q23*Inputs!$B$39)</f>
        <v xml:space="preserve"> </v>
      </c>
      <c r="AM23" s="32" t="str">
        <f>IF(R23=""," ",R23*Inputs!$B$39)</f>
        <v xml:space="preserve"> </v>
      </c>
      <c r="AN23" s="32" t="str">
        <f>IF(S23=""," ",S23*Inputs!$B$39)</f>
        <v xml:space="preserve"> </v>
      </c>
      <c r="AO23" s="32" t="str">
        <f>IF(T23=""," ",T23*Inputs!$B$39)</f>
        <v xml:space="preserve"> </v>
      </c>
      <c r="AP23" s="32" t="str">
        <f>IF(U23=""," ",U23*Inputs!$B$39)</f>
        <v xml:space="preserve"> </v>
      </c>
      <c r="AR23" s="591"/>
      <c r="AS23" s="589"/>
      <c r="AT23" s="6"/>
      <c r="AU23" s="29" t="s">
        <v>501</v>
      </c>
      <c r="AV23" s="32" t="str">
        <f>IF(AA23=" "," ",AA23*Inputs!$B$53)</f>
        <v xml:space="preserve"> </v>
      </c>
      <c r="AW23" s="32" t="str">
        <f>IF(AB23=" "," ",AB23*Inputs!$B$53)</f>
        <v xml:space="preserve"> </v>
      </c>
      <c r="AX23" s="32" t="str">
        <f>IF(AC23=" "," ",AC23*Inputs!$B$53)</f>
        <v xml:space="preserve"> </v>
      </c>
      <c r="AY23" s="32" t="str">
        <f>IF(AD23=" "," ",AD23*Inputs!$B$53)</f>
        <v xml:space="preserve"> </v>
      </c>
      <c r="AZ23" s="32" t="str">
        <f>IF(AE23=" "," ",AE23*Inputs!$B$53)</f>
        <v xml:space="preserve"> </v>
      </c>
      <c r="BA23" s="32" t="str">
        <f>IF(AF23=" "," ",AF23*Inputs!$B$53)</f>
        <v xml:space="preserve"> </v>
      </c>
      <c r="BB23" s="32" t="str">
        <f>IF(AG23=" "," ",AG23*Inputs!$B$53)</f>
        <v xml:space="preserve"> </v>
      </c>
      <c r="BC23" s="32" t="str">
        <f>IF(AH23=" "," ",AH23*Inputs!$B$53)</f>
        <v xml:space="preserve"> </v>
      </c>
      <c r="BD23" s="32" t="str">
        <f>IF(AI23=" "," ",AI23*Inputs!$B$53)</f>
        <v xml:space="preserve"> </v>
      </c>
      <c r="BE23" s="32" t="str">
        <f>IF(AJ23=" "," ",AJ23*Inputs!$B$53)</f>
        <v xml:space="preserve"> </v>
      </c>
      <c r="BF23" s="32" t="str">
        <f>IF(AK23=" "," ",AK23*Inputs!$B$53)</f>
        <v xml:space="preserve"> </v>
      </c>
      <c r="BG23" s="32" t="str">
        <f>IF(AL23=" "," ",AL23*Inputs!$B$53)</f>
        <v xml:space="preserve"> </v>
      </c>
      <c r="BH23" s="32" t="str">
        <f>IF(AM23=" "," ",AM23*Inputs!$B$53)</f>
        <v xml:space="preserve"> </v>
      </c>
      <c r="BI23" s="32" t="str">
        <f>IF(AN23=" "," ",AN23*Inputs!$B$53)</f>
        <v xml:space="preserve"> </v>
      </c>
      <c r="BJ23" s="32" t="str">
        <f>IF(AO23=" "," ",AO23*Inputs!$B$53)</f>
        <v xml:space="preserve"> </v>
      </c>
      <c r="BK23" s="32" t="str">
        <f>IF(AP23=" "," ",AP23*Inputs!$B$53)</f>
        <v xml:space="preserve"> </v>
      </c>
      <c r="BM23" s="641"/>
      <c r="BN23" s="589"/>
      <c r="BO23" s="591"/>
      <c r="BP23" s="112" t="s">
        <v>524</v>
      </c>
      <c r="BQ23" s="120">
        <f t="shared" si="0"/>
        <v>1</v>
      </c>
      <c r="BR23" s="120">
        <f t="shared" si="1"/>
        <v>1.090865039906886</v>
      </c>
      <c r="BS23" s="120">
        <f t="shared" si="2"/>
        <v>1.1428109941881659</v>
      </c>
      <c r="BT23" s="120">
        <f t="shared" si="3"/>
        <v>1.179236179204769</v>
      </c>
      <c r="BU23" s="120">
        <f t="shared" si="4"/>
        <v>1.2153029855454951</v>
      </c>
      <c r="BV23" s="108">
        <v>55</v>
      </c>
      <c r="BW23" s="32" t="e">
        <f>IF(VALUE($BW$5)&lt;=0.8,"1",IF(AND(VALUE($BW5)&gt;0.8,VALUE($BW$5)&lt;=0.96),FORECAST(VALUE($BW$5),BQ23:BR23,$BQ$5:$BR$5),IF(AND(VALUE($BW$5)&gt;0.96,VALUE($BW$5)&lt;=1.12),FORECAST(VALUE($BW$5),BR23:BS23,$BR$5:$BS$5),IF(AND(VALUE($BW$5)&gt;1.12,VALUE($BW$5)&lt;=1.3),FORECAST(VALUE($BW$5),BS23:BT23,$BS$5:$BT$5),FORECAST(VALUE($BW$5),BT23:BU23,$BT$5:$BU$5)))))</f>
        <v>#VALUE!</v>
      </c>
      <c r="BZ23" s="641"/>
      <c r="CA23" s="589"/>
      <c r="CB23" s="591"/>
      <c r="CC23" s="112" t="s">
        <v>524</v>
      </c>
      <c r="CD23" s="128">
        <v>1</v>
      </c>
      <c r="CE23" s="128">
        <v>1.090865039906886</v>
      </c>
      <c r="CF23" s="128">
        <v>1.1428109941881659</v>
      </c>
      <c r="CG23" s="128">
        <v>1.179236179204769</v>
      </c>
      <c r="CH23" s="131">
        <v>1.2153029855454951</v>
      </c>
      <c r="CK23" s="641"/>
      <c r="CL23" s="589"/>
      <c r="CM23" s="591"/>
      <c r="CN23" s="112" t="s">
        <v>524</v>
      </c>
      <c r="CO23" s="128">
        <v>1</v>
      </c>
      <c r="CP23" s="128">
        <v>1.146643001788074</v>
      </c>
      <c r="CQ23" s="128">
        <v>1.293286003576148</v>
      </c>
      <c r="CR23" s="128">
        <v>1.334507327311407</v>
      </c>
      <c r="CS23" s="131">
        <v>1.3753230843100419</v>
      </c>
      <c r="CV23" s="641"/>
      <c r="CW23" s="589"/>
      <c r="CX23" s="591"/>
      <c r="CY23" s="112" t="s">
        <v>524</v>
      </c>
      <c r="CZ23" s="128">
        <v>1</v>
      </c>
      <c r="DA23" s="128">
        <v>1.187763602099329</v>
      </c>
      <c r="DB23" s="128">
        <v>1.375527204198659</v>
      </c>
      <c r="DC23" s="128">
        <v>1.4193698283623331</v>
      </c>
      <c r="DD23" s="131">
        <v>1.4627810954419569</v>
      </c>
    </row>
    <row r="24" spans="1:108" x14ac:dyDescent="0.25">
      <c r="B24" s="638"/>
      <c r="C24" s="612" t="s">
        <v>7</v>
      </c>
      <c r="D24" s="595"/>
      <c r="E24" s="150"/>
      <c r="F24" s="151"/>
      <c r="G24" s="151"/>
      <c r="H24" s="151"/>
      <c r="I24" s="151"/>
      <c r="J24" s="151"/>
      <c r="K24" s="151"/>
      <c r="L24" s="151"/>
      <c r="M24" s="151"/>
      <c r="N24" s="151"/>
      <c r="O24" s="151"/>
      <c r="P24" s="151"/>
      <c r="Q24" s="151"/>
      <c r="R24" s="151"/>
      <c r="S24" s="151"/>
      <c r="T24" s="151"/>
      <c r="U24" s="151"/>
      <c r="W24" s="638"/>
      <c r="X24" s="612" t="s">
        <v>7</v>
      </c>
      <c r="Y24" s="32">
        <v>-4.2378722385278227E-2</v>
      </c>
      <c r="Z24" s="24" t="s">
        <v>498</v>
      </c>
      <c r="AA24" s="32" t="str">
        <f>IF(F24=""," ",F24*Inputs!$B$39)</f>
        <v xml:space="preserve"> </v>
      </c>
      <c r="AB24" s="32" t="str">
        <f>IF(G24=""," ",G24*Inputs!$B$39)</f>
        <v xml:space="preserve"> </v>
      </c>
      <c r="AC24" s="32" t="str">
        <f>IF(H24=""," ",H24*Inputs!$B$39)</f>
        <v xml:space="preserve"> </v>
      </c>
      <c r="AD24" s="32" t="str">
        <f>IF(I24=""," ",I24*Inputs!$B$39)</f>
        <v xml:space="preserve"> </v>
      </c>
      <c r="AE24" s="32" t="str">
        <f>IF(J24=""," ",J24*Inputs!$B$39)</f>
        <v xml:space="preserve"> </v>
      </c>
      <c r="AF24" s="32" t="str">
        <f>IF(K24=""," ",K24*Inputs!$B$39)</f>
        <v xml:space="preserve"> </v>
      </c>
      <c r="AG24" s="32" t="str">
        <f>IF(L24=""," ",L24*Inputs!$B$39)</f>
        <v xml:space="preserve"> </v>
      </c>
      <c r="AH24" s="32" t="str">
        <f>IF(M24=""," ",M24*Inputs!$B$39)</f>
        <v xml:space="preserve"> </v>
      </c>
      <c r="AI24" s="32" t="str">
        <f>IF(N24=""," ",N24*Inputs!$B$39)</f>
        <v xml:space="preserve"> </v>
      </c>
      <c r="AJ24" s="32" t="str">
        <f>IF(O24=""," ",O24*Inputs!$B$39)</f>
        <v xml:space="preserve"> </v>
      </c>
      <c r="AK24" s="32" t="str">
        <f>IF(P24=""," ",P24*Inputs!$B$39)</f>
        <v xml:space="preserve"> </v>
      </c>
      <c r="AL24" s="32" t="str">
        <f>IF(Q24=""," ",Q24*Inputs!$B$39)</f>
        <v xml:space="preserve"> </v>
      </c>
      <c r="AM24" s="32" t="str">
        <f>IF(R24=""," ",R24*Inputs!$B$39)</f>
        <v xml:space="preserve"> </v>
      </c>
      <c r="AN24" s="32" t="str">
        <f>IF(S24=""," ",S24*Inputs!$B$39)</f>
        <v xml:space="preserve"> </v>
      </c>
      <c r="AO24" s="32" t="str">
        <f>IF(T24=""," ",T24*Inputs!$B$39)</f>
        <v xml:space="preserve"> </v>
      </c>
      <c r="AP24" s="32" t="str">
        <f>IF(U24=""," ",U24*Inputs!$B$39)</f>
        <v xml:space="preserve"> </v>
      </c>
      <c r="AR24" s="638"/>
      <c r="AS24" s="612" t="s">
        <v>7</v>
      </c>
      <c r="AT24" s="32">
        <v>-4.2378722385278227E-2</v>
      </c>
      <c r="AU24" s="24" t="s">
        <v>498</v>
      </c>
      <c r="AV24" s="32" t="str">
        <f>IF(AA24=" "," ",AA24*Inputs!$B$53)</f>
        <v xml:space="preserve"> </v>
      </c>
      <c r="AW24" s="32" t="str">
        <f>IF(AB24=" "," ",AB24*Inputs!$B$53)</f>
        <v xml:space="preserve"> </v>
      </c>
      <c r="AX24" s="32" t="str">
        <f>IF(AC24=" "," ",AC24*Inputs!$B$53)</f>
        <v xml:space="preserve"> </v>
      </c>
      <c r="AY24" s="32" t="str">
        <f>IF(AD24=" "," ",AD24*Inputs!$B$53)</f>
        <v xml:space="preserve"> </v>
      </c>
      <c r="AZ24" s="32" t="str">
        <f>IF(AE24=" "," ",AE24*Inputs!$B$53)</f>
        <v xml:space="preserve"> </v>
      </c>
      <c r="BA24" s="32" t="str">
        <f>IF(AF24=" "," ",AF24*Inputs!$B$53)</f>
        <v xml:space="preserve"> </v>
      </c>
      <c r="BB24" s="32" t="str">
        <f>IF(AG24=" "," ",AG24*Inputs!$B$53)</f>
        <v xml:space="preserve"> </v>
      </c>
      <c r="BC24" s="32" t="str">
        <f>IF(AH24=" "," ",AH24*Inputs!$B$53)</f>
        <v xml:space="preserve"> </v>
      </c>
      <c r="BD24" s="32" t="str">
        <f>IF(AI24=" "," ",AI24*Inputs!$B$53)</f>
        <v xml:space="preserve"> </v>
      </c>
      <c r="BE24" s="32" t="str">
        <f>IF(AJ24=" "," ",AJ24*Inputs!$B$53)</f>
        <v xml:space="preserve"> </v>
      </c>
      <c r="BF24" s="32" t="str">
        <f>IF(AK24=" "," ",AK24*Inputs!$B$53)</f>
        <v xml:space="preserve"> </v>
      </c>
      <c r="BG24" s="32" t="str">
        <f>IF(AL24=" "," ",AL24*Inputs!$B$53)</f>
        <v xml:space="preserve"> </v>
      </c>
      <c r="BH24" s="32" t="str">
        <f>IF(AM24=" "," ",AM24*Inputs!$B$53)</f>
        <v xml:space="preserve"> </v>
      </c>
      <c r="BI24" s="32" t="str">
        <f>IF(AN24=" "," ",AN24*Inputs!$B$53)</f>
        <v xml:space="preserve"> </v>
      </c>
      <c r="BJ24" s="32" t="str">
        <f>IF(AO24=" "," ",AO24*Inputs!$B$53)</f>
        <v xml:space="preserve"> </v>
      </c>
      <c r="BK24" s="32" t="str">
        <f>IF(AP24=" "," ",AP24*Inputs!$B$53)</f>
        <v xml:space="preserve"> </v>
      </c>
      <c r="BM24" s="641"/>
      <c r="BN24" s="132"/>
      <c r="BO24" s="609" t="s">
        <v>545</v>
      </c>
      <c r="BP24" s="87" t="s">
        <v>522</v>
      </c>
      <c r="BQ24" s="120">
        <f t="shared" si="0"/>
        <v>1</v>
      </c>
      <c r="BR24" s="120">
        <f t="shared" si="1"/>
        <v>1.0391296477793051</v>
      </c>
      <c r="BS24" s="120">
        <f t="shared" si="2"/>
        <v>1.073405452435789</v>
      </c>
      <c r="BT24" s="120">
        <f t="shared" si="3"/>
        <v>1.1076184521370911</v>
      </c>
      <c r="BU24" s="120">
        <f t="shared" si="4"/>
        <v>1.141494838324278</v>
      </c>
      <c r="BV24" s="106">
        <v>0</v>
      </c>
      <c r="BW24" s="32" t="e">
        <f>IF(VALUE($BW$5)&lt;=0.8,"1",IF(AND(VALUE($BW5)&gt;0.8,VALUE($BW$5)&lt;=0.96),FORECAST(VALUE($BW$5),BQ24:BR24,$BQ$5:$BR$5),IF(AND(VALUE($BW$5)&gt;0.96,VALUE($BW$5)&lt;=1.12),FORECAST(VALUE($BW$5),BR24:BS24,$BR$5:$BS$5),IF(AND(VALUE($BW$5)&gt;1.12,VALUE($BW$5)&lt;=1.3),FORECAST(VALUE($BW$5),BS24:BT24,$BS$5:$BT$5),FORECAST(VALUE($BW$5),BT24:BU24,$BT$5:$BU$5)))))</f>
        <v>#VALUE!</v>
      </c>
      <c r="BZ24" s="641"/>
      <c r="CA24" s="132"/>
      <c r="CB24" s="609" t="s">
        <v>545</v>
      </c>
      <c r="CC24" s="87" t="s">
        <v>522</v>
      </c>
      <c r="CD24" s="120">
        <v>1</v>
      </c>
      <c r="CE24" s="120">
        <v>1.0391296477793051</v>
      </c>
      <c r="CF24" s="120">
        <v>1.073405452435789</v>
      </c>
      <c r="CG24" s="120">
        <v>1.1076184521370911</v>
      </c>
      <c r="CH24" s="121">
        <v>1.141494838324278</v>
      </c>
      <c r="CK24" s="641"/>
      <c r="CL24" s="132"/>
      <c r="CM24" s="609" t="s">
        <v>545</v>
      </c>
      <c r="CN24" s="87" t="s">
        <v>522</v>
      </c>
      <c r="CO24" s="120">
        <v>1</v>
      </c>
      <c r="CP24" s="120">
        <v>1.0391296477793051</v>
      </c>
      <c r="CQ24" s="120">
        <v>1.073405452435789</v>
      </c>
      <c r="CR24" s="120">
        <v>1.1076184521370911</v>
      </c>
      <c r="CS24" s="121">
        <v>1.141494838324278</v>
      </c>
      <c r="CV24" s="641"/>
      <c r="CW24" s="132"/>
      <c r="CX24" s="609" t="s">
        <v>545</v>
      </c>
      <c r="CY24" s="87" t="s">
        <v>522</v>
      </c>
      <c r="CZ24" s="120">
        <v>1</v>
      </c>
      <c r="DA24" s="120">
        <v>1.0391296477793051</v>
      </c>
      <c r="DB24" s="120">
        <v>1.073405452435789</v>
      </c>
      <c r="DC24" s="120">
        <v>1.1076184521370911</v>
      </c>
      <c r="DD24" s="121">
        <v>1.141494838324278</v>
      </c>
    </row>
    <row r="25" spans="1:108" x14ac:dyDescent="0.25">
      <c r="B25" s="589"/>
      <c r="C25" s="589"/>
      <c r="D25" s="589"/>
      <c r="E25" s="21"/>
      <c r="F25" s="152"/>
      <c r="G25" s="152"/>
      <c r="H25" s="152"/>
      <c r="I25" s="152"/>
      <c r="J25" s="152"/>
      <c r="K25" s="152"/>
      <c r="L25" s="152"/>
      <c r="M25" s="152"/>
      <c r="N25" s="152"/>
      <c r="O25" s="152"/>
      <c r="P25" s="152"/>
      <c r="Q25" s="152"/>
      <c r="R25" s="152"/>
      <c r="S25" s="152"/>
      <c r="T25" s="152"/>
      <c r="U25" s="152"/>
      <c r="W25" s="589"/>
      <c r="X25" s="589"/>
      <c r="Y25" s="33"/>
      <c r="Z25" s="27" t="s">
        <v>499</v>
      </c>
      <c r="AA25" s="32" t="str">
        <f>IF(F25=""," ",F25*Inputs!$B$39)</f>
        <v xml:space="preserve"> </v>
      </c>
      <c r="AB25" s="32" t="str">
        <f>IF(G25=""," ",G25*Inputs!$B$39)</f>
        <v xml:space="preserve"> </v>
      </c>
      <c r="AC25" s="32" t="str">
        <f>IF(H25=""," ",H25*Inputs!$B$39)</f>
        <v xml:space="preserve"> </v>
      </c>
      <c r="AD25" s="32" t="str">
        <f>IF(I25=""," ",I25*Inputs!$B$39)</f>
        <v xml:space="preserve"> </v>
      </c>
      <c r="AE25" s="32" t="str">
        <f>IF(J25=""," ",J25*Inputs!$B$39)</f>
        <v xml:space="preserve"> </v>
      </c>
      <c r="AF25" s="32" t="str">
        <f>IF(K25=""," ",K25*Inputs!$B$39)</f>
        <v xml:space="preserve"> </v>
      </c>
      <c r="AG25" s="32" t="str">
        <f>IF(L25=""," ",L25*Inputs!$B$39)</f>
        <v xml:space="preserve"> </v>
      </c>
      <c r="AH25" s="32" t="str">
        <f>IF(M25=""," ",M25*Inputs!$B$39)</f>
        <v xml:space="preserve"> </v>
      </c>
      <c r="AI25" s="32" t="str">
        <f>IF(N25=""," ",N25*Inputs!$B$39)</f>
        <v xml:space="preserve"> </v>
      </c>
      <c r="AJ25" s="32" t="str">
        <f>IF(O25=""," ",O25*Inputs!$B$39)</f>
        <v xml:space="preserve"> </v>
      </c>
      <c r="AK25" s="32" t="str">
        <f>IF(P25=""," ",P25*Inputs!$B$39)</f>
        <v xml:space="preserve"> </v>
      </c>
      <c r="AL25" s="32" t="str">
        <f>IF(Q25=""," ",Q25*Inputs!$B$39)</f>
        <v xml:space="preserve"> </v>
      </c>
      <c r="AM25" s="32" t="str">
        <f>IF(R25=""," ",R25*Inputs!$B$39)</f>
        <v xml:space="preserve"> </v>
      </c>
      <c r="AN25" s="32" t="str">
        <f>IF(S25=""," ",S25*Inputs!$B$39)</f>
        <v xml:space="preserve"> </v>
      </c>
      <c r="AO25" s="32" t="str">
        <f>IF(T25=""," ",T25*Inputs!$B$39)</f>
        <v xml:space="preserve"> </v>
      </c>
      <c r="AP25" s="32" t="str">
        <f>IF(U25=""," ",U25*Inputs!$B$39)</f>
        <v xml:space="preserve"> </v>
      </c>
      <c r="AR25" s="589"/>
      <c r="AS25" s="589"/>
      <c r="AT25" s="33"/>
      <c r="AU25" s="27" t="s">
        <v>499</v>
      </c>
      <c r="AV25" s="32" t="str">
        <f>IF(AA25=" "," ",AA25*Inputs!$B$53)</f>
        <v xml:space="preserve"> </v>
      </c>
      <c r="AW25" s="32" t="str">
        <f>IF(AB25=" "," ",AB25*Inputs!$B$53)</f>
        <v xml:space="preserve"> </v>
      </c>
      <c r="AX25" s="32" t="str">
        <f>IF(AC25=" "," ",AC25*Inputs!$B$53)</f>
        <v xml:space="preserve"> </v>
      </c>
      <c r="AY25" s="32" t="str">
        <f>IF(AD25=" "," ",AD25*Inputs!$B$53)</f>
        <v xml:space="preserve"> </v>
      </c>
      <c r="AZ25" s="32" t="str">
        <f>IF(AE25=" "," ",AE25*Inputs!$B$53)</f>
        <v xml:space="preserve"> </v>
      </c>
      <c r="BA25" s="32" t="str">
        <f>IF(AF25=" "," ",AF25*Inputs!$B$53)</f>
        <v xml:space="preserve"> </v>
      </c>
      <c r="BB25" s="32" t="str">
        <f>IF(AG25=" "," ",AG25*Inputs!$B$53)</f>
        <v xml:space="preserve"> </v>
      </c>
      <c r="BC25" s="32" t="str">
        <f>IF(AH25=" "," ",AH25*Inputs!$B$53)</f>
        <v xml:space="preserve"> </v>
      </c>
      <c r="BD25" s="32" t="str">
        <f>IF(AI25=" "," ",AI25*Inputs!$B$53)</f>
        <v xml:space="preserve"> </v>
      </c>
      <c r="BE25" s="32" t="str">
        <f>IF(AJ25=" "," ",AJ25*Inputs!$B$53)</f>
        <v xml:space="preserve"> </v>
      </c>
      <c r="BF25" s="32" t="str">
        <f>IF(AK25=" "," ",AK25*Inputs!$B$53)</f>
        <v xml:space="preserve"> </v>
      </c>
      <c r="BG25" s="32" t="str">
        <f>IF(AL25=" "," ",AL25*Inputs!$B$53)</f>
        <v xml:space="preserve"> </v>
      </c>
      <c r="BH25" s="32" t="str">
        <f>IF(AM25=" "," ",AM25*Inputs!$B$53)</f>
        <v xml:space="preserve"> </v>
      </c>
      <c r="BI25" s="32" t="str">
        <f>IF(AN25=" "," ",AN25*Inputs!$B$53)</f>
        <v xml:space="preserve"> </v>
      </c>
      <c r="BJ25" s="32" t="str">
        <f>IF(AO25=" "," ",AO25*Inputs!$B$53)</f>
        <v xml:space="preserve"> </v>
      </c>
      <c r="BK25" s="32" t="str">
        <f>IF(AP25=" "," ",AP25*Inputs!$B$53)</f>
        <v xml:space="preserve"> </v>
      </c>
      <c r="BM25" s="641"/>
      <c r="BN25" s="132"/>
      <c r="BO25" s="589"/>
      <c r="BP25" s="90" t="s">
        <v>523</v>
      </c>
      <c r="BQ25" s="120">
        <f t="shared" si="0"/>
        <v>1</v>
      </c>
      <c r="BR25" s="120">
        <f t="shared" si="1"/>
        <v>1.265363589714674</v>
      </c>
      <c r="BS25" s="120">
        <f t="shared" si="2"/>
        <v>1.307101745596547</v>
      </c>
      <c r="BT25" s="120">
        <f t="shared" si="3"/>
        <v>1.3487634229526531</v>
      </c>
      <c r="BU25" s="120">
        <f t="shared" si="4"/>
        <v>1.390015201038272</v>
      </c>
      <c r="BV25" s="107"/>
      <c r="BW25" s="148" t="e">
        <f>IF($BW$3=0,BW24,BW26)</f>
        <v>#VALUE!</v>
      </c>
      <c r="BZ25" s="641"/>
      <c r="CA25" s="132"/>
      <c r="CB25" s="589"/>
      <c r="CC25" s="90" t="s">
        <v>523</v>
      </c>
      <c r="CD25" s="122">
        <v>1</v>
      </c>
      <c r="CE25" s="122">
        <v>1.265363589714674</v>
      </c>
      <c r="CF25" s="122">
        <v>1.307101745596547</v>
      </c>
      <c r="CG25" s="122">
        <v>1.3487634229526531</v>
      </c>
      <c r="CH25" s="123">
        <v>1.390015201038272</v>
      </c>
      <c r="CK25" s="641"/>
      <c r="CL25" s="132"/>
      <c r="CM25" s="589"/>
      <c r="CN25" s="90" t="s">
        <v>523</v>
      </c>
      <c r="CO25" s="122">
        <v>1</v>
      </c>
      <c r="CP25" s="122">
        <v>1.1266728384423881</v>
      </c>
      <c r="CQ25" s="122">
        <v>1.1638362647816769</v>
      </c>
      <c r="CR25" s="122">
        <v>1.200931595058772</v>
      </c>
      <c r="CS25" s="123">
        <v>1.2376619532611921</v>
      </c>
      <c r="CV25" s="641"/>
      <c r="CW25" s="132"/>
      <c r="CX25" s="589"/>
      <c r="CY25" s="90" t="s">
        <v>523</v>
      </c>
      <c r="CZ25" s="122">
        <v>1</v>
      </c>
      <c r="DA25" s="122">
        <v>1.1171259130924021</v>
      </c>
      <c r="DB25" s="122">
        <v>1.15397443305878</v>
      </c>
      <c r="DC25" s="122">
        <v>1.190755433978758</v>
      </c>
      <c r="DD25" s="123">
        <v>1.227174555435361</v>
      </c>
    </row>
    <row r="26" spans="1:108" x14ac:dyDescent="0.25">
      <c r="B26" s="589"/>
      <c r="C26" s="589"/>
      <c r="D26" s="589"/>
      <c r="E26" s="21"/>
      <c r="F26" s="152"/>
      <c r="G26" s="152"/>
      <c r="H26" s="152"/>
      <c r="I26" s="152"/>
      <c r="J26" s="152"/>
      <c r="K26" s="152"/>
      <c r="L26" s="152"/>
      <c r="M26" s="152"/>
      <c r="N26" s="152"/>
      <c r="O26" s="152"/>
      <c r="P26" s="152"/>
      <c r="Q26" s="152"/>
      <c r="R26" s="152"/>
      <c r="S26" s="152"/>
      <c r="T26" s="152"/>
      <c r="U26" s="152"/>
      <c r="W26" s="589"/>
      <c r="X26" s="589"/>
      <c r="Y26" s="33"/>
      <c r="Z26" s="27" t="s">
        <v>500</v>
      </c>
      <c r="AA26" s="32" t="str">
        <f>IF(F26=""," ",F26*Inputs!$B$39)</f>
        <v xml:space="preserve"> </v>
      </c>
      <c r="AB26" s="32" t="str">
        <f>IF(G26=""," ",G26*Inputs!$B$39)</f>
        <v xml:space="preserve"> </v>
      </c>
      <c r="AC26" s="32" t="str">
        <f>IF(H26=""," ",H26*Inputs!$B$39)</f>
        <v xml:space="preserve"> </v>
      </c>
      <c r="AD26" s="32" t="str">
        <f>IF(I26=""," ",I26*Inputs!$B$39)</f>
        <v xml:space="preserve"> </v>
      </c>
      <c r="AE26" s="32" t="str">
        <f>IF(J26=""," ",J26*Inputs!$B$39)</f>
        <v xml:space="preserve"> </v>
      </c>
      <c r="AF26" s="32" t="str">
        <f>IF(K26=""," ",K26*Inputs!$B$39)</f>
        <v xml:space="preserve"> </v>
      </c>
      <c r="AG26" s="32" t="str">
        <f>IF(L26=""," ",L26*Inputs!$B$39)</f>
        <v xml:space="preserve"> </v>
      </c>
      <c r="AH26" s="32" t="str">
        <f>IF(M26=""," ",M26*Inputs!$B$39)</f>
        <v xml:space="preserve"> </v>
      </c>
      <c r="AI26" s="32" t="str">
        <f>IF(N26=""," ",N26*Inputs!$B$39)</f>
        <v xml:space="preserve"> </v>
      </c>
      <c r="AJ26" s="32" t="str">
        <f>IF(O26=""," ",O26*Inputs!$B$39)</f>
        <v xml:space="preserve"> </v>
      </c>
      <c r="AK26" s="32" t="str">
        <f>IF(P26=""," ",P26*Inputs!$B$39)</f>
        <v xml:space="preserve"> </v>
      </c>
      <c r="AL26" s="32" t="str">
        <f>IF(Q26=""," ",Q26*Inputs!$B$39)</f>
        <v xml:space="preserve"> </v>
      </c>
      <c r="AM26" s="32" t="str">
        <f>IF(R26=""," ",R26*Inputs!$B$39)</f>
        <v xml:space="preserve"> </v>
      </c>
      <c r="AN26" s="32" t="str">
        <f>IF(S26=""," ",S26*Inputs!$B$39)</f>
        <v xml:space="preserve"> </v>
      </c>
      <c r="AO26" s="32" t="str">
        <f>IF(T26=""," ",T26*Inputs!$B$39)</f>
        <v xml:space="preserve"> </v>
      </c>
      <c r="AP26" s="32" t="str">
        <f>IF(U26=""," ",U26*Inputs!$B$39)</f>
        <v xml:space="preserve"> </v>
      </c>
      <c r="AR26" s="589"/>
      <c r="AS26" s="589"/>
      <c r="AT26" s="33"/>
      <c r="AU26" s="27" t="s">
        <v>500</v>
      </c>
      <c r="AV26" s="32" t="str">
        <f>IF(AA26=" "," ",AA26*Inputs!$B$53)</f>
        <v xml:space="preserve"> </v>
      </c>
      <c r="AW26" s="32" t="str">
        <f>IF(AB26=" "," ",AB26*Inputs!$B$53)</f>
        <v xml:space="preserve"> </v>
      </c>
      <c r="AX26" s="32" t="str">
        <f>IF(AC26=" "," ",AC26*Inputs!$B$53)</f>
        <v xml:space="preserve"> </v>
      </c>
      <c r="AY26" s="32" t="str">
        <f>IF(AD26=" "," ",AD26*Inputs!$B$53)</f>
        <v xml:space="preserve"> </v>
      </c>
      <c r="AZ26" s="32" t="str">
        <f>IF(AE26=" "," ",AE26*Inputs!$B$53)</f>
        <v xml:space="preserve"> </v>
      </c>
      <c r="BA26" s="32" t="str">
        <f>IF(AF26=" "," ",AF26*Inputs!$B$53)</f>
        <v xml:space="preserve"> </v>
      </c>
      <c r="BB26" s="32" t="str">
        <f>IF(AG26=" "," ",AG26*Inputs!$B$53)</f>
        <v xml:space="preserve"> </v>
      </c>
      <c r="BC26" s="32" t="str">
        <f>IF(AH26=" "," ",AH26*Inputs!$B$53)</f>
        <v xml:space="preserve"> </v>
      </c>
      <c r="BD26" s="32" t="str">
        <f>IF(AI26=" "," ",AI26*Inputs!$B$53)</f>
        <v xml:space="preserve"> </v>
      </c>
      <c r="BE26" s="32" t="str">
        <f>IF(AJ26=" "," ",AJ26*Inputs!$B$53)</f>
        <v xml:space="preserve"> </v>
      </c>
      <c r="BF26" s="32" t="str">
        <f>IF(AK26=" "," ",AK26*Inputs!$B$53)</f>
        <v xml:space="preserve"> </v>
      </c>
      <c r="BG26" s="32" t="str">
        <f>IF(AL26=" "," ",AL26*Inputs!$B$53)</f>
        <v xml:space="preserve"> </v>
      </c>
      <c r="BH26" s="32" t="str">
        <f>IF(AM26=" "," ",AM26*Inputs!$B$53)</f>
        <v xml:space="preserve"> </v>
      </c>
      <c r="BI26" s="32" t="str">
        <f>IF(AN26=" "," ",AN26*Inputs!$B$53)</f>
        <v xml:space="preserve"> </v>
      </c>
      <c r="BJ26" s="32" t="str">
        <f>IF(AO26=" "," ",AO26*Inputs!$B$53)</f>
        <v xml:space="preserve"> </v>
      </c>
      <c r="BK26" s="32" t="str">
        <f>IF(AP26=" "," ",AP26*Inputs!$B$53)</f>
        <v xml:space="preserve"> </v>
      </c>
      <c r="BM26" s="641"/>
      <c r="BN26" s="132"/>
      <c r="BO26" s="589"/>
      <c r="BP26" s="90" t="s">
        <v>524</v>
      </c>
      <c r="BQ26" s="120">
        <f t="shared" si="0"/>
        <v>1</v>
      </c>
      <c r="BR26" s="120">
        <f t="shared" si="1"/>
        <v>1.113413337520752</v>
      </c>
      <c r="BS26" s="120">
        <f t="shared" si="2"/>
        <v>1.1664330202598361</v>
      </c>
      <c r="BT26" s="120">
        <f t="shared" si="3"/>
        <v>1.20361111776547</v>
      </c>
      <c r="BU26" s="120">
        <f t="shared" si="4"/>
        <v>1.240423428869482</v>
      </c>
      <c r="BV26" s="108">
        <v>55</v>
      </c>
      <c r="BW26" s="32" t="e">
        <f>IF(VALUE($BW$5)&lt;=0.8,"1",IF(AND(VALUE($BW5)&gt;0.8,VALUE($BW$5)&lt;=0.96),FORECAST(VALUE($BW$5),BQ26:BR26,$BQ$5:$BR$5),IF(AND(VALUE($BW$5)&gt;0.96,VALUE($BW$5)&lt;=1.12),FORECAST(VALUE($BW$5),BR26:BS26,$BR$5:$BS$5),IF(AND(VALUE($BW$5)&gt;1.12,VALUE($BW$5)&lt;=1.3),FORECAST(VALUE($BW$5),BS26:BT26,$BS$5:$BT$5),FORECAST(VALUE($BW$5),BT26:BU26,$BT$5:$BU$5)))))</f>
        <v>#VALUE!</v>
      </c>
      <c r="BZ26" s="641"/>
      <c r="CA26" s="132"/>
      <c r="CB26" s="589"/>
      <c r="CC26" s="90" t="s">
        <v>524</v>
      </c>
      <c r="CD26" s="122">
        <v>1</v>
      </c>
      <c r="CE26" s="122">
        <v>1.113413337520752</v>
      </c>
      <c r="CF26" s="122">
        <v>1.1664330202598361</v>
      </c>
      <c r="CG26" s="122">
        <v>1.20361111776547</v>
      </c>
      <c r="CH26" s="123">
        <v>1.240423428869482</v>
      </c>
      <c r="CK26" s="641"/>
      <c r="CL26" s="132"/>
      <c r="CM26" s="589"/>
      <c r="CN26" s="90" t="s">
        <v>524</v>
      </c>
      <c r="CO26" s="122">
        <v>1</v>
      </c>
      <c r="CP26" s="122">
        <v>1.0342666287806259</v>
      </c>
      <c r="CQ26" s="122">
        <v>1.0685332575612529</v>
      </c>
      <c r="CR26" s="122">
        <v>1.102590964217034</v>
      </c>
      <c r="CS26" s="123">
        <v>1.136313585249801</v>
      </c>
      <c r="CV26" s="641"/>
      <c r="CW26" s="132"/>
      <c r="CX26" s="589"/>
      <c r="CY26" s="90" t="s">
        <v>524</v>
      </c>
      <c r="CZ26" s="122">
        <v>1</v>
      </c>
      <c r="DA26" s="122">
        <v>1.0475414267001839</v>
      </c>
      <c r="DB26" s="122">
        <v>1.095082853400368</v>
      </c>
      <c r="DC26" s="122">
        <v>1.1299867839247271</v>
      </c>
      <c r="DD26" s="123">
        <v>1.164547303031999</v>
      </c>
    </row>
    <row r="27" spans="1:108" x14ac:dyDescent="0.25">
      <c r="B27" s="589"/>
      <c r="C27" s="589"/>
      <c r="D27" s="591"/>
      <c r="E27" s="149"/>
      <c r="F27" s="153"/>
      <c r="G27" s="153"/>
      <c r="H27" s="153"/>
      <c r="I27" s="153"/>
      <c r="J27" s="153"/>
      <c r="K27" s="153"/>
      <c r="L27" s="153"/>
      <c r="M27" s="153"/>
      <c r="N27" s="153"/>
      <c r="O27" s="153"/>
      <c r="P27" s="153"/>
      <c r="Q27" s="153"/>
      <c r="R27" s="153"/>
      <c r="S27" s="153"/>
      <c r="T27" s="153"/>
      <c r="U27" s="153"/>
      <c r="W27" s="589"/>
      <c r="X27" s="589"/>
      <c r="Y27" s="6"/>
      <c r="Z27" s="29" t="s">
        <v>501</v>
      </c>
      <c r="AA27" s="32" t="str">
        <f>IF(F27=""," ",F27*Inputs!$B$39)</f>
        <v xml:space="preserve"> </v>
      </c>
      <c r="AB27" s="32" t="str">
        <f>IF(G27=""," ",G27*Inputs!$B$39)</f>
        <v xml:space="preserve"> </v>
      </c>
      <c r="AC27" s="32" t="str">
        <f>IF(H27=""," ",H27*Inputs!$B$39)</f>
        <v xml:space="preserve"> </v>
      </c>
      <c r="AD27" s="32" t="str">
        <f>IF(I27=""," ",I27*Inputs!$B$39)</f>
        <v xml:space="preserve"> </v>
      </c>
      <c r="AE27" s="32" t="str">
        <f>IF(J27=""," ",J27*Inputs!$B$39)</f>
        <v xml:space="preserve"> </v>
      </c>
      <c r="AF27" s="32" t="str">
        <f>IF(K27=""," ",K27*Inputs!$B$39)</f>
        <v xml:space="preserve"> </v>
      </c>
      <c r="AG27" s="32" t="str">
        <f>IF(L27=""," ",L27*Inputs!$B$39)</f>
        <v xml:space="preserve"> </v>
      </c>
      <c r="AH27" s="32" t="str">
        <f>IF(M27=""," ",M27*Inputs!$B$39)</f>
        <v xml:space="preserve"> </v>
      </c>
      <c r="AI27" s="32" t="str">
        <f>IF(N27=""," ",N27*Inputs!$B$39)</f>
        <v xml:space="preserve"> </v>
      </c>
      <c r="AJ27" s="32" t="str">
        <f>IF(O27=""," ",O27*Inputs!$B$39)</f>
        <v xml:space="preserve"> </v>
      </c>
      <c r="AK27" s="32" t="str">
        <f>IF(P27=""," ",P27*Inputs!$B$39)</f>
        <v xml:space="preserve"> </v>
      </c>
      <c r="AL27" s="32" t="str">
        <f>IF(Q27=""," ",Q27*Inputs!$B$39)</f>
        <v xml:space="preserve"> </v>
      </c>
      <c r="AM27" s="32" t="str">
        <f>IF(R27=""," ",R27*Inputs!$B$39)</f>
        <v xml:space="preserve"> </v>
      </c>
      <c r="AN27" s="32" t="str">
        <f>IF(S27=""," ",S27*Inputs!$B$39)</f>
        <v xml:space="preserve"> </v>
      </c>
      <c r="AO27" s="32" t="str">
        <f>IF(T27=""," ",T27*Inputs!$B$39)</f>
        <v xml:space="preserve"> </v>
      </c>
      <c r="AP27" s="32" t="str">
        <f>IF(U27=""," ",U27*Inputs!$B$39)</f>
        <v xml:space="preserve"> </v>
      </c>
      <c r="AR27" s="589"/>
      <c r="AS27" s="589"/>
      <c r="AT27" s="6"/>
      <c r="AU27" s="29" t="s">
        <v>501</v>
      </c>
      <c r="AV27" s="32" t="str">
        <f>IF(AA27=" "," ",AA27*Inputs!$B$53)</f>
        <v xml:space="preserve"> </v>
      </c>
      <c r="AW27" s="32" t="str">
        <f>IF(AB27=" "," ",AB27*Inputs!$B$53)</f>
        <v xml:space="preserve"> </v>
      </c>
      <c r="AX27" s="32" t="str">
        <f>IF(AC27=" "," ",AC27*Inputs!$B$53)</f>
        <v xml:space="preserve"> </v>
      </c>
      <c r="AY27" s="32" t="str">
        <f>IF(AD27=" "," ",AD27*Inputs!$B$53)</f>
        <v xml:space="preserve"> </v>
      </c>
      <c r="AZ27" s="32" t="str">
        <f>IF(AE27=" "," ",AE27*Inputs!$B$53)</f>
        <v xml:space="preserve"> </v>
      </c>
      <c r="BA27" s="32" t="str">
        <f>IF(AF27=" "," ",AF27*Inputs!$B$53)</f>
        <v xml:space="preserve"> </v>
      </c>
      <c r="BB27" s="32" t="str">
        <f>IF(AG27=" "," ",AG27*Inputs!$B$53)</f>
        <v xml:space="preserve"> </v>
      </c>
      <c r="BC27" s="32" t="str">
        <f>IF(AH27=" "," ",AH27*Inputs!$B$53)</f>
        <v xml:space="preserve"> </v>
      </c>
      <c r="BD27" s="32" t="str">
        <f>IF(AI27=" "," ",AI27*Inputs!$B$53)</f>
        <v xml:space="preserve"> </v>
      </c>
      <c r="BE27" s="32" t="str">
        <f>IF(AJ27=" "," ",AJ27*Inputs!$B$53)</f>
        <v xml:space="preserve"> </v>
      </c>
      <c r="BF27" s="32" t="str">
        <f>IF(AK27=" "," ",AK27*Inputs!$B$53)</f>
        <v xml:space="preserve"> </v>
      </c>
      <c r="BG27" s="32" t="str">
        <f>IF(AL27=" "," ",AL27*Inputs!$B$53)</f>
        <v xml:space="preserve"> </v>
      </c>
      <c r="BH27" s="32" t="str">
        <f>IF(AM27=" "," ",AM27*Inputs!$B$53)</f>
        <v xml:space="preserve"> </v>
      </c>
      <c r="BI27" s="32" t="str">
        <f>IF(AN27=" "," ",AN27*Inputs!$B$53)</f>
        <v xml:space="preserve"> </v>
      </c>
      <c r="BJ27" s="32" t="str">
        <f>IF(AO27=" "," ",AO27*Inputs!$B$53)</f>
        <v xml:space="preserve"> </v>
      </c>
      <c r="BK27" s="32" t="str">
        <f>IF(AP27=" "," ",AP27*Inputs!$B$53)</f>
        <v xml:space="preserve"> </v>
      </c>
      <c r="BM27" s="641"/>
      <c r="BN27" s="132"/>
      <c r="BO27" s="642" t="s">
        <v>546</v>
      </c>
      <c r="BP27" s="87" t="s">
        <v>522</v>
      </c>
      <c r="BQ27" s="120">
        <f t="shared" si="0"/>
        <v>0</v>
      </c>
      <c r="BR27" s="120">
        <f t="shared" si="1"/>
        <v>0</v>
      </c>
      <c r="BS27" s="120">
        <f t="shared" si="2"/>
        <v>0</v>
      </c>
      <c r="BT27" s="120">
        <f t="shared" si="3"/>
        <v>0</v>
      </c>
      <c r="BU27" s="120">
        <f t="shared" si="4"/>
        <v>0</v>
      </c>
      <c r="BV27" s="106">
        <v>0</v>
      </c>
      <c r="BW27" s="32">
        <v>1</v>
      </c>
      <c r="BZ27" s="641"/>
      <c r="CA27" s="132"/>
      <c r="CB27" s="642" t="s">
        <v>546</v>
      </c>
      <c r="CC27" s="87" t="s">
        <v>522</v>
      </c>
      <c r="CD27" s="120"/>
      <c r="CE27" s="120"/>
      <c r="CF27" s="120"/>
      <c r="CG27" s="120"/>
      <c r="CH27" s="121"/>
      <c r="CK27" s="641"/>
      <c r="CL27" s="132"/>
      <c r="CM27" s="642" t="s">
        <v>546</v>
      </c>
      <c r="CN27" s="87" t="s">
        <v>522</v>
      </c>
      <c r="CO27" s="120"/>
      <c r="CP27" s="120"/>
      <c r="CQ27" s="120"/>
      <c r="CR27" s="120"/>
      <c r="CS27" s="121"/>
      <c r="CV27" s="641"/>
      <c r="CW27" s="132"/>
      <c r="CX27" s="642" t="s">
        <v>546</v>
      </c>
      <c r="CY27" s="87" t="s">
        <v>522</v>
      </c>
      <c r="CZ27" s="120"/>
      <c r="DA27" s="120"/>
      <c r="DB27" s="120"/>
      <c r="DC27" s="120"/>
      <c r="DD27" s="121"/>
    </row>
    <row r="28" spans="1:108" x14ac:dyDescent="0.25">
      <c r="B28" s="596"/>
      <c r="C28" s="589"/>
      <c r="D28" s="595"/>
      <c r="E28" s="21"/>
      <c r="F28" s="152"/>
      <c r="G28" s="152"/>
      <c r="H28" s="152"/>
      <c r="I28" s="152"/>
      <c r="J28" s="152"/>
      <c r="K28" s="152"/>
      <c r="L28" s="152"/>
      <c r="M28" s="152"/>
      <c r="N28" s="152"/>
      <c r="O28" s="152"/>
      <c r="P28" s="152"/>
      <c r="Q28" s="152"/>
      <c r="R28" s="152"/>
      <c r="S28" s="152"/>
      <c r="T28" s="152"/>
      <c r="U28" s="152"/>
      <c r="W28" s="596"/>
      <c r="X28" s="589"/>
      <c r="Y28" s="32">
        <v>-3.7225741788456397E-2</v>
      </c>
      <c r="Z28" s="24" t="s">
        <v>498</v>
      </c>
      <c r="AA28" s="32" t="str">
        <f>IF(F28=""," ",F28*Inputs!$B$39)</f>
        <v xml:space="preserve"> </v>
      </c>
      <c r="AB28" s="32" t="str">
        <f>IF(G28=""," ",G28*Inputs!$B$39)</f>
        <v xml:space="preserve"> </v>
      </c>
      <c r="AC28" s="32" t="str">
        <f>IF(H28=""," ",H28*Inputs!$B$39)</f>
        <v xml:space="preserve"> </v>
      </c>
      <c r="AD28" s="32" t="str">
        <f>IF(I28=""," ",I28*Inputs!$B$39)</f>
        <v xml:space="preserve"> </v>
      </c>
      <c r="AE28" s="32" t="str">
        <f>IF(J28=""," ",J28*Inputs!$B$39)</f>
        <v xml:space="preserve"> </v>
      </c>
      <c r="AF28" s="32" t="str">
        <f>IF(K28=""," ",K28*Inputs!$B$39)</f>
        <v xml:space="preserve"> </v>
      </c>
      <c r="AG28" s="32" t="str">
        <f>IF(L28=""," ",L28*Inputs!$B$39)</f>
        <v xml:space="preserve"> </v>
      </c>
      <c r="AH28" s="32" t="str">
        <f>IF(M28=""," ",M28*Inputs!$B$39)</f>
        <v xml:space="preserve"> </v>
      </c>
      <c r="AI28" s="32" t="str">
        <f>IF(N28=""," ",N28*Inputs!$B$39)</f>
        <v xml:space="preserve"> </v>
      </c>
      <c r="AJ28" s="32" t="str">
        <f>IF(O28=""," ",O28*Inputs!$B$39)</f>
        <v xml:space="preserve"> </v>
      </c>
      <c r="AK28" s="32" t="str">
        <f>IF(P28=""," ",P28*Inputs!$B$39)</f>
        <v xml:space="preserve"> </v>
      </c>
      <c r="AL28" s="32" t="str">
        <f>IF(Q28=""," ",Q28*Inputs!$B$39)</f>
        <v xml:space="preserve"> </v>
      </c>
      <c r="AM28" s="32" t="str">
        <f>IF(R28=""," ",R28*Inputs!$B$39)</f>
        <v xml:space="preserve"> </v>
      </c>
      <c r="AN28" s="32" t="str">
        <f>IF(S28=""," ",S28*Inputs!$B$39)</f>
        <v xml:space="preserve"> </v>
      </c>
      <c r="AO28" s="32" t="str">
        <f>IF(T28=""," ",T28*Inputs!$B$39)</f>
        <v xml:space="preserve"> </v>
      </c>
      <c r="AP28" s="32" t="str">
        <f>IF(U28=""," ",U28*Inputs!$B$39)</f>
        <v xml:space="preserve"> </v>
      </c>
      <c r="AR28" s="596"/>
      <c r="AS28" s="589"/>
      <c r="AT28" s="32">
        <v>-3.7225741788456397E-2</v>
      </c>
      <c r="AU28" s="24" t="s">
        <v>498</v>
      </c>
      <c r="AV28" s="32" t="str">
        <f>IF(AA28=" "," ",AA28*Inputs!$B$53)</f>
        <v xml:space="preserve"> </v>
      </c>
      <c r="AW28" s="32" t="str">
        <f>IF(AB28=" "," ",AB28*Inputs!$B$53)</f>
        <v xml:space="preserve"> </v>
      </c>
      <c r="AX28" s="32" t="str">
        <f>IF(AC28=" "," ",AC28*Inputs!$B$53)</f>
        <v xml:space="preserve"> </v>
      </c>
      <c r="AY28" s="32" t="str">
        <f>IF(AD28=" "," ",AD28*Inputs!$B$53)</f>
        <v xml:space="preserve"> </v>
      </c>
      <c r="AZ28" s="32" t="str">
        <f>IF(AE28=" "," ",AE28*Inputs!$B$53)</f>
        <v xml:space="preserve"> </v>
      </c>
      <c r="BA28" s="32" t="str">
        <f>IF(AF28=" "," ",AF28*Inputs!$B$53)</f>
        <v xml:space="preserve"> </v>
      </c>
      <c r="BB28" s="32" t="str">
        <f>IF(AG28=" "," ",AG28*Inputs!$B$53)</f>
        <v xml:space="preserve"> </v>
      </c>
      <c r="BC28" s="32" t="str">
        <f>IF(AH28=" "," ",AH28*Inputs!$B$53)</f>
        <v xml:space="preserve"> </v>
      </c>
      <c r="BD28" s="32" t="str">
        <f>IF(AI28=" "," ",AI28*Inputs!$B$53)</f>
        <v xml:space="preserve"> </v>
      </c>
      <c r="BE28" s="32" t="str">
        <f>IF(AJ28=" "," ",AJ28*Inputs!$B$53)</f>
        <v xml:space="preserve"> </v>
      </c>
      <c r="BF28" s="32" t="str">
        <f>IF(AK28=" "," ",AK28*Inputs!$B$53)</f>
        <v xml:space="preserve"> </v>
      </c>
      <c r="BG28" s="32" t="str">
        <f>IF(AL28=" "," ",AL28*Inputs!$B$53)</f>
        <v xml:space="preserve"> </v>
      </c>
      <c r="BH28" s="32" t="str">
        <f>IF(AM28=" "," ",AM28*Inputs!$B$53)</f>
        <v xml:space="preserve"> </v>
      </c>
      <c r="BI28" s="32" t="str">
        <f>IF(AN28=" "," ",AN28*Inputs!$B$53)</f>
        <v xml:space="preserve"> </v>
      </c>
      <c r="BJ28" s="32" t="str">
        <f>IF(AO28=" "," ",AO28*Inputs!$B$53)</f>
        <v xml:space="preserve"> </v>
      </c>
      <c r="BK28" s="32" t="str">
        <f>IF(AP28=" "," ",AP28*Inputs!$B$53)</f>
        <v xml:space="preserve"> </v>
      </c>
      <c r="BM28" s="641"/>
      <c r="BN28" s="132"/>
      <c r="BO28" s="589"/>
      <c r="BP28" s="90" t="s">
        <v>523</v>
      </c>
      <c r="BQ28" s="120">
        <f t="shared" si="0"/>
        <v>1</v>
      </c>
      <c r="BR28" s="120">
        <f t="shared" si="1"/>
        <v>1.128628539251102</v>
      </c>
      <c r="BS28" s="120">
        <f t="shared" si="2"/>
        <v>1.165856474594662</v>
      </c>
      <c r="BT28" s="120">
        <f t="shared" si="3"/>
        <v>1.2030161956735459</v>
      </c>
      <c r="BU28" s="120">
        <f t="shared" si="4"/>
        <v>1.239810311152072</v>
      </c>
      <c r="BV28" s="107"/>
      <c r="BW28" s="148" t="e">
        <f>IF($BW$3=0,BW27,BW29)</f>
        <v>#VALUE!</v>
      </c>
      <c r="BZ28" s="641"/>
      <c r="CA28" s="132"/>
      <c r="CB28" s="589"/>
      <c r="CC28" s="90" t="s">
        <v>523</v>
      </c>
      <c r="CD28" s="122">
        <v>1</v>
      </c>
      <c r="CE28" s="122">
        <v>1.128628539251102</v>
      </c>
      <c r="CF28" s="122">
        <v>1.165856474594662</v>
      </c>
      <c r="CG28" s="122">
        <v>1.2030161956735459</v>
      </c>
      <c r="CH28" s="123">
        <v>1.239810311152072</v>
      </c>
      <c r="CK28" s="641"/>
      <c r="CL28" s="132"/>
      <c r="CM28" s="589"/>
      <c r="CN28" s="90" t="s">
        <v>523</v>
      </c>
      <c r="CO28" s="122">
        <v>1</v>
      </c>
      <c r="CP28" s="122">
        <v>1.328072757364023</v>
      </c>
      <c r="CQ28" s="122">
        <v>1.371879381973655</v>
      </c>
      <c r="CR28" s="122">
        <v>1.415605737917887</v>
      </c>
      <c r="CS28" s="123">
        <v>1.4589018807132479</v>
      </c>
      <c r="CV28" s="641"/>
      <c r="CW28" s="132"/>
      <c r="CX28" s="589"/>
      <c r="CY28" s="90" t="s">
        <v>523</v>
      </c>
      <c r="CZ28" s="122">
        <v>1</v>
      </c>
      <c r="DA28" s="122">
        <v>1.224936927441705</v>
      </c>
      <c r="DB28" s="122">
        <v>1.265341605463578</v>
      </c>
      <c r="DC28" s="122">
        <v>1.3056722483455689</v>
      </c>
      <c r="DD28" s="123">
        <v>1.3456060876866389</v>
      </c>
    </row>
    <row r="29" spans="1:108" x14ac:dyDescent="0.25">
      <c r="B29" s="589"/>
      <c r="C29" s="589"/>
      <c r="D29" s="589"/>
      <c r="E29" s="21"/>
      <c r="F29" s="152"/>
      <c r="G29" s="152"/>
      <c r="H29" s="152"/>
      <c r="I29" s="152"/>
      <c r="J29" s="152"/>
      <c r="K29" s="152"/>
      <c r="L29" s="152"/>
      <c r="M29" s="152"/>
      <c r="N29" s="152"/>
      <c r="O29" s="152"/>
      <c r="P29" s="152"/>
      <c r="Q29" s="152"/>
      <c r="R29" s="152"/>
      <c r="S29" s="152"/>
      <c r="T29" s="152"/>
      <c r="U29" s="152"/>
      <c r="W29" s="589"/>
      <c r="X29" s="589"/>
      <c r="Y29" s="33"/>
      <c r="Z29" s="27" t="s">
        <v>499</v>
      </c>
      <c r="AA29" s="32" t="str">
        <f>IF(F29=""," ",F29*Inputs!$B$39)</f>
        <v xml:space="preserve"> </v>
      </c>
      <c r="AB29" s="32" t="str">
        <f>IF(G29=""," ",G29*Inputs!$B$39)</f>
        <v xml:space="preserve"> </v>
      </c>
      <c r="AC29" s="32" t="str">
        <f>IF(H29=""," ",H29*Inputs!$B$39)</f>
        <v xml:space="preserve"> </v>
      </c>
      <c r="AD29" s="32" t="str">
        <f>IF(I29=""," ",I29*Inputs!$B$39)</f>
        <v xml:space="preserve"> </v>
      </c>
      <c r="AE29" s="32" t="str">
        <f>IF(J29=""," ",J29*Inputs!$B$39)</f>
        <v xml:space="preserve"> </v>
      </c>
      <c r="AF29" s="32" t="str">
        <f>IF(K29=""," ",K29*Inputs!$B$39)</f>
        <v xml:space="preserve"> </v>
      </c>
      <c r="AG29" s="32" t="str">
        <f>IF(L29=""," ",L29*Inputs!$B$39)</f>
        <v xml:space="preserve"> </v>
      </c>
      <c r="AH29" s="32" t="str">
        <f>IF(M29=""," ",M29*Inputs!$B$39)</f>
        <v xml:space="preserve"> </v>
      </c>
      <c r="AI29" s="32" t="str">
        <f>IF(N29=""," ",N29*Inputs!$B$39)</f>
        <v xml:space="preserve"> </v>
      </c>
      <c r="AJ29" s="32" t="str">
        <f>IF(O29=""," ",O29*Inputs!$B$39)</f>
        <v xml:space="preserve"> </v>
      </c>
      <c r="AK29" s="32" t="str">
        <f>IF(P29=""," ",P29*Inputs!$B$39)</f>
        <v xml:space="preserve"> </v>
      </c>
      <c r="AL29" s="32" t="str">
        <f>IF(Q29=""," ",Q29*Inputs!$B$39)</f>
        <v xml:space="preserve"> </v>
      </c>
      <c r="AM29" s="32" t="str">
        <f>IF(R29=""," ",R29*Inputs!$B$39)</f>
        <v xml:space="preserve"> </v>
      </c>
      <c r="AN29" s="32" t="str">
        <f>IF(S29=""," ",S29*Inputs!$B$39)</f>
        <v xml:space="preserve"> </v>
      </c>
      <c r="AO29" s="32" t="str">
        <f>IF(T29=""," ",T29*Inputs!$B$39)</f>
        <v xml:space="preserve"> </v>
      </c>
      <c r="AP29" s="32" t="str">
        <f>IF(U29=""," ",U29*Inputs!$B$39)</f>
        <v xml:space="preserve"> </v>
      </c>
      <c r="AR29" s="589"/>
      <c r="AS29" s="589"/>
      <c r="AT29" s="33"/>
      <c r="AU29" s="27" t="s">
        <v>499</v>
      </c>
      <c r="AV29" s="32" t="str">
        <f>IF(AA29=" "," ",AA29*Inputs!$B$53)</f>
        <v xml:space="preserve"> </v>
      </c>
      <c r="AW29" s="32" t="str">
        <f>IF(AB29=" "," ",AB29*Inputs!$B$53)</f>
        <v xml:space="preserve"> </v>
      </c>
      <c r="AX29" s="32" t="str">
        <f>IF(AC29=" "," ",AC29*Inputs!$B$53)</f>
        <v xml:space="preserve"> </v>
      </c>
      <c r="AY29" s="32" t="str">
        <f>IF(AD29=" "," ",AD29*Inputs!$B$53)</f>
        <v xml:space="preserve"> </v>
      </c>
      <c r="AZ29" s="32" t="str">
        <f>IF(AE29=" "," ",AE29*Inputs!$B$53)</f>
        <v xml:space="preserve"> </v>
      </c>
      <c r="BA29" s="32" t="str">
        <f>IF(AF29=" "," ",AF29*Inputs!$B$53)</f>
        <v xml:space="preserve"> </v>
      </c>
      <c r="BB29" s="32" t="str">
        <f>IF(AG29=" "," ",AG29*Inputs!$B$53)</f>
        <v xml:space="preserve"> </v>
      </c>
      <c r="BC29" s="32" t="str">
        <f>IF(AH29=" "," ",AH29*Inputs!$B$53)</f>
        <v xml:space="preserve"> </v>
      </c>
      <c r="BD29" s="32" t="str">
        <f>IF(AI29=" "," ",AI29*Inputs!$B$53)</f>
        <v xml:space="preserve"> </v>
      </c>
      <c r="BE29" s="32" t="str">
        <f>IF(AJ29=" "," ",AJ29*Inputs!$B$53)</f>
        <v xml:space="preserve"> </v>
      </c>
      <c r="BF29" s="32" t="str">
        <f>IF(AK29=" "," ",AK29*Inputs!$B$53)</f>
        <v xml:space="preserve"> </v>
      </c>
      <c r="BG29" s="32" t="str">
        <f>IF(AL29=" "," ",AL29*Inputs!$B$53)</f>
        <v xml:space="preserve"> </v>
      </c>
      <c r="BH29" s="32" t="str">
        <f>IF(AM29=" "," ",AM29*Inputs!$B$53)</f>
        <v xml:space="preserve"> </v>
      </c>
      <c r="BI29" s="32" t="str">
        <f>IF(AN29=" "," ",AN29*Inputs!$B$53)</f>
        <v xml:space="preserve"> </v>
      </c>
      <c r="BJ29" s="32" t="str">
        <f>IF(AO29=" "," ",AO29*Inputs!$B$53)</f>
        <v xml:space="preserve"> </v>
      </c>
      <c r="BK29" s="32" t="str">
        <f>IF(AP29=" "," ",AP29*Inputs!$B$53)</f>
        <v xml:space="preserve"> </v>
      </c>
      <c r="BM29" s="641"/>
      <c r="BN29" s="132"/>
      <c r="BO29" s="591"/>
      <c r="BP29" s="112" t="s">
        <v>524</v>
      </c>
      <c r="BQ29" s="120">
        <f t="shared" si="0"/>
        <v>1</v>
      </c>
      <c r="BR29" s="120">
        <f t="shared" si="1"/>
        <v>1.113100855921374</v>
      </c>
      <c r="BS29" s="120">
        <f t="shared" si="2"/>
        <v>1.166105658584297</v>
      </c>
      <c r="BT29" s="120">
        <f t="shared" si="3"/>
        <v>1.203273321985203</v>
      </c>
      <c r="BU29" s="120">
        <f t="shared" si="4"/>
        <v>1.2400753016431441</v>
      </c>
      <c r="BV29" s="108">
        <v>55</v>
      </c>
      <c r="BW29" s="32" t="e">
        <f>IF(VALUE($BW$5)&lt;=0.8,"1",IF(AND(VALUE($BW5)&gt;0.8,VALUE($BW$5)&lt;=0.96),FORECAST(VALUE($BW$5),BQ29:BR29,$BQ$5:$BR$5),IF(AND(VALUE($BW$5)&gt;0.96,VALUE($BW$5)&lt;=1.12),FORECAST(VALUE($BW$5),BR29:BS29,$BR$5:$BS$5),IF(AND(VALUE($BW$5)&gt;1.12,VALUE($BW$5)&lt;=1.3),FORECAST(VALUE($BW$5),BS29:BT29,$BS$5:$BT$5),FORECAST(VALUE($BW$5),BT29:BU29,$BT$5:$BU$5)))))</f>
        <v>#VALUE!</v>
      </c>
      <c r="BZ29" s="641"/>
      <c r="CA29" s="132"/>
      <c r="CB29" s="591"/>
      <c r="CC29" s="112" t="s">
        <v>524</v>
      </c>
      <c r="CD29" s="122">
        <v>1</v>
      </c>
      <c r="CE29" s="122">
        <v>1.113100855921374</v>
      </c>
      <c r="CF29" s="122">
        <v>1.166105658584297</v>
      </c>
      <c r="CG29" s="122">
        <v>1.203273321985203</v>
      </c>
      <c r="CH29" s="123">
        <v>1.2400753016431441</v>
      </c>
      <c r="CK29" s="641"/>
      <c r="CL29" s="132"/>
      <c r="CM29" s="591"/>
      <c r="CN29" s="112" t="s">
        <v>524</v>
      </c>
      <c r="CO29" s="122">
        <v>1</v>
      </c>
      <c r="CP29" s="122">
        <v>1.125932579344199</v>
      </c>
      <c r="CQ29" s="122">
        <v>1.1795484164558281</v>
      </c>
      <c r="CR29" s="122">
        <v>1.217144545232981</v>
      </c>
      <c r="CS29" s="123">
        <v>1.254370774698899</v>
      </c>
      <c r="CV29" s="641"/>
      <c r="CW29" s="132"/>
      <c r="CX29" s="591"/>
      <c r="CY29" s="112" t="s">
        <v>524</v>
      </c>
      <c r="CZ29" s="122">
        <v>1</v>
      </c>
      <c r="DA29" s="122">
        <v>1.075719655240239</v>
      </c>
      <c r="DB29" s="122">
        <v>1.1269444007278699</v>
      </c>
      <c r="DC29" s="122">
        <v>1.162863864671335</v>
      </c>
      <c r="DD29" s="123">
        <v>1.1984299256075019</v>
      </c>
    </row>
    <row r="30" spans="1:108" x14ac:dyDescent="0.25">
      <c r="B30" s="589"/>
      <c r="C30" s="589"/>
      <c r="D30" s="589"/>
      <c r="E30" s="21"/>
      <c r="F30" s="152"/>
      <c r="G30" s="152"/>
      <c r="H30" s="152"/>
      <c r="I30" s="152"/>
      <c r="J30" s="152"/>
      <c r="K30" s="152"/>
      <c r="L30" s="152"/>
      <c r="M30" s="152"/>
      <c r="N30" s="152"/>
      <c r="O30" s="152"/>
      <c r="P30" s="152"/>
      <c r="Q30" s="152"/>
      <c r="R30" s="152"/>
      <c r="S30" s="152"/>
      <c r="T30" s="152"/>
      <c r="U30" s="152"/>
      <c r="W30" s="589"/>
      <c r="X30" s="589"/>
      <c r="Y30" s="33"/>
      <c r="Z30" s="27" t="s">
        <v>500</v>
      </c>
      <c r="AA30" s="32" t="str">
        <f>IF(F30=""," ",F30*Inputs!$B$39)</f>
        <v xml:space="preserve"> </v>
      </c>
      <c r="AB30" s="32" t="str">
        <f>IF(G30=""," ",G30*Inputs!$B$39)</f>
        <v xml:space="preserve"> </v>
      </c>
      <c r="AC30" s="32" t="str">
        <f>IF(H30=""," ",H30*Inputs!$B$39)</f>
        <v xml:space="preserve"> </v>
      </c>
      <c r="AD30" s="32" t="str">
        <f>IF(I30=""," ",I30*Inputs!$B$39)</f>
        <v xml:space="preserve"> </v>
      </c>
      <c r="AE30" s="32" t="str">
        <f>IF(J30=""," ",J30*Inputs!$B$39)</f>
        <v xml:space="preserve"> </v>
      </c>
      <c r="AF30" s="32" t="str">
        <f>IF(K30=""," ",K30*Inputs!$B$39)</f>
        <v xml:space="preserve"> </v>
      </c>
      <c r="AG30" s="32" t="str">
        <f>IF(L30=""," ",L30*Inputs!$B$39)</f>
        <v xml:space="preserve"> </v>
      </c>
      <c r="AH30" s="32" t="str">
        <f>IF(M30=""," ",M30*Inputs!$B$39)</f>
        <v xml:space="preserve"> </v>
      </c>
      <c r="AI30" s="32" t="str">
        <f>IF(N30=""," ",N30*Inputs!$B$39)</f>
        <v xml:space="preserve"> </v>
      </c>
      <c r="AJ30" s="32" t="str">
        <f>IF(O30=""," ",O30*Inputs!$B$39)</f>
        <v xml:space="preserve"> </v>
      </c>
      <c r="AK30" s="32" t="str">
        <f>IF(P30=""," ",P30*Inputs!$B$39)</f>
        <v xml:space="preserve"> </v>
      </c>
      <c r="AL30" s="32" t="str">
        <f>IF(Q30=""," ",Q30*Inputs!$B$39)</f>
        <v xml:space="preserve"> </v>
      </c>
      <c r="AM30" s="32" t="str">
        <f>IF(R30=""," ",R30*Inputs!$B$39)</f>
        <v xml:space="preserve"> </v>
      </c>
      <c r="AN30" s="32" t="str">
        <f>IF(S30=""," ",S30*Inputs!$B$39)</f>
        <v xml:space="preserve"> </v>
      </c>
      <c r="AO30" s="32" t="str">
        <f>IF(T30=""," ",T30*Inputs!$B$39)</f>
        <v xml:space="preserve"> </v>
      </c>
      <c r="AP30" s="32" t="str">
        <f>IF(U30=""," ",U30*Inputs!$B$39)</f>
        <v xml:space="preserve"> </v>
      </c>
      <c r="AR30" s="589"/>
      <c r="AS30" s="589"/>
      <c r="AT30" s="33"/>
      <c r="AU30" s="27" t="s">
        <v>500</v>
      </c>
      <c r="AV30" s="32" t="str">
        <f>IF(AA30=" "," ",AA30*Inputs!$B$53)</f>
        <v xml:space="preserve"> </v>
      </c>
      <c r="AW30" s="32" t="str">
        <f>IF(AB30=" "," ",AB30*Inputs!$B$53)</f>
        <v xml:space="preserve"> </v>
      </c>
      <c r="AX30" s="32" t="str">
        <f>IF(AC30=" "," ",AC30*Inputs!$B$53)</f>
        <v xml:space="preserve"> </v>
      </c>
      <c r="AY30" s="32" t="str">
        <f>IF(AD30=" "," ",AD30*Inputs!$B$53)</f>
        <v xml:space="preserve"> </v>
      </c>
      <c r="AZ30" s="32" t="str">
        <f>IF(AE30=" "," ",AE30*Inputs!$B$53)</f>
        <v xml:space="preserve"> </v>
      </c>
      <c r="BA30" s="32" t="str">
        <f>IF(AF30=" "," ",AF30*Inputs!$B$53)</f>
        <v xml:space="preserve"> </v>
      </c>
      <c r="BB30" s="32" t="str">
        <f>IF(AG30=" "," ",AG30*Inputs!$B$53)</f>
        <v xml:space="preserve"> </v>
      </c>
      <c r="BC30" s="32" t="str">
        <f>IF(AH30=" "," ",AH30*Inputs!$B$53)</f>
        <v xml:space="preserve"> </v>
      </c>
      <c r="BD30" s="32" t="str">
        <f>IF(AI30=" "," ",AI30*Inputs!$B$53)</f>
        <v xml:space="preserve"> </v>
      </c>
      <c r="BE30" s="32" t="str">
        <f>IF(AJ30=" "," ",AJ30*Inputs!$B$53)</f>
        <v xml:space="preserve"> </v>
      </c>
      <c r="BF30" s="32" t="str">
        <f>IF(AK30=" "," ",AK30*Inputs!$B$53)</f>
        <v xml:space="preserve"> </v>
      </c>
      <c r="BG30" s="32" t="str">
        <f>IF(AL30=" "," ",AL30*Inputs!$B$53)</f>
        <v xml:space="preserve"> </v>
      </c>
      <c r="BH30" s="32" t="str">
        <f>IF(AM30=" "," ",AM30*Inputs!$B$53)</f>
        <v xml:space="preserve"> </v>
      </c>
      <c r="BI30" s="32" t="str">
        <f>IF(AN30=" "," ",AN30*Inputs!$B$53)</f>
        <v xml:space="preserve"> </v>
      </c>
      <c r="BJ30" s="32" t="str">
        <f>IF(AO30=" "," ",AO30*Inputs!$B$53)</f>
        <v xml:space="preserve"> </v>
      </c>
      <c r="BK30" s="32" t="str">
        <f>IF(AP30=" "," ",AP30*Inputs!$B$53)</f>
        <v xml:space="preserve"> </v>
      </c>
      <c r="BM30" s="641"/>
      <c r="BN30" s="621"/>
      <c r="BO30" s="609" t="s">
        <v>521</v>
      </c>
      <c r="BP30" s="87" t="s">
        <v>522</v>
      </c>
      <c r="BQ30" s="120">
        <f t="shared" si="0"/>
        <v>1</v>
      </c>
      <c r="BR30" s="120">
        <f t="shared" si="1"/>
        <v>1.1391296477793049</v>
      </c>
      <c r="BS30" s="120">
        <f t="shared" si="2"/>
        <v>1.1734054524357891</v>
      </c>
      <c r="BT30" s="120">
        <f t="shared" si="3"/>
        <v>1.207618452137091</v>
      </c>
      <c r="BU30" s="120">
        <f t="shared" si="4"/>
        <v>1.2414948383242781</v>
      </c>
      <c r="BV30" s="89">
        <v>0</v>
      </c>
      <c r="BW30" s="32" t="e">
        <f>IF(VALUE($BW$5)&lt;=0.8,"1",IF(AND(VALUE($BW5)&gt;0.8,VALUE($BW$5)&lt;=0.96),FORECAST(VALUE($BW$5),BQ30:BR30,$BQ$5:$BR$5),IF(AND(VALUE($BW$5)&gt;0.96,VALUE($BW$5)&lt;=1.12),FORECAST(VALUE($BW$5),BR30:BS30,$BR$5:$BS$5),IF(AND(VALUE($BW$5)&gt;1.12,VALUE($BW$5)&lt;=1.3),FORECAST(VALUE($BW$5),BS30:BT30,$BS$5:$BT$5),FORECAST(VALUE($BW$5),BT30:BU30,$BT$5:$BU$5)))))</f>
        <v>#VALUE!</v>
      </c>
      <c r="BZ30" s="641"/>
      <c r="CA30" s="621"/>
      <c r="CB30" s="609" t="s">
        <v>521</v>
      </c>
      <c r="CC30" s="87" t="s">
        <v>522</v>
      </c>
      <c r="CD30" s="120">
        <v>1</v>
      </c>
      <c r="CE30" s="120">
        <v>1.1391296477793049</v>
      </c>
      <c r="CF30" s="120">
        <v>1.1734054524357891</v>
      </c>
      <c r="CG30" s="120">
        <v>1.207618452137091</v>
      </c>
      <c r="CH30" s="121">
        <v>1.2414948383242781</v>
      </c>
      <c r="CK30" s="641"/>
      <c r="CL30" s="621"/>
      <c r="CM30" s="609" t="s">
        <v>521</v>
      </c>
      <c r="CN30" s="87" t="s">
        <v>522</v>
      </c>
      <c r="CO30" s="120">
        <v>1</v>
      </c>
      <c r="CP30" s="120">
        <v>1.1391296477793049</v>
      </c>
      <c r="CQ30" s="120">
        <v>1.1734054524357891</v>
      </c>
      <c r="CR30" s="120">
        <v>1.207618452137091</v>
      </c>
      <c r="CS30" s="121">
        <v>1.2414948383242781</v>
      </c>
      <c r="CV30" s="641"/>
      <c r="CW30" s="621"/>
      <c r="CX30" s="609" t="s">
        <v>521</v>
      </c>
      <c r="CY30" s="87" t="s">
        <v>522</v>
      </c>
      <c r="CZ30" s="120">
        <v>1</v>
      </c>
      <c r="DA30" s="120">
        <v>1.1391296477793049</v>
      </c>
      <c r="DB30" s="120">
        <v>1.1734054524357891</v>
      </c>
      <c r="DC30" s="120">
        <v>1.207618452137091</v>
      </c>
      <c r="DD30" s="121">
        <v>1.2414948383242781</v>
      </c>
    </row>
    <row r="31" spans="1:108" x14ac:dyDescent="0.25">
      <c r="B31" s="589"/>
      <c r="C31" s="589"/>
      <c r="D31" s="591"/>
      <c r="E31" s="149"/>
      <c r="F31" s="153"/>
      <c r="G31" s="153"/>
      <c r="H31" s="153"/>
      <c r="I31" s="153"/>
      <c r="J31" s="153"/>
      <c r="K31" s="153"/>
      <c r="L31" s="153"/>
      <c r="M31" s="153"/>
      <c r="N31" s="153"/>
      <c r="O31" s="153"/>
      <c r="P31" s="153"/>
      <c r="Q31" s="153"/>
      <c r="R31" s="153"/>
      <c r="S31" s="153"/>
      <c r="T31" s="153"/>
      <c r="U31" s="153"/>
      <c r="W31" s="589"/>
      <c r="X31" s="589"/>
      <c r="Y31" s="6"/>
      <c r="Z31" s="29" t="s">
        <v>501</v>
      </c>
      <c r="AA31" s="32" t="str">
        <f>IF(F31=""," ",F31*Inputs!$B$39)</f>
        <v xml:space="preserve"> </v>
      </c>
      <c r="AB31" s="32" t="str">
        <f>IF(G31=""," ",G31*Inputs!$B$39)</f>
        <v xml:space="preserve"> </v>
      </c>
      <c r="AC31" s="32" t="str">
        <f>IF(H31=""," ",H31*Inputs!$B$39)</f>
        <v xml:space="preserve"> </v>
      </c>
      <c r="AD31" s="32" t="str">
        <f>IF(I31=""," ",I31*Inputs!$B$39)</f>
        <v xml:space="preserve"> </v>
      </c>
      <c r="AE31" s="32" t="str">
        <f>IF(J31=""," ",J31*Inputs!$B$39)</f>
        <v xml:space="preserve"> </v>
      </c>
      <c r="AF31" s="32" t="str">
        <f>IF(K31=""," ",K31*Inputs!$B$39)</f>
        <v xml:space="preserve"> </v>
      </c>
      <c r="AG31" s="32" t="str">
        <f>IF(L31=""," ",L31*Inputs!$B$39)</f>
        <v xml:space="preserve"> </v>
      </c>
      <c r="AH31" s="32" t="str">
        <f>IF(M31=""," ",M31*Inputs!$B$39)</f>
        <v xml:space="preserve"> </v>
      </c>
      <c r="AI31" s="32" t="str">
        <f>IF(N31=""," ",N31*Inputs!$B$39)</f>
        <v xml:space="preserve"> </v>
      </c>
      <c r="AJ31" s="32" t="str">
        <f>IF(O31=""," ",O31*Inputs!$B$39)</f>
        <v xml:space="preserve"> </v>
      </c>
      <c r="AK31" s="32" t="str">
        <f>IF(P31=""," ",P31*Inputs!$B$39)</f>
        <v xml:space="preserve"> </v>
      </c>
      <c r="AL31" s="32" t="str">
        <f>IF(Q31=""," ",Q31*Inputs!$B$39)</f>
        <v xml:space="preserve"> </v>
      </c>
      <c r="AM31" s="32" t="str">
        <f>IF(R31=""," ",R31*Inputs!$B$39)</f>
        <v xml:space="preserve"> </v>
      </c>
      <c r="AN31" s="32" t="str">
        <f>IF(S31=""," ",S31*Inputs!$B$39)</f>
        <v xml:space="preserve"> </v>
      </c>
      <c r="AO31" s="32" t="str">
        <f>IF(T31=""," ",T31*Inputs!$B$39)</f>
        <v xml:space="preserve"> </v>
      </c>
      <c r="AP31" s="32" t="str">
        <f>IF(U31=""," ",U31*Inputs!$B$39)</f>
        <v xml:space="preserve"> </v>
      </c>
      <c r="AR31" s="589"/>
      <c r="AS31" s="589"/>
      <c r="AT31" s="6"/>
      <c r="AU31" s="29" t="s">
        <v>501</v>
      </c>
      <c r="AV31" s="32" t="str">
        <f>IF(AA31=" "," ",AA31*Inputs!$B$53)</f>
        <v xml:space="preserve"> </v>
      </c>
      <c r="AW31" s="32" t="str">
        <f>IF(AB31=" "," ",AB31*Inputs!$B$53)</f>
        <v xml:space="preserve"> </v>
      </c>
      <c r="AX31" s="32" t="str">
        <f>IF(AC31=" "," ",AC31*Inputs!$B$53)</f>
        <v xml:space="preserve"> </v>
      </c>
      <c r="AY31" s="32" t="str">
        <f>IF(AD31=" "," ",AD31*Inputs!$B$53)</f>
        <v xml:space="preserve"> </v>
      </c>
      <c r="AZ31" s="32" t="str">
        <f>IF(AE31=" "," ",AE31*Inputs!$B$53)</f>
        <v xml:space="preserve"> </v>
      </c>
      <c r="BA31" s="32" t="str">
        <f>IF(AF31=" "," ",AF31*Inputs!$B$53)</f>
        <v xml:space="preserve"> </v>
      </c>
      <c r="BB31" s="32" t="str">
        <f>IF(AG31=" "," ",AG31*Inputs!$B$53)</f>
        <v xml:space="preserve"> </v>
      </c>
      <c r="BC31" s="32" t="str">
        <f>IF(AH31=" "," ",AH31*Inputs!$B$53)</f>
        <v xml:space="preserve"> </v>
      </c>
      <c r="BD31" s="32" t="str">
        <f>IF(AI31=" "," ",AI31*Inputs!$B$53)</f>
        <v xml:space="preserve"> </v>
      </c>
      <c r="BE31" s="32" t="str">
        <f>IF(AJ31=" "," ",AJ31*Inputs!$B$53)</f>
        <v xml:space="preserve"> </v>
      </c>
      <c r="BF31" s="32" t="str">
        <f>IF(AK31=" "," ",AK31*Inputs!$B$53)</f>
        <v xml:space="preserve"> </v>
      </c>
      <c r="BG31" s="32" t="str">
        <f>IF(AL31=" "," ",AL31*Inputs!$B$53)</f>
        <v xml:space="preserve"> </v>
      </c>
      <c r="BH31" s="32" t="str">
        <f>IF(AM31=" "," ",AM31*Inputs!$B$53)</f>
        <v xml:space="preserve"> </v>
      </c>
      <c r="BI31" s="32" t="str">
        <f>IF(AN31=" "," ",AN31*Inputs!$B$53)</f>
        <v xml:space="preserve"> </v>
      </c>
      <c r="BJ31" s="32" t="str">
        <f>IF(AO31=" "," ",AO31*Inputs!$B$53)</f>
        <v xml:space="preserve"> </v>
      </c>
      <c r="BK31" s="32" t="str">
        <f>IF(AP31=" "," ",AP31*Inputs!$B$53)</f>
        <v xml:space="preserve"> </v>
      </c>
      <c r="BM31" s="641"/>
      <c r="BN31" s="589"/>
      <c r="BO31" s="589"/>
      <c r="BP31" s="90" t="s">
        <v>523</v>
      </c>
      <c r="BQ31" s="120">
        <f t="shared" si="0"/>
        <v>1</v>
      </c>
      <c r="BR31" s="120">
        <f t="shared" si="1"/>
        <v>1.190351182832095</v>
      </c>
      <c r="BS31" s="120">
        <f t="shared" si="2"/>
        <v>1.2263165354034391</v>
      </c>
      <c r="BT31" s="120">
        <f t="shared" si="3"/>
        <v>1.2622159871920291</v>
      </c>
      <c r="BU31" s="120">
        <f t="shared" si="4"/>
        <v>1.2977622328681231</v>
      </c>
      <c r="BV31" s="92"/>
      <c r="BW31" s="148" t="e">
        <f>IF($BW$3=0,BW30,BW32)</f>
        <v>#VALUE!</v>
      </c>
      <c r="BZ31" s="641"/>
      <c r="CA31" s="589"/>
      <c r="CB31" s="589"/>
      <c r="CC31" s="90" t="s">
        <v>523</v>
      </c>
      <c r="CD31" s="122">
        <v>1</v>
      </c>
      <c r="CE31" s="122">
        <v>1.190351182832095</v>
      </c>
      <c r="CF31" s="122">
        <v>1.2263165354034391</v>
      </c>
      <c r="CG31" s="122">
        <v>1.2622159871920291</v>
      </c>
      <c r="CH31" s="123">
        <v>1.2977622328681231</v>
      </c>
      <c r="CK31" s="641"/>
      <c r="CL31" s="589"/>
      <c r="CM31" s="589"/>
      <c r="CN31" s="90" t="s">
        <v>523</v>
      </c>
      <c r="CO31" s="122">
        <v>1</v>
      </c>
      <c r="CP31" s="122">
        <v>1.1794831297003341</v>
      </c>
      <c r="CQ31" s="122">
        <v>1.2150899983549339</v>
      </c>
      <c r="CR31" s="122">
        <v>1.250631623091486</v>
      </c>
      <c r="CS31" s="123">
        <v>1.285823562290249</v>
      </c>
      <c r="CV31" s="641"/>
      <c r="CW31" s="589"/>
      <c r="CX31" s="589"/>
      <c r="CY31" s="90" t="s">
        <v>523</v>
      </c>
      <c r="CZ31" s="122">
        <v>1</v>
      </c>
      <c r="DA31" s="122">
        <v>1.200335557153932</v>
      </c>
      <c r="DB31" s="122">
        <v>1.2366302454001881</v>
      </c>
      <c r="DC31" s="122">
        <v>1.2728584294084979</v>
      </c>
      <c r="DD31" s="123">
        <v>1.308730172986694</v>
      </c>
    </row>
    <row r="32" spans="1:108" x14ac:dyDescent="0.25">
      <c r="B32" s="630"/>
      <c r="C32" s="589"/>
      <c r="D32" s="595"/>
      <c r="E32" s="21"/>
      <c r="F32" s="152"/>
      <c r="G32" s="152"/>
      <c r="H32" s="152"/>
      <c r="I32" s="152"/>
      <c r="J32" s="152"/>
      <c r="K32" s="152"/>
      <c r="L32" s="152"/>
      <c r="M32" s="152"/>
      <c r="N32" s="152"/>
      <c r="O32" s="152"/>
      <c r="P32" s="152"/>
      <c r="Q32" s="152"/>
      <c r="R32" s="152"/>
      <c r="S32" s="152"/>
      <c r="T32" s="152"/>
      <c r="U32" s="152"/>
      <c r="W32" s="630"/>
      <c r="X32" s="589"/>
      <c r="Y32" s="32">
        <v>-2.7619329980985929E-2</v>
      </c>
      <c r="Z32" s="24" t="s">
        <v>498</v>
      </c>
      <c r="AA32" s="32" t="str">
        <f>IF(F32=""," ",F32*Inputs!$B$39)</f>
        <v xml:space="preserve"> </v>
      </c>
      <c r="AB32" s="32" t="str">
        <f>IF(G32=""," ",G32*Inputs!$B$39)</f>
        <v xml:space="preserve"> </v>
      </c>
      <c r="AC32" s="32" t="str">
        <f>IF(H32=""," ",H32*Inputs!$B$39)</f>
        <v xml:space="preserve"> </v>
      </c>
      <c r="AD32" s="32" t="str">
        <f>IF(I32=""," ",I32*Inputs!$B$39)</f>
        <v xml:space="preserve"> </v>
      </c>
      <c r="AE32" s="32" t="str">
        <f>IF(J32=""," ",J32*Inputs!$B$39)</f>
        <v xml:space="preserve"> </v>
      </c>
      <c r="AF32" s="32" t="str">
        <f>IF(K32=""," ",K32*Inputs!$B$39)</f>
        <v xml:space="preserve"> </v>
      </c>
      <c r="AG32" s="32" t="str">
        <f>IF(L32=""," ",L32*Inputs!$B$39)</f>
        <v xml:space="preserve"> </v>
      </c>
      <c r="AH32" s="32" t="str">
        <f>IF(M32=""," ",M32*Inputs!$B$39)</f>
        <v xml:space="preserve"> </v>
      </c>
      <c r="AI32" s="32" t="str">
        <f>IF(N32=""," ",N32*Inputs!$B$39)</f>
        <v xml:space="preserve"> </v>
      </c>
      <c r="AJ32" s="32" t="str">
        <f>IF(O32=""," ",O32*Inputs!$B$39)</f>
        <v xml:space="preserve"> </v>
      </c>
      <c r="AK32" s="32" t="str">
        <f>IF(P32=""," ",P32*Inputs!$B$39)</f>
        <v xml:space="preserve"> </v>
      </c>
      <c r="AL32" s="32" t="str">
        <f>IF(Q32=""," ",Q32*Inputs!$B$39)</f>
        <v xml:space="preserve"> </v>
      </c>
      <c r="AM32" s="32" t="str">
        <f>IF(R32=""," ",R32*Inputs!$B$39)</f>
        <v xml:space="preserve"> </v>
      </c>
      <c r="AN32" s="32" t="str">
        <f>IF(S32=""," ",S32*Inputs!$B$39)</f>
        <v xml:space="preserve"> </v>
      </c>
      <c r="AO32" s="32" t="str">
        <f>IF(T32=""," ",T32*Inputs!$B$39)</f>
        <v xml:space="preserve"> </v>
      </c>
      <c r="AP32" s="32" t="str">
        <f>IF(U32=""," ",U32*Inputs!$B$39)</f>
        <v xml:space="preserve"> </v>
      </c>
      <c r="AR32" s="630"/>
      <c r="AS32" s="589"/>
      <c r="AT32" s="32">
        <v>-2.7619329980985929E-2</v>
      </c>
      <c r="AU32" s="24" t="s">
        <v>498</v>
      </c>
      <c r="AV32" s="32" t="str">
        <f>IF(AA32=" "," ",AA32*Inputs!$B$53)</f>
        <v xml:space="preserve"> </v>
      </c>
      <c r="AW32" s="32" t="str">
        <f>IF(AB32=" "," ",AB32*Inputs!$B$53)</f>
        <v xml:space="preserve"> </v>
      </c>
      <c r="AX32" s="32" t="str">
        <f>IF(AC32=" "," ",AC32*Inputs!$B$53)</f>
        <v xml:space="preserve"> </v>
      </c>
      <c r="AY32" s="32" t="str">
        <f>IF(AD32=" "," ",AD32*Inputs!$B$53)</f>
        <v xml:space="preserve"> </v>
      </c>
      <c r="AZ32" s="32" t="str">
        <f>IF(AE32=" "," ",AE32*Inputs!$B$53)</f>
        <v xml:space="preserve"> </v>
      </c>
      <c r="BA32" s="32" t="str">
        <f>IF(AF32=" "," ",AF32*Inputs!$B$53)</f>
        <v xml:space="preserve"> </v>
      </c>
      <c r="BB32" s="32" t="str">
        <f>IF(AG32=" "," ",AG32*Inputs!$B$53)</f>
        <v xml:space="preserve"> </v>
      </c>
      <c r="BC32" s="32" t="str">
        <f>IF(AH32=" "," ",AH32*Inputs!$B$53)</f>
        <v xml:space="preserve"> </v>
      </c>
      <c r="BD32" s="32" t="str">
        <f>IF(AI32=" "," ",AI32*Inputs!$B$53)</f>
        <v xml:space="preserve"> </v>
      </c>
      <c r="BE32" s="32" t="str">
        <f>IF(AJ32=" "," ",AJ32*Inputs!$B$53)</f>
        <v xml:space="preserve"> </v>
      </c>
      <c r="BF32" s="32" t="str">
        <f>IF(AK32=" "," ",AK32*Inputs!$B$53)</f>
        <v xml:space="preserve"> </v>
      </c>
      <c r="BG32" s="32" t="str">
        <f>IF(AL32=" "," ",AL32*Inputs!$B$53)</f>
        <v xml:space="preserve"> </v>
      </c>
      <c r="BH32" s="32" t="str">
        <f>IF(AM32=" "," ",AM32*Inputs!$B$53)</f>
        <v xml:space="preserve"> </v>
      </c>
      <c r="BI32" s="32" t="str">
        <f>IF(AN32=" "," ",AN32*Inputs!$B$53)</f>
        <v xml:space="preserve"> </v>
      </c>
      <c r="BJ32" s="32" t="str">
        <f>IF(AO32=" "," ",AO32*Inputs!$B$53)</f>
        <v xml:space="preserve"> </v>
      </c>
      <c r="BK32" s="32" t="str">
        <f>IF(AP32=" "," ",AP32*Inputs!$B$53)</f>
        <v xml:space="preserve"> </v>
      </c>
      <c r="BM32" s="641"/>
      <c r="BN32" s="589"/>
      <c r="BO32" s="589"/>
      <c r="BP32" s="112" t="s">
        <v>524</v>
      </c>
      <c r="BQ32" s="120">
        <f t="shared" si="0"/>
        <v>1</v>
      </c>
      <c r="BR32" s="120">
        <f t="shared" si="1"/>
        <v>1.294779081415611</v>
      </c>
      <c r="BS32" s="120">
        <f t="shared" si="2"/>
        <v>1.489558162831222</v>
      </c>
      <c r="BT32" s="120">
        <f t="shared" si="3"/>
        <v>1.5338480002845389</v>
      </c>
      <c r="BU32" s="120">
        <f t="shared" si="4"/>
        <v>1.5777020806293049</v>
      </c>
      <c r="BV32" s="93">
        <v>55</v>
      </c>
      <c r="BW32" s="32" t="e">
        <f>IF(VALUE($BW$5)&lt;=0.8,"1",IF(AND(VALUE($BW5)&gt;0.8,VALUE($BW$5)&lt;=0.96),FORECAST(VALUE($BW$5),BQ32:BR32,$BQ$5:$BR$5),IF(AND(VALUE($BW$5)&gt;0.96,VALUE($BW$5)&lt;=1.12),FORECAST(VALUE($BW$5),BR32:BS32,$BR$5:$BS$5),IF(AND(VALUE($BW$5)&gt;1.12,VALUE($BW$5)&lt;=1.3),FORECAST(VALUE($BW$5),BS32:BT32,$BS$5:$BT$5),FORECAST(VALUE($BW$5),BT32:BU32,$BT$5:$BU$5)))))</f>
        <v>#VALUE!</v>
      </c>
      <c r="BZ32" s="641"/>
      <c r="CA32" s="589"/>
      <c r="CB32" s="589"/>
      <c r="CC32" s="112" t="s">
        <v>524</v>
      </c>
      <c r="CD32" s="122">
        <v>1</v>
      </c>
      <c r="CE32" s="122">
        <v>1.294779081415611</v>
      </c>
      <c r="CF32" s="122">
        <v>1.489558162831222</v>
      </c>
      <c r="CG32" s="122">
        <v>1.5338480002845389</v>
      </c>
      <c r="CH32" s="123">
        <v>1.5777020806293049</v>
      </c>
      <c r="CK32" s="641"/>
      <c r="CL32" s="589"/>
      <c r="CM32" s="589"/>
      <c r="CN32" s="112" t="s">
        <v>524</v>
      </c>
      <c r="CO32" s="122">
        <v>1</v>
      </c>
      <c r="CP32" s="122">
        <v>1.241348876340433</v>
      </c>
      <c r="CQ32" s="122">
        <v>1.3826977526808659</v>
      </c>
      <c r="CR32" s="122">
        <v>1.423581593665413</v>
      </c>
      <c r="CS32" s="123">
        <v>1.464063188325333</v>
      </c>
      <c r="CV32" s="641"/>
      <c r="CW32" s="589"/>
      <c r="CX32" s="589"/>
      <c r="CY32" s="112" t="s">
        <v>524</v>
      </c>
      <c r="CZ32" s="122">
        <v>1</v>
      </c>
      <c r="DA32" s="122">
        <v>1.2990251370942549</v>
      </c>
      <c r="DB32" s="122">
        <v>1.4980502741885111</v>
      </c>
      <c r="DC32" s="122">
        <v>1.5426107834580289</v>
      </c>
      <c r="DD32" s="123">
        <v>1.586732872543789</v>
      </c>
    </row>
    <row r="33" spans="1:108" x14ac:dyDescent="0.25">
      <c r="B33" s="589"/>
      <c r="C33" s="589"/>
      <c r="D33" s="589"/>
      <c r="E33" s="21"/>
      <c r="F33" s="152"/>
      <c r="G33" s="152"/>
      <c r="H33" s="152"/>
      <c r="I33" s="152"/>
      <c r="J33" s="152"/>
      <c r="K33" s="152"/>
      <c r="L33" s="152"/>
      <c r="M33" s="152"/>
      <c r="N33" s="152"/>
      <c r="O33" s="152"/>
      <c r="P33" s="152"/>
      <c r="Q33" s="152"/>
      <c r="R33" s="152"/>
      <c r="S33" s="152"/>
      <c r="T33" s="152"/>
      <c r="U33" s="152"/>
      <c r="W33" s="589"/>
      <c r="X33" s="589"/>
      <c r="Y33" s="33"/>
      <c r="Z33" s="27" t="s">
        <v>499</v>
      </c>
      <c r="AA33" s="32" t="str">
        <f>IF(F33=""," ",F33*Inputs!$B$39)</f>
        <v xml:space="preserve"> </v>
      </c>
      <c r="AB33" s="32" t="str">
        <f>IF(G33=""," ",G33*Inputs!$B$39)</f>
        <v xml:space="preserve"> </v>
      </c>
      <c r="AC33" s="32" t="str">
        <f>IF(H33=""," ",H33*Inputs!$B$39)</f>
        <v xml:space="preserve"> </v>
      </c>
      <c r="AD33" s="32" t="str">
        <f>IF(I33=""," ",I33*Inputs!$B$39)</f>
        <v xml:space="preserve"> </v>
      </c>
      <c r="AE33" s="32" t="str">
        <f>IF(J33=""," ",J33*Inputs!$B$39)</f>
        <v xml:space="preserve"> </v>
      </c>
      <c r="AF33" s="32" t="str">
        <f>IF(K33=""," ",K33*Inputs!$B$39)</f>
        <v xml:space="preserve"> </v>
      </c>
      <c r="AG33" s="32" t="str">
        <f>IF(L33=""," ",L33*Inputs!$B$39)</f>
        <v xml:space="preserve"> </v>
      </c>
      <c r="AH33" s="32" t="str">
        <f>IF(M33=""," ",M33*Inputs!$B$39)</f>
        <v xml:space="preserve"> </v>
      </c>
      <c r="AI33" s="32" t="str">
        <f>IF(N33=""," ",N33*Inputs!$B$39)</f>
        <v xml:space="preserve"> </v>
      </c>
      <c r="AJ33" s="32" t="str">
        <f>IF(O33=""," ",O33*Inputs!$B$39)</f>
        <v xml:space="preserve"> </v>
      </c>
      <c r="AK33" s="32" t="str">
        <f>IF(P33=""," ",P33*Inputs!$B$39)</f>
        <v xml:space="preserve"> </v>
      </c>
      <c r="AL33" s="32" t="str">
        <f>IF(Q33=""," ",Q33*Inputs!$B$39)</f>
        <v xml:space="preserve"> </v>
      </c>
      <c r="AM33" s="32" t="str">
        <f>IF(R33=""," ",R33*Inputs!$B$39)</f>
        <v xml:space="preserve"> </v>
      </c>
      <c r="AN33" s="32" t="str">
        <f>IF(S33=""," ",S33*Inputs!$B$39)</f>
        <v xml:space="preserve"> </v>
      </c>
      <c r="AO33" s="32" t="str">
        <f>IF(T33=""," ",T33*Inputs!$B$39)</f>
        <v xml:space="preserve"> </v>
      </c>
      <c r="AP33" s="32" t="str">
        <f>IF(U33=""," ",U33*Inputs!$B$39)</f>
        <v xml:space="preserve"> </v>
      </c>
      <c r="AR33" s="589"/>
      <c r="AS33" s="589"/>
      <c r="AT33" s="33"/>
      <c r="AU33" s="27" t="s">
        <v>499</v>
      </c>
      <c r="AV33" s="32" t="str">
        <f>IF(AA33=" "," ",AA33*Inputs!$B$53)</f>
        <v xml:space="preserve"> </v>
      </c>
      <c r="AW33" s="32" t="str">
        <f>IF(AB33=" "," ",AB33*Inputs!$B$53)</f>
        <v xml:space="preserve"> </v>
      </c>
      <c r="AX33" s="32" t="str">
        <f>IF(AC33=" "," ",AC33*Inputs!$B$53)</f>
        <v xml:space="preserve"> </v>
      </c>
      <c r="AY33" s="32" t="str">
        <f>IF(AD33=" "," ",AD33*Inputs!$B$53)</f>
        <v xml:space="preserve"> </v>
      </c>
      <c r="AZ33" s="32" t="str">
        <f>IF(AE33=" "," ",AE33*Inputs!$B$53)</f>
        <v xml:space="preserve"> </v>
      </c>
      <c r="BA33" s="32" t="str">
        <f>IF(AF33=" "," ",AF33*Inputs!$B$53)</f>
        <v xml:space="preserve"> </v>
      </c>
      <c r="BB33" s="32" t="str">
        <f>IF(AG33=" "," ",AG33*Inputs!$B$53)</f>
        <v xml:space="preserve"> </v>
      </c>
      <c r="BC33" s="32" t="str">
        <f>IF(AH33=" "," ",AH33*Inputs!$B$53)</f>
        <v xml:space="preserve"> </v>
      </c>
      <c r="BD33" s="32" t="str">
        <f>IF(AI33=" "," ",AI33*Inputs!$B$53)</f>
        <v xml:space="preserve"> </v>
      </c>
      <c r="BE33" s="32" t="str">
        <f>IF(AJ33=" "," ",AJ33*Inputs!$B$53)</f>
        <v xml:space="preserve"> </v>
      </c>
      <c r="BF33" s="32" t="str">
        <f>IF(AK33=" "," ",AK33*Inputs!$B$53)</f>
        <v xml:space="preserve"> </v>
      </c>
      <c r="BG33" s="32" t="str">
        <f>IF(AL33=" "," ",AL33*Inputs!$B$53)</f>
        <v xml:space="preserve"> </v>
      </c>
      <c r="BH33" s="32" t="str">
        <f>IF(AM33=" "," ",AM33*Inputs!$B$53)</f>
        <v xml:space="preserve"> </v>
      </c>
      <c r="BI33" s="32" t="str">
        <f>IF(AN33=" "," ",AN33*Inputs!$B$53)</f>
        <v xml:space="preserve"> </v>
      </c>
      <c r="BJ33" s="32" t="str">
        <f>IF(AO33=" "," ",AO33*Inputs!$B$53)</f>
        <v xml:space="preserve"> </v>
      </c>
      <c r="BK33" s="32" t="str">
        <f>IF(AP33=" "," ",AP33*Inputs!$B$53)</f>
        <v xml:space="preserve"> </v>
      </c>
      <c r="BM33" s="641"/>
      <c r="BN33" s="589"/>
      <c r="BO33" s="642" t="s">
        <v>525</v>
      </c>
      <c r="BP33" s="87" t="s">
        <v>522</v>
      </c>
      <c r="BQ33" s="120">
        <f t="shared" si="0"/>
        <v>0</v>
      </c>
      <c r="BR33" s="120">
        <f t="shared" si="1"/>
        <v>0</v>
      </c>
      <c r="BS33" s="120">
        <f t="shared" si="2"/>
        <v>0</v>
      </c>
      <c r="BT33" s="120">
        <f t="shared" si="3"/>
        <v>0</v>
      </c>
      <c r="BU33" s="120">
        <f t="shared" si="4"/>
        <v>0</v>
      </c>
      <c r="BV33" s="89">
        <v>0</v>
      </c>
      <c r="BW33" s="32">
        <v>1</v>
      </c>
      <c r="BZ33" s="641"/>
      <c r="CA33" s="589"/>
      <c r="CB33" s="642" t="s">
        <v>525</v>
      </c>
      <c r="CC33" s="87" t="s">
        <v>522</v>
      </c>
      <c r="CD33" s="124"/>
      <c r="CE33" s="124"/>
      <c r="CF33" s="124"/>
      <c r="CG33" s="124"/>
      <c r="CH33" s="125"/>
      <c r="CK33" s="641"/>
      <c r="CL33" s="589"/>
      <c r="CM33" s="642" t="s">
        <v>525</v>
      </c>
      <c r="CN33" s="87" t="s">
        <v>522</v>
      </c>
      <c r="CO33" s="124"/>
      <c r="CP33" s="124"/>
      <c r="CQ33" s="124"/>
      <c r="CR33" s="124"/>
      <c r="CS33" s="125"/>
      <c r="CV33" s="641"/>
      <c r="CW33" s="589"/>
      <c r="CX33" s="642" t="s">
        <v>525</v>
      </c>
      <c r="CY33" s="87" t="s">
        <v>522</v>
      </c>
      <c r="CZ33" s="124"/>
      <c r="DA33" s="124"/>
      <c r="DB33" s="124"/>
      <c r="DC33" s="124"/>
      <c r="DD33" s="125"/>
    </row>
    <row r="34" spans="1:108" x14ac:dyDescent="0.25">
      <c r="B34" s="589"/>
      <c r="C34" s="589"/>
      <c r="D34" s="589"/>
      <c r="E34" s="21"/>
      <c r="F34" s="152"/>
      <c r="G34" s="152"/>
      <c r="H34" s="152"/>
      <c r="I34" s="152"/>
      <c r="J34" s="152"/>
      <c r="K34" s="152"/>
      <c r="L34" s="152"/>
      <c r="M34" s="152"/>
      <c r="N34" s="152"/>
      <c r="O34" s="152"/>
      <c r="P34" s="152"/>
      <c r="Q34" s="152"/>
      <c r="R34" s="152"/>
      <c r="S34" s="152"/>
      <c r="T34" s="152"/>
      <c r="U34" s="152"/>
      <c r="W34" s="589"/>
      <c r="X34" s="589"/>
      <c r="Y34" s="33"/>
      <c r="Z34" s="27" t="s">
        <v>500</v>
      </c>
      <c r="AA34" s="32" t="str">
        <f>IF(F34=""," ",F34*Inputs!$B$39)</f>
        <v xml:space="preserve"> </v>
      </c>
      <c r="AB34" s="32" t="str">
        <f>IF(G34=""," ",G34*Inputs!$B$39)</f>
        <v xml:space="preserve"> </v>
      </c>
      <c r="AC34" s="32" t="str">
        <f>IF(H34=""," ",H34*Inputs!$B$39)</f>
        <v xml:space="preserve"> </v>
      </c>
      <c r="AD34" s="32" t="str">
        <f>IF(I34=""," ",I34*Inputs!$B$39)</f>
        <v xml:space="preserve"> </v>
      </c>
      <c r="AE34" s="32" t="str">
        <f>IF(J34=""," ",J34*Inputs!$B$39)</f>
        <v xml:space="preserve"> </v>
      </c>
      <c r="AF34" s="32" t="str">
        <f>IF(K34=""," ",K34*Inputs!$B$39)</f>
        <v xml:space="preserve"> </v>
      </c>
      <c r="AG34" s="32" t="str">
        <f>IF(L34=""," ",L34*Inputs!$B$39)</f>
        <v xml:space="preserve"> </v>
      </c>
      <c r="AH34" s="32" t="str">
        <f>IF(M34=""," ",M34*Inputs!$B$39)</f>
        <v xml:space="preserve"> </v>
      </c>
      <c r="AI34" s="32" t="str">
        <f>IF(N34=""," ",N34*Inputs!$B$39)</f>
        <v xml:space="preserve"> </v>
      </c>
      <c r="AJ34" s="32" t="str">
        <f>IF(O34=""," ",O34*Inputs!$B$39)</f>
        <v xml:space="preserve"> </v>
      </c>
      <c r="AK34" s="32" t="str">
        <f>IF(P34=""," ",P34*Inputs!$B$39)</f>
        <v xml:space="preserve"> </v>
      </c>
      <c r="AL34" s="32" t="str">
        <f>IF(Q34=""," ",Q34*Inputs!$B$39)</f>
        <v xml:space="preserve"> </v>
      </c>
      <c r="AM34" s="32" t="str">
        <f>IF(R34=""," ",R34*Inputs!$B$39)</f>
        <v xml:space="preserve"> </v>
      </c>
      <c r="AN34" s="32" t="str">
        <f>IF(S34=""," ",S34*Inputs!$B$39)</f>
        <v xml:space="preserve"> </v>
      </c>
      <c r="AO34" s="32" t="str">
        <f>IF(T34=""," ",T34*Inputs!$B$39)</f>
        <v xml:space="preserve"> </v>
      </c>
      <c r="AP34" s="32" t="str">
        <f>IF(U34=""," ",U34*Inputs!$B$39)</f>
        <v xml:space="preserve"> </v>
      </c>
      <c r="AR34" s="589"/>
      <c r="AS34" s="589"/>
      <c r="AT34" s="33"/>
      <c r="AU34" s="27" t="s">
        <v>500</v>
      </c>
      <c r="AV34" s="32" t="str">
        <f>IF(AA34=" "," ",AA34*Inputs!$B$53)</f>
        <v xml:space="preserve"> </v>
      </c>
      <c r="AW34" s="32" t="str">
        <f>IF(AB34=" "," ",AB34*Inputs!$B$53)</f>
        <v xml:space="preserve"> </v>
      </c>
      <c r="AX34" s="32" t="str">
        <f>IF(AC34=" "," ",AC34*Inputs!$B$53)</f>
        <v xml:space="preserve"> </v>
      </c>
      <c r="AY34" s="32" t="str">
        <f>IF(AD34=" "," ",AD34*Inputs!$B$53)</f>
        <v xml:space="preserve"> </v>
      </c>
      <c r="AZ34" s="32" t="str">
        <f>IF(AE34=" "," ",AE34*Inputs!$B$53)</f>
        <v xml:space="preserve"> </v>
      </c>
      <c r="BA34" s="32" t="str">
        <f>IF(AF34=" "," ",AF34*Inputs!$B$53)</f>
        <v xml:space="preserve"> </v>
      </c>
      <c r="BB34" s="32" t="str">
        <f>IF(AG34=" "," ",AG34*Inputs!$B$53)</f>
        <v xml:space="preserve"> </v>
      </c>
      <c r="BC34" s="32" t="str">
        <f>IF(AH34=" "," ",AH34*Inputs!$B$53)</f>
        <v xml:space="preserve"> </v>
      </c>
      <c r="BD34" s="32" t="str">
        <f>IF(AI34=" "," ",AI34*Inputs!$B$53)</f>
        <v xml:space="preserve"> </v>
      </c>
      <c r="BE34" s="32" t="str">
        <f>IF(AJ34=" "," ",AJ34*Inputs!$B$53)</f>
        <v xml:space="preserve"> </v>
      </c>
      <c r="BF34" s="32" t="str">
        <f>IF(AK34=" "," ",AK34*Inputs!$B$53)</f>
        <v xml:space="preserve"> </v>
      </c>
      <c r="BG34" s="32" t="str">
        <f>IF(AL34=" "," ",AL34*Inputs!$B$53)</f>
        <v xml:space="preserve"> </v>
      </c>
      <c r="BH34" s="32" t="str">
        <f>IF(AM34=" "," ",AM34*Inputs!$B$53)</f>
        <v xml:space="preserve"> </v>
      </c>
      <c r="BI34" s="32" t="str">
        <f>IF(AN34=" "," ",AN34*Inputs!$B$53)</f>
        <v xml:space="preserve"> </v>
      </c>
      <c r="BJ34" s="32" t="str">
        <f>IF(AO34=" "," ",AO34*Inputs!$B$53)</f>
        <v xml:space="preserve"> </v>
      </c>
      <c r="BK34" s="32" t="str">
        <f>IF(AP34=" "," ",AP34*Inputs!$B$53)</f>
        <v xml:space="preserve"> </v>
      </c>
      <c r="BM34" s="641"/>
      <c r="BN34" s="589"/>
      <c r="BO34" s="589"/>
      <c r="BP34" s="90" t="s">
        <v>523</v>
      </c>
      <c r="BQ34" s="120">
        <f t="shared" si="0"/>
        <v>0</v>
      </c>
      <c r="BR34" s="120">
        <f t="shared" si="1"/>
        <v>0</v>
      </c>
      <c r="BS34" s="120">
        <f t="shared" si="2"/>
        <v>0</v>
      </c>
      <c r="BT34" s="120">
        <f t="shared" si="3"/>
        <v>0</v>
      </c>
      <c r="BU34" s="120">
        <f t="shared" si="4"/>
        <v>0</v>
      </c>
      <c r="BV34" s="92"/>
      <c r="BW34" s="148">
        <f>IF($BW$3=0,BW33,BW35)</f>
        <v>1</v>
      </c>
      <c r="BZ34" s="641"/>
      <c r="CA34" s="589"/>
      <c r="CB34" s="589"/>
      <c r="CC34" s="90" t="s">
        <v>523</v>
      </c>
      <c r="CD34" s="126"/>
      <c r="CE34" s="126"/>
      <c r="CF34" s="126"/>
      <c r="CG34" s="126"/>
      <c r="CH34" s="131"/>
      <c r="CK34" s="641"/>
      <c r="CL34" s="589"/>
      <c r="CM34" s="589"/>
      <c r="CN34" s="90" t="s">
        <v>523</v>
      </c>
      <c r="CO34" s="126"/>
      <c r="CP34" s="126"/>
      <c r="CQ34" s="126"/>
      <c r="CR34" s="126"/>
      <c r="CS34" s="131"/>
      <c r="CV34" s="641"/>
      <c r="CW34" s="589"/>
      <c r="CX34" s="589"/>
      <c r="CY34" s="90" t="s">
        <v>523</v>
      </c>
      <c r="CZ34" s="126"/>
      <c r="DA34" s="126"/>
      <c r="DB34" s="126"/>
      <c r="DC34" s="126"/>
      <c r="DD34" s="131"/>
    </row>
    <row r="35" spans="1:108" x14ac:dyDescent="0.25">
      <c r="B35" s="589"/>
      <c r="C35" s="589"/>
      <c r="D35" s="591"/>
      <c r="E35" s="149"/>
      <c r="F35" s="153"/>
      <c r="G35" s="153"/>
      <c r="H35" s="153"/>
      <c r="I35" s="153"/>
      <c r="J35" s="153"/>
      <c r="K35" s="153"/>
      <c r="L35" s="153"/>
      <c r="M35" s="153"/>
      <c r="N35" s="153"/>
      <c r="O35" s="153"/>
      <c r="P35" s="153"/>
      <c r="Q35" s="153"/>
      <c r="R35" s="153"/>
      <c r="S35" s="153"/>
      <c r="T35" s="153"/>
      <c r="U35" s="153"/>
      <c r="W35" s="589"/>
      <c r="X35" s="589"/>
      <c r="Y35" s="6"/>
      <c r="Z35" s="29" t="s">
        <v>501</v>
      </c>
      <c r="AA35" s="32" t="str">
        <f>IF(F35=""," ",F35*Inputs!$B$39)</f>
        <v xml:space="preserve"> </v>
      </c>
      <c r="AB35" s="32" t="str">
        <f>IF(G35=""," ",G35*Inputs!$B$39)</f>
        <v xml:space="preserve"> </v>
      </c>
      <c r="AC35" s="32" t="str">
        <f>IF(H35=""," ",H35*Inputs!$B$39)</f>
        <v xml:space="preserve"> </v>
      </c>
      <c r="AD35" s="32" t="str">
        <f>IF(I35=""," ",I35*Inputs!$B$39)</f>
        <v xml:space="preserve"> </v>
      </c>
      <c r="AE35" s="32" t="str">
        <f>IF(J35=""," ",J35*Inputs!$B$39)</f>
        <v xml:space="preserve"> </v>
      </c>
      <c r="AF35" s="32" t="str">
        <f>IF(K35=""," ",K35*Inputs!$B$39)</f>
        <v xml:space="preserve"> </v>
      </c>
      <c r="AG35" s="32" t="str">
        <f>IF(L35=""," ",L35*Inputs!$B$39)</f>
        <v xml:space="preserve"> </v>
      </c>
      <c r="AH35" s="32" t="str">
        <f>IF(M35=""," ",M35*Inputs!$B$39)</f>
        <v xml:space="preserve"> </v>
      </c>
      <c r="AI35" s="32" t="str">
        <f>IF(N35=""," ",N35*Inputs!$B$39)</f>
        <v xml:space="preserve"> </v>
      </c>
      <c r="AJ35" s="32" t="str">
        <f>IF(O35=""," ",O35*Inputs!$B$39)</f>
        <v xml:space="preserve"> </v>
      </c>
      <c r="AK35" s="32" t="str">
        <f>IF(P35=""," ",P35*Inputs!$B$39)</f>
        <v xml:space="preserve"> </v>
      </c>
      <c r="AL35" s="32" t="str">
        <f>IF(Q35=""," ",Q35*Inputs!$B$39)</f>
        <v xml:space="preserve"> </v>
      </c>
      <c r="AM35" s="32" t="str">
        <f>IF(R35=""," ",R35*Inputs!$B$39)</f>
        <v xml:space="preserve"> </v>
      </c>
      <c r="AN35" s="32" t="str">
        <f>IF(S35=""," ",S35*Inputs!$B$39)</f>
        <v xml:space="preserve"> </v>
      </c>
      <c r="AO35" s="32" t="str">
        <f>IF(T35=""," ",T35*Inputs!$B$39)</f>
        <v xml:space="preserve"> </v>
      </c>
      <c r="AP35" s="32" t="str">
        <f>IF(U35=""," ",U35*Inputs!$B$39)</f>
        <v xml:space="preserve"> </v>
      </c>
      <c r="AR35" s="589"/>
      <c r="AS35" s="589"/>
      <c r="AT35" s="6"/>
      <c r="AU35" s="29" t="s">
        <v>501</v>
      </c>
      <c r="AV35" s="32" t="str">
        <f>IF(AA35=" "," ",AA35*Inputs!$B$53)</f>
        <v xml:space="preserve"> </v>
      </c>
      <c r="AW35" s="32" t="str">
        <f>IF(AB35=" "," ",AB35*Inputs!$B$53)</f>
        <v xml:space="preserve"> </v>
      </c>
      <c r="AX35" s="32" t="str">
        <f>IF(AC35=" "," ",AC35*Inputs!$B$53)</f>
        <v xml:space="preserve"> </v>
      </c>
      <c r="AY35" s="32" t="str">
        <f>IF(AD35=" "," ",AD35*Inputs!$B$53)</f>
        <v xml:space="preserve"> </v>
      </c>
      <c r="AZ35" s="32" t="str">
        <f>IF(AE35=" "," ",AE35*Inputs!$B$53)</f>
        <v xml:space="preserve"> </v>
      </c>
      <c r="BA35" s="32" t="str">
        <f>IF(AF35=" "," ",AF35*Inputs!$B$53)</f>
        <v xml:space="preserve"> </v>
      </c>
      <c r="BB35" s="32" t="str">
        <f>IF(AG35=" "," ",AG35*Inputs!$B$53)</f>
        <v xml:space="preserve"> </v>
      </c>
      <c r="BC35" s="32" t="str">
        <f>IF(AH35=" "," ",AH35*Inputs!$B$53)</f>
        <v xml:space="preserve"> </v>
      </c>
      <c r="BD35" s="32" t="str">
        <f>IF(AI35=" "," ",AI35*Inputs!$B$53)</f>
        <v xml:space="preserve"> </v>
      </c>
      <c r="BE35" s="32" t="str">
        <f>IF(AJ35=" "," ",AJ35*Inputs!$B$53)</f>
        <v xml:space="preserve"> </v>
      </c>
      <c r="BF35" s="32" t="str">
        <f>IF(AK35=" "," ",AK35*Inputs!$B$53)</f>
        <v xml:space="preserve"> </v>
      </c>
      <c r="BG35" s="32" t="str">
        <f>IF(AL35=" "," ",AL35*Inputs!$B$53)</f>
        <v xml:space="preserve"> </v>
      </c>
      <c r="BH35" s="32" t="str">
        <f>IF(AM35=" "," ",AM35*Inputs!$B$53)</f>
        <v xml:space="preserve"> </v>
      </c>
      <c r="BI35" s="32" t="str">
        <f>IF(AN35=" "," ",AN35*Inputs!$B$53)</f>
        <v xml:space="preserve"> </v>
      </c>
      <c r="BJ35" s="32" t="str">
        <f>IF(AO35=" "," ",AO35*Inputs!$B$53)</f>
        <v xml:space="preserve"> </v>
      </c>
      <c r="BK35" s="32" t="str">
        <f>IF(AP35=" "," ",AP35*Inputs!$B$53)</f>
        <v xml:space="preserve"> </v>
      </c>
      <c r="BM35" s="641"/>
      <c r="BN35" s="589"/>
      <c r="BO35" s="591"/>
      <c r="BP35" s="112" t="s">
        <v>524</v>
      </c>
      <c r="BQ35" s="120">
        <f t="shared" si="0"/>
        <v>0</v>
      </c>
      <c r="BR35" s="120">
        <f t="shared" si="1"/>
        <v>0</v>
      </c>
      <c r="BS35" s="120">
        <f t="shared" si="2"/>
        <v>0</v>
      </c>
      <c r="BT35" s="120">
        <f t="shared" si="3"/>
        <v>0</v>
      </c>
      <c r="BU35" s="120">
        <f t="shared" si="4"/>
        <v>0</v>
      </c>
      <c r="BV35" s="93">
        <v>55</v>
      </c>
      <c r="BW35" s="32">
        <v>1</v>
      </c>
      <c r="BZ35" s="641"/>
      <c r="CA35" s="589"/>
      <c r="CB35" s="591"/>
      <c r="CC35" s="112" t="s">
        <v>524</v>
      </c>
      <c r="CD35" s="128"/>
      <c r="CE35" s="128"/>
      <c r="CF35" s="128"/>
      <c r="CG35" s="128"/>
      <c r="CH35" s="131"/>
      <c r="CK35" s="641"/>
      <c r="CL35" s="589"/>
      <c r="CM35" s="591"/>
      <c r="CN35" s="112" t="s">
        <v>524</v>
      </c>
      <c r="CO35" s="128"/>
      <c r="CP35" s="128"/>
      <c r="CQ35" s="128"/>
      <c r="CR35" s="128"/>
      <c r="CS35" s="131"/>
      <c r="CV35" s="641"/>
      <c r="CW35" s="589"/>
      <c r="CX35" s="591"/>
      <c r="CY35" s="112" t="s">
        <v>524</v>
      </c>
      <c r="CZ35" s="128"/>
      <c r="DA35" s="128"/>
      <c r="DB35" s="128"/>
      <c r="DC35" s="128"/>
      <c r="DD35" s="131"/>
    </row>
    <row r="36" spans="1:108" x14ac:dyDescent="0.25">
      <c r="B36" s="626"/>
      <c r="C36" s="589"/>
      <c r="D36" s="595"/>
      <c r="E36" s="21"/>
      <c r="F36" s="152"/>
      <c r="G36" s="152"/>
      <c r="H36" s="152"/>
      <c r="I36" s="152"/>
      <c r="J36" s="152"/>
      <c r="K36" s="152"/>
      <c r="L36" s="152"/>
      <c r="M36" s="152"/>
      <c r="N36" s="152"/>
      <c r="O36" s="152"/>
      <c r="P36" s="152"/>
      <c r="Q36" s="152"/>
      <c r="R36" s="152"/>
      <c r="S36" s="152"/>
      <c r="T36" s="152"/>
      <c r="U36" s="152"/>
      <c r="W36" s="626"/>
      <c r="X36" s="589"/>
      <c r="Y36" s="32">
        <v>-3.3127335719143433E-2</v>
      </c>
      <c r="Z36" s="24" t="s">
        <v>498</v>
      </c>
      <c r="AA36" s="32" t="str">
        <f>IF(F36=""," ",F36*Inputs!$B$39)</f>
        <v xml:space="preserve"> </v>
      </c>
      <c r="AB36" s="32" t="str">
        <f>IF(G36=""," ",G36*Inputs!$B$39)</f>
        <v xml:space="preserve"> </v>
      </c>
      <c r="AC36" s="32" t="str">
        <f>IF(H36=""," ",H36*Inputs!$B$39)</f>
        <v xml:space="preserve"> </v>
      </c>
      <c r="AD36" s="32" t="str">
        <f>IF(I36=""," ",I36*Inputs!$B$39)</f>
        <v xml:space="preserve"> </v>
      </c>
      <c r="AE36" s="32" t="str">
        <f>IF(J36=""," ",J36*Inputs!$B$39)</f>
        <v xml:space="preserve"> </v>
      </c>
      <c r="AF36" s="32" t="str">
        <f>IF(K36=""," ",K36*Inputs!$B$39)</f>
        <v xml:space="preserve"> </v>
      </c>
      <c r="AG36" s="32" t="str">
        <f>IF(L36=""," ",L36*Inputs!$B$39)</f>
        <v xml:space="preserve"> </v>
      </c>
      <c r="AH36" s="32" t="str">
        <f>IF(M36=""," ",M36*Inputs!$B$39)</f>
        <v xml:space="preserve"> </v>
      </c>
      <c r="AI36" s="32" t="str">
        <f>IF(N36=""," ",N36*Inputs!$B$39)</f>
        <v xml:space="preserve"> </v>
      </c>
      <c r="AJ36" s="32" t="str">
        <f>IF(O36=""," ",O36*Inputs!$B$39)</f>
        <v xml:space="preserve"> </v>
      </c>
      <c r="AK36" s="32" t="str">
        <f>IF(P36=""," ",P36*Inputs!$B$39)</f>
        <v xml:space="preserve"> </v>
      </c>
      <c r="AL36" s="32" t="str">
        <f>IF(Q36=""," ",Q36*Inputs!$B$39)</f>
        <v xml:space="preserve"> </v>
      </c>
      <c r="AM36" s="32" t="str">
        <f>IF(R36=""," ",R36*Inputs!$B$39)</f>
        <v xml:space="preserve"> </v>
      </c>
      <c r="AN36" s="32" t="str">
        <f>IF(S36=""," ",S36*Inputs!$B$39)</f>
        <v xml:space="preserve"> </v>
      </c>
      <c r="AO36" s="32" t="str">
        <f>IF(T36=""," ",T36*Inputs!$B$39)</f>
        <v xml:space="preserve"> </v>
      </c>
      <c r="AP36" s="32" t="str">
        <f>IF(U36=""," ",U36*Inputs!$B$39)</f>
        <v xml:space="preserve"> </v>
      </c>
      <c r="AR36" s="626"/>
      <c r="AS36" s="589"/>
      <c r="AT36" s="32">
        <v>-3.3127335719143433E-2</v>
      </c>
      <c r="AU36" s="24" t="s">
        <v>498</v>
      </c>
      <c r="AV36" s="32" t="str">
        <f>IF(AA36=" "," ",AA36*Inputs!$B$53)</f>
        <v xml:space="preserve"> </v>
      </c>
      <c r="AW36" s="32" t="str">
        <f>IF(AB36=" "," ",AB36*Inputs!$B$53)</f>
        <v xml:space="preserve"> </v>
      </c>
      <c r="AX36" s="32" t="str">
        <f>IF(AC36=" "," ",AC36*Inputs!$B$53)</f>
        <v xml:space="preserve"> </v>
      </c>
      <c r="AY36" s="32" t="str">
        <f>IF(AD36=" "," ",AD36*Inputs!$B$53)</f>
        <v xml:space="preserve"> </v>
      </c>
      <c r="AZ36" s="32" t="str">
        <f>IF(AE36=" "," ",AE36*Inputs!$B$53)</f>
        <v xml:space="preserve"> </v>
      </c>
      <c r="BA36" s="32" t="str">
        <f>IF(AF36=" "," ",AF36*Inputs!$B$53)</f>
        <v xml:space="preserve"> </v>
      </c>
      <c r="BB36" s="32" t="str">
        <f>IF(AG36=" "," ",AG36*Inputs!$B$53)</f>
        <v xml:space="preserve"> </v>
      </c>
      <c r="BC36" s="32" t="str">
        <f>IF(AH36=" "," ",AH36*Inputs!$B$53)</f>
        <v xml:space="preserve"> </v>
      </c>
      <c r="BD36" s="32" t="str">
        <f>IF(AI36=" "," ",AI36*Inputs!$B$53)</f>
        <v xml:space="preserve"> </v>
      </c>
      <c r="BE36" s="32" t="str">
        <f>IF(AJ36=" "," ",AJ36*Inputs!$B$53)</f>
        <v xml:space="preserve"> </v>
      </c>
      <c r="BF36" s="32" t="str">
        <f>IF(AK36=" "," ",AK36*Inputs!$B$53)</f>
        <v xml:space="preserve"> </v>
      </c>
      <c r="BG36" s="32" t="str">
        <f>IF(AL36=" "," ",AL36*Inputs!$B$53)</f>
        <v xml:space="preserve"> </v>
      </c>
      <c r="BH36" s="32" t="str">
        <f>IF(AM36=" "," ",AM36*Inputs!$B$53)</f>
        <v xml:space="preserve"> </v>
      </c>
      <c r="BI36" s="32" t="str">
        <f>IF(AN36=" "," ",AN36*Inputs!$B$53)</f>
        <v xml:space="preserve"> </v>
      </c>
      <c r="BJ36" s="32" t="str">
        <f>IF(AO36=" "," ",AO36*Inputs!$B$53)</f>
        <v xml:space="preserve"> </v>
      </c>
      <c r="BK36" s="32" t="str">
        <f>IF(AP36=" "," ",AP36*Inputs!$B$53)</f>
        <v xml:space="preserve"> </v>
      </c>
      <c r="BM36" s="641"/>
      <c r="BN36" s="133"/>
      <c r="BO36" s="609" t="s">
        <v>545</v>
      </c>
      <c r="BP36" s="87" t="s">
        <v>522</v>
      </c>
      <c r="BQ36" s="120">
        <f t="shared" si="0"/>
        <v>1</v>
      </c>
      <c r="BR36" s="120">
        <f t="shared" si="1"/>
        <v>1.1391296477793049</v>
      </c>
      <c r="BS36" s="120">
        <f t="shared" si="2"/>
        <v>1.1734054524357891</v>
      </c>
      <c r="BT36" s="120">
        <f t="shared" si="3"/>
        <v>1.207618452137091</v>
      </c>
      <c r="BU36" s="120">
        <f t="shared" si="4"/>
        <v>1.2414948383242781</v>
      </c>
      <c r="BV36" s="10"/>
      <c r="BW36" s="32" t="e">
        <f>IF(VALUE($BW$5)&lt;=0.8,"1",IF(AND(VALUE($BW5)&gt;0.8,VALUE($BW$5)&lt;=0.96),FORECAST(VALUE($BW$5),BQ36:BR36,$BQ$5:$BR$5),IF(AND(VALUE($BW$5)&gt;0.96,VALUE($BW$5)&lt;=1.12),FORECAST(VALUE($BW$5),BR36:BS36,$BR$5:$BS$5),IF(AND(VALUE($BW$5)&gt;1.12,VALUE($BW$5)&lt;=1.3),FORECAST(VALUE($BW$5),BS36:BT36,$BS$5:$BT$5),FORECAST(VALUE($BW$5),BT36:BU36,$BT$5:$BU$5)))))</f>
        <v>#VALUE!</v>
      </c>
      <c r="BZ36" s="641"/>
      <c r="CA36" s="133"/>
      <c r="CB36" s="609" t="s">
        <v>545</v>
      </c>
      <c r="CC36" s="87" t="s">
        <v>522</v>
      </c>
      <c r="CD36" s="120">
        <v>1</v>
      </c>
      <c r="CE36" s="120">
        <v>1.1391296477793049</v>
      </c>
      <c r="CF36" s="120">
        <v>1.1734054524357891</v>
      </c>
      <c r="CG36" s="120">
        <v>1.207618452137091</v>
      </c>
      <c r="CH36" s="121">
        <v>1.2414948383242781</v>
      </c>
      <c r="CK36" s="641"/>
      <c r="CL36" s="133"/>
      <c r="CM36" s="609" t="s">
        <v>545</v>
      </c>
      <c r="CN36" s="87" t="s">
        <v>522</v>
      </c>
      <c r="CO36" s="120">
        <v>1</v>
      </c>
      <c r="CP36" s="120">
        <v>1.1391296477793049</v>
      </c>
      <c r="CQ36" s="120">
        <v>1.1734054524357891</v>
      </c>
      <c r="CR36" s="120">
        <v>1.207618452137091</v>
      </c>
      <c r="CS36" s="121">
        <v>1.2414948383242781</v>
      </c>
      <c r="CV36" s="641"/>
      <c r="CW36" s="133"/>
      <c r="CX36" s="609" t="s">
        <v>545</v>
      </c>
      <c r="CY36" s="87" t="s">
        <v>522</v>
      </c>
      <c r="CZ36" s="120">
        <v>1</v>
      </c>
      <c r="DA36" s="120">
        <v>1.1391296477793049</v>
      </c>
      <c r="DB36" s="120">
        <v>1.1734054524357891</v>
      </c>
      <c r="DC36" s="120">
        <v>1.207618452137091</v>
      </c>
      <c r="DD36" s="121">
        <v>1.2414948383242781</v>
      </c>
    </row>
    <row r="37" spans="1:108" x14ac:dyDescent="0.25">
      <c r="B37" s="589"/>
      <c r="C37" s="589"/>
      <c r="D37" s="589"/>
      <c r="E37" s="21"/>
      <c r="F37" s="152"/>
      <c r="G37" s="152"/>
      <c r="H37" s="152"/>
      <c r="I37" s="152"/>
      <c r="J37" s="152"/>
      <c r="K37" s="152"/>
      <c r="L37" s="152"/>
      <c r="M37" s="152"/>
      <c r="N37" s="152"/>
      <c r="O37" s="152"/>
      <c r="P37" s="152"/>
      <c r="Q37" s="152"/>
      <c r="R37" s="152"/>
      <c r="S37" s="152"/>
      <c r="T37" s="152"/>
      <c r="U37" s="152"/>
      <c r="W37" s="589"/>
      <c r="X37" s="589"/>
      <c r="Y37" s="33"/>
      <c r="Z37" s="27" t="s">
        <v>499</v>
      </c>
      <c r="AA37" s="32" t="str">
        <f>IF(F37=""," ",F37*Inputs!$B$39)</f>
        <v xml:space="preserve"> </v>
      </c>
      <c r="AB37" s="32" t="str">
        <f>IF(G37=""," ",G37*Inputs!$B$39)</f>
        <v xml:space="preserve"> </v>
      </c>
      <c r="AC37" s="32" t="str">
        <f>IF(H37=""," ",H37*Inputs!$B$39)</f>
        <v xml:space="preserve"> </v>
      </c>
      <c r="AD37" s="32" t="str">
        <f>IF(I37=""," ",I37*Inputs!$B$39)</f>
        <v xml:space="preserve"> </v>
      </c>
      <c r="AE37" s="32" t="str">
        <f>IF(J37=""," ",J37*Inputs!$B$39)</f>
        <v xml:space="preserve"> </v>
      </c>
      <c r="AF37" s="32" t="str">
        <f>IF(K37=""," ",K37*Inputs!$B$39)</f>
        <v xml:space="preserve"> </v>
      </c>
      <c r="AG37" s="32" t="str">
        <f>IF(L37=""," ",L37*Inputs!$B$39)</f>
        <v xml:space="preserve"> </v>
      </c>
      <c r="AH37" s="32" t="str">
        <f>IF(M37=""," ",M37*Inputs!$B$39)</f>
        <v xml:space="preserve"> </v>
      </c>
      <c r="AI37" s="32" t="str">
        <f>IF(N37=""," ",N37*Inputs!$B$39)</f>
        <v xml:space="preserve"> </v>
      </c>
      <c r="AJ37" s="32" t="str">
        <f>IF(O37=""," ",O37*Inputs!$B$39)</f>
        <v xml:space="preserve"> </v>
      </c>
      <c r="AK37" s="32" t="str">
        <f>IF(P37=""," ",P37*Inputs!$B$39)</f>
        <v xml:space="preserve"> </v>
      </c>
      <c r="AL37" s="32" t="str">
        <f>IF(Q37=""," ",Q37*Inputs!$B$39)</f>
        <v xml:space="preserve"> </v>
      </c>
      <c r="AM37" s="32" t="str">
        <f>IF(R37=""," ",R37*Inputs!$B$39)</f>
        <v xml:space="preserve"> </v>
      </c>
      <c r="AN37" s="32" t="str">
        <f>IF(S37=""," ",S37*Inputs!$B$39)</f>
        <v xml:space="preserve"> </v>
      </c>
      <c r="AO37" s="32" t="str">
        <f>IF(T37=""," ",T37*Inputs!$B$39)</f>
        <v xml:space="preserve"> </v>
      </c>
      <c r="AP37" s="32" t="str">
        <f>IF(U37=""," ",U37*Inputs!$B$39)</f>
        <v xml:space="preserve"> </v>
      </c>
      <c r="AR37" s="589"/>
      <c r="AS37" s="589"/>
      <c r="AT37" s="33"/>
      <c r="AU37" s="27" t="s">
        <v>499</v>
      </c>
      <c r="AV37" s="32" t="str">
        <f>IF(AA37=" "," ",AA37*Inputs!$B$53)</f>
        <v xml:space="preserve"> </v>
      </c>
      <c r="AW37" s="32" t="str">
        <f>IF(AB37=" "," ",AB37*Inputs!$B$53)</f>
        <v xml:space="preserve"> </v>
      </c>
      <c r="AX37" s="32" t="str">
        <f>IF(AC37=" "," ",AC37*Inputs!$B$53)</f>
        <v xml:space="preserve"> </v>
      </c>
      <c r="AY37" s="32" t="str">
        <f>IF(AD37=" "," ",AD37*Inputs!$B$53)</f>
        <v xml:space="preserve"> </v>
      </c>
      <c r="AZ37" s="32" t="str">
        <f>IF(AE37=" "," ",AE37*Inputs!$B$53)</f>
        <v xml:space="preserve"> </v>
      </c>
      <c r="BA37" s="32" t="str">
        <f>IF(AF37=" "," ",AF37*Inputs!$B$53)</f>
        <v xml:space="preserve"> </v>
      </c>
      <c r="BB37" s="32" t="str">
        <f>IF(AG37=" "," ",AG37*Inputs!$B$53)</f>
        <v xml:space="preserve"> </v>
      </c>
      <c r="BC37" s="32" t="str">
        <f>IF(AH37=" "," ",AH37*Inputs!$B$53)</f>
        <v xml:space="preserve"> </v>
      </c>
      <c r="BD37" s="32" t="str">
        <f>IF(AI37=" "," ",AI37*Inputs!$B$53)</f>
        <v xml:space="preserve"> </v>
      </c>
      <c r="BE37" s="32" t="str">
        <f>IF(AJ37=" "," ",AJ37*Inputs!$B$53)</f>
        <v xml:space="preserve"> </v>
      </c>
      <c r="BF37" s="32" t="str">
        <f>IF(AK37=" "," ",AK37*Inputs!$B$53)</f>
        <v xml:space="preserve"> </v>
      </c>
      <c r="BG37" s="32" t="str">
        <f>IF(AL37=" "," ",AL37*Inputs!$B$53)</f>
        <v xml:space="preserve"> </v>
      </c>
      <c r="BH37" s="32" t="str">
        <f>IF(AM37=" "," ",AM37*Inputs!$B$53)</f>
        <v xml:space="preserve"> </v>
      </c>
      <c r="BI37" s="32" t="str">
        <f>IF(AN37=" "," ",AN37*Inputs!$B$53)</f>
        <v xml:space="preserve"> </v>
      </c>
      <c r="BJ37" s="32" t="str">
        <f>IF(AO37=" "," ",AO37*Inputs!$B$53)</f>
        <v xml:space="preserve"> </v>
      </c>
      <c r="BK37" s="32" t="str">
        <f>IF(AP37=" "," ",AP37*Inputs!$B$53)</f>
        <v xml:space="preserve"> </v>
      </c>
      <c r="BM37" s="641"/>
      <c r="BN37" s="133"/>
      <c r="BO37" s="589"/>
      <c r="BP37" s="90" t="s">
        <v>523</v>
      </c>
      <c r="BQ37" s="120">
        <f t="shared" si="0"/>
        <v>1</v>
      </c>
      <c r="BR37" s="120">
        <f t="shared" si="1"/>
        <v>1.232601439621416</v>
      </c>
      <c r="BS37" s="120">
        <f t="shared" si="2"/>
        <v>1.269960421516581</v>
      </c>
      <c r="BT37" s="120">
        <f t="shared" si="3"/>
        <v>1.3072509490251281</v>
      </c>
      <c r="BU37" s="120">
        <f t="shared" si="4"/>
        <v>1.3441745839601671</v>
      </c>
      <c r="BV37" s="10"/>
      <c r="BW37" s="148" t="e">
        <f>IF($BW$3=0,BW36,BW38)</f>
        <v>#VALUE!</v>
      </c>
      <c r="BZ37" s="641"/>
      <c r="CA37" s="133"/>
      <c r="CB37" s="589"/>
      <c r="CC37" s="90" t="s">
        <v>523</v>
      </c>
      <c r="CD37" s="122">
        <v>1</v>
      </c>
      <c r="CE37" s="122">
        <v>1.232601439621416</v>
      </c>
      <c r="CF37" s="122">
        <v>1.269960421516581</v>
      </c>
      <c r="CG37" s="122">
        <v>1.3072509490251281</v>
      </c>
      <c r="CH37" s="123">
        <v>1.3441745839601671</v>
      </c>
      <c r="CK37" s="641"/>
      <c r="CL37" s="133"/>
      <c r="CM37" s="589"/>
      <c r="CN37" s="90" t="s">
        <v>523</v>
      </c>
      <c r="CO37" s="122">
        <v>1</v>
      </c>
      <c r="CP37" s="122">
        <v>1.253127646499967</v>
      </c>
      <c r="CQ37" s="122">
        <v>1.291163687565575</v>
      </c>
      <c r="CR37" s="122">
        <v>1.329130033641426</v>
      </c>
      <c r="CS37" s="123">
        <v>1.3667228379266629</v>
      </c>
      <c r="CV37" s="641"/>
      <c r="CW37" s="133"/>
      <c r="CX37" s="589"/>
      <c r="CY37" s="90" t="s">
        <v>523</v>
      </c>
      <c r="CZ37" s="122">
        <v>1</v>
      </c>
      <c r="DA37" s="122">
        <v>1.2244841644809059</v>
      </c>
      <c r="DB37" s="122">
        <v>1.2615753971710959</v>
      </c>
      <c r="DC37" s="122">
        <v>1.2985986660824591</v>
      </c>
      <c r="DD37" s="123">
        <v>1.3352576719136759</v>
      </c>
    </row>
    <row r="38" spans="1:108" x14ac:dyDescent="0.25">
      <c r="B38" s="589"/>
      <c r="C38" s="589"/>
      <c r="D38" s="589"/>
      <c r="E38" s="21"/>
      <c r="F38" s="152"/>
      <c r="G38" s="152"/>
      <c r="H38" s="152"/>
      <c r="I38" s="152"/>
      <c r="J38" s="152"/>
      <c r="K38" s="152"/>
      <c r="L38" s="152"/>
      <c r="M38" s="152"/>
      <c r="N38" s="152"/>
      <c r="O38" s="152"/>
      <c r="P38" s="152"/>
      <c r="Q38" s="152"/>
      <c r="R38" s="152"/>
      <c r="S38" s="152"/>
      <c r="T38" s="152"/>
      <c r="U38" s="152"/>
      <c r="W38" s="589"/>
      <c r="X38" s="589"/>
      <c r="Y38" s="33"/>
      <c r="Z38" s="27" t="s">
        <v>500</v>
      </c>
      <c r="AA38" s="32" t="str">
        <f>IF(F38=""," ",F38*Inputs!$B$39)</f>
        <v xml:space="preserve"> </v>
      </c>
      <c r="AB38" s="32" t="str">
        <f>IF(G38=""," ",G38*Inputs!$B$39)</f>
        <v xml:space="preserve"> </v>
      </c>
      <c r="AC38" s="32" t="str">
        <f>IF(H38=""," ",H38*Inputs!$B$39)</f>
        <v xml:space="preserve"> </v>
      </c>
      <c r="AD38" s="32" t="str">
        <f>IF(I38=""," ",I38*Inputs!$B$39)</f>
        <v xml:space="preserve"> </v>
      </c>
      <c r="AE38" s="32" t="str">
        <f>IF(J38=""," ",J38*Inputs!$B$39)</f>
        <v xml:space="preserve"> </v>
      </c>
      <c r="AF38" s="32" t="str">
        <f>IF(K38=""," ",K38*Inputs!$B$39)</f>
        <v xml:space="preserve"> </v>
      </c>
      <c r="AG38" s="32" t="str">
        <f>IF(L38=""," ",L38*Inputs!$B$39)</f>
        <v xml:space="preserve"> </v>
      </c>
      <c r="AH38" s="32" t="str">
        <f>IF(M38=""," ",M38*Inputs!$B$39)</f>
        <v xml:space="preserve"> </v>
      </c>
      <c r="AI38" s="32" t="str">
        <f>IF(N38=""," ",N38*Inputs!$B$39)</f>
        <v xml:space="preserve"> </v>
      </c>
      <c r="AJ38" s="32" t="str">
        <f>IF(O38=""," ",O38*Inputs!$B$39)</f>
        <v xml:space="preserve"> </v>
      </c>
      <c r="AK38" s="32" t="str">
        <f>IF(P38=""," ",P38*Inputs!$B$39)</f>
        <v xml:space="preserve"> </v>
      </c>
      <c r="AL38" s="32" t="str">
        <f>IF(Q38=""," ",Q38*Inputs!$B$39)</f>
        <v xml:space="preserve"> </v>
      </c>
      <c r="AM38" s="32" t="str">
        <f>IF(R38=""," ",R38*Inputs!$B$39)</f>
        <v xml:space="preserve"> </v>
      </c>
      <c r="AN38" s="32" t="str">
        <f>IF(S38=""," ",S38*Inputs!$B$39)</f>
        <v xml:space="preserve"> </v>
      </c>
      <c r="AO38" s="32" t="str">
        <f>IF(T38=""," ",T38*Inputs!$B$39)</f>
        <v xml:space="preserve"> </v>
      </c>
      <c r="AP38" s="32" t="str">
        <f>IF(U38=""," ",U38*Inputs!$B$39)</f>
        <v xml:space="preserve"> </v>
      </c>
      <c r="AR38" s="589"/>
      <c r="AS38" s="589"/>
      <c r="AT38" s="33"/>
      <c r="AU38" s="27" t="s">
        <v>500</v>
      </c>
      <c r="AV38" s="32" t="str">
        <f>IF(AA38=" "," ",AA38*Inputs!$B$53)</f>
        <v xml:space="preserve"> </v>
      </c>
      <c r="AW38" s="32" t="str">
        <f>IF(AB38=" "," ",AB38*Inputs!$B$53)</f>
        <v xml:space="preserve"> </v>
      </c>
      <c r="AX38" s="32" t="str">
        <f>IF(AC38=" "," ",AC38*Inputs!$B$53)</f>
        <v xml:space="preserve"> </v>
      </c>
      <c r="AY38" s="32" t="str">
        <f>IF(AD38=" "," ",AD38*Inputs!$B$53)</f>
        <v xml:space="preserve"> </v>
      </c>
      <c r="AZ38" s="32" t="str">
        <f>IF(AE38=" "," ",AE38*Inputs!$B$53)</f>
        <v xml:space="preserve"> </v>
      </c>
      <c r="BA38" s="32" t="str">
        <f>IF(AF38=" "," ",AF38*Inputs!$B$53)</f>
        <v xml:space="preserve"> </v>
      </c>
      <c r="BB38" s="32" t="str">
        <f>IF(AG38=" "," ",AG38*Inputs!$B$53)</f>
        <v xml:space="preserve"> </v>
      </c>
      <c r="BC38" s="32" t="str">
        <f>IF(AH38=" "," ",AH38*Inputs!$B$53)</f>
        <v xml:space="preserve"> </v>
      </c>
      <c r="BD38" s="32" t="str">
        <f>IF(AI38=" "," ",AI38*Inputs!$B$53)</f>
        <v xml:space="preserve"> </v>
      </c>
      <c r="BE38" s="32" t="str">
        <f>IF(AJ38=" "," ",AJ38*Inputs!$B$53)</f>
        <v xml:space="preserve"> </v>
      </c>
      <c r="BF38" s="32" t="str">
        <f>IF(AK38=" "," ",AK38*Inputs!$B$53)</f>
        <v xml:space="preserve"> </v>
      </c>
      <c r="BG38" s="32" t="str">
        <f>IF(AL38=" "," ",AL38*Inputs!$B$53)</f>
        <v xml:space="preserve"> </v>
      </c>
      <c r="BH38" s="32" t="str">
        <f>IF(AM38=" "," ",AM38*Inputs!$B$53)</f>
        <v xml:space="preserve"> </v>
      </c>
      <c r="BI38" s="32" t="str">
        <f>IF(AN38=" "," ",AN38*Inputs!$B$53)</f>
        <v xml:space="preserve"> </v>
      </c>
      <c r="BJ38" s="32" t="str">
        <f>IF(AO38=" "," ",AO38*Inputs!$B$53)</f>
        <v xml:space="preserve"> </v>
      </c>
      <c r="BK38" s="32" t="str">
        <f>IF(AP38=" "," ",AP38*Inputs!$B$53)</f>
        <v xml:space="preserve"> </v>
      </c>
      <c r="BM38" s="641"/>
      <c r="BN38" s="133"/>
      <c r="BO38" s="589"/>
      <c r="BP38" s="90" t="s">
        <v>524</v>
      </c>
      <c r="BQ38" s="120">
        <f t="shared" ref="BQ38:BQ64" si="5">IF(AND($BZ$6&gt;=0.25,$BZ$6&lt;0.35),CD38,IF(AND($BZ$6&gt;=0.35,$BZ$6&lt;0.45),CO38,CZ38))</f>
        <v>1</v>
      </c>
      <c r="BR38" s="120">
        <f t="shared" ref="BR38:BR64" si="6">IF(AND($BZ$6&gt;=0.25,$BZ$6&lt;0.35),CE38,IF(AND($BZ$6&gt;=0.35,$BZ$6&lt;0.45),CP38,DA38))</f>
        <v>1.229994316672113</v>
      </c>
      <c r="BS38" s="120">
        <f t="shared" ref="BS38:BS64" si="7">IF(AND($BZ$6&gt;=0.25,$BZ$6&lt;0.35),CF38,IF(AND($BZ$6&gt;=0.35,$BZ$6&lt;0.45),CQ38,DB38))</f>
        <v>1.359988633344225</v>
      </c>
      <c r="BT38" s="120">
        <f t="shared" ref="BT38:BT64" si="8">IF(AND($BZ$6&gt;=0.25,$BZ$6&lt;0.35),CG38,IF(AND($BZ$6&gt;=0.35,$BZ$6&lt;0.45),CR38,DC38))</f>
        <v>1.40014865921183</v>
      </c>
      <c r="BU38" s="120">
        <f t="shared" ref="BU38:BU64" si="9">IF(AND($BZ$6&gt;=0.25,$BZ$6&lt;0.35),CH38,IF(AND($BZ$6&gt;=0.35,$BZ$6&lt;0.45),CS38,DD38))</f>
        <v>1.4399135601984761</v>
      </c>
      <c r="BV38" s="10"/>
      <c r="BW38" s="32" t="e">
        <f>IF(VALUE($BW$5)&lt;=0.8,"1",IF(AND(VALUE($BW5)&gt;0.8,VALUE($BW$5)&lt;=0.96),FORECAST(VALUE($BW$5),BQ38:BR38,$BQ$5:$BR$5),IF(AND(VALUE($BW$5)&gt;0.96,VALUE($BW$5)&lt;=1.12),FORECAST(VALUE($BW$5),BR38:BS38,$BR$5:$BS$5),IF(AND(VALUE($BW$5)&gt;1.12,VALUE($BW$5)&lt;=1.3),FORECAST(VALUE($BW$5),BS38:BT38,$BS$5:$BT$5),FORECAST(VALUE($BW$5),BT38:BU38,$BT$5:$BU$5)))))</f>
        <v>#VALUE!</v>
      </c>
      <c r="BZ38" s="641"/>
      <c r="CA38" s="133"/>
      <c r="CB38" s="589"/>
      <c r="CC38" s="90" t="s">
        <v>524</v>
      </c>
      <c r="CD38" s="122">
        <v>1</v>
      </c>
      <c r="CE38" s="122">
        <v>1.229994316672113</v>
      </c>
      <c r="CF38" s="122">
        <v>1.359988633344225</v>
      </c>
      <c r="CG38" s="122">
        <v>1.40014865921183</v>
      </c>
      <c r="CH38" s="123">
        <v>1.4399135601984761</v>
      </c>
      <c r="CK38" s="641"/>
      <c r="CL38" s="133"/>
      <c r="CM38" s="589"/>
      <c r="CN38" s="90" t="s">
        <v>524</v>
      </c>
      <c r="CO38" s="122">
        <v>1</v>
      </c>
      <c r="CP38" s="122">
        <v>1.187070669692361</v>
      </c>
      <c r="CQ38" s="122">
        <v>1.2741413393847221</v>
      </c>
      <c r="CR38" s="122">
        <v>1.311565126642835</v>
      </c>
      <c r="CS38" s="123">
        <v>1.348620710216663</v>
      </c>
      <c r="CV38" s="641"/>
      <c r="CW38" s="133"/>
      <c r="CX38" s="589"/>
      <c r="CY38" s="90" t="s">
        <v>524</v>
      </c>
      <c r="CZ38" s="122">
        <v>1</v>
      </c>
      <c r="DA38" s="122">
        <v>1.209613107405074</v>
      </c>
      <c r="DB38" s="122">
        <v>1.319226214810147</v>
      </c>
      <c r="DC38" s="122">
        <v>1.358087006907357</v>
      </c>
      <c r="DD38" s="123">
        <v>1.396565456973663</v>
      </c>
    </row>
    <row r="39" spans="1:108" x14ac:dyDescent="0.25">
      <c r="B39" s="589"/>
      <c r="C39" s="589"/>
      <c r="D39" s="591"/>
      <c r="E39" s="149"/>
      <c r="F39" s="153"/>
      <c r="G39" s="153"/>
      <c r="H39" s="153"/>
      <c r="I39" s="153"/>
      <c r="J39" s="153"/>
      <c r="K39" s="153"/>
      <c r="L39" s="153"/>
      <c r="M39" s="153"/>
      <c r="N39" s="153"/>
      <c r="O39" s="153"/>
      <c r="P39" s="153"/>
      <c r="Q39" s="153"/>
      <c r="R39" s="153"/>
      <c r="S39" s="153"/>
      <c r="T39" s="153"/>
      <c r="U39" s="153"/>
      <c r="W39" s="589"/>
      <c r="X39" s="589"/>
      <c r="Y39" s="6"/>
      <c r="Z39" s="29" t="s">
        <v>501</v>
      </c>
      <c r="AA39" s="32" t="str">
        <f>IF(F39=""," ",F39*Inputs!$B$39)</f>
        <v xml:space="preserve"> </v>
      </c>
      <c r="AB39" s="32" t="str">
        <f>IF(G39=""," ",G39*Inputs!$B$39)</f>
        <v xml:space="preserve"> </v>
      </c>
      <c r="AC39" s="32" t="str">
        <f>IF(H39=""," ",H39*Inputs!$B$39)</f>
        <v xml:space="preserve"> </v>
      </c>
      <c r="AD39" s="32" t="str">
        <f>IF(I39=""," ",I39*Inputs!$B$39)</f>
        <v xml:space="preserve"> </v>
      </c>
      <c r="AE39" s="32" t="str">
        <f>IF(J39=""," ",J39*Inputs!$B$39)</f>
        <v xml:space="preserve"> </v>
      </c>
      <c r="AF39" s="32" t="str">
        <f>IF(K39=""," ",K39*Inputs!$B$39)</f>
        <v xml:space="preserve"> </v>
      </c>
      <c r="AG39" s="32" t="str">
        <f>IF(L39=""," ",L39*Inputs!$B$39)</f>
        <v xml:space="preserve"> </v>
      </c>
      <c r="AH39" s="32" t="str">
        <f>IF(M39=""," ",M39*Inputs!$B$39)</f>
        <v xml:space="preserve"> </v>
      </c>
      <c r="AI39" s="32" t="str">
        <f>IF(N39=""," ",N39*Inputs!$B$39)</f>
        <v xml:space="preserve"> </v>
      </c>
      <c r="AJ39" s="32" t="str">
        <f>IF(O39=""," ",O39*Inputs!$B$39)</f>
        <v xml:space="preserve"> </v>
      </c>
      <c r="AK39" s="32" t="str">
        <f>IF(P39=""," ",P39*Inputs!$B$39)</f>
        <v xml:space="preserve"> </v>
      </c>
      <c r="AL39" s="32" t="str">
        <f>IF(Q39=""," ",Q39*Inputs!$B$39)</f>
        <v xml:space="preserve"> </v>
      </c>
      <c r="AM39" s="32" t="str">
        <f>IF(R39=""," ",R39*Inputs!$B$39)</f>
        <v xml:space="preserve"> </v>
      </c>
      <c r="AN39" s="32" t="str">
        <f>IF(S39=""," ",S39*Inputs!$B$39)</f>
        <v xml:space="preserve"> </v>
      </c>
      <c r="AO39" s="32" t="str">
        <f>IF(T39=""," ",T39*Inputs!$B$39)</f>
        <v xml:space="preserve"> </v>
      </c>
      <c r="AP39" s="32" t="str">
        <f>IF(U39=""," ",U39*Inputs!$B$39)</f>
        <v xml:space="preserve"> </v>
      </c>
      <c r="AR39" s="589"/>
      <c r="AS39" s="589"/>
      <c r="AT39" s="6"/>
      <c r="AU39" s="29" t="s">
        <v>501</v>
      </c>
      <c r="AV39" s="32" t="str">
        <f>IF(AA39=" "," ",AA39*Inputs!$B$53)</f>
        <v xml:space="preserve"> </v>
      </c>
      <c r="AW39" s="32" t="str">
        <f>IF(AB39=" "," ",AB39*Inputs!$B$53)</f>
        <v xml:space="preserve"> </v>
      </c>
      <c r="AX39" s="32" t="str">
        <f>IF(AC39=" "," ",AC39*Inputs!$B$53)</f>
        <v xml:space="preserve"> </v>
      </c>
      <c r="AY39" s="32" t="str">
        <f>IF(AD39=" "," ",AD39*Inputs!$B$53)</f>
        <v xml:space="preserve"> </v>
      </c>
      <c r="AZ39" s="32" t="str">
        <f>IF(AE39=" "," ",AE39*Inputs!$B$53)</f>
        <v xml:space="preserve"> </v>
      </c>
      <c r="BA39" s="32" t="str">
        <f>IF(AF39=" "," ",AF39*Inputs!$B$53)</f>
        <v xml:space="preserve"> </v>
      </c>
      <c r="BB39" s="32" t="str">
        <f>IF(AG39=" "," ",AG39*Inputs!$B$53)</f>
        <v xml:space="preserve"> </v>
      </c>
      <c r="BC39" s="32" t="str">
        <f>IF(AH39=" "," ",AH39*Inputs!$B$53)</f>
        <v xml:space="preserve"> </v>
      </c>
      <c r="BD39" s="32" t="str">
        <f>IF(AI39=" "," ",AI39*Inputs!$B$53)</f>
        <v xml:space="preserve"> </v>
      </c>
      <c r="BE39" s="32" t="str">
        <f>IF(AJ39=" "," ",AJ39*Inputs!$B$53)</f>
        <v xml:space="preserve"> </v>
      </c>
      <c r="BF39" s="32" t="str">
        <f>IF(AK39=" "," ",AK39*Inputs!$B$53)</f>
        <v xml:space="preserve"> </v>
      </c>
      <c r="BG39" s="32" t="str">
        <f>IF(AL39=" "," ",AL39*Inputs!$B$53)</f>
        <v xml:space="preserve"> </v>
      </c>
      <c r="BH39" s="32" t="str">
        <f>IF(AM39=" "," ",AM39*Inputs!$B$53)</f>
        <v xml:space="preserve"> </v>
      </c>
      <c r="BI39" s="32" t="str">
        <f>IF(AN39=" "," ",AN39*Inputs!$B$53)</f>
        <v xml:space="preserve"> </v>
      </c>
      <c r="BJ39" s="32" t="str">
        <f>IF(AO39=" "," ",AO39*Inputs!$B$53)</f>
        <v xml:space="preserve"> </v>
      </c>
      <c r="BK39" s="32" t="str">
        <f>IF(AP39=" "," ",AP39*Inputs!$B$53)</f>
        <v xml:space="preserve"> </v>
      </c>
      <c r="BM39" s="641"/>
      <c r="BN39" s="133"/>
      <c r="BO39" s="642" t="s">
        <v>546</v>
      </c>
      <c r="BP39" s="87" t="s">
        <v>522</v>
      </c>
      <c r="BQ39" s="120">
        <f t="shared" si="5"/>
        <v>1</v>
      </c>
      <c r="BR39" s="120">
        <f t="shared" si="6"/>
        <v>1.1391296477793049</v>
      </c>
      <c r="BS39" s="120">
        <f t="shared" si="7"/>
        <v>1.1734054524357891</v>
      </c>
      <c r="BT39" s="120">
        <f t="shared" si="8"/>
        <v>1.207618452137091</v>
      </c>
      <c r="BU39" s="120">
        <f t="shared" si="9"/>
        <v>1.2414948383242781</v>
      </c>
      <c r="BV39" s="10"/>
      <c r="BW39" s="32" t="e">
        <f>IF(VALUE($BW$5)&lt;=0.8,"1",IF(AND(VALUE($BW5)&gt;0.8,VALUE($BW$5)&lt;=0.96),FORECAST(VALUE($BW$5),BQ39:BR39,$BQ$5:$BR$5),IF(AND(VALUE($BW$5)&gt;0.96,VALUE($BW$5)&lt;=1.12),FORECAST(VALUE($BW$5),BR39:BS39,$BR$5:$BS$5),IF(AND(VALUE($BW$5)&gt;1.12,VALUE($BW$5)&lt;=1.3),FORECAST(VALUE($BW$5),BS39:BT39,$BS$5:$BT$5),FORECAST(VALUE($BW$5),BT39:BU39,$BT$5:$BU$5)))))</f>
        <v>#VALUE!</v>
      </c>
      <c r="BZ39" s="641"/>
      <c r="CA39" s="133"/>
      <c r="CB39" s="642" t="s">
        <v>546</v>
      </c>
      <c r="CC39" s="87" t="s">
        <v>522</v>
      </c>
      <c r="CD39" s="120">
        <v>1</v>
      </c>
      <c r="CE39" s="120">
        <v>1.1391296477793049</v>
      </c>
      <c r="CF39" s="120">
        <v>1.1734054524357891</v>
      </c>
      <c r="CG39" s="120">
        <v>1.207618452137091</v>
      </c>
      <c r="CH39" s="121">
        <v>1.2414948383242781</v>
      </c>
      <c r="CK39" s="641"/>
      <c r="CL39" s="133"/>
      <c r="CM39" s="642" t="s">
        <v>546</v>
      </c>
      <c r="CN39" s="87" t="s">
        <v>522</v>
      </c>
      <c r="CO39" s="120">
        <v>1</v>
      </c>
      <c r="CP39" s="120">
        <v>1.1391296477793049</v>
      </c>
      <c r="CQ39" s="120">
        <v>1.1734054524357891</v>
      </c>
      <c r="CR39" s="120">
        <v>1.207618452137091</v>
      </c>
      <c r="CS39" s="121">
        <v>1.2414948383242781</v>
      </c>
      <c r="CV39" s="641"/>
      <c r="CW39" s="133"/>
      <c r="CX39" s="642" t="s">
        <v>546</v>
      </c>
      <c r="CY39" s="87" t="s">
        <v>522</v>
      </c>
      <c r="CZ39" s="120">
        <v>1</v>
      </c>
      <c r="DA39" s="120">
        <v>1.1391296477793049</v>
      </c>
      <c r="DB39" s="120">
        <v>1.1734054524357891</v>
      </c>
      <c r="DC39" s="120">
        <v>1.207618452137091</v>
      </c>
      <c r="DD39" s="121">
        <v>1.2414948383242781</v>
      </c>
    </row>
    <row r="40" spans="1:108" x14ac:dyDescent="0.25">
      <c r="B40" s="620"/>
      <c r="C40" s="589"/>
      <c r="D40" s="595"/>
      <c r="E40" s="21"/>
      <c r="F40" s="152"/>
      <c r="G40" s="152"/>
      <c r="H40" s="152"/>
      <c r="I40" s="152"/>
      <c r="J40" s="152"/>
      <c r="K40" s="152"/>
      <c r="L40" s="152"/>
      <c r="M40" s="152"/>
      <c r="N40" s="152"/>
      <c r="O40" s="152"/>
      <c r="P40" s="152"/>
      <c r="Q40" s="152"/>
      <c r="R40" s="152"/>
      <c r="S40" s="152"/>
      <c r="T40" s="152"/>
      <c r="U40" s="152"/>
      <c r="W40" s="620"/>
      <c r="X40" s="589"/>
      <c r="Y40" s="33">
        <v>-2.286459040674229E-2</v>
      </c>
      <c r="Z40" s="27" t="s">
        <v>498</v>
      </c>
      <c r="AA40" s="32" t="str">
        <f>IF(F40=""," ",F40*Inputs!$B$39)</f>
        <v xml:space="preserve"> </v>
      </c>
      <c r="AB40" s="32" t="str">
        <f>IF(G40=""," ",G40*Inputs!$B$39)</f>
        <v xml:space="preserve"> </v>
      </c>
      <c r="AC40" s="32" t="str">
        <f>IF(H40=""," ",H40*Inputs!$B$39)</f>
        <v xml:space="preserve"> </v>
      </c>
      <c r="AD40" s="32" t="str">
        <f>IF(I40=""," ",I40*Inputs!$B$39)</f>
        <v xml:space="preserve"> </v>
      </c>
      <c r="AE40" s="32" t="str">
        <f>IF(J40=""," ",J40*Inputs!$B$39)</f>
        <v xml:space="preserve"> </v>
      </c>
      <c r="AF40" s="32" t="str">
        <f>IF(K40=""," ",K40*Inputs!$B$39)</f>
        <v xml:space="preserve"> </v>
      </c>
      <c r="AG40" s="32" t="str">
        <f>IF(L40=""," ",L40*Inputs!$B$39)</f>
        <v xml:space="preserve"> </v>
      </c>
      <c r="AH40" s="32" t="str">
        <f>IF(M40=""," ",M40*Inputs!$B$39)</f>
        <v xml:space="preserve"> </v>
      </c>
      <c r="AI40" s="32" t="str">
        <f>IF(N40=""," ",N40*Inputs!$B$39)</f>
        <v xml:space="preserve"> </v>
      </c>
      <c r="AJ40" s="32" t="str">
        <f>IF(O40=""," ",O40*Inputs!$B$39)</f>
        <v xml:space="preserve"> </v>
      </c>
      <c r="AK40" s="32" t="str">
        <f>IF(P40=""," ",P40*Inputs!$B$39)</f>
        <v xml:space="preserve"> </v>
      </c>
      <c r="AL40" s="32" t="str">
        <f>IF(Q40=""," ",Q40*Inputs!$B$39)</f>
        <v xml:space="preserve"> </v>
      </c>
      <c r="AM40" s="32" t="str">
        <f>IF(R40=""," ",R40*Inputs!$B$39)</f>
        <v xml:space="preserve"> </v>
      </c>
      <c r="AN40" s="32" t="str">
        <f>IF(S40=""," ",S40*Inputs!$B$39)</f>
        <v xml:space="preserve"> </v>
      </c>
      <c r="AO40" s="32" t="str">
        <f>IF(T40=""," ",T40*Inputs!$B$39)</f>
        <v xml:space="preserve"> </v>
      </c>
      <c r="AP40" s="32" t="str">
        <f>IF(U40=""," ",U40*Inputs!$B$39)</f>
        <v xml:space="preserve"> </v>
      </c>
      <c r="AR40" s="620"/>
      <c r="AS40" s="589"/>
      <c r="AT40" s="33">
        <v>-2.286459040674229E-2</v>
      </c>
      <c r="AU40" s="27" t="s">
        <v>498</v>
      </c>
      <c r="AV40" s="32" t="str">
        <f>IF(AA40=" "," ",AA40*Inputs!$B$53)</f>
        <v xml:space="preserve"> </v>
      </c>
      <c r="AW40" s="32" t="str">
        <f>IF(AB40=" "," ",AB40*Inputs!$B$53)</f>
        <v xml:space="preserve"> </v>
      </c>
      <c r="AX40" s="32" t="str">
        <f>IF(AC40=" "," ",AC40*Inputs!$B$53)</f>
        <v xml:space="preserve"> </v>
      </c>
      <c r="AY40" s="32" t="str">
        <f>IF(AD40=" "," ",AD40*Inputs!$B$53)</f>
        <v xml:space="preserve"> </v>
      </c>
      <c r="AZ40" s="32" t="str">
        <f>IF(AE40=" "," ",AE40*Inputs!$B$53)</f>
        <v xml:space="preserve"> </v>
      </c>
      <c r="BA40" s="32" t="str">
        <f>IF(AF40=" "," ",AF40*Inputs!$B$53)</f>
        <v xml:space="preserve"> </v>
      </c>
      <c r="BB40" s="32" t="str">
        <f>IF(AG40=" "," ",AG40*Inputs!$B$53)</f>
        <v xml:space="preserve"> </v>
      </c>
      <c r="BC40" s="32" t="str">
        <f>IF(AH40=" "," ",AH40*Inputs!$B$53)</f>
        <v xml:space="preserve"> </v>
      </c>
      <c r="BD40" s="32" t="str">
        <f>IF(AI40=" "," ",AI40*Inputs!$B$53)</f>
        <v xml:space="preserve"> </v>
      </c>
      <c r="BE40" s="32" t="str">
        <f>IF(AJ40=" "," ",AJ40*Inputs!$B$53)</f>
        <v xml:space="preserve"> </v>
      </c>
      <c r="BF40" s="32" t="str">
        <f>IF(AK40=" "," ",AK40*Inputs!$B$53)</f>
        <v xml:space="preserve"> </v>
      </c>
      <c r="BG40" s="32" t="str">
        <f>IF(AL40=" "," ",AL40*Inputs!$B$53)</f>
        <v xml:space="preserve"> </v>
      </c>
      <c r="BH40" s="32" t="str">
        <f>IF(AM40=" "," ",AM40*Inputs!$B$53)</f>
        <v xml:space="preserve"> </v>
      </c>
      <c r="BI40" s="32" t="str">
        <f>IF(AN40=" "," ",AN40*Inputs!$B$53)</f>
        <v xml:space="preserve"> </v>
      </c>
      <c r="BJ40" s="32" t="str">
        <f>IF(AO40=" "," ",AO40*Inputs!$B$53)</f>
        <v xml:space="preserve"> </v>
      </c>
      <c r="BK40" s="32" t="str">
        <f>IF(AP40=" "," ",AP40*Inputs!$B$53)</f>
        <v xml:space="preserve"> </v>
      </c>
      <c r="BM40" s="641"/>
      <c r="BN40" s="133"/>
      <c r="BO40" s="589"/>
      <c r="BP40" s="90" t="s">
        <v>523</v>
      </c>
      <c r="BQ40" s="120">
        <f t="shared" si="5"/>
        <v>1</v>
      </c>
      <c r="BR40" s="120">
        <f t="shared" si="6"/>
        <v>1.155240503677774</v>
      </c>
      <c r="BS40" s="120">
        <f t="shared" si="7"/>
        <v>1.1900477266715219</v>
      </c>
      <c r="BT40" s="120">
        <f t="shared" si="8"/>
        <v>1.224791170970589</v>
      </c>
      <c r="BU40" s="120">
        <f t="shared" si="9"/>
        <v>1.259192782838122</v>
      </c>
      <c r="BV40" s="10"/>
      <c r="BW40" s="148" t="e">
        <f>IF($BW$3=0,BW39,BW41)</f>
        <v>#VALUE!</v>
      </c>
      <c r="BZ40" s="641"/>
      <c r="CA40" s="133"/>
      <c r="CB40" s="589"/>
      <c r="CC40" s="90" t="s">
        <v>523</v>
      </c>
      <c r="CD40" s="122">
        <v>1</v>
      </c>
      <c r="CE40" s="122">
        <v>1.155240503677774</v>
      </c>
      <c r="CF40" s="122">
        <v>1.1900477266715219</v>
      </c>
      <c r="CG40" s="122">
        <v>1.224791170970589</v>
      </c>
      <c r="CH40" s="123">
        <v>1.259192782838122</v>
      </c>
      <c r="CK40" s="641"/>
      <c r="CL40" s="133"/>
      <c r="CM40" s="589"/>
      <c r="CN40" s="90" t="s">
        <v>523</v>
      </c>
      <c r="CO40" s="122">
        <v>1</v>
      </c>
      <c r="CP40" s="122">
        <v>1.400239566532673</v>
      </c>
      <c r="CQ40" s="122">
        <v>1.4431281103100051</v>
      </c>
      <c r="CR40" s="122">
        <v>1.485938067658898</v>
      </c>
      <c r="CS40" s="123">
        <v>1.5283268280853319</v>
      </c>
      <c r="CV40" s="641"/>
      <c r="CW40" s="133"/>
      <c r="CX40" s="589"/>
      <c r="CY40" s="90" t="s">
        <v>523</v>
      </c>
      <c r="CZ40" s="122">
        <v>1</v>
      </c>
      <c r="DA40" s="122">
        <v>1.375953411327107</v>
      </c>
      <c r="DB40" s="122">
        <v>1.4180408736287411</v>
      </c>
      <c r="DC40" s="122">
        <v>1.460051217356207</v>
      </c>
      <c r="DD40" s="123">
        <v>1.501648231368222</v>
      </c>
    </row>
    <row r="41" spans="1:108" x14ac:dyDescent="0.25">
      <c r="B41" s="589"/>
      <c r="C41" s="589"/>
      <c r="D41" s="589"/>
      <c r="E41" s="21"/>
      <c r="F41" s="152"/>
      <c r="G41" s="152"/>
      <c r="H41" s="152"/>
      <c r="I41" s="152"/>
      <c r="J41" s="152"/>
      <c r="K41" s="152"/>
      <c r="L41" s="152"/>
      <c r="M41" s="152"/>
      <c r="N41" s="152"/>
      <c r="O41" s="152"/>
      <c r="P41" s="152"/>
      <c r="Q41" s="152"/>
      <c r="R41" s="152"/>
      <c r="S41" s="152"/>
      <c r="T41" s="152"/>
      <c r="U41" s="152"/>
      <c r="W41" s="589"/>
      <c r="X41" s="589"/>
      <c r="Y41" s="33"/>
      <c r="Z41" s="27" t="s">
        <v>499</v>
      </c>
      <c r="AA41" s="32" t="str">
        <f>IF(F41=""," ",F41*Inputs!$B$39)</f>
        <v xml:space="preserve"> </v>
      </c>
      <c r="AB41" s="32" t="str">
        <f>IF(G41=""," ",G41*Inputs!$B$39)</f>
        <v xml:space="preserve"> </v>
      </c>
      <c r="AC41" s="32" t="str">
        <f>IF(H41=""," ",H41*Inputs!$B$39)</f>
        <v xml:space="preserve"> </v>
      </c>
      <c r="AD41" s="32" t="str">
        <f>IF(I41=""," ",I41*Inputs!$B$39)</f>
        <v xml:space="preserve"> </v>
      </c>
      <c r="AE41" s="32" t="str">
        <f>IF(J41=""," ",J41*Inputs!$B$39)</f>
        <v xml:space="preserve"> </v>
      </c>
      <c r="AF41" s="32" t="str">
        <f>IF(K41=""," ",K41*Inputs!$B$39)</f>
        <v xml:space="preserve"> </v>
      </c>
      <c r="AG41" s="32" t="str">
        <f>IF(L41=""," ",L41*Inputs!$B$39)</f>
        <v xml:space="preserve"> </v>
      </c>
      <c r="AH41" s="32" t="str">
        <f>IF(M41=""," ",M41*Inputs!$B$39)</f>
        <v xml:space="preserve"> </v>
      </c>
      <c r="AI41" s="32" t="str">
        <f>IF(N41=""," ",N41*Inputs!$B$39)</f>
        <v xml:space="preserve"> </v>
      </c>
      <c r="AJ41" s="32" t="str">
        <f>IF(O41=""," ",O41*Inputs!$B$39)</f>
        <v xml:space="preserve"> </v>
      </c>
      <c r="AK41" s="32" t="str">
        <f>IF(P41=""," ",P41*Inputs!$B$39)</f>
        <v xml:space="preserve"> </v>
      </c>
      <c r="AL41" s="32" t="str">
        <f>IF(Q41=""," ",Q41*Inputs!$B$39)</f>
        <v xml:space="preserve"> </v>
      </c>
      <c r="AM41" s="32" t="str">
        <f>IF(R41=""," ",R41*Inputs!$B$39)</f>
        <v xml:space="preserve"> </v>
      </c>
      <c r="AN41" s="32" t="str">
        <f>IF(S41=""," ",S41*Inputs!$B$39)</f>
        <v xml:space="preserve"> </v>
      </c>
      <c r="AO41" s="32" t="str">
        <f>IF(T41=""," ",T41*Inputs!$B$39)</f>
        <v xml:space="preserve"> </v>
      </c>
      <c r="AP41" s="32" t="str">
        <f>IF(U41=""," ",U41*Inputs!$B$39)</f>
        <v xml:space="preserve"> </v>
      </c>
      <c r="AR41" s="589"/>
      <c r="AS41" s="589"/>
      <c r="AT41" s="33"/>
      <c r="AU41" s="27" t="s">
        <v>499</v>
      </c>
      <c r="AV41" s="32" t="str">
        <f>IF(AA41=" "," ",AA41*Inputs!$B$53)</f>
        <v xml:space="preserve"> </v>
      </c>
      <c r="AW41" s="32" t="str">
        <f>IF(AB41=" "," ",AB41*Inputs!$B$53)</f>
        <v xml:space="preserve"> </v>
      </c>
      <c r="AX41" s="32" t="str">
        <f>IF(AC41=" "," ",AC41*Inputs!$B$53)</f>
        <v xml:space="preserve"> </v>
      </c>
      <c r="AY41" s="32" t="str">
        <f>IF(AD41=" "," ",AD41*Inputs!$B$53)</f>
        <v xml:space="preserve"> </v>
      </c>
      <c r="AZ41" s="32" t="str">
        <f>IF(AE41=" "," ",AE41*Inputs!$B$53)</f>
        <v xml:space="preserve"> </v>
      </c>
      <c r="BA41" s="32" t="str">
        <f>IF(AF41=" "," ",AF41*Inputs!$B$53)</f>
        <v xml:space="preserve"> </v>
      </c>
      <c r="BB41" s="32" t="str">
        <f>IF(AG41=" "," ",AG41*Inputs!$B$53)</f>
        <v xml:space="preserve"> </v>
      </c>
      <c r="BC41" s="32" t="str">
        <f>IF(AH41=" "," ",AH41*Inputs!$B$53)</f>
        <v xml:space="preserve"> </v>
      </c>
      <c r="BD41" s="32" t="str">
        <f>IF(AI41=" "," ",AI41*Inputs!$B$53)</f>
        <v xml:space="preserve"> </v>
      </c>
      <c r="BE41" s="32" t="str">
        <f>IF(AJ41=" "," ",AJ41*Inputs!$B$53)</f>
        <v xml:space="preserve"> </v>
      </c>
      <c r="BF41" s="32" t="str">
        <f>IF(AK41=" "," ",AK41*Inputs!$B$53)</f>
        <v xml:space="preserve"> </v>
      </c>
      <c r="BG41" s="32" t="str">
        <f>IF(AL41=" "," ",AL41*Inputs!$B$53)</f>
        <v xml:space="preserve"> </v>
      </c>
      <c r="BH41" s="32" t="str">
        <f>IF(AM41=" "," ",AM41*Inputs!$B$53)</f>
        <v xml:space="preserve"> </v>
      </c>
      <c r="BI41" s="32" t="str">
        <f>IF(AN41=" "," ",AN41*Inputs!$B$53)</f>
        <v xml:space="preserve"> </v>
      </c>
      <c r="BJ41" s="32" t="str">
        <f>IF(AO41=" "," ",AO41*Inputs!$B$53)</f>
        <v xml:space="preserve"> </v>
      </c>
      <c r="BK41" s="32" t="str">
        <f>IF(AP41=" "," ",AP41*Inputs!$B$53)</f>
        <v xml:space="preserve"> </v>
      </c>
      <c r="BM41" s="641"/>
      <c r="BN41" s="133"/>
      <c r="BO41" s="591"/>
      <c r="BP41" s="112" t="s">
        <v>524</v>
      </c>
      <c r="BQ41" s="120">
        <f t="shared" si="5"/>
        <v>1</v>
      </c>
      <c r="BR41" s="120">
        <f t="shared" si="6"/>
        <v>1.17045851304057</v>
      </c>
      <c r="BS41" s="120">
        <f t="shared" si="7"/>
        <v>1.2214327279472641</v>
      </c>
      <c r="BT41" s="120">
        <f t="shared" si="8"/>
        <v>1.2571765165587581</v>
      </c>
      <c r="BU41" s="120">
        <f t="shared" si="9"/>
        <v>1.2925686305904911</v>
      </c>
      <c r="BV41" s="10"/>
      <c r="BW41" s="32" t="e">
        <f>IF(VALUE($BW$5)&lt;=0.8,"1",IF(AND(VALUE($BW5)&gt;0.8,VALUE($BW$5)&lt;=0.96),FORECAST(VALUE($BW$5),BQ41:BR41,$BQ$5:$BR$5),IF(AND(VALUE($BW$5)&gt;0.96,VALUE($BW$5)&lt;=1.12),FORECAST(VALUE($BW$5),BR41:BS41,$BR$5:$BS$5),IF(AND(VALUE($BW$5)&gt;1.12,VALUE($BW$5)&lt;=1.3),FORECAST(VALUE($BW$5),BS41:BT41,$BS$5:$BT$5),FORECAST(VALUE($BW$5),BT41:BU41,$BT$5:$BU$5)))))</f>
        <v>#VALUE!</v>
      </c>
      <c r="BZ41" s="641"/>
      <c r="CA41" s="133"/>
      <c r="CB41" s="591"/>
      <c r="CC41" s="112" t="s">
        <v>524</v>
      </c>
      <c r="CD41" s="122">
        <v>1</v>
      </c>
      <c r="CE41" s="122">
        <v>1.17045851304057</v>
      </c>
      <c r="CF41" s="122">
        <v>1.2214327279472641</v>
      </c>
      <c r="CG41" s="122">
        <v>1.2571765165587581</v>
      </c>
      <c r="CH41" s="123">
        <v>1.2925686305904911</v>
      </c>
      <c r="CK41" s="641"/>
      <c r="CL41" s="133"/>
      <c r="CM41" s="591"/>
      <c r="CN41" s="112" t="s">
        <v>524</v>
      </c>
      <c r="CO41" s="122">
        <v>1</v>
      </c>
      <c r="CP41" s="122">
        <v>1.269147981515317</v>
      </c>
      <c r="CQ41" s="122">
        <v>1.3248216949208089</v>
      </c>
      <c r="CR41" s="122">
        <v>1.363860833568169</v>
      </c>
      <c r="CS41" s="123">
        <v>1.4025158754756111</v>
      </c>
      <c r="CV41" s="641"/>
      <c r="CW41" s="133"/>
      <c r="CX41" s="591"/>
      <c r="CY41" s="112" t="s">
        <v>524</v>
      </c>
      <c r="CZ41" s="122">
        <v>1</v>
      </c>
      <c r="DA41" s="122">
        <v>1.2818033903089081</v>
      </c>
      <c r="DB41" s="122">
        <v>1.3380797422283801</v>
      </c>
      <c r="DC41" s="122">
        <v>1.3775414589123469</v>
      </c>
      <c r="DD41" s="123">
        <v>1.416614921212251</v>
      </c>
    </row>
    <row r="42" spans="1:108" x14ac:dyDescent="0.25">
      <c r="B42" s="589"/>
      <c r="C42" s="589"/>
      <c r="D42" s="589"/>
      <c r="E42" s="21"/>
      <c r="F42" s="152"/>
      <c r="G42" s="152"/>
      <c r="H42" s="152"/>
      <c r="I42" s="152"/>
      <c r="J42" s="152"/>
      <c r="K42" s="152"/>
      <c r="L42" s="152"/>
      <c r="M42" s="152"/>
      <c r="N42" s="152"/>
      <c r="O42" s="152"/>
      <c r="P42" s="152"/>
      <c r="Q42" s="152"/>
      <c r="R42" s="152"/>
      <c r="S42" s="152"/>
      <c r="T42" s="152"/>
      <c r="U42" s="152"/>
      <c r="W42" s="589"/>
      <c r="X42" s="589"/>
      <c r="Y42" s="33"/>
      <c r="Z42" s="27" t="s">
        <v>500</v>
      </c>
      <c r="AA42" s="32" t="str">
        <f>IF(F42=""," ",F42*Inputs!$B$39)</f>
        <v xml:space="preserve"> </v>
      </c>
      <c r="AB42" s="32" t="str">
        <f>IF(G42=""," ",G42*Inputs!$B$39)</f>
        <v xml:space="preserve"> </v>
      </c>
      <c r="AC42" s="32" t="str">
        <f>IF(H42=""," ",H42*Inputs!$B$39)</f>
        <v xml:space="preserve"> </v>
      </c>
      <c r="AD42" s="32" t="str">
        <f>IF(I42=""," ",I42*Inputs!$B$39)</f>
        <v xml:space="preserve"> </v>
      </c>
      <c r="AE42" s="32" t="str">
        <f>IF(J42=""," ",J42*Inputs!$B$39)</f>
        <v xml:space="preserve"> </v>
      </c>
      <c r="AF42" s="32" t="str">
        <f>IF(K42=""," ",K42*Inputs!$B$39)</f>
        <v xml:space="preserve"> </v>
      </c>
      <c r="AG42" s="32" t="str">
        <f>IF(L42=""," ",L42*Inputs!$B$39)</f>
        <v xml:space="preserve"> </v>
      </c>
      <c r="AH42" s="32" t="str">
        <f>IF(M42=""," ",M42*Inputs!$B$39)</f>
        <v xml:space="preserve"> </v>
      </c>
      <c r="AI42" s="32" t="str">
        <f>IF(N42=""," ",N42*Inputs!$B$39)</f>
        <v xml:space="preserve"> </v>
      </c>
      <c r="AJ42" s="32" t="str">
        <f>IF(O42=""," ",O42*Inputs!$B$39)</f>
        <v xml:space="preserve"> </v>
      </c>
      <c r="AK42" s="32" t="str">
        <f>IF(P42=""," ",P42*Inputs!$B$39)</f>
        <v xml:space="preserve"> </v>
      </c>
      <c r="AL42" s="32" t="str">
        <f>IF(Q42=""," ",Q42*Inputs!$B$39)</f>
        <v xml:space="preserve"> </v>
      </c>
      <c r="AM42" s="32" t="str">
        <f>IF(R42=""," ",R42*Inputs!$B$39)</f>
        <v xml:space="preserve"> </v>
      </c>
      <c r="AN42" s="32" t="str">
        <f>IF(S42=""," ",S42*Inputs!$B$39)</f>
        <v xml:space="preserve"> </v>
      </c>
      <c r="AO42" s="32" t="str">
        <f>IF(T42=""," ",T42*Inputs!$B$39)</f>
        <v xml:space="preserve"> </v>
      </c>
      <c r="AP42" s="32" t="str">
        <f>IF(U42=""," ",U42*Inputs!$B$39)</f>
        <v xml:space="preserve"> </v>
      </c>
      <c r="AR42" s="589"/>
      <c r="AS42" s="589"/>
      <c r="AT42" s="33"/>
      <c r="AU42" s="27" t="s">
        <v>500</v>
      </c>
      <c r="AV42" s="32" t="str">
        <f>IF(AA42=" "," ",AA42*Inputs!$B$53)</f>
        <v xml:space="preserve"> </v>
      </c>
      <c r="AW42" s="32" t="str">
        <f>IF(AB42=" "," ",AB42*Inputs!$B$53)</f>
        <v xml:space="preserve"> </v>
      </c>
      <c r="AX42" s="32" t="str">
        <f>IF(AC42=" "," ",AC42*Inputs!$B$53)</f>
        <v xml:space="preserve"> </v>
      </c>
      <c r="AY42" s="32" t="str">
        <f>IF(AD42=" "," ",AD42*Inputs!$B$53)</f>
        <v xml:space="preserve"> </v>
      </c>
      <c r="AZ42" s="32" t="str">
        <f>IF(AE42=" "," ",AE42*Inputs!$B$53)</f>
        <v xml:space="preserve"> </v>
      </c>
      <c r="BA42" s="32" t="str">
        <f>IF(AF42=" "," ",AF42*Inputs!$B$53)</f>
        <v xml:space="preserve"> </v>
      </c>
      <c r="BB42" s="32" t="str">
        <f>IF(AG42=" "," ",AG42*Inputs!$B$53)</f>
        <v xml:space="preserve"> </v>
      </c>
      <c r="BC42" s="32" t="str">
        <f>IF(AH42=" "," ",AH42*Inputs!$B$53)</f>
        <v xml:space="preserve"> </v>
      </c>
      <c r="BD42" s="32" t="str">
        <f>IF(AI42=" "," ",AI42*Inputs!$B$53)</f>
        <v xml:space="preserve"> </v>
      </c>
      <c r="BE42" s="32" t="str">
        <f>IF(AJ42=" "," ",AJ42*Inputs!$B$53)</f>
        <v xml:space="preserve"> </v>
      </c>
      <c r="BF42" s="32" t="str">
        <f>IF(AK42=" "," ",AK42*Inputs!$B$53)</f>
        <v xml:space="preserve"> </v>
      </c>
      <c r="BG42" s="32" t="str">
        <f>IF(AL42=" "," ",AL42*Inputs!$B$53)</f>
        <v xml:space="preserve"> </v>
      </c>
      <c r="BH42" s="32" t="str">
        <f>IF(AM42=" "," ",AM42*Inputs!$B$53)</f>
        <v xml:space="preserve"> </v>
      </c>
      <c r="BI42" s="32" t="str">
        <f>IF(AN42=" "," ",AN42*Inputs!$B$53)</f>
        <v xml:space="preserve"> </v>
      </c>
      <c r="BJ42" s="32" t="str">
        <f>IF(AO42=" "," ",AO42*Inputs!$B$53)</f>
        <v xml:space="preserve"> </v>
      </c>
      <c r="BK42" s="32" t="str">
        <f>IF(AP42=" "," ",AP42*Inputs!$B$53)</f>
        <v xml:space="preserve"> </v>
      </c>
      <c r="BM42" s="641"/>
      <c r="BN42" s="625"/>
      <c r="BO42" s="609" t="s">
        <v>521</v>
      </c>
      <c r="BP42" s="87" t="s">
        <v>522</v>
      </c>
      <c r="BQ42" s="120">
        <f t="shared" si="5"/>
        <v>1</v>
      </c>
      <c r="BR42" s="120">
        <f t="shared" si="6"/>
        <v>1.0391296477793051</v>
      </c>
      <c r="BS42" s="120">
        <f t="shared" si="7"/>
        <v>1.073405452435789</v>
      </c>
      <c r="BT42" s="120">
        <f t="shared" si="8"/>
        <v>1.1076184521370911</v>
      </c>
      <c r="BU42" s="120">
        <f t="shared" si="9"/>
        <v>1.141494838324278</v>
      </c>
      <c r="BV42" s="134"/>
      <c r="BW42" s="32" t="e">
        <f>IF(VALUE($BW$5)&lt;=0.8,"1",IF(AND(VALUE($BW5)&gt;0.8,VALUE($BW$5)&lt;=0.96),FORECAST(VALUE($BW$5),BQ42:BR42,$BQ$5:$BR$5),IF(AND(VALUE($BW$5)&gt;0.96,VALUE($BW$5)&lt;=1.12),FORECAST(VALUE($BW$5),BR42:BS42,$BR$5:$BS$5),IF(AND(VALUE($BW$5)&gt;1.12,VALUE($BW$5)&lt;=1.3),FORECAST(VALUE($BW$5),BS42:BT42,$BS$5:$BT$5),FORECAST(VALUE($BW$5),BT42:BU42,$BT$5:$BU$5)))))</f>
        <v>#VALUE!</v>
      </c>
      <c r="BZ42" s="641"/>
      <c r="CA42" s="625"/>
      <c r="CB42" s="609" t="s">
        <v>521</v>
      </c>
      <c r="CC42" s="87" t="s">
        <v>522</v>
      </c>
      <c r="CD42" s="120">
        <v>1</v>
      </c>
      <c r="CE42" s="120">
        <v>1.0391296477793051</v>
      </c>
      <c r="CF42" s="120">
        <v>1.073405452435789</v>
      </c>
      <c r="CG42" s="120">
        <v>1.1076184521370911</v>
      </c>
      <c r="CH42" s="121">
        <v>1.141494838324278</v>
      </c>
      <c r="CK42" s="641"/>
      <c r="CL42" s="625"/>
      <c r="CM42" s="609" t="s">
        <v>521</v>
      </c>
      <c r="CN42" s="87" t="s">
        <v>522</v>
      </c>
      <c r="CO42" s="120">
        <v>1</v>
      </c>
      <c r="CP42" s="120">
        <v>1.0391296477793051</v>
      </c>
      <c r="CQ42" s="120">
        <v>1.073405452435789</v>
      </c>
      <c r="CR42" s="120">
        <v>1.1076184521370911</v>
      </c>
      <c r="CS42" s="121">
        <v>1.141494838324278</v>
      </c>
      <c r="CV42" s="641"/>
      <c r="CW42" s="625"/>
      <c r="CX42" s="609" t="s">
        <v>521</v>
      </c>
      <c r="CY42" s="87" t="s">
        <v>522</v>
      </c>
      <c r="CZ42" s="120">
        <v>1</v>
      </c>
      <c r="DA42" s="120">
        <v>1.0391296477793051</v>
      </c>
      <c r="DB42" s="120">
        <v>1.073405452435789</v>
      </c>
      <c r="DC42" s="120">
        <v>1.1076184521370911</v>
      </c>
      <c r="DD42" s="121">
        <v>1.141494838324278</v>
      </c>
    </row>
    <row r="43" spans="1:108" x14ac:dyDescent="0.25">
      <c r="B43" s="591"/>
      <c r="C43" s="591"/>
      <c r="D43" s="591"/>
      <c r="E43" s="149"/>
      <c r="F43" s="153"/>
      <c r="G43" s="153"/>
      <c r="H43" s="153"/>
      <c r="I43" s="153"/>
      <c r="J43" s="153"/>
      <c r="K43" s="153"/>
      <c r="L43" s="153"/>
      <c r="M43" s="153"/>
      <c r="N43" s="153"/>
      <c r="O43" s="153"/>
      <c r="P43" s="153"/>
      <c r="Q43" s="153"/>
      <c r="R43" s="153"/>
      <c r="S43" s="153"/>
      <c r="T43" s="153"/>
      <c r="U43" s="153"/>
      <c r="W43" s="591"/>
      <c r="X43" s="591"/>
      <c r="Y43" s="6"/>
      <c r="Z43" s="29" t="s">
        <v>501</v>
      </c>
      <c r="AA43" s="32" t="str">
        <f>IF(F43=""," ",F43*Inputs!$B$39)</f>
        <v xml:space="preserve"> </v>
      </c>
      <c r="AB43" s="32" t="str">
        <f>IF(G43=""," ",G43*Inputs!$B$39)</f>
        <v xml:space="preserve"> </v>
      </c>
      <c r="AC43" s="32" t="str">
        <f>IF(H43=""," ",H43*Inputs!$B$39)</f>
        <v xml:space="preserve"> </v>
      </c>
      <c r="AD43" s="32" t="str">
        <f>IF(I43=""," ",I43*Inputs!$B$39)</f>
        <v xml:space="preserve"> </v>
      </c>
      <c r="AE43" s="32" t="str">
        <f>IF(J43=""," ",J43*Inputs!$B$39)</f>
        <v xml:space="preserve"> </v>
      </c>
      <c r="AF43" s="32" t="str">
        <f>IF(K43=""," ",K43*Inputs!$B$39)</f>
        <v xml:space="preserve"> </v>
      </c>
      <c r="AG43" s="32" t="str">
        <f>IF(L43=""," ",L43*Inputs!$B$39)</f>
        <v xml:space="preserve"> </v>
      </c>
      <c r="AH43" s="32" t="str">
        <f>IF(M43=""," ",M43*Inputs!$B$39)</f>
        <v xml:space="preserve"> </v>
      </c>
      <c r="AI43" s="32" t="str">
        <f>IF(N43=""," ",N43*Inputs!$B$39)</f>
        <v xml:space="preserve"> </v>
      </c>
      <c r="AJ43" s="32" t="str">
        <f>IF(O43=""," ",O43*Inputs!$B$39)</f>
        <v xml:space="preserve"> </v>
      </c>
      <c r="AK43" s="32" t="str">
        <f>IF(P43=""," ",P43*Inputs!$B$39)</f>
        <v xml:space="preserve"> </v>
      </c>
      <c r="AL43" s="32" t="str">
        <f>IF(Q43=""," ",Q43*Inputs!$B$39)</f>
        <v xml:space="preserve"> </v>
      </c>
      <c r="AM43" s="32" t="str">
        <f>IF(R43=""," ",R43*Inputs!$B$39)</f>
        <v xml:space="preserve"> </v>
      </c>
      <c r="AN43" s="32" t="str">
        <f>IF(S43=""," ",S43*Inputs!$B$39)</f>
        <v xml:space="preserve"> </v>
      </c>
      <c r="AO43" s="32" t="str">
        <f>IF(T43=""," ",T43*Inputs!$B$39)</f>
        <v xml:space="preserve"> </v>
      </c>
      <c r="AP43" s="32" t="str">
        <f>IF(U43=""," ",U43*Inputs!$B$39)</f>
        <v xml:space="preserve"> </v>
      </c>
      <c r="AR43" s="591"/>
      <c r="AS43" s="591"/>
      <c r="AT43" s="6"/>
      <c r="AU43" s="29" t="s">
        <v>501</v>
      </c>
      <c r="AV43" s="32" t="str">
        <f>IF(AA43=" "," ",AA43*Inputs!$B$53)</f>
        <v xml:space="preserve"> </v>
      </c>
      <c r="AW43" s="32" t="str">
        <f>IF(AB43=" "," ",AB43*Inputs!$B$53)</f>
        <v xml:space="preserve"> </v>
      </c>
      <c r="AX43" s="32" t="str">
        <f>IF(AC43=" "," ",AC43*Inputs!$B$53)</f>
        <v xml:space="preserve"> </v>
      </c>
      <c r="AY43" s="32" t="str">
        <f>IF(AD43=" "," ",AD43*Inputs!$B$53)</f>
        <v xml:space="preserve"> </v>
      </c>
      <c r="AZ43" s="32" t="str">
        <f>IF(AE43=" "," ",AE43*Inputs!$B$53)</f>
        <v xml:space="preserve"> </v>
      </c>
      <c r="BA43" s="32" t="str">
        <f>IF(AF43=" "," ",AF43*Inputs!$B$53)</f>
        <v xml:space="preserve"> </v>
      </c>
      <c r="BB43" s="32" t="str">
        <f>IF(AG43=" "," ",AG43*Inputs!$B$53)</f>
        <v xml:space="preserve"> </v>
      </c>
      <c r="BC43" s="32" t="str">
        <f>IF(AH43=" "," ",AH43*Inputs!$B$53)</f>
        <v xml:space="preserve"> </v>
      </c>
      <c r="BD43" s="32" t="str">
        <f>IF(AI43=" "," ",AI43*Inputs!$B$53)</f>
        <v xml:space="preserve"> </v>
      </c>
      <c r="BE43" s="32" t="str">
        <f>IF(AJ43=" "," ",AJ43*Inputs!$B$53)</f>
        <v xml:space="preserve"> </v>
      </c>
      <c r="BF43" s="32" t="str">
        <f>IF(AK43=" "," ",AK43*Inputs!$B$53)</f>
        <v xml:space="preserve"> </v>
      </c>
      <c r="BG43" s="32" t="str">
        <f>IF(AL43=" "," ",AL43*Inputs!$B$53)</f>
        <v xml:space="preserve"> </v>
      </c>
      <c r="BH43" s="32" t="str">
        <f>IF(AM43=" "," ",AM43*Inputs!$B$53)</f>
        <v xml:space="preserve"> </v>
      </c>
      <c r="BI43" s="32" t="str">
        <f>IF(AN43=" "," ",AN43*Inputs!$B$53)</f>
        <v xml:space="preserve"> </v>
      </c>
      <c r="BJ43" s="32" t="str">
        <f>IF(AO43=" "," ",AO43*Inputs!$B$53)</f>
        <v xml:space="preserve"> </v>
      </c>
      <c r="BK43" s="32" t="str">
        <f>IF(AP43=" "," ",AP43*Inputs!$B$53)</f>
        <v xml:space="preserve"> </v>
      </c>
      <c r="BM43" s="641"/>
      <c r="BN43" s="589"/>
      <c r="BO43" s="589"/>
      <c r="BP43" s="90" t="s">
        <v>523</v>
      </c>
      <c r="BQ43" s="120">
        <f t="shared" si="5"/>
        <v>1</v>
      </c>
      <c r="BR43" s="120">
        <f t="shared" si="6"/>
        <v>1.073129443049202</v>
      </c>
      <c r="BS43" s="120">
        <f t="shared" si="7"/>
        <v>1.108526734657312</v>
      </c>
      <c r="BT43" s="120">
        <f t="shared" si="8"/>
        <v>1.143859166363945</v>
      </c>
      <c r="BU43" s="120">
        <f t="shared" si="9"/>
        <v>1.1788439707329339</v>
      </c>
      <c r="BV43" s="134"/>
      <c r="BW43" s="148" t="e">
        <f>IF($BW$3=0,BW42,BW44)</f>
        <v>#VALUE!</v>
      </c>
      <c r="BZ43" s="641"/>
      <c r="CA43" s="589"/>
      <c r="CB43" s="589"/>
      <c r="CC43" s="90" t="s">
        <v>523</v>
      </c>
      <c r="CD43" s="122">
        <v>1</v>
      </c>
      <c r="CE43" s="122">
        <v>1.073129443049202</v>
      </c>
      <c r="CF43" s="122">
        <v>1.108526734657312</v>
      </c>
      <c r="CG43" s="122">
        <v>1.143859166363945</v>
      </c>
      <c r="CH43" s="123">
        <v>1.1788439707329339</v>
      </c>
      <c r="CK43" s="641"/>
      <c r="CL43" s="589"/>
      <c r="CM43" s="589"/>
      <c r="CN43" s="90" t="s">
        <v>523</v>
      </c>
      <c r="CO43" s="122">
        <v>1</v>
      </c>
      <c r="CP43" s="122">
        <v>1.0391210530882979</v>
      </c>
      <c r="CQ43" s="122">
        <v>1.073396574247963</v>
      </c>
      <c r="CR43" s="122">
        <v>1.107609290971908</v>
      </c>
      <c r="CS43" s="123">
        <v>1.1414853969658849</v>
      </c>
      <c r="CV43" s="641"/>
      <c r="CW43" s="589"/>
      <c r="CX43" s="589"/>
      <c r="CY43" s="90" t="s">
        <v>523</v>
      </c>
      <c r="CZ43" s="122">
        <v>1</v>
      </c>
      <c r="DA43" s="122">
        <v>1.0901431636978089</v>
      </c>
      <c r="DB43" s="122">
        <v>1.1261016547353431</v>
      </c>
      <c r="DC43" s="122">
        <v>1.1619942575627911</v>
      </c>
      <c r="DD43" s="123">
        <v>1.197533721663032</v>
      </c>
    </row>
    <row r="44" spans="1:108" x14ac:dyDescent="0.25">
      <c r="F44" s="141"/>
      <c r="G44" s="142"/>
      <c r="H44" s="142"/>
      <c r="I44" s="142"/>
      <c r="J44" s="142"/>
      <c r="K44" s="142"/>
      <c r="L44" s="142"/>
      <c r="M44" s="142"/>
      <c r="N44" s="142"/>
      <c r="O44" s="142"/>
      <c r="P44" s="142"/>
      <c r="Q44" s="142"/>
      <c r="R44" s="143"/>
      <c r="BM44" s="641"/>
      <c r="BN44" s="589"/>
      <c r="BO44" s="589"/>
      <c r="BP44" s="112" t="s">
        <v>524</v>
      </c>
      <c r="BQ44" s="120">
        <f t="shared" si="5"/>
        <v>1</v>
      </c>
      <c r="BR44" s="120">
        <f t="shared" si="6"/>
        <v>1.1030009570808099</v>
      </c>
      <c r="BS44" s="120">
        <f t="shared" si="7"/>
        <v>1.2060019141616201</v>
      </c>
      <c r="BT44" s="120">
        <f t="shared" si="8"/>
        <v>1.244441203840418</v>
      </c>
      <c r="BU44" s="120">
        <f t="shared" si="9"/>
        <v>1.282502298549707</v>
      </c>
      <c r="BV44" s="134"/>
      <c r="BW44" s="32" t="e">
        <f>IF(VALUE($BW$5)&lt;=0.8,"1",IF(AND(VALUE($BW5)&gt;0.8,VALUE($BW$5)&lt;=0.96),FORECAST(VALUE($BW$5),BQ44:BR44,$BQ$5:$BR$5),IF(AND(VALUE($BW$5)&gt;0.96,VALUE($BW$5)&lt;=1.12),FORECAST(VALUE($BW$5),BR44:BS44,$BR$5:$BS$5),IF(AND(VALUE($BW$5)&gt;1.12,VALUE($BW$5)&lt;=1.3),FORECAST(VALUE($BW$5),BS44:BT44,$BS$5:$BT$5),FORECAST(VALUE($BW$5),BT44:BU44,$BT$5:$BU$5)))))</f>
        <v>#VALUE!</v>
      </c>
      <c r="BZ44" s="641"/>
      <c r="CA44" s="589"/>
      <c r="CB44" s="589"/>
      <c r="CC44" s="112" t="s">
        <v>524</v>
      </c>
      <c r="CD44" s="122">
        <v>1</v>
      </c>
      <c r="CE44" s="122">
        <v>1.1030009570808099</v>
      </c>
      <c r="CF44" s="122">
        <v>1.2060019141616201</v>
      </c>
      <c r="CG44" s="122">
        <v>1.244441203840418</v>
      </c>
      <c r="CH44" s="123">
        <v>1.282502298549707</v>
      </c>
      <c r="CK44" s="641"/>
      <c r="CL44" s="589"/>
      <c r="CM44" s="589"/>
      <c r="CN44" s="112" t="s">
        <v>524</v>
      </c>
      <c r="CO44" s="122">
        <v>1</v>
      </c>
      <c r="CP44" s="122">
        <v>1.0825889852228019</v>
      </c>
      <c r="CQ44" s="122">
        <v>1.1651779704456029</v>
      </c>
      <c r="CR44" s="122">
        <v>1.202316065341952</v>
      </c>
      <c r="CS44" s="123">
        <v>1.239088767412774</v>
      </c>
      <c r="CV44" s="641"/>
      <c r="CW44" s="589"/>
      <c r="CX44" s="589"/>
      <c r="CY44" s="112" t="s">
        <v>524</v>
      </c>
      <c r="CZ44" s="122">
        <v>1</v>
      </c>
      <c r="DA44" s="122">
        <v>1.049140704141194</v>
      </c>
      <c r="DB44" s="122">
        <v>1.0982814082823871</v>
      </c>
      <c r="DC44" s="122">
        <v>1.1332872873826321</v>
      </c>
      <c r="DD44" s="123">
        <v>1.167948752018156</v>
      </c>
    </row>
    <row r="45" spans="1:108" ht="15" customHeight="1" x14ac:dyDescent="0.25">
      <c r="A45" t="str">
        <f>"Tilt ="&amp;Inputs!B33</f>
        <v>Tilt =XX</v>
      </c>
      <c r="B45" s="537"/>
      <c r="C45" s="538"/>
      <c r="D45" s="538"/>
      <c r="E45" s="538"/>
      <c r="F45" s="538"/>
      <c r="G45" s="538"/>
      <c r="H45" s="538"/>
      <c r="I45" s="538"/>
      <c r="J45" s="542" t="s">
        <v>547</v>
      </c>
      <c r="K45" s="538"/>
      <c r="L45" s="538"/>
      <c r="M45" s="538"/>
      <c r="N45" s="538"/>
      <c r="O45" s="538"/>
      <c r="P45" s="538"/>
      <c r="Q45" s="538"/>
      <c r="R45" s="539"/>
      <c r="S45" s="215"/>
      <c r="T45" s="215"/>
      <c r="U45" s="215"/>
      <c r="W45" s="632" t="s">
        <v>548</v>
      </c>
      <c r="X45" s="572"/>
      <c r="Y45" s="572"/>
      <c r="Z45" s="572"/>
      <c r="AA45" s="572"/>
      <c r="AB45" s="572"/>
      <c r="AC45" s="572"/>
      <c r="AD45" s="572"/>
      <c r="AE45" s="572"/>
      <c r="AF45" s="572"/>
      <c r="AG45" s="572"/>
      <c r="AH45" s="572"/>
      <c r="AI45" s="572"/>
      <c r="AJ45" s="572"/>
      <c r="AK45" s="572"/>
      <c r="AL45" s="572"/>
      <c r="AM45" s="554"/>
      <c r="AN45" s="215"/>
      <c r="AO45" s="215"/>
      <c r="AP45" s="215"/>
      <c r="AR45" s="632" t="s">
        <v>549</v>
      </c>
      <c r="AS45" s="572"/>
      <c r="AT45" s="572"/>
      <c r="AU45" s="572"/>
      <c r="AV45" s="572"/>
      <c r="AW45" s="572"/>
      <c r="AX45" s="572"/>
      <c r="AY45" s="572"/>
      <c r="AZ45" s="572"/>
      <c r="BA45" s="572"/>
      <c r="BB45" s="572"/>
      <c r="BC45" s="572"/>
      <c r="BD45" s="572"/>
      <c r="BE45" s="572"/>
      <c r="BF45" s="572"/>
      <c r="BG45" s="572"/>
      <c r="BH45" s="554"/>
      <c r="BI45" s="215"/>
      <c r="BJ45" s="215"/>
      <c r="BK45" s="215"/>
      <c r="BM45" s="641"/>
      <c r="BN45" s="589"/>
      <c r="BO45" s="642" t="s">
        <v>525</v>
      </c>
      <c r="BP45" s="87" t="s">
        <v>522</v>
      </c>
      <c r="BQ45" s="120">
        <f t="shared" si="5"/>
        <v>0</v>
      </c>
      <c r="BR45" s="120">
        <f t="shared" si="6"/>
        <v>0</v>
      </c>
      <c r="BS45" s="120">
        <f t="shared" si="7"/>
        <v>0</v>
      </c>
      <c r="BT45" s="120">
        <f t="shared" si="8"/>
        <v>0</v>
      </c>
      <c r="BU45" s="120">
        <f t="shared" si="9"/>
        <v>0</v>
      </c>
      <c r="BV45" s="134"/>
      <c r="BW45" s="32">
        <v>1</v>
      </c>
      <c r="BZ45" s="641"/>
      <c r="CA45" s="589"/>
      <c r="CB45" s="642" t="s">
        <v>525</v>
      </c>
      <c r="CC45" s="87" t="s">
        <v>522</v>
      </c>
      <c r="CD45" s="124"/>
      <c r="CE45" s="124"/>
      <c r="CF45" s="124"/>
      <c r="CG45" s="124"/>
      <c r="CH45" s="125"/>
      <c r="CK45" s="641"/>
      <c r="CL45" s="589"/>
      <c r="CM45" s="642" t="s">
        <v>525</v>
      </c>
      <c r="CN45" s="87" t="s">
        <v>522</v>
      </c>
      <c r="CO45" s="124"/>
      <c r="CP45" s="124"/>
      <c r="CQ45" s="124"/>
      <c r="CR45" s="124"/>
      <c r="CS45" s="125"/>
      <c r="CV45" s="641"/>
      <c r="CW45" s="589"/>
      <c r="CX45" s="642" t="s">
        <v>525</v>
      </c>
      <c r="CY45" s="87" t="s">
        <v>522</v>
      </c>
      <c r="CZ45" s="124"/>
      <c r="DA45" s="124"/>
      <c r="DB45" s="124"/>
      <c r="DC45" s="124"/>
      <c r="DD45" s="125"/>
    </row>
    <row r="46" spans="1:108" x14ac:dyDescent="0.25">
      <c r="A46" s="1"/>
      <c r="B46" s="21" t="s">
        <v>9</v>
      </c>
      <c r="C46" s="35" t="s">
        <v>495</v>
      </c>
      <c r="D46" s="35" t="s">
        <v>515</v>
      </c>
      <c r="E46" s="218" t="s">
        <v>496</v>
      </c>
      <c r="F46" s="529"/>
      <c r="G46" s="530"/>
      <c r="H46" s="530"/>
      <c r="I46" s="530"/>
      <c r="J46" s="531" t="s">
        <v>497</v>
      </c>
      <c r="K46" s="530"/>
      <c r="L46" s="530"/>
      <c r="M46" s="530"/>
      <c r="N46" s="530"/>
      <c r="O46" s="530"/>
      <c r="P46" s="530"/>
      <c r="Q46" s="530"/>
      <c r="R46" s="530"/>
      <c r="S46" s="530"/>
      <c r="T46" s="530"/>
      <c r="U46" s="532"/>
      <c r="W46" s="21" t="s">
        <v>9</v>
      </c>
      <c r="X46" s="35" t="s">
        <v>495</v>
      </c>
      <c r="Y46" s="35" t="s">
        <v>515</v>
      </c>
      <c r="Z46" s="35" t="s">
        <v>496</v>
      </c>
      <c r="AA46" s="600" t="s">
        <v>497</v>
      </c>
      <c r="AB46" s="601"/>
      <c r="AC46" s="601"/>
      <c r="AD46" s="601"/>
      <c r="AE46" s="601"/>
      <c r="AF46" s="601"/>
      <c r="AG46" s="601"/>
      <c r="AH46" s="601"/>
      <c r="AI46" s="601"/>
      <c r="AJ46" s="601"/>
      <c r="AK46" s="601"/>
      <c r="AL46" s="601"/>
      <c r="AM46" s="601"/>
      <c r="AN46" s="601"/>
      <c r="AO46" s="601"/>
      <c r="AP46" s="601"/>
      <c r="AR46" s="21" t="s">
        <v>9</v>
      </c>
      <c r="AS46" s="35" t="s">
        <v>495</v>
      </c>
      <c r="AT46" s="35" t="s">
        <v>515</v>
      </c>
      <c r="AU46" s="35" t="s">
        <v>496</v>
      </c>
      <c r="AV46" s="600" t="s">
        <v>497</v>
      </c>
      <c r="AW46" s="601"/>
      <c r="AX46" s="601"/>
      <c r="AY46" s="601"/>
      <c r="AZ46" s="601"/>
      <c r="BA46" s="601"/>
      <c r="BB46" s="601"/>
      <c r="BC46" s="601"/>
      <c r="BD46" s="601"/>
      <c r="BE46" s="601"/>
      <c r="BF46" s="601"/>
      <c r="BG46" s="601"/>
      <c r="BH46" s="601"/>
      <c r="BI46" s="601"/>
      <c r="BJ46" s="601"/>
      <c r="BK46" s="601"/>
      <c r="BM46" s="641"/>
      <c r="BN46" s="589"/>
      <c r="BO46" s="589"/>
      <c r="BP46" s="90" t="s">
        <v>523</v>
      </c>
      <c r="BQ46" s="120">
        <f t="shared" si="5"/>
        <v>0</v>
      </c>
      <c r="BR46" s="120">
        <f t="shared" si="6"/>
        <v>0</v>
      </c>
      <c r="BS46" s="120">
        <f t="shared" si="7"/>
        <v>0</v>
      </c>
      <c r="BT46" s="120">
        <f t="shared" si="8"/>
        <v>0</v>
      </c>
      <c r="BU46" s="120">
        <f t="shared" si="9"/>
        <v>0</v>
      </c>
      <c r="BV46" s="134"/>
      <c r="BW46" s="148">
        <f>IF($BW$3=0,BW45,BW47)</f>
        <v>1</v>
      </c>
      <c r="BZ46" s="641"/>
      <c r="CA46" s="589"/>
      <c r="CB46" s="589"/>
      <c r="CC46" s="90" t="s">
        <v>523</v>
      </c>
      <c r="CD46" s="126"/>
      <c r="CE46" s="126"/>
      <c r="CF46" s="126"/>
      <c r="CG46" s="126"/>
      <c r="CH46" s="131"/>
      <c r="CK46" s="641"/>
      <c r="CL46" s="589"/>
      <c r="CM46" s="589"/>
      <c r="CN46" s="90" t="s">
        <v>523</v>
      </c>
      <c r="CO46" s="126"/>
      <c r="CP46" s="126"/>
      <c r="CQ46" s="126"/>
      <c r="CR46" s="126"/>
      <c r="CS46" s="131"/>
      <c r="CV46" s="641"/>
      <c r="CW46" s="589"/>
      <c r="CX46" s="589"/>
      <c r="CY46" s="90" t="s">
        <v>523</v>
      </c>
      <c r="CZ46" s="126"/>
      <c r="DA46" s="126"/>
      <c r="DB46" s="126"/>
      <c r="DC46" s="126"/>
      <c r="DD46" s="131"/>
    </row>
    <row r="47" spans="1:108" x14ac:dyDescent="0.25">
      <c r="B47" s="638"/>
      <c r="C47" s="613" t="s">
        <v>6</v>
      </c>
      <c r="D47" s="588"/>
      <c r="E47" s="150"/>
      <c r="F47" s="152"/>
      <c r="G47" s="152"/>
      <c r="H47" s="152"/>
      <c r="I47" s="152"/>
      <c r="J47" s="152"/>
      <c r="K47" s="152"/>
      <c r="L47" s="152"/>
      <c r="M47" s="152"/>
      <c r="N47" s="152"/>
      <c r="O47" s="152"/>
      <c r="P47" s="152"/>
      <c r="Q47" s="152"/>
      <c r="R47" s="152"/>
      <c r="S47" s="152"/>
      <c r="T47" s="152"/>
      <c r="U47" s="152"/>
      <c r="W47" s="638"/>
      <c r="X47" s="613" t="s">
        <v>6</v>
      </c>
      <c r="Y47" s="24">
        <v>2.4501048497568689E-2</v>
      </c>
      <c r="Z47" s="24" t="s">
        <v>498</v>
      </c>
      <c r="AA47" s="32" t="str">
        <f>IF(F47=""," ",F47*Inputs!$B$39)</f>
        <v xml:space="preserve"> </v>
      </c>
      <c r="AB47" s="32" t="str">
        <f>IF(G47=""," ",G47*Inputs!$B$39)</f>
        <v xml:space="preserve"> </v>
      </c>
      <c r="AC47" s="32" t="str">
        <f>IF(H47=""," ",H47*Inputs!$B$39)</f>
        <v xml:space="preserve"> </v>
      </c>
      <c r="AD47" s="32" t="str">
        <f>IF(I47=""," ",I47*Inputs!$B$39)</f>
        <v xml:space="preserve"> </v>
      </c>
      <c r="AE47" s="32" t="str">
        <f>IF(J47=""," ",J47*Inputs!$B$39)</f>
        <v xml:space="preserve"> </v>
      </c>
      <c r="AF47" s="32" t="str">
        <f>IF(K47=""," ",K47*Inputs!$B$39)</f>
        <v xml:space="preserve"> </v>
      </c>
      <c r="AG47" s="32" t="str">
        <f>IF(L47=""," ",L47*Inputs!$B$39)</f>
        <v xml:space="preserve"> </v>
      </c>
      <c r="AH47" s="32" t="str">
        <f>IF(M47=""," ",M47*Inputs!$B$39)</f>
        <v xml:space="preserve"> </v>
      </c>
      <c r="AI47" s="32" t="str">
        <f>IF(N47=""," ",N47*Inputs!$B$39)</f>
        <v xml:space="preserve"> </v>
      </c>
      <c r="AJ47" s="32" t="str">
        <f>IF(O47=""," ",O47*Inputs!$B$39)</f>
        <v xml:space="preserve"> </v>
      </c>
      <c r="AK47" s="32" t="str">
        <f>IF(P47=""," ",P47*Inputs!$B$39)</f>
        <v xml:space="preserve"> </v>
      </c>
      <c r="AL47" s="32" t="str">
        <f>IF(Q47=""," ",Q47*Inputs!$B$39)</f>
        <v xml:space="preserve"> </v>
      </c>
      <c r="AM47" s="32" t="str">
        <f>IF(R47=""," ",R47*Inputs!$B$39)</f>
        <v xml:space="preserve"> </v>
      </c>
      <c r="AN47" s="32" t="str">
        <f>IF(S47=""," ",S47*Inputs!$B$39)</f>
        <v xml:space="preserve"> </v>
      </c>
      <c r="AO47" s="32" t="str">
        <f>IF(T47=""," ",T47*Inputs!$B$39)</f>
        <v xml:space="preserve"> </v>
      </c>
      <c r="AP47" s="32" t="str">
        <f>IF(U47=""," ",U47*Inputs!$B$39)</f>
        <v xml:space="preserve"> </v>
      </c>
      <c r="AR47" s="638"/>
      <c r="AS47" s="613" t="s">
        <v>6</v>
      </c>
      <c r="AT47" s="24">
        <v>2.4501048497568689E-2</v>
      </c>
      <c r="AU47" s="24" t="s">
        <v>498</v>
      </c>
      <c r="AV47" s="32" t="str">
        <f>IF(AA47=" "," ",AA47*Inputs!$B$53)</f>
        <v xml:space="preserve"> </v>
      </c>
      <c r="AW47" s="32" t="str">
        <f>IF(AB47=" "," ",AB47*Inputs!$B$53)</f>
        <v xml:space="preserve"> </v>
      </c>
      <c r="AX47" s="32" t="str">
        <f>IF(AC47=" "," ",AC47*Inputs!$B$53)</f>
        <v xml:space="preserve"> </v>
      </c>
      <c r="AY47" s="32" t="str">
        <f>IF(AD47=" "," ",AD47*Inputs!$B$53)</f>
        <v xml:space="preserve"> </v>
      </c>
      <c r="AZ47" s="32" t="str">
        <f>IF(AE47=" "," ",AE47*Inputs!$B$53)</f>
        <v xml:space="preserve"> </v>
      </c>
      <c r="BA47" s="32" t="str">
        <f>IF(AF47=" "," ",AF47*Inputs!$B$53)</f>
        <v xml:space="preserve"> </v>
      </c>
      <c r="BB47" s="32" t="str">
        <f>IF(AG47=" "," ",AG47*Inputs!$B$53)</f>
        <v xml:space="preserve"> </v>
      </c>
      <c r="BC47" s="32" t="str">
        <f>IF(AH47=" "," ",AH47*Inputs!$B$53)</f>
        <v xml:space="preserve"> </v>
      </c>
      <c r="BD47" s="32" t="str">
        <f>IF(AI47=" "," ",AI47*Inputs!$B$53)</f>
        <v xml:space="preserve"> </v>
      </c>
      <c r="BE47" s="32" t="str">
        <f>IF(AJ47=" "," ",AJ47*Inputs!$B$53)</f>
        <v xml:space="preserve"> </v>
      </c>
      <c r="BF47" s="32" t="str">
        <f>IF(AK47=" "," ",AK47*Inputs!$B$53)</f>
        <v xml:space="preserve"> </v>
      </c>
      <c r="BG47" s="32" t="str">
        <f>IF(AL47=" "," ",AL47*Inputs!$B$53)</f>
        <v xml:space="preserve"> </v>
      </c>
      <c r="BH47" s="32" t="str">
        <f>IF(AM47=" "," ",AM47*Inputs!$B$53)</f>
        <v xml:space="preserve"> </v>
      </c>
      <c r="BI47" s="32" t="str">
        <f>IF(AN47=" "," ",AN47*Inputs!$B$53)</f>
        <v xml:space="preserve"> </v>
      </c>
      <c r="BJ47" s="32" t="str">
        <f>IF(AO47=" "," ",AO47*Inputs!$B$53)</f>
        <v xml:space="preserve"> </v>
      </c>
      <c r="BK47" s="32" t="str">
        <f>IF(AP47=" "," ",AP47*Inputs!$B$53)</f>
        <v xml:space="preserve"> </v>
      </c>
      <c r="BM47" s="641"/>
      <c r="BN47" s="589"/>
      <c r="BO47" s="591"/>
      <c r="BP47" s="112" t="s">
        <v>524</v>
      </c>
      <c r="BQ47" s="120">
        <f t="shared" si="5"/>
        <v>0</v>
      </c>
      <c r="BR47" s="120">
        <f t="shared" si="6"/>
        <v>0</v>
      </c>
      <c r="BS47" s="120">
        <f t="shared" si="7"/>
        <v>0</v>
      </c>
      <c r="BT47" s="120">
        <f t="shared" si="8"/>
        <v>0</v>
      </c>
      <c r="BU47" s="120">
        <f t="shared" si="9"/>
        <v>0</v>
      </c>
      <c r="BV47" s="134"/>
      <c r="BW47" s="32">
        <v>1</v>
      </c>
      <c r="BZ47" s="641"/>
      <c r="CA47" s="589"/>
      <c r="CB47" s="591"/>
      <c r="CC47" s="112" t="s">
        <v>524</v>
      </c>
      <c r="CD47" s="128"/>
      <c r="CE47" s="128"/>
      <c r="CF47" s="128"/>
      <c r="CG47" s="128"/>
      <c r="CH47" s="131"/>
      <c r="CK47" s="641"/>
      <c r="CL47" s="589"/>
      <c r="CM47" s="591"/>
      <c r="CN47" s="112" t="s">
        <v>524</v>
      </c>
      <c r="CO47" s="128"/>
      <c r="CP47" s="128"/>
      <c r="CQ47" s="128"/>
      <c r="CR47" s="128"/>
      <c r="CS47" s="131"/>
      <c r="CV47" s="641"/>
      <c r="CW47" s="589"/>
      <c r="CX47" s="591"/>
      <c r="CY47" s="112" t="s">
        <v>524</v>
      </c>
      <c r="CZ47" s="128"/>
      <c r="DA47" s="128"/>
      <c r="DB47" s="128"/>
      <c r="DC47" s="128"/>
      <c r="DD47" s="131"/>
    </row>
    <row r="48" spans="1:108" x14ac:dyDescent="0.25">
      <c r="B48" s="589"/>
      <c r="C48" s="589"/>
      <c r="D48" s="589"/>
      <c r="E48" s="21"/>
      <c r="F48" s="152"/>
      <c r="G48" s="152"/>
      <c r="H48" s="152"/>
      <c r="I48" s="152"/>
      <c r="J48" s="152"/>
      <c r="K48" s="152"/>
      <c r="L48" s="152"/>
      <c r="M48" s="152"/>
      <c r="N48" s="152"/>
      <c r="O48" s="152"/>
      <c r="P48" s="152"/>
      <c r="Q48" s="152"/>
      <c r="R48" s="152"/>
      <c r="S48" s="152"/>
      <c r="T48" s="152"/>
      <c r="U48" s="152"/>
      <c r="W48" s="589"/>
      <c r="X48" s="589"/>
      <c r="Y48" s="27"/>
      <c r="Z48" s="27" t="s">
        <v>499</v>
      </c>
      <c r="AA48" s="32" t="str">
        <f>IF(F48=""," ",F48*Inputs!$B$39)</f>
        <v xml:space="preserve"> </v>
      </c>
      <c r="AB48" s="32" t="str">
        <f>IF(G48=""," ",G48*Inputs!$B$39)</f>
        <v xml:space="preserve"> </v>
      </c>
      <c r="AC48" s="32" t="str">
        <f>IF(H48=""," ",H48*Inputs!$B$39)</f>
        <v xml:space="preserve"> </v>
      </c>
      <c r="AD48" s="32" t="str">
        <f>IF(I48=""," ",I48*Inputs!$B$39)</f>
        <v xml:space="preserve"> </v>
      </c>
      <c r="AE48" s="32" t="str">
        <f>IF(J48=""," ",J48*Inputs!$B$39)</f>
        <v xml:space="preserve"> </v>
      </c>
      <c r="AF48" s="32" t="str">
        <f>IF(K48=""," ",K48*Inputs!$B$39)</f>
        <v xml:space="preserve"> </v>
      </c>
      <c r="AG48" s="32" t="str">
        <f>IF(L48=""," ",L48*Inputs!$B$39)</f>
        <v xml:space="preserve"> </v>
      </c>
      <c r="AH48" s="32" t="str">
        <f>IF(M48=""," ",M48*Inputs!$B$39)</f>
        <v xml:space="preserve"> </v>
      </c>
      <c r="AI48" s="32" t="str">
        <f>IF(N48=""," ",N48*Inputs!$B$39)</f>
        <v xml:space="preserve"> </v>
      </c>
      <c r="AJ48" s="32" t="str">
        <f>IF(O48=""," ",O48*Inputs!$B$39)</f>
        <v xml:space="preserve"> </v>
      </c>
      <c r="AK48" s="32" t="str">
        <f>IF(P48=""," ",P48*Inputs!$B$39)</f>
        <v xml:space="preserve"> </v>
      </c>
      <c r="AL48" s="32" t="str">
        <f>IF(Q48=""," ",Q48*Inputs!$B$39)</f>
        <v xml:space="preserve"> </v>
      </c>
      <c r="AM48" s="32" t="str">
        <f>IF(R48=""," ",R48*Inputs!$B$39)</f>
        <v xml:space="preserve"> </v>
      </c>
      <c r="AN48" s="32" t="str">
        <f>IF(S48=""," ",S48*Inputs!$B$39)</f>
        <v xml:space="preserve"> </v>
      </c>
      <c r="AO48" s="32" t="str">
        <f>IF(T48=""," ",T48*Inputs!$B$39)</f>
        <v xml:space="preserve"> </v>
      </c>
      <c r="AP48" s="32" t="str">
        <f>IF(U48=""," ",U48*Inputs!$B$39)</f>
        <v xml:space="preserve"> </v>
      </c>
      <c r="AR48" s="589"/>
      <c r="AS48" s="589"/>
      <c r="AT48" s="27"/>
      <c r="AU48" s="27" t="s">
        <v>499</v>
      </c>
      <c r="AV48" s="32" t="str">
        <f>IF(AA48=" "," ",AA48*Inputs!$B$53)</f>
        <v xml:space="preserve"> </v>
      </c>
      <c r="AW48" s="32" t="str">
        <f>IF(AB48=" "," ",AB48*Inputs!$B$53)</f>
        <v xml:space="preserve"> </v>
      </c>
      <c r="AX48" s="32" t="str">
        <f>IF(AC48=" "," ",AC48*Inputs!$B$53)</f>
        <v xml:space="preserve"> </v>
      </c>
      <c r="AY48" s="32" t="str">
        <f>IF(AD48=" "," ",AD48*Inputs!$B$53)</f>
        <v xml:space="preserve"> </v>
      </c>
      <c r="AZ48" s="32" t="str">
        <f>IF(AE48=" "," ",AE48*Inputs!$B$53)</f>
        <v xml:space="preserve"> </v>
      </c>
      <c r="BA48" s="32" t="str">
        <f>IF(AF48=" "," ",AF48*Inputs!$B$53)</f>
        <v xml:space="preserve"> </v>
      </c>
      <c r="BB48" s="32" t="str">
        <f>IF(AG48=" "," ",AG48*Inputs!$B$53)</f>
        <v xml:space="preserve"> </v>
      </c>
      <c r="BC48" s="32" t="str">
        <f>IF(AH48=" "," ",AH48*Inputs!$B$53)</f>
        <v xml:space="preserve"> </v>
      </c>
      <c r="BD48" s="32" t="str">
        <f>IF(AI48=" "," ",AI48*Inputs!$B$53)</f>
        <v xml:space="preserve"> </v>
      </c>
      <c r="BE48" s="32" t="str">
        <f>IF(AJ48=" "," ",AJ48*Inputs!$B$53)</f>
        <v xml:space="preserve"> </v>
      </c>
      <c r="BF48" s="32" t="str">
        <f>IF(AK48=" "," ",AK48*Inputs!$B$53)</f>
        <v xml:space="preserve"> </v>
      </c>
      <c r="BG48" s="32" t="str">
        <f>IF(AL48=" "," ",AL48*Inputs!$B$53)</f>
        <v xml:space="preserve"> </v>
      </c>
      <c r="BH48" s="32" t="str">
        <f>IF(AM48=" "," ",AM48*Inputs!$B$53)</f>
        <v xml:space="preserve"> </v>
      </c>
      <c r="BI48" s="32" t="str">
        <f>IF(AN48=" "," ",AN48*Inputs!$B$53)</f>
        <v xml:space="preserve"> </v>
      </c>
      <c r="BJ48" s="32" t="str">
        <f>IF(AO48=" "," ",AO48*Inputs!$B$53)</f>
        <v xml:space="preserve"> </v>
      </c>
      <c r="BK48" s="32" t="str">
        <f>IF(AP48=" "," ",AP48*Inputs!$B$53)</f>
        <v xml:space="preserve"> </v>
      </c>
      <c r="BM48" s="641"/>
      <c r="BN48" s="135"/>
      <c r="BO48" s="609" t="s">
        <v>545</v>
      </c>
      <c r="BP48" s="87" t="s">
        <v>522</v>
      </c>
      <c r="BQ48" s="120">
        <f t="shared" si="5"/>
        <v>1</v>
      </c>
      <c r="BR48" s="120">
        <f t="shared" si="6"/>
        <v>1.0391296477793051</v>
      </c>
      <c r="BS48" s="120">
        <f t="shared" si="7"/>
        <v>1.073405452435789</v>
      </c>
      <c r="BT48" s="120">
        <f t="shared" si="8"/>
        <v>1.1076184521370911</v>
      </c>
      <c r="BU48" s="120">
        <f t="shared" si="9"/>
        <v>1.141494838324278</v>
      </c>
      <c r="BV48" s="134"/>
      <c r="BW48" s="32" t="e">
        <f>IF(VALUE($BW$5)&lt;=0.8,"1",IF(AND(VALUE($BW5)&gt;0.8,VALUE($BW$5)&lt;=0.96),FORECAST(VALUE($BW$5),BQ48:BR48,$BQ$5:$BR$5),IF(AND(VALUE($BW$5)&gt;0.96,VALUE($BW$5)&lt;=1.12),FORECAST(VALUE($BW$5),BR48:BS48,$BR$5:$BS$5),IF(AND(VALUE($BW$5)&gt;1.12,VALUE($BW$5)&lt;=1.3),FORECAST(VALUE($BW$5),BS48:BT48,$BS$5:$BT$5),FORECAST(VALUE($BW$5),BT48:BU48,$BT$5:$BU$5)))))</f>
        <v>#VALUE!</v>
      </c>
      <c r="BZ48" s="641"/>
      <c r="CA48" s="135"/>
      <c r="CB48" s="609" t="s">
        <v>545</v>
      </c>
      <c r="CC48" s="87" t="s">
        <v>522</v>
      </c>
      <c r="CD48" s="120">
        <v>1</v>
      </c>
      <c r="CE48" s="120">
        <v>1.0391296477793051</v>
      </c>
      <c r="CF48" s="120">
        <v>1.073405452435789</v>
      </c>
      <c r="CG48" s="120">
        <v>1.1076184521370911</v>
      </c>
      <c r="CH48" s="121">
        <v>1.141494838324278</v>
      </c>
      <c r="CK48" s="641"/>
      <c r="CL48" s="135"/>
      <c r="CM48" s="609" t="s">
        <v>545</v>
      </c>
      <c r="CN48" s="87" t="s">
        <v>522</v>
      </c>
      <c r="CO48" s="120">
        <v>1</v>
      </c>
      <c r="CP48" s="120">
        <v>1.0391296477793051</v>
      </c>
      <c r="CQ48" s="120">
        <v>1.073405452435789</v>
      </c>
      <c r="CR48" s="120">
        <v>1.1076184521370911</v>
      </c>
      <c r="CS48" s="121">
        <v>1.141494838324278</v>
      </c>
      <c r="CV48" s="641"/>
      <c r="CW48" s="135"/>
      <c r="CX48" s="609" t="s">
        <v>545</v>
      </c>
      <c r="CY48" s="87" t="s">
        <v>522</v>
      </c>
      <c r="CZ48" s="120">
        <v>1</v>
      </c>
      <c r="DA48" s="120">
        <v>1.0391296477793051</v>
      </c>
      <c r="DB48" s="120">
        <v>1.073405452435789</v>
      </c>
      <c r="DC48" s="120">
        <v>1.1076184521370911</v>
      </c>
      <c r="DD48" s="121">
        <v>1.141494838324278</v>
      </c>
    </row>
    <row r="49" spans="2:108" x14ac:dyDescent="0.25">
      <c r="B49" s="589"/>
      <c r="C49" s="589"/>
      <c r="D49" s="589"/>
      <c r="E49" s="21"/>
      <c r="F49" s="152"/>
      <c r="G49" s="152"/>
      <c r="H49" s="152"/>
      <c r="I49" s="152"/>
      <c r="J49" s="152"/>
      <c r="K49" s="152"/>
      <c r="L49" s="152"/>
      <c r="M49" s="152"/>
      <c r="N49" s="152"/>
      <c r="O49" s="152"/>
      <c r="P49" s="152"/>
      <c r="Q49" s="152"/>
      <c r="R49" s="152"/>
      <c r="S49" s="152"/>
      <c r="T49" s="152"/>
      <c r="U49" s="152"/>
      <c r="W49" s="589"/>
      <c r="X49" s="589"/>
      <c r="Y49" s="27"/>
      <c r="Z49" s="27" t="s">
        <v>500</v>
      </c>
      <c r="AA49" s="32" t="str">
        <f>IF(F49=""," ",F49*Inputs!$B$39)</f>
        <v xml:space="preserve"> </v>
      </c>
      <c r="AB49" s="32" t="str">
        <f>IF(G49=""," ",G49*Inputs!$B$39)</f>
        <v xml:space="preserve"> </v>
      </c>
      <c r="AC49" s="32" t="str">
        <f>IF(H49=""," ",H49*Inputs!$B$39)</f>
        <v xml:space="preserve"> </v>
      </c>
      <c r="AD49" s="32" t="str">
        <f>IF(I49=""," ",I49*Inputs!$B$39)</f>
        <v xml:space="preserve"> </v>
      </c>
      <c r="AE49" s="32" t="str">
        <f>IF(J49=""," ",J49*Inputs!$B$39)</f>
        <v xml:space="preserve"> </v>
      </c>
      <c r="AF49" s="32" t="str">
        <f>IF(K49=""," ",K49*Inputs!$B$39)</f>
        <v xml:space="preserve"> </v>
      </c>
      <c r="AG49" s="32" t="str">
        <f>IF(L49=""," ",L49*Inputs!$B$39)</f>
        <v xml:space="preserve"> </v>
      </c>
      <c r="AH49" s="32" t="str">
        <f>IF(M49=""," ",M49*Inputs!$B$39)</f>
        <v xml:space="preserve"> </v>
      </c>
      <c r="AI49" s="32" t="str">
        <f>IF(N49=""," ",N49*Inputs!$B$39)</f>
        <v xml:space="preserve"> </v>
      </c>
      <c r="AJ49" s="32" t="str">
        <f>IF(O49=""," ",O49*Inputs!$B$39)</f>
        <v xml:space="preserve"> </v>
      </c>
      <c r="AK49" s="32" t="str">
        <f>IF(P49=""," ",P49*Inputs!$B$39)</f>
        <v xml:space="preserve"> </v>
      </c>
      <c r="AL49" s="32" t="str">
        <f>IF(Q49=""," ",Q49*Inputs!$B$39)</f>
        <v xml:space="preserve"> </v>
      </c>
      <c r="AM49" s="32" t="str">
        <f>IF(R49=""," ",R49*Inputs!$B$39)</f>
        <v xml:space="preserve"> </v>
      </c>
      <c r="AN49" s="32" t="str">
        <f>IF(S49=""," ",S49*Inputs!$B$39)</f>
        <v xml:space="preserve"> </v>
      </c>
      <c r="AO49" s="32" t="str">
        <f>IF(T49=""," ",T49*Inputs!$B$39)</f>
        <v xml:space="preserve"> </v>
      </c>
      <c r="AP49" s="32" t="str">
        <f>IF(U49=""," ",U49*Inputs!$B$39)</f>
        <v xml:space="preserve"> </v>
      </c>
      <c r="AR49" s="589"/>
      <c r="AS49" s="589"/>
      <c r="AT49" s="27"/>
      <c r="AU49" s="27" t="s">
        <v>500</v>
      </c>
      <c r="AV49" s="32" t="str">
        <f>IF(AA49=" "," ",AA49*Inputs!$B$53)</f>
        <v xml:space="preserve"> </v>
      </c>
      <c r="AW49" s="32" t="str">
        <f>IF(AB49=" "," ",AB49*Inputs!$B$53)</f>
        <v xml:space="preserve"> </v>
      </c>
      <c r="AX49" s="32" t="str">
        <f>IF(AC49=" "," ",AC49*Inputs!$B$53)</f>
        <v xml:space="preserve"> </v>
      </c>
      <c r="AY49" s="32" t="str">
        <f>IF(AD49=" "," ",AD49*Inputs!$B$53)</f>
        <v xml:space="preserve"> </v>
      </c>
      <c r="AZ49" s="32" t="str">
        <f>IF(AE49=" "," ",AE49*Inputs!$B$53)</f>
        <v xml:space="preserve"> </v>
      </c>
      <c r="BA49" s="32" t="str">
        <f>IF(AF49=" "," ",AF49*Inputs!$B$53)</f>
        <v xml:space="preserve"> </v>
      </c>
      <c r="BB49" s="32" t="str">
        <f>IF(AG49=" "," ",AG49*Inputs!$B$53)</f>
        <v xml:space="preserve"> </v>
      </c>
      <c r="BC49" s="32" t="str">
        <f>IF(AH49=" "," ",AH49*Inputs!$B$53)</f>
        <v xml:space="preserve"> </v>
      </c>
      <c r="BD49" s="32" t="str">
        <f>IF(AI49=" "," ",AI49*Inputs!$B$53)</f>
        <v xml:space="preserve"> </v>
      </c>
      <c r="BE49" s="32" t="str">
        <f>IF(AJ49=" "," ",AJ49*Inputs!$B$53)</f>
        <v xml:space="preserve"> </v>
      </c>
      <c r="BF49" s="32" t="str">
        <f>IF(AK49=" "," ",AK49*Inputs!$B$53)</f>
        <v xml:space="preserve"> </v>
      </c>
      <c r="BG49" s="32" t="str">
        <f>IF(AL49=" "," ",AL49*Inputs!$B$53)</f>
        <v xml:space="preserve"> </v>
      </c>
      <c r="BH49" s="32" t="str">
        <f>IF(AM49=" "," ",AM49*Inputs!$B$53)</f>
        <v xml:space="preserve"> </v>
      </c>
      <c r="BI49" s="32" t="str">
        <f>IF(AN49=" "," ",AN49*Inputs!$B$53)</f>
        <v xml:space="preserve"> </v>
      </c>
      <c r="BJ49" s="32" t="str">
        <f>IF(AO49=" "," ",AO49*Inputs!$B$53)</f>
        <v xml:space="preserve"> </v>
      </c>
      <c r="BK49" s="32" t="str">
        <f>IF(AP49=" "," ",AP49*Inputs!$B$53)</f>
        <v xml:space="preserve"> </v>
      </c>
      <c r="BM49" s="641"/>
      <c r="BN49" s="135"/>
      <c r="BO49" s="589"/>
      <c r="BP49" s="90" t="s">
        <v>523</v>
      </c>
      <c r="BQ49" s="120">
        <f t="shared" si="5"/>
        <v>1</v>
      </c>
      <c r="BR49" s="120">
        <f t="shared" si="6"/>
        <v>1.2209061822942899</v>
      </c>
      <c r="BS49" s="120">
        <f t="shared" si="7"/>
        <v>1.261177905748283</v>
      </c>
      <c r="BT49" s="120">
        <f t="shared" si="8"/>
        <v>1.3013758376804709</v>
      </c>
      <c r="BU49" s="120">
        <f t="shared" si="9"/>
        <v>1.3411782717830061</v>
      </c>
      <c r="BV49" s="134"/>
      <c r="BW49" s="148" t="e">
        <f>IF($BW$3=0,BW48,BW50)</f>
        <v>#VALUE!</v>
      </c>
      <c r="BZ49" s="641"/>
      <c r="CA49" s="135"/>
      <c r="CB49" s="589"/>
      <c r="CC49" s="90" t="s">
        <v>523</v>
      </c>
      <c r="CD49" s="122">
        <v>1</v>
      </c>
      <c r="CE49" s="122">
        <v>1.2209061822942899</v>
      </c>
      <c r="CF49" s="122">
        <v>1.261177905748283</v>
      </c>
      <c r="CG49" s="122">
        <v>1.3013758376804709</v>
      </c>
      <c r="CH49" s="123">
        <v>1.3411782717830061</v>
      </c>
      <c r="CK49" s="641"/>
      <c r="CL49" s="135"/>
      <c r="CM49" s="589"/>
      <c r="CN49" s="90" t="s">
        <v>523</v>
      </c>
      <c r="CO49" s="122">
        <v>1</v>
      </c>
      <c r="CP49" s="122">
        <v>1.200016142853976</v>
      </c>
      <c r="CQ49" s="122">
        <v>1.2395988060808329</v>
      </c>
      <c r="CR49" s="122">
        <v>1.2791089403790501</v>
      </c>
      <c r="CS49" s="123">
        <v>1.318230343923888</v>
      </c>
      <c r="CV49" s="641"/>
      <c r="CW49" s="135"/>
      <c r="CX49" s="589"/>
      <c r="CY49" s="90" t="s">
        <v>523</v>
      </c>
      <c r="CZ49" s="122">
        <v>1</v>
      </c>
      <c r="DA49" s="122">
        <v>1.343372531786954</v>
      </c>
      <c r="DB49" s="122">
        <v>1.387683821123004</v>
      </c>
      <c r="DC49" s="122">
        <v>1.4319139170758859</v>
      </c>
      <c r="DD49" s="123">
        <v>1.475708843702539</v>
      </c>
    </row>
    <row r="50" spans="2:108" x14ac:dyDescent="0.25">
      <c r="B50" s="589"/>
      <c r="C50" s="589"/>
      <c r="D50" s="589"/>
      <c r="E50" s="21"/>
      <c r="F50" s="152"/>
      <c r="G50" s="152"/>
      <c r="H50" s="152"/>
      <c r="I50" s="152"/>
      <c r="J50" s="152"/>
      <c r="K50" s="152"/>
      <c r="L50" s="152"/>
      <c r="M50" s="152"/>
      <c r="N50" s="152"/>
      <c r="O50" s="152"/>
      <c r="P50" s="152"/>
      <c r="Q50" s="152"/>
      <c r="R50" s="152"/>
      <c r="S50" s="152"/>
      <c r="T50" s="152"/>
      <c r="U50" s="152"/>
      <c r="W50" s="589"/>
      <c r="X50" s="589"/>
      <c r="Y50" s="29"/>
      <c r="Z50" s="29" t="s">
        <v>501</v>
      </c>
      <c r="AA50" s="32" t="str">
        <f>IF(F50=""," ",F50*Inputs!$B$39)</f>
        <v xml:space="preserve"> </v>
      </c>
      <c r="AB50" s="32" t="str">
        <f>IF(G50=""," ",G50*Inputs!$B$39)</f>
        <v xml:space="preserve"> </v>
      </c>
      <c r="AC50" s="32" t="str">
        <f>IF(H50=""," ",H50*Inputs!$B$39)</f>
        <v xml:space="preserve"> </v>
      </c>
      <c r="AD50" s="32" t="str">
        <f>IF(I50=""," ",I50*Inputs!$B$39)</f>
        <v xml:space="preserve"> </v>
      </c>
      <c r="AE50" s="32" t="str">
        <f>IF(J50=""," ",J50*Inputs!$B$39)</f>
        <v xml:space="preserve"> </v>
      </c>
      <c r="AF50" s="32" t="str">
        <f>IF(K50=""," ",K50*Inputs!$B$39)</f>
        <v xml:space="preserve"> </v>
      </c>
      <c r="AG50" s="32" t="str">
        <f>IF(L50=""," ",L50*Inputs!$B$39)</f>
        <v xml:space="preserve"> </v>
      </c>
      <c r="AH50" s="32" t="str">
        <f>IF(M50=""," ",M50*Inputs!$B$39)</f>
        <v xml:space="preserve"> </v>
      </c>
      <c r="AI50" s="32" t="str">
        <f>IF(N50=""," ",N50*Inputs!$B$39)</f>
        <v xml:space="preserve"> </v>
      </c>
      <c r="AJ50" s="32" t="str">
        <f>IF(O50=""," ",O50*Inputs!$B$39)</f>
        <v xml:space="preserve"> </v>
      </c>
      <c r="AK50" s="32" t="str">
        <f>IF(P50=""," ",P50*Inputs!$B$39)</f>
        <v xml:space="preserve"> </v>
      </c>
      <c r="AL50" s="32" t="str">
        <f>IF(Q50=""," ",Q50*Inputs!$B$39)</f>
        <v xml:space="preserve"> </v>
      </c>
      <c r="AM50" s="32" t="str">
        <f>IF(R50=""," ",R50*Inputs!$B$39)</f>
        <v xml:space="preserve"> </v>
      </c>
      <c r="AN50" s="32" t="str">
        <f>IF(S50=""," ",S50*Inputs!$B$39)</f>
        <v xml:space="preserve"> </v>
      </c>
      <c r="AO50" s="32" t="str">
        <f>IF(T50=""," ",T50*Inputs!$B$39)</f>
        <v xml:space="preserve"> </v>
      </c>
      <c r="AP50" s="32" t="str">
        <f>IF(U50=""," ",U50*Inputs!$B$39)</f>
        <v xml:space="preserve"> </v>
      </c>
      <c r="AR50" s="589"/>
      <c r="AS50" s="589"/>
      <c r="AT50" s="29"/>
      <c r="AU50" s="29" t="s">
        <v>501</v>
      </c>
      <c r="AV50" s="32" t="str">
        <f>IF(AA50=" "," ",AA50*Inputs!$B$53)</f>
        <v xml:space="preserve"> </v>
      </c>
      <c r="AW50" s="32" t="str">
        <f>IF(AB50=" "," ",AB50*Inputs!$B$53)</f>
        <v xml:space="preserve"> </v>
      </c>
      <c r="AX50" s="32" t="str">
        <f>IF(AC50=" "," ",AC50*Inputs!$B$53)</f>
        <v xml:space="preserve"> </v>
      </c>
      <c r="AY50" s="32" t="str">
        <f>IF(AD50=" "," ",AD50*Inputs!$B$53)</f>
        <v xml:space="preserve"> </v>
      </c>
      <c r="AZ50" s="32" t="str">
        <f>IF(AE50=" "," ",AE50*Inputs!$B$53)</f>
        <v xml:space="preserve"> </v>
      </c>
      <c r="BA50" s="32" t="str">
        <f>IF(AF50=" "," ",AF50*Inputs!$B$53)</f>
        <v xml:space="preserve"> </v>
      </c>
      <c r="BB50" s="32" t="str">
        <f>IF(AG50=" "," ",AG50*Inputs!$B$53)</f>
        <v xml:space="preserve"> </v>
      </c>
      <c r="BC50" s="32" t="str">
        <f>IF(AH50=" "," ",AH50*Inputs!$B$53)</f>
        <v xml:space="preserve"> </v>
      </c>
      <c r="BD50" s="32" t="str">
        <f>IF(AI50=" "," ",AI50*Inputs!$B$53)</f>
        <v xml:space="preserve"> </v>
      </c>
      <c r="BE50" s="32" t="str">
        <f>IF(AJ50=" "," ",AJ50*Inputs!$B$53)</f>
        <v xml:space="preserve"> </v>
      </c>
      <c r="BF50" s="32" t="str">
        <f>IF(AK50=" "," ",AK50*Inputs!$B$53)</f>
        <v xml:space="preserve"> </v>
      </c>
      <c r="BG50" s="32" t="str">
        <f>IF(AL50=" "," ",AL50*Inputs!$B$53)</f>
        <v xml:space="preserve"> </v>
      </c>
      <c r="BH50" s="32" t="str">
        <f>IF(AM50=" "," ",AM50*Inputs!$B$53)</f>
        <v xml:space="preserve"> </v>
      </c>
      <c r="BI50" s="32" t="str">
        <f>IF(AN50=" "," ",AN50*Inputs!$B$53)</f>
        <v xml:space="preserve"> </v>
      </c>
      <c r="BJ50" s="32" t="str">
        <f>IF(AO50=" "," ",AO50*Inputs!$B$53)</f>
        <v xml:space="preserve"> </v>
      </c>
      <c r="BK50" s="32" t="str">
        <f>IF(AP50=" "," ",AP50*Inputs!$B$53)</f>
        <v xml:space="preserve"> </v>
      </c>
      <c r="BM50" s="641"/>
      <c r="BN50" s="135"/>
      <c r="BO50" s="589"/>
      <c r="BP50" s="90" t="s">
        <v>524</v>
      </c>
      <c r="BQ50" s="120">
        <f t="shared" si="5"/>
        <v>1</v>
      </c>
      <c r="BR50" s="120">
        <f t="shared" si="6"/>
        <v>1.0530055637839031</v>
      </c>
      <c r="BS50" s="120">
        <f t="shared" si="7"/>
        <v>1.106011127567806</v>
      </c>
      <c r="BT50" s="120">
        <f t="shared" si="8"/>
        <v>1.141263378514777</v>
      </c>
      <c r="BU50" s="120">
        <f t="shared" si="9"/>
        <v>1.176168791003404</v>
      </c>
      <c r="BV50" s="134"/>
      <c r="BW50" s="32" t="e">
        <f>IF(VALUE($BW$5)&lt;=0.8,"1",IF(AND(VALUE($BW5)&gt;0.8,VALUE($BW$5)&lt;=0.96),FORECAST(VALUE($BW$5),BQ50:BR50,$BQ$5:$BR$5),IF(AND(VALUE($BW$5)&gt;0.96,VALUE($BW$5)&lt;=1.12),FORECAST(VALUE($BW$5),BR50:BS50,$BR$5:$BS$5),IF(AND(VALUE($BW$5)&gt;1.12,VALUE($BW$5)&lt;=1.3),FORECAST(VALUE($BW$5),BS50:BT50,$BS$5:$BT$5),FORECAST(VALUE($BW$5),BT50:BU50,$BT$5:$BU$5)))))</f>
        <v>#VALUE!</v>
      </c>
      <c r="BZ50" s="641"/>
      <c r="CA50" s="135"/>
      <c r="CB50" s="589"/>
      <c r="CC50" s="90" t="s">
        <v>524</v>
      </c>
      <c r="CD50" s="122">
        <v>1</v>
      </c>
      <c r="CE50" s="122">
        <v>1.0530055637839031</v>
      </c>
      <c r="CF50" s="122">
        <v>1.106011127567806</v>
      </c>
      <c r="CG50" s="122">
        <v>1.141263378514777</v>
      </c>
      <c r="CH50" s="123">
        <v>1.176168791003404</v>
      </c>
      <c r="CK50" s="641"/>
      <c r="CL50" s="135"/>
      <c r="CM50" s="589"/>
      <c r="CN50" s="90" t="s">
        <v>524</v>
      </c>
      <c r="CO50" s="122">
        <v>1</v>
      </c>
      <c r="CP50" s="122">
        <v>1.227485537233548</v>
      </c>
      <c r="CQ50" s="122">
        <v>1.4549710744670961</v>
      </c>
      <c r="CR50" s="122">
        <v>1.501345838842651</v>
      </c>
      <c r="CS50" s="123">
        <v>1.547264333012758</v>
      </c>
      <c r="CV50" s="641"/>
      <c r="CW50" s="135"/>
      <c r="CX50" s="589"/>
      <c r="CY50" s="90" t="s">
        <v>524</v>
      </c>
      <c r="CZ50" s="122">
        <v>1</v>
      </c>
      <c r="DA50" s="122">
        <v>1.203724525069497</v>
      </c>
      <c r="DB50" s="122">
        <v>1.407449050138994</v>
      </c>
      <c r="DC50" s="122">
        <v>1.4523091296389941</v>
      </c>
      <c r="DD50" s="123">
        <v>1.4967278415554499</v>
      </c>
    </row>
    <row r="51" spans="2:108" x14ac:dyDescent="0.25">
      <c r="B51" s="596"/>
      <c r="C51" s="589"/>
      <c r="D51" s="588"/>
      <c r="E51" s="150"/>
      <c r="F51" s="151"/>
      <c r="G51" s="151"/>
      <c r="H51" s="151"/>
      <c r="I51" s="151"/>
      <c r="J51" s="151"/>
      <c r="K51" s="151"/>
      <c r="L51" s="151"/>
      <c r="M51" s="151"/>
      <c r="N51" s="151"/>
      <c r="O51" s="151"/>
      <c r="P51" s="151"/>
      <c r="Q51" s="151"/>
      <c r="R51" s="151"/>
      <c r="S51" s="151"/>
      <c r="T51" s="151"/>
      <c r="U51" s="151"/>
      <c r="W51" s="596"/>
      <c r="X51" s="589"/>
      <c r="Y51" s="24">
        <v>2.4096998398891119E-2</v>
      </c>
      <c r="Z51" s="24" t="s">
        <v>498</v>
      </c>
      <c r="AA51" s="32" t="str">
        <f>IF(F51=""," ",F51*Inputs!$B$39)</f>
        <v xml:space="preserve"> </v>
      </c>
      <c r="AB51" s="32" t="str">
        <f>IF(G51=""," ",G51*Inputs!$B$39)</f>
        <v xml:space="preserve"> </v>
      </c>
      <c r="AC51" s="32" t="str">
        <f>IF(H51=""," ",H51*Inputs!$B$39)</f>
        <v xml:space="preserve"> </v>
      </c>
      <c r="AD51" s="32" t="str">
        <f>IF(I51=""," ",I51*Inputs!$B$39)</f>
        <v xml:space="preserve"> </v>
      </c>
      <c r="AE51" s="32" t="str">
        <f>IF(J51=""," ",J51*Inputs!$B$39)</f>
        <v xml:space="preserve"> </v>
      </c>
      <c r="AF51" s="32" t="str">
        <f>IF(K51=""," ",K51*Inputs!$B$39)</f>
        <v xml:space="preserve"> </v>
      </c>
      <c r="AG51" s="32" t="str">
        <f>IF(L51=""," ",L51*Inputs!$B$39)</f>
        <v xml:space="preserve"> </v>
      </c>
      <c r="AH51" s="32" t="str">
        <f>IF(M51=""," ",M51*Inputs!$B$39)</f>
        <v xml:space="preserve"> </v>
      </c>
      <c r="AI51" s="32" t="str">
        <f>IF(N51=""," ",N51*Inputs!$B$39)</f>
        <v xml:space="preserve"> </v>
      </c>
      <c r="AJ51" s="32" t="str">
        <f>IF(O51=""," ",O51*Inputs!$B$39)</f>
        <v xml:space="preserve"> </v>
      </c>
      <c r="AK51" s="32" t="str">
        <f>IF(P51=""," ",P51*Inputs!$B$39)</f>
        <v xml:space="preserve"> </v>
      </c>
      <c r="AL51" s="32" t="str">
        <f>IF(Q51=""," ",Q51*Inputs!$B$39)</f>
        <v xml:space="preserve"> </v>
      </c>
      <c r="AM51" s="32" t="str">
        <f>IF(R51=""," ",R51*Inputs!$B$39)</f>
        <v xml:space="preserve"> </v>
      </c>
      <c r="AN51" s="32" t="str">
        <f>IF(S51=""," ",S51*Inputs!$B$39)</f>
        <v xml:space="preserve"> </v>
      </c>
      <c r="AO51" s="32" t="str">
        <f>IF(T51=""," ",T51*Inputs!$B$39)</f>
        <v xml:space="preserve"> </v>
      </c>
      <c r="AP51" s="32" t="str">
        <f>IF(U51=""," ",U51*Inputs!$B$39)</f>
        <v xml:space="preserve"> </v>
      </c>
      <c r="AR51" s="596"/>
      <c r="AS51" s="589"/>
      <c r="AT51" s="24">
        <v>2.4096998398891119E-2</v>
      </c>
      <c r="AU51" s="24" t="s">
        <v>498</v>
      </c>
      <c r="AV51" s="32" t="str">
        <f>IF(AA51=" "," ",AA51*Inputs!$B$53)</f>
        <v xml:space="preserve"> </v>
      </c>
      <c r="AW51" s="32" t="str">
        <f>IF(AB51=" "," ",AB51*Inputs!$B$53)</f>
        <v xml:space="preserve"> </v>
      </c>
      <c r="AX51" s="32" t="str">
        <f>IF(AC51=" "," ",AC51*Inputs!$B$53)</f>
        <v xml:space="preserve"> </v>
      </c>
      <c r="AY51" s="32" t="str">
        <f>IF(AD51=" "," ",AD51*Inputs!$B$53)</f>
        <v xml:space="preserve"> </v>
      </c>
      <c r="AZ51" s="32" t="str">
        <f>IF(AE51=" "," ",AE51*Inputs!$B$53)</f>
        <v xml:space="preserve"> </v>
      </c>
      <c r="BA51" s="32" t="str">
        <f>IF(AF51=" "," ",AF51*Inputs!$B$53)</f>
        <v xml:space="preserve"> </v>
      </c>
      <c r="BB51" s="32" t="str">
        <f>IF(AG51=" "," ",AG51*Inputs!$B$53)</f>
        <v xml:space="preserve"> </v>
      </c>
      <c r="BC51" s="32" t="str">
        <f>IF(AH51=" "," ",AH51*Inputs!$B$53)</f>
        <v xml:space="preserve"> </v>
      </c>
      <c r="BD51" s="32" t="str">
        <f>IF(AI51=" "," ",AI51*Inputs!$B$53)</f>
        <v xml:space="preserve"> </v>
      </c>
      <c r="BE51" s="32" t="str">
        <f>IF(AJ51=" "," ",AJ51*Inputs!$B$53)</f>
        <v xml:space="preserve"> </v>
      </c>
      <c r="BF51" s="32" t="str">
        <f>IF(AK51=" "," ",AK51*Inputs!$B$53)</f>
        <v xml:space="preserve"> </v>
      </c>
      <c r="BG51" s="32" t="str">
        <f>IF(AL51=" "," ",AL51*Inputs!$B$53)</f>
        <v xml:space="preserve"> </v>
      </c>
      <c r="BH51" s="32" t="str">
        <f>IF(AM51=" "," ",AM51*Inputs!$B$53)</f>
        <v xml:space="preserve"> </v>
      </c>
      <c r="BI51" s="32" t="str">
        <f>IF(AN51=" "," ",AN51*Inputs!$B$53)</f>
        <v xml:space="preserve"> </v>
      </c>
      <c r="BJ51" s="32" t="str">
        <f>IF(AO51=" "," ",AO51*Inputs!$B$53)</f>
        <v xml:space="preserve"> </v>
      </c>
      <c r="BK51" s="32" t="str">
        <f>IF(AP51=" "," ",AP51*Inputs!$B$53)</f>
        <v xml:space="preserve"> </v>
      </c>
      <c r="BM51" s="641"/>
      <c r="BN51" s="135"/>
      <c r="BO51" s="642" t="s">
        <v>546</v>
      </c>
      <c r="BP51" s="87" t="s">
        <v>526</v>
      </c>
      <c r="BQ51" s="120">
        <f t="shared" si="5"/>
        <v>1</v>
      </c>
      <c r="BR51" s="120">
        <f t="shared" si="6"/>
        <v>1.0391296477793051</v>
      </c>
      <c r="BS51" s="120">
        <f t="shared" si="7"/>
        <v>1.073405452435789</v>
      </c>
      <c r="BT51" s="120">
        <f t="shared" si="8"/>
        <v>1.1076184521370911</v>
      </c>
      <c r="BU51" s="120">
        <f t="shared" si="9"/>
        <v>1.141494838324278</v>
      </c>
      <c r="BV51" s="134"/>
      <c r="BW51" s="32">
        <v>1</v>
      </c>
      <c r="BZ51" s="641"/>
      <c r="CA51" s="135"/>
      <c r="CB51" s="642" t="s">
        <v>546</v>
      </c>
      <c r="CC51" s="87" t="s">
        <v>526</v>
      </c>
      <c r="CD51" s="120">
        <v>1</v>
      </c>
      <c r="CE51" s="120">
        <v>1.0391296477793051</v>
      </c>
      <c r="CF51" s="120">
        <v>1.073405452435789</v>
      </c>
      <c r="CG51" s="120">
        <v>1.1076184521370911</v>
      </c>
      <c r="CH51" s="121">
        <v>1.141494838324278</v>
      </c>
      <c r="CK51" s="641"/>
      <c r="CL51" s="135"/>
      <c r="CM51" s="642" t="s">
        <v>546</v>
      </c>
      <c r="CN51" s="87" t="s">
        <v>526</v>
      </c>
      <c r="CO51" s="120">
        <v>1</v>
      </c>
      <c r="CP51" s="120">
        <v>1.0391296477793051</v>
      </c>
      <c r="CQ51" s="120">
        <v>1.073405452435789</v>
      </c>
      <c r="CR51" s="120">
        <v>1.1076184521370911</v>
      </c>
      <c r="CS51" s="121">
        <v>1.141494838324278</v>
      </c>
      <c r="CV51" s="641"/>
      <c r="CW51" s="135"/>
      <c r="CX51" s="642" t="s">
        <v>546</v>
      </c>
      <c r="CY51" s="87" t="s">
        <v>526</v>
      </c>
      <c r="CZ51" s="120">
        <v>1</v>
      </c>
      <c r="DA51" s="120">
        <v>1.0391296477793051</v>
      </c>
      <c r="DB51" s="120">
        <v>1.073405452435789</v>
      </c>
      <c r="DC51" s="120">
        <v>1.1076184521370911</v>
      </c>
      <c r="DD51" s="121">
        <v>1.141494838324278</v>
      </c>
    </row>
    <row r="52" spans="2:108" x14ac:dyDescent="0.25">
      <c r="B52" s="589"/>
      <c r="C52" s="589"/>
      <c r="D52" s="589"/>
      <c r="E52" s="21"/>
      <c r="F52" s="152"/>
      <c r="G52" s="152"/>
      <c r="H52" s="152"/>
      <c r="I52" s="152"/>
      <c r="J52" s="152"/>
      <c r="K52" s="152"/>
      <c r="L52" s="152"/>
      <c r="M52" s="152"/>
      <c r="N52" s="152"/>
      <c r="O52" s="152"/>
      <c r="P52" s="152"/>
      <c r="Q52" s="152"/>
      <c r="R52" s="152"/>
      <c r="S52" s="152"/>
      <c r="T52" s="152"/>
      <c r="U52" s="152"/>
      <c r="W52" s="589"/>
      <c r="X52" s="589"/>
      <c r="Y52" s="27"/>
      <c r="Z52" s="27" t="s">
        <v>499</v>
      </c>
      <c r="AA52" s="32" t="str">
        <f>IF(F52=""," ",F52*Inputs!$B$39)</f>
        <v xml:space="preserve"> </v>
      </c>
      <c r="AB52" s="32" t="str">
        <f>IF(G52=""," ",G52*Inputs!$B$39)</f>
        <v xml:space="preserve"> </v>
      </c>
      <c r="AC52" s="32" t="str">
        <f>IF(H52=""," ",H52*Inputs!$B$39)</f>
        <v xml:space="preserve"> </v>
      </c>
      <c r="AD52" s="32" t="str">
        <f>IF(I52=""," ",I52*Inputs!$B$39)</f>
        <v xml:space="preserve"> </v>
      </c>
      <c r="AE52" s="32" t="str">
        <f>IF(J52=""," ",J52*Inputs!$B$39)</f>
        <v xml:space="preserve"> </v>
      </c>
      <c r="AF52" s="32" t="str">
        <f>IF(K52=""," ",K52*Inputs!$B$39)</f>
        <v xml:space="preserve"> </v>
      </c>
      <c r="AG52" s="32" t="str">
        <f>IF(L52=""," ",L52*Inputs!$B$39)</f>
        <v xml:space="preserve"> </v>
      </c>
      <c r="AH52" s="32" t="str">
        <f>IF(M52=""," ",M52*Inputs!$B$39)</f>
        <v xml:space="preserve"> </v>
      </c>
      <c r="AI52" s="32" t="str">
        <f>IF(N52=""," ",N52*Inputs!$B$39)</f>
        <v xml:space="preserve"> </v>
      </c>
      <c r="AJ52" s="32" t="str">
        <f>IF(O52=""," ",O52*Inputs!$B$39)</f>
        <v xml:space="preserve"> </v>
      </c>
      <c r="AK52" s="32" t="str">
        <f>IF(P52=""," ",P52*Inputs!$B$39)</f>
        <v xml:space="preserve"> </v>
      </c>
      <c r="AL52" s="32" t="str">
        <f>IF(Q52=""," ",Q52*Inputs!$B$39)</f>
        <v xml:space="preserve"> </v>
      </c>
      <c r="AM52" s="32" t="str">
        <f>IF(R52=""," ",R52*Inputs!$B$39)</f>
        <v xml:space="preserve"> </v>
      </c>
      <c r="AN52" s="32" t="str">
        <f>IF(S52=""," ",S52*Inputs!$B$39)</f>
        <v xml:space="preserve"> </v>
      </c>
      <c r="AO52" s="32" t="str">
        <f>IF(T52=""," ",T52*Inputs!$B$39)</f>
        <v xml:space="preserve"> </v>
      </c>
      <c r="AP52" s="32" t="str">
        <f>IF(U52=""," ",U52*Inputs!$B$39)</f>
        <v xml:space="preserve"> </v>
      </c>
      <c r="AR52" s="589"/>
      <c r="AS52" s="589"/>
      <c r="AT52" s="27"/>
      <c r="AU52" s="27" t="s">
        <v>499</v>
      </c>
      <c r="AV52" s="32" t="str">
        <f>IF(AA52=" "," ",AA52*Inputs!$B$53)</f>
        <v xml:space="preserve"> </v>
      </c>
      <c r="AW52" s="32" t="str">
        <f>IF(AB52=" "," ",AB52*Inputs!$B$53)</f>
        <v xml:space="preserve"> </v>
      </c>
      <c r="AX52" s="32" t="str">
        <f>IF(AC52=" "," ",AC52*Inputs!$B$53)</f>
        <v xml:space="preserve"> </v>
      </c>
      <c r="AY52" s="32" t="str">
        <f>IF(AD52=" "," ",AD52*Inputs!$B$53)</f>
        <v xml:space="preserve"> </v>
      </c>
      <c r="AZ52" s="32" t="str">
        <f>IF(AE52=" "," ",AE52*Inputs!$B$53)</f>
        <v xml:space="preserve"> </v>
      </c>
      <c r="BA52" s="32" t="str">
        <f>IF(AF52=" "," ",AF52*Inputs!$B$53)</f>
        <v xml:space="preserve"> </v>
      </c>
      <c r="BB52" s="32" t="str">
        <f>IF(AG52=" "," ",AG52*Inputs!$B$53)</f>
        <v xml:space="preserve"> </v>
      </c>
      <c r="BC52" s="32" t="str">
        <f>IF(AH52=" "," ",AH52*Inputs!$B$53)</f>
        <v xml:space="preserve"> </v>
      </c>
      <c r="BD52" s="32" t="str">
        <f>IF(AI52=" "," ",AI52*Inputs!$B$53)</f>
        <v xml:space="preserve"> </v>
      </c>
      <c r="BE52" s="32" t="str">
        <f>IF(AJ52=" "," ",AJ52*Inputs!$B$53)</f>
        <v xml:space="preserve"> </v>
      </c>
      <c r="BF52" s="32" t="str">
        <f>IF(AK52=" "," ",AK52*Inputs!$B$53)</f>
        <v xml:space="preserve"> </v>
      </c>
      <c r="BG52" s="32" t="str">
        <f>IF(AL52=" "," ",AL52*Inputs!$B$53)</f>
        <v xml:space="preserve"> </v>
      </c>
      <c r="BH52" s="32" t="str">
        <f>IF(AM52=" "," ",AM52*Inputs!$B$53)</f>
        <v xml:space="preserve"> </v>
      </c>
      <c r="BI52" s="32" t="str">
        <f>IF(AN52=" "," ",AN52*Inputs!$B$53)</f>
        <v xml:space="preserve"> </v>
      </c>
      <c r="BJ52" s="32" t="str">
        <f>IF(AO52=" "," ",AO52*Inputs!$B$53)</f>
        <v xml:space="preserve"> </v>
      </c>
      <c r="BK52" s="32" t="str">
        <f>IF(AP52=" "," ",AP52*Inputs!$B$53)</f>
        <v xml:space="preserve"> </v>
      </c>
      <c r="BM52" s="641"/>
      <c r="BN52" s="135"/>
      <c r="BO52" s="589"/>
      <c r="BP52" s="90" t="s">
        <v>523</v>
      </c>
      <c r="BQ52" s="120">
        <f t="shared" si="5"/>
        <v>1</v>
      </c>
      <c r="BR52" s="120">
        <f t="shared" si="6"/>
        <v>1.116815165172875</v>
      </c>
      <c r="BS52" s="120">
        <f t="shared" si="7"/>
        <v>1.153653435085269</v>
      </c>
      <c r="BT52" s="120">
        <f t="shared" si="8"/>
        <v>1.190424204732853</v>
      </c>
      <c r="BU52" s="120">
        <f t="shared" si="9"/>
        <v>1.226833195580104</v>
      </c>
      <c r="BV52" s="134"/>
      <c r="BW52" s="148" t="e">
        <f>IF($BW$3=0,BW51,BW53)</f>
        <v>#VALUE!</v>
      </c>
      <c r="BZ52" s="641"/>
      <c r="CA52" s="135"/>
      <c r="CB52" s="589"/>
      <c r="CC52" s="90" t="s">
        <v>523</v>
      </c>
      <c r="CD52" s="122">
        <v>1</v>
      </c>
      <c r="CE52" s="122">
        <v>1.116815165172875</v>
      </c>
      <c r="CF52" s="122">
        <v>1.153653435085269</v>
      </c>
      <c r="CG52" s="122">
        <v>1.190424204732853</v>
      </c>
      <c r="CH52" s="123">
        <v>1.226833195580104</v>
      </c>
      <c r="CK52" s="641"/>
      <c r="CL52" s="135"/>
      <c r="CM52" s="589"/>
      <c r="CN52" s="90" t="s">
        <v>523</v>
      </c>
      <c r="CO52" s="122">
        <v>1</v>
      </c>
      <c r="CP52" s="122">
        <v>1.077271646231116</v>
      </c>
      <c r="CQ52" s="122">
        <v>1.1128055688625189</v>
      </c>
      <c r="CR52" s="122">
        <v>1.148274381237848</v>
      </c>
      <c r="CS52" s="123">
        <v>1.1833942244587801</v>
      </c>
      <c r="CV52" s="641"/>
      <c r="CW52" s="135"/>
      <c r="CX52" s="589"/>
      <c r="CY52" s="90" t="s">
        <v>523</v>
      </c>
      <c r="CZ52" s="122">
        <v>1</v>
      </c>
      <c r="DA52" s="122">
        <v>1.15131441116753</v>
      </c>
      <c r="DB52" s="122">
        <v>1.189290642468126</v>
      </c>
      <c r="DC52" s="122">
        <v>1.2271972883708371</v>
      </c>
      <c r="DD52" s="123">
        <v>1.264730979858647</v>
      </c>
    </row>
    <row r="53" spans="2:108" x14ac:dyDescent="0.25">
      <c r="B53" s="589"/>
      <c r="C53" s="589"/>
      <c r="D53" s="589"/>
      <c r="E53" s="21"/>
      <c r="F53" s="152"/>
      <c r="G53" s="152"/>
      <c r="H53" s="152"/>
      <c r="I53" s="152"/>
      <c r="J53" s="152"/>
      <c r="K53" s="152"/>
      <c r="L53" s="152"/>
      <c r="M53" s="152"/>
      <c r="N53" s="152"/>
      <c r="O53" s="152"/>
      <c r="P53" s="152"/>
      <c r="Q53" s="152"/>
      <c r="R53" s="152"/>
      <c r="S53" s="152"/>
      <c r="T53" s="152"/>
      <c r="U53" s="152"/>
      <c r="W53" s="589"/>
      <c r="X53" s="589"/>
      <c r="Y53" s="27"/>
      <c r="Z53" s="27" t="s">
        <v>500</v>
      </c>
      <c r="AA53" s="32" t="str">
        <f>IF(F53=""," ",F53*Inputs!$B$39)</f>
        <v xml:space="preserve"> </v>
      </c>
      <c r="AB53" s="32" t="str">
        <f>IF(G53=""," ",G53*Inputs!$B$39)</f>
        <v xml:space="preserve"> </v>
      </c>
      <c r="AC53" s="32" t="str">
        <f>IF(H53=""," ",H53*Inputs!$B$39)</f>
        <v xml:space="preserve"> </v>
      </c>
      <c r="AD53" s="32" t="str">
        <f>IF(I53=""," ",I53*Inputs!$B$39)</f>
        <v xml:space="preserve"> </v>
      </c>
      <c r="AE53" s="32" t="str">
        <f>IF(J53=""," ",J53*Inputs!$B$39)</f>
        <v xml:space="preserve"> </v>
      </c>
      <c r="AF53" s="32" t="str">
        <f>IF(K53=""," ",K53*Inputs!$B$39)</f>
        <v xml:space="preserve"> </v>
      </c>
      <c r="AG53" s="32" t="str">
        <f>IF(L53=""," ",L53*Inputs!$B$39)</f>
        <v xml:space="preserve"> </v>
      </c>
      <c r="AH53" s="32" t="str">
        <f>IF(M53=""," ",M53*Inputs!$B$39)</f>
        <v xml:space="preserve"> </v>
      </c>
      <c r="AI53" s="32" t="str">
        <f>IF(N53=""," ",N53*Inputs!$B$39)</f>
        <v xml:space="preserve"> </v>
      </c>
      <c r="AJ53" s="32" t="str">
        <f>IF(O53=""," ",O53*Inputs!$B$39)</f>
        <v xml:space="preserve"> </v>
      </c>
      <c r="AK53" s="32" t="str">
        <f>IF(P53=""," ",P53*Inputs!$B$39)</f>
        <v xml:space="preserve"> </v>
      </c>
      <c r="AL53" s="32" t="str">
        <f>IF(Q53=""," ",Q53*Inputs!$B$39)</f>
        <v xml:space="preserve"> </v>
      </c>
      <c r="AM53" s="32" t="str">
        <f>IF(R53=""," ",R53*Inputs!$B$39)</f>
        <v xml:space="preserve"> </v>
      </c>
      <c r="AN53" s="32" t="str">
        <f>IF(S53=""," ",S53*Inputs!$B$39)</f>
        <v xml:space="preserve"> </v>
      </c>
      <c r="AO53" s="32" t="str">
        <f>IF(T53=""," ",T53*Inputs!$B$39)</f>
        <v xml:space="preserve"> </v>
      </c>
      <c r="AP53" s="32" t="str">
        <f>IF(U53=""," ",U53*Inputs!$B$39)</f>
        <v xml:space="preserve"> </v>
      </c>
      <c r="AR53" s="589"/>
      <c r="AS53" s="589"/>
      <c r="AT53" s="27"/>
      <c r="AU53" s="27" t="s">
        <v>500</v>
      </c>
      <c r="AV53" s="32" t="str">
        <f>IF(AA53=" "," ",AA53*Inputs!$B$53)</f>
        <v xml:space="preserve"> </v>
      </c>
      <c r="AW53" s="32" t="str">
        <f>IF(AB53=" "," ",AB53*Inputs!$B$53)</f>
        <v xml:space="preserve"> </v>
      </c>
      <c r="AX53" s="32" t="str">
        <f>IF(AC53=" "," ",AC53*Inputs!$B$53)</f>
        <v xml:space="preserve"> </v>
      </c>
      <c r="AY53" s="32" t="str">
        <f>IF(AD53=" "," ",AD53*Inputs!$B$53)</f>
        <v xml:space="preserve"> </v>
      </c>
      <c r="AZ53" s="32" t="str">
        <f>IF(AE53=" "," ",AE53*Inputs!$B$53)</f>
        <v xml:space="preserve"> </v>
      </c>
      <c r="BA53" s="32" t="str">
        <f>IF(AF53=" "," ",AF53*Inputs!$B$53)</f>
        <v xml:space="preserve"> </v>
      </c>
      <c r="BB53" s="32" t="str">
        <f>IF(AG53=" "," ",AG53*Inputs!$B$53)</f>
        <v xml:space="preserve"> </v>
      </c>
      <c r="BC53" s="32" t="str">
        <f>IF(AH53=" "," ",AH53*Inputs!$B$53)</f>
        <v xml:space="preserve"> </v>
      </c>
      <c r="BD53" s="32" t="str">
        <f>IF(AI53=" "," ",AI53*Inputs!$B$53)</f>
        <v xml:space="preserve"> </v>
      </c>
      <c r="BE53" s="32" t="str">
        <f>IF(AJ53=" "," ",AJ53*Inputs!$B$53)</f>
        <v xml:space="preserve"> </v>
      </c>
      <c r="BF53" s="32" t="str">
        <f>IF(AK53=" "," ",AK53*Inputs!$B$53)</f>
        <v xml:space="preserve"> </v>
      </c>
      <c r="BG53" s="32" t="str">
        <f>IF(AL53=" "," ",AL53*Inputs!$B$53)</f>
        <v xml:space="preserve"> </v>
      </c>
      <c r="BH53" s="32" t="str">
        <f>IF(AM53=" "," ",AM53*Inputs!$B$53)</f>
        <v xml:space="preserve"> </v>
      </c>
      <c r="BI53" s="32" t="str">
        <f>IF(AN53=" "," ",AN53*Inputs!$B$53)</f>
        <v xml:space="preserve"> </v>
      </c>
      <c r="BJ53" s="32" t="str">
        <f>IF(AO53=" "," ",AO53*Inputs!$B$53)</f>
        <v xml:space="preserve"> </v>
      </c>
      <c r="BK53" s="32" t="str">
        <f>IF(AP53=" "," ",AP53*Inputs!$B$53)</f>
        <v xml:space="preserve"> </v>
      </c>
      <c r="BM53" s="641"/>
      <c r="BN53" s="135"/>
      <c r="BO53" s="591"/>
      <c r="BP53" s="112" t="s">
        <v>524</v>
      </c>
      <c r="BQ53" s="120">
        <f t="shared" si="5"/>
        <v>1</v>
      </c>
      <c r="BR53" s="120">
        <f t="shared" si="6"/>
        <v>1.013900032356478</v>
      </c>
      <c r="BS53" s="120">
        <f t="shared" si="7"/>
        <v>1.027800064712957</v>
      </c>
      <c r="BT53" s="120">
        <f t="shared" si="8"/>
        <v>1.0605594691180931</v>
      </c>
      <c r="BU53" s="120">
        <f t="shared" si="9"/>
        <v>1.0929965615852699</v>
      </c>
      <c r="BV53" s="134"/>
      <c r="BW53" s="32" t="e">
        <f>IF(VALUE($BW$5)&lt;=0.8,"1",IF(AND(VALUE($BW5)&gt;0.8,VALUE($BW$5)&lt;=0.96),FORECAST(VALUE($BW$5),BQ53:BR53,$BQ$5:$BR$5),IF(AND(VALUE($BW$5)&gt;0.96,VALUE($BW$5)&lt;=1.12),FORECAST(VALUE($BW$5),BR53:BS53,$BR$5:$BS$5),IF(AND(VALUE($BW$5)&gt;1.12,VALUE($BW$5)&lt;=1.3),FORECAST(VALUE($BW$5),BS53:BT53,$BS$5:$BT$5),FORECAST(VALUE($BW$5),BT53:BU53,$BT$5:$BU$5)))))</f>
        <v>#VALUE!</v>
      </c>
      <c r="BZ53" s="641"/>
      <c r="CA53" s="135"/>
      <c r="CB53" s="591"/>
      <c r="CC53" s="112" t="s">
        <v>524</v>
      </c>
      <c r="CD53" s="122">
        <v>1</v>
      </c>
      <c r="CE53" s="122">
        <v>1.013900032356478</v>
      </c>
      <c r="CF53" s="122">
        <v>1.027800064712957</v>
      </c>
      <c r="CG53" s="122">
        <v>1.0605594691180931</v>
      </c>
      <c r="CH53" s="123">
        <v>1.0929965615852699</v>
      </c>
      <c r="CK53" s="641"/>
      <c r="CL53" s="135"/>
      <c r="CM53" s="591"/>
      <c r="CN53" s="112" t="s">
        <v>524</v>
      </c>
      <c r="CO53" s="122">
        <v>1</v>
      </c>
      <c r="CP53" s="122">
        <v>1.0161850872289679</v>
      </c>
      <c r="CQ53" s="122">
        <v>1.032370174457937</v>
      </c>
      <c r="CR53" s="122">
        <v>1.065275243451403</v>
      </c>
      <c r="CS53" s="123">
        <v>1.0978565673478939</v>
      </c>
      <c r="CV53" s="641"/>
      <c r="CW53" s="135"/>
      <c r="CX53" s="591"/>
      <c r="CY53" s="112" t="s">
        <v>524</v>
      </c>
      <c r="CZ53" s="122">
        <v>1</v>
      </c>
      <c r="DA53" s="122">
        <v>1.1105482136177749</v>
      </c>
      <c r="DB53" s="122">
        <v>1.163431461885289</v>
      </c>
      <c r="DC53" s="122">
        <v>1.2005138897485359</v>
      </c>
      <c r="DD53" s="123">
        <v>1.23723147248087</v>
      </c>
    </row>
    <row r="54" spans="2:108" x14ac:dyDescent="0.25">
      <c r="B54" s="589"/>
      <c r="C54" s="589"/>
      <c r="D54" s="589"/>
      <c r="E54" s="21"/>
      <c r="F54" s="152"/>
      <c r="G54" s="152"/>
      <c r="H54" s="152"/>
      <c r="I54" s="152"/>
      <c r="J54" s="152"/>
      <c r="K54" s="152"/>
      <c r="L54" s="152"/>
      <c r="M54" s="152"/>
      <c r="N54" s="152"/>
      <c r="O54" s="152"/>
      <c r="P54" s="152"/>
      <c r="Q54" s="152"/>
      <c r="R54" s="152"/>
      <c r="S54" s="152"/>
      <c r="T54" s="152"/>
      <c r="U54" s="152"/>
      <c r="W54" s="589"/>
      <c r="X54" s="589"/>
      <c r="Y54" s="29"/>
      <c r="Z54" s="29" t="s">
        <v>501</v>
      </c>
      <c r="AA54" s="32" t="str">
        <f>IF(F54=""," ",F54*Inputs!$B$39)</f>
        <v xml:space="preserve"> </v>
      </c>
      <c r="AB54" s="32" t="str">
        <f>IF(G54=""," ",G54*Inputs!$B$39)</f>
        <v xml:space="preserve"> </v>
      </c>
      <c r="AC54" s="32" t="str">
        <f>IF(H54=""," ",H54*Inputs!$B$39)</f>
        <v xml:space="preserve"> </v>
      </c>
      <c r="AD54" s="32" t="str">
        <f>IF(I54=""," ",I54*Inputs!$B$39)</f>
        <v xml:space="preserve"> </v>
      </c>
      <c r="AE54" s="32" t="str">
        <f>IF(J54=""," ",J54*Inputs!$B$39)</f>
        <v xml:space="preserve"> </v>
      </c>
      <c r="AF54" s="32" t="str">
        <f>IF(K54=""," ",K54*Inputs!$B$39)</f>
        <v xml:space="preserve"> </v>
      </c>
      <c r="AG54" s="32" t="str">
        <f>IF(L54=""," ",L54*Inputs!$B$39)</f>
        <v xml:space="preserve"> </v>
      </c>
      <c r="AH54" s="32" t="str">
        <f>IF(M54=""," ",M54*Inputs!$B$39)</f>
        <v xml:space="preserve"> </v>
      </c>
      <c r="AI54" s="32" t="str">
        <f>IF(N54=""," ",N54*Inputs!$B$39)</f>
        <v xml:space="preserve"> </v>
      </c>
      <c r="AJ54" s="32" t="str">
        <f>IF(O54=""," ",O54*Inputs!$B$39)</f>
        <v xml:space="preserve"> </v>
      </c>
      <c r="AK54" s="32" t="str">
        <f>IF(P54=""," ",P54*Inputs!$B$39)</f>
        <v xml:space="preserve"> </v>
      </c>
      <c r="AL54" s="32" t="str">
        <f>IF(Q54=""," ",Q54*Inputs!$B$39)</f>
        <v xml:space="preserve"> </v>
      </c>
      <c r="AM54" s="32" t="str">
        <f>IF(R54=""," ",R54*Inputs!$B$39)</f>
        <v xml:space="preserve"> </v>
      </c>
      <c r="AN54" s="32" t="str">
        <f>IF(S54=""," ",S54*Inputs!$B$39)</f>
        <v xml:space="preserve"> </v>
      </c>
      <c r="AO54" s="32" t="str">
        <f>IF(T54=""," ",T54*Inputs!$B$39)</f>
        <v xml:space="preserve"> </v>
      </c>
      <c r="AP54" s="32" t="str">
        <f>IF(U54=""," ",U54*Inputs!$B$39)</f>
        <v xml:space="preserve"> </v>
      </c>
      <c r="AR54" s="589"/>
      <c r="AS54" s="589"/>
      <c r="AT54" s="29"/>
      <c r="AU54" s="29" t="s">
        <v>501</v>
      </c>
      <c r="AV54" s="32" t="str">
        <f>IF(AA54=" "," ",AA54*Inputs!$B$53)</f>
        <v xml:space="preserve"> </v>
      </c>
      <c r="AW54" s="32" t="str">
        <f>IF(AB54=" "," ",AB54*Inputs!$B$53)</f>
        <v xml:space="preserve"> </v>
      </c>
      <c r="AX54" s="32" t="str">
        <f>IF(AC54=" "," ",AC54*Inputs!$B$53)</f>
        <v xml:space="preserve"> </v>
      </c>
      <c r="AY54" s="32" t="str">
        <f>IF(AD54=" "," ",AD54*Inputs!$B$53)</f>
        <v xml:space="preserve"> </v>
      </c>
      <c r="AZ54" s="32" t="str">
        <f>IF(AE54=" "," ",AE54*Inputs!$B$53)</f>
        <v xml:space="preserve"> </v>
      </c>
      <c r="BA54" s="32" t="str">
        <f>IF(AF54=" "," ",AF54*Inputs!$B$53)</f>
        <v xml:space="preserve"> </v>
      </c>
      <c r="BB54" s="32" t="str">
        <f>IF(AG54=" "," ",AG54*Inputs!$B$53)</f>
        <v xml:space="preserve"> </v>
      </c>
      <c r="BC54" s="32" t="str">
        <f>IF(AH54=" "," ",AH54*Inputs!$B$53)</f>
        <v xml:space="preserve"> </v>
      </c>
      <c r="BD54" s="32" t="str">
        <f>IF(AI54=" "," ",AI54*Inputs!$B$53)</f>
        <v xml:space="preserve"> </v>
      </c>
      <c r="BE54" s="32" t="str">
        <f>IF(AJ54=" "," ",AJ54*Inputs!$B$53)</f>
        <v xml:space="preserve"> </v>
      </c>
      <c r="BF54" s="32" t="str">
        <f>IF(AK54=" "," ",AK54*Inputs!$B$53)</f>
        <v xml:space="preserve"> </v>
      </c>
      <c r="BG54" s="32" t="str">
        <f>IF(AL54=" "," ",AL54*Inputs!$B$53)</f>
        <v xml:space="preserve"> </v>
      </c>
      <c r="BH54" s="32" t="str">
        <f>IF(AM54=" "," ",AM54*Inputs!$B$53)</f>
        <v xml:space="preserve"> </v>
      </c>
      <c r="BI54" s="32" t="str">
        <f>IF(AN54=" "," ",AN54*Inputs!$B$53)</f>
        <v xml:space="preserve"> </v>
      </c>
      <c r="BJ54" s="32" t="str">
        <f>IF(AO54=" "," ",AO54*Inputs!$B$53)</f>
        <v xml:space="preserve"> </v>
      </c>
      <c r="BK54" s="32" t="str">
        <f>IF(AP54=" "," ",AP54*Inputs!$B$53)</f>
        <v xml:space="preserve"> </v>
      </c>
      <c r="BM54" s="641"/>
      <c r="BN54" s="623"/>
      <c r="BO54" s="609" t="s">
        <v>521</v>
      </c>
      <c r="BP54" s="87" t="s">
        <v>522</v>
      </c>
      <c r="BQ54" s="120">
        <f t="shared" si="5"/>
        <v>1</v>
      </c>
      <c r="BR54" s="120">
        <f t="shared" si="6"/>
        <v>1.0391296477793051</v>
      </c>
      <c r="BS54" s="120">
        <f t="shared" si="7"/>
        <v>1.073405452435789</v>
      </c>
      <c r="BT54" s="120">
        <f t="shared" si="8"/>
        <v>1.1076184521370911</v>
      </c>
      <c r="BU54" s="120">
        <f t="shared" si="9"/>
        <v>1.141494838324278</v>
      </c>
      <c r="BV54" s="11"/>
      <c r="BW54" s="32" t="e">
        <f>IF(VALUE($BW$5)&lt;=0.8,"1",IF(AND(VALUE($BW5)&gt;0.8,VALUE($BW$5)&lt;=0.96),FORECAST(VALUE($BW$5),BQ54:BR54,$BQ$5:$BR$5),IF(AND(VALUE($BW$5)&gt;0.96,VALUE($BW$5)&lt;=1.12),FORECAST(VALUE($BW$5),BR54:BS54,$BR$5:$BS$5),IF(AND(VALUE($BW$5)&gt;1.12,VALUE($BW$5)&lt;=1.3),FORECAST(VALUE($BW$5),BS54:BT54,$BS$5:$BT$5),FORECAST(VALUE($BW$5),BT54:BU54,$BT$5:$BU$5)))))</f>
        <v>#VALUE!</v>
      </c>
      <c r="BZ54" s="641"/>
      <c r="CA54" s="623"/>
      <c r="CB54" s="609" t="s">
        <v>521</v>
      </c>
      <c r="CC54" s="87" t="s">
        <v>522</v>
      </c>
      <c r="CD54" s="120">
        <v>1</v>
      </c>
      <c r="CE54" s="120">
        <v>1.0391296477793051</v>
      </c>
      <c r="CF54" s="120">
        <v>1.073405452435789</v>
      </c>
      <c r="CG54" s="120">
        <v>1.1076184521370911</v>
      </c>
      <c r="CH54" s="121">
        <v>1.141494838324278</v>
      </c>
      <c r="CI54">
        <v>1.141494838324278</v>
      </c>
      <c r="CK54" s="641"/>
      <c r="CL54" s="623"/>
      <c r="CM54" s="609" t="s">
        <v>521</v>
      </c>
      <c r="CN54" s="87" t="s">
        <v>522</v>
      </c>
      <c r="CO54" s="120">
        <v>1</v>
      </c>
      <c r="CP54" s="120">
        <v>1.0391296477793051</v>
      </c>
      <c r="CQ54" s="120">
        <v>1.073405452435789</v>
      </c>
      <c r="CR54" s="120">
        <v>1.1076184521370911</v>
      </c>
      <c r="CS54" s="121">
        <v>1.141494838324278</v>
      </c>
      <c r="CV54" s="641"/>
      <c r="CW54" s="623"/>
      <c r="CX54" s="609" t="s">
        <v>521</v>
      </c>
      <c r="CY54" s="87" t="s">
        <v>522</v>
      </c>
      <c r="CZ54" s="120">
        <v>1</v>
      </c>
      <c r="DA54" s="120">
        <v>1.0391296477793051</v>
      </c>
      <c r="DB54" s="120">
        <v>1.073405452435789</v>
      </c>
      <c r="DC54" s="120">
        <v>1.1076184521370911</v>
      </c>
      <c r="DD54" s="121">
        <v>1.141494838324278</v>
      </c>
    </row>
    <row r="55" spans="2:108" x14ac:dyDescent="0.25">
      <c r="B55" s="630"/>
      <c r="C55" s="589"/>
      <c r="D55" s="588"/>
      <c r="E55" s="150"/>
      <c r="F55" s="151"/>
      <c r="G55" s="151"/>
      <c r="H55" s="151"/>
      <c r="I55" s="151"/>
      <c r="J55" s="151"/>
      <c r="K55" s="151"/>
      <c r="L55" s="151"/>
      <c r="M55" s="151"/>
      <c r="N55" s="151"/>
      <c r="O55" s="151"/>
      <c r="P55" s="151"/>
      <c r="Q55" s="151"/>
      <c r="R55" s="151"/>
      <c r="S55" s="151"/>
      <c r="T55" s="151"/>
      <c r="U55" s="151"/>
      <c r="W55" s="630"/>
      <c r="X55" s="589"/>
      <c r="Y55" s="24">
        <v>2.232790515584767E-2</v>
      </c>
      <c r="Z55" s="24" t="s">
        <v>498</v>
      </c>
      <c r="AA55" s="32" t="str">
        <f>IF(F55=""," ",F55*Inputs!$B$39)</f>
        <v xml:space="preserve"> </v>
      </c>
      <c r="AB55" s="32" t="str">
        <f>IF(G55=""," ",G55*Inputs!$B$39)</f>
        <v xml:space="preserve"> </v>
      </c>
      <c r="AC55" s="32" t="str">
        <f>IF(H55=""," ",H55*Inputs!$B$39)</f>
        <v xml:space="preserve"> </v>
      </c>
      <c r="AD55" s="32" t="str">
        <f>IF(I55=""," ",I55*Inputs!$B$39)</f>
        <v xml:space="preserve"> </v>
      </c>
      <c r="AE55" s="32" t="str">
        <f>IF(J55=""," ",J55*Inputs!$B$39)</f>
        <v xml:space="preserve"> </v>
      </c>
      <c r="AF55" s="32" t="str">
        <f>IF(K55=""," ",K55*Inputs!$B$39)</f>
        <v xml:space="preserve"> </v>
      </c>
      <c r="AG55" s="32" t="str">
        <f>IF(L55=""," ",L55*Inputs!$B$39)</f>
        <v xml:space="preserve"> </v>
      </c>
      <c r="AH55" s="32" t="str">
        <f>IF(M55=""," ",M55*Inputs!$B$39)</f>
        <v xml:space="preserve"> </v>
      </c>
      <c r="AI55" s="32" t="str">
        <f>IF(N55=""," ",N55*Inputs!$B$39)</f>
        <v xml:space="preserve"> </v>
      </c>
      <c r="AJ55" s="32" t="str">
        <f>IF(O55=""," ",O55*Inputs!$B$39)</f>
        <v xml:space="preserve"> </v>
      </c>
      <c r="AK55" s="32" t="str">
        <f>IF(P55=""," ",P55*Inputs!$B$39)</f>
        <v xml:space="preserve"> </v>
      </c>
      <c r="AL55" s="32" t="str">
        <f>IF(Q55=""," ",Q55*Inputs!$B$39)</f>
        <v xml:space="preserve"> </v>
      </c>
      <c r="AM55" s="32" t="str">
        <f>IF(R55=""," ",R55*Inputs!$B$39)</f>
        <v xml:space="preserve"> </v>
      </c>
      <c r="AN55" s="32" t="str">
        <f>IF(S55=""," ",S55*Inputs!$B$39)</f>
        <v xml:space="preserve"> </v>
      </c>
      <c r="AO55" s="32" t="str">
        <f>IF(T55=""," ",T55*Inputs!$B$39)</f>
        <v xml:space="preserve"> </v>
      </c>
      <c r="AP55" s="32" t="str">
        <f>IF(U55=""," ",U55*Inputs!$B$39)</f>
        <v xml:space="preserve"> </v>
      </c>
      <c r="AR55" s="630"/>
      <c r="AS55" s="589"/>
      <c r="AT55" s="24">
        <v>2.232790515584767E-2</v>
      </c>
      <c r="AU55" s="24" t="s">
        <v>498</v>
      </c>
      <c r="AV55" s="32" t="str">
        <f>IF(AA55=" "," ",AA55*Inputs!$B$53)</f>
        <v xml:space="preserve"> </v>
      </c>
      <c r="AW55" s="32" t="str">
        <f>IF(AB55=" "," ",AB55*Inputs!$B$53)</f>
        <v xml:space="preserve"> </v>
      </c>
      <c r="AX55" s="32" t="str">
        <f>IF(AC55=" "," ",AC55*Inputs!$B$53)</f>
        <v xml:space="preserve"> </v>
      </c>
      <c r="AY55" s="32" t="str">
        <f>IF(AD55=" "," ",AD55*Inputs!$B$53)</f>
        <v xml:space="preserve"> </v>
      </c>
      <c r="AZ55" s="32" t="str">
        <f>IF(AE55=" "," ",AE55*Inputs!$B$53)</f>
        <v xml:space="preserve"> </v>
      </c>
      <c r="BA55" s="32" t="str">
        <f>IF(AF55=" "," ",AF55*Inputs!$B$53)</f>
        <v xml:space="preserve"> </v>
      </c>
      <c r="BB55" s="32" t="str">
        <f>IF(AG55=" "," ",AG55*Inputs!$B$53)</f>
        <v xml:space="preserve"> </v>
      </c>
      <c r="BC55" s="32" t="str">
        <f>IF(AH55=" "," ",AH55*Inputs!$B$53)</f>
        <v xml:space="preserve"> </v>
      </c>
      <c r="BD55" s="32" t="str">
        <f>IF(AI55=" "," ",AI55*Inputs!$B$53)</f>
        <v xml:space="preserve"> </v>
      </c>
      <c r="BE55" s="32" t="str">
        <f>IF(AJ55=" "," ",AJ55*Inputs!$B$53)</f>
        <v xml:space="preserve"> </v>
      </c>
      <c r="BF55" s="32" t="str">
        <f>IF(AK55=" "," ",AK55*Inputs!$B$53)</f>
        <v xml:space="preserve"> </v>
      </c>
      <c r="BG55" s="32" t="str">
        <f>IF(AL55=" "," ",AL55*Inputs!$B$53)</f>
        <v xml:space="preserve"> </v>
      </c>
      <c r="BH55" s="32" t="str">
        <f>IF(AM55=" "," ",AM55*Inputs!$B$53)</f>
        <v xml:space="preserve"> </v>
      </c>
      <c r="BI55" s="32" t="str">
        <f>IF(AN55=" "," ",AN55*Inputs!$B$53)</f>
        <v xml:space="preserve"> </v>
      </c>
      <c r="BJ55" s="32" t="str">
        <f>IF(AO55=" "," ",AO55*Inputs!$B$53)</f>
        <v xml:space="preserve"> </v>
      </c>
      <c r="BK55" s="32" t="str">
        <f>IF(AP55=" "," ",AP55*Inputs!$B$53)</f>
        <v xml:space="preserve"> </v>
      </c>
      <c r="BM55" s="641"/>
      <c r="BN55" s="589"/>
      <c r="BO55" s="589"/>
      <c r="BP55" s="90" t="s">
        <v>523</v>
      </c>
      <c r="BQ55" s="120">
        <f t="shared" si="5"/>
        <v>1</v>
      </c>
      <c r="BR55" s="120">
        <f t="shared" si="6"/>
        <v>1.1544418537845049</v>
      </c>
      <c r="BS55" s="120">
        <f t="shared" si="7"/>
        <v>1.192521244120591</v>
      </c>
      <c r="BT55" s="120">
        <f t="shared" si="8"/>
        <v>1.2305308600362821</v>
      </c>
      <c r="BU55" s="120">
        <f t="shared" si="9"/>
        <v>1.268166508439764</v>
      </c>
      <c r="BV55" s="11"/>
      <c r="BW55" s="148" t="e">
        <f>IF($BW$3=0,BW54,BW56)</f>
        <v>#VALUE!</v>
      </c>
      <c r="BZ55" s="641"/>
      <c r="CA55" s="589"/>
      <c r="CB55" s="589"/>
      <c r="CC55" s="90" t="s">
        <v>523</v>
      </c>
      <c r="CD55" s="122">
        <v>1</v>
      </c>
      <c r="CE55" s="122">
        <v>1.1544418537845049</v>
      </c>
      <c r="CF55" s="122">
        <v>1.192521244120591</v>
      </c>
      <c r="CG55" s="122">
        <v>1.2305308600362821</v>
      </c>
      <c r="CH55" s="123">
        <v>1.268166508439764</v>
      </c>
      <c r="CI55">
        <v>1.182520727525971</v>
      </c>
      <c r="CK55" s="641"/>
      <c r="CL55" s="589"/>
      <c r="CM55" s="589"/>
      <c r="CN55" s="90" t="s">
        <v>523</v>
      </c>
      <c r="CO55" s="122">
        <v>1</v>
      </c>
      <c r="CP55" s="122">
        <v>1.222385899631796</v>
      </c>
      <c r="CQ55" s="122">
        <v>1.262706431723398</v>
      </c>
      <c r="CR55" s="122">
        <v>1.302953082859138</v>
      </c>
      <c r="CS55" s="123">
        <v>1.3428037568286419</v>
      </c>
      <c r="CV55" s="641"/>
      <c r="CW55" s="589"/>
      <c r="CX55" s="589"/>
      <c r="CY55" s="90" t="s">
        <v>523</v>
      </c>
      <c r="CZ55" s="122">
        <v>1</v>
      </c>
      <c r="DA55" s="122">
        <v>1.186328908219382</v>
      </c>
      <c r="DB55" s="122">
        <v>1.225460096520443</v>
      </c>
      <c r="DC55" s="122">
        <v>1.264519583148791</v>
      </c>
      <c r="DD55" s="123">
        <v>1.303194772838306</v>
      </c>
    </row>
    <row r="56" spans="2:108" x14ac:dyDescent="0.25">
      <c r="B56" s="589"/>
      <c r="C56" s="589"/>
      <c r="D56" s="589"/>
      <c r="E56" s="21"/>
      <c r="F56" s="152"/>
      <c r="G56" s="152"/>
      <c r="H56" s="152"/>
      <c r="I56" s="152"/>
      <c r="J56" s="152"/>
      <c r="K56" s="152"/>
      <c r="L56" s="152"/>
      <c r="M56" s="152"/>
      <c r="N56" s="152"/>
      <c r="O56" s="152"/>
      <c r="P56" s="152"/>
      <c r="Q56" s="152"/>
      <c r="R56" s="152"/>
      <c r="S56" s="152"/>
      <c r="T56" s="152"/>
      <c r="U56" s="152"/>
      <c r="W56" s="589"/>
      <c r="X56" s="589"/>
      <c r="Y56" s="27"/>
      <c r="Z56" s="27" t="s">
        <v>499</v>
      </c>
      <c r="AA56" s="32" t="str">
        <f>IF(F56=""," ",F56*Inputs!$B$39)</f>
        <v xml:space="preserve"> </v>
      </c>
      <c r="AB56" s="32" t="str">
        <f>IF(G56=""," ",G56*Inputs!$B$39)</f>
        <v xml:space="preserve"> </v>
      </c>
      <c r="AC56" s="32" t="str">
        <f>IF(H56=""," ",H56*Inputs!$B$39)</f>
        <v xml:space="preserve"> </v>
      </c>
      <c r="AD56" s="32" t="str">
        <f>IF(I56=""," ",I56*Inputs!$B$39)</f>
        <v xml:space="preserve"> </v>
      </c>
      <c r="AE56" s="32" t="str">
        <f>IF(J56=""," ",J56*Inputs!$B$39)</f>
        <v xml:space="preserve"> </v>
      </c>
      <c r="AF56" s="32" t="str">
        <f>IF(K56=""," ",K56*Inputs!$B$39)</f>
        <v xml:space="preserve"> </v>
      </c>
      <c r="AG56" s="32" t="str">
        <f>IF(L56=""," ",L56*Inputs!$B$39)</f>
        <v xml:space="preserve"> </v>
      </c>
      <c r="AH56" s="32" t="str">
        <f>IF(M56=""," ",M56*Inputs!$B$39)</f>
        <v xml:space="preserve"> </v>
      </c>
      <c r="AI56" s="32" t="str">
        <f>IF(N56=""," ",N56*Inputs!$B$39)</f>
        <v xml:space="preserve"> </v>
      </c>
      <c r="AJ56" s="32" t="str">
        <f>IF(O56=""," ",O56*Inputs!$B$39)</f>
        <v xml:space="preserve"> </v>
      </c>
      <c r="AK56" s="32" t="str">
        <f>IF(P56=""," ",P56*Inputs!$B$39)</f>
        <v xml:space="preserve"> </v>
      </c>
      <c r="AL56" s="32" t="str">
        <f>IF(Q56=""," ",Q56*Inputs!$B$39)</f>
        <v xml:space="preserve"> </v>
      </c>
      <c r="AM56" s="32" t="str">
        <f>IF(R56=""," ",R56*Inputs!$B$39)</f>
        <v xml:space="preserve"> </v>
      </c>
      <c r="AN56" s="32" t="str">
        <f>IF(S56=""," ",S56*Inputs!$B$39)</f>
        <v xml:space="preserve"> </v>
      </c>
      <c r="AO56" s="32" t="str">
        <f>IF(T56=""," ",T56*Inputs!$B$39)</f>
        <v xml:space="preserve"> </v>
      </c>
      <c r="AP56" s="32" t="str">
        <f>IF(U56=""," ",U56*Inputs!$B$39)</f>
        <v xml:space="preserve"> </v>
      </c>
      <c r="AR56" s="589"/>
      <c r="AS56" s="589"/>
      <c r="AT56" s="27"/>
      <c r="AU56" s="27" t="s">
        <v>499</v>
      </c>
      <c r="AV56" s="32" t="str">
        <f>IF(AA56=" "," ",AA56*Inputs!$B$53)</f>
        <v xml:space="preserve"> </v>
      </c>
      <c r="AW56" s="32" t="str">
        <f>IF(AB56=" "," ",AB56*Inputs!$B$53)</f>
        <v xml:space="preserve"> </v>
      </c>
      <c r="AX56" s="32" t="str">
        <f>IF(AC56=" "," ",AC56*Inputs!$B$53)</f>
        <v xml:space="preserve"> </v>
      </c>
      <c r="AY56" s="32" t="str">
        <f>IF(AD56=" "," ",AD56*Inputs!$B$53)</f>
        <v xml:space="preserve"> </v>
      </c>
      <c r="AZ56" s="32" t="str">
        <f>IF(AE56=" "," ",AE56*Inputs!$B$53)</f>
        <v xml:space="preserve"> </v>
      </c>
      <c r="BA56" s="32" t="str">
        <f>IF(AF56=" "," ",AF56*Inputs!$B$53)</f>
        <v xml:space="preserve"> </v>
      </c>
      <c r="BB56" s="32" t="str">
        <f>IF(AG56=" "," ",AG56*Inputs!$B$53)</f>
        <v xml:space="preserve"> </v>
      </c>
      <c r="BC56" s="32" t="str">
        <f>IF(AH56=" "," ",AH56*Inputs!$B$53)</f>
        <v xml:space="preserve"> </v>
      </c>
      <c r="BD56" s="32" t="str">
        <f>IF(AI56=" "," ",AI56*Inputs!$B$53)</f>
        <v xml:space="preserve"> </v>
      </c>
      <c r="BE56" s="32" t="str">
        <f>IF(AJ56=" "," ",AJ56*Inputs!$B$53)</f>
        <v xml:space="preserve"> </v>
      </c>
      <c r="BF56" s="32" t="str">
        <f>IF(AK56=" "," ",AK56*Inputs!$B$53)</f>
        <v xml:space="preserve"> </v>
      </c>
      <c r="BG56" s="32" t="str">
        <f>IF(AL56=" "," ",AL56*Inputs!$B$53)</f>
        <v xml:space="preserve"> </v>
      </c>
      <c r="BH56" s="32" t="str">
        <f>IF(AM56=" "," ",AM56*Inputs!$B$53)</f>
        <v xml:space="preserve"> </v>
      </c>
      <c r="BI56" s="32" t="str">
        <f>IF(AN56=" "," ",AN56*Inputs!$B$53)</f>
        <v xml:space="preserve"> </v>
      </c>
      <c r="BJ56" s="32" t="str">
        <f>IF(AO56=" "," ",AO56*Inputs!$B$53)</f>
        <v xml:space="preserve"> </v>
      </c>
      <c r="BK56" s="32" t="str">
        <f>IF(AP56=" "," ",AP56*Inputs!$B$53)</f>
        <v xml:space="preserve"> </v>
      </c>
      <c r="BM56" s="641"/>
      <c r="BN56" s="589"/>
      <c r="BO56" s="589"/>
      <c r="BP56" s="112" t="s">
        <v>524</v>
      </c>
      <c r="BQ56" s="120">
        <f t="shared" si="5"/>
        <v>1</v>
      </c>
      <c r="BR56" s="120">
        <f t="shared" si="6"/>
        <v>1.156092907544827</v>
      </c>
      <c r="BS56" s="120">
        <f t="shared" si="7"/>
        <v>1.312185815089655</v>
      </c>
      <c r="BT56" s="120">
        <f t="shared" si="8"/>
        <v>1.354009538639634</v>
      </c>
      <c r="BU56" s="120">
        <f t="shared" si="9"/>
        <v>1.3954217685854149</v>
      </c>
      <c r="BV56" s="11"/>
      <c r="BW56" s="32" t="e">
        <f>IF(VALUE($BW$5)&lt;=0.8,"1",IF(AND(VALUE($BW5)&gt;0.8,VALUE($BW$5)&lt;=0.96),FORECAST(VALUE($BW$5),BQ56:BR56,$BQ$5:$BR$5),IF(AND(VALUE($BW$5)&gt;0.96,VALUE($BW$5)&lt;=1.12),FORECAST(VALUE($BW$5),BR56:BS56,$BR$5:$BS$5),IF(AND(VALUE($BW$5)&gt;1.12,VALUE($BW$5)&lt;=1.3),FORECAST(VALUE($BW$5),BS56:BT56,$BS$5:$BT$5),FORECAST(VALUE($BW$5),BT56:BU56,$BT$5:$BU$5)))))</f>
        <v>#VALUE!</v>
      </c>
      <c r="BZ56" s="641"/>
      <c r="CA56" s="589"/>
      <c r="CB56" s="589"/>
      <c r="CC56" s="112" t="s">
        <v>524</v>
      </c>
      <c r="CD56" s="122">
        <v>1</v>
      </c>
      <c r="CE56" s="122">
        <v>1.156092907544827</v>
      </c>
      <c r="CF56" s="122">
        <v>1.312185815089655</v>
      </c>
      <c r="CG56" s="122">
        <v>1.354009538639634</v>
      </c>
      <c r="CH56" s="123">
        <v>1.3954217685854149</v>
      </c>
      <c r="CI56">
        <v>1.2151988502084199</v>
      </c>
      <c r="CK56" s="641"/>
      <c r="CL56" s="589"/>
      <c r="CM56" s="589"/>
      <c r="CN56" s="112" t="s">
        <v>524</v>
      </c>
      <c r="CO56" s="122">
        <v>1</v>
      </c>
      <c r="CP56" s="122">
        <v>1.1637498560048209</v>
      </c>
      <c r="CQ56" s="122">
        <v>1.3274997120096419</v>
      </c>
      <c r="CR56" s="122">
        <v>1.36981154035689</v>
      </c>
      <c r="CS56" s="123">
        <v>1.411707072753684</v>
      </c>
      <c r="CV56" s="641"/>
      <c r="CW56" s="589"/>
      <c r="CX56" s="589"/>
      <c r="CY56" s="112" t="s">
        <v>524</v>
      </c>
      <c r="CZ56" s="122">
        <v>1</v>
      </c>
      <c r="DA56" s="122">
        <v>1.2012956237305319</v>
      </c>
      <c r="DB56" s="122">
        <v>1.402591247461064</v>
      </c>
      <c r="DC56" s="122">
        <v>1.4472964926426879</v>
      </c>
      <c r="DD56" s="123">
        <v>1.491561893618562</v>
      </c>
    </row>
    <row r="57" spans="2:108" x14ac:dyDescent="0.25">
      <c r="B57" s="589"/>
      <c r="C57" s="589"/>
      <c r="D57" s="589"/>
      <c r="E57" s="21"/>
      <c r="F57" s="152"/>
      <c r="G57" s="152"/>
      <c r="H57" s="152"/>
      <c r="I57" s="152"/>
      <c r="J57" s="152"/>
      <c r="K57" s="152"/>
      <c r="L57" s="152"/>
      <c r="M57" s="152"/>
      <c r="N57" s="152"/>
      <c r="O57" s="152"/>
      <c r="P57" s="152"/>
      <c r="Q57" s="152"/>
      <c r="R57" s="152"/>
      <c r="S57" s="152"/>
      <c r="T57" s="152"/>
      <c r="U57" s="152"/>
      <c r="W57" s="589"/>
      <c r="X57" s="589"/>
      <c r="Y57" s="27"/>
      <c r="Z57" s="27" t="s">
        <v>500</v>
      </c>
      <c r="AA57" s="32" t="str">
        <f>IF(F57=""," ",F57*Inputs!$B$39)</f>
        <v xml:space="preserve"> </v>
      </c>
      <c r="AB57" s="32" t="str">
        <f>IF(G57=""," ",G57*Inputs!$B$39)</f>
        <v xml:space="preserve"> </v>
      </c>
      <c r="AC57" s="32" t="str">
        <f>IF(H57=""," ",H57*Inputs!$B$39)</f>
        <v xml:space="preserve"> </v>
      </c>
      <c r="AD57" s="32" t="str">
        <f>IF(I57=""," ",I57*Inputs!$B$39)</f>
        <v xml:space="preserve"> </v>
      </c>
      <c r="AE57" s="32" t="str">
        <f>IF(J57=""," ",J57*Inputs!$B$39)</f>
        <v xml:space="preserve"> </v>
      </c>
      <c r="AF57" s="32" t="str">
        <f>IF(K57=""," ",K57*Inputs!$B$39)</f>
        <v xml:space="preserve"> </v>
      </c>
      <c r="AG57" s="32" t="str">
        <f>IF(L57=""," ",L57*Inputs!$B$39)</f>
        <v xml:space="preserve"> </v>
      </c>
      <c r="AH57" s="32" t="str">
        <f>IF(M57=""," ",M57*Inputs!$B$39)</f>
        <v xml:space="preserve"> </v>
      </c>
      <c r="AI57" s="32" t="str">
        <f>IF(N57=""," ",N57*Inputs!$B$39)</f>
        <v xml:space="preserve"> </v>
      </c>
      <c r="AJ57" s="32" t="str">
        <f>IF(O57=""," ",O57*Inputs!$B$39)</f>
        <v xml:space="preserve"> </v>
      </c>
      <c r="AK57" s="32" t="str">
        <f>IF(P57=""," ",P57*Inputs!$B$39)</f>
        <v xml:space="preserve"> </v>
      </c>
      <c r="AL57" s="32" t="str">
        <f>IF(Q57=""," ",Q57*Inputs!$B$39)</f>
        <v xml:space="preserve"> </v>
      </c>
      <c r="AM57" s="32" t="str">
        <f>IF(R57=""," ",R57*Inputs!$B$39)</f>
        <v xml:space="preserve"> </v>
      </c>
      <c r="AN57" s="32" t="str">
        <f>IF(S57=""," ",S57*Inputs!$B$39)</f>
        <v xml:space="preserve"> </v>
      </c>
      <c r="AO57" s="32" t="str">
        <f>IF(T57=""," ",T57*Inputs!$B$39)</f>
        <v xml:space="preserve"> </v>
      </c>
      <c r="AP57" s="32" t="str">
        <f>IF(U57=""," ",U57*Inputs!$B$39)</f>
        <v xml:space="preserve"> </v>
      </c>
      <c r="AR57" s="589"/>
      <c r="AS57" s="589"/>
      <c r="AT57" s="27"/>
      <c r="AU57" s="27" t="s">
        <v>500</v>
      </c>
      <c r="AV57" s="32" t="str">
        <f>IF(AA57=" "," ",AA57*Inputs!$B$53)</f>
        <v xml:space="preserve"> </v>
      </c>
      <c r="AW57" s="32" t="str">
        <f>IF(AB57=" "," ",AB57*Inputs!$B$53)</f>
        <v xml:space="preserve"> </v>
      </c>
      <c r="AX57" s="32" t="str">
        <f>IF(AC57=" "," ",AC57*Inputs!$B$53)</f>
        <v xml:space="preserve"> </v>
      </c>
      <c r="AY57" s="32" t="str">
        <f>IF(AD57=" "," ",AD57*Inputs!$B$53)</f>
        <v xml:space="preserve"> </v>
      </c>
      <c r="AZ57" s="32" t="str">
        <f>IF(AE57=" "," ",AE57*Inputs!$B$53)</f>
        <v xml:space="preserve"> </v>
      </c>
      <c r="BA57" s="32" t="str">
        <f>IF(AF57=" "," ",AF57*Inputs!$B$53)</f>
        <v xml:space="preserve"> </v>
      </c>
      <c r="BB57" s="32" t="str">
        <f>IF(AG57=" "," ",AG57*Inputs!$B$53)</f>
        <v xml:space="preserve"> </v>
      </c>
      <c r="BC57" s="32" t="str">
        <f>IF(AH57=" "," ",AH57*Inputs!$B$53)</f>
        <v xml:space="preserve"> </v>
      </c>
      <c r="BD57" s="32" t="str">
        <f>IF(AI57=" "," ",AI57*Inputs!$B$53)</f>
        <v xml:space="preserve"> </v>
      </c>
      <c r="BE57" s="32" t="str">
        <f>IF(AJ57=" "," ",AJ57*Inputs!$B$53)</f>
        <v xml:space="preserve"> </v>
      </c>
      <c r="BF57" s="32" t="str">
        <f>IF(AK57=" "," ",AK57*Inputs!$B$53)</f>
        <v xml:space="preserve"> </v>
      </c>
      <c r="BG57" s="32" t="str">
        <f>IF(AL57=" "," ",AL57*Inputs!$B$53)</f>
        <v xml:space="preserve"> </v>
      </c>
      <c r="BH57" s="32" t="str">
        <f>IF(AM57=" "," ",AM57*Inputs!$B$53)</f>
        <v xml:space="preserve"> </v>
      </c>
      <c r="BI57" s="32" t="str">
        <f>IF(AN57=" "," ",AN57*Inputs!$B$53)</f>
        <v xml:space="preserve"> </v>
      </c>
      <c r="BJ57" s="32" t="str">
        <f>IF(AO57=" "," ",AO57*Inputs!$B$53)</f>
        <v xml:space="preserve"> </v>
      </c>
      <c r="BK57" s="32" t="str">
        <f>IF(AP57=" "," ",AP57*Inputs!$B$53)</f>
        <v xml:space="preserve"> </v>
      </c>
      <c r="BM57" s="641"/>
      <c r="BN57" s="589"/>
      <c r="BO57" s="642" t="s">
        <v>525</v>
      </c>
      <c r="BP57" s="87" t="s">
        <v>522</v>
      </c>
      <c r="BQ57" s="120">
        <f t="shared" si="5"/>
        <v>0</v>
      </c>
      <c r="BR57" s="120">
        <f t="shared" si="6"/>
        <v>0</v>
      </c>
      <c r="BS57" s="120">
        <f t="shared" si="7"/>
        <v>0</v>
      </c>
      <c r="BT57" s="120">
        <f t="shared" si="8"/>
        <v>0</v>
      </c>
      <c r="BU57" s="120">
        <f t="shared" si="9"/>
        <v>0</v>
      </c>
      <c r="BV57" s="11"/>
      <c r="BW57" s="32">
        <v>1</v>
      </c>
      <c r="BZ57" s="641"/>
      <c r="CA57" s="589"/>
      <c r="CB57" s="642" t="s">
        <v>525</v>
      </c>
      <c r="CC57" s="87" t="s">
        <v>522</v>
      </c>
      <c r="CD57" s="124"/>
      <c r="CE57" s="124"/>
      <c r="CF57" s="124"/>
      <c r="CG57" s="124"/>
      <c r="CH57" s="125"/>
      <c r="CK57" s="641"/>
      <c r="CL57" s="589"/>
      <c r="CM57" s="642" t="s">
        <v>525</v>
      </c>
      <c r="CN57" s="87" t="s">
        <v>522</v>
      </c>
      <c r="CO57" s="124"/>
      <c r="CP57" s="124"/>
      <c r="CQ57" s="124"/>
      <c r="CR57" s="124"/>
      <c r="CS57" s="125"/>
      <c r="CV57" s="641"/>
      <c r="CW57" s="589"/>
      <c r="CX57" s="642" t="s">
        <v>525</v>
      </c>
      <c r="CY57" s="87" t="s">
        <v>522</v>
      </c>
      <c r="CZ57" s="124"/>
      <c r="DA57" s="124"/>
      <c r="DB57" s="124"/>
      <c r="DC57" s="124"/>
      <c r="DD57" s="125"/>
    </row>
    <row r="58" spans="2:108" x14ac:dyDescent="0.25">
      <c r="B58" s="589"/>
      <c r="C58" s="589"/>
      <c r="D58" s="589"/>
      <c r="E58" s="21"/>
      <c r="F58" s="152"/>
      <c r="G58" s="152"/>
      <c r="H58" s="152"/>
      <c r="I58" s="152"/>
      <c r="J58" s="152"/>
      <c r="K58" s="152"/>
      <c r="L58" s="152"/>
      <c r="M58" s="152"/>
      <c r="N58" s="152"/>
      <c r="O58" s="152"/>
      <c r="P58" s="152"/>
      <c r="Q58" s="152"/>
      <c r="R58" s="152"/>
      <c r="S58" s="152"/>
      <c r="T58" s="152"/>
      <c r="U58" s="152"/>
      <c r="W58" s="589"/>
      <c r="X58" s="589"/>
      <c r="Y58" s="29"/>
      <c r="Z58" s="29" t="s">
        <v>501</v>
      </c>
      <c r="AA58" s="32" t="str">
        <f>IF(F58=""," ",F58*Inputs!$B$39)</f>
        <v xml:space="preserve"> </v>
      </c>
      <c r="AB58" s="32" t="str">
        <f>IF(G58=""," ",G58*Inputs!$B$39)</f>
        <v xml:space="preserve"> </v>
      </c>
      <c r="AC58" s="32" t="str">
        <f>IF(H58=""," ",H58*Inputs!$B$39)</f>
        <v xml:space="preserve"> </v>
      </c>
      <c r="AD58" s="32" t="str">
        <f>IF(I58=""," ",I58*Inputs!$B$39)</f>
        <v xml:space="preserve"> </v>
      </c>
      <c r="AE58" s="32" t="str">
        <f>IF(J58=""," ",J58*Inputs!$B$39)</f>
        <v xml:space="preserve"> </v>
      </c>
      <c r="AF58" s="32" t="str">
        <f>IF(K58=""," ",K58*Inputs!$B$39)</f>
        <v xml:space="preserve"> </v>
      </c>
      <c r="AG58" s="32" t="str">
        <f>IF(L58=""," ",L58*Inputs!$B$39)</f>
        <v xml:space="preserve"> </v>
      </c>
      <c r="AH58" s="32" t="str">
        <f>IF(M58=""," ",M58*Inputs!$B$39)</f>
        <v xml:space="preserve"> </v>
      </c>
      <c r="AI58" s="32" t="str">
        <f>IF(N58=""," ",N58*Inputs!$B$39)</f>
        <v xml:space="preserve"> </v>
      </c>
      <c r="AJ58" s="32" t="str">
        <f>IF(O58=""," ",O58*Inputs!$B$39)</f>
        <v xml:space="preserve"> </v>
      </c>
      <c r="AK58" s="32" t="str">
        <f>IF(P58=""," ",P58*Inputs!$B$39)</f>
        <v xml:space="preserve"> </v>
      </c>
      <c r="AL58" s="32" t="str">
        <f>IF(Q58=""," ",Q58*Inputs!$B$39)</f>
        <v xml:space="preserve"> </v>
      </c>
      <c r="AM58" s="32" t="str">
        <f>IF(R58=""," ",R58*Inputs!$B$39)</f>
        <v xml:space="preserve"> </v>
      </c>
      <c r="AN58" s="32" t="str">
        <f>IF(S58=""," ",S58*Inputs!$B$39)</f>
        <v xml:space="preserve"> </v>
      </c>
      <c r="AO58" s="32" t="str">
        <f>IF(T58=""," ",T58*Inputs!$B$39)</f>
        <v xml:space="preserve"> </v>
      </c>
      <c r="AP58" s="32" t="str">
        <f>IF(U58=""," ",U58*Inputs!$B$39)</f>
        <v xml:space="preserve"> </v>
      </c>
      <c r="AR58" s="589"/>
      <c r="AS58" s="589"/>
      <c r="AT58" s="29"/>
      <c r="AU58" s="29" t="s">
        <v>501</v>
      </c>
      <c r="AV58" s="32" t="str">
        <f>IF(AA58=" "," ",AA58*Inputs!$B$53)</f>
        <v xml:space="preserve"> </v>
      </c>
      <c r="AW58" s="32" t="str">
        <f>IF(AB58=" "," ",AB58*Inputs!$B$53)</f>
        <v xml:space="preserve"> </v>
      </c>
      <c r="AX58" s="32" t="str">
        <f>IF(AC58=" "," ",AC58*Inputs!$B$53)</f>
        <v xml:space="preserve"> </v>
      </c>
      <c r="AY58" s="32" t="str">
        <f>IF(AD58=" "," ",AD58*Inputs!$B$53)</f>
        <v xml:space="preserve"> </v>
      </c>
      <c r="AZ58" s="32" t="str">
        <f>IF(AE58=" "," ",AE58*Inputs!$B$53)</f>
        <v xml:space="preserve"> </v>
      </c>
      <c r="BA58" s="32" t="str">
        <f>IF(AF58=" "," ",AF58*Inputs!$B$53)</f>
        <v xml:space="preserve"> </v>
      </c>
      <c r="BB58" s="32" t="str">
        <f>IF(AG58=" "," ",AG58*Inputs!$B$53)</f>
        <v xml:space="preserve"> </v>
      </c>
      <c r="BC58" s="32" t="str">
        <f>IF(AH58=" "," ",AH58*Inputs!$B$53)</f>
        <v xml:space="preserve"> </v>
      </c>
      <c r="BD58" s="32" t="str">
        <f>IF(AI58=" "," ",AI58*Inputs!$B$53)</f>
        <v xml:space="preserve"> </v>
      </c>
      <c r="BE58" s="32" t="str">
        <f>IF(AJ58=" "," ",AJ58*Inputs!$B$53)</f>
        <v xml:space="preserve"> </v>
      </c>
      <c r="BF58" s="32" t="str">
        <f>IF(AK58=" "," ",AK58*Inputs!$B$53)</f>
        <v xml:space="preserve"> </v>
      </c>
      <c r="BG58" s="32" t="str">
        <f>IF(AL58=" "," ",AL58*Inputs!$B$53)</f>
        <v xml:space="preserve"> </v>
      </c>
      <c r="BH58" s="32" t="str">
        <f>IF(AM58=" "," ",AM58*Inputs!$B$53)</f>
        <v xml:space="preserve"> </v>
      </c>
      <c r="BI58" s="32" t="str">
        <f>IF(AN58=" "," ",AN58*Inputs!$B$53)</f>
        <v xml:space="preserve"> </v>
      </c>
      <c r="BJ58" s="32" t="str">
        <f>IF(AO58=" "," ",AO58*Inputs!$B$53)</f>
        <v xml:space="preserve"> </v>
      </c>
      <c r="BK58" s="32" t="str">
        <f>IF(AP58=" "," ",AP58*Inputs!$B$53)</f>
        <v xml:space="preserve"> </v>
      </c>
      <c r="BM58" s="641"/>
      <c r="BN58" s="589"/>
      <c r="BO58" s="589"/>
      <c r="BP58" s="90" t="s">
        <v>523</v>
      </c>
      <c r="BQ58" s="120">
        <f t="shared" si="5"/>
        <v>0</v>
      </c>
      <c r="BR58" s="120">
        <f t="shared" si="6"/>
        <v>0</v>
      </c>
      <c r="BS58" s="120">
        <f t="shared" si="7"/>
        <v>0</v>
      </c>
      <c r="BT58" s="120">
        <f t="shared" si="8"/>
        <v>0</v>
      </c>
      <c r="BU58" s="120">
        <f t="shared" si="9"/>
        <v>0</v>
      </c>
      <c r="BV58" s="11"/>
      <c r="BW58" s="148">
        <f>IF($BW$3=0,BW57,BW59)</f>
        <v>1</v>
      </c>
      <c r="BZ58" s="641"/>
      <c r="CA58" s="589"/>
      <c r="CB58" s="589"/>
      <c r="CC58" s="90" t="s">
        <v>523</v>
      </c>
      <c r="CD58" s="126"/>
      <c r="CE58" s="126"/>
      <c r="CF58" s="126"/>
      <c r="CG58" s="126"/>
      <c r="CH58" s="131"/>
      <c r="CK58" s="641"/>
      <c r="CL58" s="589"/>
      <c r="CM58" s="589"/>
      <c r="CN58" s="90" t="s">
        <v>523</v>
      </c>
      <c r="CO58" s="126"/>
      <c r="CP58" s="126"/>
      <c r="CQ58" s="126"/>
      <c r="CR58" s="126"/>
      <c r="CS58" s="131"/>
      <c r="CV58" s="641"/>
      <c r="CW58" s="589"/>
      <c r="CX58" s="589"/>
      <c r="CY58" s="90" t="s">
        <v>523</v>
      </c>
      <c r="CZ58" s="126"/>
      <c r="DA58" s="126"/>
      <c r="DB58" s="126"/>
      <c r="DC58" s="126"/>
      <c r="DD58" s="131"/>
    </row>
    <row r="59" spans="2:108" x14ac:dyDescent="0.25">
      <c r="B59" s="626"/>
      <c r="C59" s="589"/>
      <c r="D59" s="588"/>
      <c r="E59" s="150"/>
      <c r="F59" s="151"/>
      <c r="G59" s="151"/>
      <c r="H59" s="151"/>
      <c r="I59" s="151"/>
      <c r="J59" s="151"/>
      <c r="K59" s="151"/>
      <c r="L59" s="151"/>
      <c r="M59" s="151"/>
      <c r="N59" s="151"/>
      <c r="O59" s="151"/>
      <c r="P59" s="151"/>
      <c r="Q59" s="151"/>
      <c r="R59" s="151"/>
      <c r="S59" s="151"/>
      <c r="T59" s="151"/>
      <c r="U59" s="151"/>
      <c r="W59" s="626"/>
      <c r="X59" s="589"/>
      <c r="Y59" s="24">
        <v>1.7692363920795789E-2</v>
      </c>
      <c r="Z59" s="24" t="s">
        <v>498</v>
      </c>
      <c r="AA59" s="32" t="str">
        <f>IF(F59=""," ",F59*Inputs!$B$39)</f>
        <v xml:space="preserve"> </v>
      </c>
      <c r="AB59" s="32" t="str">
        <f>IF(G59=""," ",G59*Inputs!$B$39)</f>
        <v xml:space="preserve"> </v>
      </c>
      <c r="AC59" s="32" t="str">
        <f>IF(H59=""," ",H59*Inputs!$B$39)</f>
        <v xml:space="preserve"> </v>
      </c>
      <c r="AD59" s="32" t="str">
        <f>IF(I59=""," ",I59*Inputs!$B$39)</f>
        <v xml:space="preserve"> </v>
      </c>
      <c r="AE59" s="32" t="str">
        <f>IF(J59=""," ",J59*Inputs!$B$39)</f>
        <v xml:space="preserve"> </v>
      </c>
      <c r="AF59" s="32" t="str">
        <f>IF(K59=""," ",K59*Inputs!$B$39)</f>
        <v xml:space="preserve"> </v>
      </c>
      <c r="AG59" s="32" t="str">
        <f>IF(L59=""," ",L59*Inputs!$B$39)</f>
        <v xml:space="preserve"> </v>
      </c>
      <c r="AH59" s="32" t="str">
        <f>IF(M59=""," ",M59*Inputs!$B$39)</f>
        <v xml:space="preserve"> </v>
      </c>
      <c r="AI59" s="32" t="str">
        <f>IF(N59=""," ",N59*Inputs!$B$39)</f>
        <v xml:space="preserve"> </v>
      </c>
      <c r="AJ59" s="32" t="str">
        <f>IF(O59=""," ",O59*Inputs!$B$39)</f>
        <v xml:space="preserve"> </v>
      </c>
      <c r="AK59" s="32" t="str">
        <f>IF(P59=""," ",P59*Inputs!$B$39)</f>
        <v xml:space="preserve"> </v>
      </c>
      <c r="AL59" s="32" t="str">
        <f>IF(Q59=""," ",Q59*Inputs!$B$39)</f>
        <v xml:space="preserve"> </v>
      </c>
      <c r="AM59" s="32" t="str">
        <f>IF(R59=""," ",R59*Inputs!$B$39)</f>
        <v xml:space="preserve"> </v>
      </c>
      <c r="AN59" s="32" t="str">
        <f>IF(S59=""," ",S59*Inputs!$B$39)</f>
        <v xml:space="preserve"> </v>
      </c>
      <c r="AO59" s="32" t="str">
        <f>IF(T59=""," ",T59*Inputs!$B$39)</f>
        <v xml:space="preserve"> </v>
      </c>
      <c r="AP59" s="32" t="str">
        <f>IF(U59=""," ",U59*Inputs!$B$39)</f>
        <v xml:space="preserve"> </v>
      </c>
      <c r="AR59" s="626"/>
      <c r="AS59" s="589"/>
      <c r="AT59" s="24">
        <v>1.7692363920795789E-2</v>
      </c>
      <c r="AU59" s="24" t="s">
        <v>498</v>
      </c>
      <c r="AV59" s="32" t="str">
        <f>IF(AA59=" "," ",AA59*Inputs!$B$53)</f>
        <v xml:space="preserve"> </v>
      </c>
      <c r="AW59" s="32" t="str">
        <f>IF(AB59=" "," ",AB59*Inputs!$B$53)</f>
        <v xml:space="preserve"> </v>
      </c>
      <c r="AX59" s="32" t="str">
        <f>IF(AC59=" "," ",AC59*Inputs!$B$53)</f>
        <v xml:space="preserve"> </v>
      </c>
      <c r="AY59" s="32" t="str">
        <f>IF(AD59=" "," ",AD59*Inputs!$B$53)</f>
        <v xml:space="preserve"> </v>
      </c>
      <c r="AZ59" s="32" t="str">
        <f>IF(AE59=" "," ",AE59*Inputs!$B$53)</f>
        <v xml:space="preserve"> </v>
      </c>
      <c r="BA59" s="32" t="str">
        <f>IF(AF59=" "," ",AF59*Inputs!$B$53)</f>
        <v xml:space="preserve"> </v>
      </c>
      <c r="BB59" s="32" t="str">
        <f>IF(AG59=" "," ",AG59*Inputs!$B$53)</f>
        <v xml:space="preserve"> </v>
      </c>
      <c r="BC59" s="32" t="str">
        <f>IF(AH59=" "," ",AH59*Inputs!$B$53)</f>
        <v xml:space="preserve"> </v>
      </c>
      <c r="BD59" s="32" t="str">
        <f>IF(AI59=" "," ",AI59*Inputs!$B$53)</f>
        <v xml:space="preserve"> </v>
      </c>
      <c r="BE59" s="32" t="str">
        <f>IF(AJ59=" "," ",AJ59*Inputs!$B$53)</f>
        <v xml:space="preserve"> </v>
      </c>
      <c r="BF59" s="32" t="str">
        <f>IF(AK59=" "," ",AK59*Inputs!$B$53)</f>
        <v xml:space="preserve"> </v>
      </c>
      <c r="BG59" s="32" t="str">
        <f>IF(AL59=" "," ",AL59*Inputs!$B$53)</f>
        <v xml:space="preserve"> </v>
      </c>
      <c r="BH59" s="32" t="str">
        <f>IF(AM59=" "," ",AM59*Inputs!$B$53)</f>
        <v xml:space="preserve"> </v>
      </c>
      <c r="BI59" s="32" t="str">
        <f>IF(AN59=" "," ",AN59*Inputs!$B$53)</f>
        <v xml:space="preserve"> </v>
      </c>
      <c r="BJ59" s="32" t="str">
        <f>IF(AO59=" "," ",AO59*Inputs!$B$53)</f>
        <v xml:space="preserve"> </v>
      </c>
      <c r="BK59" s="32" t="str">
        <f>IF(AP59=" "," ",AP59*Inputs!$B$53)</f>
        <v xml:space="preserve"> </v>
      </c>
      <c r="BM59" s="641"/>
      <c r="BN59" s="589"/>
      <c r="BO59" s="591"/>
      <c r="BP59" s="112" t="s">
        <v>524</v>
      </c>
      <c r="BQ59" s="120">
        <f t="shared" si="5"/>
        <v>0</v>
      </c>
      <c r="BR59" s="120">
        <f t="shared" si="6"/>
        <v>0</v>
      </c>
      <c r="BS59" s="120">
        <f t="shared" si="7"/>
        <v>0</v>
      </c>
      <c r="BT59" s="120">
        <f t="shared" si="8"/>
        <v>0</v>
      </c>
      <c r="BU59" s="120">
        <f t="shared" si="9"/>
        <v>0</v>
      </c>
      <c r="BV59" s="11"/>
      <c r="BW59" s="32">
        <v>1</v>
      </c>
      <c r="BZ59" s="641"/>
      <c r="CA59" s="589"/>
      <c r="CB59" s="591"/>
      <c r="CC59" s="112" t="s">
        <v>524</v>
      </c>
      <c r="CD59" s="128"/>
      <c r="CE59" s="128"/>
      <c r="CF59" s="128"/>
      <c r="CG59" s="128"/>
      <c r="CH59" s="131"/>
      <c r="CK59" s="641"/>
      <c r="CL59" s="589"/>
      <c r="CM59" s="591"/>
      <c r="CN59" s="112" t="s">
        <v>524</v>
      </c>
      <c r="CO59" s="128"/>
      <c r="CP59" s="128"/>
      <c r="CQ59" s="128"/>
      <c r="CR59" s="128"/>
      <c r="CS59" s="131"/>
      <c r="CV59" s="641"/>
      <c r="CW59" s="589"/>
      <c r="CX59" s="591"/>
      <c r="CY59" s="112" t="s">
        <v>524</v>
      </c>
      <c r="CZ59" s="128"/>
      <c r="DA59" s="128"/>
      <c r="DB59" s="128"/>
      <c r="DC59" s="128"/>
      <c r="DD59" s="131"/>
    </row>
    <row r="60" spans="2:108" x14ac:dyDescent="0.25">
      <c r="B60" s="589"/>
      <c r="C60" s="589"/>
      <c r="D60" s="589"/>
      <c r="E60" s="21"/>
      <c r="F60" s="152"/>
      <c r="G60" s="152"/>
      <c r="H60" s="152"/>
      <c r="I60" s="152"/>
      <c r="J60" s="152"/>
      <c r="K60" s="152"/>
      <c r="L60" s="152"/>
      <c r="M60" s="152"/>
      <c r="N60" s="152"/>
      <c r="O60" s="152"/>
      <c r="P60" s="152"/>
      <c r="Q60" s="152"/>
      <c r="R60" s="152"/>
      <c r="S60" s="152"/>
      <c r="T60" s="152"/>
      <c r="U60" s="152"/>
      <c r="W60" s="589"/>
      <c r="X60" s="589"/>
      <c r="Y60" s="27"/>
      <c r="Z60" s="27" t="s">
        <v>499</v>
      </c>
      <c r="AA60" s="32" t="str">
        <f>IF(F60=""," ",F60*Inputs!$B$39)</f>
        <v xml:space="preserve"> </v>
      </c>
      <c r="AB60" s="32" t="str">
        <f>IF(G60=""," ",G60*Inputs!$B$39)</f>
        <v xml:space="preserve"> </v>
      </c>
      <c r="AC60" s="32" t="str">
        <f>IF(H60=""," ",H60*Inputs!$B$39)</f>
        <v xml:space="preserve"> </v>
      </c>
      <c r="AD60" s="32" t="str">
        <f>IF(I60=""," ",I60*Inputs!$B$39)</f>
        <v xml:space="preserve"> </v>
      </c>
      <c r="AE60" s="32" t="str">
        <f>IF(J60=""," ",J60*Inputs!$B$39)</f>
        <v xml:space="preserve"> </v>
      </c>
      <c r="AF60" s="32" t="str">
        <f>IF(K60=""," ",K60*Inputs!$B$39)</f>
        <v xml:space="preserve"> </v>
      </c>
      <c r="AG60" s="32" t="str">
        <f>IF(L60=""," ",L60*Inputs!$B$39)</f>
        <v xml:space="preserve"> </v>
      </c>
      <c r="AH60" s="32" t="str">
        <f>IF(M60=""," ",M60*Inputs!$B$39)</f>
        <v xml:space="preserve"> </v>
      </c>
      <c r="AI60" s="32" t="str">
        <f>IF(N60=""," ",N60*Inputs!$B$39)</f>
        <v xml:space="preserve"> </v>
      </c>
      <c r="AJ60" s="32" t="str">
        <f>IF(O60=""," ",O60*Inputs!$B$39)</f>
        <v xml:space="preserve"> </v>
      </c>
      <c r="AK60" s="32" t="str">
        <f>IF(P60=""," ",P60*Inputs!$B$39)</f>
        <v xml:space="preserve"> </v>
      </c>
      <c r="AL60" s="32" t="str">
        <f>IF(Q60=""," ",Q60*Inputs!$B$39)</f>
        <v xml:space="preserve"> </v>
      </c>
      <c r="AM60" s="32" t="str">
        <f>IF(R60=""," ",R60*Inputs!$B$39)</f>
        <v xml:space="preserve"> </v>
      </c>
      <c r="AN60" s="32" t="str">
        <f>IF(S60=""," ",S60*Inputs!$B$39)</f>
        <v xml:space="preserve"> </v>
      </c>
      <c r="AO60" s="32" t="str">
        <f>IF(T60=""," ",T60*Inputs!$B$39)</f>
        <v xml:space="preserve"> </v>
      </c>
      <c r="AP60" s="32" t="str">
        <f>IF(U60=""," ",U60*Inputs!$B$39)</f>
        <v xml:space="preserve"> </v>
      </c>
      <c r="AR60" s="589"/>
      <c r="AS60" s="589"/>
      <c r="AT60" s="27"/>
      <c r="AU60" s="27" t="s">
        <v>499</v>
      </c>
      <c r="AV60" s="32" t="str">
        <f>IF(AA60=" "," ",AA60*Inputs!$B$53)</f>
        <v xml:space="preserve"> </v>
      </c>
      <c r="AW60" s="32" t="str">
        <f>IF(AB60=" "," ",AB60*Inputs!$B$53)</f>
        <v xml:space="preserve"> </v>
      </c>
      <c r="AX60" s="32" t="str">
        <f>IF(AC60=" "," ",AC60*Inputs!$B$53)</f>
        <v xml:space="preserve"> </v>
      </c>
      <c r="AY60" s="32" t="str">
        <f>IF(AD60=" "," ",AD60*Inputs!$B$53)</f>
        <v xml:space="preserve"> </v>
      </c>
      <c r="AZ60" s="32" t="str">
        <f>IF(AE60=" "," ",AE60*Inputs!$B$53)</f>
        <v xml:space="preserve"> </v>
      </c>
      <c r="BA60" s="32" t="str">
        <f>IF(AF60=" "," ",AF60*Inputs!$B$53)</f>
        <v xml:space="preserve"> </v>
      </c>
      <c r="BB60" s="32" t="str">
        <f>IF(AG60=" "," ",AG60*Inputs!$B$53)</f>
        <v xml:space="preserve"> </v>
      </c>
      <c r="BC60" s="32" t="str">
        <f>IF(AH60=" "," ",AH60*Inputs!$B$53)</f>
        <v xml:space="preserve"> </v>
      </c>
      <c r="BD60" s="32" t="str">
        <f>IF(AI60=" "," ",AI60*Inputs!$B$53)</f>
        <v xml:space="preserve"> </v>
      </c>
      <c r="BE60" s="32" t="str">
        <f>IF(AJ60=" "," ",AJ60*Inputs!$B$53)</f>
        <v xml:space="preserve"> </v>
      </c>
      <c r="BF60" s="32" t="str">
        <f>IF(AK60=" "," ",AK60*Inputs!$B$53)</f>
        <v xml:space="preserve"> </v>
      </c>
      <c r="BG60" s="32" t="str">
        <f>IF(AL60=" "," ",AL60*Inputs!$B$53)</f>
        <v xml:space="preserve"> </v>
      </c>
      <c r="BH60" s="32" t="str">
        <f>IF(AM60=" "," ",AM60*Inputs!$B$53)</f>
        <v xml:space="preserve"> </v>
      </c>
      <c r="BI60" s="32" t="str">
        <f>IF(AN60=" "," ",AN60*Inputs!$B$53)</f>
        <v xml:space="preserve"> </v>
      </c>
      <c r="BJ60" s="32" t="str">
        <f>IF(AO60=" "," ",AO60*Inputs!$B$53)</f>
        <v xml:space="preserve"> </v>
      </c>
      <c r="BK60" s="32" t="str">
        <f>IF(AP60=" "," ",AP60*Inputs!$B$53)</f>
        <v xml:space="preserve"> </v>
      </c>
      <c r="BM60" s="641"/>
      <c r="BN60" s="589"/>
      <c r="BO60" s="609" t="s">
        <v>545</v>
      </c>
      <c r="BP60" s="87" t="s">
        <v>522</v>
      </c>
      <c r="BQ60" s="120">
        <f t="shared" si="5"/>
        <v>1</v>
      </c>
      <c r="BR60" s="120">
        <f t="shared" si="6"/>
        <v>1.0391296477793051</v>
      </c>
      <c r="BS60" s="120">
        <f t="shared" si="7"/>
        <v>1.073405452435789</v>
      </c>
      <c r="BT60" s="120">
        <f t="shared" si="8"/>
        <v>1.1076184521370911</v>
      </c>
      <c r="BU60" s="120">
        <f t="shared" si="9"/>
        <v>1.141494838324278</v>
      </c>
      <c r="BV60" s="11"/>
      <c r="BW60" s="32" t="e">
        <f>IF(VALUE($BW$5)&lt;=0.8,"1",IF(AND(VALUE($BW5)&gt;0.8,VALUE($BW$5)&lt;=0.96),FORECAST(VALUE($BW$5),BQ60:BR60,$BQ$5:$BR$5),IF(AND(VALUE($BW$5)&gt;0.96,VALUE($BW$5)&lt;=1.12),FORECAST(VALUE($BW$5),BR60:BS60,$BR$5:$BS$5),IF(AND(VALUE($BW$5)&gt;1.12,VALUE($BW$5)&lt;=1.3),FORECAST(VALUE($BW$5),BS60:BT60,$BS$5:$BT$5),FORECAST(VALUE($BW$5),BT60:BU60,$BT$5:$BU$5)))))</f>
        <v>#VALUE!</v>
      </c>
      <c r="BZ60" s="641"/>
      <c r="CA60" s="589"/>
      <c r="CB60" s="609" t="s">
        <v>545</v>
      </c>
      <c r="CC60" s="87" t="s">
        <v>522</v>
      </c>
      <c r="CD60" s="120">
        <v>1</v>
      </c>
      <c r="CE60" s="120">
        <v>1.0391296477793051</v>
      </c>
      <c r="CF60" s="120">
        <v>1.073405452435789</v>
      </c>
      <c r="CG60" s="120">
        <v>1.1076184521370911</v>
      </c>
      <c r="CH60" s="121">
        <v>1.141494838324278</v>
      </c>
      <c r="CK60" s="641"/>
      <c r="CL60" s="589"/>
      <c r="CM60" s="609" t="s">
        <v>545</v>
      </c>
      <c r="CN60" s="87" t="s">
        <v>522</v>
      </c>
      <c r="CO60" s="120">
        <v>1</v>
      </c>
      <c r="CP60" s="120">
        <v>1.0391296477793051</v>
      </c>
      <c r="CQ60" s="120">
        <v>1.073405452435789</v>
      </c>
      <c r="CR60" s="120">
        <v>1.1076184521370911</v>
      </c>
      <c r="CS60" s="121">
        <v>1.141494838324278</v>
      </c>
      <c r="CV60" s="641"/>
      <c r="CW60" s="589"/>
      <c r="CX60" s="609" t="s">
        <v>545</v>
      </c>
      <c r="CY60" s="87" t="s">
        <v>522</v>
      </c>
      <c r="CZ60" s="120">
        <v>1</v>
      </c>
      <c r="DA60" s="120">
        <v>1.0391296477793051</v>
      </c>
      <c r="DB60" s="120">
        <v>1.073405452435789</v>
      </c>
      <c r="DC60" s="120">
        <v>1.1076184521370911</v>
      </c>
      <c r="DD60" s="121">
        <v>1.141494838324278</v>
      </c>
    </row>
    <row r="61" spans="2:108" x14ac:dyDescent="0.25">
      <c r="B61" s="589"/>
      <c r="C61" s="589"/>
      <c r="D61" s="589"/>
      <c r="E61" s="21"/>
      <c r="F61" s="152"/>
      <c r="G61" s="152"/>
      <c r="H61" s="152"/>
      <c r="I61" s="152"/>
      <c r="J61" s="152"/>
      <c r="K61" s="152"/>
      <c r="L61" s="152"/>
      <c r="M61" s="152"/>
      <c r="N61" s="152"/>
      <c r="O61" s="152"/>
      <c r="P61" s="152"/>
      <c r="Q61" s="152"/>
      <c r="R61" s="152"/>
      <c r="S61" s="152"/>
      <c r="T61" s="152"/>
      <c r="U61" s="152"/>
      <c r="W61" s="589"/>
      <c r="X61" s="589"/>
      <c r="Y61" s="27"/>
      <c r="Z61" s="27" t="s">
        <v>500</v>
      </c>
      <c r="AA61" s="32" t="str">
        <f>IF(F61=""," ",F61*Inputs!$B$39)</f>
        <v xml:space="preserve"> </v>
      </c>
      <c r="AB61" s="32" t="str">
        <f>IF(G61=""," ",G61*Inputs!$B$39)</f>
        <v xml:space="preserve"> </v>
      </c>
      <c r="AC61" s="32" t="str">
        <f>IF(H61=""," ",H61*Inputs!$B$39)</f>
        <v xml:space="preserve"> </v>
      </c>
      <c r="AD61" s="32" t="str">
        <f>IF(I61=""," ",I61*Inputs!$B$39)</f>
        <v xml:space="preserve"> </v>
      </c>
      <c r="AE61" s="32" t="str">
        <f>IF(J61=""," ",J61*Inputs!$B$39)</f>
        <v xml:space="preserve"> </v>
      </c>
      <c r="AF61" s="32" t="str">
        <f>IF(K61=""," ",K61*Inputs!$B$39)</f>
        <v xml:space="preserve"> </v>
      </c>
      <c r="AG61" s="32" t="str">
        <f>IF(L61=""," ",L61*Inputs!$B$39)</f>
        <v xml:space="preserve"> </v>
      </c>
      <c r="AH61" s="32" t="str">
        <f>IF(M61=""," ",M61*Inputs!$B$39)</f>
        <v xml:space="preserve"> </v>
      </c>
      <c r="AI61" s="32" t="str">
        <f>IF(N61=""," ",N61*Inputs!$B$39)</f>
        <v xml:space="preserve"> </v>
      </c>
      <c r="AJ61" s="32" t="str">
        <f>IF(O61=""," ",O61*Inputs!$B$39)</f>
        <v xml:space="preserve"> </v>
      </c>
      <c r="AK61" s="32" t="str">
        <f>IF(P61=""," ",P61*Inputs!$B$39)</f>
        <v xml:space="preserve"> </v>
      </c>
      <c r="AL61" s="32" t="str">
        <f>IF(Q61=""," ",Q61*Inputs!$B$39)</f>
        <v xml:space="preserve"> </v>
      </c>
      <c r="AM61" s="32" t="str">
        <f>IF(R61=""," ",R61*Inputs!$B$39)</f>
        <v xml:space="preserve"> </v>
      </c>
      <c r="AN61" s="32" t="str">
        <f>IF(S61=""," ",S61*Inputs!$B$39)</f>
        <v xml:space="preserve"> </v>
      </c>
      <c r="AO61" s="32" t="str">
        <f>IF(T61=""," ",T61*Inputs!$B$39)</f>
        <v xml:space="preserve"> </v>
      </c>
      <c r="AP61" s="32" t="str">
        <f>IF(U61=""," ",U61*Inputs!$B$39)</f>
        <v xml:space="preserve"> </v>
      </c>
      <c r="AR61" s="589"/>
      <c r="AS61" s="589"/>
      <c r="AT61" s="27"/>
      <c r="AU61" s="27" t="s">
        <v>500</v>
      </c>
      <c r="AV61" s="32" t="str">
        <f>IF(AA61=" "," ",AA61*Inputs!$B$53)</f>
        <v xml:space="preserve"> </v>
      </c>
      <c r="AW61" s="32" t="str">
        <f>IF(AB61=" "," ",AB61*Inputs!$B$53)</f>
        <v xml:space="preserve"> </v>
      </c>
      <c r="AX61" s="32" t="str">
        <f>IF(AC61=" "," ",AC61*Inputs!$B$53)</f>
        <v xml:space="preserve"> </v>
      </c>
      <c r="AY61" s="32" t="str">
        <f>IF(AD61=" "," ",AD61*Inputs!$B$53)</f>
        <v xml:space="preserve"> </v>
      </c>
      <c r="AZ61" s="32" t="str">
        <f>IF(AE61=" "," ",AE61*Inputs!$B$53)</f>
        <v xml:space="preserve"> </v>
      </c>
      <c r="BA61" s="32" t="str">
        <f>IF(AF61=" "," ",AF61*Inputs!$B$53)</f>
        <v xml:space="preserve"> </v>
      </c>
      <c r="BB61" s="32" t="str">
        <f>IF(AG61=" "," ",AG61*Inputs!$B$53)</f>
        <v xml:space="preserve"> </v>
      </c>
      <c r="BC61" s="32" t="str">
        <f>IF(AH61=" "," ",AH61*Inputs!$B$53)</f>
        <v xml:space="preserve"> </v>
      </c>
      <c r="BD61" s="32" t="str">
        <f>IF(AI61=" "," ",AI61*Inputs!$B$53)</f>
        <v xml:space="preserve"> </v>
      </c>
      <c r="BE61" s="32" t="str">
        <f>IF(AJ61=" "," ",AJ61*Inputs!$B$53)</f>
        <v xml:space="preserve"> </v>
      </c>
      <c r="BF61" s="32" t="str">
        <f>IF(AK61=" "," ",AK61*Inputs!$B$53)</f>
        <v xml:space="preserve"> </v>
      </c>
      <c r="BG61" s="32" t="str">
        <f>IF(AL61=" "," ",AL61*Inputs!$B$53)</f>
        <v xml:space="preserve"> </v>
      </c>
      <c r="BH61" s="32" t="str">
        <f>IF(AM61=" "," ",AM61*Inputs!$B$53)</f>
        <v xml:space="preserve"> </v>
      </c>
      <c r="BI61" s="32" t="str">
        <f>IF(AN61=" "," ",AN61*Inputs!$B$53)</f>
        <v xml:space="preserve"> </v>
      </c>
      <c r="BJ61" s="32" t="str">
        <f>IF(AO61=" "," ",AO61*Inputs!$B$53)</f>
        <v xml:space="preserve"> </v>
      </c>
      <c r="BK61" s="32" t="str">
        <f>IF(AP61=" "," ",AP61*Inputs!$B$53)</f>
        <v xml:space="preserve"> </v>
      </c>
      <c r="BM61" s="641"/>
      <c r="BN61" s="589"/>
      <c r="BO61" s="589"/>
      <c r="BP61" s="90" t="s">
        <v>523</v>
      </c>
      <c r="BQ61" s="120">
        <f t="shared" si="5"/>
        <v>1</v>
      </c>
      <c r="BR61" s="120">
        <f t="shared" si="6"/>
        <v>1.0741293287744711</v>
      </c>
      <c r="BS61" s="120">
        <f t="shared" si="7"/>
        <v>1.1095596017221769</v>
      </c>
      <c r="BT61" s="120">
        <f t="shared" si="8"/>
        <v>1.1449249543353519</v>
      </c>
      <c r="BU61" s="120">
        <f t="shared" si="9"/>
        <v>1.1799423557099651</v>
      </c>
      <c r="BV61" s="11"/>
      <c r="BW61" s="148" t="e">
        <f>IF($BW$3=0,BW60,BW62)</f>
        <v>#VALUE!</v>
      </c>
      <c r="BZ61" s="641"/>
      <c r="CA61" s="589"/>
      <c r="CB61" s="589"/>
      <c r="CC61" s="90" t="s">
        <v>523</v>
      </c>
      <c r="CD61" s="122">
        <v>1</v>
      </c>
      <c r="CE61" s="122">
        <v>1.0741293287744711</v>
      </c>
      <c r="CF61" s="122">
        <v>1.1095596017221769</v>
      </c>
      <c r="CG61" s="122">
        <v>1.1449249543353519</v>
      </c>
      <c r="CH61" s="123">
        <v>1.1799423557099651</v>
      </c>
      <c r="CK61" s="641"/>
      <c r="CL61" s="589"/>
      <c r="CM61" s="589"/>
      <c r="CN61" s="90" t="s">
        <v>523</v>
      </c>
      <c r="CO61" s="122">
        <v>1</v>
      </c>
      <c r="CP61" s="122">
        <v>1.1725207666366271</v>
      </c>
      <c r="CQ61" s="122">
        <v>1.211196491883034</v>
      </c>
      <c r="CR61" s="122">
        <v>1.2498013500202629</v>
      </c>
      <c r="CS61" s="123">
        <v>1.2880263841995541</v>
      </c>
      <c r="CV61" s="641"/>
      <c r="CW61" s="589"/>
      <c r="CX61" s="589"/>
      <c r="CY61" s="90" t="s">
        <v>523</v>
      </c>
      <c r="CZ61" s="122">
        <v>1</v>
      </c>
      <c r="DA61" s="122">
        <v>1.1267407518585031</v>
      </c>
      <c r="DB61" s="122">
        <v>1.163906418329222</v>
      </c>
      <c r="DC61" s="122">
        <v>1.2010039846330629</v>
      </c>
      <c r="DD61" s="123">
        <v>1.237736556862497</v>
      </c>
    </row>
    <row r="62" spans="2:108" x14ac:dyDescent="0.25">
      <c r="B62" s="589"/>
      <c r="C62" s="589"/>
      <c r="D62" s="589"/>
      <c r="E62" s="21"/>
      <c r="F62" s="152"/>
      <c r="G62" s="152"/>
      <c r="H62" s="152"/>
      <c r="I62" s="152"/>
      <c r="J62" s="152"/>
      <c r="K62" s="152"/>
      <c r="L62" s="152"/>
      <c r="M62" s="152"/>
      <c r="N62" s="152"/>
      <c r="O62" s="152"/>
      <c r="P62" s="152"/>
      <c r="Q62" s="152"/>
      <c r="R62" s="152"/>
      <c r="S62" s="152"/>
      <c r="T62" s="152"/>
      <c r="U62" s="152"/>
      <c r="W62" s="589"/>
      <c r="X62" s="589"/>
      <c r="Y62" s="29"/>
      <c r="Z62" s="29" t="s">
        <v>501</v>
      </c>
      <c r="AA62" s="32" t="str">
        <f>IF(F62=""," ",F62*Inputs!$B$39)</f>
        <v xml:space="preserve"> </v>
      </c>
      <c r="AB62" s="32" t="str">
        <f>IF(G62=""," ",G62*Inputs!$B$39)</f>
        <v xml:space="preserve"> </v>
      </c>
      <c r="AC62" s="32" t="str">
        <f>IF(H62=""," ",H62*Inputs!$B$39)</f>
        <v xml:space="preserve"> </v>
      </c>
      <c r="AD62" s="32" t="str">
        <f>IF(I62=""," ",I62*Inputs!$B$39)</f>
        <v xml:space="preserve"> </v>
      </c>
      <c r="AE62" s="32" t="str">
        <f>IF(J62=""," ",J62*Inputs!$B$39)</f>
        <v xml:space="preserve"> </v>
      </c>
      <c r="AF62" s="32" t="str">
        <f>IF(K62=""," ",K62*Inputs!$B$39)</f>
        <v xml:space="preserve"> </v>
      </c>
      <c r="AG62" s="32" t="str">
        <f>IF(L62=""," ",L62*Inputs!$B$39)</f>
        <v xml:space="preserve"> </v>
      </c>
      <c r="AH62" s="32" t="str">
        <f>IF(M62=""," ",M62*Inputs!$B$39)</f>
        <v xml:space="preserve"> </v>
      </c>
      <c r="AI62" s="32" t="str">
        <f>IF(N62=""," ",N62*Inputs!$B$39)</f>
        <v xml:space="preserve"> </v>
      </c>
      <c r="AJ62" s="32" t="str">
        <f>IF(O62=""," ",O62*Inputs!$B$39)</f>
        <v xml:space="preserve"> </v>
      </c>
      <c r="AK62" s="32" t="str">
        <f>IF(P62=""," ",P62*Inputs!$B$39)</f>
        <v xml:space="preserve"> </v>
      </c>
      <c r="AL62" s="32" t="str">
        <f>IF(Q62=""," ",Q62*Inputs!$B$39)</f>
        <v xml:space="preserve"> </v>
      </c>
      <c r="AM62" s="32" t="str">
        <f>IF(R62=""," ",R62*Inputs!$B$39)</f>
        <v xml:space="preserve"> </v>
      </c>
      <c r="AN62" s="32" t="str">
        <f>IF(S62=""," ",S62*Inputs!$B$39)</f>
        <v xml:space="preserve"> </v>
      </c>
      <c r="AO62" s="32" t="str">
        <f>IF(T62=""," ",T62*Inputs!$B$39)</f>
        <v xml:space="preserve"> </v>
      </c>
      <c r="AP62" s="32" t="str">
        <f>IF(U62=""," ",U62*Inputs!$B$39)</f>
        <v xml:space="preserve"> </v>
      </c>
      <c r="AR62" s="589"/>
      <c r="AS62" s="589"/>
      <c r="AT62" s="29"/>
      <c r="AU62" s="29" t="s">
        <v>501</v>
      </c>
      <c r="AV62" s="32" t="str">
        <f>IF(AA62=" "," ",AA62*Inputs!$B$53)</f>
        <v xml:space="preserve"> </v>
      </c>
      <c r="AW62" s="32" t="str">
        <f>IF(AB62=" "," ",AB62*Inputs!$B$53)</f>
        <v xml:space="preserve"> </v>
      </c>
      <c r="AX62" s="32" t="str">
        <f>IF(AC62=" "," ",AC62*Inputs!$B$53)</f>
        <v xml:space="preserve"> </v>
      </c>
      <c r="AY62" s="32" t="str">
        <f>IF(AD62=" "," ",AD62*Inputs!$B$53)</f>
        <v xml:space="preserve"> </v>
      </c>
      <c r="AZ62" s="32" t="str">
        <f>IF(AE62=" "," ",AE62*Inputs!$B$53)</f>
        <v xml:space="preserve"> </v>
      </c>
      <c r="BA62" s="32" t="str">
        <f>IF(AF62=" "," ",AF62*Inputs!$B$53)</f>
        <v xml:space="preserve"> </v>
      </c>
      <c r="BB62" s="32" t="str">
        <f>IF(AG62=" "," ",AG62*Inputs!$B$53)</f>
        <v xml:space="preserve"> </v>
      </c>
      <c r="BC62" s="32" t="str">
        <f>IF(AH62=" "," ",AH62*Inputs!$B$53)</f>
        <v xml:space="preserve"> </v>
      </c>
      <c r="BD62" s="32" t="str">
        <f>IF(AI62=" "," ",AI62*Inputs!$B$53)</f>
        <v xml:space="preserve"> </v>
      </c>
      <c r="BE62" s="32" t="str">
        <f>IF(AJ62=" "," ",AJ62*Inputs!$B$53)</f>
        <v xml:space="preserve"> </v>
      </c>
      <c r="BF62" s="32" t="str">
        <f>IF(AK62=" "," ",AK62*Inputs!$B$53)</f>
        <v xml:space="preserve"> </v>
      </c>
      <c r="BG62" s="32" t="str">
        <f>IF(AL62=" "," ",AL62*Inputs!$B$53)</f>
        <v xml:space="preserve"> </v>
      </c>
      <c r="BH62" s="32" t="str">
        <f>IF(AM62=" "," ",AM62*Inputs!$B$53)</f>
        <v xml:space="preserve"> </v>
      </c>
      <c r="BI62" s="32" t="str">
        <f>IF(AN62=" "," ",AN62*Inputs!$B$53)</f>
        <v xml:space="preserve"> </v>
      </c>
      <c r="BJ62" s="32" t="str">
        <f>IF(AO62=" "," ",AO62*Inputs!$B$53)</f>
        <v xml:space="preserve"> </v>
      </c>
      <c r="BK62" s="32" t="str">
        <f>IF(AP62=" "," ",AP62*Inputs!$B$53)</f>
        <v xml:space="preserve"> </v>
      </c>
      <c r="BM62" s="641"/>
      <c r="BN62" s="589"/>
      <c r="BO62" s="589"/>
      <c r="BP62" s="90" t="s">
        <v>524</v>
      </c>
      <c r="BQ62" s="120">
        <f t="shared" si="5"/>
        <v>1</v>
      </c>
      <c r="BR62" s="120">
        <f t="shared" si="6"/>
        <v>1.003334344157804</v>
      </c>
      <c r="BS62" s="120">
        <f t="shared" si="7"/>
        <v>1.0066686883156071</v>
      </c>
      <c r="BT62" s="120">
        <f t="shared" si="8"/>
        <v>1.038754565515595</v>
      </c>
      <c r="BU62" s="120">
        <f t="shared" si="9"/>
        <v>1.070524757450565</v>
      </c>
      <c r="BV62" s="11"/>
      <c r="BW62" s="32" t="e">
        <f>IF(VALUE($BW$5)&lt;=0.8,"1",IF(AND(VALUE($BW5)&gt;0.8,VALUE($BW$5)&lt;=0.96),FORECAST(VALUE($BW$5),BQ62:BR62,$BQ$5:$BR$5),IF(AND(VALUE($BW$5)&gt;0.96,VALUE($BW$5)&lt;=1.12),FORECAST(VALUE($BW$5),BR62:BS62,$BR$5:$BS$5),IF(AND(VALUE($BW$5)&gt;1.12,VALUE($BW$5)&lt;=1.3),FORECAST(VALUE($BW$5),BS62:BT62,$BS$5:$BT$5),FORECAST(VALUE($BW$5),BT62:BU62,$BT$5:$BU$5)))))</f>
        <v>#VALUE!</v>
      </c>
      <c r="BZ62" s="641"/>
      <c r="CA62" s="589"/>
      <c r="CB62" s="589"/>
      <c r="CC62" s="90" t="s">
        <v>524</v>
      </c>
      <c r="CD62" s="122">
        <v>1</v>
      </c>
      <c r="CE62" s="122">
        <v>1.003334344157804</v>
      </c>
      <c r="CF62" s="122">
        <v>1.0066686883156071</v>
      </c>
      <c r="CG62" s="122">
        <v>1.038754565515595</v>
      </c>
      <c r="CH62" s="123">
        <v>1.070524757450565</v>
      </c>
      <c r="CK62" s="641"/>
      <c r="CL62" s="589"/>
      <c r="CM62" s="589"/>
      <c r="CN62" s="90" t="s">
        <v>524</v>
      </c>
      <c r="CO62" s="122">
        <v>1</v>
      </c>
      <c r="CP62" s="122">
        <v>1.1474297168952281</v>
      </c>
      <c r="CQ62" s="122">
        <v>1.294859433790456</v>
      </c>
      <c r="CR62" s="122">
        <v>1.3361309079766279</v>
      </c>
      <c r="CS62" s="123">
        <v>1.3769963220078949</v>
      </c>
      <c r="CV62" s="641"/>
      <c r="CW62" s="589"/>
      <c r="CX62" s="589"/>
      <c r="CY62" s="90" t="s">
        <v>524</v>
      </c>
      <c r="CZ62" s="122">
        <v>1</v>
      </c>
      <c r="DA62" s="122">
        <v>1.241329879977394</v>
      </c>
      <c r="DB62" s="122">
        <v>1.4826597599547899</v>
      </c>
      <c r="DC62" s="122">
        <v>1.5299170547722849</v>
      </c>
      <c r="DD62" s="123">
        <v>1.576709396378575</v>
      </c>
    </row>
    <row r="63" spans="2:108" x14ac:dyDescent="0.25">
      <c r="B63" s="620"/>
      <c r="C63" s="589"/>
      <c r="D63" s="595"/>
      <c r="E63" s="150"/>
      <c r="F63" s="151"/>
      <c r="G63" s="151"/>
      <c r="H63" s="151"/>
      <c r="I63" s="151"/>
      <c r="J63" s="151"/>
      <c r="K63" s="151"/>
      <c r="L63" s="151"/>
      <c r="M63" s="151"/>
      <c r="N63" s="151"/>
      <c r="O63" s="151"/>
      <c r="P63" s="151"/>
      <c r="Q63" s="151"/>
      <c r="R63" s="151"/>
      <c r="S63" s="151"/>
      <c r="T63" s="151"/>
      <c r="U63" s="151"/>
      <c r="W63" s="620"/>
      <c r="X63" s="589"/>
      <c r="Y63" s="24">
        <v>1.7623166880137601E-2</v>
      </c>
      <c r="Z63" s="24" t="s">
        <v>498</v>
      </c>
      <c r="AA63" s="32" t="str">
        <f>IF(F63=""," ",F63*Inputs!$B$39)</f>
        <v xml:space="preserve"> </v>
      </c>
      <c r="AB63" s="32" t="str">
        <f>IF(G63=""," ",G63*Inputs!$B$39)</f>
        <v xml:space="preserve"> </v>
      </c>
      <c r="AC63" s="32" t="str">
        <f>IF(H63=""," ",H63*Inputs!$B$39)</f>
        <v xml:space="preserve"> </v>
      </c>
      <c r="AD63" s="32" t="str">
        <f>IF(I63=""," ",I63*Inputs!$B$39)</f>
        <v xml:space="preserve"> </v>
      </c>
      <c r="AE63" s="32" t="str">
        <f>IF(J63=""," ",J63*Inputs!$B$39)</f>
        <v xml:space="preserve"> </v>
      </c>
      <c r="AF63" s="32" t="str">
        <f>IF(K63=""," ",K63*Inputs!$B$39)</f>
        <v xml:space="preserve"> </v>
      </c>
      <c r="AG63" s="32" t="str">
        <f>IF(L63=""," ",L63*Inputs!$B$39)</f>
        <v xml:space="preserve"> </v>
      </c>
      <c r="AH63" s="32" t="str">
        <f>IF(M63=""," ",M63*Inputs!$B$39)</f>
        <v xml:space="preserve"> </v>
      </c>
      <c r="AI63" s="32" t="str">
        <f>IF(N63=""," ",N63*Inputs!$B$39)</f>
        <v xml:space="preserve"> </v>
      </c>
      <c r="AJ63" s="32" t="str">
        <f>IF(O63=""," ",O63*Inputs!$B$39)</f>
        <v xml:space="preserve"> </v>
      </c>
      <c r="AK63" s="32" t="str">
        <f>IF(P63=""," ",P63*Inputs!$B$39)</f>
        <v xml:space="preserve"> </v>
      </c>
      <c r="AL63" s="32" t="str">
        <f>IF(Q63=""," ",Q63*Inputs!$B$39)</f>
        <v xml:space="preserve"> </v>
      </c>
      <c r="AM63" s="32" t="str">
        <f>IF(R63=""," ",R63*Inputs!$B$39)</f>
        <v xml:space="preserve"> </v>
      </c>
      <c r="AN63" s="32" t="str">
        <f>IF(S63=""," ",S63*Inputs!$B$39)</f>
        <v xml:space="preserve"> </v>
      </c>
      <c r="AO63" s="32" t="str">
        <f>IF(T63=""," ",T63*Inputs!$B$39)</f>
        <v xml:space="preserve"> </v>
      </c>
      <c r="AP63" s="32" t="str">
        <f>IF(U63=""," ",U63*Inputs!$B$39)</f>
        <v xml:space="preserve"> </v>
      </c>
      <c r="AR63" s="620"/>
      <c r="AS63" s="589"/>
      <c r="AT63" s="24">
        <v>1.7623166880137601E-2</v>
      </c>
      <c r="AU63" s="24" t="s">
        <v>498</v>
      </c>
      <c r="AV63" s="32" t="str">
        <f>IF(AA63=" "," ",AA63*Inputs!$B$53)</f>
        <v xml:space="preserve"> </v>
      </c>
      <c r="AW63" s="32" t="str">
        <f>IF(AB63=" "," ",AB63*Inputs!$B$53)</f>
        <v xml:space="preserve"> </v>
      </c>
      <c r="AX63" s="32" t="str">
        <f>IF(AC63=" "," ",AC63*Inputs!$B$53)</f>
        <v xml:space="preserve"> </v>
      </c>
      <c r="AY63" s="32" t="str">
        <f>IF(AD63=" "," ",AD63*Inputs!$B$53)</f>
        <v xml:space="preserve"> </v>
      </c>
      <c r="AZ63" s="32" t="str">
        <f>IF(AE63=" "," ",AE63*Inputs!$B$53)</f>
        <v xml:space="preserve"> </v>
      </c>
      <c r="BA63" s="32" t="str">
        <f>IF(AF63=" "," ",AF63*Inputs!$B$53)</f>
        <v xml:space="preserve"> </v>
      </c>
      <c r="BB63" s="32" t="str">
        <f>IF(AG63=" "," ",AG63*Inputs!$B$53)</f>
        <v xml:space="preserve"> </v>
      </c>
      <c r="BC63" s="32" t="str">
        <f>IF(AH63=" "," ",AH63*Inputs!$B$53)</f>
        <v xml:space="preserve"> </v>
      </c>
      <c r="BD63" s="32" t="str">
        <f>IF(AI63=" "," ",AI63*Inputs!$B$53)</f>
        <v xml:space="preserve"> </v>
      </c>
      <c r="BE63" s="32" t="str">
        <f>IF(AJ63=" "," ",AJ63*Inputs!$B$53)</f>
        <v xml:space="preserve"> </v>
      </c>
      <c r="BF63" s="32" t="str">
        <f>IF(AK63=" "," ",AK63*Inputs!$B$53)</f>
        <v xml:space="preserve"> </v>
      </c>
      <c r="BG63" s="32" t="str">
        <f>IF(AL63=" "," ",AL63*Inputs!$B$53)</f>
        <v xml:space="preserve"> </v>
      </c>
      <c r="BH63" s="32" t="str">
        <f>IF(AM63=" "," ",AM63*Inputs!$B$53)</f>
        <v xml:space="preserve"> </v>
      </c>
      <c r="BI63" s="32" t="str">
        <f>IF(AN63=" "," ",AN63*Inputs!$B$53)</f>
        <v xml:space="preserve"> </v>
      </c>
      <c r="BJ63" s="32" t="str">
        <f>IF(AO63=" "," ",AO63*Inputs!$B$53)</f>
        <v xml:space="preserve"> </v>
      </c>
      <c r="BK63" s="32" t="str">
        <f>IF(AP63=" "," ",AP63*Inputs!$B$53)</f>
        <v xml:space="preserve"> </v>
      </c>
      <c r="BM63" s="641"/>
      <c r="BN63" s="589"/>
      <c r="BO63" s="649" t="s">
        <v>546</v>
      </c>
      <c r="BP63" s="87" t="s">
        <v>526</v>
      </c>
      <c r="BQ63" s="120">
        <f t="shared" si="5"/>
        <v>1</v>
      </c>
      <c r="BR63" s="120">
        <f t="shared" si="6"/>
        <v>1.0391296477793051</v>
      </c>
      <c r="BS63" s="120">
        <f t="shared" si="7"/>
        <v>1.073405452435789</v>
      </c>
      <c r="BT63" s="120">
        <f t="shared" si="8"/>
        <v>1.1076184521370911</v>
      </c>
      <c r="BU63" s="120">
        <f t="shared" si="9"/>
        <v>1.141494838324278</v>
      </c>
      <c r="BV63" s="11"/>
      <c r="BW63" s="32">
        <v>1</v>
      </c>
      <c r="BZ63" s="641"/>
      <c r="CA63" s="589"/>
      <c r="CB63" s="649" t="s">
        <v>546</v>
      </c>
      <c r="CC63" s="87" t="s">
        <v>526</v>
      </c>
      <c r="CD63" s="120">
        <v>1</v>
      </c>
      <c r="CE63" s="120">
        <v>1.0391296477793051</v>
      </c>
      <c r="CF63" s="120">
        <v>1.073405452435789</v>
      </c>
      <c r="CG63" s="120">
        <v>1.1076184521370911</v>
      </c>
      <c r="CH63" s="121">
        <v>1.141494838324278</v>
      </c>
      <c r="CK63" s="641"/>
      <c r="CL63" s="589"/>
      <c r="CM63" s="649" t="s">
        <v>546</v>
      </c>
      <c r="CN63" s="87" t="s">
        <v>526</v>
      </c>
      <c r="CO63" s="120">
        <v>1</v>
      </c>
      <c r="CP63" s="120">
        <v>1.0391296477793051</v>
      </c>
      <c r="CQ63" s="120">
        <v>1.073405452435789</v>
      </c>
      <c r="CR63" s="120">
        <v>1.1076184521370911</v>
      </c>
      <c r="CS63" s="121">
        <v>1.141494838324278</v>
      </c>
      <c r="CV63" s="641"/>
      <c r="CW63" s="589"/>
      <c r="CX63" s="649" t="s">
        <v>546</v>
      </c>
      <c r="CY63" s="87" t="s">
        <v>526</v>
      </c>
      <c r="CZ63" s="120">
        <v>1</v>
      </c>
      <c r="DA63" s="120">
        <v>1.0391296477793051</v>
      </c>
      <c r="DB63" s="120">
        <v>1.073405452435789</v>
      </c>
      <c r="DC63" s="120">
        <v>1.1076184521370911</v>
      </c>
      <c r="DD63" s="121">
        <v>1.141494838324278</v>
      </c>
    </row>
    <row r="64" spans="2:108" x14ac:dyDescent="0.25">
      <c r="B64" s="589"/>
      <c r="C64" s="589"/>
      <c r="D64" s="589"/>
      <c r="E64" s="21"/>
      <c r="F64" s="152"/>
      <c r="G64" s="152"/>
      <c r="H64" s="152"/>
      <c r="I64" s="152"/>
      <c r="J64" s="152"/>
      <c r="K64" s="152"/>
      <c r="L64" s="152"/>
      <c r="M64" s="152"/>
      <c r="N64" s="152"/>
      <c r="O64" s="152"/>
      <c r="P64" s="152"/>
      <c r="Q64" s="152"/>
      <c r="R64" s="152"/>
      <c r="S64" s="152"/>
      <c r="T64" s="152"/>
      <c r="U64" s="152"/>
      <c r="W64" s="589"/>
      <c r="X64" s="589"/>
      <c r="Y64" s="27"/>
      <c r="Z64" s="27" t="s">
        <v>499</v>
      </c>
      <c r="AA64" s="32" t="str">
        <f>IF(F64=""," ",F64*Inputs!$B$39)</f>
        <v xml:space="preserve"> </v>
      </c>
      <c r="AB64" s="32" t="str">
        <f>IF(G64=""," ",G64*Inputs!$B$39)</f>
        <v xml:space="preserve"> </v>
      </c>
      <c r="AC64" s="32" t="str">
        <f>IF(H64=""," ",H64*Inputs!$B$39)</f>
        <v xml:space="preserve"> </v>
      </c>
      <c r="AD64" s="32" t="str">
        <f>IF(I64=""," ",I64*Inputs!$B$39)</f>
        <v xml:space="preserve"> </v>
      </c>
      <c r="AE64" s="32" t="str">
        <f>IF(J64=""," ",J64*Inputs!$B$39)</f>
        <v xml:space="preserve"> </v>
      </c>
      <c r="AF64" s="32" t="str">
        <f>IF(K64=""," ",K64*Inputs!$B$39)</f>
        <v xml:space="preserve"> </v>
      </c>
      <c r="AG64" s="32" t="str">
        <f>IF(L64=""," ",L64*Inputs!$B$39)</f>
        <v xml:space="preserve"> </v>
      </c>
      <c r="AH64" s="32" t="str">
        <f>IF(M64=""," ",M64*Inputs!$B$39)</f>
        <v xml:space="preserve"> </v>
      </c>
      <c r="AI64" s="32" t="str">
        <f>IF(N64=""," ",N64*Inputs!$B$39)</f>
        <v xml:space="preserve"> </v>
      </c>
      <c r="AJ64" s="32" t="str">
        <f>IF(O64=""," ",O64*Inputs!$B$39)</f>
        <v xml:space="preserve"> </v>
      </c>
      <c r="AK64" s="32" t="str">
        <f>IF(P64=""," ",P64*Inputs!$B$39)</f>
        <v xml:space="preserve"> </v>
      </c>
      <c r="AL64" s="32" t="str">
        <f>IF(Q64=""," ",Q64*Inputs!$B$39)</f>
        <v xml:space="preserve"> </v>
      </c>
      <c r="AM64" s="32" t="str">
        <f>IF(R64=""," ",R64*Inputs!$B$39)</f>
        <v xml:space="preserve"> </v>
      </c>
      <c r="AN64" s="32" t="str">
        <f>IF(S64=""," ",S64*Inputs!$B$39)</f>
        <v xml:space="preserve"> </v>
      </c>
      <c r="AO64" s="32" t="str">
        <f>IF(T64=""," ",T64*Inputs!$B$39)</f>
        <v xml:space="preserve"> </v>
      </c>
      <c r="AP64" s="32" t="str">
        <f>IF(U64=""," ",U64*Inputs!$B$39)</f>
        <v xml:space="preserve"> </v>
      </c>
      <c r="AR64" s="589"/>
      <c r="AS64" s="589"/>
      <c r="AT64" s="27"/>
      <c r="AU64" s="27" t="s">
        <v>499</v>
      </c>
      <c r="AV64" s="32" t="str">
        <f>IF(AA64=" "," ",AA64*Inputs!$B$53)</f>
        <v xml:space="preserve"> </v>
      </c>
      <c r="AW64" s="32" t="str">
        <f>IF(AB64=" "," ",AB64*Inputs!$B$53)</f>
        <v xml:space="preserve"> </v>
      </c>
      <c r="AX64" s="32" t="str">
        <f>IF(AC64=" "," ",AC64*Inputs!$B$53)</f>
        <v xml:space="preserve"> </v>
      </c>
      <c r="AY64" s="32" t="str">
        <f>IF(AD64=" "," ",AD64*Inputs!$B$53)</f>
        <v xml:space="preserve"> </v>
      </c>
      <c r="AZ64" s="32" t="str">
        <f>IF(AE64=" "," ",AE64*Inputs!$B$53)</f>
        <v xml:space="preserve"> </v>
      </c>
      <c r="BA64" s="32" t="str">
        <f>IF(AF64=" "," ",AF64*Inputs!$B$53)</f>
        <v xml:space="preserve"> </v>
      </c>
      <c r="BB64" s="32" t="str">
        <f>IF(AG64=" "," ",AG64*Inputs!$B$53)</f>
        <v xml:space="preserve"> </v>
      </c>
      <c r="BC64" s="32" t="str">
        <f>IF(AH64=" "," ",AH64*Inputs!$B$53)</f>
        <v xml:space="preserve"> </v>
      </c>
      <c r="BD64" s="32" t="str">
        <f>IF(AI64=" "," ",AI64*Inputs!$B$53)</f>
        <v xml:space="preserve"> </v>
      </c>
      <c r="BE64" s="32" t="str">
        <f>IF(AJ64=" "," ",AJ64*Inputs!$B$53)</f>
        <v xml:space="preserve"> </v>
      </c>
      <c r="BF64" s="32" t="str">
        <f>IF(AK64=" "," ",AK64*Inputs!$B$53)</f>
        <v xml:space="preserve"> </v>
      </c>
      <c r="BG64" s="32" t="str">
        <f>IF(AL64=" "," ",AL64*Inputs!$B$53)</f>
        <v xml:space="preserve"> </v>
      </c>
      <c r="BH64" s="32" t="str">
        <f>IF(AM64=" "," ",AM64*Inputs!$B$53)</f>
        <v xml:space="preserve"> </v>
      </c>
      <c r="BI64" s="32" t="str">
        <f>IF(AN64=" "," ",AN64*Inputs!$B$53)</f>
        <v xml:space="preserve"> </v>
      </c>
      <c r="BJ64" s="32" t="str">
        <f>IF(AO64=" "," ",AO64*Inputs!$B$53)</f>
        <v xml:space="preserve"> </v>
      </c>
      <c r="BK64" s="32" t="str">
        <f>IF(AP64=" "," ",AP64*Inputs!$B$53)</f>
        <v xml:space="preserve"> </v>
      </c>
      <c r="BM64" s="641"/>
      <c r="BN64" s="589"/>
      <c r="BO64" s="589"/>
      <c r="BP64" s="90" t="s">
        <v>523</v>
      </c>
      <c r="BQ64" s="120">
        <f t="shared" si="5"/>
        <v>1</v>
      </c>
      <c r="BR64" s="120">
        <f t="shared" si="6"/>
        <v>1.197626896283146</v>
      </c>
      <c r="BS64" s="120">
        <f t="shared" si="7"/>
        <v>1.2371307499515289</v>
      </c>
      <c r="BT64" s="120">
        <f t="shared" si="8"/>
        <v>1.276562219097243</v>
      </c>
      <c r="BU64" s="120">
        <f t="shared" si="9"/>
        <v>1.315605731457181</v>
      </c>
      <c r="BV64" s="11"/>
      <c r="BW64" s="148" t="e">
        <f>IF($BW$3=0,BW63,BW65)</f>
        <v>#VALUE!</v>
      </c>
      <c r="BZ64" s="641"/>
      <c r="CA64" s="589"/>
      <c r="CB64" s="589"/>
      <c r="CC64" s="90" t="s">
        <v>523</v>
      </c>
      <c r="CD64" s="122">
        <v>1</v>
      </c>
      <c r="CE64" s="122">
        <v>1.197626896283146</v>
      </c>
      <c r="CF64" s="122">
        <v>1.2371307499515289</v>
      </c>
      <c r="CG64" s="122">
        <v>1.276562219097243</v>
      </c>
      <c r="CH64" s="123">
        <v>1.315605731457181</v>
      </c>
      <c r="CK64" s="641"/>
      <c r="CL64" s="589"/>
      <c r="CM64" s="589"/>
      <c r="CN64" s="90" t="s">
        <v>523</v>
      </c>
      <c r="CO64" s="122">
        <v>1</v>
      </c>
      <c r="CP64" s="122">
        <v>1.3375762009218131</v>
      </c>
      <c r="CQ64" s="122">
        <v>1.381696297652703</v>
      </c>
      <c r="CR64" s="122">
        <v>1.4257355513304351</v>
      </c>
      <c r="CS64" s="123">
        <v>1.4693415133333989</v>
      </c>
      <c r="CV64" s="641"/>
      <c r="CW64" s="589"/>
      <c r="CX64" s="589"/>
      <c r="CY64" s="90" t="s">
        <v>523</v>
      </c>
      <c r="CZ64" s="122">
        <v>1</v>
      </c>
      <c r="DA64" s="122">
        <v>1.207941123240645</v>
      </c>
      <c r="DB64" s="122">
        <v>1.2477851928090691</v>
      </c>
      <c r="DC64" s="122">
        <v>1.2875562544633501</v>
      </c>
      <c r="DD64" s="123">
        <v>1.3269360181624561</v>
      </c>
    </row>
    <row r="65" spans="2:108" ht="15.75" customHeight="1" thickBot="1" x14ac:dyDescent="0.3">
      <c r="B65" s="589"/>
      <c r="C65" s="589"/>
      <c r="D65" s="589"/>
      <c r="E65" s="21"/>
      <c r="F65" s="152"/>
      <c r="G65" s="152"/>
      <c r="H65" s="152"/>
      <c r="I65" s="152"/>
      <c r="J65" s="152"/>
      <c r="K65" s="152"/>
      <c r="L65" s="152"/>
      <c r="M65" s="152"/>
      <c r="N65" s="152"/>
      <c r="O65" s="152"/>
      <c r="P65" s="152"/>
      <c r="Q65" s="152"/>
      <c r="R65" s="152"/>
      <c r="S65" s="152"/>
      <c r="T65" s="152"/>
      <c r="U65" s="152"/>
      <c r="W65" s="589"/>
      <c r="X65" s="589"/>
      <c r="Y65" s="27"/>
      <c r="Z65" s="27" t="s">
        <v>500</v>
      </c>
      <c r="AA65" s="32" t="str">
        <f>IF(F65=""," ",F65*Inputs!$B$39)</f>
        <v xml:space="preserve"> </v>
      </c>
      <c r="AB65" s="32" t="str">
        <f>IF(G65=""," ",G65*Inputs!$B$39)</f>
        <v xml:space="preserve"> </v>
      </c>
      <c r="AC65" s="32" t="str">
        <f>IF(H65=""," ",H65*Inputs!$B$39)</f>
        <v xml:space="preserve"> </v>
      </c>
      <c r="AD65" s="32" t="str">
        <f>IF(I65=""," ",I65*Inputs!$B$39)</f>
        <v xml:space="preserve"> </v>
      </c>
      <c r="AE65" s="32" t="str">
        <f>IF(J65=""," ",J65*Inputs!$B$39)</f>
        <v xml:space="preserve"> </v>
      </c>
      <c r="AF65" s="32" t="str">
        <f>IF(K65=""," ",K65*Inputs!$B$39)</f>
        <v xml:space="preserve"> </v>
      </c>
      <c r="AG65" s="32" t="str">
        <f>IF(L65=""," ",L65*Inputs!$B$39)</f>
        <v xml:space="preserve"> </v>
      </c>
      <c r="AH65" s="32" t="str">
        <f>IF(M65=""," ",M65*Inputs!$B$39)</f>
        <v xml:space="preserve"> </v>
      </c>
      <c r="AI65" s="32" t="str">
        <f>IF(N65=""," ",N65*Inputs!$B$39)</f>
        <v xml:space="preserve"> </v>
      </c>
      <c r="AJ65" s="32" t="str">
        <f>IF(O65=""," ",O65*Inputs!$B$39)</f>
        <v xml:space="preserve"> </v>
      </c>
      <c r="AK65" s="32" t="str">
        <f>IF(P65=""," ",P65*Inputs!$B$39)</f>
        <v xml:space="preserve"> </v>
      </c>
      <c r="AL65" s="32" t="str">
        <f>IF(Q65=""," ",Q65*Inputs!$B$39)</f>
        <v xml:space="preserve"> </v>
      </c>
      <c r="AM65" s="32" t="str">
        <f>IF(R65=""," ",R65*Inputs!$B$39)</f>
        <v xml:space="preserve"> </v>
      </c>
      <c r="AN65" s="32" t="str">
        <f>IF(S65=""," ",S65*Inputs!$B$39)</f>
        <v xml:space="preserve"> </v>
      </c>
      <c r="AO65" s="32" t="str">
        <f>IF(T65=""," ",T65*Inputs!$B$39)</f>
        <v xml:space="preserve"> </v>
      </c>
      <c r="AP65" s="32" t="str">
        <f>IF(U65=""," ",U65*Inputs!$B$39)</f>
        <v xml:space="preserve"> </v>
      </c>
      <c r="AR65" s="589"/>
      <c r="AS65" s="589"/>
      <c r="AT65" s="27"/>
      <c r="AU65" s="27" t="s">
        <v>500</v>
      </c>
      <c r="AV65" s="32" t="str">
        <f>IF(AA65=" "," ",AA65*Inputs!$B$53)</f>
        <v xml:space="preserve"> </v>
      </c>
      <c r="AW65" s="32" t="str">
        <f>IF(AB65=" "," ",AB65*Inputs!$B$53)</f>
        <v xml:space="preserve"> </v>
      </c>
      <c r="AX65" s="32" t="str">
        <f>IF(AC65=" "," ",AC65*Inputs!$B$53)</f>
        <v xml:space="preserve"> </v>
      </c>
      <c r="AY65" s="32" t="str">
        <f>IF(AD65=" "," ",AD65*Inputs!$B$53)</f>
        <v xml:space="preserve"> </v>
      </c>
      <c r="AZ65" s="32" t="str">
        <f>IF(AE65=" "," ",AE65*Inputs!$B$53)</f>
        <v xml:space="preserve"> </v>
      </c>
      <c r="BA65" s="32" t="str">
        <f>IF(AF65=" "," ",AF65*Inputs!$B$53)</f>
        <v xml:space="preserve"> </v>
      </c>
      <c r="BB65" s="32" t="str">
        <f>IF(AG65=" "," ",AG65*Inputs!$B$53)</f>
        <v xml:space="preserve"> </v>
      </c>
      <c r="BC65" s="32" t="str">
        <f>IF(AH65=" "," ",AH65*Inputs!$B$53)</f>
        <v xml:space="preserve"> </v>
      </c>
      <c r="BD65" s="32" t="str">
        <f>IF(AI65=" "," ",AI65*Inputs!$B$53)</f>
        <v xml:space="preserve"> </v>
      </c>
      <c r="BE65" s="32" t="str">
        <f>IF(AJ65=" "," ",AJ65*Inputs!$B$53)</f>
        <v xml:space="preserve"> </v>
      </c>
      <c r="BF65" s="32" t="str">
        <f>IF(AK65=" "," ",AK65*Inputs!$B$53)</f>
        <v xml:space="preserve"> </v>
      </c>
      <c r="BG65" s="32" t="str">
        <f>IF(AL65=" "," ",AL65*Inputs!$B$53)</f>
        <v xml:space="preserve"> </v>
      </c>
      <c r="BH65" s="32" t="str">
        <f>IF(AM65=" "," ",AM65*Inputs!$B$53)</f>
        <v xml:space="preserve"> </v>
      </c>
      <c r="BI65" s="32" t="str">
        <f>IF(AN65=" "," ",AN65*Inputs!$B$53)</f>
        <v xml:space="preserve"> </v>
      </c>
      <c r="BJ65" s="32" t="str">
        <f>IF(AO65=" "," ",AO65*Inputs!$B$53)</f>
        <v xml:space="preserve"> </v>
      </c>
      <c r="BK65" s="32" t="str">
        <f>IF(AP65=" "," ",AP65*Inputs!$B$53)</f>
        <v xml:space="preserve"> </v>
      </c>
      <c r="BM65" s="550"/>
      <c r="BN65" s="608"/>
      <c r="BO65" s="608"/>
      <c r="BP65" s="98" t="s">
        <v>524</v>
      </c>
      <c r="BQ65" s="120">
        <f>IF(AND($BZ$6&gt;=0.25,$BZ$6&lt;0.35),CD65,IF(AND($BZ$6&gt;=0.35,$BZ$6&lt;0.45),CO65,CZ65))</f>
        <v>1</v>
      </c>
      <c r="BR65" s="120">
        <f>IF(AND($BZ$6&gt;=0.25,$BZ$6&lt;0.35),CE65,IF(AND($BZ$6&gt;=0.35,$BZ$6&lt;0.45),CP65,DA65))</f>
        <v>1.152753490550577</v>
      </c>
      <c r="BS65" s="120">
        <f>IF(AND($BZ$6&gt;=0.25,$BZ$6&lt;0.35),CF65,IF(AND($BZ$6&gt;=0.35,$BZ$6&lt;0.45),CQ65,DB65))</f>
        <v>1.2076465139101289</v>
      </c>
      <c r="BT65" s="120">
        <f>IF(AND($BZ$6&gt;=0.25,$BZ$6&lt;0.35),CG65,IF(AND($BZ$6&gt;=0.35,$BZ$6&lt;0.45),CR65,DC65))</f>
        <v>1.246138222449457</v>
      </c>
      <c r="BU65" s="120">
        <f>IF(AND($BM$6&gt;=0.25,$BM$6&lt;0.35),CH65,IF(AND($BM$6&gt;=0.35,$BM$6&lt;0.45),CS65,DD65))</f>
        <v>1.2473997317956871</v>
      </c>
      <c r="BV65" s="11"/>
      <c r="BW65" s="32" t="e">
        <f>IF(VALUE($BW$5)&lt;=0.8,"1",IF(AND(VALUE($BW5)&gt;0.8,VALUE($BW$5)&lt;=0.96),FORECAST(VALUE($BW$5),BQ65:BR65,$BQ$5:$BR$5),IF(AND(VALUE($BW$5)&gt;0.96,VALUE($BW$5)&lt;=1.12),FORECAST(VALUE($BW$5),BR65:BS65,$BR$5:$BS$5),IF(AND(VALUE($BW$5)&gt;1.12,VALUE($BW$5)&lt;=1.3),FORECAST(VALUE($BW$5),BS65:BT65,$BS$5:$BT$5),FORECAST(VALUE($BW$5),BT65:BU65,$BT$5:$BU$5)))))</f>
        <v>#VALUE!</v>
      </c>
      <c r="BZ65" s="550"/>
      <c r="CA65" s="608"/>
      <c r="CB65" s="608"/>
      <c r="CC65" s="98" t="s">
        <v>524</v>
      </c>
      <c r="CD65" s="136">
        <v>1</v>
      </c>
      <c r="CE65" s="136">
        <v>1.152753490550577</v>
      </c>
      <c r="CF65" s="136">
        <v>1.2076465139101289</v>
      </c>
      <c r="CG65" s="136">
        <v>1.246138222449457</v>
      </c>
      <c r="CH65" s="137">
        <v>1.284251220282657</v>
      </c>
      <c r="CK65" s="550"/>
      <c r="CL65" s="608"/>
      <c r="CM65" s="608"/>
      <c r="CN65" s="98" t="s">
        <v>524</v>
      </c>
      <c r="CO65" s="136">
        <v>1</v>
      </c>
      <c r="CP65" s="136">
        <v>1.070674759181987</v>
      </c>
      <c r="CQ65" s="136">
        <v>1.1216592715239859</v>
      </c>
      <c r="CR65" s="136">
        <v>1.157410280832287</v>
      </c>
      <c r="CS65" s="137">
        <v>1.1928095445181199</v>
      </c>
      <c r="CV65" s="550"/>
      <c r="CW65" s="608"/>
      <c r="CX65" s="608"/>
      <c r="CY65" s="98" t="s">
        <v>524</v>
      </c>
      <c r="CZ65" s="136">
        <v>1</v>
      </c>
      <c r="DA65" s="136">
        <v>1.1196753191504449</v>
      </c>
      <c r="DB65" s="136">
        <v>1.1729931914909419</v>
      </c>
      <c r="DC65" s="136">
        <v>1.210380383459309</v>
      </c>
      <c r="DD65" s="137">
        <v>1.2473997317956871</v>
      </c>
    </row>
    <row r="66" spans="2:108" x14ac:dyDescent="0.25">
      <c r="B66" s="591"/>
      <c r="C66" s="589"/>
      <c r="D66" s="591"/>
      <c r="E66" s="21"/>
      <c r="F66" s="152"/>
      <c r="G66" s="152"/>
      <c r="H66" s="152"/>
      <c r="I66" s="152"/>
      <c r="J66" s="152"/>
      <c r="K66" s="152"/>
      <c r="L66" s="152"/>
      <c r="M66" s="152"/>
      <c r="N66" s="152"/>
      <c r="O66" s="152"/>
      <c r="P66" s="152"/>
      <c r="Q66" s="152"/>
      <c r="R66" s="152"/>
      <c r="S66" s="152"/>
      <c r="T66" s="152"/>
      <c r="U66" s="152"/>
      <c r="W66" s="591"/>
      <c r="X66" s="589"/>
      <c r="Y66" s="29"/>
      <c r="Z66" s="29" t="s">
        <v>501</v>
      </c>
      <c r="AA66" s="32" t="str">
        <f>IF(F66=""," ",F66*Inputs!$B$39)</f>
        <v xml:space="preserve"> </v>
      </c>
      <c r="AB66" s="32" t="str">
        <f>IF(G66=""," ",G66*Inputs!$B$39)</f>
        <v xml:space="preserve"> </v>
      </c>
      <c r="AC66" s="32" t="str">
        <f>IF(H66=""," ",H66*Inputs!$B$39)</f>
        <v xml:space="preserve"> </v>
      </c>
      <c r="AD66" s="32" t="str">
        <f>IF(I66=""," ",I66*Inputs!$B$39)</f>
        <v xml:space="preserve"> </v>
      </c>
      <c r="AE66" s="32" t="str">
        <f>IF(J66=""," ",J66*Inputs!$B$39)</f>
        <v xml:space="preserve"> </v>
      </c>
      <c r="AF66" s="32" t="str">
        <f>IF(K66=""," ",K66*Inputs!$B$39)</f>
        <v xml:space="preserve"> </v>
      </c>
      <c r="AG66" s="32" t="str">
        <f>IF(L66=""," ",L66*Inputs!$B$39)</f>
        <v xml:space="preserve"> </v>
      </c>
      <c r="AH66" s="32" t="str">
        <f>IF(M66=""," ",M66*Inputs!$B$39)</f>
        <v xml:space="preserve"> </v>
      </c>
      <c r="AI66" s="32" t="str">
        <f>IF(N66=""," ",N66*Inputs!$B$39)</f>
        <v xml:space="preserve"> </v>
      </c>
      <c r="AJ66" s="32" t="str">
        <f>IF(O66=""," ",O66*Inputs!$B$39)</f>
        <v xml:space="preserve"> </v>
      </c>
      <c r="AK66" s="32" t="str">
        <f>IF(P66=""," ",P66*Inputs!$B$39)</f>
        <v xml:space="preserve"> </v>
      </c>
      <c r="AL66" s="32" t="str">
        <f>IF(Q66=""," ",Q66*Inputs!$B$39)</f>
        <v xml:space="preserve"> </v>
      </c>
      <c r="AM66" s="32" t="str">
        <f>IF(R66=""," ",R66*Inputs!$B$39)</f>
        <v xml:space="preserve"> </v>
      </c>
      <c r="AN66" s="32" t="str">
        <f>IF(S66=""," ",S66*Inputs!$B$39)</f>
        <v xml:space="preserve"> </v>
      </c>
      <c r="AO66" s="32" t="str">
        <f>IF(T66=""," ",T66*Inputs!$B$39)</f>
        <v xml:space="preserve"> </v>
      </c>
      <c r="AP66" s="32" t="str">
        <f>IF(U66=""," ",U66*Inputs!$B$39)</f>
        <v xml:space="preserve"> </v>
      </c>
      <c r="AR66" s="591"/>
      <c r="AS66" s="589"/>
      <c r="AT66" s="29"/>
      <c r="AU66" s="29" t="s">
        <v>501</v>
      </c>
      <c r="AV66" s="32" t="str">
        <f>IF(AA66=" "," ",AA66*Inputs!$B$53)</f>
        <v xml:space="preserve"> </v>
      </c>
      <c r="AW66" s="32" t="str">
        <f>IF(AB66=" "," ",AB66*Inputs!$B$53)</f>
        <v xml:space="preserve"> </v>
      </c>
      <c r="AX66" s="32" t="str">
        <f>IF(AC66=" "," ",AC66*Inputs!$B$53)</f>
        <v xml:space="preserve"> </v>
      </c>
      <c r="AY66" s="32" t="str">
        <f>IF(AD66=" "," ",AD66*Inputs!$B$53)</f>
        <v xml:space="preserve"> </v>
      </c>
      <c r="AZ66" s="32" t="str">
        <f>IF(AE66=" "," ",AE66*Inputs!$B$53)</f>
        <v xml:space="preserve"> </v>
      </c>
      <c r="BA66" s="32" t="str">
        <f>IF(AF66=" "," ",AF66*Inputs!$B$53)</f>
        <v xml:space="preserve"> </v>
      </c>
      <c r="BB66" s="32" t="str">
        <f>IF(AG66=" "," ",AG66*Inputs!$B$53)</f>
        <v xml:space="preserve"> </v>
      </c>
      <c r="BC66" s="32" t="str">
        <f>IF(AH66=" "," ",AH66*Inputs!$B$53)</f>
        <v xml:space="preserve"> </v>
      </c>
      <c r="BD66" s="32" t="str">
        <f>IF(AI66=" "," ",AI66*Inputs!$B$53)</f>
        <v xml:space="preserve"> </v>
      </c>
      <c r="BE66" s="32" t="str">
        <f>IF(AJ66=" "," ",AJ66*Inputs!$B$53)</f>
        <v xml:space="preserve"> </v>
      </c>
      <c r="BF66" s="32" t="str">
        <f>IF(AK66=" "," ",AK66*Inputs!$B$53)</f>
        <v xml:space="preserve"> </v>
      </c>
      <c r="BG66" s="32" t="str">
        <f>IF(AL66=" "," ",AL66*Inputs!$B$53)</f>
        <v xml:space="preserve"> </v>
      </c>
      <c r="BH66" s="32" t="str">
        <f>IF(AM66=" "," ",AM66*Inputs!$B$53)</f>
        <v xml:space="preserve"> </v>
      </c>
      <c r="BI66" s="32" t="str">
        <f>IF(AN66=" "," ",AN66*Inputs!$B$53)</f>
        <v xml:space="preserve"> </v>
      </c>
      <c r="BJ66" s="32" t="str">
        <f>IF(AO66=" "," ",AO66*Inputs!$B$53)</f>
        <v xml:space="preserve"> </v>
      </c>
      <c r="BK66" s="32" t="str">
        <f>IF(AP66=" "," ",AP66*Inputs!$B$53)</f>
        <v xml:space="preserve"> </v>
      </c>
      <c r="BZ66" s="140" t="s">
        <v>550</v>
      </c>
      <c r="CA66" s="645" t="s">
        <v>551</v>
      </c>
      <c r="CB66" s="565"/>
      <c r="CC66" s="565"/>
      <c r="CD66" s="565"/>
      <c r="CE66" s="565"/>
      <c r="CF66" s="565"/>
      <c r="CG66" s="565"/>
      <c r="CH66" s="565"/>
      <c r="CK66" s="140" t="s">
        <v>550</v>
      </c>
      <c r="CL66" s="650" t="s">
        <v>552</v>
      </c>
      <c r="CM66" s="547"/>
      <c r="CN66" s="547"/>
      <c r="CO66" s="547"/>
      <c r="CP66" s="547"/>
      <c r="CQ66" s="547"/>
      <c r="CR66" s="547"/>
      <c r="CS66" s="547"/>
      <c r="CV66" s="140" t="s">
        <v>550</v>
      </c>
      <c r="CW66" s="650" t="s">
        <v>552</v>
      </c>
      <c r="CX66" s="547"/>
      <c r="CY66" s="547"/>
      <c r="CZ66" s="547"/>
      <c r="DA66" s="547"/>
      <c r="DB66" s="547"/>
      <c r="DC66" s="547"/>
      <c r="DD66" s="547"/>
    </row>
    <row r="67" spans="2:108" x14ac:dyDescent="0.25">
      <c r="B67" s="638"/>
      <c r="C67" s="612" t="s">
        <v>7</v>
      </c>
      <c r="D67" s="595"/>
      <c r="E67" s="150"/>
      <c r="F67" s="151"/>
      <c r="G67" s="151"/>
      <c r="H67" s="151"/>
      <c r="I67" s="151"/>
      <c r="J67" s="151"/>
      <c r="K67" s="151"/>
      <c r="L67" s="151"/>
      <c r="M67" s="151"/>
      <c r="N67" s="151"/>
      <c r="O67" s="151"/>
      <c r="P67" s="151"/>
      <c r="Q67" s="151"/>
      <c r="R67" s="151"/>
      <c r="S67" s="151"/>
      <c r="T67" s="151"/>
      <c r="U67" s="151"/>
      <c r="W67" s="638"/>
      <c r="X67" s="612" t="s">
        <v>7</v>
      </c>
      <c r="Y67" s="24">
        <v>0.16777788322377571</v>
      </c>
      <c r="Z67" s="24" t="s">
        <v>498</v>
      </c>
      <c r="AA67" s="32" t="str">
        <f>IF(F67=""," ",F67*Inputs!$B$39)</f>
        <v xml:space="preserve"> </v>
      </c>
      <c r="AB67" s="32" t="str">
        <f>IF(G67=""," ",G67*Inputs!$B$39)</f>
        <v xml:space="preserve"> </v>
      </c>
      <c r="AC67" s="32" t="str">
        <f>IF(H67=""," ",H67*Inputs!$B$39)</f>
        <v xml:space="preserve"> </v>
      </c>
      <c r="AD67" s="32" t="str">
        <f>IF(I67=""," ",I67*Inputs!$B$39)</f>
        <v xml:space="preserve"> </v>
      </c>
      <c r="AE67" s="32" t="str">
        <f>IF(J67=""," ",J67*Inputs!$B$39)</f>
        <v xml:space="preserve"> </v>
      </c>
      <c r="AF67" s="32" t="str">
        <f>IF(K67=""," ",K67*Inputs!$B$39)</f>
        <v xml:space="preserve"> </v>
      </c>
      <c r="AG67" s="32" t="str">
        <f>IF(L67=""," ",L67*Inputs!$B$39)</f>
        <v xml:space="preserve"> </v>
      </c>
      <c r="AH67" s="32" t="str">
        <f>IF(M67=""," ",M67*Inputs!$B$39)</f>
        <v xml:space="preserve"> </v>
      </c>
      <c r="AI67" s="32" t="str">
        <f>IF(N67=""," ",N67*Inputs!$B$39)</f>
        <v xml:space="preserve"> </v>
      </c>
      <c r="AJ67" s="32" t="str">
        <f>IF(O67=""," ",O67*Inputs!$B$39)</f>
        <v xml:space="preserve"> </v>
      </c>
      <c r="AK67" s="32" t="str">
        <f>IF(P67=""," ",P67*Inputs!$B$39)</f>
        <v xml:space="preserve"> </v>
      </c>
      <c r="AL67" s="32" t="str">
        <f>IF(Q67=""," ",Q67*Inputs!$B$39)</f>
        <v xml:space="preserve"> </v>
      </c>
      <c r="AM67" s="32" t="str">
        <f>IF(R67=""," ",R67*Inputs!$B$39)</f>
        <v xml:space="preserve"> </v>
      </c>
      <c r="AN67" s="32" t="str">
        <f>IF(S67=""," ",S67*Inputs!$B$39)</f>
        <v xml:space="preserve"> </v>
      </c>
      <c r="AO67" s="32" t="str">
        <f>IF(T67=""," ",T67*Inputs!$B$39)</f>
        <v xml:space="preserve"> </v>
      </c>
      <c r="AP67" s="32" t="str">
        <f>IF(U67=""," ",U67*Inputs!$B$39)</f>
        <v xml:space="preserve"> </v>
      </c>
      <c r="AR67" s="638"/>
      <c r="AS67" s="612" t="s">
        <v>7</v>
      </c>
      <c r="AT67" s="24">
        <v>0.16777788322377571</v>
      </c>
      <c r="AU67" s="24" t="s">
        <v>498</v>
      </c>
      <c r="AV67" s="32" t="str">
        <f>IF(AA67=" "," ",AA67*Inputs!$B$53)</f>
        <v xml:space="preserve"> </v>
      </c>
      <c r="AW67" s="32" t="str">
        <f>IF(AB67=" "," ",AB67*Inputs!$B$53)</f>
        <v xml:space="preserve"> </v>
      </c>
      <c r="AX67" s="32" t="str">
        <f>IF(AC67=" "," ",AC67*Inputs!$B$53)</f>
        <v xml:space="preserve"> </v>
      </c>
      <c r="AY67" s="32" t="str">
        <f>IF(AD67=" "," ",AD67*Inputs!$B$53)</f>
        <v xml:space="preserve"> </v>
      </c>
      <c r="AZ67" s="32" t="str">
        <f>IF(AE67=" "," ",AE67*Inputs!$B$53)</f>
        <v xml:space="preserve"> </v>
      </c>
      <c r="BA67" s="32" t="str">
        <f>IF(AF67=" "," ",AF67*Inputs!$B$53)</f>
        <v xml:space="preserve"> </v>
      </c>
      <c r="BB67" s="32" t="str">
        <f>IF(AG67=" "," ",AG67*Inputs!$B$53)</f>
        <v xml:space="preserve"> </v>
      </c>
      <c r="BC67" s="32" t="str">
        <f>IF(AH67=" "," ",AH67*Inputs!$B$53)</f>
        <v xml:space="preserve"> </v>
      </c>
      <c r="BD67" s="32" t="str">
        <f>IF(AI67=" "," ",AI67*Inputs!$B$53)</f>
        <v xml:space="preserve"> </v>
      </c>
      <c r="BE67" s="32" t="str">
        <f>IF(AJ67=" "," ",AJ67*Inputs!$B$53)</f>
        <v xml:space="preserve"> </v>
      </c>
      <c r="BF67" s="32" t="str">
        <f>IF(AK67=" "," ",AK67*Inputs!$B$53)</f>
        <v xml:space="preserve"> </v>
      </c>
      <c r="BG67" s="32" t="str">
        <f>IF(AL67=" "," ",AL67*Inputs!$B$53)</f>
        <v xml:space="preserve"> </v>
      </c>
      <c r="BH67" s="32" t="str">
        <f>IF(AM67=" "," ",AM67*Inputs!$B$53)</f>
        <v xml:space="preserve"> </v>
      </c>
      <c r="BI67" s="32" t="str">
        <f>IF(AN67=" "," ",AN67*Inputs!$B$53)</f>
        <v xml:space="preserve"> </v>
      </c>
      <c r="BJ67" s="32" t="str">
        <f>IF(AO67=" "," ",AO67*Inputs!$B$53)</f>
        <v xml:space="preserve"> </v>
      </c>
      <c r="BK67" s="32" t="str">
        <f>IF(AP67=" "," ",AP67*Inputs!$B$53)</f>
        <v xml:space="preserve"> </v>
      </c>
      <c r="CA67" s="645" t="s">
        <v>553</v>
      </c>
      <c r="CB67" s="565"/>
      <c r="CC67" s="565"/>
      <c r="CD67" s="565"/>
      <c r="CE67" s="565"/>
      <c r="CF67" s="565"/>
      <c r="CG67" s="565"/>
      <c r="CH67" s="565"/>
      <c r="CL67" s="645" t="s">
        <v>553</v>
      </c>
      <c r="CM67" s="565"/>
      <c r="CN67" s="565"/>
      <c r="CO67" s="565"/>
      <c r="CP67" s="565"/>
      <c r="CQ67" s="565"/>
      <c r="CR67" s="565"/>
      <c r="CS67" s="565"/>
      <c r="CW67" s="645" t="s">
        <v>553</v>
      </c>
      <c r="CX67" s="565"/>
      <c r="CY67" s="565"/>
      <c r="CZ67" s="565"/>
      <c r="DA67" s="565"/>
      <c r="DB67" s="565"/>
      <c r="DC67" s="565"/>
      <c r="DD67" s="565"/>
    </row>
    <row r="68" spans="2:108" x14ac:dyDescent="0.25">
      <c r="B68" s="589"/>
      <c r="C68" s="589"/>
      <c r="D68" s="589"/>
      <c r="E68" s="21"/>
      <c r="F68" s="152"/>
      <c r="G68" s="152"/>
      <c r="H68" s="152"/>
      <c r="I68" s="152"/>
      <c r="J68" s="152"/>
      <c r="K68" s="152"/>
      <c r="L68" s="152"/>
      <c r="M68" s="152"/>
      <c r="N68" s="152"/>
      <c r="O68" s="152"/>
      <c r="P68" s="152"/>
      <c r="Q68" s="152"/>
      <c r="R68" s="152"/>
      <c r="S68" s="152"/>
      <c r="T68" s="152"/>
      <c r="U68" s="152"/>
      <c r="W68" s="589"/>
      <c r="X68" s="589"/>
      <c r="Y68" s="27"/>
      <c r="Z68" s="27" t="s">
        <v>499</v>
      </c>
      <c r="AA68" s="32" t="str">
        <f>IF(F68=""," ",F68*Inputs!$B$39)</f>
        <v xml:space="preserve"> </v>
      </c>
      <c r="AB68" s="32" t="str">
        <f>IF(G68=""," ",G68*Inputs!$B$39)</f>
        <v xml:space="preserve"> </v>
      </c>
      <c r="AC68" s="32" t="str">
        <f>IF(H68=""," ",H68*Inputs!$B$39)</f>
        <v xml:space="preserve"> </v>
      </c>
      <c r="AD68" s="32" t="str">
        <f>IF(I68=""," ",I68*Inputs!$B$39)</f>
        <v xml:space="preserve"> </v>
      </c>
      <c r="AE68" s="32" t="str">
        <f>IF(J68=""," ",J68*Inputs!$B$39)</f>
        <v xml:space="preserve"> </v>
      </c>
      <c r="AF68" s="32" t="str">
        <f>IF(K68=""," ",K68*Inputs!$B$39)</f>
        <v xml:space="preserve"> </v>
      </c>
      <c r="AG68" s="32" t="str">
        <f>IF(L68=""," ",L68*Inputs!$B$39)</f>
        <v xml:space="preserve"> </v>
      </c>
      <c r="AH68" s="32" t="str">
        <f>IF(M68=""," ",M68*Inputs!$B$39)</f>
        <v xml:space="preserve"> </v>
      </c>
      <c r="AI68" s="32" t="str">
        <f>IF(N68=""," ",N68*Inputs!$B$39)</f>
        <v xml:space="preserve"> </v>
      </c>
      <c r="AJ68" s="32" t="str">
        <f>IF(O68=""," ",O68*Inputs!$B$39)</f>
        <v xml:space="preserve"> </v>
      </c>
      <c r="AK68" s="32" t="str">
        <f>IF(P68=""," ",P68*Inputs!$B$39)</f>
        <v xml:space="preserve"> </v>
      </c>
      <c r="AL68" s="32" t="str">
        <f>IF(Q68=""," ",Q68*Inputs!$B$39)</f>
        <v xml:space="preserve"> </v>
      </c>
      <c r="AM68" s="32" t="str">
        <f>IF(R68=""," ",R68*Inputs!$B$39)</f>
        <v xml:space="preserve"> </v>
      </c>
      <c r="AN68" s="32" t="str">
        <f>IF(S68=""," ",S68*Inputs!$B$39)</f>
        <v xml:space="preserve"> </v>
      </c>
      <c r="AO68" s="32" t="str">
        <f>IF(T68=""," ",T68*Inputs!$B$39)</f>
        <v xml:space="preserve"> </v>
      </c>
      <c r="AP68" s="32" t="str">
        <f>IF(U68=""," ",U68*Inputs!$B$39)</f>
        <v xml:space="preserve"> </v>
      </c>
      <c r="AR68" s="589"/>
      <c r="AS68" s="589"/>
      <c r="AT68" s="27"/>
      <c r="AU68" s="27" t="s">
        <v>499</v>
      </c>
      <c r="AV68" s="32" t="str">
        <f>IF(AA68=" "," ",AA68*Inputs!$B$53)</f>
        <v xml:space="preserve"> </v>
      </c>
      <c r="AW68" s="32" t="str">
        <f>IF(AB68=" "," ",AB68*Inputs!$B$53)</f>
        <v xml:space="preserve"> </v>
      </c>
      <c r="AX68" s="32" t="str">
        <f>IF(AC68=" "," ",AC68*Inputs!$B$53)</f>
        <v xml:space="preserve"> </v>
      </c>
      <c r="AY68" s="32" t="str">
        <f>IF(AD68=" "," ",AD68*Inputs!$B$53)</f>
        <v xml:space="preserve"> </v>
      </c>
      <c r="AZ68" s="32" t="str">
        <f>IF(AE68=" "," ",AE68*Inputs!$B$53)</f>
        <v xml:space="preserve"> </v>
      </c>
      <c r="BA68" s="32" t="str">
        <f>IF(AF68=" "," ",AF68*Inputs!$B$53)</f>
        <v xml:space="preserve"> </v>
      </c>
      <c r="BB68" s="32" t="str">
        <f>IF(AG68=" "," ",AG68*Inputs!$B$53)</f>
        <v xml:space="preserve"> </v>
      </c>
      <c r="BC68" s="32" t="str">
        <f>IF(AH68=" "," ",AH68*Inputs!$B$53)</f>
        <v xml:space="preserve"> </v>
      </c>
      <c r="BD68" s="32" t="str">
        <f>IF(AI68=" "," ",AI68*Inputs!$B$53)</f>
        <v xml:space="preserve"> </v>
      </c>
      <c r="BE68" s="32" t="str">
        <f>IF(AJ68=" "," ",AJ68*Inputs!$B$53)</f>
        <v xml:space="preserve"> </v>
      </c>
      <c r="BF68" s="32" t="str">
        <f>IF(AK68=" "," ",AK68*Inputs!$B$53)</f>
        <v xml:space="preserve"> </v>
      </c>
      <c r="BG68" s="32" t="str">
        <f>IF(AL68=" "," ",AL68*Inputs!$B$53)</f>
        <v xml:space="preserve"> </v>
      </c>
      <c r="BH68" s="32" t="str">
        <f>IF(AM68=" "," ",AM68*Inputs!$B$53)</f>
        <v xml:space="preserve"> </v>
      </c>
      <c r="BI68" s="32" t="str">
        <f>IF(AN68=" "," ",AN68*Inputs!$B$53)</f>
        <v xml:space="preserve"> </v>
      </c>
      <c r="BJ68" s="32" t="str">
        <f>IF(AO68=" "," ",AO68*Inputs!$B$53)</f>
        <v xml:space="preserve"> </v>
      </c>
      <c r="BK68" s="32" t="str">
        <f>IF(AP68=" "," ",AP68*Inputs!$B$53)</f>
        <v xml:space="preserve"> </v>
      </c>
    </row>
    <row r="69" spans="2:108" x14ac:dyDescent="0.25">
      <c r="B69" s="589"/>
      <c r="C69" s="589"/>
      <c r="D69" s="589"/>
      <c r="E69" s="21"/>
      <c r="F69" s="152"/>
      <c r="G69" s="152"/>
      <c r="H69" s="152"/>
      <c r="I69" s="152"/>
      <c r="J69" s="152"/>
      <c r="K69" s="152"/>
      <c r="L69" s="152"/>
      <c r="M69" s="152"/>
      <c r="N69" s="152"/>
      <c r="O69" s="152"/>
      <c r="P69" s="152"/>
      <c r="Q69" s="152"/>
      <c r="R69" s="152"/>
      <c r="S69" s="152"/>
      <c r="T69" s="152"/>
      <c r="U69" s="152"/>
      <c r="W69" s="589"/>
      <c r="X69" s="589"/>
      <c r="Y69" s="27"/>
      <c r="Z69" s="27" t="s">
        <v>500</v>
      </c>
      <c r="AA69" s="32" t="str">
        <f>IF(F69=""," ",F69*Inputs!$B$39)</f>
        <v xml:space="preserve"> </v>
      </c>
      <c r="AB69" s="32" t="str">
        <f>IF(G69=""," ",G69*Inputs!$B$39)</f>
        <v xml:space="preserve"> </v>
      </c>
      <c r="AC69" s="32" t="str">
        <f>IF(H69=""," ",H69*Inputs!$B$39)</f>
        <v xml:space="preserve"> </v>
      </c>
      <c r="AD69" s="32" t="str">
        <f>IF(I69=""," ",I69*Inputs!$B$39)</f>
        <v xml:space="preserve"> </v>
      </c>
      <c r="AE69" s="32" t="str">
        <f>IF(J69=""," ",J69*Inputs!$B$39)</f>
        <v xml:space="preserve"> </v>
      </c>
      <c r="AF69" s="32" t="str">
        <f>IF(K69=""," ",K69*Inputs!$B$39)</f>
        <v xml:space="preserve"> </v>
      </c>
      <c r="AG69" s="32" t="str">
        <f>IF(L69=""," ",L69*Inputs!$B$39)</f>
        <v xml:space="preserve"> </v>
      </c>
      <c r="AH69" s="32" t="str">
        <f>IF(M69=""," ",M69*Inputs!$B$39)</f>
        <v xml:space="preserve"> </v>
      </c>
      <c r="AI69" s="32" t="str">
        <f>IF(N69=""," ",N69*Inputs!$B$39)</f>
        <v xml:space="preserve"> </v>
      </c>
      <c r="AJ69" s="32" t="str">
        <f>IF(O69=""," ",O69*Inputs!$B$39)</f>
        <v xml:space="preserve"> </v>
      </c>
      <c r="AK69" s="32" t="str">
        <f>IF(P69=""," ",P69*Inputs!$B$39)</f>
        <v xml:space="preserve"> </v>
      </c>
      <c r="AL69" s="32" t="str">
        <f>IF(Q69=""," ",Q69*Inputs!$B$39)</f>
        <v xml:space="preserve"> </v>
      </c>
      <c r="AM69" s="32" t="str">
        <f>IF(R69=""," ",R69*Inputs!$B$39)</f>
        <v xml:space="preserve"> </v>
      </c>
      <c r="AN69" s="32" t="str">
        <f>IF(S69=""," ",S69*Inputs!$B$39)</f>
        <v xml:space="preserve"> </v>
      </c>
      <c r="AO69" s="32" t="str">
        <f>IF(T69=""," ",T69*Inputs!$B$39)</f>
        <v xml:space="preserve"> </v>
      </c>
      <c r="AP69" s="32" t="str">
        <f>IF(U69=""," ",U69*Inputs!$B$39)</f>
        <v xml:space="preserve"> </v>
      </c>
      <c r="AR69" s="589"/>
      <c r="AS69" s="589"/>
      <c r="AT69" s="27"/>
      <c r="AU69" s="27" t="s">
        <v>500</v>
      </c>
      <c r="AV69" s="32" t="str">
        <f>IF(AA69=" "," ",AA69*Inputs!$B$53)</f>
        <v xml:space="preserve"> </v>
      </c>
      <c r="AW69" s="32" t="str">
        <f>IF(AB69=" "," ",AB69*Inputs!$B$53)</f>
        <v xml:space="preserve"> </v>
      </c>
      <c r="AX69" s="32" t="str">
        <f>IF(AC69=" "," ",AC69*Inputs!$B$53)</f>
        <v xml:space="preserve"> </v>
      </c>
      <c r="AY69" s="32" t="str">
        <f>IF(AD69=" "," ",AD69*Inputs!$B$53)</f>
        <v xml:space="preserve"> </v>
      </c>
      <c r="AZ69" s="32" t="str">
        <f>IF(AE69=" "," ",AE69*Inputs!$B$53)</f>
        <v xml:space="preserve"> </v>
      </c>
      <c r="BA69" s="32" t="str">
        <f>IF(AF69=" "," ",AF69*Inputs!$B$53)</f>
        <v xml:space="preserve"> </v>
      </c>
      <c r="BB69" s="32" t="str">
        <f>IF(AG69=" "," ",AG69*Inputs!$B$53)</f>
        <v xml:space="preserve"> </v>
      </c>
      <c r="BC69" s="32" t="str">
        <f>IF(AH69=" "," ",AH69*Inputs!$B$53)</f>
        <v xml:space="preserve"> </v>
      </c>
      <c r="BD69" s="32" t="str">
        <f>IF(AI69=" "," ",AI69*Inputs!$B$53)</f>
        <v xml:space="preserve"> </v>
      </c>
      <c r="BE69" s="32" t="str">
        <f>IF(AJ69=" "," ",AJ69*Inputs!$B$53)</f>
        <v xml:space="preserve"> </v>
      </c>
      <c r="BF69" s="32" t="str">
        <f>IF(AK69=" "," ",AK69*Inputs!$B$53)</f>
        <v xml:space="preserve"> </v>
      </c>
      <c r="BG69" s="32" t="str">
        <f>IF(AL69=" "," ",AL69*Inputs!$B$53)</f>
        <v xml:space="preserve"> </v>
      </c>
      <c r="BH69" s="32" t="str">
        <f>IF(AM69=" "," ",AM69*Inputs!$B$53)</f>
        <v xml:space="preserve"> </v>
      </c>
      <c r="BI69" s="32" t="str">
        <f>IF(AN69=" "," ",AN69*Inputs!$B$53)</f>
        <v xml:space="preserve"> </v>
      </c>
      <c r="BJ69" s="32" t="str">
        <f>IF(AO69=" "," ",AO69*Inputs!$B$53)</f>
        <v xml:space="preserve"> </v>
      </c>
      <c r="BK69" s="32" t="str">
        <f>IF(AP69=" "," ",AP69*Inputs!$B$53)</f>
        <v xml:space="preserve"> </v>
      </c>
    </row>
    <row r="70" spans="2:108" x14ac:dyDescent="0.25">
      <c r="B70" s="589"/>
      <c r="C70" s="589"/>
      <c r="D70" s="591"/>
      <c r="E70" s="149"/>
      <c r="F70" s="153"/>
      <c r="G70" s="153"/>
      <c r="H70" s="153"/>
      <c r="I70" s="153"/>
      <c r="J70" s="153"/>
      <c r="K70" s="153"/>
      <c r="L70" s="153"/>
      <c r="M70" s="153"/>
      <c r="N70" s="153"/>
      <c r="O70" s="153"/>
      <c r="P70" s="153"/>
      <c r="Q70" s="153"/>
      <c r="R70" s="153"/>
      <c r="S70" s="153"/>
      <c r="T70" s="153"/>
      <c r="U70" s="153"/>
      <c r="W70" s="589"/>
      <c r="X70" s="589"/>
      <c r="Y70" s="29"/>
      <c r="Z70" s="29" t="s">
        <v>501</v>
      </c>
      <c r="AA70" s="32" t="str">
        <f>IF(F70=""," ",F70*Inputs!$B$39)</f>
        <v xml:space="preserve"> </v>
      </c>
      <c r="AB70" s="32" t="str">
        <f>IF(G70=""," ",G70*Inputs!$B$39)</f>
        <v xml:space="preserve"> </v>
      </c>
      <c r="AC70" s="32" t="str">
        <f>IF(H70=""," ",H70*Inputs!$B$39)</f>
        <v xml:space="preserve"> </v>
      </c>
      <c r="AD70" s="32" t="str">
        <f>IF(I70=""," ",I70*Inputs!$B$39)</f>
        <v xml:space="preserve"> </v>
      </c>
      <c r="AE70" s="32" t="str">
        <f>IF(J70=""," ",J70*Inputs!$B$39)</f>
        <v xml:space="preserve"> </v>
      </c>
      <c r="AF70" s="32" t="str">
        <f>IF(K70=""," ",K70*Inputs!$B$39)</f>
        <v xml:space="preserve"> </v>
      </c>
      <c r="AG70" s="32" t="str">
        <f>IF(L70=""," ",L70*Inputs!$B$39)</f>
        <v xml:space="preserve"> </v>
      </c>
      <c r="AH70" s="32" t="str">
        <f>IF(M70=""," ",M70*Inputs!$B$39)</f>
        <v xml:space="preserve"> </v>
      </c>
      <c r="AI70" s="32" t="str">
        <f>IF(N70=""," ",N70*Inputs!$B$39)</f>
        <v xml:space="preserve"> </v>
      </c>
      <c r="AJ70" s="32" t="str">
        <f>IF(O70=""," ",O70*Inputs!$B$39)</f>
        <v xml:space="preserve"> </v>
      </c>
      <c r="AK70" s="32" t="str">
        <f>IF(P70=""," ",P70*Inputs!$B$39)</f>
        <v xml:space="preserve"> </v>
      </c>
      <c r="AL70" s="32" t="str">
        <f>IF(Q70=""," ",Q70*Inputs!$B$39)</f>
        <v xml:space="preserve"> </v>
      </c>
      <c r="AM70" s="32" t="str">
        <f>IF(R70=""," ",R70*Inputs!$B$39)</f>
        <v xml:space="preserve"> </v>
      </c>
      <c r="AN70" s="32" t="str">
        <f>IF(S70=""," ",S70*Inputs!$B$39)</f>
        <v xml:space="preserve"> </v>
      </c>
      <c r="AO70" s="32" t="str">
        <f>IF(T70=""," ",T70*Inputs!$B$39)</f>
        <v xml:space="preserve"> </v>
      </c>
      <c r="AP70" s="32" t="str">
        <f>IF(U70=""," ",U70*Inputs!$B$39)</f>
        <v xml:space="preserve"> </v>
      </c>
      <c r="AR70" s="589"/>
      <c r="AS70" s="589"/>
      <c r="AT70" s="29"/>
      <c r="AU70" s="29" t="s">
        <v>501</v>
      </c>
      <c r="AV70" s="32" t="str">
        <f>IF(AA70=" "," ",AA70*Inputs!$B$53)</f>
        <v xml:space="preserve"> </v>
      </c>
      <c r="AW70" s="32" t="str">
        <f>IF(AB70=" "," ",AB70*Inputs!$B$53)</f>
        <v xml:space="preserve"> </v>
      </c>
      <c r="AX70" s="32" t="str">
        <f>IF(AC70=" "," ",AC70*Inputs!$B$53)</f>
        <v xml:space="preserve"> </v>
      </c>
      <c r="AY70" s="32" t="str">
        <f>IF(AD70=" "," ",AD70*Inputs!$B$53)</f>
        <v xml:space="preserve"> </v>
      </c>
      <c r="AZ70" s="32" t="str">
        <f>IF(AE70=" "," ",AE70*Inputs!$B$53)</f>
        <v xml:space="preserve"> </v>
      </c>
      <c r="BA70" s="32" t="str">
        <f>IF(AF70=" "," ",AF70*Inputs!$B$53)</f>
        <v xml:space="preserve"> </v>
      </c>
      <c r="BB70" s="32" t="str">
        <f>IF(AG70=" "," ",AG70*Inputs!$B$53)</f>
        <v xml:space="preserve"> </v>
      </c>
      <c r="BC70" s="32" t="str">
        <f>IF(AH70=" "," ",AH70*Inputs!$B$53)</f>
        <v xml:space="preserve"> </v>
      </c>
      <c r="BD70" s="32" t="str">
        <f>IF(AI70=" "," ",AI70*Inputs!$B$53)</f>
        <v xml:space="preserve"> </v>
      </c>
      <c r="BE70" s="32" t="str">
        <f>IF(AJ70=" "," ",AJ70*Inputs!$B$53)</f>
        <v xml:space="preserve"> </v>
      </c>
      <c r="BF70" s="32" t="str">
        <f>IF(AK70=" "," ",AK70*Inputs!$B$53)</f>
        <v xml:space="preserve"> </v>
      </c>
      <c r="BG70" s="32" t="str">
        <f>IF(AL70=" "," ",AL70*Inputs!$B$53)</f>
        <v xml:space="preserve"> </v>
      </c>
      <c r="BH70" s="32" t="str">
        <f>IF(AM70=" "," ",AM70*Inputs!$B$53)</f>
        <v xml:space="preserve"> </v>
      </c>
      <c r="BI70" s="32" t="str">
        <f>IF(AN70=" "," ",AN70*Inputs!$B$53)</f>
        <v xml:space="preserve"> </v>
      </c>
      <c r="BJ70" s="32" t="str">
        <f>IF(AO70=" "," ",AO70*Inputs!$B$53)</f>
        <v xml:space="preserve"> </v>
      </c>
      <c r="BK70" s="32" t="str">
        <f>IF(AP70=" "," ",AP70*Inputs!$B$53)</f>
        <v xml:space="preserve"> </v>
      </c>
    </row>
    <row r="71" spans="2:108" x14ac:dyDescent="0.25">
      <c r="B71" s="596"/>
      <c r="C71" s="589"/>
      <c r="D71" s="595"/>
      <c r="E71" s="21"/>
      <c r="F71" s="152"/>
      <c r="G71" s="152"/>
      <c r="H71" s="152"/>
      <c r="I71" s="152"/>
      <c r="J71" s="152"/>
      <c r="K71" s="152"/>
      <c r="L71" s="152"/>
      <c r="M71" s="152"/>
      <c r="N71" s="152"/>
      <c r="O71" s="152"/>
      <c r="P71" s="152"/>
      <c r="Q71" s="152"/>
      <c r="R71" s="152"/>
      <c r="S71" s="152"/>
      <c r="T71" s="152"/>
      <c r="U71" s="152"/>
      <c r="W71" s="596"/>
      <c r="X71" s="589"/>
      <c r="Y71" s="24">
        <v>0.15370790521759001</v>
      </c>
      <c r="Z71" s="24" t="s">
        <v>498</v>
      </c>
      <c r="AA71" s="32" t="str">
        <f>IF(F71=""," ",F71*Inputs!$B$39)</f>
        <v xml:space="preserve"> </v>
      </c>
      <c r="AB71" s="32" t="str">
        <f>IF(G71=""," ",G71*Inputs!$B$39)</f>
        <v xml:space="preserve"> </v>
      </c>
      <c r="AC71" s="32" t="str">
        <f>IF(H71=""," ",H71*Inputs!$B$39)</f>
        <v xml:space="preserve"> </v>
      </c>
      <c r="AD71" s="32" t="str">
        <f>IF(I71=""," ",I71*Inputs!$B$39)</f>
        <v xml:space="preserve"> </v>
      </c>
      <c r="AE71" s="32" t="str">
        <f>IF(J71=""," ",J71*Inputs!$B$39)</f>
        <v xml:space="preserve"> </v>
      </c>
      <c r="AF71" s="32" t="str">
        <f>IF(K71=""," ",K71*Inputs!$B$39)</f>
        <v xml:space="preserve"> </v>
      </c>
      <c r="AG71" s="32" t="str">
        <f>IF(L71=""," ",L71*Inputs!$B$39)</f>
        <v xml:space="preserve"> </v>
      </c>
      <c r="AH71" s="32" t="str">
        <f>IF(M71=""," ",M71*Inputs!$B$39)</f>
        <v xml:space="preserve"> </v>
      </c>
      <c r="AI71" s="32" t="str">
        <f>IF(N71=""," ",N71*Inputs!$B$39)</f>
        <v xml:space="preserve"> </v>
      </c>
      <c r="AJ71" s="32" t="str">
        <f>IF(O71=""," ",O71*Inputs!$B$39)</f>
        <v xml:space="preserve"> </v>
      </c>
      <c r="AK71" s="32" t="str">
        <f>IF(P71=""," ",P71*Inputs!$B$39)</f>
        <v xml:space="preserve"> </v>
      </c>
      <c r="AL71" s="32" t="str">
        <f>IF(Q71=""," ",Q71*Inputs!$B$39)</f>
        <v xml:space="preserve"> </v>
      </c>
      <c r="AM71" s="32" t="str">
        <f>IF(R71=""," ",R71*Inputs!$B$39)</f>
        <v xml:space="preserve"> </v>
      </c>
      <c r="AN71" s="32" t="str">
        <f>IF(S71=""," ",S71*Inputs!$B$39)</f>
        <v xml:space="preserve"> </v>
      </c>
      <c r="AO71" s="32" t="str">
        <f>IF(T71=""," ",T71*Inputs!$B$39)</f>
        <v xml:space="preserve"> </v>
      </c>
      <c r="AP71" s="32" t="str">
        <f>IF(U71=""," ",U71*Inputs!$B$39)</f>
        <v xml:space="preserve"> </v>
      </c>
      <c r="AR71" s="596"/>
      <c r="AS71" s="589"/>
      <c r="AT71" s="24">
        <v>0.15370790521759001</v>
      </c>
      <c r="AU71" s="24" t="s">
        <v>498</v>
      </c>
      <c r="AV71" s="32" t="str">
        <f>IF(AA71=" "," ",AA71*Inputs!$B$53)</f>
        <v xml:space="preserve"> </v>
      </c>
      <c r="AW71" s="32" t="str">
        <f>IF(AB71=" "," ",AB71*Inputs!$B$53)</f>
        <v xml:space="preserve"> </v>
      </c>
      <c r="AX71" s="32" t="str">
        <f>IF(AC71=" "," ",AC71*Inputs!$B$53)</f>
        <v xml:space="preserve"> </v>
      </c>
      <c r="AY71" s="32" t="str">
        <f>IF(AD71=" "," ",AD71*Inputs!$B$53)</f>
        <v xml:space="preserve"> </v>
      </c>
      <c r="AZ71" s="32" t="str">
        <f>IF(AE71=" "," ",AE71*Inputs!$B$53)</f>
        <v xml:space="preserve"> </v>
      </c>
      <c r="BA71" s="32" t="str">
        <f>IF(AF71=" "," ",AF71*Inputs!$B$53)</f>
        <v xml:space="preserve"> </v>
      </c>
      <c r="BB71" s="32" t="str">
        <f>IF(AG71=" "," ",AG71*Inputs!$B$53)</f>
        <v xml:space="preserve"> </v>
      </c>
      <c r="BC71" s="32" t="str">
        <f>IF(AH71=" "," ",AH71*Inputs!$B$53)</f>
        <v xml:space="preserve"> </v>
      </c>
      <c r="BD71" s="32" t="str">
        <f>IF(AI71=" "," ",AI71*Inputs!$B$53)</f>
        <v xml:space="preserve"> </v>
      </c>
      <c r="BE71" s="32" t="str">
        <f>IF(AJ71=" "," ",AJ71*Inputs!$B$53)</f>
        <v xml:space="preserve"> </v>
      </c>
      <c r="BF71" s="32" t="str">
        <f>IF(AK71=" "," ",AK71*Inputs!$B$53)</f>
        <v xml:space="preserve"> </v>
      </c>
      <c r="BG71" s="32" t="str">
        <f>IF(AL71=" "," ",AL71*Inputs!$B$53)</f>
        <v xml:space="preserve"> </v>
      </c>
      <c r="BH71" s="32" t="str">
        <f>IF(AM71=" "," ",AM71*Inputs!$B$53)</f>
        <v xml:space="preserve"> </v>
      </c>
      <c r="BI71" s="32" t="str">
        <f>IF(AN71=" "," ",AN71*Inputs!$B$53)</f>
        <v xml:space="preserve"> </v>
      </c>
      <c r="BJ71" s="32" t="str">
        <f>IF(AO71=" "," ",AO71*Inputs!$B$53)</f>
        <v xml:space="preserve"> </v>
      </c>
      <c r="BK71" s="32" t="str">
        <f>IF(AP71=" "," ",AP71*Inputs!$B$53)</f>
        <v xml:space="preserve"> </v>
      </c>
    </row>
    <row r="72" spans="2:108" x14ac:dyDescent="0.25">
      <c r="B72" s="589"/>
      <c r="C72" s="589"/>
      <c r="D72" s="589"/>
      <c r="E72" s="21"/>
      <c r="F72" s="152"/>
      <c r="G72" s="152"/>
      <c r="H72" s="152"/>
      <c r="I72" s="152"/>
      <c r="J72" s="152"/>
      <c r="K72" s="152"/>
      <c r="L72" s="152"/>
      <c r="M72" s="152"/>
      <c r="N72" s="152"/>
      <c r="O72" s="152"/>
      <c r="P72" s="152"/>
      <c r="Q72" s="152"/>
      <c r="R72" s="152"/>
      <c r="S72" s="152"/>
      <c r="T72" s="152"/>
      <c r="U72" s="152"/>
      <c r="W72" s="589"/>
      <c r="X72" s="589"/>
      <c r="Y72" s="27"/>
      <c r="Z72" s="27" t="s">
        <v>499</v>
      </c>
      <c r="AA72" s="32" t="str">
        <f>IF(F72=""," ",F72*Inputs!$B$39)</f>
        <v xml:space="preserve"> </v>
      </c>
      <c r="AB72" s="32" t="str">
        <f>IF(G72=""," ",G72*Inputs!$B$39)</f>
        <v xml:space="preserve"> </v>
      </c>
      <c r="AC72" s="32" t="str">
        <f>IF(H72=""," ",H72*Inputs!$B$39)</f>
        <v xml:space="preserve"> </v>
      </c>
      <c r="AD72" s="32" t="str">
        <f>IF(I72=""," ",I72*Inputs!$B$39)</f>
        <v xml:space="preserve"> </v>
      </c>
      <c r="AE72" s="32" t="str">
        <f>IF(J72=""," ",J72*Inputs!$B$39)</f>
        <v xml:space="preserve"> </v>
      </c>
      <c r="AF72" s="32" t="str">
        <f>IF(K72=""," ",K72*Inputs!$B$39)</f>
        <v xml:space="preserve"> </v>
      </c>
      <c r="AG72" s="32" t="str">
        <f>IF(L72=""," ",L72*Inputs!$B$39)</f>
        <v xml:space="preserve"> </v>
      </c>
      <c r="AH72" s="32" t="str">
        <f>IF(M72=""," ",M72*Inputs!$B$39)</f>
        <v xml:space="preserve"> </v>
      </c>
      <c r="AI72" s="32" t="str">
        <f>IF(N72=""," ",N72*Inputs!$B$39)</f>
        <v xml:space="preserve"> </v>
      </c>
      <c r="AJ72" s="32" t="str">
        <f>IF(O72=""," ",O72*Inputs!$B$39)</f>
        <v xml:space="preserve"> </v>
      </c>
      <c r="AK72" s="32" t="str">
        <f>IF(P72=""," ",P72*Inputs!$B$39)</f>
        <v xml:space="preserve"> </v>
      </c>
      <c r="AL72" s="32" t="str">
        <f>IF(Q72=""," ",Q72*Inputs!$B$39)</f>
        <v xml:space="preserve"> </v>
      </c>
      <c r="AM72" s="32" t="str">
        <f>IF(R72=""," ",R72*Inputs!$B$39)</f>
        <v xml:space="preserve"> </v>
      </c>
      <c r="AN72" s="32" t="str">
        <f>IF(S72=""," ",S72*Inputs!$B$39)</f>
        <v xml:space="preserve"> </v>
      </c>
      <c r="AO72" s="32" t="str">
        <f>IF(T72=""," ",T72*Inputs!$B$39)</f>
        <v xml:space="preserve"> </v>
      </c>
      <c r="AP72" s="32" t="str">
        <f>IF(U72=""," ",U72*Inputs!$B$39)</f>
        <v xml:space="preserve"> </v>
      </c>
      <c r="AR72" s="589"/>
      <c r="AS72" s="589"/>
      <c r="AT72" s="27"/>
      <c r="AU72" s="27" t="s">
        <v>499</v>
      </c>
      <c r="AV72" s="32" t="str">
        <f>IF(AA72=" "," ",AA72*Inputs!$B$53)</f>
        <v xml:space="preserve"> </v>
      </c>
      <c r="AW72" s="32" t="str">
        <f>IF(AB72=" "," ",AB72*Inputs!$B$53)</f>
        <v xml:space="preserve"> </v>
      </c>
      <c r="AX72" s="32" t="str">
        <f>IF(AC72=" "," ",AC72*Inputs!$B$53)</f>
        <v xml:space="preserve"> </v>
      </c>
      <c r="AY72" s="32" t="str">
        <f>IF(AD72=" "," ",AD72*Inputs!$B$53)</f>
        <v xml:space="preserve"> </v>
      </c>
      <c r="AZ72" s="32" t="str">
        <f>IF(AE72=" "," ",AE72*Inputs!$B$53)</f>
        <v xml:space="preserve"> </v>
      </c>
      <c r="BA72" s="32" t="str">
        <f>IF(AF72=" "," ",AF72*Inputs!$B$53)</f>
        <v xml:space="preserve"> </v>
      </c>
      <c r="BB72" s="32" t="str">
        <f>IF(AG72=" "," ",AG72*Inputs!$B$53)</f>
        <v xml:space="preserve"> </v>
      </c>
      <c r="BC72" s="32" t="str">
        <f>IF(AH72=" "," ",AH72*Inputs!$B$53)</f>
        <v xml:space="preserve"> </v>
      </c>
      <c r="BD72" s="32" t="str">
        <f>IF(AI72=" "," ",AI72*Inputs!$B$53)</f>
        <v xml:space="preserve"> </v>
      </c>
      <c r="BE72" s="32" t="str">
        <f>IF(AJ72=" "," ",AJ72*Inputs!$B$53)</f>
        <v xml:space="preserve"> </v>
      </c>
      <c r="BF72" s="32" t="str">
        <f>IF(AK72=" "," ",AK72*Inputs!$B$53)</f>
        <v xml:space="preserve"> </v>
      </c>
      <c r="BG72" s="32" t="str">
        <f>IF(AL72=" "," ",AL72*Inputs!$B$53)</f>
        <v xml:space="preserve"> </v>
      </c>
      <c r="BH72" s="32" t="str">
        <f>IF(AM72=" "," ",AM72*Inputs!$B$53)</f>
        <v xml:space="preserve"> </v>
      </c>
      <c r="BI72" s="32" t="str">
        <f>IF(AN72=" "," ",AN72*Inputs!$B$53)</f>
        <v xml:space="preserve"> </v>
      </c>
      <c r="BJ72" s="32" t="str">
        <f>IF(AO72=" "," ",AO72*Inputs!$B$53)</f>
        <v xml:space="preserve"> </v>
      </c>
      <c r="BK72" s="32" t="str">
        <f>IF(AP72=" "," ",AP72*Inputs!$B$53)</f>
        <v xml:space="preserve"> </v>
      </c>
    </row>
    <row r="73" spans="2:108" x14ac:dyDescent="0.25">
      <c r="B73" s="589"/>
      <c r="C73" s="589"/>
      <c r="D73" s="589"/>
      <c r="E73" s="21"/>
      <c r="F73" s="152"/>
      <c r="G73" s="152"/>
      <c r="H73" s="152"/>
      <c r="I73" s="152"/>
      <c r="J73" s="152"/>
      <c r="K73" s="152"/>
      <c r="L73" s="152"/>
      <c r="M73" s="152"/>
      <c r="N73" s="152"/>
      <c r="O73" s="152"/>
      <c r="P73" s="152"/>
      <c r="Q73" s="152"/>
      <c r="R73" s="152"/>
      <c r="S73" s="152"/>
      <c r="T73" s="152"/>
      <c r="U73" s="152"/>
      <c r="W73" s="589"/>
      <c r="X73" s="589"/>
      <c r="Y73" s="27"/>
      <c r="Z73" s="27" t="s">
        <v>500</v>
      </c>
      <c r="AA73" s="32" t="str">
        <f>IF(F73=""," ",F73*Inputs!$B$39)</f>
        <v xml:space="preserve"> </v>
      </c>
      <c r="AB73" s="32" t="str">
        <f>IF(G73=""," ",G73*Inputs!$B$39)</f>
        <v xml:space="preserve"> </v>
      </c>
      <c r="AC73" s="32" t="str">
        <f>IF(H73=""," ",H73*Inputs!$B$39)</f>
        <v xml:space="preserve"> </v>
      </c>
      <c r="AD73" s="32" t="str">
        <f>IF(I73=""," ",I73*Inputs!$B$39)</f>
        <v xml:space="preserve"> </v>
      </c>
      <c r="AE73" s="32" t="str">
        <f>IF(J73=""," ",J73*Inputs!$B$39)</f>
        <v xml:space="preserve"> </v>
      </c>
      <c r="AF73" s="32" t="str">
        <f>IF(K73=""," ",K73*Inputs!$B$39)</f>
        <v xml:space="preserve"> </v>
      </c>
      <c r="AG73" s="32" t="str">
        <f>IF(L73=""," ",L73*Inputs!$B$39)</f>
        <v xml:space="preserve"> </v>
      </c>
      <c r="AH73" s="32" t="str">
        <f>IF(M73=""," ",M73*Inputs!$B$39)</f>
        <v xml:space="preserve"> </v>
      </c>
      <c r="AI73" s="32" t="str">
        <f>IF(N73=""," ",N73*Inputs!$B$39)</f>
        <v xml:space="preserve"> </v>
      </c>
      <c r="AJ73" s="32" t="str">
        <f>IF(O73=""," ",O73*Inputs!$B$39)</f>
        <v xml:space="preserve"> </v>
      </c>
      <c r="AK73" s="32" t="str">
        <f>IF(P73=""," ",P73*Inputs!$B$39)</f>
        <v xml:space="preserve"> </v>
      </c>
      <c r="AL73" s="32" t="str">
        <f>IF(Q73=""," ",Q73*Inputs!$B$39)</f>
        <v xml:space="preserve"> </v>
      </c>
      <c r="AM73" s="32" t="str">
        <f>IF(R73=""," ",R73*Inputs!$B$39)</f>
        <v xml:space="preserve"> </v>
      </c>
      <c r="AN73" s="32" t="str">
        <f>IF(S73=""," ",S73*Inputs!$B$39)</f>
        <v xml:space="preserve"> </v>
      </c>
      <c r="AO73" s="32" t="str">
        <f>IF(T73=""," ",T73*Inputs!$B$39)</f>
        <v xml:space="preserve"> </v>
      </c>
      <c r="AP73" s="32" t="str">
        <f>IF(U73=""," ",U73*Inputs!$B$39)</f>
        <v xml:space="preserve"> </v>
      </c>
      <c r="AR73" s="589"/>
      <c r="AS73" s="589"/>
      <c r="AT73" s="27"/>
      <c r="AU73" s="27" t="s">
        <v>500</v>
      </c>
      <c r="AV73" s="32" t="str">
        <f>IF(AA73=" "," ",AA73*Inputs!$B$53)</f>
        <v xml:space="preserve"> </v>
      </c>
      <c r="AW73" s="32" t="str">
        <f>IF(AB73=" "," ",AB73*Inputs!$B$53)</f>
        <v xml:space="preserve"> </v>
      </c>
      <c r="AX73" s="32" t="str">
        <f>IF(AC73=" "," ",AC73*Inputs!$B$53)</f>
        <v xml:space="preserve"> </v>
      </c>
      <c r="AY73" s="32" t="str">
        <f>IF(AD73=" "," ",AD73*Inputs!$B$53)</f>
        <v xml:space="preserve"> </v>
      </c>
      <c r="AZ73" s="32" t="str">
        <f>IF(AE73=" "," ",AE73*Inputs!$B$53)</f>
        <v xml:space="preserve"> </v>
      </c>
      <c r="BA73" s="32" t="str">
        <f>IF(AF73=" "," ",AF73*Inputs!$B$53)</f>
        <v xml:space="preserve"> </v>
      </c>
      <c r="BB73" s="32" t="str">
        <f>IF(AG73=" "," ",AG73*Inputs!$B$53)</f>
        <v xml:space="preserve"> </v>
      </c>
      <c r="BC73" s="32" t="str">
        <f>IF(AH73=" "," ",AH73*Inputs!$B$53)</f>
        <v xml:space="preserve"> </v>
      </c>
      <c r="BD73" s="32" t="str">
        <f>IF(AI73=" "," ",AI73*Inputs!$B$53)</f>
        <v xml:space="preserve"> </v>
      </c>
      <c r="BE73" s="32" t="str">
        <f>IF(AJ73=" "," ",AJ73*Inputs!$B$53)</f>
        <v xml:space="preserve"> </v>
      </c>
      <c r="BF73" s="32" t="str">
        <f>IF(AK73=" "," ",AK73*Inputs!$B$53)</f>
        <v xml:space="preserve"> </v>
      </c>
      <c r="BG73" s="32" t="str">
        <f>IF(AL73=" "," ",AL73*Inputs!$B$53)</f>
        <v xml:space="preserve"> </v>
      </c>
      <c r="BH73" s="32" t="str">
        <f>IF(AM73=" "," ",AM73*Inputs!$B$53)</f>
        <v xml:space="preserve"> </v>
      </c>
      <c r="BI73" s="32" t="str">
        <f>IF(AN73=" "," ",AN73*Inputs!$B$53)</f>
        <v xml:space="preserve"> </v>
      </c>
      <c r="BJ73" s="32" t="str">
        <f>IF(AO73=" "," ",AO73*Inputs!$B$53)</f>
        <v xml:space="preserve"> </v>
      </c>
      <c r="BK73" s="32" t="str">
        <f>IF(AP73=" "," ",AP73*Inputs!$B$53)</f>
        <v xml:space="preserve"> </v>
      </c>
    </row>
    <row r="74" spans="2:108" x14ac:dyDescent="0.25">
      <c r="B74" s="589"/>
      <c r="C74" s="589"/>
      <c r="D74" s="591"/>
      <c r="E74" s="149"/>
      <c r="F74" s="153"/>
      <c r="G74" s="153"/>
      <c r="H74" s="153"/>
      <c r="I74" s="153"/>
      <c r="J74" s="153"/>
      <c r="K74" s="153"/>
      <c r="L74" s="153"/>
      <c r="M74" s="153"/>
      <c r="N74" s="153"/>
      <c r="O74" s="153"/>
      <c r="P74" s="153"/>
      <c r="Q74" s="153"/>
      <c r="R74" s="153"/>
      <c r="S74" s="153"/>
      <c r="T74" s="153"/>
      <c r="U74" s="153"/>
      <c r="W74" s="589"/>
      <c r="X74" s="589"/>
      <c r="Y74" s="29"/>
      <c r="Z74" s="29" t="s">
        <v>501</v>
      </c>
      <c r="AA74" s="32" t="str">
        <f>IF(F74=""," ",F74*Inputs!$B$39)</f>
        <v xml:space="preserve"> </v>
      </c>
      <c r="AB74" s="32" t="str">
        <f>IF(G74=""," ",G74*Inputs!$B$39)</f>
        <v xml:space="preserve"> </v>
      </c>
      <c r="AC74" s="32" t="str">
        <f>IF(H74=""," ",H74*Inputs!$B$39)</f>
        <v xml:space="preserve"> </v>
      </c>
      <c r="AD74" s="32" t="str">
        <f>IF(I74=""," ",I74*Inputs!$B$39)</f>
        <v xml:space="preserve"> </v>
      </c>
      <c r="AE74" s="32" t="str">
        <f>IF(J74=""," ",J74*Inputs!$B$39)</f>
        <v xml:space="preserve"> </v>
      </c>
      <c r="AF74" s="32" t="str">
        <f>IF(K74=""," ",K74*Inputs!$B$39)</f>
        <v xml:space="preserve"> </v>
      </c>
      <c r="AG74" s="32" t="str">
        <f>IF(L74=""," ",L74*Inputs!$B$39)</f>
        <v xml:space="preserve"> </v>
      </c>
      <c r="AH74" s="32" t="str">
        <f>IF(M74=""," ",M74*Inputs!$B$39)</f>
        <v xml:space="preserve"> </v>
      </c>
      <c r="AI74" s="32" t="str">
        <f>IF(N74=""," ",N74*Inputs!$B$39)</f>
        <v xml:space="preserve"> </v>
      </c>
      <c r="AJ74" s="32" t="str">
        <f>IF(O74=""," ",O74*Inputs!$B$39)</f>
        <v xml:space="preserve"> </v>
      </c>
      <c r="AK74" s="32" t="str">
        <f>IF(P74=""," ",P74*Inputs!$B$39)</f>
        <v xml:space="preserve"> </v>
      </c>
      <c r="AL74" s="32" t="str">
        <f>IF(Q74=""," ",Q74*Inputs!$B$39)</f>
        <v xml:space="preserve"> </v>
      </c>
      <c r="AM74" s="32" t="str">
        <f>IF(R74=""," ",R74*Inputs!$B$39)</f>
        <v xml:space="preserve"> </v>
      </c>
      <c r="AN74" s="32" t="str">
        <f>IF(S74=""," ",S74*Inputs!$B$39)</f>
        <v xml:space="preserve"> </v>
      </c>
      <c r="AO74" s="32" t="str">
        <f>IF(T74=""," ",T74*Inputs!$B$39)</f>
        <v xml:space="preserve"> </v>
      </c>
      <c r="AP74" s="32" t="str">
        <f>IF(U74=""," ",U74*Inputs!$B$39)</f>
        <v xml:space="preserve"> </v>
      </c>
      <c r="AR74" s="589"/>
      <c r="AS74" s="589"/>
      <c r="AT74" s="29"/>
      <c r="AU74" s="29" t="s">
        <v>501</v>
      </c>
      <c r="AV74" s="32" t="str">
        <f>IF(AA74=" "," ",AA74*Inputs!$B$53)</f>
        <v xml:space="preserve"> </v>
      </c>
      <c r="AW74" s="32" t="str">
        <f>IF(AB74=" "," ",AB74*Inputs!$B$53)</f>
        <v xml:space="preserve"> </v>
      </c>
      <c r="AX74" s="32" t="str">
        <f>IF(AC74=" "," ",AC74*Inputs!$B$53)</f>
        <v xml:space="preserve"> </v>
      </c>
      <c r="AY74" s="32" t="str">
        <f>IF(AD74=" "," ",AD74*Inputs!$B$53)</f>
        <v xml:space="preserve"> </v>
      </c>
      <c r="AZ74" s="32" t="str">
        <f>IF(AE74=" "," ",AE74*Inputs!$B$53)</f>
        <v xml:space="preserve"> </v>
      </c>
      <c r="BA74" s="32" t="str">
        <f>IF(AF74=" "," ",AF74*Inputs!$B$53)</f>
        <v xml:space="preserve"> </v>
      </c>
      <c r="BB74" s="32" t="str">
        <f>IF(AG74=" "," ",AG74*Inputs!$B$53)</f>
        <v xml:space="preserve"> </v>
      </c>
      <c r="BC74" s="32" t="str">
        <f>IF(AH74=" "," ",AH74*Inputs!$B$53)</f>
        <v xml:space="preserve"> </v>
      </c>
      <c r="BD74" s="32" t="str">
        <f>IF(AI74=" "," ",AI74*Inputs!$B$53)</f>
        <v xml:space="preserve"> </v>
      </c>
      <c r="BE74" s="32" t="str">
        <f>IF(AJ74=" "," ",AJ74*Inputs!$B$53)</f>
        <v xml:space="preserve"> </v>
      </c>
      <c r="BF74" s="32" t="str">
        <f>IF(AK74=" "," ",AK74*Inputs!$B$53)</f>
        <v xml:space="preserve"> </v>
      </c>
      <c r="BG74" s="32" t="str">
        <f>IF(AL74=" "," ",AL74*Inputs!$B$53)</f>
        <v xml:space="preserve"> </v>
      </c>
      <c r="BH74" s="32" t="str">
        <f>IF(AM74=" "," ",AM74*Inputs!$B$53)</f>
        <v xml:space="preserve"> </v>
      </c>
      <c r="BI74" s="32" t="str">
        <f>IF(AN74=" "," ",AN74*Inputs!$B$53)</f>
        <v xml:space="preserve"> </v>
      </c>
      <c r="BJ74" s="32" t="str">
        <f>IF(AO74=" "," ",AO74*Inputs!$B$53)</f>
        <v xml:space="preserve"> </v>
      </c>
      <c r="BK74" s="32" t="str">
        <f>IF(AP74=" "," ",AP74*Inputs!$B$53)</f>
        <v xml:space="preserve"> </v>
      </c>
    </row>
    <row r="75" spans="2:108" x14ac:dyDescent="0.25">
      <c r="B75" s="630"/>
      <c r="C75" s="589"/>
      <c r="D75" s="595"/>
      <c r="E75" s="21"/>
      <c r="F75" s="152"/>
      <c r="G75" s="152"/>
      <c r="H75" s="152"/>
      <c r="I75" s="152"/>
      <c r="J75" s="152"/>
      <c r="K75" s="152"/>
      <c r="L75" s="152"/>
      <c r="M75" s="152"/>
      <c r="N75" s="152"/>
      <c r="O75" s="152"/>
      <c r="P75" s="152"/>
      <c r="Q75" s="152"/>
      <c r="R75" s="152"/>
      <c r="S75" s="152"/>
      <c r="T75" s="152"/>
      <c r="U75" s="152"/>
      <c r="W75" s="630"/>
      <c r="X75" s="589"/>
      <c r="Y75" s="24">
        <v>0.15157290378795851</v>
      </c>
      <c r="Z75" s="24" t="s">
        <v>498</v>
      </c>
      <c r="AA75" s="32" t="str">
        <f>IF(F75=""," ",F75*Inputs!$B$39)</f>
        <v xml:space="preserve"> </v>
      </c>
      <c r="AB75" s="32" t="str">
        <f>IF(G75=""," ",G75*Inputs!$B$39)</f>
        <v xml:space="preserve"> </v>
      </c>
      <c r="AC75" s="32" t="str">
        <f>IF(H75=""," ",H75*Inputs!$B$39)</f>
        <v xml:space="preserve"> </v>
      </c>
      <c r="AD75" s="32" t="str">
        <f>IF(I75=""," ",I75*Inputs!$B$39)</f>
        <v xml:space="preserve"> </v>
      </c>
      <c r="AE75" s="32" t="str">
        <f>IF(J75=""," ",J75*Inputs!$B$39)</f>
        <v xml:space="preserve"> </v>
      </c>
      <c r="AF75" s="32" t="str">
        <f>IF(K75=""," ",K75*Inputs!$B$39)</f>
        <v xml:space="preserve"> </v>
      </c>
      <c r="AG75" s="32" t="str">
        <f>IF(L75=""," ",L75*Inputs!$B$39)</f>
        <v xml:space="preserve"> </v>
      </c>
      <c r="AH75" s="32" t="str">
        <f>IF(M75=""," ",M75*Inputs!$B$39)</f>
        <v xml:space="preserve"> </v>
      </c>
      <c r="AI75" s="32" t="str">
        <f>IF(N75=""," ",N75*Inputs!$B$39)</f>
        <v xml:space="preserve"> </v>
      </c>
      <c r="AJ75" s="32" t="str">
        <f>IF(O75=""," ",O75*Inputs!$B$39)</f>
        <v xml:space="preserve"> </v>
      </c>
      <c r="AK75" s="32" t="str">
        <f>IF(P75=""," ",P75*Inputs!$B$39)</f>
        <v xml:space="preserve"> </v>
      </c>
      <c r="AL75" s="32" t="str">
        <f>IF(Q75=""," ",Q75*Inputs!$B$39)</f>
        <v xml:space="preserve"> </v>
      </c>
      <c r="AM75" s="32" t="str">
        <f>IF(R75=""," ",R75*Inputs!$B$39)</f>
        <v xml:space="preserve"> </v>
      </c>
      <c r="AN75" s="32" t="str">
        <f>IF(S75=""," ",S75*Inputs!$B$39)</f>
        <v xml:space="preserve"> </v>
      </c>
      <c r="AO75" s="32" t="str">
        <f>IF(T75=""," ",T75*Inputs!$B$39)</f>
        <v xml:space="preserve"> </v>
      </c>
      <c r="AP75" s="32" t="str">
        <f>IF(U75=""," ",U75*Inputs!$B$39)</f>
        <v xml:space="preserve"> </v>
      </c>
      <c r="AR75" s="630"/>
      <c r="AS75" s="589"/>
      <c r="AT75" s="24">
        <v>0.15157290378795851</v>
      </c>
      <c r="AU75" s="24" t="s">
        <v>498</v>
      </c>
      <c r="AV75" s="32" t="str">
        <f>IF(AA75=" "," ",AA75*Inputs!$B$53)</f>
        <v xml:space="preserve"> </v>
      </c>
      <c r="AW75" s="32" t="str">
        <f>IF(AB75=" "," ",AB75*Inputs!$B$53)</f>
        <v xml:space="preserve"> </v>
      </c>
      <c r="AX75" s="32" t="str">
        <f>IF(AC75=" "," ",AC75*Inputs!$B$53)</f>
        <v xml:space="preserve"> </v>
      </c>
      <c r="AY75" s="32" t="str">
        <f>IF(AD75=" "," ",AD75*Inputs!$B$53)</f>
        <v xml:space="preserve"> </v>
      </c>
      <c r="AZ75" s="32" t="str">
        <f>IF(AE75=" "," ",AE75*Inputs!$B$53)</f>
        <v xml:space="preserve"> </v>
      </c>
      <c r="BA75" s="32" t="str">
        <f>IF(AF75=" "," ",AF75*Inputs!$B$53)</f>
        <v xml:space="preserve"> </v>
      </c>
      <c r="BB75" s="32" t="str">
        <f>IF(AG75=" "," ",AG75*Inputs!$B$53)</f>
        <v xml:space="preserve"> </v>
      </c>
      <c r="BC75" s="32" t="str">
        <f>IF(AH75=" "," ",AH75*Inputs!$B$53)</f>
        <v xml:space="preserve"> </v>
      </c>
      <c r="BD75" s="32" t="str">
        <f>IF(AI75=" "," ",AI75*Inputs!$B$53)</f>
        <v xml:space="preserve"> </v>
      </c>
      <c r="BE75" s="32" t="str">
        <f>IF(AJ75=" "," ",AJ75*Inputs!$B$53)</f>
        <v xml:space="preserve"> </v>
      </c>
      <c r="BF75" s="32" t="str">
        <f>IF(AK75=" "," ",AK75*Inputs!$B$53)</f>
        <v xml:space="preserve"> </v>
      </c>
      <c r="BG75" s="32" t="str">
        <f>IF(AL75=" "," ",AL75*Inputs!$B$53)</f>
        <v xml:space="preserve"> </v>
      </c>
      <c r="BH75" s="32" t="str">
        <f>IF(AM75=" "," ",AM75*Inputs!$B$53)</f>
        <v xml:space="preserve"> </v>
      </c>
      <c r="BI75" s="32" t="str">
        <f>IF(AN75=" "," ",AN75*Inputs!$B$53)</f>
        <v xml:space="preserve"> </v>
      </c>
      <c r="BJ75" s="32" t="str">
        <f>IF(AO75=" "," ",AO75*Inputs!$B$53)</f>
        <v xml:space="preserve"> </v>
      </c>
      <c r="BK75" s="32" t="str">
        <f>IF(AP75=" "," ",AP75*Inputs!$B$53)</f>
        <v xml:space="preserve"> </v>
      </c>
    </row>
    <row r="76" spans="2:108" x14ac:dyDescent="0.25">
      <c r="B76" s="589"/>
      <c r="C76" s="589"/>
      <c r="D76" s="589"/>
      <c r="E76" s="21"/>
      <c r="F76" s="152"/>
      <c r="G76" s="152"/>
      <c r="H76" s="152"/>
      <c r="I76" s="152"/>
      <c r="J76" s="152"/>
      <c r="K76" s="152"/>
      <c r="L76" s="152"/>
      <c r="M76" s="152"/>
      <c r="N76" s="152"/>
      <c r="O76" s="152"/>
      <c r="P76" s="152"/>
      <c r="Q76" s="152"/>
      <c r="R76" s="152"/>
      <c r="S76" s="152"/>
      <c r="T76" s="152"/>
      <c r="U76" s="152"/>
      <c r="W76" s="589"/>
      <c r="X76" s="589"/>
      <c r="Y76" s="27"/>
      <c r="Z76" s="27" t="s">
        <v>499</v>
      </c>
      <c r="AA76" s="32" t="str">
        <f>IF(F76=""," ",F76*Inputs!$B$39)</f>
        <v xml:space="preserve"> </v>
      </c>
      <c r="AB76" s="32" t="str">
        <f>IF(G76=""," ",G76*Inputs!$B$39)</f>
        <v xml:space="preserve"> </v>
      </c>
      <c r="AC76" s="32" t="str">
        <f>IF(H76=""," ",H76*Inputs!$B$39)</f>
        <v xml:space="preserve"> </v>
      </c>
      <c r="AD76" s="32" t="str">
        <f>IF(I76=""," ",I76*Inputs!$B$39)</f>
        <v xml:space="preserve"> </v>
      </c>
      <c r="AE76" s="32" t="str">
        <f>IF(J76=""," ",J76*Inputs!$B$39)</f>
        <v xml:space="preserve"> </v>
      </c>
      <c r="AF76" s="32" t="str">
        <f>IF(K76=""," ",K76*Inputs!$B$39)</f>
        <v xml:space="preserve"> </v>
      </c>
      <c r="AG76" s="32" t="str">
        <f>IF(L76=""," ",L76*Inputs!$B$39)</f>
        <v xml:space="preserve"> </v>
      </c>
      <c r="AH76" s="32" t="str">
        <f>IF(M76=""," ",M76*Inputs!$B$39)</f>
        <v xml:space="preserve"> </v>
      </c>
      <c r="AI76" s="32" t="str">
        <f>IF(N76=""," ",N76*Inputs!$B$39)</f>
        <v xml:space="preserve"> </v>
      </c>
      <c r="AJ76" s="32" t="str">
        <f>IF(O76=""," ",O76*Inputs!$B$39)</f>
        <v xml:space="preserve"> </v>
      </c>
      <c r="AK76" s="32" t="str">
        <f>IF(P76=""," ",P76*Inputs!$B$39)</f>
        <v xml:space="preserve"> </v>
      </c>
      <c r="AL76" s="32" t="str">
        <f>IF(Q76=""," ",Q76*Inputs!$B$39)</f>
        <v xml:space="preserve"> </v>
      </c>
      <c r="AM76" s="32" t="str">
        <f>IF(R76=""," ",R76*Inputs!$B$39)</f>
        <v xml:space="preserve"> </v>
      </c>
      <c r="AN76" s="32" t="str">
        <f>IF(S76=""," ",S76*Inputs!$B$39)</f>
        <v xml:space="preserve"> </v>
      </c>
      <c r="AO76" s="32" t="str">
        <f>IF(T76=""," ",T76*Inputs!$B$39)</f>
        <v xml:space="preserve"> </v>
      </c>
      <c r="AP76" s="32" t="str">
        <f>IF(U76=""," ",U76*Inputs!$B$39)</f>
        <v xml:space="preserve"> </v>
      </c>
      <c r="AR76" s="589"/>
      <c r="AS76" s="589"/>
      <c r="AT76" s="27"/>
      <c r="AU76" s="27" t="s">
        <v>499</v>
      </c>
      <c r="AV76" s="32" t="str">
        <f>IF(AA76=" "," ",AA76*Inputs!$B$53)</f>
        <v xml:space="preserve"> </v>
      </c>
      <c r="AW76" s="32" t="str">
        <f>IF(AB76=" "," ",AB76*Inputs!$B$53)</f>
        <v xml:space="preserve"> </v>
      </c>
      <c r="AX76" s="32" t="str">
        <f>IF(AC76=" "," ",AC76*Inputs!$B$53)</f>
        <v xml:space="preserve"> </v>
      </c>
      <c r="AY76" s="32" t="str">
        <f>IF(AD76=" "," ",AD76*Inputs!$B$53)</f>
        <v xml:space="preserve"> </v>
      </c>
      <c r="AZ76" s="32" t="str">
        <f>IF(AE76=" "," ",AE76*Inputs!$B$53)</f>
        <v xml:space="preserve"> </v>
      </c>
      <c r="BA76" s="32" t="str">
        <f>IF(AF76=" "," ",AF76*Inputs!$B$53)</f>
        <v xml:space="preserve"> </v>
      </c>
      <c r="BB76" s="32" t="str">
        <f>IF(AG76=" "," ",AG76*Inputs!$B$53)</f>
        <v xml:space="preserve"> </v>
      </c>
      <c r="BC76" s="32" t="str">
        <f>IF(AH76=" "," ",AH76*Inputs!$B$53)</f>
        <v xml:space="preserve"> </v>
      </c>
      <c r="BD76" s="32" t="str">
        <f>IF(AI76=" "," ",AI76*Inputs!$B$53)</f>
        <v xml:space="preserve"> </v>
      </c>
      <c r="BE76" s="32" t="str">
        <f>IF(AJ76=" "," ",AJ76*Inputs!$B$53)</f>
        <v xml:space="preserve"> </v>
      </c>
      <c r="BF76" s="32" t="str">
        <f>IF(AK76=" "," ",AK76*Inputs!$B$53)</f>
        <v xml:space="preserve"> </v>
      </c>
      <c r="BG76" s="32" t="str">
        <f>IF(AL76=" "," ",AL76*Inputs!$B$53)</f>
        <v xml:space="preserve"> </v>
      </c>
      <c r="BH76" s="32" t="str">
        <f>IF(AM76=" "," ",AM76*Inputs!$B$53)</f>
        <v xml:space="preserve"> </v>
      </c>
      <c r="BI76" s="32" t="str">
        <f>IF(AN76=" "," ",AN76*Inputs!$B$53)</f>
        <v xml:space="preserve"> </v>
      </c>
      <c r="BJ76" s="32" t="str">
        <f>IF(AO76=" "," ",AO76*Inputs!$B$53)</f>
        <v xml:space="preserve"> </v>
      </c>
      <c r="BK76" s="32" t="str">
        <f>IF(AP76=" "," ",AP76*Inputs!$B$53)</f>
        <v xml:space="preserve"> </v>
      </c>
    </row>
    <row r="77" spans="2:108" x14ac:dyDescent="0.25">
      <c r="B77" s="589"/>
      <c r="C77" s="589"/>
      <c r="D77" s="589"/>
      <c r="E77" s="21"/>
      <c r="F77" s="152"/>
      <c r="G77" s="152"/>
      <c r="H77" s="152"/>
      <c r="I77" s="152"/>
      <c r="J77" s="152"/>
      <c r="K77" s="152"/>
      <c r="L77" s="152"/>
      <c r="M77" s="152"/>
      <c r="N77" s="152"/>
      <c r="O77" s="152"/>
      <c r="P77" s="152"/>
      <c r="Q77" s="152"/>
      <c r="R77" s="152"/>
      <c r="S77" s="152"/>
      <c r="T77" s="152"/>
      <c r="U77" s="152"/>
      <c r="W77" s="589"/>
      <c r="X77" s="589"/>
      <c r="Y77" s="27"/>
      <c r="Z77" s="27" t="s">
        <v>500</v>
      </c>
      <c r="AA77" s="32" t="str">
        <f>IF(F77=""," ",F77*Inputs!$B$39)</f>
        <v xml:space="preserve"> </v>
      </c>
      <c r="AB77" s="32" t="str">
        <f>IF(G77=""," ",G77*Inputs!$B$39)</f>
        <v xml:space="preserve"> </v>
      </c>
      <c r="AC77" s="32" t="str">
        <f>IF(H77=""," ",H77*Inputs!$B$39)</f>
        <v xml:space="preserve"> </v>
      </c>
      <c r="AD77" s="32" t="str">
        <f>IF(I77=""," ",I77*Inputs!$B$39)</f>
        <v xml:space="preserve"> </v>
      </c>
      <c r="AE77" s="32" t="str">
        <f>IF(J77=""," ",J77*Inputs!$B$39)</f>
        <v xml:space="preserve"> </v>
      </c>
      <c r="AF77" s="32" t="str">
        <f>IF(K77=""," ",K77*Inputs!$B$39)</f>
        <v xml:space="preserve"> </v>
      </c>
      <c r="AG77" s="32" t="str">
        <f>IF(L77=""," ",L77*Inputs!$B$39)</f>
        <v xml:space="preserve"> </v>
      </c>
      <c r="AH77" s="32" t="str">
        <f>IF(M77=""," ",M77*Inputs!$B$39)</f>
        <v xml:space="preserve"> </v>
      </c>
      <c r="AI77" s="32" t="str">
        <f>IF(N77=""," ",N77*Inputs!$B$39)</f>
        <v xml:space="preserve"> </v>
      </c>
      <c r="AJ77" s="32" t="str">
        <f>IF(O77=""," ",O77*Inputs!$B$39)</f>
        <v xml:space="preserve"> </v>
      </c>
      <c r="AK77" s="32" t="str">
        <f>IF(P77=""," ",P77*Inputs!$B$39)</f>
        <v xml:space="preserve"> </v>
      </c>
      <c r="AL77" s="32" t="str">
        <f>IF(Q77=""," ",Q77*Inputs!$B$39)</f>
        <v xml:space="preserve"> </v>
      </c>
      <c r="AM77" s="32" t="str">
        <f>IF(R77=""," ",R77*Inputs!$B$39)</f>
        <v xml:space="preserve"> </v>
      </c>
      <c r="AN77" s="32" t="str">
        <f>IF(S77=""," ",S77*Inputs!$B$39)</f>
        <v xml:space="preserve"> </v>
      </c>
      <c r="AO77" s="32" t="str">
        <f>IF(T77=""," ",T77*Inputs!$B$39)</f>
        <v xml:space="preserve"> </v>
      </c>
      <c r="AP77" s="32" t="str">
        <f>IF(U77=""," ",U77*Inputs!$B$39)</f>
        <v xml:space="preserve"> </v>
      </c>
      <c r="AR77" s="589"/>
      <c r="AS77" s="589"/>
      <c r="AT77" s="27"/>
      <c r="AU77" s="27" t="s">
        <v>500</v>
      </c>
      <c r="AV77" s="32" t="str">
        <f>IF(AA77=" "," ",AA77*Inputs!$B$53)</f>
        <v xml:space="preserve"> </v>
      </c>
      <c r="AW77" s="32" t="str">
        <f>IF(AB77=" "," ",AB77*Inputs!$B$53)</f>
        <v xml:space="preserve"> </v>
      </c>
      <c r="AX77" s="32" t="str">
        <f>IF(AC77=" "," ",AC77*Inputs!$B$53)</f>
        <v xml:space="preserve"> </v>
      </c>
      <c r="AY77" s="32" t="str">
        <f>IF(AD77=" "," ",AD77*Inputs!$B$53)</f>
        <v xml:space="preserve"> </v>
      </c>
      <c r="AZ77" s="32" t="str">
        <f>IF(AE77=" "," ",AE77*Inputs!$B$53)</f>
        <v xml:space="preserve"> </v>
      </c>
      <c r="BA77" s="32" t="str">
        <f>IF(AF77=" "," ",AF77*Inputs!$B$53)</f>
        <v xml:space="preserve"> </v>
      </c>
      <c r="BB77" s="32" t="str">
        <f>IF(AG77=" "," ",AG77*Inputs!$B$53)</f>
        <v xml:space="preserve"> </v>
      </c>
      <c r="BC77" s="32" t="str">
        <f>IF(AH77=" "," ",AH77*Inputs!$B$53)</f>
        <v xml:space="preserve"> </v>
      </c>
      <c r="BD77" s="32" t="str">
        <f>IF(AI77=" "," ",AI77*Inputs!$B$53)</f>
        <v xml:space="preserve"> </v>
      </c>
      <c r="BE77" s="32" t="str">
        <f>IF(AJ77=" "," ",AJ77*Inputs!$B$53)</f>
        <v xml:space="preserve"> </v>
      </c>
      <c r="BF77" s="32" t="str">
        <f>IF(AK77=" "," ",AK77*Inputs!$B$53)</f>
        <v xml:space="preserve"> </v>
      </c>
      <c r="BG77" s="32" t="str">
        <f>IF(AL77=" "," ",AL77*Inputs!$B$53)</f>
        <v xml:space="preserve"> </v>
      </c>
      <c r="BH77" s="32" t="str">
        <f>IF(AM77=" "," ",AM77*Inputs!$B$53)</f>
        <v xml:space="preserve"> </v>
      </c>
      <c r="BI77" s="32" t="str">
        <f>IF(AN77=" "," ",AN77*Inputs!$B$53)</f>
        <v xml:space="preserve"> </v>
      </c>
      <c r="BJ77" s="32" t="str">
        <f>IF(AO77=" "," ",AO77*Inputs!$B$53)</f>
        <v xml:space="preserve"> </v>
      </c>
      <c r="BK77" s="32" t="str">
        <f>IF(AP77=" "," ",AP77*Inputs!$B$53)</f>
        <v xml:space="preserve"> </v>
      </c>
    </row>
    <row r="78" spans="2:108" x14ac:dyDescent="0.25">
      <c r="B78" s="589"/>
      <c r="C78" s="589"/>
      <c r="D78" s="591"/>
      <c r="E78" s="149"/>
      <c r="F78" s="153"/>
      <c r="G78" s="153"/>
      <c r="H78" s="153"/>
      <c r="I78" s="153"/>
      <c r="J78" s="153"/>
      <c r="K78" s="153"/>
      <c r="L78" s="153"/>
      <c r="M78" s="153"/>
      <c r="N78" s="153"/>
      <c r="O78" s="153"/>
      <c r="P78" s="153"/>
      <c r="Q78" s="153"/>
      <c r="R78" s="153"/>
      <c r="S78" s="153"/>
      <c r="T78" s="153"/>
      <c r="U78" s="153"/>
      <c r="W78" s="589"/>
      <c r="X78" s="589"/>
      <c r="Y78" s="29"/>
      <c r="Z78" s="29" t="s">
        <v>501</v>
      </c>
      <c r="AA78" s="32" t="str">
        <f>IF(F78=""," ",F78*Inputs!$B$39)</f>
        <v xml:space="preserve"> </v>
      </c>
      <c r="AB78" s="32" t="str">
        <f>IF(G78=""," ",G78*Inputs!$B$39)</f>
        <v xml:space="preserve"> </v>
      </c>
      <c r="AC78" s="32" t="str">
        <f>IF(H78=""," ",H78*Inputs!$B$39)</f>
        <v xml:space="preserve"> </v>
      </c>
      <c r="AD78" s="32" t="str">
        <f>IF(I78=""," ",I78*Inputs!$B$39)</f>
        <v xml:space="preserve"> </v>
      </c>
      <c r="AE78" s="32" t="str">
        <f>IF(J78=""," ",J78*Inputs!$B$39)</f>
        <v xml:space="preserve"> </v>
      </c>
      <c r="AF78" s="32" t="str">
        <f>IF(K78=""," ",K78*Inputs!$B$39)</f>
        <v xml:space="preserve"> </v>
      </c>
      <c r="AG78" s="32" t="str">
        <f>IF(L78=""," ",L78*Inputs!$B$39)</f>
        <v xml:space="preserve"> </v>
      </c>
      <c r="AH78" s="32" t="str">
        <f>IF(M78=""," ",M78*Inputs!$B$39)</f>
        <v xml:space="preserve"> </v>
      </c>
      <c r="AI78" s="32" t="str">
        <f>IF(N78=""," ",N78*Inputs!$B$39)</f>
        <v xml:space="preserve"> </v>
      </c>
      <c r="AJ78" s="32" t="str">
        <f>IF(O78=""," ",O78*Inputs!$B$39)</f>
        <v xml:space="preserve"> </v>
      </c>
      <c r="AK78" s="32" t="str">
        <f>IF(P78=""," ",P78*Inputs!$B$39)</f>
        <v xml:space="preserve"> </v>
      </c>
      <c r="AL78" s="32" t="str">
        <f>IF(Q78=""," ",Q78*Inputs!$B$39)</f>
        <v xml:space="preserve"> </v>
      </c>
      <c r="AM78" s="32" t="str">
        <f>IF(R78=""," ",R78*Inputs!$B$39)</f>
        <v xml:space="preserve"> </v>
      </c>
      <c r="AN78" s="32" t="str">
        <f>IF(S78=""," ",S78*Inputs!$B$39)</f>
        <v xml:space="preserve"> </v>
      </c>
      <c r="AO78" s="32" t="str">
        <f>IF(T78=""," ",T78*Inputs!$B$39)</f>
        <v xml:space="preserve"> </v>
      </c>
      <c r="AP78" s="32" t="str">
        <f>IF(U78=""," ",U78*Inputs!$B$39)</f>
        <v xml:space="preserve"> </v>
      </c>
      <c r="AR78" s="589"/>
      <c r="AS78" s="589"/>
      <c r="AT78" s="29"/>
      <c r="AU78" s="29" t="s">
        <v>501</v>
      </c>
      <c r="AV78" s="32" t="str">
        <f>IF(AA78=" "," ",AA78*Inputs!$B$53)</f>
        <v xml:space="preserve"> </v>
      </c>
      <c r="AW78" s="32" t="str">
        <f>IF(AB78=" "," ",AB78*Inputs!$B$53)</f>
        <v xml:space="preserve"> </v>
      </c>
      <c r="AX78" s="32" t="str">
        <f>IF(AC78=" "," ",AC78*Inputs!$B$53)</f>
        <v xml:space="preserve"> </v>
      </c>
      <c r="AY78" s="32" t="str">
        <f>IF(AD78=" "," ",AD78*Inputs!$B$53)</f>
        <v xml:space="preserve"> </v>
      </c>
      <c r="AZ78" s="32" t="str">
        <f>IF(AE78=" "," ",AE78*Inputs!$B$53)</f>
        <v xml:space="preserve"> </v>
      </c>
      <c r="BA78" s="32" t="str">
        <f>IF(AF78=" "," ",AF78*Inputs!$B$53)</f>
        <v xml:space="preserve"> </v>
      </c>
      <c r="BB78" s="32" t="str">
        <f>IF(AG78=" "," ",AG78*Inputs!$B$53)</f>
        <v xml:space="preserve"> </v>
      </c>
      <c r="BC78" s="32" t="str">
        <f>IF(AH78=" "," ",AH78*Inputs!$B$53)</f>
        <v xml:space="preserve"> </v>
      </c>
      <c r="BD78" s="32" t="str">
        <f>IF(AI78=" "," ",AI78*Inputs!$B$53)</f>
        <v xml:space="preserve"> </v>
      </c>
      <c r="BE78" s="32" t="str">
        <f>IF(AJ78=" "," ",AJ78*Inputs!$B$53)</f>
        <v xml:space="preserve"> </v>
      </c>
      <c r="BF78" s="32" t="str">
        <f>IF(AK78=" "," ",AK78*Inputs!$B$53)</f>
        <v xml:space="preserve"> </v>
      </c>
      <c r="BG78" s="32" t="str">
        <f>IF(AL78=" "," ",AL78*Inputs!$B$53)</f>
        <v xml:space="preserve"> </v>
      </c>
      <c r="BH78" s="32" t="str">
        <f>IF(AM78=" "," ",AM78*Inputs!$B$53)</f>
        <v xml:space="preserve"> </v>
      </c>
      <c r="BI78" s="32" t="str">
        <f>IF(AN78=" "," ",AN78*Inputs!$B$53)</f>
        <v xml:space="preserve"> </v>
      </c>
      <c r="BJ78" s="32" t="str">
        <f>IF(AO78=" "," ",AO78*Inputs!$B$53)</f>
        <v xml:space="preserve"> </v>
      </c>
      <c r="BK78" s="32" t="str">
        <f>IF(AP78=" "," ",AP78*Inputs!$B$53)</f>
        <v xml:space="preserve"> </v>
      </c>
    </row>
    <row r="79" spans="2:108" x14ac:dyDescent="0.25">
      <c r="B79" s="626"/>
      <c r="C79" s="589"/>
      <c r="D79" s="595"/>
      <c r="E79" s="21"/>
      <c r="F79" s="152"/>
      <c r="G79" s="152"/>
      <c r="H79" s="152"/>
      <c r="I79" s="152"/>
      <c r="J79" s="152"/>
      <c r="K79" s="152"/>
      <c r="L79" s="152"/>
      <c r="M79" s="152"/>
      <c r="N79" s="152"/>
      <c r="O79" s="152"/>
      <c r="P79" s="152"/>
      <c r="Q79" s="152"/>
      <c r="R79" s="152"/>
      <c r="S79" s="152"/>
      <c r="T79" s="152"/>
      <c r="U79" s="152"/>
      <c r="W79" s="626"/>
      <c r="X79" s="589"/>
      <c r="Y79" s="24">
        <v>5.3090657375044772E-2</v>
      </c>
      <c r="Z79" s="24" t="s">
        <v>498</v>
      </c>
      <c r="AA79" s="32" t="str">
        <f>IF(F79=""," ",F79*Inputs!$B$39)</f>
        <v xml:space="preserve"> </v>
      </c>
      <c r="AB79" s="32" t="str">
        <f>IF(G79=""," ",G79*Inputs!$B$39)</f>
        <v xml:space="preserve"> </v>
      </c>
      <c r="AC79" s="32" t="str">
        <f>IF(H79=""," ",H79*Inputs!$B$39)</f>
        <v xml:space="preserve"> </v>
      </c>
      <c r="AD79" s="32" t="str">
        <f>IF(I79=""," ",I79*Inputs!$B$39)</f>
        <v xml:space="preserve"> </v>
      </c>
      <c r="AE79" s="32" t="str">
        <f>IF(J79=""," ",J79*Inputs!$B$39)</f>
        <v xml:space="preserve"> </v>
      </c>
      <c r="AF79" s="32" t="str">
        <f>IF(K79=""," ",K79*Inputs!$B$39)</f>
        <v xml:space="preserve"> </v>
      </c>
      <c r="AG79" s="32" t="str">
        <f>IF(L79=""," ",L79*Inputs!$B$39)</f>
        <v xml:space="preserve"> </v>
      </c>
      <c r="AH79" s="32" t="str">
        <f>IF(M79=""," ",M79*Inputs!$B$39)</f>
        <v xml:space="preserve"> </v>
      </c>
      <c r="AI79" s="32" t="str">
        <f>IF(N79=""," ",N79*Inputs!$B$39)</f>
        <v xml:space="preserve"> </v>
      </c>
      <c r="AJ79" s="32" t="str">
        <f>IF(O79=""," ",O79*Inputs!$B$39)</f>
        <v xml:space="preserve"> </v>
      </c>
      <c r="AK79" s="32" t="str">
        <f>IF(P79=""," ",P79*Inputs!$B$39)</f>
        <v xml:space="preserve"> </v>
      </c>
      <c r="AL79" s="32" t="str">
        <f>IF(Q79=""," ",Q79*Inputs!$B$39)</f>
        <v xml:space="preserve"> </v>
      </c>
      <c r="AM79" s="32" t="str">
        <f>IF(R79=""," ",R79*Inputs!$B$39)</f>
        <v xml:space="preserve"> </v>
      </c>
      <c r="AN79" s="32" t="str">
        <f>IF(S79=""," ",S79*Inputs!$B$39)</f>
        <v xml:space="preserve"> </v>
      </c>
      <c r="AO79" s="32" t="str">
        <f>IF(T79=""," ",T79*Inputs!$B$39)</f>
        <v xml:space="preserve"> </v>
      </c>
      <c r="AP79" s="32" t="str">
        <f>IF(U79=""," ",U79*Inputs!$B$39)</f>
        <v xml:space="preserve"> </v>
      </c>
      <c r="AR79" s="626"/>
      <c r="AS79" s="589"/>
      <c r="AT79" s="24">
        <v>5.3090657375044772E-2</v>
      </c>
      <c r="AU79" s="24" t="s">
        <v>498</v>
      </c>
      <c r="AV79" s="32" t="str">
        <f>IF(AA79=" "," ",AA79*Inputs!$B$53)</f>
        <v xml:space="preserve"> </v>
      </c>
      <c r="AW79" s="32" t="str">
        <f>IF(AB79=" "," ",AB79*Inputs!$B$53)</f>
        <v xml:space="preserve"> </v>
      </c>
      <c r="AX79" s="32" t="str">
        <f>IF(AC79=" "," ",AC79*Inputs!$B$53)</f>
        <v xml:space="preserve"> </v>
      </c>
      <c r="AY79" s="32" t="str">
        <f>IF(AD79=" "," ",AD79*Inputs!$B$53)</f>
        <v xml:space="preserve"> </v>
      </c>
      <c r="AZ79" s="32" t="str">
        <f>IF(AE79=" "," ",AE79*Inputs!$B$53)</f>
        <v xml:space="preserve"> </v>
      </c>
      <c r="BA79" s="32" t="str">
        <f>IF(AF79=" "," ",AF79*Inputs!$B$53)</f>
        <v xml:space="preserve"> </v>
      </c>
      <c r="BB79" s="32" t="str">
        <f>IF(AG79=" "," ",AG79*Inputs!$B$53)</f>
        <v xml:space="preserve"> </v>
      </c>
      <c r="BC79" s="32" t="str">
        <f>IF(AH79=" "," ",AH79*Inputs!$B$53)</f>
        <v xml:space="preserve"> </v>
      </c>
      <c r="BD79" s="32" t="str">
        <f>IF(AI79=" "," ",AI79*Inputs!$B$53)</f>
        <v xml:space="preserve"> </v>
      </c>
      <c r="BE79" s="32" t="str">
        <f>IF(AJ79=" "," ",AJ79*Inputs!$B$53)</f>
        <v xml:space="preserve"> </v>
      </c>
      <c r="BF79" s="32" t="str">
        <f>IF(AK79=" "," ",AK79*Inputs!$B$53)</f>
        <v xml:space="preserve"> </v>
      </c>
      <c r="BG79" s="32" t="str">
        <f>IF(AL79=" "," ",AL79*Inputs!$B$53)</f>
        <v xml:space="preserve"> </v>
      </c>
      <c r="BH79" s="32" t="str">
        <f>IF(AM79=" "," ",AM79*Inputs!$B$53)</f>
        <v xml:space="preserve"> </v>
      </c>
      <c r="BI79" s="32" t="str">
        <f>IF(AN79=" "," ",AN79*Inputs!$B$53)</f>
        <v xml:space="preserve"> </v>
      </c>
      <c r="BJ79" s="32" t="str">
        <f>IF(AO79=" "," ",AO79*Inputs!$B$53)</f>
        <v xml:space="preserve"> </v>
      </c>
      <c r="BK79" s="32" t="str">
        <f>IF(AP79=" "," ",AP79*Inputs!$B$53)</f>
        <v xml:space="preserve"> </v>
      </c>
    </row>
    <row r="80" spans="2:108" x14ac:dyDescent="0.25">
      <c r="B80" s="589"/>
      <c r="C80" s="589"/>
      <c r="D80" s="589"/>
      <c r="E80" s="21"/>
      <c r="F80" s="152"/>
      <c r="G80" s="152"/>
      <c r="H80" s="152"/>
      <c r="I80" s="152"/>
      <c r="J80" s="152"/>
      <c r="K80" s="152"/>
      <c r="L80" s="152"/>
      <c r="M80" s="152"/>
      <c r="N80" s="152"/>
      <c r="O80" s="152"/>
      <c r="P80" s="152"/>
      <c r="Q80" s="152"/>
      <c r="R80" s="152"/>
      <c r="S80" s="152"/>
      <c r="T80" s="152"/>
      <c r="U80" s="152"/>
      <c r="W80" s="589"/>
      <c r="X80" s="589"/>
      <c r="Y80" s="27"/>
      <c r="Z80" s="27" t="s">
        <v>499</v>
      </c>
      <c r="AA80" s="32" t="str">
        <f>IF(F80=""," ",F80*Inputs!$B$39)</f>
        <v xml:space="preserve"> </v>
      </c>
      <c r="AB80" s="32" t="str">
        <f>IF(G80=""," ",G80*Inputs!$B$39)</f>
        <v xml:space="preserve"> </v>
      </c>
      <c r="AC80" s="32" t="str">
        <f>IF(H80=""," ",H80*Inputs!$B$39)</f>
        <v xml:space="preserve"> </v>
      </c>
      <c r="AD80" s="32" t="str">
        <f>IF(I80=""," ",I80*Inputs!$B$39)</f>
        <v xml:space="preserve"> </v>
      </c>
      <c r="AE80" s="32" t="str">
        <f>IF(J80=""," ",J80*Inputs!$B$39)</f>
        <v xml:space="preserve"> </v>
      </c>
      <c r="AF80" s="32" t="str">
        <f>IF(K80=""," ",K80*Inputs!$B$39)</f>
        <v xml:space="preserve"> </v>
      </c>
      <c r="AG80" s="32" t="str">
        <f>IF(L80=""," ",L80*Inputs!$B$39)</f>
        <v xml:space="preserve"> </v>
      </c>
      <c r="AH80" s="32" t="str">
        <f>IF(M80=""," ",M80*Inputs!$B$39)</f>
        <v xml:space="preserve"> </v>
      </c>
      <c r="AI80" s="32" t="str">
        <f>IF(N80=""," ",N80*Inputs!$B$39)</f>
        <v xml:space="preserve"> </v>
      </c>
      <c r="AJ80" s="32" t="str">
        <f>IF(O80=""," ",O80*Inputs!$B$39)</f>
        <v xml:space="preserve"> </v>
      </c>
      <c r="AK80" s="32" t="str">
        <f>IF(P80=""," ",P80*Inputs!$B$39)</f>
        <v xml:space="preserve"> </v>
      </c>
      <c r="AL80" s="32" t="str">
        <f>IF(Q80=""," ",Q80*Inputs!$B$39)</f>
        <v xml:space="preserve"> </v>
      </c>
      <c r="AM80" s="32" t="str">
        <f>IF(R80=""," ",R80*Inputs!$B$39)</f>
        <v xml:space="preserve"> </v>
      </c>
      <c r="AN80" s="32" t="str">
        <f>IF(S80=""," ",S80*Inputs!$B$39)</f>
        <v xml:space="preserve"> </v>
      </c>
      <c r="AO80" s="32" t="str">
        <f>IF(T80=""," ",T80*Inputs!$B$39)</f>
        <v xml:space="preserve"> </v>
      </c>
      <c r="AP80" s="32" t="str">
        <f>IF(U80=""," ",U80*Inputs!$B$39)</f>
        <v xml:space="preserve"> </v>
      </c>
      <c r="AR80" s="589"/>
      <c r="AS80" s="589"/>
      <c r="AT80" s="27"/>
      <c r="AU80" s="27" t="s">
        <v>499</v>
      </c>
      <c r="AV80" s="32" t="str">
        <f>IF(AA80=" "," ",AA80*Inputs!$B$53)</f>
        <v xml:space="preserve"> </v>
      </c>
      <c r="AW80" s="32" t="str">
        <f>IF(AB80=" "," ",AB80*Inputs!$B$53)</f>
        <v xml:space="preserve"> </v>
      </c>
      <c r="AX80" s="32" t="str">
        <f>IF(AC80=" "," ",AC80*Inputs!$B$53)</f>
        <v xml:space="preserve"> </v>
      </c>
      <c r="AY80" s="32" t="str">
        <f>IF(AD80=" "," ",AD80*Inputs!$B$53)</f>
        <v xml:space="preserve"> </v>
      </c>
      <c r="AZ80" s="32" t="str">
        <f>IF(AE80=" "," ",AE80*Inputs!$B$53)</f>
        <v xml:space="preserve"> </v>
      </c>
      <c r="BA80" s="32" t="str">
        <f>IF(AF80=" "," ",AF80*Inputs!$B$53)</f>
        <v xml:space="preserve"> </v>
      </c>
      <c r="BB80" s="32" t="str">
        <f>IF(AG80=" "," ",AG80*Inputs!$B$53)</f>
        <v xml:space="preserve"> </v>
      </c>
      <c r="BC80" s="32" t="str">
        <f>IF(AH80=" "," ",AH80*Inputs!$B$53)</f>
        <v xml:space="preserve"> </v>
      </c>
      <c r="BD80" s="32" t="str">
        <f>IF(AI80=" "," ",AI80*Inputs!$B$53)</f>
        <v xml:space="preserve"> </v>
      </c>
      <c r="BE80" s="32" t="str">
        <f>IF(AJ80=" "," ",AJ80*Inputs!$B$53)</f>
        <v xml:space="preserve"> </v>
      </c>
      <c r="BF80" s="32" t="str">
        <f>IF(AK80=" "," ",AK80*Inputs!$B$53)</f>
        <v xml:space="preserve"> </v>
      </c>
      <c r="BG80" s="32" t="str">
        <f>IF(AL80=" "," ",AL80*Inputs!$B$53)</f>
        <v xml:space="preserve"> </v>
      </c>
      <c r="BH80" s="32" t="str">
        <f>IF(AM80=" "," ",AM80*Inputs!$B$53)</f>
        <v xml:space="preserve"> </v>
      </c>
      <c r="BI80" s="32" t="str">
        <f>IF(AN80=" "," ",AN80*Inputs!$B$53)</f>
        <v xml:space="preserve"> </v>
      </c>
      <c r="BJ80" s="32" t="str">
        <f>IF(AO80=" "," ",AO80*Inputs!$B$53)</f>
        <v xml:space="preserve"> </v>
      </c>
      <c r="BK80" s="32" t="str">
        <f>IF(AP80=" "," ",AP80*Inputs!$B$53)</f>
        <v xml:space="preserve"> </v>
      </c>
    </row>
    <row r="81" spans="2:63" x14ac:dyDescent="0.25">
      <c r="B81" s="589"/>
      <c r="C81" s="589"/>
      <c r="D81" s="589"/>
      <c r="E81" s="21"/>
      <c r="F81" s="152"/>
      <c r="G81" s="152"/>
      <c r="H81" s="152"/>
      <c r="I81" s="152"/>
      <c r="J81" s="152"/>
      <c r="K81" s="152"/>
      <c r="L81" s="152"/>
      <c r="M81" s="152"/>
      <c r="N81" s="152"/>
      <c r="O81" s="152"/>
      <c r="P81" s="152"/>
      <c r="Q81" s="152"/>
      <c r="R81" s="152"/>
      <c r="S81" s="152"/>
      <c r="T81" s="152"/>
      <c r="U81" s="152"/>
      <c r="W81" s="589"/>
      <c r="X81" s="589"/>
      <c r="Y81" s="27"/>
      <c r="Z81" s="27" t="s">
        <v>500</v>
      </c>
      <c r="AA81" s="32" t="str">
        <f>IF(F81=""," ",F81*Inputs!$B$39)</f>
        <v xml:space="preserve"> </v>
      </c>
      <c r="AB81" s="32" t="str">
        <f>IF(G81=""," ",G81*Inputs!$B$39)</f>
        <v xml:space="preserve"> </v>
      </c>
      <c r="AC81" s="32" t="str">
        <f>IF(H81=""," ",H81*Inputs!$B$39)</f>
        <v xml:space="preserve"> </v>
      </c>
      <c r="AD81" s="32" t="str">
        <f>IF(I81=""," ",I81*Inputs!$B$39)</f>
        <v xml:space="preserve"> </v>
      </c>
      <c r="AE81" s="32" t="str">
        <f>IF(J81=""," ",J81*Inputs!$B$39)</f>
        <v xml:space="preserve"> </v>
      </c>
      <c r="AF81" s="32" t="str">
        <f>IF(K81=""," ",K81*Inputs!$B$39)</f>
        <v xml:space="preserve"> </v>
      </c>
      <c r="AG81" s="32" t="str">
        <f>IF(L81=""," ",L81*Inputs!$B$39)</f>
        <v xml:space="preserve"> </v>
      </c>
      <c r="AH81" s="32" t="str">
        <f>IF(M81=""," ",M81*Inputs!$B$39)</f>
        <v xml:space="preserve"> </v>
      </c>
      <c r="AI81" s="32" t="str">
        <f>IF(N81=""," ",N81*Inputs!$B$39)</f>
        <v xml:space="preserve"> </v>
      </c>
      <c r="AJ81" s="32" t="str">
        <f>IF(O81=""," ",O81*Inputs!$B$39)</f>
        <v xml:space="preserve"> </v>
      </c>
      <c r="AK81" s="32" t="str">
        <f>IF(P81=""," ",P81*Inputs!$B$39)</f>
        <v xml:space="preserve"> </v>
      </c>
      <c r="AL81" s="32" t="str">
        <f>IF(Q81=""," ",Q81*Inputs!$B$39)</f>
        <v xml:space="preserve"> </v>
      </c>
      <c r="AM81" s="32" t="str">
        <f>IF(R81=""," ",R81*Inputs!$B$39)</f>
        <v xml:space="preserve"> </v>
      </c>
      <c r="AN81" s="32" t="str">
        <f>IF(S81=""," ",S81*Inputs!$B$39)</f>
        <v xml:space="preserve"> </v>
      </c>
      <c r="AO81" s="32" t="str">
        <f>IF(T81=""," ",T81*Inputs!$B$39)</f>
        <v xml:space="preserve"> </v>
      </c>
      <c r="AP81" s="32" t="str">
        <f>IF(U81=""," ",U81*Inputs!$B$39)</f>
        <v xml:space="preserve"> </v>
      </c>
      <c r="AR81" s="589"/>
      <c r="AS81" s="589"/>
      <c r="AT81" s="27"/>
      <c r="AU81" s="27" t="s">
        <v>500</v>
      </c>
      <c r="AV81" s="32" t="str">
        <f>IF(AA81=" "," ",AA81*Inputs!$B$53)</f>
        <v xml:space="preserve"> </v>
      </c>
      <c r="AW81" s="32" t="str">
        <f>IF(AB81=" "," ",AB81*Inputs!$B$53)</f>
        <v xml:space="preserve"> </v>
      </c>
      <c r="AX81" s="32" t="str">
        <f>IF(AC81=" "," ",AC81*Inputs!$B$53)</f>
        <v xml:space="preserve"> </v>
      </c>
      <c r="AY81" s="32" t="str">
        <f>IF(AD81=" "," ",AD81*Inputs!$B$53)</f>
        <v xml:space="preserve"> </v>
      </c>
      <c r="AZ81" s="32" t="str">
        <f>IF(AE81=" "," ",AE81*Inputs!$B$53)</f>
        <v xml:space="preserve"> </v>
      </c>
      <c r="BA81" s="32" t="str">
        <f>IF(AF81=" "," ",AF81*Inputs!$B$53)</f>
        <v xml:space="preserve"> </v>
      </c>
      <c r="BB81" s="32" t="str">
        <f>IF(AG81=" "," ",AG81*Inputs!$B$53)</f>
        <v xml:space="preserve"> </v>
      </c>
      <c r="BC81" s="32" t="str">
        <f>IF(AH81=" "," ",AH81*Inputs!$B$53)</f>
        <v xml:space="preserve"> </v>
      </c>
      <c r="BD81" s="32" t="str">
        <f>IF(AI81=" "," ",AI81*Inputs!$B$53)</f>
        <v xml:space="preserve"> </v>
      </c>
      <c r="BE81" s="32" t="str">
        <f>IF(AJ81=" "," ",AJ81*Inputs!$B$53)</f>
        <v xml:space="preserve"> </v>
      </c>
      <c r="BF81" s="32" t="str">
        <f>IF(AK81=" "," ",AK81*Inputs!$B$53)</f>
        <v xml:space="preserve"> </v>
      </c>
      <c r="BG81" s="32" t="str">
        <f>IF(AL81=" "," ",AL81*Inputs!$B$53)</f>
        <v xml:space="preserve"> </v>
      </c>
      <c r="BH81" s="32" t="str">
        <f>IF(AM81=" "," ",AM81*Inputs!$B$53)</f>
        <v xml:space="preserve"> </v>
      </c>
      <c r="BI81" s="32" t="str">
        <f>IF(AN81=" "," ",AN81*Inputs!$B$53)</f>
        <v xml:space="preserve"> </v>
      </c>
      <c r="BJ81" s="32" t="str">
        <f>IF(AO81=" "," ",AO81*Inputs!$B$53)</f>
        <v xml:space="preserve"> </v>
      </c>
      <c r="BK81" s="32" t="str">
        <f>IF(AP81=" "," ",AP81*Inputs!$B$53)</f>
        <v xml:space="preserve"> </v>
      </c>
    </row>
    <row r="82" spans="2:63" x14ac:dyDescent="0.25">
      <c r="B82" s="589"/>
      <c r="C82" s="589"/>
      <c r="D82" s="591"/>
      <c r="E82" s="149"/>
      <c r="F82" s="153"/>
      <c r="G82" s="153"/>
      <c r="H82" s="153"/>
      <c r="I82" s="153"/>
      <c r="J82" s="153"/>
      <c r="K82" s="153"/>
      <c r="L82" s="153"/>
      <c r="M82" s="153"/>
      <c r="N82" s="153"/>
      <c r="O82" s="153"/>
      <c r="P82" s="153"/>
      <c r="Q82" s="153"/>
      <c r="R82" s="153"/>
      <c r="S82" s="153"/>
      <c r="T82" s="153"/>
      <c r="U82" s="153"/>
      <c r="W82" s="589"/>
      <c r="X82" s="589"/>
      <c r="Y82" s="29"/>
      <c r="Z82" s="29" t="s">
        <v>501</v>
      </c>
      <c r="AA82" s="32" t="str">
        <f>IF(F82=""," ",F82*Inputs!$B$39)</f>
        <v xml:space="preserve"> </v>
      </c>
      <c r="AB82" s="32" t="str">
        <f>IF(G82=""," ",G82*Inputs!$B$39)</f>
        <v xml:space="preserve"> </v>
      </c>
      <c r="AC82" s="32" t="str">
        <f>IF(H82=""," ",H82*Inputs!$B$39)</f>
        <v xml:space="preserve"> </v>
      </c>
      <c r="AD82" s="32" t="str">
        <f>IF(I82=""," ",I82*Inputs!$B$39)</f>
        <v xml:space="preserve"> </v>
      </c>
      <c r="AE82" s="32" t="str">
        <f>IF(J82=""," ",J82*Inputs!$B$39)</f>
        <v xml:space="preserve"> </v>
      </c>
      <c r="AF82" s="32" t="str">
        <f>IF(K82=""," ",K82*Inputs!$B$39)</f>
        <v xml:space="preserve"> </v>
      </c>
      <c r="AG82" s="32" t="str">
        <f>IF(L82=""," ",L82*Inputs!$B$39)</f>
        <v xml:space="preserve"> </v>
      </c>
      <c r="AH82" s="32" t="str">
        <f>IF(M82=""," ",M82*Inputs!$B$39)</f>
        <v xml:space="preserve"> </v>
      </c>
      <c r="AI82" s="32" t="str">
        <f>IF(N82=""," ",N82*Inputs!$B$39)</f>
        <v xml:space="preserve"> </v>
      </c>
      <c r="AJ82" s="32" t="str">
        <f>IF(O82=""," ",O82*Inputs!$B$39)</f>
        <v xml:space="preserve"> </v>
      </c>
      <c r="AK82" s="32" t="str">
        <f>IF(P82=""," ",P82*Inputs!$B$39)</f>
        <v xml:space="preserve"> </v>
      </c>
      <c r="AL82" s="32" t="str">
        <f>IF(Q82=""," ",Q82*Inputs!$B$39)</f>
        <v xml:space="preserve"> </v>
      </c>
      <c r="AM82" s="32" t="str">
        <f>IF(R82=""," ",R82*Inputs!$B$39)</f>
        <v xml:space="preserve"> </v>
      </c>
      <c r="AN82" s="32" t="str">
        <f>IF(S82=""," ",S82*Inputs!$B$39)</f>
        <v xml:space="preserve"> </v>
      </c>
      <c r="AO82" s="32" t="str">
        <f>IF(T82=""," ",T82*Inputs!$B$39)</f>
        <v xml:space="preserve"> </v>
      </c>
      <c r="AP82" s="32" t="str">
        <f>IF(U82=""," ",U82*Inputs!$B$39)</f>
        <v xml:space="preserve"> </v>
      </c>
      <c r="AR82" s="589"/>
      <c r="AS82" s="589"/>
      <c r="AT82" s="29"/>
      <c r="AU82" s="29" t="s">
        <v>501</v>
      </c>
      <c r="AV82" s="32" t="str">
        <f>IF(AA82=" "," ",AA82*Inputs!$B$53)</f>
        <v xml:space="preserve"> </v>
      </c>
      <c r="AW82" s="32" t="str">
        <f>IF(AB82=" "," ",AB82*Inputs!$B$53)</f>
        <v xml:space="preserve"> </v>
      </c>
      <c r="AX82" s="32" t="str">
        <f>IF(AC82=" "," ",AC82*Inputs!$B$53)</f>
        <v xml:space="preserve"> </v>
      </c>
      <c r="AY82" s="32" t="str">
        <f>IF(AD82=" "," ",AD82*Inputs!$B$53)</f>
        <v xml:space="preserve"> </v>
      </c>
      <c r="AZ82" s="32" t="str">
        <f>IF(AE82=" "," ",AE82*Inputs!$B$53)</f>
        <v xml:space="preserve"> </v>
      </c>
      <c r="BA82" s="32" t="str">
        <f>IF(AF82=" "," ",AF82*Inputs!$B$53)</f>
        <v xml:space="preserve"> </v>
      </c>
      <c r="BB82" s="32" t="str">
        <f>IF(AG82=" "," ",AG82*Inputs!$B$53)</f>
        <v xml:space="preserve"> </v>
      </c>
      <c r="BC82" s="32" t="str">
        <f>IF(AH82=" "," ",AH82*Inputs!$B$53)</f>
        <v xml:space="preserve"> </v>
      </c>
      <c r="BD82" s="32" t="str">
        <f>IF(AI82=" "," ",AI82*Inputs!$B$53)</f>
        <v xml:space="preserve"> </v>
      </c>
      <c r="BE82" s="32" t="str">
        <f>IF(AJ82=" "," ",AJ82*Inputs!$B$53)</f>
        <v xml:space="preserve"> </v>
      </c>
      <c r="BF82" s="32" t="str">
        <f>IF(AK82=" "," ",AK82*Inputs!$B$53)</f>
        <v xml:space="preserve"> </v>
      </c>
      <c r="BG82" s="32" t="str">
        <f>IF(AL82=" "," ",AL82*Inputs!$B$53)</f>
        <v xml:space="preserve"> </v>
      </c>
      <c r="BH82" s="32" t="str">
        <f>IF(AM82=" "," ",AM82*Inputs!$B$53)</f>
        <v xml:space="preserve"> </v>
      </c>
      <c r="BI82" s="32" t="str">
        <f>IF(AN82=" "," ",AN82*Inputs!$B$53)</f>
        <v xml:space="preserve"> </v>
      </c>
      <c r="BJ82" s="32" t="str">
        <f>IF(AO82=" "," ",AO82*Inputs!$B$53)</f>
        <v xml:space="preserve"> </v>
      </c>
      <c r="BK82" s="32" t="str">
        <f>IF(AP82=" "," ",AP82*Inputs!$B$53)</f>
        <v xml:space="preserve"> </v>
      </c>
    </row>
    <row r="83" spans="2:63" x14ac:dyDescent="0.25">
      <c r="B83" s="620"/>
      <c r="C83" s="589"/>
      <c r="D83" s="595"/>
      <c r="E83" s="21"/>
      <c r="F83" s="152"/>
      <c r="G83" s="152"/>
      <c r="H83" s="152"/>
      <c r="I83" s="152"/>
      <c r="J83" s="152"/>
      <c r="K83" s="152"/>
      <c r="L83" s="152"/>
      <c r="M83" s="152"/>
      <c r="N83" s="152"/>
      <c r="O83" s="152"/>
      <c r="P83" s="152"/>
      <c r="Q83" s="152"/>
      <c r="R83" s="152"/>
      <c r="S83" s="152"/>
      <c r="T83" s="152"/>
      <c r="U83" s="152"/>
      <c r="W83" s="620"/>
      <c r="X83" s="589"/>
      <c r="Y83" s="27">
        <v>6.2953456311754905E-2</v>
      </c>
      <c r="Z83" s="27" t="s">
        <v>498</v>
      </c>
      <c r="AA83" s="32" t="str">
        <f>IF(F83=""," ",F83*Inputs!$B$39)</f>
        <v xml:space="preserve"> </v>
      </c>
      <c r="AB83" s="32" t="str">
        <f>IF(G83=""," ",G83*Inputs!$B$39)</f>
        <v xml:space="preserve"> </v>
      </c>
      <c r="AC83" s="32" t="str">
        <f>IF(H83=""," ",H83*Inputs!$B$39)</f>
        <v xml:space="preserve"> </v>
      </c>
      <c r="AD83" s="32" t="str">
        <f>IF(I83=""," ",I83*Inputs!$B$39)</f>
        <v xml:space="preserve"> </v>
      </c>
      <c r="AE83" s="32" t="str">
        <f>IF(J83=""," ",J83*Inputs!$B$39)</f>
        <v xml:space="preserve"> </v>
      </c>
      <c r="AF83" s="32" t="str">
        <f>IF(K83=""," ",K83*Inputs!$B$39)</f>
        <v xml:space="preserve"> </v>
      </c>
      <c r="AG83" s="32" t="str">
        <f>IF(L83=""," ",L83*Inputs!$B$39)</f>
        <v xml:space="preserve"> </v>
      </c>
      <c r="AH83" s="32" t="str">
        <f>IF(M83=""," ",M83*Inputs!$B$39)</f>
        <v xml:space="preserve"> </v>
      </c>
      <c r="AI83" s="32" t="str">
        <f>IF(N83=""," ",N83*Inputs!$B$39)</f>
        <v xml:space="preserve"> </v>
      </c>
      <c r="AJ83" s="32" t="str">
        <f>IF(O83=""," ",O83*Inputs!$B$39)</f>
        <v xml:space="preserve"> </v>
      </c>
      <c r="AK83" s="32" t="str">
        <f>IF(P83=""," ",P83*Inputs!$B$39)</f>
        <v xml:space="preserve"> </v>
      </c>
      <c r="AL83" s="32" t="str">
        <f>IF(Q83=""," ",Q83*Inputs!$B$39)</f>
        <v xml:space="preserve"> </v>
      </c>
      <c r="AM83" s="32" t="str">
        <f>IF(R83=""," ",R83*Inputs!$B$39)</f>
        <v xml:space="preserve"> </v>
      </c>
      <c r="AN83" s="32" t="str">
        <f>IF(S83=""," ",S83*Inputs!$B$39)</f>
        <v xml:space="preserve"> </v>
      </c>
      <c r="AO83" s="32" t="str">
        <f>IF(T83=""," ",T83*Inputs!$B$39)</f>
        <v xml:space="preserve"> </v>
      </c>
      <c r="AP83" s="32" t="str">
        <f>IF(U83=""," ",U83*Inputs!$B$39)</f>
        <v xml:space="preserve"> </v>
      </c>
      <c r="AR83" s="620"/>
      <c r="AS83" s="589"/>
      <c r="AT83" s="27">
        <v>6.2953456311754905E-2</v>
      </c>
      <c r="AU83" s="27" t="s">
        <v>498</v>
      </c>
      <c r="AV83" s="32" t="str">
        <f>IF(AA83=" "," ",AA83*Inputs!$B$53)</f>
        <v xml:space="preserve"> </v>
      </c>
      <c r="AW83" s="32" t="str">
        <f>IF(AB83=" "," ",AB83*Inputs!$B$53)</f>
        <v xml:space="preserve"> </v>
      </c>
      <c r="AX83" s="32" t="str">
        <f>IF(AC83=" "," ",AC83*Inputs!$B$53)</f>
        <v xml:space="preserve"> </v>
      </c>
      <c r="AY83" s="32" t="str">
        <f>IF(AD83=" "," ",AD83*Inputs!$B$53)</f>
        <v xml:space="preserve"> </v>
      </c>
      <c r="AZ83" s="32" t="str">
        <f>IF(AE83=" "," ",AE83*Inputs!$B$53)</f>
        <v xml:space="preserve"> </v>
      </c>
      <c r="BA83" s="32" t="str">
        <f>IF(AF83=" "," ",AF83*Inputs!$B$53)</f>
        <v xml:space="preserve"> </v>
      </c>
      <c r="BB83" s="32" t="str">
        <f>IF(AG83=" "," ",AG83*Inputs!$B$53)</f>
        <v xml:space="preserve"> </v>
      </c>
      <c r="BC83" s="32" t="str">
        <f>IF(AH83=" "," ",AH83*Inputs!$B$53)</f>
        <v xml:space="preserve"> </v>
      </c>
      <c r="BD83" s="32" t="str">
        <f>IF(AI83=" "," ",AI83*Inputs!$B$53)</f>
        <v xml:space="preserve"> </v>
      </c>
      <c r="BE83" s="32" t="str">
        <f>IF(AJ83=" "," ",AJ83*Inputs!$B$53)</f>
        <v xml:space="preserve"> </v>
      </c>
      <c r="BF83" s="32" t="str">
        <f>IF(AK83=" "," ",AK83*Inputs!$B$53)</f>
        <v xml:space="preserve"> </v>
      </c>
      <c r="BG83" s="32" t="str">
        <f>IF(AL83=" "," ",AL83*Inputs!$B$53)</f>
        <v xml:space="preserve"> </v>
      </c>
      <c r="BH83" s="32" t="str">
        <f>IF(AM83=" "," ",AM83*Inputs!$B$53)</f>
        <v xml:space="preserve"> </v>
      </c>
      <c r="BI83" s="32" t="str">
        <f>IF(AN83=" "," ",AN83*Inputs!$B$53)</f>
        <v xml:space="preserve"> </v>
      </c>
      <c r="BJ83" s="32" t="str">
        <f>IF(AO83=" "," ",AO83*Inputs!$B$53)</f>
        <v xml:space="preserve"> </v>
      </c>
      <c r="BK83" s="32" t="str">
        <f>IF(AP83=" "," ",AP83*Inputs!$B$53)</f>
        <v xml:space="preserve"> </v>
      </c>
    </row>
    <row r="84" spans="2:63" x14ac:dyDescent="0.25">
      <c r="B84" s="589"/>
      <c r="C84" s="589"/>
      <c r="D84" s="589"/>
      <c r="E84" s="21"/>
      <c r="F84" s="152"/>
      <c r="G84" s="152"/>
      <c r="H84" s="152"/>
      <c r="I84" s="152"/>
      <c r="J84" s="152"/>
      <c r="K84" s="152"/>
      <c r="L84" s="152"/>
      <c r="M84" s="152"/>
      <c r="N84" s="152"/>
      <c r="O84" s="152"/>
      <c r="P84" s="152"/>
      <c r="Q84" s="152"/>
      <c r="R84" s="152"/>
      <c r="S84" s="152"/>
      <c r="T84" s="152"/>
      <c r="U84" s="152"/>
      <c r="W84" s="589"/>
      <c r="X84" s="589"/>
      <c r="Y84" s="27"/>
      <c r="Z84" s="27" t="s">
        <v>499</v>
      </c>
      <c r="AA84" s="32" t="str">
        <f>IF(F84=""," ",F84*Inputs!$B$39)</f>
        <v xml:space="preserve"> </v>
      </c>
      <c r="AB84" s="32" t="str">
        <f>IF(G84=""," ",G84*Inputs!$B$39)</f>
        <v xml:space="preserve"> </v>
      </c>
      <c r="AC84" s="32" t="str">
        <f>IF(H84=""," ",H84*Inputs!$B$39)</f>
        <v xml:space="preserve"> </v>
      </c>
      <c r="AD84" s="32" t="str">
        <f>IF(I84=""," ",I84*Inputs!$B$39)</f>
        <v xml:space="preserve"> </v>
      </c>
      <c r="AE84" s="32" t="str">
        <f>IF(J84=""," ",J84*Inputs!$B$39)</f>
        <v xml:space="preserve"> </v>
      </c>
      <c r="AF84" s="32" t="str">
        <f>IF(K84=""," ",K84*Inputs!$B$39)</f>
        <v xml:space="preserve"> </v>
      </c>
      <c r="AG84" s="32" t="str">
        <f>IF(L84=""," ",L84*Inputs!$B$39)</f>
        <v xml:space="preserve"> </v>
      </c>
      <c r="AH84" s="32" t="str">
        <f>IF(M84=""," ",M84*Inputs!$B$39)</f>
        <v xml:space="preserve"> </v>
      </c>
      <c r="AI84" s="32" t="str">
        <f>IF(N84=""," ",N84*Inputs!$B$39)</f>
        <v xml:space="preserve"> </v>
      </c>
      <c r="AJ84" s="32" t="str">
        <f>IF(O84=""," ",O84*Inputs!$B$39)</f>
        <v xml:space="preserve"> </v>
      </c>
      <c r="AK84" s="32" t="str">
        <f>IF(P84=""," ",P84*Inputs!$B$39)</f>
        <v xml:space="preserve"> </v>
      </c>
      <c r="AL84" s="32" t="str">
        <f>IF(Q84=""," ",Q84*Inputs!$B$39)</f>
        <v xml:space="preserve"> </v>
      </c>
      <c r="AM84" s="32" t="str">
        <f>IF(R84=""," ",R84*Inputs!$B$39)</f>
        <v xml:space="preserve"> </v>
      </c>
      <c r="AN84" s="32" t="str">
        <f>IF(S84=""," ",S84*Inputs!$B$39)</f>
        <v xml:space="preserve"> </v>
      </c>
      <c r="AO84" s="32" t="str">
        <f>IF(T84=""," ",T84*Inputs!$B$39)</f>
        <v xml:space="preserve"> </v>
      </c>
      <c r="AP84" s="32" t="str">
        <f>IF(U84=""," ",U84*Inputs!$B$39)</f>
        <v xml:space="preserve"> </v>
      </c>
      <c r="AR84" s="589"/>
      <c r="AS84" s="589"/>
      <c r="AT84" s="27"/>
      <c r="AU84" s="27" t="s">
        <v>499</v>
      </c>
      <c r="AV84" s="32" t="str">
        <f>IF(AA84=" "," ",AA84*Inputs!$B$53)</f>
        <v xml:space="preserve"> </v>
      </c>
      <c r="AW84" s="32" t="str">
        <f>IF(AB84=" "," ",AB84*Inputs!$B$53)</f>
        <v xml:space="preserve"> </v>
      </c>
      <c r="AX84" s="32" t="str">
        <f>IF(AC84=" "," ",AC84*Inputs!$B$53)</f>
        <v xml:space="preserve"> </v>
      </c>
      <c r="AY84" s="32" t="str">
        <f>IF(AD84=" "," ",AD84*Inputs!$B$53)</f>
        <v xml:space="preserve"> </v>
      </c>
      <c r="AZ84" s="32" t="str">
        <f>IF(AE84=" "," ",AE84*Inputs!$B$53)</f>
        <v xml:space="preserve"> </v>
      </c>
      <c r="BA84" s="32" t="str">
        <f>IF(AF84=" "," ",AF84*Inputs!$B$53)</f>
        <v xml:space="preserve"> </v>
      </c>
      <c r="BB84" s="32" t="str">
        <f>IF(AG84=" "," ",AG84*Inputs!$B$53)</f>
        <v xml:space="preserve"> </v>
      </c>
      <c r="BC84" s="32" t="str">
        <f>IF(AH84=" "," ",AH84*Inputs!$B$53)</f>
        <v xml:space="preserve"> </v>
      </c>
      <c r="BD84" s="32" t="str">
        <f>IF(AI84=" "," ",AI84*Inputs!$B$53)</f>
        <v xml:space="preserve"> </v>
      </c>
      <c r="BE84" s="32" t="str">
        <f>IF(AJ84=" "," ",AJ84*Inputs!$B$53)</f>
        <v xml:space="preserve"> </v>
      </c>
      <c r="BF84" s="32" t="str">
        <f>IF(AK84=" "," ",AK84*Inputs!$B$53)</f>
        <v xml:space="preserve"> </v>
      </c>
      <c r="BG84" s="32" t="str">
        <f>IF(AL84=" "," ",AL84*Inputs!$B$53)</f>
        <v xml:space="preserve"> </v>
      </c>
      <c r="BH84" s="32" t="str">
        <f>IF(AM84=" "," ",AM84*Inputs!$B$53)</f>
        <v xml:space="preserve"> </v>
      </c>
      <c r="BI84" s="32" t="str">
        <f>IF(AN84=" "," ",AN84*Inputs!$B$53)</f>
        <v xml:space="preserve"> </v>
      </c>
      <c r="BJ84" s="32" t="str">
        <f>IF(AO84=" "," ",AO84*Inputs!$B$53)</f>
        <v xml:space="preserve"> </v>
      </c>
      <c r="BK84" s="32" t="str">
        <f>IF(AP84=" "," ",AP84*Inputs!$B$53)</f>
        <v xml:space="preserve"> </v>
      </c>
    </row>
    <row r="85" spans="2:63" x14ac:dyDescent="0.25">
      <c r="B85" s="589"/>
      <c r="C85" s="589"/>
      <c r="D85" s="589"/>
      <c r="E85" s="21"/>
      <c r="F85" s="152"/>
      <c r="G85" s="152"/>
      <c r="H85" s="152"/>
      <c r="I85" s="152"/>
      <c r="J85" s="152"/>
      <c r="K85" s="152"/>
      <c r="L85" s="152"/>
      <c r="M85" s="152"/>
      <c r="N85" s="152"/>
      <c r="O85" s="152"/>
      <c r="P85" s="152"/>
      <c r="Q85" s="152"/>
      <c r="R85" s="152"/>
      <c r="S85" s="152"/>
      <c r="T85" s="152"/>
      <c r="U85" s="152"/>
      <c r="W85" s="589"/>
      <c r="X85" s="589"/>
      <c r="Y85" s="27"/>
      <c r="Z85" s="27" t="s">
        <v>500</v>
      </c>
      <c r="AA85" s="32" t="str">
        <f>IF(F85=""," ",F85*Inputs!$B$39)</f>
        <v xml:space="preserve"> </v>
      </c>
      <c r="AB85" s="32" t="str">
        <f>IF(G85=""," ",G85*Inputs!$B$39)</f>
        <v xml:space="preserve"> </v>
      </c>
      <c r="AC85" s="32" t="str">
        <f>IF(H85=""," ",H85*Inputs!$B$39)</f>
        <v xml:space="preserve"> </v>
      </c>
      <c r="AD85" s="32" t="str">
        <f>IF(I85=""," ",I85*Inputs!$B$39)</f>
        <v xml:space="preserve"> </v>
      </c>
      <c r="AE85" s="32" t="str">
        <f>IF(J85=""," ",J85*Inputs!$B$39)</f>
        <v xml:space="preserve"> </v>
      </c>
      <c r="AF85" s="32" t="str">
        <f>IF(K85=""," ",K85*Inputs!$B$39)</f>
        <v xml:space="preserve"> </v>
      </c>
      <c r="AG85" s="32" t="str">
        <f>IF(L85=""," ",L85*Inputs!$B$39)</f>
        <v xml:space="preserve"> </v>
      </c>
      <c r="AH85" s="32" t="str">
        <f>IF(M85=""," ",M85*Inputs!$B$39)</f>
        <v xml:space="preserve"> </v>
      </c>
      <c r="AI85" s="32" t="str">
        <f>IF(N85=""," ",N85*Inputs!$B$39)</f>
        <v xml:space="preserve"> </v>
      </c>
      <c r="AJ85" s="32" t="str">
        <f>IF(O85=""," ",O85*Inputs!$B$39)</f>
        <v xml:space="preserve"> </v>
      </c>
      <c r="AK85" s="32" t="str">
        <f>IF(P85=""," ",P85*Inputs!$B$39)</f>
        <v xml:space="preserve"> </v>
      </c>
      <c r="AL85" s="32" t="str">
        <f>IF(Q85=""," ",Q85*Inputs!$B$39)</f>
        <v xml:space="preserve"> </v>
      </c>
      <c r="AM85" s="32" t="str">
        <f>IF(R85=""," ",R85*Inputs!$B$39)</f>
        <v xml:space="preserve"> </v>
      </c>
      <c r="AN85" s="32" t="str">
        <f>IF(S85=""," ",S85*Inputs!$B$39)</f>
        <v xml:space="preserve"> </v>
      </c>
      <c r="AO85" s="32" t="str">
        <f>IF(T85=""," ",T85*Inputs!$B$39)</f>
        <v xml:space="preserve"> </v>
      </c>
      <c r="AP85" s="32" t="str">
        <f>IF(U85=""," ",U85*Inputs!$B$39)</f>
        <v xml:space="preserve"> </v>
      </c>
      <c r="AR85" s="589"/>
      <c r="AS85" s="589"/>
      <c r="AT85" s="27"/>
      <c r="AU85" s="27" t="s">
        <v>500</v>
      </c>
      <c r="AV85" s="32" t="str">
        <f>IF(AA85=" "," ",AA85*Inputs!$B$53)</f>
        <v xml:space="preserve"> </v>
      </c>
      <c r="AW85" s="32" t="str">
        <f>IF(AB85=" "," ",AB85*Inputs!$B$53)</f>
        <v xml:space="preserve"> </v>
      </c>
      <c r="AX85" s="32" t="str">
        <f>IF(AC85=" "," ",AC85*Inputs!$B$53)</f>
        <v xml:space="preserve"> </v>
      </c>
      <c r="AY85" s="32" t="str">
        <f>IF(AD85=" "," ",AD85*Inputs!$B$53)</f>
        <v xml:space="preserve"> </v>
      </c>
      <c r="AZ85" s="32" t="str">
        <f>IF(AE85=" "," ",AE85*Inputs!$B$53)</f>
        <v xml:space="preserve"> </v>
      </c>
      <c r="BA85" s="32" t="str">
        <f>IF(AF85=" "," ",AF85*Inputs!$B$53)</f>
        <v xml:space="preserve"> </v>
      </c>
      <c r="BB85" s="32" t="str">
        <f>IF(AG85=" "," ",AG85*Inputs!$B$53)</f>
        <v xml:space="preserve"> </v>
      </c>
      <c r="BC85" s="32" t="str">
        <f>IF(AH85=" "," ",AH85*Inputs!$B$53)</f>
        <v xml:space="preserve"> </v>
      </c>
      <c r="BD85" s="32" t="str">
        <f>IF(AI85=" "," ",AI85*Inputs!$B$53)</f>
        <v xml:space="preserve"> </v>
      </c>
      <c r="BE85" s="32" t="str">
        <f>IF(AJ85=" "," ",AJ85*Inputs!$B$53)</f>
        <v xml:space="preserve"> </v>
      </c>
      <c r="BF85" s="32" t="str">
        <f>IF(AK85=" "," ",AK85*Inputs!$B$53)</f>
        <v xml:space="preserve"> </v>
      </c>
      <c r="BG85" s="32" t="str">
        <f>IF(AL85=" "," ",AL85*Inputs!$B$53)</f>
        <v xml:space="preserve"> </v>
      </c>
      <c r="BH85" s="32" t="str">
        <f>IF(AM85=" "," ",AM85*Inputs!$B$53)</f>
        <v xml:space="preserve"> </v>
      </c>
      <c r="BI85" s="32" t="str">
        <f>IF(AN85=" "," ",AN85*Inputs!$B$53)</f>
        <v xml:space="preserve"> </v>
      </c>
      <c r="BJ85" s="32" t="str">
        <f>IF(AO85=" "," ",AO85*Inputs!$B$53)</f>
        <v xml:space="preserve"> </v>
      </c>
      <c r="BK85" s="32" t="str">
        <f>IF(AP85=" "," ",AP85*Inputs!$B$53)</f>
        <v xml:space="preserve"> </v>
      </c>
    </row>
    <row r="86" spans="2:63" x14ac:dyDescent="0.25">
      <c r="B86" s="591"/>
      <c r="C86" s="591"/>
      <c r="D86" s="591"/>
      <c r="E86" s="149"/>
      <c r="F86" s="153"/>
      <c r="G86" s="153"/>
      <c r="H86" s="153"/>
      <c r="I86" s="153"/>
      <c r="J86" s="153"/>
      <c r="K86" s="153"/>
      <c r="L86" s="153"/>
      <c r="M86" s="153"/>
      <c r="N86" s="153"/>
      <c r="O86" s="153"/>
      <c r="P86" s="153"/>
      <c r="Q86" s="153"/>
      <c r="R86" s="153"/>
      <c r="S86" s="153"/>
      <c r="T86" s="153"/>
      <c r="U86" s="153"/>
      <c r="W86" s="591"/>
      <c r="X86" s="591"/>
      <c r="Y86" s="29"/>
      <c r="Z86" s="29" t="s">
        <v>501</v>
      </c>
      <c r="AA86" s="32" t="str">
        <f>IF(F86=""," ",F86*Inputs!$B$39)</f>
        <v xml:space="preserve"> </v>
      </c>
      <c r="AB86" s="32" t="str">
        <f>IF(G86=""," ",G86*Inputs!$B$39)</f>
        <v xml:space="preserve"> </v>
      </c>
      <c r="AC86" s="32" t="str">
        <f>IF(H86=""," ",H86*Inputs!$B$39)</f>
        <v xml:space="preserve"> </v>
      </c>
      <c r="AD86" s="32" t="str">
        <f>IF(I86=""," ",I86*Inputs!$B$39)</f>
        <v xml:space="preserve"> </v>
      </c>
      <c r="AE86" s="32" t="str">
        <f>IF(J86=""," ",J86*Inputs!$B$39)</f>
        <v xml:space="preserve"> </v>
      </c>
      <c r="AF86" s="32" t="str">
        <f>IF(K86=""," ",K86*Inputs!$B$39)</f>
        <v xml:space="preserve"> </v>
      </c>
      <c r="AG86" s="32" t="str">
        <f>IF(L86=""," ",L86*Inputs!$B$39)</f>
        <v xml:space="preserve"> </v>
      </c>
      <c r="AH86" s="32" t="str">
        <f>IF(M86=""," ",M86*Inputs!$B$39)</f>
        <v xml:space="preserve"> </v>
      </c>
      <c r="AI86" s="32" t="str">
        <f>IF(N86=""," ",N86*Inputs!$B$39)</f>
        <v xml:space="preserve"> </v>
      </c>
      <c r="AJ86" s="32" t="str">
        <f>IF(O86=""," ",O86*Inputs!$B$39)</f>
        <v xml:space="preserve"> </v>
      </c>
      <c r="AK86" s="32" t="str">
        <f>IF(P86=""," ",P86*Inputs!$B$39)</f>
        <v xml:space="preserve"> </v>
      </c>
      <c r="AL86" s="32" t="str">
        <f>IF(Q86=""," ",Q86*Inputs!$B$39)</f>
        <v xml:space="preserve"> </v>
      </c>
      <c r="AM86" s="32" t="str">
        <f>IF(R86=""," ",R86*Inputs!$B$39)</f>
        <v xml:space="preserve"> </v>
      </c>
      <c r="AN86" s="32" t="str">
        <f>IF(S86=""," ",S86*Inputs!$B$39)</f>
        <v xml:space="preserve"> </v>
      </c>
      <c r="AO86" s="32" t="str">
        <f>IF(T86=""," ",T86*Inputs!$B$39)</f>
        <v xml:space="preserve"> </v>
      </c>
      <c r="AP86" s="32" t="str">
        <f>IF(U86=""," ",U86*Inputs!$B$39)</f>
        <v xml:space="preserve"> </v>
      </c>
      <c r="AR86" s="591"/>
      <c r="AS86" s="591"/>
      <c r="AT86" s="29"/>
      <c r="AU86" s="29" t="s">
        <v>501</v>
      </c>
      <c r="AV86" s="32" t="str">
        <f>IF(AA86=" "," ",AA86*Inputs!$B$53)</f>
        <v xml:space="preserve"> </v>
      </c>
      <c r="AW86" s="32" t="str">
        <f>IF(AB86=" "," ",AB86*Inputs!$B$53)</f>
        <v xml:space="preserve"> </v>
      </c>
      <c r="AX86" s="32" t="str">
        <f>IF(AC86=" "," ",AC86*Inputs!$B$53)</f>
        <v xml:space="preserve"> </v>
      </c>
      <c r="AY86" s="32" t="str">
        <f>IF(AD86=" "," ",AD86*Inputs!$B$53)</f>
        <v xml:space="preserve"> </v>
      </c>
      <c r="AZ86" s="32" t="str">
        <f>IF(AE86=" "," ",AE86*Inputs!$B$53)</f>
        <v xml:space="preserve"> </v>
      </c>
      <c r="BA86" s="32" t="str">
        <f>IF(AF86=" "," ",AF86*Inputs!$B$53)</f>
        <v xml:space="preserve"> </v>
      </c>
      <c r="BB86" s="32" t="str">
        <f>IF(AG86=" "," ",AG86*Inputs!$B$53)</f>
        <v xml:space="preserve"> </v>
      </c>
      <c r="BC86" s="32" t="str">
        <f>IF(AH86=" "," ",AH86*Inputs!$B$53)</f>
        <v xml:space="preserve"> </v>
      </c>
      <c r="BD86" s="32" t="str">
        <f>IF(AI86=" "," ",AI86*Inputs!$B$53)</f>
        <v xml:space="preserve"> </v>
      </c>
      <c r="BE86" s="32" t="str">
        <f>IF(AJ86=" "," ",AJ86*Inputs!$B$53)</f>
        <v xml:space="preserve"> </v>
      </c>
      <c r="BF86" s="32" t="str">
        <f>IF(AK86=" "," ",AK86*Inputs!$B$53)</f>
        <v xml:space="preserve"> </v>
      </c>
      <c r="BG86" s="32" t="str">
        <f>IF(AL86=" "," ",AL86*Inputs!$B$53)</f>
        <v xml:space="preserve"> </v>
      </c>
      <c r="BH86" s="32" t="str">
        <f>IF(AM86=" "," ",AM86*Inputs!$B$53)</f>
        <v xml:space="preserve"> </v>
      </c>
      <c r="BI86" s="32" t="str">
        <f>IF(AN86=" "," ",AN86*Inputs!$B$53)</f>
        <v xml:space="preserve"> </v>
      </c>
      <c r="BJ86" s="32" t="str">
        <f>IF(AO86=" "," ",AO86*Inputs!$B$53)</f>
        <v xml:space="preserve"> </v>
      </c>
      <c r="BK86" s="32" t="str">
        <f>IF(AP86=" "," ",AP86*Inputs!$B$53)</f>
        <v xml:space="preserve"> </v>
      </c>
    </row>
    <row r="87" spans="2:63" ht="20.25" customHeight="1" x14ac:dyDescent="0.25"/>
    <row r="88" spans="2:63" ht="15.75" customHeight="1" x14ac:dyDescent="0.25"/>
    <row r="90" spans="2:63" ht="33" hidden="1" customHeight="1" x14ac:dyDescent="0.25">
      <c r="E90" s="643" t="s">
        <v>505</v>
      </c>
      <c r="F90" s="563"/>
      <c r="G90" s="643" t="s">
        <v>506</v>
      </c>
      <c r="H90" s="563"/>
      <c r="I90" s="643" t="s">
        <v>507</v>
      </c>
      <c r="J90" s="563"/>
      <c r="K90" s="643" t="s">
        <v>508</v>
      </c>
      <c r="L90" s="563"/>
      <c r="M90" s="647" t="s">
        <v>505</v>
      </c>
      <c r="N90" s="563"/>
      <c r="O90" s="647" t="s">
        <v>506</v>
      </c>
      <c r="P90" s="563"/>
      <c r="Q90" s="647" t="s">
        <v>507</v>
      </c>
      <c r="R90" s="563"/>
      <c r="S90" s="647" t="s">
        <v>508</v>
      </c>
      <c r="T90" s="563"/>
      <c r="U90" s="240"/>
      <c r="X90" s="644" t="s">
        <v>505</v>
      </c>
      <c r="Y90" s="563"/>
      <c r="Z90" s="644" t="s">
        <v>506</v>
      </c>
      <c r="AA90" s="563"/>
      <c r="AB90" s="644" t="s">
        <v>507</v>
      </c>
      <c r="AC90" s="563"/>
      <c r="AD90" s="644" t="s">
        <v>508</v>
      </c>
      <c r="AE90" s="563"/>
      <c r="AF90" s="648" t="s">
        <v>505</v>
      </c>
      <c r="AG90" s="563"/>
      <c r="AH90" s="648" t="s">
        <v>506</v>
      </c>
      <c r="AI90" s="563"/>
      <c r="AJ90" s="648" t="s">
        <v>507</v>
      </c>
      <c r="AK90" s="563"/>
      <c r="AL90" s="648" t="s">
        <v>508</v>
      </c>
      <c r="AM90" s="563"/>
      <c r="AN90" s="68"/>
      <c r="AO90" s="68"/>
      <c r="AP90" s="68"/>
      <c r="AQ90" s="646" t="s">
        <v>505</v>
      </c>
      <c r="AR90" s="563"/>
      <c r="AS90" s="646" t="s">
        <v>506</v>
      </c>
      <c r="AT90" s="563"/>
      <c r="AU90" s="646" t="s">
        <v>507</v>
      </c>
      <c r="AV90" s="563"/>
      <c r="AW90" s="646" t="s">
        <v>508</v>
      </c>
      <c r="AX90" s="563"/>
    </row>
    <row r="91" spans="2:63" hidden="1" x14ac:dyDescent="0.25">
      <c r="E91" s="53" t="s">
        <v>509</v>
      </c>
      <c r="F91" s="53" t="s">
        <v>510</v>
      </c>
      <c r="G91" s="53" t="s">
        <v>509</v>
      </c>
      <c r="H91" s="53" t="s">
        <v>510</v>
      </c>
      <c r="I91" s="53" t="s">
        <v>509</v>
      </c>
      <c r="J91" s="53" t="s">
        <v>510</v>
      </c>
      <c r="K91" s="53" t="s">
        <v>509</v>
      </c>
      <c r="L91" s="53" t="s">
        <v>510</v>
      </c>
      <c r="M91" s="54" t="s">
        <v>509</v>
      </c>
      <c r="N91" s="54" t="s">
        <v>510</v>
      </c>
      <c r="O91" s="54" t="s">
        <v>509</v>
      </c>
      <c r="P91" s="54" t="s">
        <v>510</v>
      </c>
      <c r="Q91" s="54" t="s">
        <v>509</v>
      </c>
      <c r="R91" s="54" t="s">
        <v>510</v>
      </c>
      <c r="S91" s="54" t="s">
        <v>509</v>
      </c>
      <c r="T91" s="54" t="s">
        <v>510</v>
      </c>
      <c r="U91" s="240"/>
      <c r="X91" s="219" t="s">
        <v>509</v>
      </c>
      <c r="Y91" s="219" t="s">
        <v>510</v>
      </c>
      <c r="Z91" s="219" t="s">
        <v>509</v>
      </c>
      <c r="AA91" s="219" t="s">
        <v>510</v>
      </c>
      <c r="AB91" s="219" t="s">
        <v>509</v>
      </c>
      <c r="AC91" s="219" t="s">
        <v>510</v>
      </c>
      <c r="AD91" s="219" t="s">
        <v>509</v>
      </c>
      <c r="AE91" s="219" t="s">
        <v>510</v>
      </c>
      <c r="AF91" s="220" t="s">
        <v>509</v>
      </c>
      <c r="AG91" s="220" t="s">
        <v>510</v>
      </c>
      <c r="AH91" s="220" t="s">
        <v>509</v>
      </c>
      <c r="AI91" s="220" t="s">
        <v>510</v>
      </c>
      <c r="AJ91" s="220" t="s">
        <v>509</v>
      </c>
      <c r="AK91" s="220" t="s">
        <v>510</v>
      </c>
      <c r="AL91" s="220" t="s">
        <v>509</v>
      </c>
      <c r="AM91" s="220" t="s">
        <v>510</v>
      </c>
      <c r="AN91" s="220"/>
      <c r="AO91" s="220"/>
      <c r="AP91" s="220"/>
      <c r="AQ91" s="221" t="s">
        <v>509</v>
      </c>
      <c r="AR91" s="221" t="s">
        <v>510</v>
      </c>
      <c r="AS91" s="221" t="s">
        <v>509</v>
      </c>
      <c r="AT91" s="221" t="s">
        <v>510</v>
      </c>
      <c r="AU91" s="221" t="s">
        <v>509</v>
      </c>
      <c r="AV91" s="221" t="s">
        <v>510</v>
      </c>
      <c r="AW91" s="221" t="s">
        <v>509</v>
      </c>
      <c r="AX91" s="221" t="s">
        <v>510</v>
      </c>
    </row>
    <row r="92" spans="2:63" hidden="1" x14ac:dyDescent="0.25">
      <c r="E92" s="24" t="str">
        <f>AA4</f>
        <v xml:space="preserve"> </v>
      </c>
      <c r="F92" s="25" t="str">
        <f>AA47</f>
        <v xml:space="preserve"> </v>
      </c>
      <c r="G92" s="25" t="str">
        <f>AA24</f>
        <v xml:space="preserve"> </v>
      </c>
      <c r="H92" s="25" t="str">
        <f>AA67</f>
        <v xml:space="preserve"> </v>
      </c>
      <c r="I92" s="25" t="str">
        <f>AV4</f>
        <v xml:space="preserve"> </v>
      </c>
      <c r="J92" s="25" t="str">
        <f>AV47</f>
        <v xml:space="preserve"> </v>
      </c>
      <c r="K92" s="25" t="str">
        <f>AV24</f>
        <v xml:space="preserve"> </v>
      </c>
      <c r="L92" s="26" t="str">
        <f>AV67</f>
        <v xml:space="preserve"> </v>
      </c>
      <c r="M92" s="24" t="str">
        <f>AA8</f>
        <v xml:space="preserve"> </v>
      </c>
      <c r="N92" s="25" t="str">
        <f>AA51</f>
        <v xml:space="preserve"> </v>
      </c>
      <c r="O92" s="25" t="str">
        <f>AA28</f>
        <v xml:space="preserve"> </v>
      </c>
      <c r="P92" s="25" t="str">
        <f>AA71</f>
        <v xml:space="preserve"> </v>
      </c>
      <c r="Q92" s="25" t="str">
        <f>AV8</f>
        <v xml:space="preserve"> </v>
      </c>
      <c r="R92" s="25" t="str">
        <f>AV51</f>
        <v xml:space="preserve"> </v>
      </c>
      <c r="S92" s="25" t="str">
        <f>AV28</f>
        <v xml:space="preserve"> </v>
      </c>
      <c r="T92" s="26" t="str">
        <f>AV71</f>
        <v xml:space="preserve"> </v>
      </c>
      <c r="U92" s="25"/>
      <c r="V92" s="25"/>
      <c r="W92" s="25"/>
      <c r="X92" s="24" t="str">
        <f>AA12</f>
        <v xml:space="preserve"> </v>
      </c>
      <c r="Y92" s="25" t="str">
        <f>AA55</f>
        <v xml:space="preserve"> </v>
      </c>
      <c r="Z92" s="25" t="str">
        <f>AA32</f>
        <v xml:space="preserve"> </v>
      </c>
      <c r="AA92" s="25" t="str">
        <f>AA75</f>
        <v xml:space="preserve"> </v>
      </c>
      <c r="AB92" s="25" t="str">
        <f>AV12</f>
        <v xml:space="preserve"> </v>
      </c>
      <c r="AC92" s="25" t="str">
        <f>AV55</f>
        <v xml:space="preserve"> </v>
      </c>
      <c r="AD92" s="25" t="str">
        <f>AV32</f>
        <v xml:space="preserve"> </v>
      </c>
      <c r="AE92" s="26" t="str">
        <f>AV75</f>
        <v xml:space="preserve"> </v>
      </c>
      <c r="AF92" s="24" t="str">
        <f>AA16</f>
        <v xml:space="preserve"> </v>
      </c>
      <c r="AG92" s="25" t="str">
        <f>AA59</f>
        <v xml:space="preserve"> </v>
      </c>
      <c r="AH92" s="25" t="str">
        <f>AA36</f>
        <v xml:space="preserve"> </v>
      </c>
      <c r="AI92" s="25" t="str">
        <f>AA79</f>
        <v xml:space="preserve"> </v>
      </c>
      <c r="AJ92" s="25" t="str">
        <f>AV16</f>
        <v xml:space="preserve"> </v>
      </c>
      <c r="AK92" s="25" t="str">
        <f>AV59</f>
        <v xml:space="preserve"> </v>
      </c>
      <c r="AL92" s="25" t="str">
        <f>AV36</f>
        <v xml:space="preserve"> </v>
      </c>
      <c r="AM92" s="32" t="str">
        <f>AV79</f>
        <v xml:space="preserve"> </v>
      </c>
      <c r="AN92" s="25"/>
      <c r="AO92" s="25"/>
      <c r="AP92" s="25"/>
      <c r="AQ92" s="24" t="str">
        <f>AA20</f>
        <v xml:space="preserve"> </v>
      </c>
      <c r="AR92" s="25" t="str">
        <f>AA63</f>
        <v xml:space="preserve"> </v>
      </c>
      <c r="AS92" s="25" t="str">
        <f>AA40</f>
        <v xml:space="preserve"> </v>
      </c>
      <c r="AT92" s="25" t="str">
        <f>AA83</f>
        <v xml:space="preserve"> </v>
      </c>
      <c r="AU92" s="25" t="str">
        <f>AV20</f>
        <v xml:space="preserve"> </v>
      </c>
      <c r="AV92" s="25" t="str">
        <f>AV63</f>
        <v xml:space="preserve"> </v>
      </c>
      <c r="AW92" s="25" t="str">
        <f>AV40</f>
        <v xml:space="preserve"> </v>
      </c>
      <c r="AX92" s="26" t="str">
        <f>AV83</f>
        <v xml:space="preserve"> </v>
      </c>
    </row>
    <row r="93" spans="2:63" hidden="1" x14ac:dyDescent="0.25">
      <c r="E93" s="27" t="str">
        <f>AA5</f>
        <v xml:space="preserve"> </v>
      </c>
      <c r="F93" t="str">
        <f>AA48</f>
        <v xml:space="preserve"> </v>
      </c>
      <c r="G93" t="str">
        <f>AA25</f>
        <v xml:space="preserve"> </v>
      </c>
      <c r="H93" t="str">
        <f>AA68</f>
        <v xml:space="preserve"> </v>
      </c>
      <c r="I93" t="str">
        <f>AV5</f>
        <v xml:space="preserve"> </v>
      </c>
      <c r="J93" t="str">
        <f>AV48</f>
        <v xml:space="preserve"> </v>
      </c>
      <c r="K93" t="str">
        <f>AV25</f>
        <v xml:space="preserve"> </v>
      </c>
      <c r="L93" s="28" t="str">
        <f>AV68</f>
        <v xml:space="preserve"> </v>
      </c>
      <c r="M93" s="27" t="str">
        <f>AA9</f>
        <v xml:space="preserve"> </v>
      </c>
      <c r="N93" t="str">
        <f>AA52</f>
        <v xml:space="preserve"> </v>
      </c>
      <c r="O93" t="str">
        <f>AA29</f>
        <v xml:space="preserve"> </v>
      </c>
      <c r="P93" t="str">
        <f>AA72</f>
        <v xml:space="preserve"> </v>
      </c>
      <c r="Q93" t="str">
        <f>AV9</f>
        <v xml:space="preserve"> </v>
      </c>
      <c r="R93" t="str">
        <f>AV52</f>
        <v xml:space="preserve"> </v>
      </c>
      <c r="S93" t="str">
        <f>AV29</f>
        <v xml:space="preserve"> </v>
      </c>
      <c r="T93" s="28" t="str">
        <f>AV72</f>
        <v xml:space="preserve"> </v>
      </c>
      <c r="X93" s="27" t="str">
        <f>AA13</f>
        <v xml:space="preserve"> </v>
      </c>
      <c r="Y93" t="str">
        <f>AA56</f>
        <v xml:space="preserve"> </v>
      </c>
      <c r="Z93" t="str">
        <f>AA33</f>
        <v xml:space="preserve"> </v>
      </c>
      <c r="AA93" t="str">
        <f>AA76</f>
        <v xml:space="preserve"> </v>
      </c>
      <c r="AB93" t="str">
        <f>AV13</f>
        <v xml:space="preserve"> </v>
      </c>
      <c r="AC93" t="str">
        <f>AV56</f>
        <v xml:space="preserve"> </v>
      </c>
      <c r="AD93" t="str">
        <f>AV33</f>
        <v xml:space="preserve"> </v>
      </c>
      <c r="AE93" s="28" t="str">
        <f>AV76</f>
        <v xml:space="preserve"> </v>
      </c>
      <c r="AF93" s="27" t="str">
        <f>AA17</f>
        <v xml:space="preserve"> </v>
      </c>
      <c r="AG93" t="str">
        <f>AA60</f>
        <v xml:space="preserve"> </v>
      </c>
      <c r="AH93" t="str">
        <f>AA37</f>
        <v xml:space="preserve"> </v>
      </c>
      <c r="AI93" t="str">
        <f>AA80</f>
        <v xml:space="preserve"> </v>
      </c>
      <c r="AJ93" t="str">
        <f>AV17</f>
        <v xml:space="preserve"> </v>
      </c>
      <c r="AK93" t="str">
        <f>AV60</f>
        <v xml:space="preserve"> </v>
      </c>
      <c r="AL93" t="str">
        <f>AV37</f>
        <v xml:space="preserve"> </v>
      </c>
      <c r="AM93" s="33" t="str">
        <f>AV80</f>
        <v xml:space="preserve"> </v>
      </c>
      <c r="AQ93" s="27" t="str">
        <f>AA21</f>
        <v xml:space="preserve"> </v>
      </c>
      <c r="AR93" t="str">
        <f>AA64</f>
        <v xml:space="preserve"> </v>
      </c>
      <c r="AS93" t="str">
        <f>AA41</f>
        <v xml:space="preserve"> </v>
      </c>
      <c r="AT93" t="str">
        <f>AA84</f>
        <v xml:space="preserve"> </v>
      </c>
      <c r="AU93" t="str">
        <f>AV21</f>
        <v xml:space="preserve"> </v>
      </c>
      <c r="AV93" t="str">
        <f>AV64</f>
        <v xml:space="preserve"> </v>
      </c>
      <c r="AW93" t="str">
        <f>AV41</f>
        <v xml:space="preserve"> </v>
      </c>
      <c r="AX93" s="28" t="str">
        <f>AV84</f>
        <v xml:space="preserve"> </v>
      </c>
    </row>
    <row r="94" spans="2:63" hidden="1" x14ac:dyDescent="0.25">
      <c r="E94" s="27" t="str">
        <f>AA6</f>
        <v xml:space="preserve"> </v>
      </c>
      <c r="F94" t="str">
        <f>AA49</f>
        <v xml:space="preserve"> </v>
      </c>
      <c r="G94" t="str">
        <f>AA26</f>
        <v xml:space="preserve"> </v>
      </c>
      <c r="H94" t="str">
        <f>AA69</f>
        <v xml:space="preserve"> </v>
      </c>
      <c r="I94" t="str">
        <f>AV6</f>
        <v xml:space="preserve"> </v>
      </c>
      <c r="J94" t="str">
        <f>AV49</f>
        <v xml:space="preserve"> </v>
      </c>
      <c r="K94" t="str">
        <f>AV26</f>
        <v xml:space="preserve"> </v>
      </c>
      <c r="L94" s="28" t="str">
        <f>AV69</f>
        <v xml:space="preserve"> </v>
      </c>
      <c r="M94" s="27" t="str">
        <f>AA10</f>
        <v xml:space="preserve"> </v>
      </c>
      <c r="N94" t="str">
        <f>AA53</f>
        <v xml:space="preserve"> </v>
      </c>
      <c r="O94" t="str">
        <f>AA30</f>
        <v xml:space="preserve"> </v>
      </c>
      <c r="P94" t="str">
        <f>AA73</f>
        <v xml:space="preserve"> </v>
      </c>
      <c r="Q94" t="str">
        <f>AV10</f>
        <v xml:space="preserve"> </v>
      </c>
      <c r="R94" t="str">
        <f>AV53</f>
        <v xml:space="preserve"> </v>
      </c>
      <c r="S94" t="str">
        <f>AV30</f>
        <v xml:space="preserve"> </v>
      </c>
      <c r="T94" s="28" t="str">
        <f>AV73</f>
        <v xml:space="preserve"> </v>
      </c>
      <c r="X94" s="27" t="str">
        <f>AA14</f>
        <v xml:space="preserve"> </v>
      </c>
      <c r="Y94" t="str">
        <f>AA57</f>
        <v xml:space="preserve"> </v>
      </c>
      <c r="Z94" t="str">
        <f>AA34</f>
        <v xml:space="preserve"> </v>
      </c>
      <c r="AA94" t="str">
        <f>AA77</f>
        <v xml:space="preserve"> </v>
      </c>
      <c r="AB94" t="str">
        <f>AV14</f>
        <v xml:space="preserve"> </v>
      </c>
      <c r="AC94" t="str">
        <f>AV57</f>
        <v xml:space="preserve"> </v>
      </c>
      <c r="AD94" t="str">
        <f>AV34</f>
        <v xml:space="preserve"> </v>
      </c>
      <c r="AE94" s="28" t="str">
        <f>AV77</f>
        <v xml:space="preserve"> </v>
      </c>
      <c r="AF94" s="27" t="str">
        <f>AA18</f>
        <v xml:space="preserve"> </v>
      </c>
      <c r="AG94" t="str">
        <f>AA61</f>
        <v xml:space="preserve"> </v>
      </c>
      <c r="AH94" t="str">
        <f>AA38</f>
        <v xml:space="preserve"> </v>
      </c>
      <c r="AI94" t="str">
        <f>AA81</f>
        <v xml:space="preserve"> </v>
      </c>
      <c r="AJ94" t="str">
        <f>AV18</f>
        <v xml:space="preserve"> </v>
      </c>
      <c r="AK94" t="str">
        <f>AV61</f>
        <v xml:space="preserve"> </v>
      </c>
      <c r="AL94" t="str">
        <f>AV38</f>
        <v xml:space="preserve"> </v>
      </c>
      <c r="AM94" s="33" t="str">
        <f>AV81</f>
        <v xml:space="preserve"> </v>
      </c>
      <c r="AQ94" s="27" t="str">
        <f>AA22</f>
        <v xml:space="preserve"> </v>
      </c>
      <c r="AR94" t="str">
        <f>AA65</f>
        <v xml:space="preserve"> </v>
      </c>
      <c r="AS94" t="str">
        <f>AA42</f>
        <v xml:space="preserve"> </v>
      </c>
      <c r="AT94" t="str">
        <f>AA85</f>
        <v xml:space="preserve"> </v>
      </c>
      <c r="AU94" t="str">
        <f>AV22</f>
        <v xml:space="preserve"> </v>
      </c>
      <c r="AV94" t="str">
        <f>AV65</f>
        <v xml:space="preserve"> </v>
      </c>
      <c r="AW94" t="str">
        <f>AV42</f>
        <v xml:space="preserve"> </v>
      </c>
      <c r="AX94" s="28" t="str">
        <f>AV85</f>
        <v xml:space="preserve"> </v>
      </c>
    </row>
    <row r="95" spans="2:63" hidden="1" x14ac:dyDescent="0.25">
      <c r="E95" s="29" t="str">
        <f>AA7</f>
        <v xml:space="preserve"> </v>
      </c>
      <c r="F95" s="30" t="str">
        <f>AA50</f>
        <v xml:space="preserve"> </v>
      </c>
      <c r="G95" s="30" t="str">
        <f>AA27</f>
        <v xml:space="preserve"> </v>
      </c>
      <c r="H95" s="30" t="str">
        <f>AA70</f>
        <v xml:space="preserve"> </v>
      </c>
      <c r="I95" s="30" t="str">
        <f>AV7</f>
        <v xml:space="preserve"> </v>
      </c>
      <c r="J95" s="30" t="str">
        <f>AV50</f>
        <v xml:space="preserve"> </v>
      </c>
      <c r="K95" s="30" t="str">
        <f>AV27</f>
        <v xml:space="preserve"> </v>
      </c>
      <c r="L95" s="31" t="str">
        <f>AV70</f>
        <v xml:space="preserve"> </v>
      </c>
      <c r="M95" s="29" t="str">
        <f>AA11</f>
        <v xml:space="preserve"> </v>
      </c>
      <c r="N95" s="30" t="str">
        <f>AA54</f>
        <v xml:space="preserve"> </v>
      </c>
      <c r="O95" s="30" t="str">
        <f>AA31</f>
        <v xml:space="preserve"> </v>
      </c>
      <c r="P95" s="30" t="str">
        <f>AA74</f>
        <v xml:space="preserve"> </v>
      </c>
      <c r="Q95" s="30" t="str">
        <f>AV11</f>
        <v xml:space="preserve"> </v>
      </c>
      <c r="R95" s="30" t="str">
        <f>AV54</f>
        <v xml:space="preserve"> </v>
      </c>
      <c r="S95" s="30" t="str">
        <f>AV31</f>
        <v xml:space="preserve"> </v>
      </c>
      <c r="T95" s="31" t="str">
        <f>AV74</f>
        <v xml:space="preserve"> </v>
      </c>
      <c r="U95" s="30"/>
      <c r="V95" s="30"/>
      <c r="W95" s="30"/>
      <c r="X95" s="29" t="str">
        <f>AA15</f>
        <v xml:space="preserve"> </v>
      </c>
      <c r="Y95" s="30" t="str">
        <f>AA58</f>
        <v xml:space="preserve"> </v>
      </c>
      <c r="Z95" s="30" t="str">
        <f>AA35</f>
        <v xml:space="preserve"> </v>
      </c>
      <c r="AA95" s="30" t="str">
        <f>AA78</f>
        <v xml:space="preserve"> </v>
      </c>
      <c r="AB95" s="30" t="str">
        <f>AV15</f>
        <v xml:space="preserve"> </v>
      </c>
      <c r="AC95" s="30" t="str">
        <f>AV58</f>
        <v xml:space="preserve"> </v>
      </c>
      <c r="AD95" s="30" t="str">
        <f>AV35</f>
        <v xml:space="preserve"> </v>
      </c>
      <c r="AE95" s="31" t="str">
        <f>AV78</f>
        <v xml:space="preserve"> </v>
      </c>
      <c r="AF95" s="29" t="str">
        <f>AA19</f>
        <v xml:space="preserve"> </v>
      </c>
      <c r="AG95" s="30" t="str">
        <f>AA62</f>
        <v xml:space="preserve"> </v>
      </c>
      <c r="AH95" s="30" t="str">
        <f>AA39</f>
        <v xml:space="preserve"> </v>
      </c>
      <c r="AI95" s="30" t="str">
        <f>AA82</f>
        <v xml:space="preserve"> </v>
      </c>
      <c r="AJ95" s="30" t="str">
        <f>AV19</f>
        <v xml:space="preserve"> </v>
      </c>
      <c r="AK95" s="30" t="str">
        <f>AV62</f>
        <v xml:space="preserve"> </v>
      </c>
      <c r="AL95" s="30" t="str">
        <f>AV39</f>
        <v xml:space="preserve"> </v>
      </c>
      <c r="AM95" s="6" t="str">
        <f>AV82</f>
        <v xml:space="preserve"> </v>
      </c>
      <c r="AN95" s="30"/>
      <c r="AO95" s="30"/>
      <c r="AP95" s="30"/>
      <c r="AQ95" s="29" t="str">
        <f>AA23</f>
        <v xml:space="preserve"> </v>
      </c>
      <c r="AR95" s="30" t="str">
        <f>AA66</f>
        <v xml:space="preserve"> </v>
      </c>
      <c r="AS95" s="30" t="str">
        <f>AA43</f>
        <v xml:space="preserve"> </v>
      </c>
      <c r="AT95" s="30" t="str">
        <f>AA86</f>
        <v xml:space="preserve"> </v>
      </c>
      <c r="AU95" s="30" t="str">
        <f>AV23</f>
        <v xml:space="preserve"> </v>
      </c>
      <c r="AV95" s="30" t="str">
        <f>AV66</f>
        <v xml:space="preserve"> </v>
      </c>
      <c r="AW95" s="30" t="str">
        <f>AV43</f>
        <v xml:space="preserve"> </v>
      </c>
      <c r="AX95" s="31" t="str">
        <f>AV86</f>
        <v xml:space="preserve"> </v>
      </c>
    </row>
    <row r="96" spans="2:63" hidden="1" x14ac:dyDescent="0.25">
      <c r="E96" s="24" t="str">
        <f>AB4</f>
        <v xml:space="preserve"> </v>
      </c>
      <c r="F96" s="25" t="str">
        <f>AB47</f>
        <v xml:space="preserve"> </v>
      </c>
      <c r="G96" s="25" t="str">
        <f>AB24</f>
        <v xml:space="preserve"> </v>
      </c>
      <c r="H96" s="25" t="str">
        <f>AB67</f>
        <v xml:space="preserve"> </v>
      </c>
      <c r="I96" s="25" t="str">
        <f>AW4</f>
        <v xml:space="preserve"> </v>
      </c>
      <c r="J96" s="25" t="str">
        <f>AW47</f>
        <v xml:space="preserve"> </v>
      </c>
      <c r="K96" s="25" t="str">
        <f>AW24</f>
        <v xml:space="preserve"> </v>
      </c>
      <c r="L96" s="26" t="str">
        <f>AW67</f>
        <v xml:space="preserve"> </v>
      </c>
      <c r="M96" s="27" t="str">
        <f>AB8</f>
        <v xml:space="preserve"> </v>
      </c>
      <c r="N96" t="str">
        <f>AB51</f>
        <v xml:space="preserve"> </v>
      </c>
      <c r="O96" t="str">
        <f>AB28</f>
        <v xml:space="preserve"> </v>
      </c>
      <c r="P96" t="str">
        <f>AB71</f>
        <v xml:space="preserve"> </v>
      </c>
      <c r="Q96" t="str">
        <f>AW8</f>
        <v xml:space="preserve"> </v>
      </c>
      <c r="R96" t="str">
        <f>AW51</f>
        <v xml:space="preserve"> </v>
      </c>
      <c r="S96" t="str">
        <f>AW28</f>
        <v xml:space="preserve"> </v>
      </c>
      <c r="T96" s="28" t="str">
        <f>AW71</f>
        <v xml:space="preserve"> </v>
      </c>
      <c r="X96" s="27" t="str">
        <f>AB12</f>
        <v xml:space="preserve"> </v>
      </c>
      <c r="Y96" t="str">
        <f>AB55</f>
        <v xml:space="preserve"> </v>
      </c>
      <c r="Z96" t="str">
        <f>AB32</f>
        <v xml:space="preserve"> </v>
      </c>
      <c r="AA96" t="str">
        <f>AB75</f>
        <v xml:space="preserve"> </v>
      </c>
      <c r="AB96" t="str">
        <f>AW12</f>
        <v xml:space="preserve"> </v>
      </c>
      <c r="AC96" t="str">
        <f>AW55</f>
        <v xml:space="preserve"> </v>
      </c>
      <c r="AD96" t="str">
        <f>AW32</f>
        <v xml:space="preserve"> </v>
      </c>
      <c r="AE96" s="28" t="str">
        <f>AW75</f>
        <v xml:space="preserve"> </v>
      </c>
      <c r="AF96" s="27" t="str">
        <f>AB16</f>
        <v xml:space="preserve"> </v>
      </c>
      <c r="AG96" t="str">
        <f>AB59</f>
        <v xml:space="preserve"> </v>
      </c>
      <c r="AH96" t="str">
        <f>AB36</f>
        <v xml:space="preserve"> </v>
      </c>
      <c r="AI96" t="str">
        <f>AB79</f>
        <v xml:space="preserve"> </v>
      </c>
      <c r="AJ96" t="str">
        <f>AW16</f>
        <v xml:space="preserve"> </v>
      </c>
      <c r="AK96" t="str">
        <f>AW59</f>
        <v xml:space="preserve"> </v>
      </c>
      <c r="AL96" t="str">
        <f>AW36</f>
        <v xml:space="preserve"> </v>
      </c>
      <c r="AM96" s="28" t="str">
        <f>AW79</f>
        <v xml:space="preserve"> </v>
      </c>
      <c r="AQ96" s="27" t="str">
        <f>AB20</f>
        <v xml:space="preserve"> </v>
      </c>
      <c r="AR96" t="str">
        <f>AB63</f>
        <v xml:space="preserve"> </v>
      </c>
      <c r="AS96" t="str">
        <f>AB40</f>
        <v xml:space="preserve"> </v>
      </c>
      <c r="AT96" t="str">
        <f>AB83</f>
        <v xml:space="preserve"> </v>
      </c>
      <c r="AU96" t="str">
        <f>AW20</f>
        <v xml:space="preserve"> </v>
      </c>
      <c r="AV96" t="str">
        <f>AW63</f>
        <v xml:space="preserve"> </v>
      </c>
      <c r="AW96" t="str">
        <f>AW40</f>
        <v xml:space="preserve"> </v>
      </c>
      <c r="AX96" s="28" t="str">
        <f>AW83</f>
        <v xml:space="preserve"> </v>
      </c>
    </row>
    <row r="97" spans="5:50" hidden="1" x14ac:dyDescent="0.25">
      <c r="E97" s="27" t="str">
        <f>AB5</f>
        <v xml:space="preserve"> </v>
      </c>
      <c r="F97" t="str">
        <f>AB48</f>
        <v xml:space="preserve"> </v>
      </c>
      <c r="G97" t="str">
        <f>AB25</f>
        <v xml:space="preserve"> </v>
      </c>
      <c r="H97" t="str">
        <f>AB68</f>
        <v xml:space="preserve"> </v>
      </c>
      <c r="I97" t="str">
        <f>AW5</f>
        <v xml:space="preserve"> </v>
      </c>
      <c r="J97" t="str">
        <f>AW48</f>
        <v xml:space="preserve"> </v>
      </c>
      <c r="K97" t="str">
        <f>AW25</f>
        <v xml:space="preserve"> </v>
      </c>
      <c r="L97" s="28" t="str">
        <f>AW68</f>
        <v xml:space="preserve"> </v>
      </c>
      <c r="M97" s="27" t="str">
        <f>AB9</f>
        <v xml:space="preserve"> </v>
      </c>
      <c r="N97" t="str">
        <f>AB52</f>
        <v xml:space="preserve"> </v>
      </c>
      <c r="O97" t="str">
        <f>AB29</f>
        <v xml:space="preserve"> </v>
      </c>
      <c r="P97" t="str">
        <f>AB72</f>
        <v xml:space="preserve"> </v>
      </c>
      <c r="Q97" t="str">
        <f>AW9</f>
        <v xml:space="preserve"> </v>
      </c>
      <c r="R97" t="str">
        <f>AW52</f>
        <v xml:space="preserve"> </v>
      </c>
      <c r="S97" t="str">
        <f>AW29</f>
        <v xml:space="preserve"> </v>
      </c>
      <c r="T97" s="28" t="str">
        <f>AW72</f>
        <v xml:space="preserve"> </v>
      </c>
      <c r="X97" s="27" t="str">
        <f>AB13</f>
        <v xml:space="preserve"> </v>
      </c>
      <c r="Y97" t="str">
        <f>AB56</f>
        <v xml:space="preserve"> </v>
      </c>
      <c r="Z97" t="str">
        <f>AB33</f>
        <v xml:space="preserve"> </v>
      </c>
      <c r="AA97" t="str">
        <f>AB76</f>
        <v xml:space="preserve"> </v>
      </c>
      <c r="AB97" t="str">
        <f>AW13</f>
        <v xml:space="preserve"> </v>
      </c>
      <c r="AC97" t="str">
        <f>AW56</f>
        <v xml:space="preserve"> </v>
      </c>
      <c r="AD97" t="str">
        <f>AW33</f>
        <v xml:space="preserve"> </v>
      </c>
      <c r="AE97" s="28" t="str">
        <f>AW76</f>
        <v xml:space="preserve"> </v>
      </c>
      <c r="AF97" s="27" t="str">
        <f>AB17</f>
        <v xml:space="preserve"> </v>
      </c>
      <c r="AG97" t="str">
        <f>AB60</f>
        <v xml:space="preserve"> </v>
      </c>
      <c r="AH97" t="str">
        <f>AB37</f>
        <v xml:space="preserve"> </v>
      </c>
      <c r="AI97" t="str">
        <f>AB80</f>
        <v xml:space="preserve"> </v>
      </c>
      <c r="AJ97" t="str">
        <f>AW17</f>
        <v xml:space="preserve"> </v>
      </c>
      <c r="AK97" t="str">
        <f>AW60</f>
        <v xml:space="preserve"> </v>
      </c>
      <c r="AL97" t="str">
        <f>AW37</f>
        <v xml:space="preserve"> </v>
      </c>
      <c r="AM97" s="28" t="str">
        <f>AW80</f>
        <v xml:space="preserve"> </v>
      </c>
      <c r="AQ97" s="27" t="str">
        <f>AB21</f>
        <v xml:space="preserve"> </v>
      </c>
      <c r="AR97" t="str">
        <f>AB64</f>
        <v xml:space="preserve"> </v>
      </c>
      <c r="AS97" t="str">
        <f>AB41</f>
        <v xml:space="preserve"> </v>
      </c>
      <c r="AT97" t="str">
        <f>AB84</f>
        <v xml:space="preserve"> </v>
      </c>
      <c r="AU97" t="str">
        <f>AW21</f>
        <v xml:space="preserve"> </v>
      </c>
      <c r="AV97" t="str">
        <f>AW64</f>
        <v xml:space="preserve"> </v>
      </c>
      <c r="AW97" t="str">
        <f>AW41</f>
        <v xml:space="preserve"> </v>
      </c>
      <c r="AX97" s="28" t="str">
        <f>AW84</f>
        <v xml:space="preserve"> </v>
      </c>
    </row>
    <row r="98" spans="5:50" hidden="1" x14ac:dyDescent="0.25">
      <c r="E98" s="27" t="str">
        <f>AB6</f>
        <v xml:space="preserve"> </v>
      </c>
      <c r="F98" t="str">
        <f>AB49</f>
        <v xml:space="preserve"> </v>
      </c>
      <c r="G98" t="str">
        <f>AB26</f>
        <v xml:space="preserve"> </v>
      </c>
      <c r="H98" t="str">
        <f>AB69</f>
        <v xml:space="preserve"> </v>
      </c>
      <c r="I98" t="str">
        <f>AW6</f>
        <v xml:space="preserve"> </v>
      </c>
      <c r="J98" t="str">
        <f>AW49</f>
        <v xml:space="preserve"> </v>
      </c>
      <c r="K98" t="str">
        <f>AW26</f>
        <v xml:space="preserve"> </v>
      </c>
      <c r="L98" s="28" t="str">
        <f>AW69</f>
        <v xml:space="preserve"> </v>
      </c>
      <c r="M98" s="27" t="str">
        <f>AB10</f>
        <v xml:space="preserve"> </v>
      </c>
      <c r="N98" t="str">
        <f>AB53</f>
        <v xml:space="preserve"> </v>
      </c>
      <c r="O98" t="str">
        <f>AB30</f>
        <v xml:space="preserve"> </v>
      </c>
      <c r="P98" t="str">
        <f>AB73</f>
        <v xml:space="preserve"> </v>
      </c>
      <c r="Q98" t="str">
        <f>AW10</f>
        <v xml:space="preserve"> </v>
      </c>
      <c r="R98" t="str">
        <f>AW53</f>
        <v xml:space="preserve"> </v>
      </c>
      <c r="S98" t="str">
        <f>AW30</f>
        <v xml:space="preserve"> </v>
      </c>
      <c r="T98" s="28" t="str">
        <f>AW73</f>
        <v xml:space="preserve"> </v>
      </c>
      <c r="X98" s="27" t="str">
        <f>AB14</f>
        <v xml:space="preserve"> </v>
      </c>
      <c r="Y98" t="str">
        <f>AB57</f>
        <v xml:space="preserve"> </v>
      </c>
      <c r="Z98" t="str">
        <f>AB34</f>
        <v xml:space="preserve"> </v>
      </c>
      <c r="AA98" t="str">
        <f>AB77</f>
        <v xml:space="preserve"> </v>
      </c>
      <c r="AB98" t="str">
        <f>AW14</f>
        <v xml:space="preserve"> </v>
      </c>
      <c r="AC98" t="str">
        <f>AW57</f>
        <v xml:space="preserve"> </v>
      </c>
      <c r="AD98" t="str">
        <f>AW34</f>
        <v xml:space="preserve"> </v>
      </c>
      <c r="AE98" s="28" t="str">
        <f>AW77</f>
        <v xml:space="preserve"> </v>
      </c>
      <c r="AF98" s="27" t="str">
        <f>AB18</f>
        <v xml:space="preserve"> </v>
      </c>
      <c r="AG98" t="str">
        <f>AB61</f>
        <v xml:space="preserve"> </v>
      </c>
      <c r="AH98" t="str">
        <f>AB38</f>
        <v xml:space="preserve"> </v>
      </c>
      <c r="AI98" t="str">
        <f>AB81</f>
        <v xml:space="preserve"> </v>
      </c>
      <c r="AJ98" t="str">
        <f>AW18</f>
        <v xml:space="preserve"> </v>
      </c>
      <c r="AK98" t="str">
        <f>AW61</f>
        <v xml:space="preserve"> </v>
      </c>
      <c r="AL98" t="str">
        <f>AW38</f>
        <v xml:space="preserve"> </v>
      </c>
      <c r="AM98" s="28" t="str">
        <f>AW81</f>
        <v xml:space="preserve"> </v>
      </c>
      <c r="AQ98" s="27" t="str">
        <f>AB22</f>
        <v xml:space="preserve"> </v>
      </c>
      <c r="AR98" t="str">
        <f>AB65</f>
        <v xml:space="preserve"> </v>
      </c>
      <c r="AS98" t="str">
        <f>AB42</f>
        <v xml:space="preserve"> </v>
      </c>
      <c r="AT98" t="str">
        <f>AB85</f>
        <v xml:space="preserve"> </v>
      </c>
      <c r="AU98" t="str">
        <f>AW22</f>
        <v xml:space="preserve"> </v>
      </c>
      <c r="AV98" t="str">
        <f>AW65</f>
        <v xml:space="preserve"> </v>
      </c>
      <c r="AW98" t="str">
        <f>AW42</f>
        <v xml:space="preserve"> </v>
      </c>
      <c r="AX98" s="28" t="str">
        <f>AW85</f>
        <v xml:space="preserve"> </v>
      </c>
    </row>
    <row r="99" spans="5:50" hidden="1" x14ac:dyDescent="0.25">
      <c r="E99" s="29" t="str">
        <f>AB7</f>
        <v xml:space="preserve"> </v>
      </c>
      <c r="F99" s="30" t="str">
        <f>AB50</f>
        <v xml:space="preserve"> </v>
      </c>
      <c r="G99" s="30" t="str">
        <f>AB27</f>
        <v xml:space="preserve"> </v>
      </c>
      <c r="H99" s="30" t="str">
        <f>AB70</f>
        <v xml:space="preserve"> </v>
      </c>
      <c r="I99" s="30" t="str">
        <f>AW7</f>
        <v xml:space="preserve"> </v>
      </c>
      <c r="J99" s="30" t="str">
        <f>AW50</f>
        <v xml:space="preserve"> </v>
      </c>
      <c r="K99" s="30" t="str">
        <f>AW27</f>
        <v xml:space="preserve"> </v>
      </c>
      <c r="L99" s="31" t="str">
        <f>AW70</f>
        <v xml:space="preserve"> </v>
      </c>
      <c r="M99" s="27" t="str">
        <f>AB11</f>
        <v xml:space="preserve"> </v>
      </c>
      <c r="N99" t="str">
        <f>AB54</f>
        <v xml:space="preserve"> </v>
      </c>
      <c r="O99" t="str">
        <f>AB31</f>
        <v xml:space="preserve"> </v>
      </c>
      <c r="P99" t="str">
        <f>AB74</f>
        <v xml:space="preserve"> </v>
      </c>
      <c r="Q99" t="str">
        <f>AW11</f>
        <v xml:space="preserve"> </v>
      </c>
      <c r="R99" t="str">
        <f>AW54</f>
        <v xml:space="preserve"> </v>
      </c>
      <c r="S99" t="str">
        <f>AW31</f>
        <v xml:space="preserve"> </v>
      </c>
      <c r="T99" s="28" t="str">
        <f>AW74</f>
        <v xml:space="preserve"> </v>
      </c>
      <c r="X99" s="27" t="str">
        <f>AB15</f>
        <v xml:space="preserve"> </v>
      </c>
      <c r="Y99" t="str">
        <f>AB58</f>
        <v xml:space="preserve"> </v>
      </c>
      <c r="Z99" t="str">
        <f>AB35</f>
        <v xml:space="preserve"> </v>
      </c>
      <c r="AA99" t="str">
        <f>AB78</f>
        <v xml:space="preserve"> </v>
      </c>
      <c r="AB99" t="str">
        <f>AW15</f>
        <v xml:space="preserve"> </v>
      </c>
      <c r="AC99" t="str">
        <f>AW58</f>
        <v xml:space="preserve"> </v>
      </c>
      <c r="AD99" t="str">
        <f>AW35</f>
        <v xml:space="preserve"> </v>
      </c>
      <c r="AE99" s="28" t="str">
        <f>AW78</f>
        <v xml:space="preserve"> </v>
      </c>
      <c r="AF99" s="27" t="str">
        <f>AB19</f>
        <v xml:space="preserve"> </v>
      </c>
      <c r="AG99" t="str">
        <f>AB62</f>
        <v xml:space="preserve"> </v>
      </c>
      <c r="AH99" t="str">
        <f>AB39</f>
        <v xml:space="preserve"> </v>
      </c>
      <c r="AI99" t="str">
        <f>AB82</f>
        <v xml:space="preserve"> </v>
      </c>
      <c r="AJ99" t="str">
        <f>AW19</f>
        <v xml:space="preserve"> </v>
      </c>
      <c r="AK99" t="str">
        <f>AW62</f>
        <v xml:space="preserve"> </v>
      </c>
      <c r="AL99" t="str">
        <f>AW39</f>
        <v xml:space="preserve"> </v>
      </c>
      <c r="AM99" s="28" t="str">
        <f>AW82</f>
        <v xml:space="preserve"> </v>
      </c>
      <c r="AQ99" s="27" t="str">
        <f>AB23</f>
        <v xml:space="preserve"> </v>
      </c>
      <c r="AR99" t="str">
        <f>AB66</f>
        <v xml:space="preserve"> </v>
      </c>
      <c r="AS99" t="str">
        <f>AB43</f>
        <v xml:space="preserve"> </v>
      </c>
      <c r="AT99" t="str">
        <f>AB86</f>
        <v xml:space="preserve"> </v>
      </c>
      <c r="AU99" t="str">
        <f>AW23</f>
        <v xml:space="preserve"> </v>
      </c>
      <c r="AV99" t="str">
        <f>AW66</f>
        <v xml:space="preserve"> </v>
      </c>
      <c r="AW99" t="str">
        <f>AW43</f>
        <v xml:space="preserve"> </v>
      </c>
      <c r="AX99" s="28" t="str">
        <f>AW86</f>
        <v xml:space="preserve"> </v>
      </c>
    </row>
    <row r="100" spans="5:50" hidden="1" x14ac:dyDescent="0.25">
      <c r="E100" s="24" t="str">
        <f>AC4</f>
        <v xml:space="preserve"> </v>
      </c>
      <c r="F100" s="25" t="str">
        <f>AC47</f>
        <v xml:space="preserve"> </v>
      </c>
      <c r="G100" s="25" t="str">
        <f>AC24</f>
        <v xml:space="preserve"> </v>
      </c>
      <c r="H100" s="25" t="str">
        <f>AC67</f>
        <v xml:space="preserve"> </v>
      </c>
      <c r="I100" s="25" t="str">
        <f>AX4</f>
        <v xml:space="preserve"> </v>
      </c>
      <c r="J100" s="25" t="str">
        <f>AX47</f>
        <v xml:space="preserve"> </v>
      </c>
      <c r="K100" s="25" t="str">
        <f>AX24</f>
        <v xml:space="preserve"> </v>
      </c>
      <c r="L100" s="26" t="str">
        <f>AX67</f>
        <v xml:space="preserve"> </v>
      </c>
      <c r="M100" s="24" t="str">
        <f>AC8</f>
        <v xml:space="preserve"> </v>
      </c>
      <c r="N100" s="25" t="str">
        <f>AC51</f>
        <v xml:space="preserve"> </v>
      </c>
      <c r="O100" s="25" t="str">
        <f>AC28</f>
        <v xml:space="preserve"> </v>
      </c>
      <c r="P100" s="25" t="str">
        <f>AC71</f>
        <v xml:space="preserve"> </v>
      </c>
      <c r="Q100" s="25" t="str">
        <f>AX8</f>
        <v xml:space="preserve"> </v>
      </c>
      <c r="R100" s="25" t="str">
        <f>AX51</f>
        <v xml:space="preserve"> </v>
      </c>
      <c r="S100" s="25" t="str">
        <f>AX28</f>
        <v xml:space="preserve"> </v>
      </c>
      <c r="T100" s="26" t="str">
        <f>AX71</f>
        <v xml:space="preserve"> </v>
      </c>
      <c r="U100" s="25"/>
      <c r="V100" s="25"/>
      <c r="W100" s="25"/>
      <c r="X100" s="24" t="str">
        <f>AC12</f>
        <v xml:space="preserve"> </v>
      </c>
      <c r="Y100" s="25" t="str">
        <f>AC55</f>
        <v xml:space="preserve"> </v>
      </c>
      <c r="Z100" s="25" t="str">
        <f>AC32</f>
        <v xml:space="preserve"> </v>
      </c>
      <c r="AA100" s="25" t="str">
        <f>AC75</f>
        <v xml:space="preserve"> </v>
      </c>
      <c r="AB100" s="25" t="str">
        <f>AX12</f>
        <v xml:space="preserve"> </v>
      </c>
      <c r="AC100" s="25" t="str">
        <f>AX55</f>
        <v xml:space="preserve"> </v>
      </c>
      <c r="AD100" s="25" t="str">
        <f>AX32</f>
        <v xml:space="preserve"> </v>
      </c>
      <c r="AE100" s="25" t="str">
        <f>AX75</f>
        <v xml:space="preserve"> </v>
      </c>
      <c r="AF100" s="24" t="str">
        <f>AC16</f>
        <v xml:space="preserve"> </v>
      </c>
      <c r="AG100" s="25" t="str">
        <f>AC59</f>
        <v xml:space="preserve"> </v>
      </c>
      <c r="AH100" s="25" t="str">
        <f>AC36</f>
        <v xml:space="preserve"> </v>
      </c>
      <c r="AI100" s="25" t="str">
        <f>AC79</f>
        <v xml:space="preserve"> </v>
      </c>
      <c r="AJ100" s="25" t="str">
        <f>AX16</f>
        <v xml:space="preserve"> </v>
      </c>
      <c r="AK100" s="25" t="str">
        <f>AX59</f>
        <v xml:space="preserve"> </v>
      </c>
      <c r="AL100" s="25" t="str">
        <f>AX36</f>
        <v xml:space="preserve"> </v>
      </c>
      <c r="AM100" s="26" t="str">
        <f>AX79</f>
        <v xml:space="preserve"> </v>
      </c>
      <c r="AN100" s="25"/>
      <c r="AO100" s="25"/>
      <c r="AP100" s="25"/>
      <c r="AQ100" s="24" t="str">
        <f>AC20</f>
        <v xml:space="preserve"> </v>
      </c>
      <c r="AR100" s="25" t="str">
        <f>AC63</f>
        <v xml:space="preserve"> </v>
      </c>
      <c r="AS100" s="25" t="str">
        <f>AC40</f>
        <v xml:space="preserve"> </v>
      </c>
      <c r="AT100" s="25" t="str">
        <f>AC83</f>
        <v xml:space="preserve"> </v>
      </c>
      <c r="AU100" s="25" t="str">
        <f>AX20</f>
        <v xml:space="preserve"> </v>
      </c>
      <c r="AV100" s="25" t="str">
        <f>AX63</f>
        <v xml:space="preserve"> </v>
      </c>
      <c r="AW100" s="25" t="str">
        <f>AX40</f>
        <v xml:space="preserve"> </v>
      </c>
      <c r="AX100" s="26" t="str">
        <f>AX83</f>
        <v xml:space="preserve"> </v>
      </c>
    </row>
    <row r="101" spans="5:50" hidden="1" x14ac:dyDescent="0.25">
      <c r="E101" s="27" t="str">
        <f>AC5</f>
        <v xml:space="preserve"> </v>
      </c>
      <c r="F101" t="str">
        <f>AC48</f>
        <v xml:space="preserve"> </v>
      </c>
      <c r="G101" t="str">
        <f>AC25</f>
        <v xml:space="preserve"> </v>
      </c>
      <c r="H101" t="str">
        <f>AC68</f>
        <v xml:space="preserve"> </v>
      </c>
      <c r="I101" t="str">
        <f>AX5</f>
        <v xml:space="preserve"> </v>
      </c>
      <c r="J101" t="str">
        <f>AX48</f>
        <v xml:space="preserve"> </v>
      </c>
      <c r="K101" t="str">
        <f>AX25</f>
        <v xml:space="preserve"> </v>
      </c>
      <c r="L101" s="28" t="str">
        <f>AX68</f>
        <v xml:space="preserve"> </v>
      </c>
      <c r="M101" s="27" t="str">
        <f>AC9</f>
        <v xml:space="preserve"> </v>
      </c>
      <c r="N101" t="str">
        <f>AC52</f>
        <v xml:space="preserve"> </v>
      </c>
      <c r="O101" t="str">
        <f>AC29</f>
        <v xml:space="preserve"> </v>
      </c>
      <c r="P101" t="str">
        <f>AC72</f>
        <v xml:space="preserve"> </v>
      </c>
      <c r="Q101" t="str">
        <f>AX9</f>
        <v xml:space="preserve"> </v>
      </c>
      <c r="R101" t="str">
        <f>AX52</f>
        <v xml:space="preserve"> </v>
      </c>
      <c r="S101" t="str">
        <f>AX29</f>
        <v xml:space="preserve"> </v>
      </c>
      <c r="T101" s="28" t="str">
        <f>AX72</f>
        <v xml:space="preserve"> </v>
      </c>
      <c r="X101" s="27" t="str">
        <f>AC13</f>
        <v xml:space="preserve"> </v>
      </c>
      <c r="Y101" t="str">
        <f>AC56</f>
        <v xml:space="preserve"> </v>
      </c>
      <c r="Z101" t="str">
        <f>AC33</f>
        <v xml:space="preserve"> </v>
      </c>
      <c r="AA101" t="str">
        <f>AC76</f>
        <v xml:space="preserve"> </v>
      </c>
      <c r="AB101" t="str">
        <f>AX13</f>
        <v xml:space="preserve"> </v>
      </c>
      <c r="AC101" t="str">
        <f>AX56</f>
        <v xml:space="preserve"> </v>
      </c>
      <c r="AD101" t="str">
        <f>AX33</f>
        <v xml:space="preserve"> </v>
      </c>
      <c r="AE101" t="str">
        <f>AX76</f>
        <v xml:space="preserve"> </v>
      </c>
      <c r="AF101" s="27" t="str">
        <f>AC17</f>
        <v xml:space="preserve"> </v>
      </c>
      <c r="AG101" t="str">
        <f>AC60</f>
        <v xml:space="preserve"> </v>
      </c>
      <c r="AH101" t="str">
        <f>AC37</f>
        <v xml:space="preserve"> </v>
      </c>
      <c r="AI101" t="str">
        <f>AC80</f>
        <v xml:space="preserve"> </v>
      </c>
      <c r="AJ101" t="str">
        <f>AX17</f>
        <v xml:space="preserve"> </v>
      </c>
      <c r="AK101" t="str">
        <f>AX60</f>
        <v xml:space="preserve"> </v>
      </c>
      <c r="AL101" t="str">
        <f>AX37</f>
        <v xml:space="preserve"> </v>
      </c>
      <c r="AM101" s="28" t="str">
        <f>AX80</f>
        <v xml:space="preserve"> </v>
      </c>
      <c r="AQ101" s="27" t="str">
        <f>AC21</f>
        <v xml:space="preserve"> </v>
      </c>
      <c r="AR101" t="str">
        <f>AC64</f>
        <v xml:space="preserve"> </v>
      </c>
      <c r="AS101" t="str">
        <f>AC41</f>
        <v xml:space="preserve"> </v>
      </c>
      <c r="AT101" t="str">
        <f>AC84</f>
        <v xml:space="preserve"> </v>
      </c>
      <c r="AU101" t="str">
        <f>AX21</f>
        <v xml:space="preserve"> </v>
      </c>
      <c r="AV101" t="str">
        <f>AX64</f>
        <v xml:space="preserve"> </v>
      </c>
      <c r="AW101" t="str">
        <f>AX41</f>
        <v xml:space="preserve"> </v>
      </c>
      <c r="AX101" s="28" t="str">
        <f>AX84</f>
        <v xml:space="preserve"> </v>
      </c>
    </row>
    <row r="102" spans="5:50" hidden="1" x14ac:dyDescent="0.25">
      <c r="E102" s="27" t="str">
        <f>AC6</f>
        <v xml:space="preserve"> </v>
      </c>
      <c r="F102" t="str">
        <f>AC49</f>
        <v xml:space="preserve"> </v>
      </c>
      <c r="G102" t="str">
        <f>AC26</f>
        <v xml:space="preserve"> </v>
      </c>
      <c r="H102" t="str">
        <f>AC69</f>
        <v xml:space="preserve"> </v>
      </c>
      <c r="I102" t="str">
        <f>AX6</f>
        <v xml:space="preserve"> </v>
      </c>
      <c r="J102" t="str">
        <f>AX49</f>
        <v xml:space="preserve"> </v>
      </c>
      <c r="K102" t="str">
        <f>AX26</f>
        <v xml:space="preserve"> </v>
      </c>
      <c r="L102" s="28" t="str">
        <f>AX69</f>
        <v xml:space="preserve"> </v>
      </c>
      <c r="M102" s="27" t="str">
        <f>AC10</f>
        <v xml:space="preserve"> </v>
      </c>
      <c r="N102" t="str">
        <f>AC53</f>
        <v xml:space="preserve"> </v>
      </c>
      <c r="O102" t="str">
        <f>AC30</f>
        <v xml:space="preserve"> </v>
      </c>
      <c r="P102" t="str">
        <f>AC73</f>
        <v xml:space="preserve"> </v>
      </c>
      <c r="Q102" t="str">
        <f>AX10</f>
        <v xml:space="preserve"> </v>
      </c>
      <c r="R102" t="str">
        <f>AX53</f>
        <v xml:space="preserve"> </v>
      </c>
      <c r="S102" t="str">
        <f>AX30</f>
        <v xml:space="preserve"> </v>
      </c>
      <c r="T102" s="28" t="str">
        <f>AX73</f>
        <v xml:space="preserve"> </v>
      </c>
      <c r="X102" s="27" t="str">
        <f>AC14</f>
        <v xml:space="preserve"> </v>
      </c>
      <c r="Y102" t="str">
        <f>AC57</f>
        <v xml:space="preserve"> </v>
      </c>
      <c r="Z102" t="str">
        <f>AC34</f>
        <v xml:space="preserve"> </v>
      </c>
      <c r="AA102" t="str">
        <f>AC77</f>
        <v xml:space="preserve"> </v>
      </c>
      <c r="AB102" t="str">
        <f>AX14</f>
        <v xml:space="preserve"> </v>
      </c>
      <c r="AC102" t="str">
        <f>AX57</f>
        <v xml:space="preserve"> </v>
      </c>
      <c r="AD102" t="str">
        <f>AX34</f>
        <v xml:space="preserve"> </v>
      </c>
      <c r="AE102" t="str">
        <f>AX77</f>
        <v xml:space="preserve"> </v>
      </c>
      <c r="AF102" s="27" t="str">
        <f>AC18</f>
        <v xml:space="preserve"> </v>
      </c>
      <c r="AG102" t="str">
        <f>AC61</f>
        <v xml:space="preserve"> </v>
      </c>
      <c r="AH102" t="str">
        <f>AC38</f>
        <v xml:space="preserve"> </v>
      </c>
      <c r="AI102" t="str">
        <f>AC81</f>
        <v xml:space="preserve"> </v>
      </c>
      <c r="AJ102" t="str">
        <f>AX18</f>
        <v xml:space="preserve"> </v>
      </c>
      <c r="AK102" t="str">
        <f>AX61</f>
        <v xml:space="preserve"> </v>
      </c>
      <c r="AL102" t="str">
        <f>AX38</f>
        <v xml:space="preserve"> </v>
      </c>
      <c r="AM102" s="28" t="str">
        <f>AX81</f>
        <v xml:space="preserve"> </v>
      </c>
      <c r="AQ102" s="27" t="str">
        <f>AC22</f>
        <v xml:space="preserve"> </v>
      </c>
      <c r="AR102" t="str">
        <f>AC65</f>
        <v xml:space="preserve"> </v>
      </c>
      <c r="AS102" t="str">
        <f>AC42</f>
        <v xml:space="preserve"> </v>
      </c>
      <c r="AT102" t="str">
        <f>AC85</f>
        <v xml:space="preserve"> </v>
      </c>
      <c r="AU102" t="str">
        <f>AX22</f>
        <v xml:space="preserve"> </v>
      </c>
      <c r="AV102" t="str">
        <f>AX65</f>
        <v xml:space="preserve"> </v>
      </c>
      <c r="AW102" t="str">
        <f>AX42</f>
        <v xml:space="preserve"> </v>
      </c>
      <c r="AX102" s="28" t="str">
        <f>AX85</f>
        <v xml:space="preserve"> </v>
      </c>
    </row>
    <row r="103" spans="5:50" hidden="1" x14ac:dyDescent="0.25">
      <c r="E103" s="29" t="str">
        <f>AC7</f>
        <v xml:space="preserve"> </v>
      </c>
      <c r="F103" s="30" t="str">
        <f>AC50</f>
        <v xml:space="preserve"> </v>
      </c>
      <c r="G103" s="30" t="str">
        <f>AC27</f>
        <v xml:space="preserve"> </v>
      </c>
      <c r="H103" s="30" t="str">
        <f>AC70</f>
        <v xml:space="preserve"> </v>
      </c>
      <c r="I103" s="30" t="str">
        <f>AX7</f>
        <v xml:space="preserve"> </v>
      </c>
      <c r="J103" s="30" t="str">
        <f>AX50</f>
        <v xml:space="preserve"> </v>
      </c>
      <c r="K103" s="30" t="str">
        <f>AX27</f>
        <v xml:space="preserve"> </v>
      </c>
      <c r="L103" s="31" t="str">
        <f>AX70</f>
        <v xml:space="preserve"> </v>
      </c>
      <c r="M103" s="29" t="str">
        <f>AC11</f>
        <v xml:space="preserve"> </v>
      </c>
      <c r="N103" s="30" t="str">
        <f>AC54</f>
        <v xml:space="preserve"> </v>
      </c>
      <c r="O103" s="30" t="str">
        <f>AC31</f>
        <v xml:space="preserve"> </v>
      </c>
      <c r="P103" s="30" t="str">
        <f>AC74</f>
        <v xml:space="preserve"> </v>
      </c>
      <c r="Q103" s="30" t="str">
        <f>AX11</f>
        <v xml:space="preserve"> </v>
      </c>
      <c r="R103" s="30" t="str">
        <f>AX54</f>
        <v xml:space="preserve"> </v>
      </c>
      <c r="S103" s="30" t="str">
        <f>AX31</f>
        <v xml:space="preserve"> </v>
      </c>
      <c r="T103" s="31" t="str">
        <f>AX74</f>
        <v xml:space="preserve"> </v>
      </c>
      <c r="U103" s="30"/>
      <c r="V103" s="30"/>
      <c r="W103" s="30"/>
      <c r="X103" s="29" t="str">
        <f>AC15</f>
        <v xml:space="preserve"> </v>
      </c>
      <c r="Y103" s="30" t="str">
        <f>AC58</f>
        <v xml:space="preserve"> </v>
      </c>
      <c r="Z103" s="30" t="str">
        <f>AC35</f>
        <v xml:space="preserve"> </v>
      </c>
      <c r="AA103" s="30" t="str">
        <f>AC78</f>
        <v xml:space="preserve"> </v>
      </c>
      <c r="AB103" s="30" t="str">
        <f>AX15</f>
        <v xml:space="preserve"> </v>
      </c>
      <c r="AC103" s="30" t="str">
        <f>AX58</f>
        <v xml:space="preserve"> </v>
      </c>
      <c r="AD103" s="30" t="str">
        <f>AX35</f>
        <v xml:space="preserve"> </v>
      </c>
      <c r="AE103" s="30" t="str">
        <f>AX78</f>
        <v xml:space="preserve"> </v>
      </c>
      <c r="AF103" s="29" t="str">
        <f>AC19</f>
        <v xml:space="preserve"> </v>
      </c>
      <c r="AG103" s="30" t="str">
        <f>AC62</f>
        <v xml:space="preserve"> </v>
      </c>
      <c r="AH103" s="30" t="str">
        <f>AC39</f>
        <v xml:space="preserve"> </v>
      </c>
      <c r="AI103" s="30" t="str">
        <f>AC82</f>
        <v xml:space="preserve"> </v>
      </c>
      <c r="AJ103" s="30" t="str">
        <f>AX19</f>
        <v xml:space="preserve"> </v>
      </c>
      <c r="AK103" s="30" t="str">
        <f>AX62</f>
        <v xml:space="preserve"> </v>
      </c>
      <c r="AL103" s="30" t="str">
        <f>AX39</f>
        <v xml:space="preserve"> </v>
      </c>
      <c r="AM103" s="31" t="str">
        <f>AX82</f>
        <v xml:space="preserve"> </v>
      </c>
      <c r="AN103" s="30"/>
      <c r="AO103" s="30"/>
      <c r="AP103" s="30"/>
      <c r="AQ103" s="29" t="str">
        <f>AC23</f>
        <v xml:space="preserve"> </v>
      </c>
      <c r="AR103" s="30" t="str">
        <f>AC66</f>
        <v xml:space="preserve"> </v>
      </c>
      <c r="AS103" s="30" t="str">
        <f>AC43</f>
        <v xml:space="preserve"> </v>
      </c>
      <c r="AT103" s="30" t="str">
        <f>AC86</f>
        <v xml:space="preserve"> </v>
      </c>
      <c r="AU103" s="30" t="str">
        <f>AX23</f>
        <v xml:space="preserve"> </v>
      </c>
      <c r="AV103" s="30" t="str">
        <f>AX66</f>
        <v xml:space="preserve"> </v>
      </c>
      <c r="AW103" s="30" t="str">
        <f>AX43</f>
        <v xml:space="preserve"> </v>
      </c>
      <c r="AX103" s="31" t="str">
        <f>AX86</f>
        <v xml:space="preserve"> </v>
      </c>
    </row>
    <row r="104" spans="5:50" hidden="1" x14ac:dyDescent="0.25">
      <c r="E104" s="24" t="str">
        <f>AD4</f>
        <v xml:space="preserve"> </v>
      </c>
      <c r="F104" s="25" t="str">
        <f>AD47</f>
        <v xml:space="preserve"> </v>
      </c>
      <c r="G104" s="25" t="str">
        <f>AD24</f>
        <v xml:space="preserve"> </v>
      </c>
      <c r="H104" s="25" t="str">
        <f>AD67</f>
        <v xml:space="preserve"> </v>
      </c>
      <c r="I104" s="25" t="str">
        <f>AY4</f>
        <v xml:space="preserve"> </v>
      </c>
      <c r="J104" s="25" t="str">
        <f>AY47</f>
        <v xml:space="preserve"> </v>
      </c>
      <c r="K104" s="25" t="str">
        <f>AY24</f>
        <v xml:space="preserve"> </v>
      </c>
      <c r="L104" s="26" t="str">
        <f>AY67</f>
        <v xml:space="preserve"> </v>
      </c>
      <c r="M104" s="27" t="str">
        <f>AD8</f>
        <v xml:space="preserve"> </v>
      </c>
      <c r="N104" t="str">
        <f>AD51</f>
        <v xml:space="preserve"> </v>
      </c>
      <c r="O104" t="str">
        <f>AD28</f>
        <v xml:space="preserve"> </v>
      </c>
      <c r="P104" t="str">
        <f>AD71</f>
        <v xml:space="preserve"> </v>
      </c>
      <c r="Q104" t="str">
        <f>AY8</f>
        <v xml:space="preserve"> </v>
      </c>
      <c r="R104" t="str">
        <f>AY51</f>
        <v xml:space="preserve"> </v>
      </c>
      <c r="S104" t="str">
        <f>AY28</f>
        <v xml:space="preserve"> </v>
      </c>
      <c r="T104" s="28" t="str">
        <f>AY71</f>
        <v xml:space="preserve"> </v>
      </c>
      <c r="X104" s="27" t="str">
        <f>AD12</f>
        <v xml:space="preserve"> </v>
      </c>
      <c r="Y104" t="str">
        <f>AD55</f>
        <v xml:space="preserve"> </v>
      </c>
      <c r="Z104" t="str">
        <f>AD32</f>
        <v xml:space="preserve"> </v>
      </c>
      <c r="AA104" t="str">
        <f>AD75</f>
        <v xml:space="preserve"> </v>
      </c>
      <c r="AB104" t="str">
        <f>AY12</f>
        <v xml:space="preserve"> </v>
      </c>
      <c r="AC104" t="str">
        <f>AY55</f>
        <v xml:space="preserve"> </v>
      </c>
      <c r="AD104" t="str">
        <f>AY32</f>
        <v xml:space="preserve"> </v>
      </c>
      <c r="AE104" s="28" t="str">
        <f>AY75</f>
        <v xml:space="preserve"> </v>
      </c>
      <c r="AF104" s="27" t="str">
        <f>AD16</f>
        <v xml:space="preserve"> </v>
      </c>
      <c r="AG104" t="str">
        <f>AD59</f>
        <v xml:space="preserve"> </v>
      </c>
      <c r="AH104" t="str">
        <f>AD36</f>
        <v xml:space="preserve"> </v>
      </c>
      <c r="AI104" t="str">
        <f>AD79</f>
        <v xml:space="preserve"> </v>
      </c>
      <c r="AJ104" t="str">
        <f>AY16</f>
        <v xml:space="preserve"> </v>
      </c>
      <c r="AK104" t="str">
        <f>AY59</f>
        <v xml:space="preserve"> </v>
      </c>
      <c r="AL104" t="str">
        <f>AY36</f>
        <v xml:space="preserve"> </v>
      </c>
      <c r="AM104" s="28" t="str">
        <f>AY79</f>
        <v xml:space="preserve"> </v>
      </c>
      <c r="AQ104" s="27" t="str">
        <f>AD20</f>
        <v xml:space="preserve"> </v>
      </c>
      <c r="AR104" t="str">
        <f>AD63</f>
        <v xml:space="preserve"> </v>
      </c>
      <c r="AS104" t="str">
        <f>AD40</f>
        <v xml:space="preserve"> </v>
      </c>
      <c r="AT104" t="str">
        <f>AD83</f>
        <v xml:space="preserve"> </v>
      </c>
      <c r="AU104" t="str">
        <f>AY20</f>
        <v xml:space="preserve"> </v>
      </c>
      <c r="AV104" t="str">
        <f>AY63</f>
        <v xml:space="preserve"> </v>
      </c>
      <c r="AW104" t="str">
        <f>AY40</f>
        <v xml:space="preserve"> </v>
      </c>
      <c r="AX104" s="28" t="str">
        <f>AY83</f>
        <v xml:space="preserve"> </v>
      </c>
    </row>
    <row r="105" spans="5:50" hidden="1" x14ac:dyDescent="0.25">
      <c r="E105" s="27" t="str">
        <f>AD5</f>
        <v xml:space="preserve"> </v>
      </c>
      <c r="F105" t="str">
        <f>AD48</f>
        <v xml:space="preserve"> </v>
      </c>
      <c r="G105" t="str">
        <f>AD25</f>
        <v xml:space="preserve"> </v>
      </c>
      <c r="H105" t="str">
        <f>AD68</f>
        <v xml:space="preserve"> </v>
      </c>
      <c r="I105" t="str">
        <f>AY5</f>
        <v xml:space="preserve"> </v>
      </c>
      <c r="J105" t="str">
        <f>AY48</f>
        <v xml:space="preserve"> </v>
      </c>
      <c r="K105" t="str">
        <f>AY25</f>
        <v xml:space="preserve"> </v>
      </c>
      <c r="L105" s="28" t="str">
        <f>AY68</f>
        <v xml:space="preserve"> </v>
      </c>
      <c r="M105" s="27" t="str">
        <f>AD9</f>
        <v xml:space="preserve"> </v>
      </c>
      <c r="N105" t="str">
        <f>AD52</f>
        <v xml:space="preserve"> </v>
      </c>
      <c r="O105" t="str">
        <f>AD29</f>
        <v xml:space="preserve"> </v>
      </c>
      <c r="P105" t="str">
        <f>AD72</f>
        <v xml:space="preserve"> </v>
      </c>
      <c r="Q105" t="str">
        <f>AY9</f>
        <v xml:space="preserve"> </v>
      </c>
      <c r="R105" t="str">
        <f>AY52</f>
        <v xml:space="preserve"> </v>
      </c>
      <c r="S105" t="str">
        <f>AY29</f>
        <v xml:space="preserve"> </v>
      </c>
      <c r="T105" s="28" t="str">
        <f>AY72</f>
        <v xml:space="preserve"> </v>
      </c>
      <c r="X105" s="27" t="str">
        <f>AD13</f>
        <v xml:space="preserve"> </v>
      </c>
      <c r="Y105" t="str">
        <f>AD56</f>
        <v xml:space="preserve"> </v>
      </c>
      <c r="Z105" t="str">
        <f>AD33</f>
        <v xml:space="preserve"> </v>
      </c>
      <c r="AA105" t="str">
        <f>AD76</f>
        <v xml:space="preserve"> </v>
      </c>
      <c r="AB105" t="str">
        <f>AY13</f>
        <v xml:space="preserve"> </v>
      </c>
      <c r="AC105" t="str">
        <f>AY56</f>
        <v xml:space="preserve"> </v>
      </c>
      <c r="AD105" t="str">
        <f>AY33</f>
        <v xml:space="preserve"> </v>
      </c>
      <c r="AE105" s="28" t="str">
        <f>AY76</f>
        <v xml:space="preserve"> </v>
      </c>
      <c r="AF105" s="27" t="str">
        <f>AD17</f>
        <v xml:space="preserve"> </v>
      </c>
      <c r="AG105" t="str">
        <f>AD60</f>
        <v xml:space="preserve"> </v>
      </c>
      <c r="AH105" t="str">
        <f>AD37</f>
        <v xml:space="preserve"> </v>
      </c>
      <c r="AI105" t="str">
        <f>AD80</f>
        <v xml:space="preserve"> </v>
      </c>
      <c r="AJ105" t="str">
        <f>AY17</f>
        <v xml:space="preserve"> </v>
      </c>
      <c r="AK105" t="str">
        <f>AY60</f>
        <v xml:space="preserve"> </v>
      </c>
      <c r="AL105" t="str">
        <f>AY37</f>
        <v xml:space="preserve"> </v>
      </c>
      <c r="AM105" s="28" t="str">
        <f>AY80</f>
        <v xml:space="preserve"> </v>
      </c>
      <c r="AQ105" s="27" t="str">
        <f>AD21</f>
        <v xml:space="preserve"> </v>
      </c>
      <c r="AR105" t="str">
        <f>AD64</f>
        <v xml:space="preserve"> </v>
      </c>
      <c r="AS105" t="str">
        <f>AD41</f>
        <v xml:space="preserve"> </v>
      </c>
      <c r="AT105" t="str">
        <f>AD84</f>
        <v xml:space="preserve"> </v>
      </c>
      <c r="AU105" t="str">
        <f>AY21</f>
        <v xml:space="preserve"> </v>
      </c>
      <c r="AV105" t="str">
        <f>AY64</f>
        <v xml:space="preserve"> </v>
      </c>
      <c r="AW105" t="str">
        <f>AY41</f>
        <v xml:space="preserve"> </v>
      </c>
      <c r="AX105" s="28" t="str">
        <f>AY84</f>
        <v xml:space="preserve"> </v>
      </c>
    </row>
    <row r="106" spans="5:50" hidden="1" x14ac:dyDescent="0.25">
      <c r="E106" s="27" t="str">
        <f>AD6</f>
        <v xml:space="preserve"> </v>
      </c>
      <c r="F106" t="str">
        <f>AD49</f>
        <v xml:space="preserve"> </v>
      </c>
      <c r="G106" t="str">
        <f>AD26</f>
        <v xml:space="preserve"> </v>
      </c>
      <c r="H106" t="str">
        <f>AD69</f>
        <v xml:space="preserve"> </v>
      </c>
      <c r="I106" t="str">
        <f>AY6</f>
        <v xml:space="preserve"> </v>
      </c>
      <c r="J106" t="str">
        <f>AY49</f>
        <v xml:space="preserve"> </v>
      </c>
      <c r="K106" t="str">
        <f>AY26</f>
        <v xml:space="preserve"> </v>
      </c>
      <c r="L106" s="28" t="str">
        <f>AY69</f>
        <v xml:space="preserve"> </v>
      </c>
      <c r="M106" s="27" t="str">
        <f>AD10</f>
        <v xml:space="preserve"> </v>
      </c>
      <c r="N106" t="str">
        <f>AD53</f>
        <v xml:space="preserve"> </v>
      </c>
      <c r="O106" t="str">
        <f>AD30</f>
        <v xml:space="preserve"> </v>
      </c>
      <c r="P106" t="str">
        <f>AD73</f>
        <v xml:space="preserve"> </v>
      </c>
      <c r="Q106" t="str">
        <f>AY10</f>
        <v xml:space="preserve"> </v>
      </c>
      <c r="R106" t="str">
        <f>AY53</f>
        <v xml:space="preserve"> </v>
      </c>
      <c r="S106" t="str">
        <f>AY30</f>
        <v xml:space="preserve"> </v>
      </c>
      <c r="T106" s="28" t="str">
        <f>AY73</f>
        <v xml:space="preserve"> </v>
      </c>
      <c r="X106" s="27" t="str">
        <f>AD14</f>
        <v xml:space="preserve"> </v>
      </c>
      <c r="Y106" t="str">
        <f>AD57</f>
        <v xml:space="preserve"> </v>
      </c>
      <c r="Z106" t="str">
        <f>AD34</f>
        <v xml:space="preserve"> </v>
      </c>
      <c r="AA106" t="str">
        <f>AD77</f>
        <v xml:space="preserve"> </v>
      </c>
      <c r="AB106" t="str">
        <f>AY14</f>
        <v xml:space="preserve"> </v>
      </c>
      <c r="AC106" t="str">
        <f>AY57</f>
        <v xml:space="preserve"> </v>
      </c>
      <c r="AD106" t="str">
        <f>AY34</f>
        <v xml:space="preserve"> </v>
      </c>
      <c r="AE106" s="28" t="str">
        <f>AY77</f>
        <v xml:space="preserve"> </v>
      </c>
      <c r="AF106" s="27" t="str">
        <f>AD18</f>
        <v xml:space="preserve"> </v>
      </c>
      <c r="AG106" t="str">
        <f>AD61</f>
        <v xml:space="preserve"> </v>
      </c>
      <c r="AH106" t="str">
        <f>AD38</f>
        <v xml:space="preserve"> </v>
      </c>
      <c r="AI106" t="str">
        <f>AD81</f>
        <v xml:space="preserve"> </v>
      </c>
      <c r="AJ106" t="str">
        <f>AY18</f>
        <v xml:space="preserve"> </v>
      </c>
      <c r="AK106" t="str">
        <f>AY61</f>
        <v xml:space="preserve"> </v>
      </c>
      <c r="AL106" t="str">
        <f>AY38</f>
        <v xml:space="preserve"> </v>
      </c>
      <c r="AM106" s="28" t="str">
        <f>AY81</f>
        <v xml:space="preserve"> </v>
      </c>
      <c r="AQ106" s="27" t="str">
        <f>AD22</f>
        <v xml:space="preserve"> </v>
      </c>
      <c r="AR106" t="str">
        <f>AD65</f>
        <v xml:space="preserve"> </v>
      </c>
      <c r="AS106" t="str">
        <f>AD42</f>
        <v xml:space="preserve"> </v>
      </c>
      <c r="AT106" t="str">
        <f>AD85</f>
        <v xml:space="preserve"> </v>
      </c>
      <c r="AU106" t="str">
        <f>AY22</f>
        <v xml:space="preserve"> </v>
      </c>
      <c r="AV106" t="str">
        <f>AY65</f>
        <v xml:space="preserve"> </v>
      </c>
      <c r="AW106" t="str">
        <f>AY42</f>
        <v xml:space="preserve"> </v>
      </c>
      <c r="AX106" s="28" t="str">
        <f>AY85</f>
        <v xml:space="preserve"> </v>
      </c>
    </row>
    <row r="107" spans="5:50" hidden="1" x14ac:dyDescent="0.25">
      <c r="E107" s="29" t="str">
        <f>AD7</f>
        <v xml:space="preserve"> </v>
      </c>
      <c r="F107" s="30" t="str">
        <f>AD50</f>
        <v xml:space="preserve"> </v>
      </c>
      <c r="G107" s="30" t="str">
        <f>AD27</f>
        <v xml:space="preserve"> </v>
      </c>
      <c r="H107" s="30" t="str">
        <f>AD70</f>
        <v xml:space="preserve"> </v>
      </c>
      <c r="I107" s="30" t="str">
        <f>AY7</f>
        <v xml:space="preserve"> </v>
      </c>
      <c r="J107" s="30" t="str">
        <f>AY50</f>
        <v xml:space="preserve"> </v>
      </c>
      <c r="K107" s="30" t="str">
        <f>AY27</f>
        <v xml:space="preserve"> </v>
      </c>
      <c r="L107" s="31" t="str">
        <f>AY70</f>
        <v xml:space="preserve"> </v>
      </c>
      <c r="M107" s="27" t="str">
        <f>AD11</f>
        <v xml:space="preserve"> </v>
      </c>
      <c r="N107" t="str">
        <f>AD54</f>
        <v xml:space="preserve"> </v>
      </c>
      <c r="O107" t="str">
        <f>AD31</f>
        <v xml:space="preserve"> </v>
      </c>
      <c r="P107" t="str">
        <f>AD74</f>
        <v xml:space="preserve"> </v>
      </c>
      <c r="Q107" t="str">
        <f>AY11</f>
        <v xml:space="preserve"> </v>
      </c>
      <c r="R107" t="str">
        <f>AY54</f>
        <v xml:space="preserve"> </v>
      </c>
      <c r="S107" t="str">
        <f>AY31</f>
        <v xml:space="preserve"> </v>
      </c>
      <c r="T107" s="28" t="str">
        <f>AY74</f>
        <v xml:space="preserve"> </v>
      </c>
      <c r="X107" s="27" t="str">
        <f>AD15</f>
        <v xml:space="preserve"> </v>
      </c>
      <c r="Y107" t="str">
        <f>AD58</f>
        <v xml:space="preserve"> </v>
      </c>
      <c r="Z107" t="str">
        <f>AD35</f>
        <v xml:space="preserve"> </v>
      </c>
      <c r="AA107" t="str">
        <f>AD78</f>
        <v xml:space="preserve"> </v>
      </c>
      <c r="AB107" t="str">
        <f>AY15</f>
        <v xml:space="preserve"> </v>
      </c>
      <c r="AC107" t="str">
        <f>AY58</f>
        <v xml:space="preserve"> </v>
      </c>
      <c r="AD107" t="str">
        <f>AY35</f>
        <v xml:space="preserve"> </v>
      </c>
      <c r="AE107" s="28" t="str">
        <f>AY78</f>
        <v xml:space="preserve"> </v>
      </c>
      <c r="AF107" s="27" t="str">
        <f>AD19</f>
        <v xml:space="preserve"> </v>
      </c>
      <c r="AG107" t="str">
        <f>AD62</f>
        <v xml:space="preserve"> </v>
      </c>
      <c r="AH107" t="str">
        <f>AD39</f>
        <v xml:space="preserve"> </v>
      </c>
      <c r="AI107" t="str">
        <f>AD82</f>
        <v xml:space="preserve"> </v>
      </c>
      <c r="AJ107" t="str">
        <f>AY19</f>
        <v xml:space="preserve"> </v>
      </c>
      <c r="AK107" t="str">
        <f>AY62</f>
        <v xml:space="preserve"> </v>
      </c>
      <c r="AL107" t="str">
        <f>AY39</f>
        <v xml:space="preserve"> </v>
      </c>
      <c r="AM107" s="28" t="str">
        <f>AY82</f>
        <v xml:space="preserve"> </v>
      </c>
      <c r="AQ107" s="27" t="str">
        <f>AD23</f>
        <v xml:space="preserve"> </v>
      </c>
      <c r="AR107" t="str">
        <f>AD66</f>
        <v xml:space="preserve"> </v>
      </c>
      <c r="AS107" t="str">
        <f>AD43</f>
        <v xml:space="preserve"> </v>
      </c>
      <c r="AT107" t="str">
        <f>AD86</f>
        <v xml:space="preserve"> </v>
      </c>
      <c r="AU107" t="str">
        <f>AY23</f>
        <v xml:space="preserve"> </v>
      </c>
      <c r="AV107" t="str">
        <f>AY66</f>
        <v xml:space="preserve"> </v>
      </c>
      <c r="AW107" t="str">
        <f>AY43</f>
        <v xml:space="preserve"> </v>
      </c>
      <c r="AX107" s="28" t="str">
        <f>AY86</f>
        <v xml:space="preserve"> </v>
      </c>
    </row>
    <row r="108" spans="5:50" hidden="1" x14ac:dyDescent="0.25">
      <c r="E108" s="24" t="str">
        <f>AE4</f>
        <v xml:space="preserve"> </v>
      </c>
      <c r="F108" s="25" t="str">
        <f>AE47</f>
        <v xml:space="preserve"> </v>
      </c>
      <c r="G108" s="25" t="str">
        <f>AE24</f>
        <v xml:space="preserve"> </v>
      </c>
      <c r="H108" s="25" t="str">
        <f>AE67</f>
        <v xml:space="preserve"> </v>
      </c>
      <c r="I108" s="25" t="str">
        <f>AZ4</f>
        <v xml:space="preserve"> </v>
      </c>
      <c r="J108" s="25" t="str">
        <f>AZ47</f>
        <v xml:space="preserve"> </v>
      </c>
      <c r="K108" s="25" t="str">
        <f>AZ24</f>
        <v xml:space="preserve"> </v>
      </c>
      <c r="L108" s="26" t="str">
        <f>AZ67</f>
        <v xml:space="preserve"> </v>
      </c>
      <c r="M108" s="24" t="str">
        <f>AE8</f>
        <v xml:space="preserve"> </v>
      </c>
      <c r="N108" s="25" t="str">
        <f>AE51</f>
        <v xml:space="preserve"> </v>
      </c>
      <c r="O108" s="25" t="str">
        <f>AE28</f>
        <v xml:space="preserve"> </v>
      </c>
      <c r="P108" s="25" t="str">
        <f>AE71</f>
        <v xml:space="preserve"> </v>
      </c>
      <c r="Q108" s="25" t="str">
        <f>AZ8</f>
        <v xml:space="preserve"> </v>
      </c>
      <c r="R108" s="25" t="str">
        <f>AZ51</f>
        <v xml:space="preserve"> </v>
      </c>
      <c r="S108" s="25" t="str">
        <f>AZ28</f>
        <v xml:space="preserve"> </v>
      </c>
      <c r="T108" s="26" t="str">
        <f>AZ71</f>
        <v xml:space="preserve"> </v>
      </c>
      <c r="U108" s="25"/>
      <c r="V108" s="25"/>
      <c r="W108" s="25"/>
      <c r="X108" s="24" t="str">
        <f>AE12</f>
        <v xml:space="preserve"> </v>
      </c>
      <c r="Y108" s="25" t="str">
        <f>AE55</f>
        <v xml:space="preserve"> </v>
      </c>
      <c r="Z108" s="25" t="str">
        <f>AE32</f>
        <v xml:space="preserve"> </v>
      </c>
      <c r="AA108" s="25" t="str">
        <f>AE75</f>
        <v xml:space="preserve"> </v>
      </c>
      <c r="AB108" s="25" t="str">
        <f>AZ12</f>
        <v xml:space="preserve"> </v>
      </c>
      <c r="AC108" s="25" t="str">
        <f>AZ55</f>
        <v xml:space="preserve"> </v>
      </c>
      <c r="AD108" s="25" t="str">
        <f>AZ32</f>
        <v xml:space="preserve"> </v>
      </c>
      <c r="AE108" s="26" t="str">
        <f>AZ75</f>
        <v xml:space="preserve"> </v>
      </c>
      <c r="AF108" s="24" t="str">
        <f>AE16</f>
        <v xml:space="preserve"> </v>
      </c>
      <c r="AG108" s="25" t="str">
        <f>AE59</f>
        <v xml:space="preserve"> </v>
      </c>
      <c r="AH108" s="25" t="str">
        <f>AE36</f>
        <v xml:space="preserve"> </v>
      </c>
      <c r="AI108" s="25" t="str">
        <f>AE79</f>
        <v xml:space="preserve"> </v>
      </c>
      <c r="AJ108" s="25" t="str">
        <f>AZ16</f>
        <v xml:space="preserve"> </v>
      </c>
      <c r="AK108" s="25" t="str">
        <f>AZ59</f>
        <v xml:space="preserve"> </v>
      </c>
      <c r="AL108" s="25" t="str">
        <f>AZ36</f>
        <v xml:space="preserve"> </v>
      </c>
      <c r="AM108" s="26" t="str">
        <f>AZ79</f>
        <v xml:space="preserve"> </v>
      </c>
      <c r="AN108" s="25"/>
      <c r="AO108" s="25"/>
      <c r="AP108" s="25"/>
      <c r="AQ108" s="24" t="str">
        <f>AE20</f>
        <v xml:space="preserve"> </v>
      </c>
      <c r="AR108" s="25" t="str">
        <f>AE63</f>
        <v xml:space="preserve"> </v>
      </c>
      <c r="AS108" s="25" t="str">
        <f>AE40</f>
        <v xml:space="preserve"> </v>
      </c>
      <c r="AT108" s="25" t="str">
        <f>AE83</f>
        <v xml:space="preserve"> </v>
      </c>
      <c r="AU108" s="25" t="str">
        <f>AZ20</f>
        <v xml:space="preserve"> </v>
      </c>
      <c r="AV108" s="25" t="str">
        <f>AZ63</f>
        <v xml:space="preserve"> </v>
      </c>
      <c r="AW108" s="25" t="str">
        <f>AZ40</f>
        <v xml:space="preserve"> </v>
      </c>
      <c r="AX108" s="26" t="str">
        <f>AZ83</f>
        <v xml:space="preserve"> </v>
      </c>
    </row>
    <row r="109" spans="5:50" hidden="1" x14ac:dyDescent="0.25">
      <c r="E109" s="27" t="str">
        <f>AE5</f>
        <v xml:space="preserve"> </v>
      </c>
      <c r="F109" t="str">
        <f>AE48</f>
        <v xml:space="preserve"> </v>
      </c>
      <c r="G109" t="str">
        <f>AE25</f>
        <v xml:space="preserve"> </v>
      </c>
      <c r="H109" t="str">
        <f>AE68</f>
        <v xml:space="preserve"> </v>
      </c>
      <c r="I109" t="str">
        <f>AZ5</f>
        <v xml:space="preserve"> </v>
      </c>
      <c r="J109" t="str">
        <f>AZ48</f>
        <v xml:space="preserve"> </v>
      </c>
      <c r="K109" t="str">
        <f>AZ25</f>
        <v xml:space="preserve"> </v>
      </c>
      <c r="L109" s="28" t="str">
        <f>AZ68</f>
        <v xml:space="preserve"> </v>
      </c>
      <c r="M109" s="27" t="str">
        <f>AE9</f>
        <v xml:space="preserve"> </v>
      </c>
      <c r="N109" t="str">
        <f>AE52</f>
        <v xml:space="preserve"> </v>
      </c>
      <c r="O109" t="str">
        <f>AE29</f>
        <v xml:space="preserve"> </v>
      </c>
      <c r="P109" t="str">
        <f>AE72</f>
        <v xml:space="preserve"> </v>
      </c>
      <c r="Q109" t="str">
        <f>AZ9</f>
        <v xml:space="preserve"> </v>
      </c>
      <c r="R109" t="str">
        <f>AZ52</f>
        <v xml:space="preserve"> </v>
      </c>
      <c r="S109" t="str">
        <f>AZ29</f>
        <v xml:space="preserve"> </v>
      </c>
      <c r="T109" s="28" t="str">
        <f>AZ72</f>
        <v xml:space="preserve"> </v>
      </c>
      <c r="X109" s="27" t="str">
        <f>AE13</f>
        <v xml:space="preserve"> </v>
      </c>
      <c r="Y109" t="str">
        <f>AE56</f>
        <v xml:space="preserve"> </v>
      </c>
      <c r="Z109" t="str">
        <f>AE33</f>
        <v xml:space="preserve"> </v>
      </c>
      <c r="AA109" t="str">
        <f>AE76</f>
        <v xml:space="preserve"> </v>
      </c>
      <c r="AB109" t="str">
        <f>AZ13</f>
        <v xml:space="preserve"> </v>
      </c>
      <c r="AC109" t="str">
        <f>AZ56</f>
        <v xml:space="preserve"> </v>
      </c>
      <c r="AD109" t="str">
        <f>AZ33</f>
        <v xml:space="preserve"> </v>
      </c>
      <c r="AE109" s="28" t="str">
        <f>AZ76</f>
        <v xml:space="preserve"> </v>
      </c>
      <c r="AF109" s="27" t="str">
        <f>AE17</f>
        <v xml:space="preserve"> </v>
      </c>
      <c r="AG109" t="str">
        <f>AE60</f>
        <v xml:space="preserve"> </v>
      </c>
      <c r="AH109" t="str">
        <f>AE37</f>
        <v xml:space="preserve"> </v>
      </c>
      <c r="AI109" t="str">
        <f>AE80</f>
        <v xml:space="preserve"> </v>
      </c>
      <c r="AJ109" t="str">
        <f>AZ17</f>
        <v xml:space="preserve"> </v>
      </c>
      <c r="AK109" t="str">
        <f>AZ60</f>
        <v xml:space="preserve"> </v>
      </c>
      <c r="AL109" t="str">
        <f>AZ37</f>
        <v xml:space="preserve"> </v>
      </c>
      <c r="AM109" s="28" t="str">
        <f>AZ80</f>
        <v xml:space="preserve"> </v>
      </c>
      <c r="AQ109" s="27" t="str">
        <f>AE21</f>
        <v xml:space="preserve"> </v>
      </c>
      <c r="AR109" t="str">
        <f>AE64</f>
        <v xml:space="preserve"> </v>
      </c>
      <c r="AS109" t="str">
        <f>AE41</f>
        <v xml:space="preserve"> </v>
      </c>
      <c r="AT109" t="str">
        <f>AE84</f>
        <v xml:space="preserve"> </v>
      </c>
      <c r="AU109" t="str">
        <f>AZ21</f>
        <v xml:space="preserve"> </v>
      </c>
      <c r="AV109" t="str">
        <f>AZ64</f>
        <v xml:space="preserve"> </v>
      </c>
      <c r="AW109" t="str">
        <f>AZ41</f>
        <v xml:space="preserve"> </v>
      </c>
      <c r="AX109" s="28" t="str">
        <f>AZ84</f>
        <v xml:space="preserve"> </v>
      </c>
    </row>
    <row r="110" spans="5:50" hidden="1" x14ac:dyDescent="0.25">
      <c r="E110" s="27" t="str">
        <f>AE6</f>
        <v xml:space="preserve"> </v>
      </c>
      <c r="F110" t="str">
        <f>AE49</f>
        <v xml:space="preserve"> </v>
      </c>
      <c r="G110" t="str">
        <f>AE26</f>
        <v xml:space="preserve"> </v>
      </c>
      <c r="H110" t="str">
        <f>AE69</f>
        <v xml:space="preserve"> </v>
      </c>
      <c r="I110" t="str">
        <f>AZ6</f>
        <v xml:space="preserve"> </v>
      </c>
      <c r="J110" t="str">
        <f>AZ49</f>
        <v xml:space="preserve"> </v>
      </c>
      <c r="K110" t="str">
        <f>AZ26</f>
        <v xml:space="preserve"> </v>
      </c>
      <c r="L110" s="28" t="str">
        <f>AZ69</f>
        <v xml:space="preserve"> </v>
      </c>
      <c r="M110" s="27" t="str">
        <f>AE10</f>
        <v xml:space="preserve"> </v>
      </c>
      <c r="N110" t="str">
        <f>AE53</f>
        <v xml:space="preserve"> </v>
      </c>
      <c r="O110" t="str">
        <f>AE30</f>
        <v xml:space="preserve"> </v>
      </c>
      <c r="P110" t="str">
        <f>AE73</f>
        <v xml:space="preserve"> </v>
      </c>
      <c r="Q110" t="str">
        <f>AZ10</f>
        <v xml:space="preserve"> </v>
      </c>
      <c r="R110" t="str">
        <f>AZ53</f>
        <v xml:space="preserve"> </v>
      </c>
      <c r="S110" t="str">
        <f>AZ30</f>
        <v xml:space="preserve"> </v>
      </c>
      <c r="T110" s="28" t="str">
        <f>AZ73</f>
        <v xml:space="preserve"> </v>
      </c>
      <c r="X110" s="27" t="str">
        <f>AE14</f>
        <v xml:space="preserve"> </v>
      </c>
      <c r="Y110" t="str">
        <f>AE57</f>
        <v xml:space="preserve"> </v>
      </c>
      <c r="Z110" t="str">
        <f>AE34</f>
        <v xml:space="preserve"> </v>
      </c>
      <c r="AA110" t="str">
        <f>AE77</f>
        <v xml:space="preserve"> </v>
      </c>
      <c r="AB110" t="str">
        <f>AZ14</f>
        <v xml:space="preserve"> </v>
      </c>
      <c r="AC110" t="str">
        <f>AZ57</f>
        <v xml:space="preserve"> </v>
      </c>
      <c r="AD110" t="str">
        <f>AZ34</f>
        <v xml:space="preserve"> </v>
      </c>
      <c r="AE110" s="28" t="str">
        <f>AZ77</f>
        <v xml:space="preserve"> </v>
      </c>
      <c r="AF110" s="27" t="str">
        <f>AE18</f>
        <v xml:space="preserve"> </v>
      </c>
      <c r="AG110" t="str">
        <f>AE61</f>
        <v xml:space="preserve"> </v>
      </c>
      <c r="AH110" t="str">
        <f>AE38</f>
        <v xml:space="preserve"> </v>
      </c>
      <c r="AI110" t="str">
        <f>AE81</f>
        <v xml:space="preserve"> </v>
      </c>
      <c r="AJ110" t="str">
        <f>AZ18</f>
        <v xml:space="preserve"> </v>
      </c>
      <c r="AK110" t="str">
        <f>AZ61</f>
        <v xml:space="preserve"> </v>
      </c>
      <c r="AL110" t="str">
        <f>AZ38</f>
        <v xml:space="preserve"> </v>
      </c>
      <c r="AM110" s="28" t="str">
        <f>AZ81</f>
        <v xml:space="preserve"> </v>
      </c>
      <c r="AQ110" s="27" t="str">
        <f>AE22</f>
        <v xml:space="preserve"> </v>
      </c>
      <c r="AR110" t="str">
        <f>AE65</f>
        <v xml:space="preserve"> </v>
      </c>
      <c r="AS110" t="str">
        <f>AE42</f>
        <v xml:space="preserve"> </v>
      </c>
      <c r="AT110" t="str">
        <f>AE85</f>
        <v xml:space="preserve"> </v>
      </c>
      <c r="AU110" t="str">
        <f>AZ22</f>
        <v xml:space="preserve"> </v>
      </c>
      <c r="AV110" t="str">
        <f>AZ65</f>
        <v xml:space="preserve"> </v>
      </c>
      <c r="AW110" t="str">
        <f>AZ42</f>
        <v xml:space="preserve"> </v>
      </c>
      <c r="AX110" s="28" t="str">
        <f>AZ85</f>
        <v xml:space="preserve"> </v>
      </c>
    </row>
    <row r="111" spans="5:50" hidden="1" x14ac:dyDescent="0.25">
      <c r="E111" s="29" t="str">
        <f>AE7</f>
        <v xml:space="preserve"> </v>
      </c>
      <c r="F111" s="30" t="str">
        <f>AE50</f>
        <v xml:space="preserve"> </v>
      </c>
      <c r="G111" s="30" t="str">
        <f>AE27</f>
        <v xml:space="preserve"> </v>
      </c>
      <c r="H111" s="30" t="str">
        <f>AE70</f>
        <v xml:space="preserve"> </v>
      </c>
      <c r="I111" s="30" t="str">
        <f>AZ7</f>
        <v xml:space="preserve"> </v>
      </c>
      <c r="J111" s="30" t="str">
        <f>AZ50</f>
        <v xml:space="preserve"> </v>
      </c>
      <c r="K111" s="30" t="str">
        <f>AZ27</f>
        <v xml:space="preserve"> </v>
      </c>
      <c r="L111" s="31" t="str">
        <f>AZ70</f>
        <v xml:space="preserve"> </v>
      </c>
      <c r="M111" s="29" t="str">
        <f>AE11</f>
        <v xml:space="preserve"> </v>
      </c>
      <c r="N111" s="30" t="str">
        <f>AE54</f>
        <v xml:space="preserve"> </v>
      </c>
      <c r="O111" s="30" t="str">
        <f>AE31</f>
        <v xml:space="preserve"> </v>
      </c>
      <c r="P111" s="30" t="str">
        <f>AE74</f>
        <v xml:space="preserve"> </v>
      </c>
      <c r="Q111" s="30" t="str">
        <f>AZ11</f>
        <v xml:space="preserve"> </v>
      </c>
      <c r="R111" s="30" t="str">
        <f>AZ54</f>
        <v xml:space="preserve"> </v>
      </c>
      <c r="S111" s="30" t="str">
        <f>AZ31</f>
        <v xml:space="preserve"> </v>
      </c>
      <c r="T111" s="31" t="str">
        <f>AZ74</f>
        <v xml:space="preserve"> </v>
      </c>
      <c r="U111" s="30"/>
      <c r="V111" s="30"/>
      <c r="W111" s="30"/>
      <c r="X111" s="29" t="str">
        <f>AE15</f>
        <v xml:space="preserve"> </v>
      </c>
      <c r="Y111" s="30" t="str">
        <f>AE58</f>
        <v xml:space="preserve"> </v>
      </c>
      <c r="Z111" s="30" t="str">
        <f>AE35</f>
        <v xml:space="preserve"> </v>
      </c>
      <c r="AA111" s="30" t="str">
        <f>AE78</f>
        <v xml:space="preserve"> </v>
      </c>
      <c r="AB111" s="30" t="str">
        <f>AZ15</f>
        <v xml:space="preserve"> </v>
      </c>
      <c r="AC111" s="30" t="str">
        <f>AZ58</f>
        <v xml:space="preserve"> </v>
      </c>
      <c r="AD111" s="30" t="str">
        <f>AZ35</f>
        <v xml:space="preserve"> </v>
      </c>
      <c r="AE111" s="31" t="str">
        <f>AZ78</f>
        <v xml:space="preserve"> </v>
      </c>
      <c r="AF111" s="29" t="str">
        <f>AE19</f>
        <v xml:space="preserve"> </v>
      </c>
      <c r="AG111" s="30" t="str">
        <f>AE62</f>
        <v xml:space="preserve"> </v>
      </c>
      <c r="AH111" s="30" t="str">
        <f>AE39</f>
        <v xml:space="preserve"> </v>
      </c>
      <c r="AI111" s="30" t="str">
        <f>AE82</f>
        <v xml:space="preserve"> </v>
      </c>
      <c r="AJ111" s="30" t="str">
        <f>AZ19</f>
        <v xml:space="preserve"> </v>
      </c>
      <c r="AK111" s="30" t="str">
        <f>AZ62</f>
        <v xml:space="preserve"> </v>
      </c>
      <c r="AL111" s="30" t="str">
        <f>AZ39</f>
        <v xml:space="preserve"> </v>
      </c>
      <c r="AM111" s="31" t="str">
        <f>AZ82</f>
        <v xml:space="preserve"> </v>
      </c>
      <c r="AN111" s="30"/>
      <c r="AO111" s="30"/>
      <c r="AP111" s="30"/>
      <c r="AQ111" s="29" t="str">
        <f>AE23</f>
        <v xml:space="preserve"> </v>
      </c>
      <c r="AR111" s="30" t="str">
        <f>AE66</f>
        <v xml:space="preserve"> </v>
      </c>
      <c r="AS111" s="30" t="str">
        <f>AE43</f>
        <v xml:space="preserve"> </v>
      </c>
      <c r="AT111" s="30" t="str">
        <f>AE86</f>
        <v xml:space="preserve"> </v>
      </c>
      <c r="AU111" s="30" t="str">
        <f>AZ23</f>
        <v xml:space="preserve"> </v>
      </c>
      <c r="AV111" s="30" t="str">
        <f>AZ66</f>
        <v xml:space="preserve"> </v>
      </c>
      <c r="AW111" s="30" t="str">
        <f>AZ43</f>
        <v xml:space="preserve"> </v>
      </c>
      <c r="AX111" s="31" t="str">
        <f>AZ86</f>
        <v xml:space="preserve"> </v>
      </c>
    </row>
    <row r="112" spans="5:50" hidden="1" x14ac:dyDescent="0.25">
      <c r="E112" s="24" t="str">
        <f>AF4</f>
        <v xml:space="preserve"> </v>
      </c>
      <c r="F112" s="25" t="str">
        <f>AF47</f>
        <v xml:space="preserve"> </v>
      </c>
      <c r="G112" s="25" t="str">
        <f>AF24</f>
        <v xml:space="preserve"> </v>
      </c>
      <c r="H112" s="25" t="str">
        <f>AF67</f>
        <v xml:space="preserve"> </v>
      </c>
      <c r="I112" s="25" t="str">
        <f>BA4</f>
        <v xml:space="preserve"> </v>
      </c>
      <c r="J112" s="25" t="str">
        <f>BA47</f>
        <v xml:space="preserve"> </v>
      </c>
      <c r="K112" s="25" t="str">
        <f>BA24</f>
        <v xml:space="preserve"> </v>
      </c>
      <c r="L112" s="26" t="str">
        <f>BA67</f>
        <v xml:space="preserve"> </v>
      </c>
      <c r="M112" s="27" t="str">
        <f>AF8</f>
        <v xml:space="preserve"> </v>
      </c>
      <c r="N112" t="str">
        <f>AF51</f>
        <v xml:space="preserve"> </v>
      </c>
      <c r="O112" t="str">
        <f>AF28</f>
        <v xml:space="preserve"> </v>
      </c>
      <c r="P112" t="str">
        <f>AF71</f>
        <v xml:space="preserve"> </v>
      </c>
      <c r="Q112" t="str">
        <f>BA8</f>
        <v xml:space="preserve"> </v>
      </c>
      <c r="R112" t="str">
        <f>BA51</f>
        <v xml:space="preserve"> </v>
      </c>
      <c r="S112" t="str">
        <f>BA28</f>
        <v xml:space="preserve"> </v>
      </c>
      <c r="T112" s="28" t="str">
        <f>BA71</f>
        <v xml:space="preserve"> </v>
      </c>
      <c r="X112" s="27" t="str">
        <f>AF12</f>
        <v xml:space="preserve"> </v>
      </c>
      <c r="Y112" t="str">
        <f>AF55</f>
        <v xml:space="preserve"> </v>
      </c>
      <c r="Z112" t="str">
        <f>AF32</f>
        <v xml:space="preserve"> </v>
      </c>
      <c r="AA112" t="str">
        <f>AF75</f>
        <v xml:space="preserve"> </v>
      </c>
      <c r="AB112" t="str">
        <f>BA12</f>
        <v xml:space="preserve"> </v>
      </c>
      <c r="AC112" t="str">
        <f>BA55</f>
        <v xml:space="preserve"> </v>
      </c>
      <c r="AD112" t="str">
        <f>BA32</f>
        <v xml:space="preserve"> </v>
      </c>
      <c r="AE112" s="28" t="str">
        <f>BA75</f>
        <v xml:space="preserve"> </v>
      </c>
      <c r="AF112" s="27" t="str">
        <f>AF16</f>
        <v xml:space="preserve"> </v>
      </c>
      <c r="AG112" t="str">
        <f>AF59</f>
        <v xml:space="preserve"> </v>
      </c>
      <c r="AH112" t="str">
        <f>AF36</f>
        <v xml:space="preserve"> </v>
      </c>
      <c r="AI112" t="str">
        <f>AF79</f>
        <v xml:space="preserve"> </v>
      </c>
      <c r="AJ112" t="str">
        <f>BA16</f>
        <v xml:space="preserve"> </v>
      </c>
      <c r="AK112" t="str">
        <f>BA59</f>
        <v xml:space="preserve"> </v>
      </c>
      <c r="AL112" t="str">
        <f>BA36</f>
        <v xml:space="preserve"> </v>
      </c>
      <c r="AM112" s="28" t="str">
        <f>BA79</f>
        <v xml:space="preserve"> </v>
      </c>
      <c r="AQ112" s="27" t="str">
        <f>AF20</f>
        <v xml:space="preserve"> </v>
      </c>
      <c r="AR112" t="str">
        <f>AF63</f>
        <v xml:space="preserve"> </v>
      </c>
      <c r="AS112" t="str">
        <f>AF40</f>
        <v xml:space="preserve"> </v>
      </c>
      <c r="AT112" t="str">
        <f>AF83</f>
        <v xml:space="preserve"> </v>
      </c>
      <c r="AU112" t="str">
        <f>BA20</f>
        <v xml:space="preserve"> </v>
      </c>
      <c r="AV112" t="str">
        <f>BA63</f>
        <v xml:space="preserve"> </v>
      </c>
      <c r="AW112" t="str">
        <f>BA40</f>
        <v xml:space="preserve"> </v>
      </c>
      <c r="AX112" s="28" t="str">
        <f>BA83</f>
        <v xml:space="preserve"> </v>
      </c>
    </row>
    <row r="113" spans="5:50" hidden="1" x14ac:dyDescent="0.25">
      <c r="E113" s="27" t="str">
        <f>AF5</f>
        <v xml:space="preserve"> </v>
      </c>
      <c r="F113" t="str">
        <f>AF48</f>
        <v xml:space="preserve"> </v>
      </c>
      <c r="G113" t="str">
        <f>AF25</f>
        <v xml:space="preserve"> </v>
      </c>
      <c r="H113" t="str">
        <f>AF68</f>
        <v xml:space="preserve"> </v>
      </c>
      <c r="I113" t="str">
        <f>BA5</f>
        <v xml:space="preserve"> </v>
      </c>
      <c r="J113" t="str">
        <f>BA48</f>
        <v xml:space="preserve"> </v>
      </c>
      <c r="K113" t="str">
        <f>BA25</f>
        <v xml:space="preserve"> </v>
      </c>
      <c r="L113" s="28" t="str">
        <f>BA68</f>
        <v xml:space="preserve"> </v>
      </c>
      <c r="M113" s="27" t="str">
        <f>AF9</f>
        <v xml:space="preserve"> </v>
      </c>
      <c r="N113" t="str">
        <f>AF52</f>
        <v xml:space="preserve"> </v>
      </c>
      <c r="O113" t="str">
        <f>AF29</f>
        <v xml:space="preserve"> </v>
      </c>
      <c r="P113" t="str">
        <f>AF72</f>
        <v xml:space="preserve"> </v>
      </c>
      <c r="Q113" t="str">
        <f>BA9</f>
        <v xml:space="preserve"> </v>
      </c>
      <c r="R113" t="str">
        <f>BA52</f>
        <v xml:space="preserve"> </v>
      </c>
      <c r="S113" t="str">
        <f>BA29</f>
        <v xml:space="preserve"> </v>
      </c>
      <c r="T113" s="28" t="str">
        <f>BA72</f>
        <v xml:space="preserve"> </v>
      </c>
      <c r="X113" s="27" t="str">
        <f>AF13</f>
        <v xml:space="preserve"> </v>
      </c>
      <c r="Y113" t="str">
        <f>AF56</f>
        <v xml:space="preserve"> </v>
      </c>
      <c r="Z113" t="str">
        <f>AF33</f>
        <v xml:space="preserve"> </v>
      </c>
      <c r="AA113" t="str">
        <f>AF76</f>
        <v xml:space="preserve"> </v>
      </c>
      <c r="AB113" t="str">
        <f>BA13</f>
        <v xml:space="preserve"> </v>
      </c>
      <c r="AC113" t="str">
        <f>BA56</f>
        <v xml:space="preserve"> </v>
      </c>
      <c r="AD113" t="str">
        <f>BA33</f>
        <v xml:space="preserve"> </v>
      </c>
      <c r="AE113" s="28" t="str">
        <f>BA76</f>
        <v xml:space="preserve"> </v>
      </c>
      <c r="AF113" s="27" t="str">
        <f>AF17</f>
        <v xml:space="preserve"> </v>
      </c>
      <c r="AG113" t="str">
        <f>AF60</f>
        <v xml:space="preserve"> </v>
      </c>
      <c r="AH113" t="str">
        <f>AF37</f>
        <v xml:space="preserve"> </v>
      </c>
      <c r="AI113" t="str">
        <f>AF80</f>
        <v xml:space="preserve"> </v>
      </c>
      <c r="AJ113" t="str">
        <f>BA17</f>
        <v xml:space="preserve"> </v>
      </c>
      <c r="AK113" t="str">
        <f>BA60</f>
        <v xml:space="preserve"> </v>
      </c>
      <c r="AL113" t="str">
        <f>BA37</f>
        <v xml:space="preserve"> </v>
      </c>
      <c r="AM113" s="28" t="str">
        <f>BA80</f>
        <v xml:space="preserve"> </v>
      </c>
      <c r="AQ113" s="27" t="str">
        <f>AF21</f>
        <v xml:space="preserve"> </v>
      </c>
      <c r="AR113" t="str">
        <f>AF64</f>
        <v xml:space="preserve"> </v>
      </c>
      <c r="AS113" t="str">
        <f>AF41</f>
        <v xml:space="preserve"> </v>
      </c>
      <c r="AT113" t="str">
        <f>AF84</f>
        <v xml:space="preserve"> </v>
      </c>
      <c r="AU113" t="str">
        <f>BA21</f>
        <v xml:space="preserve"> </v>
      </c>
      <c r="AV113" t="str">
        <f>BA64</f>
        <v xml:space="preserve"> </v>
      </c>
      <c r="AW113" t="str">
        <f>BA41</f>
        <v xml:space="preserve"> </v>
      </c>
      <c r="AX113" s="28" t="str">
        <f>BA84</f>
        <v xml:space="preserve"> </v>
      </c>
    </row>
    <row r="114" spans="5:50" hidden="1" x14ac:dyDescent="0.25">
      <c r="E114" s="27" t="str">
        <f>AF6</f>
        <v xml:space="preserve"> </v>
      </c>
      <c r="F114" t="str">
        <f>AF49</f>
        <v xml:space="preserve"> </v>
      </c>
      <c r="G114" t="str">
        <f>AF26</f>
        <v xml:space="preserve"> </v>
      </c>
      <c r="H114" t="str">
        <f>AF69</f>
        <v xml:space="preserve"> </v>
      </c>
      <c r="I114" t="str">
        <f>BA6</f>
        <v xml:space="preserve"> </v>
      </c>
      <c r="J114" t="str">
        <f>BA49</f>
        <v xml:space="preserve"> </v>
      </c>
      <c r="K114" t="str">
        <f>BA26</f>
        <v xml:space="preserve"> </v>
      </c>
      <c r="L114" s="28" t="str">
        <f>BA69</f>
        <v xml:space="preserve"> </v>
      </c>
      <c r="M114" s="27" t="str">
        <f>AF10</f>
        <v xml:space="preserve"> </v>
      </c>
      <c r="N114" t="str">
        <f>AF53</f>
        <v xml:space="preserve"> </v>
      </c>
      <c r="O114" t="str">
        <f>AF30</f>
        <v xml:space="preserve"> </v>
      </c>
      <c r="P114" t="str">
        <f>AF73</f>
        <v xml:space="preserve"> </v>
      </c>
      <c r="Q114" t="str">
        <f>BA10</f>
        <v xml:space="preserve"> </v>
      </c>
      <c r="R114" t="str">
        <f>BA53</f>
        <v xml:space="preserve"> </v>
      </c>
      <c r="S114" t="str">
        <f>BA30</f>
        <v xml:space="preserve"> </v>
      </c>
      <c r="T114" s="28" t="str">
        <f>BA73</f>
        <v xml:space="preserve"> </v>
      </c>
      <c r="X114" s="27" t="str">
        <f>AF14</f>
        <v xml:space="preserve"> </v>
      </c>
      <c r="Y114" t="str">
        <f>AF57</f>
        <v xml:space="preserve"> </v>
      </c>
      <c r="Z114" t="str">
        <f>AF34</f>
        <v xml:space="preserve"> </v>
      </c>
      <c r="AA114" t="str">
        <f>AF77</f>
        <v xml:space="preserve"> </v>
      </c>
      <c r="AB114" t="str">
        <f>BA14</f>
        <v xml:space="preserve"> </v>
      </c>
      <c r="AC114" t="str">
        <f>BA57</f>
        <v xml:space="preserve"> </v>
      </c>
      <c r="AD114" t="str">
        <f>BA34</f>
        <v xml:space="preserve"> </v>
      </c>
      <c r="AE114" s="28" t="str">
        <f>BA77</f>
        <v xml:space="preserve"> </v>
      </c>
      <c r="AF114" s="27" t="str">
        <f>AF18</f>
        <v xml:space="preserve"> </v>
      </c>
      <c r="AG114" t="str">
        <f>AF61</f>
        <v xml:space="preserve"> </v>
      </c>
      <c r="AH114" t="str">
        <f>AF38</f>
        <v xml:space="preserve"> </v>
      </c>
      <c r="AI114" t="str">
        <f>AF81</f>
        <v xml:space="preserve"> </v>
      </c>
      <c r="AJ114" t="str">
        <f>BA18</f>
        <v xml:space="preserve"> </v>
      </c>
      <c r="AK114" t="str">
        <f>BA61</f>
        <v xml:space="preserve"> </v>
      </c>
      <c r="AL114" t="str">
        <f>BA38</f>
        <v xml:space="preserve"> </v>
      </c>
      <c r="AM114" s="28" t="str">
        <f>BA81</f>
        <v xml:space="preserve"> </v>
      </c>
      <c r="AQ114" s="27" t="str">
        <f>AF22</f>
        <v xml:space="preserve"> </v>
      </c>
      <c r="AR114" t="str">
        <f>AF65</f>
        <v xml:space="preserve"> </v>
      </c>
      <c r="AS114" t="str">
        <f>AF42</f>
        <v xml:space="preserve"> </v>
      </c>
      <c r="AT114" t="str">
        <f>AF85</f>
        <v xml:space="preserve"> </v>
      </c>
      <c r="AU114" t="str">
        <f>BA22</f>
        <v xml:space="preserve"> </v>
      </c>
      <c r="AV114" t="str">
        <f>BA65</f>
        <v xml:space="preserve"> </v>
      </c>
      <c r="AW114" t="str">
        <f>BA42</f>
        <v xml:space="preserve"> </v>
      </c>
      <c r="AX114" s="28" t="str">
        <f>BA85</f>
        <v xml:space="preserve"> </v>
      </c>
    </row>
    <row r="115" spans="5:50" hidden="1" x14ac:dyDescent="0.25">
      <c r="E115" s="29" t="str">
        <f>AF7</f>
        <v xml:space="preserve"> </v>
      </c>
      <c r="F115" s="30" t="str">
        <f>AF50</f>
        <v xml:space="preserve"> </v>
      </c>
      <c r="G115" s="30" t="str">
        <f>AF27</f>
        <v xml:space="preserve"> </v>
      </c>
      <c r="H115" s="30" t="str">
        <f>AF70</f>
        <v xml:space="preserve"> </v>
      </c>
      <c r="I115" s="30" t="str">
        <f>BA7</f>
        <v xml:space="preserve"> </v>
      </c>
      <c r="J115" s="30" t="str">
        <f>BA50</f>
        <v xml:space="preserve"> </v>
      </c>
      <c r="K115" s="30" t="str">
        <f>BA27</f>
        <v xml:space="preserve"> </v>
      </c>
      <c r="L115" s="31" t="str">
        <f>BA70</f>
        <v xml:space="preserve"> </v>
      </c>
      <c r="M115" s="27" t="str">
        <f>AF11</f>
        <v xml:space="preserve"> </v>
      </c>
      <c r="N115" t="str">
        <f>AF54</f>
        <v xml:space="preserve"> </v>
      </c>
      <c r="O115" t="str">
        <f>AF31</f>
        <v xml:space="preserve"> </v>
      </c>
      <c r="P115" t="str">
        <f>AF74</f>
        <v xml:space="preserve"> </v>
      </c>
      <c r="Q115" t="str">
        <f>BA11</f>
        <v xml:space="preserve"> </v>
      </c>
      <c r="R115" t="str">
        <f>BA54</f>
        <v xml:space="preserve"> </v>
      </c>
      <c r="S115" t="str">
        <f>BA31</f>
        <v xml:space="preserve"> </v>
      </c>
      <c r="T115" s="28" t="str">
        <f>BA74</f>
        <v xml:space="preserve"> </v>
      </c>
      <c r="X115" s="27" t="str">
        <f>AF15</f>
        <v xml:space="preserve"> </v>
      </c>
      <c r="Y115" t="str">
        <f>AF58</f>
        <v xml:space="preserve"> </v>
      </c>
      <c r="Z115" t="str">
        <f>AF35</f>
        <v xml:space="preserve"> </v>
      </c>
      <c r="AA115" t="str">
        <f>AF78</f>
        <v xml:space="preserve"> </v>
      </c>
      <c r="AB115" t="str">
        <f>BA15</f>
        <v xml:space="preserve"> </v>
      </c>
      <c r="AC115" t="str">
        <f>BA58</f>
        <v xml:space="preserve"> </v>
      </c>
      <c r="AD115" t="str">
        <f>BA35</f>
        <v xml:space="preserve"> </v>
      </c>
      <c r="AE115" s="28" t="str">
        <f>BA78</f>
        <v xml:space="preserve"> </v>
      </c>
      <c r="AF115" s="27" t="str">
        <f>AF19</f>
        <v xml:space="preserve"> </v>
      </c>
      <c r="AG115" t="str">
        <f>AF62</f>
        <v xml:space="preserve"> </v>
      </c>
      <c r="AH115" t="str">
        <f>AF39</f>
        <v xml:space="preserve"> </v>
      </c>
      <c r="AI115" t="str">
        <f>AF82</f>
        <v xml:space="preserve"> </v>
      </c>
      <c r="AJ115" t="str">
        <f>BA19</f>
        <v xml:space="preserve"> </v>
      </c>
      <c r="AK115" t="str">
        <f>BA62</f>
        <v xml:space="preserve"> </v>
      </c>
      <c r="AL115" t="str">
        <f>BA39</f>
        <v xml:space="preserve"> </v>
      </c>
      <c r="AM115" s="28" t="str">
        <f>BA82</f>
        <v xml:space="preserve"> </v>
      </c>
      <c r="AQ115" s="27" t="str">
        <f>AF23</f>
        <v xml:space="preserve"> </v>
      </c>
      <c r="AR115" t="str">
        <f>AF66</f>
        <v xml:space="preserve"> </v>
      </c>
      <c r="AS115" t="str">
        <f>AF43</f>
        <v xml:space="preserve"> </v>
      </c>
      <c r="AT115" t="str">
        <f>AF86</f>
        <v xml:space="preserve"> </v>
      </c>
      <c r="AU115" t="str">
        <f>BA23</f>
        <v xml:space="preserve"> </v>
      </c>
      <c r="AV115" t="str">
        <f>BA66</f>
        <v xml:space="preserve"> </v>
      </c>
      <c r="AW115" t="str">
        <f>BA43</f>
        <v xml:space="preserve"> </v>
      </c>
      <c r="AX115" s="28" t="str">
        <f>BA86</f>
        <v xml:space="preserve"> </v>
      </c>
    </row>
    <row r="116" spans="5:50" hidden="1" x14ac:dyDescent="0.25">
      <c r="E116" s="24" t="str">
        <f>AG4</f>
        <v xml:space="preserve"> </v>
      </c>
      <c r="F116" s="25" t="str">
        <f>AG47</f>
        <v xml:space="preserve"> </v>
      </c>
      <c r="G116" s="25" t="str">
        <f>AG24</f>
        <v xml:space="preserve"> </v>
      </c>
      <c r="H116" s="25" t="str">
        <f>AG67</f>
        <v xml:space="preserve"> </v>
      </c>
      <c r="I116" s="25" t="str">
        <f>BB4</f>
        <v xml:space="preserve"> </v>
      </c>
      <c r="J116" s="25" t="str">
        <f>BB47</f>
        <v xml:space="preserve"> </v>
      </c>
      <c r="K116" s="25" t="str">
        <f>BB24</f>
        <v xml:space="preserve"> </v>
      </c>
      <c r="L116" s="26" t="str">
        <f>BB67</f>
        <v xml:space="preserve"> </v>
      </c>
      <c r="M116" s="24" t="str">
        <f>AG8</f>
        <v xml:space="preserve"> </v>
      </c>
      <c r="N116" s="25" t="str">
        <f>AG51</f>
        <v xml:space="preserve"> </v>
      </c>
      <c r="O116" s="25" t="str">
        <f>AG28</f>
        <v xml:space="preserve"> </v>
      </c>
      <c r="P116" s="25" t="str">
        <f>AG71</f>
        <v xml:space="preserve"> </v>
      </c>
      <c r="Q116" s="25" t="str">
        <f>BB8</f>
        <v xml:space="preserve"> </v>
      </c>
      <c r="R116" s="25" t="str">
        <f>BB51</f>
        <v xml:space="preserve"> </v>
      </c>
      <c r="S116" s="25" t="str">
        <f>BB28</f>
        <v xml:space="preserve"> </v>
      </c>
      <c r="T116" s="26" t="str">
        <f>BB71</f>
        <v xml:space="preserve"> </v>
      </c>
      <c r="U116" s="25"/>
      <c r="V116" s="25"/>
      <c r="W116" s="25"/>
      <c r="X116" s="24" t="str">
        <f>AG12</f>
        <v xml:space="preserve"> </v>
      </c>
      <c r="Y116" s="25" t="str">
        <f>AG55</f>
        <v xml:space="preserve"> </v>
      </c>
      <c r="Z116" s="25" t="str">
        <f>AG32</f>
        <v xml:space="preserve"> </v>
      </c>
      <c r="AA116" s="25" t="str">
        <f>AG75</f>
        <v xml:space="preserve"> </v>
      </c>
      <c r="AB116" s="25" t="str">
        <f>BB12</f>
        <v xml:space="preserve"> </v>
      </c>
      <c r="AC116" s="25" t="str">
        <f>BB55</f>
        <v xml:space="preserve"> </v>
      </c>
      <c r="AD116" s="25" t="str">
        <f>BB32</f>
        <v xml:space="preserve"> </v>
      </c>
      <c r="AE116" s="26" t="str">
        <f>BB75</f>
        <v xml:space="preserve"> </v>
      </c>
      <c r="AF116" s="24" t="str">
        <f>AG16</f>
        <v xml:space="preserve"> </v>
      </c>
      <c r="AG116" s="25" t="str">
        <f>AG59</f>
        <v xml:space="preserve"> </v>
      </c>
      <c r="AH116" s="25" t="str">
        <f>AG36</f>
        <v xml:space="preserve"> </v>
      </c>
      <c r="AI116" s="25" t="str">
        <f>AG79</f>
        <v xml:space="preserve"> </v>
      </c>
      <c r="AJ116" s="25" t="str">
        <f>BB16</f>
        <v xml:space="preserve"> </v>
      </c>
      <c r="AK116" s="25" t="str">
        <f>BB59</f>
        <v xml:space="preserve"> </v>
      </c>
      <c r="AL116" s="25" t="str">
        <f>BB36</f>
        <v xml:space="preserve"> </v>
      </c>
      <c r="AM116" s="26" t="str">
        <f>BB79</f>
        <v xml:space="preserve"> </v>
      </c>
      <c r="AN116" s="25"/>
      <c r="AO116" s="25"/>
      <c r="AP116" s="25"/>
      <c r="AQ116" s="24" t="str">
        <f>AG20</f>
        <v xml:space="preserve"> </v>
      </c>
      <c r="AR116" s="25" t="str">
        <f>AG63</f>
        <v xml:space="preserve"> </v>
      </c>
      <c r="AS116" s="25" t="str">
        <f>AG40</f>
        <v xml:space="preserve"> </v>
      </c>
      <c r="AT116" s="25" t="str">
        <f>AG83</f>
        <v xml:space="preserve"> </v>
      </c>
      <c r="AU116" s="25" t="str">
        <f>BB20</f>
        <v xml:space="preserve"> </v>
      </c>
      <c r="AV116" s="25" t="str">
        <f>BB63</f>
        <v xml:space="preserve"> </v>
      </c>
      <c r="AW116" s="25" t="str">
        <f>BB40</f>
        <v xml:space="preserve"> </v>
      </c>
      <c r="AX116" s="26" t="str">
        <f>BB83</f>
        <v xml:space="preserve"> </v>
      </c>
    </row>
    <row r="117" spans="5:50" hidden="1" x14ac:dyDescent="0.25">
      <c r="E117" s="27" t="str">
        <f>AG5</f>
        <v xml:space="preserve"> </v>
      </c>
      <c r="F117" t="str">
        <f>AG48</f>
        <v xml:space="preserve"> </v>
      </c>
      <c r="G117" t="str">
        <f>AG25</f>
        <v xml:space="preserve"> </v>
      </c>
      <c r="H117" t="str">
        <f>AG68</f>
        <v xml:space="preserve"> </v>
      </c>
      <c r="I117" t="str">
        <f>BB5</f>
        <v xml:space="preserve"> </v>
      </c>
      <c r="J117" t="str">
        <f>BB48</f>
        <v xml:space="preserve"> </v>
      </c>
      <c r="K117" t="str">
        <f>BB25</f>
        <v xml:space="preserve"> </v>
      </c>
      <c r="L117" s="28" t="str">
        <f>BB68</f>
        <v xml:space="preserve"> </v>
      </c>
      <c r="M117" s="27" t="str">
        <f>AG9</f>
        <v xml:space="preserve"> </v>
      </c>
      <c r="N117" t="str">
        <f>AG52</f>
        <v xml:space="preserve"> </v>
      </c>
      <c r="O117" t="str">
        <f>AG29</f>
        <v xml:space="preserve"> </v>
      </c>
      <c r="P117" t="str">
        <f>AG72</f>
        <v xml:space="preserve"> </v>
      </c>
      <c r="Q117" t="str">
        <f>BB9</f>
        <v xml:space="preserve"> </v>
      </c>
      <c r="R117" t="str">
        <f>BB52</f>
        <v xml:space="preserve"> </v>
      </c>
      <c r="S117" t="str">
        <f>BB29</f>
        <v xml:space="preserve"> </v>
      </c>
      <c r="T117" s="28" t="str">
        <f>BB72</f>
        <v xml:space="preserve"> </v>
      </c>
      <c r="X117" s="27" t="str">
        <f>AG13</f>
        <v xml:space="preserve"> </v>
      </c>
      <c r="Y117" t="str">
        <f>AG56</f>
        <v xml:space="preserve"> </v>
      </c>
      <c r="Z117" t="str">
        <f>AG33</f>
        <v xml:space="preserve"> </v>
      </c>
      <c r="AA117" t="str">
        <f>AG76</f>
        <v xml:space="preserve"> </v>
      </c>
      <c r="AB117" t="str">
        <f>BB13</f>
        <v xml:space="preserve"> </v>
      </c>
      <c r="AC117" t="str">
        <f>BB56</f>
        <v xml:space="preserve"> </v>
      </c>
      <c r="AD117" t="str">
        <f>BB33</f>
        <v xml:space="preserve"> </v>
      </c>
      <c r="AE117" s="28" t="str">
        <f>BB76</f>
        <v xml:space="preserve"> </v>
      </c>
      <c r="AF117" s="27" t="str">
        <f>AG17</f>
        <v xml:space="preserve"> </v>
      </c>
      <c r="AG117" t="str">
        <f>AG60</f>
        <v xml:space="preserve"> </v>
      </c>
      <c r="AH117" t="str">
        <f>AG37</f>
        <v xml:space="preserve"> </v>
      </c>
      <c r="AI117" t="str">
        <f>AG80</f>
        <v xml:space="preserve"> </v>
      </c>
      <c r="AJ117" t="str">
        <f>BB17</f>
        <v xml:space="preserve"> </v>
      </c>
      <c r="AK117" t="str">
        <f>BB60</f>
        <v xml:space="preserve"> </v>
      </c>
      <c r="AL117" t="str">
        <f>BB37</f>
        <v xml:space="preserve"> </v>
      </c>
      <c r="AM117" s="28" t="str">
        <f>BB80</f>
        <v xml:space="preserve"> </v>
      </c>
      <c r="AQ117" s="27" t="str">
        <f>AG21</f>
        <v xml:space="preserve"> </v>
      </c>
      <c r="AR117" t="str">
        <f>AG64</f>
        <v xml:space="preserve"> </v>
      </c>
      <c r="AS117" t="str">
        <f>AG41</f>
        <v xml:space="preserve"> </v>
      </c>
      <c r="AT117" t="str">
        <f>AG84</f>
        <v xml:space="preserve"> </v>
      </c>
      <c r="AU117" t="str">
        <f>BB21</f>
        <v xml:space="preserve"> </v>
      </c>
      <c r="AV117" t="str">
        <f>BB64</f>
        <v xml:space="preserve"> </v>
      </c>
      <c r="AW117" t="str">
        <f>BB41</f>
        <v xml:space="preserve"> </v>
      </c>
      <c r="AX117" s="28" t="str">
        <f>BB84</f>
        <v xml:space="preserve"> </v>
      </c>
    </row>
    <row r="118" spans="5:50" hidden="1" x14ac:dyDescent="0.25">
      <c r="E118" s="27" t="str">
        <f>AG6</f>
        <v xml:space="preserve"> </v>
      </c>
      <c r="F118" t="str">
        <f>AG49</f>
        <v xml:space="preserve"> </v>
      </c>
      <c r="G118" t="str">
        <f>AG26</f>
        <v xml:space="preserve"> </v>
      </c>
      <c r="H118" t="str">
        <f>AG69</f>
        <v xml:space="preserve"> </v>
      </c>
      <c r="I118" t="str">
        <f>BB6</f>
        <v xml:space="preserve"> </v>
      </c>
      <c r="J118" t="str">
        <f>BB49</f>
        <v xml:space="preserve"> </v>
      </c>
      <c r="K118" t="str">
        <f>BB26</f>
        <v xml:space="preserve"> </v>
      </c>
      <c r="L118" s="28" t="str">
        <f>BB69</f>
        <v xml:space="preserve"> </v>
      </c>
      <c r="M118" s="27" t="str">
        <f>AG10</f>
        <v xml:space="preserve"> </v>
      </c>
      <c r="N118" t="str">
        <f>AG53</f>
        <v xml:space="preserve"> </v>
      </c>
      <c r="O118" t="str">
        <f>AG30</f>
        <v xml:space="preserve"> </v>
      </c>
      <c r="P118" t="str">
        <f>AG73</f>
        <v xml:space="preserve"> </v>
      </c>
      <c r="Q118" t="str">
        <f>BB10</f>
        <v xml:space="preserve"> </v>
      </c>
      <c r="R118" t="str">
        <f>BB53</f>
        <v xml:space="preserve"> </v>
      </c>
      <c r="S118" t="str">
        <f>BB30</f>
        <v xml:space="preserve"> </v>
      </c>
      <c r="T118" s="28" t="str">
        <f>BB73</f>
        <v xml:space="preserve"> </v>
      </c>
      <c r="X118" s="27" t="str">
        <f>AG14</f>
        <v xml:space="preserve"> </v>
      </c>
      <c r="Y118" t="str">
        <f>AG57</f>
        <v xml:space="preserve"> </v>
      </c>
      <c r="Z118" t="str">
        <f>AG34</f>
        <v xml:space="preserve"> </v>
      </c>
      <c r="AA118" t="str">
        <f>AG77</f>
        <v xml:space="preserve"> </v>
      </c>
      <c r="AB118" t="str">
        <f>BB14</f>
        <v xml:space="preserve"> </v>
      </c>
      <c r="AC118" t="str">
        <f>BB57</f>
        <v xml:space="preserve"> </v>
      </c>
      <c r="AD118" t="str">
        <f>BB34</f>
        <v xml:space="preserve"> </v>
      </c>
      <c r="AE118" s="28" t="str">
        <f>BB77</f>
        <v xml:space="preserve"> </v>
      </c>
      <c r="AF118" s="27" t="str">
        <f>AG18</f>
        <v xml:space="preserve"> </v>
      </c>
      <c r="AG118" t="str">
        <f>AG61</f>
        <v xml:space="preserve"> </v>
      </c>
      <c r="AH118" t="str">
        <f>AG38</f>
        <v xml:space="preserve"> </v>
      </c>
      <c r="AI118" t="str">
        <f>AG81</f>
        <v xml:space="preserve"> </v>
      </c>
      <c r="AJ118" t="str">
        <f>BB18</f>
        <v xml:space="preserve"> </v>
      </c>
      <c r="AK118" t="str">
        <f>BB61</f>
        <v xml:space="preserve"> </v>
      </c>
      <c r="AL118" t="str">
        <f>BB38</f>
        <v xml:space="preserve"> </v>
      </c>
      <c r="AM118" s="28" t="str">
        <f>BB81</f>
        <v xml:space="preserve"> </v>
      </c>
      <c r="AQ118" s="27" t="str">
        <f>AG22</f>
        <v xml:space="preserve"> </v>
      </c>
      <c r="AR118" t="str">
        <f>AG65</f>
        <v xml:space="preserve"> </v>
      </c>
      <c r="AS118" t="str">
        <f>AG42</f>
        <v xml:space="preserve"> </v>
      </c>
      <c r="AT118" t="str">
        <f>AG85</f>
        <v xml:space="preserve"> </v>
      </c>
      <c r="AU118" t="str">
        <f>BB22</f>
        <v xml:space="preserve"> </v>
      </c>
      <c r="AV118" t="str">
        <f>BB65</f>
        <v xml:space="preserve"> </v>
      </c>
      <c r="AW118" t="str">
        <f>BB42</f>
        <v xml:space="preserve"> </v>
      </c>
      <c r="AX118" s="28" t="str">
        <f>BB85</f>
        <v xml:space="preserve"> </v>
      </c>
    </row>
    <row r="119" spans="5:50" hidden="1" x14ac:dyDescent="0.25">
      <c r="E119" s="29" t="str">
        <f>AG7</f>
        <v xml:space="preserve"> </v>
      </c>
      <c r="F119" s="30" t="str">
        <f>AG50</f>
        <v xml:space="preserve"> </v>
      </c>
      <c r="G119" s="30" t="str">
        <f>AG27</f>
        <v xml:space="preserve"> </v>
      </c>
      <c r="H119" s="30" t="str">
        <f>AG70</f>
        <v xml:space="preserve"> </v>
      </c>
      <c r="I119" s="30" t="str">
        <f>BB7</f>
        <v xml:space="preserve"> </v>
      </c>
      <c r="J119" s="30" t="str">
        <f>BB50</f>
        <v xml:space="preserve"> </v>
      </c>
      <c r="K119" s="30" t="str">
        <f>BB27</f>
        <v xml:space="preserve"> </v>
      </c>
      <c r="L119" s="31" t="str">
        <f>BB70</f>
        <v xml:space="preserve"> </v>
      </c>
      <c r="M119" s="29" t="str">
        <f>AG11</f>
        <v xml:space="preserve"> </v>
      </c>
      <c r="N119" s="30" t="str">
        <f>AG54</f>
        <v xml:space="preserve"> </v>
      </c>
      <c r="O119" s="30" t="str">
        <f>AG31</f>
        <v xml:space="preserve"> </v>
      </c>
      <c r="P119" s="30" t="str">
        <f>AG74</f>
        <v xml:space="preserve"> </v>
      </c>
      <c r="Q119" s="30" t="str">
        <f>BB11</f>
        <v xml:space="preserve"> </v>
      </c>
      <c r="R119" s="30" t="str">
        <f>BB54</f>
        <v xml:space="preserve"> </v>
      </c>
      <c r="S119" s="30" t="str">
        <f>BB31</f>
        <v xml:space="preserve"> </v>
      </c>
      <c r="T119" s="31" t="str">
        <f>BB74</f>
        <v xml:space="preserve"> </v>
      </c>
      <c r="U119" s="30"/>
      <c r="V119" s="30"/>
      <c r="W119" s="30"/>
      <c r="X119" s="29" t="str">
        <f>AG15</f>
        <v xml:space="preserve"> </v>
      </c>
      <c r="Y119" s="30" t="str">
        <f>AG58</f>
        <v xml:space="preserve"> </v>
      </c>
      <c r="Z119" s="30" t="str">
        <f>AG35</f>
        <v xml:space="preserve"> </v>
      </c>
      <c r="AA119" s="30" t="str">
        <f>AG78</f>
        <v xml:space="preserve"> </v>
      </c>
      <c r="AB119" s="30" t="str">
        <f>BB15</f>
        <v xml:space="preserve"> </v>
      </c>
      <c r="AC119" s="30" t="str">
        <f>BB58</f>
        <v xml:space="preserve"> </v>
      </c>
      <c r="AD119" s="30" t="str">
        <f>BB35</f>
        <v xml:space="preserve"> </v>
      </c>
      <c r="AE119" s="31" t="str">
        <f>BB78</f>
        <v xml:space="preserve"> </v>
      </c>
      <c r="AF119" s="29" t="str">
        <f>AG19</f>
        <v xml:space="preserve"> </v>
      </c>
      <c r="AG119" s="30" t="str">
        <f>AG62</f>
        <v xml:space="preserve"> </v>
      </c>
      <c r="AH119" s="30" t="str">
        <f>AG39</f>
        <v xml:space="preserve"> </v>
      </c>
      <c r="AI119" s="30" t="str">
        <f>AG82</f>
        <v xml:space="preserve"> </v>
      </c>
      <c r="AJ119" s="30" t="str">
        <f>BB19</f>
        <v xml:space="preserve"> </v>
      </c>
      <c r="AK119" s="30" t="str">
        <f>BB62</f>
        <v xml:space="preserve"> </v>
      </c>
      <c r="AL119" s="30" t="str">
        <f>BB39</f>
        <v xml:space="preserve"> </v>
      </c>
      <c r="AM119" s="31" t="str">
        <f>BB82</f>
        <v xml:space="preserve"> </v>
      </c>
      <c r="AN119" s="30"/>
      <c r="AO119" s="30"/>
      <c r="AP119" s="30"/>
      <c r="AQ119" s="29" t="str">
        <f>AG23</f>
        <v xml:space="preserve"> </v>
      </c>
      <c r="AR119" s="30" t="str">
        <f>AG66</f>
        <v xml:space="preserve"> </v>
      </c>
      <c r="AS119" s="30" t="str">
        <f>AG43</f>
        <v xml:space="preserve"> </v>
      </c>
      <c r="AT119" s="30" t="str">
        <f>AG86</f>
        <v xml:space="preserve"> </v>
      </c>
      <c r="AU119" s="30" t="str">
        <f>BB23</f>
        <v xml:space="preserve"> </v>
      </c>
      <c r="AV119" s="30" t="str">
        <f>BB66</f>
        <v xml:space="preserve"> </v>
      </c>
      <c r="AW119" s="30" t="str">
        <f>BB43</f>
        <v xml:space="preserve"> </v>
      </c>
      <c r="AX119" s="31" t="str">
        <f>BB86</f>
        <v xml:space="preserve"> </v>
      </c>
    </row>
    <row r="120" spans="5:50" hidden="1" x14ac:dyDescent="0.25">
      <c r="E120" s="24" t="str">
        <f>AH4</f>
        <v xml:space="preserve"> </v>
      </c>
      <c r="F120" s="25" t="str">
        <f>AH47</f>
        <v xml:space="preserve"> </v>
      </c>
      <c r="G120" s="25" t="str">
        <f>AH24</f>
        <v xml:space="preserve"> </v>
      </c>
      <c r="H120" s="25" t="str">
        <f>AH67</f>
        <v xml:space="preserve"> </v>
      </c>
      <c r="I120" s="25" t="str">
        <f>BC4</f>
        <v xml:space="preserve"> </v>
      </c>
      <c r="J120" s="25" t="str">
        <f>BC47</f>
        <v xml:space="preserve"> </v>
      </c>
      <c r="K120" s="25" t="str">
        <f>BC24</f>
        <v xml:space="preserve"> </v>
      </c>
      <c r="L120" s="26" t="str">
        <f>BC67</f>
        <v xml:space="preserve"> </v>
      </c>
      <c r="M120" s="27" t="str">
        <f>AH8</f>
        <v xml:space="preserve"> </v>
      </c>
      <c r="N120" t="str">
        <f>AH51</f>
        <v xml:space="preserve"> </v>
      </c>
      <c r="O120" t="str">
        <f>AH28</f>
        <v xml:space="preserve"> </v>
      </c>
      <c r="P120" t="str">
        <f>AH71</f>
        <v xml:space="preserve"> </v>
      </c>
      <c r="Q120" t="str">
        <f>BC8</f>
        <v xml:space="preserve"> </v>
      </c>
      <c r="R120" t="str">
        <f>BC51</f>
        <v xml:space="preserve"> </v>
      </c>
      <c r="S120" t="str">
        <f>BC28</f>
        <v xml:space="preserve"> </v>
      </c>
      <c r="T120" s="28" t="str">
        <f>BC71</f>
        <v xml:space="preserve"> </v>
      </c>
      <c r="X120" s="27" t="str">
        <f>AH12</f>
        <v xml:space="preserve"> </v>
      </c>
      <c r="Y120" t="str">
        <f>AH55</f>
        <v xml:space="preserve"> </v>
      </c>
      <c r="Z120" t="str">
        <f>AH32</f>
        <v xml:space="preserve"> </v>
      </c>
      <c r="AA120" t="str">
        <f>AH75</f>
        <v xml:space="preserve"> </v>
      </c>
      <c r="AB120" t="str">
        <f>BC12</f>
        <v xml:space="preserve"> </v>
      </c>
      <c r="AC120" t="str">
        <f>BC55</f>
        <v xml:space="preserve"> </v>
      </c>
      <c r="AD120" t="str">
        <f>BC32</f>
        <v xml:space="preserve"> </v>
      </c>
      <c r="AE120" s="28" t="str">
        <f>BC75</f>
        <v xml:space="preserve"> </v>
      </c>
      <c r="AF120" s="27" t="str">
        <f>AH16</f>
        <v xml:space="preserve"> </v>
      </c>
      <c r="AG120" t="str">
        <f>AH59</f>
        <v xml:space="preserve"> </v>
      </c>
      <c r="AH120" t="str">
        <f>AH36</f>
        <v xml:space="preserve"> </v>
      </c>
      <c r="AI120" t="str">
        <f>AH79</f>
        <v xml:space="preserve"> </v>
      </c>
      <c r="AJ120" t="str">
        <f>BC16</f>
        <v xml:space="preserve"> </v>
      </c>
      <c r="AK120" t="str">
        <f>BC59</f>
        <v xml:space="preserve"> </v>
      </c>
      <c r="AL120" t="str">
        <f>BC36</f>
        <v xml:space="preserve"> </v>
      </c>
      <c r="AM120" s="28" t="str">
        <f>BC79</f>
        <v xml:space="preserve"> </v>
      </c>
      <c r="AQ120" s="27" t="str">
        <f>AH20</f>
        <v xml:space="preserve"> </v>
      </c>
      <c r="AR120" t="str">
        <f>AH63</f>
        <v xml:space="preserve"> </v>
      </c>
      <c r="AS120" t="str">
        <f>AH40</f>
        <v xml:space="preserve"> </v>
      </c>
      <c r="AT120" t="str">
        <f>AH83</f>
        <v xml:space="preserve"> </v>
      </c>
      <c r="AU120" t="str">
        <f>BC20</f>
        <v xml:space="preserve"> </v>
      </c>
      <c r="AV120" t="str">
        <f>BC63</f>
        <v xml:space="preserve"> </v>
      </c>
      <c r="AW120" t="str">
        <f>BC40</f>
        <v xml:space="preserve"> </v>
      </c>
      <c r="AX120" s="28" t="str">
        <f>BC83</f>
        <v xml:space="preserve"> </v>
      </c>
    </row>
    <row r="121" spans="5:50" hidden="1" x14ac:dyDescent="0.25">
      <c r="E121" s="27" t="str">
        <f>AH5</f>
        <v xml:space="preserve"> </v>
      </c>
      <c r="F121" t="str">
        <f>AH48</f>
        <v xml:space="preserve"> </v>
      </c>
      <c r="G121" t="str">
        <f>AH25</f>
        <v xml:space="preserve"> </v>
      </c>
      <c r="H121" t="str">
        <f>AH68</f>
        <v xml:space="preserve"> </v>
      </c>
      <c r="I121" t="str">
        <f>BC5</f>
        <v xml:space="preserve"> </v>
      </c>
      <c r="J121" t="str">
        <f>BC48</f>
        <v xml:space="preserve"> </v>
      </c>
      <c r="K121" t="str">
        <f>BC25</f>
        <v xml:space="preserve"> </v>
      </c>
      <c r="L121" s="28" t="str">
        <f>BC68</f>
        <v xml:space="preserve"> </v>
      </c>
      <c r="M121" s="27" t="str">
        <f>AH9</f>
        <v xml:space="preserve"> </v>
      </c>
      <c r="N121" t="str">
        <f>AH52</f>
        <v xml:space="preserve"> </v>
      </c>
      <c r="O121" t="str">
        <f>AH29</f>
        <v xml:space="preserve"> </v>
      </c>
      <c r="P121" t="str">
        <f>AH72</f>
        <v xml:space="preserve"> </v>
      </c>
      <c r="Q121" t="str">
        <f>BC9</f>
        <v xml:space="preserve"> </v>
      </c>
      <c r="R121" t="str">
        <f>BC52</f>
        <v xml:space="preserve"> </v>
      </c>
      <c r="S121" t="str">
        <f>BC29</f>
        <v xml:space="preserve"> </v>
      </c>
      <c r="T121" s="28" t="str">
        <f>BC72</f>
        <v xml:space="preserve"> </v>
      </c>
      <c r="X121" s="27" t="str">
        <f>AH13</f>
        <v xml:space="preserve"> </v>
      </c>
      <c r="Y121" t="str">
        <f>AH56</f>
        <v xml:space="preserve"> </v>
      </c>
      <c r="Z121" t="str">
        <f>AH33</f>
        <v xml:space="preserve"> </v>
      </c>
      <c r="AA121" t="str">
        <f>AH76</f>
        <v xml:space="preserve"> </v>
      </c>
      <c r="AB121" t="str">
        <f>BC13</f>
        <v xml:space="preserve"> </v>
      </c>
      <c r="AC121" t="str">
        <f>BC56</f>
        <v xml:space="preserve"> </v>
      </c>
      <c r="AD121" t="str">
        <f>BC33</f>
        <v xml:space="preserve"> </v>
      </c>
      <c r="AE121" s="28" t="str">
        <f>BC76</f>
        <v xml:space="preserve"> </v>
      </c>
      <c r="AF121" s="27" t="str">
        <f>AH17</f>
        <v xml:space="preserve"> </v>
      </c>
      <c r="AG121" t="str">
        <f>AH60</f>
        <v xml:space="preserve"> </v>
      </c>
      <c r="AH121" t="str">
        <f>AH37</f>
        <v xml:space="preserve"> </v>
      </c>
      <c r="AI121" t="str">
        <f>AH80</f>
        <v xml:space="preserve"> </v>
      </c>
      <c r="AJ121" t="str">
        <f>BC17</f>
        <v xml:space="preserve"> </v>
      </c>
      <c r="AK121" t="str">
        <f>BC60</f>
        <v xml:space="preserve"> </v>
      </c>
      <c r="AL121" t="str">
        <f>BC37</f>
        <v xml:space="preserve"> </v>
      </c>
      <c r="AM121" s="28" t="str">
        <f>BC80</f>
        <v xml:space="preserve"> </v>
      </c>
      <c r="AQ121" s="27" t="str">
        <f>AH21</f>
        <v xml:space="preserve"> </v>
      </c>
      <c r="AR121" t="str">
        <f>AH64</f>
        <v xml:space="preserve"> </v>
      </c>
      <c r="AS121" t="str">
        <f>AH41</f>
        <v xml:space="preserve"> </v>
      </c>
      <c r="AT121" t="str">
        <f>AH84</f>
        <v xml:space="preserve"> </v>
      </c>
      <c r="AU121" t="str">
        <f>BC21</f>
        <v xml:space="preserve"> </v>
      </c>
      <c r="AV121" t="str">
        <f>BC64</f>
        <v xml:space="preserve"> </v>
      </c>
      <c r="AW121" t="str">
        <f>BC41</f>
        <v xml:space="preserve"> </v>
      </c>
      <c r="AX121" s="28" t="str">
        <f>BC84</f>
        <v xml:space="preserve"> </v>
      </c>
    </row>
    <row r="122" spans="5:50" hidden="1" x14ac:dyDescent="0.25">
      <c r="E122" s="27" t="str">
        <f>AH6</f>
        <v xml:space="preserve"> </v>
      </c>
      <c r="F122" t="str">
        <f>AH49</f>
        <v xml:space="preserve"> </v>
      </c>
      <c r="G122" t="str">
        <f>AH26</f>
        <v xml:space="preserve"> </v>
      </c>
      <c r="H122" t="str">
        <f>AH69</f>
        <v xml:space="preserve"> </v>
      </c>
      <c r="I122" t="str">
        <f>BC6</f>
        <v xml:space="preserve"> </v>
      </c>
      <c r="J122" t="str">
        <f>BC49</f>
        <v xml:space="preserve"> </v>
      </c>
      <c r="K122" t="str">
        <f>BC26</f>
        <v xml:space="preserve"> </v>
      </c>
      <c r="L122" s="28" t="str">
        <f>BC69</f>
        <v xml:space="preserve"> </v>
      </c>
      <c r="M122" s="27" t="str">
        <f>AH10</f>
        <v xml:space="preserve"> </v>
      </c>
      <c r="N122" t="str">
        <f>AH53</f>
        <v xml:space="preserve"> </v>
      </c>
      <c r="O122" t="str">
        <f>AH30</f>
        <v xml:space="preserve"> </v>
      </c>
      <c r="P122" t="str">
        <f>AH73</f>
        <v xml:space="preserve"> </v>
      </c>
      <c r="Q122" t="str">
        <f>BC10</f>
        <v xml:space="preserve"> </v>
      </c>
      <c r="R122" t="str">
        <f>BC53</f>
        <v xml:space="preserve"> </v>
      </c>
      <c r="S122" t="str">
        <f>BC30</f>
        <v xml:space="preserve"> </v>
      </c>
      <c r="T122" s="28" t="str">
        <f>BC73</f>
        <v xml:space="preserve"> </v>
      </c>
      <c r="X122" s="27" t="str">
        <f>AH14</f>
        <v xml:space="preserve"> </v>
      </c>
      <c r="Y122" t="str">
        <f>AH57</f>
        <v xml:space="preserve"> </v>
      </c>
      <c r="Z122" t="str">
        <f>AH34</f>
        <v xml:space="preserve"> </v>
      </c>
      <c r="AA122" t="str">
        <f>AH77</f>
        <v xml:space="preserve"> </v>
      </c>
      <c r="AB122" t="str">
        <f>BC14</f>
        <v xml:space="preserve"> </v>
      </c>
      <c r="AC122" t="str">
        <f>BC57</f>
        <v xml:space="preserve"> </v>
      </c>
      <c r="AD122" t="str">
        <f>BC34</f>
        <v xml:space="preserve"> </v>
      </c>
      <c r="AE122" s="28" t="str">
        <f>BC77</f>
        <v xml:space="preserve"> </v>
      </c>
      <c r="AF122" s="27" t="str">
        <f>AH18</f>
        <v xml:space="preserve"> </v>
      </c>
      <c r="AG122" t="str">
        <f>AH61</f>
        <v xml:space="preserve"> </v>
      </c>
      <c r="AH122" t="str">
        <f>AH38</f>
        <v xml:space="preserve"> </v>
      </c>
      <c r="AI122" t="str">
        <f>AH81</f>
        <v xml:space="preserve"> </v>
      </c>
      <c r="AJ122" t="str">
        <f>BC18</f>
        <v xml:space="preserve"> </v>
      </c>
      <c r="AK122" t="str">
        <f>BC61</f>
        <v xml:space="preserve"> </v>
      </c>
      <c r="AL122" t="str">
        <f>BC38</f>
        <v xml:space="preserve"> </v>
      </c>
      <c r="AM122" s="28" t="str">
        <f>BC81</f>
        <v xml:space="preserve"> </v>
      </c>
      <c r="AQ122" s="27" t="str">
        <f>AH22</f>
        <v xml:space="preserve"> </v>
      </c>
      <c r="AR122" t="str">
        <f>AH65</f>
        <v xml:space="preserve"> </v>
      </c>
      <c r="AS122" t="str">
        <f>AH42</f>
        <v xml:space="preserve"> </v>
      </c>
      <c r="AT122" t="str">
        <f>AH85</f>
        <v xml:space="preserve"> </v>
      </c>
      <c r="AU122" t="str">
        <f>BC22</f>
        <v xml:space="preserve"> </v>
      </c>
      <c r="AV122" t="str">
        <f>BC65</f>
        <v xml:space="preserve"> </v>
      </c>
      <c r="AW122" t="str">
        <f>BC42</f>
        <v xml:space="preserve"> </v>
      </c>
      <c r="AX122" s="28" t="str">
        <f>BC85</f>
        <v xml:space="preserve"> </v>
      </c>
    </row>
    <row r="123" spans="5:50" hidden="1" x14ac:dyDescent="0.25">
      <c r="E123" s="29" t="str">
        <f>AH7</f>
        <v xml:space="preserve"> </v>
      </c>
      <c r="F123" s="30" t="str">
        <f>AH50</f>
        <v xml:space="preserve"> </v>
      </c>
      <c r="G123" s="30" t="str">
        <f>AH27</f>
        <v xml:space="preserve"> </v>
      </c>
      <c r="H123" s="30" t="str">
        <f>AH70</f>
        <v xml:space="preserve"> </v>
      </c>
      <c r="I123" s="30" t="str">
        <f>BC7</f>
        <v xml:space="preserve"> </v>
      </c>
      <c r="J123" s="30" t="str">
        <f>BC50</f>
        <v xml:space="preserve"> </v>
      </c>
      <c r="K123" s="30" t="str">
        <f>BC27</f>
        <v xml:space="preserve"> </v>
      </c>
      <c r="L123" s="31" t="str">
        <f>BC70</f>
        <v xml:space="preserve"> </v>
      </c>
      <c r="M123" s="27" t="str">
        <f>AH11</f>
        <v xml:space="preserve"> </v>
      </c>
      <c r="N123" t="str">
        <f>AH54</f>
        <v xml:space="preserve"> </v>
      </c>
      <c r="O123" t="str">
        <f>AH31</f>
        <v xml:space="preserve"> </v>
      </c>
      <c r="P123" t="str">
        <f>AH74</f>
        <v xml:space="preserve"> </v>
      </c>
      <c r="Q123" t="str">
        <f>BC11</f>
        <v xml:space="preserve"> </v>
      </c>
      <c r="R123" t="str">
        <f>BC54</f>
        <v xml:space="preserve"> </v>
      </c>
      <c r="S123" t="str">
        <f>BC31</f>
        <v xml:space="preserve"> </v>
      </c>
      <c r="T123" s="28" t="str">
        <f>BC74</f>
        <v xml:space="preserve"> </v>
      </c>
      <c r="X123" s="27" t="str">
        <f>AH15</f>
        <v xml:space="preserve"> </v>
      </c>
      <c r="Y123" t="str">
        <f>AH58</f>
        <v xml:space="preserve"> </v>
      </c>
      <c r="Z123" t="str">
        <f>AH35</f>
        <v xml:space="preserve"> </v>
      </c>
      <c r="AA123" t="str">
        <f>AH78</f>
        <v xml:space="preserve"> </v>
      </c>
      <c r="AB123" t="str">
        <f>BC15</f>
        <v xml:space="preserve"> </v>
      </c>
      <c r="AC123" t="str">
        <f>BC58</f>
        <v xml:space="preserve"> </v>
      </c>
      <c r="AD123" t="str">
        <f>BC35</f>
        <v xml:space="preserve"> </v>
      </c>
      <c r="AE123" s="28" t="str">
        <f>BC78</f>
        <v xml:space="preserve"> </v>
      </c>
      <c r="AF123" s="27" t="str">
        <f>AH19</f>
        <v xml:space="preserve"> </v>
      </c>
      <c r="AG123" t="str">
        <f>AH62</f>
        <v xml:space="preserve"> </v>
      </c>
      <c r="AH123" t="str">
        <f>AH39</f>
        <v xml:space="preserve"> </v>
      </c>
      <c r="AI123" t="str">
        <f>AH82</f>
        <v xml:space="preserve"> </v>
      </c>
      <c r="AJ123" t="str">
        <f>BC19</f>
        <v xml:space="preserve"> </v>
      </c>
      <c r="AK123" t="str">
        <f>BC62</f>
        <v xml:space="preserve"> </v>
      </c>
      <c r="AL123" t="str">
        <f>BC39</f>
        <v xml:space="preserve"> </v>
      </c>
      <c r="AM123" s="28" t="str">
        <f>BC82</f>
        <v xml:space="preserve"> </v>
      </c>
      <c r="AQ123" s="27" t="str">
        <f>AH23</f>
        <v xml:space="preserve"> </v>
      </c>
      <c r="AR123" t="str">
        <f>AH66</f>
        <v xml:space="preserve"> </v>
      </c>
      <c r="AS123" t="str">
        <f>AH43</f>
        <v xml:space="preserve"> </v>
      </c>
      <c r="AT123" t="str">
        <f>AH86</f>
        <v xml:space="preserve"> </v>
      </c>
      <c r="AU123" t="str">
        <f>BC23</f>
        <v xml:space="preserve"> </v>
      </c>
      <c r="AV123" t="str">
        <f>BC66</f>
        <v xml:space="preserve"> </v>
      </c>
      <c r="AW123" t="str">
        <f>BC43</f>
        <v xml:space="preserve"> </v>
      </c>
      <c r="AX123" s="28" t="str">
        <f>BC86</f>
        <v xml:space="preserve"> </v>
      </c>
    </row>
    <row r="124" spans="5:50" hidden="1" x14ac:dyDescent="0.25">
      <c r="E124" s="24" t="str">
        <f>AI4</f>
        <v xml:space="preserve"> </v>
      </c>
      <c r="F124" s="25" t="str">
        <f>AI47</f>
        <v xml:space="preserve"> </v>
      </c>
      <c r="G124" s="25" t="str">
        <f>AI24</f>
        <v xml:space="preserve"> </v>
      </c>
      <c r="H124" s="25" t="str">
        <f>AI67</f>
        <v xml:space="preserve"> </v>
      </c>
      <c r="I124" s="25" t="str">
        <f>BD4</f>
        <v xml:space="preserve"> </v>
      </c>
      <c r="J124" s="25" t="str">
        <f>BD47</f>
        <v xml:space="preserve"> </v>
      </c>
      <c r="K124" s="25" t="str">
        <f>BD24</f>
        <v xml:space="preserve"> </v>
      </c>
      <c r="L124" s="26" t="str">
        <f>BD67</f>
        <v xml:space="preserve"> </v>
      </c>
      <c r="M124" s="24" t="str">
        <f>AI8</f>
        <v xml:space="preserve"> </v>
      </c>
      <c r="N124" s="25" t="str">
        <f>AI51</f>
        <v xml:space="preserve"> </v>
      </c>
      <c r="O124" s="25" t="str">
        <f>AI28</f>
        <v xml:space="preserve"> </v>
      </c>
      <c r="P124" s="25" t="str">
        <f>AI71</f>
        <v xml:space="preserve"> </v>
      </c>
      <c r="Q124" s="25" t="str">
        <f>BD8</f>
        <v xml:space="preserve"> </v>
      </c>
      <c r="R124" s="25" t="str">
        <f>BD51</f>
        <v xml:space="preserve"> </v>
      </c>
      <c r="S124" s="25" t="str">
        <f>BD28</f>
        <v xml:space="preserve"> </v>
      </c>
      <c r="T124" s="26" t="str">
        <f>BD71</f>
        <v xml:space="preserve"> </v>
      </c>
      <c r="U124" s="25"/>
      <c r="V124" s="25"/>
      <c r="W124" s="25"/>
      <c r="X124" s="24" t="str">
        <f>AI12</f>
        <v xml:space="preserve"> </v>
      </c>
      <c r="Y124" s="25" t="str">
        <f>AI55</f>
        <v xml:space="preserve"> </v>
      </c>
      <c r="Z124" s="25" t="str">
        <f>AI32</f>
        <v xml:space="preserve"> </v>
      </c>
      <c r="AA124" s="25" t="str">
        <f>AI75</f>
        <v xml:space="preserve"> </v>
      </c>
      <c r="AB124" s="25" t="str">
        <f>BD12</f>
        <v xml:space="preserve"> </v>
      </c>
      <c r="AC124" s="25" t="str">
        <f>BD55</f>
        <v xml:space="preserve"> </v>
      </c>
      <c r="AD124" s="25" t="str">
        <f>BD32</f>
        <v xml:space="preserve"> </v>
      </c>
      <c r="AE124" s="26" t="str">
        <f>BD75</f>
        <v xml:space="preserve"> </v>
      </c>
      <c r="AF124" s="24" t="str">
        <f>AI16</f>
        <v xml:space="preserve"> </v>
      </c>
      <c r="AG124" s="25" t="str">
        <f>AI59</f>
        <v xml:space="preserve"> </v>
      </c>
      <c r="AH124" s="25" t="str">
        <f>AI36</f>
        <v xml:space="preserve"> </v>
      </c>
      <c r="AI124" s="25" t="str">
        <f>AI79</f>
        <v xml:space="preserve"> </v>
      </c>
      <c r="AJ124" s="25" t="str">
        <f>BD16</f>
        <v xml:space="preserve"> </v>
      </c>
      <c r="AK124" s="25" t="str">
        <f>BD59</f>
        <v xml:space="preserve"> </v>
      </c>
      <c r="AL124" s="25" t="str">
        <f>BD36</f>
        <v xml:space="preserve"> </v>
      </c>
      <c r="AM124" s="26" t="str">
        <f>BD79</f>
        <v xml:space="preserve"> </v>
      </c>
      <c r="AN124" s="25"/>
      <c r="AO124" s="25"/>
      <c r="AP124" s="25"/>
      <c r="AQ124" s="24" t="str">
        <f>AI20</f>
        <v xml:space="preserve"> </v>
      </c>
      <c r="AR124" s="25" t="str">
        <f>AI63</f>
        <v xml:space="preserve"> </v>
      </c>
      <c r="AS124" s="25" t="str">
        <f>AI40</f>
        <v xml:space="preserve"> </v>
      </c>
      <c r="AT124" s="25" t="str">
        <f>AI83</f>
        <v xml:space="preserve"> </v>
      </c>
      <c r="AU124" s="25" t="str">
        <f>BD20</f>
        <v xml:space="preserve"> </v>
      </c>
      <c r="AV124" s="25" t="str">
        <f>BD63</f>
        <v xml:space="preserve"> </v>
      </c>
      <c r="AW124" s="25" t="str">
        <f>BD40</f>
        <v xml:space="preserve"> </v>
      </c>
      <c r="AX124" s="26" t="str">
        <f>BD83</f>
        <v xml:space="preserve"> </v>
      </c>
    </row>
    <row r="125" spans="5:50" hidden="1" x14ac:dyDescent="0.25">
      <c r="E125" s="27" t="str">
        <f>AI5</f>
        <v xml:space="preserve"> </v>
      </c>
      <c r="F125" t="str">
        <f>AI48</f>
        <v xml:space="preserve"> </v>
      </c>
      <c r="G125" t="str">
        <f>AI25</f>
        <v xml:space="preserve"> </v>
      </c>
      <c r="H125" t="str">
        <f>AI68</f>
        <v xml:space="preserve"> </v>
      </c>
      <c r="I125" t="str">
        <f>BD5</f>
        <v xml:space="preserve"> </v>
      </c>
      <c r="J125" t="str">
        <f>BD48</f>
        <v xml:space="preserve"> </v>
      </c>
      <c r="K125" t="str">
        <f>BD25</f>
        <v xml:space="preserve"> </v>
      </c>
      <c r="L125" s="28" t="str">
        <f>BD68</f>
        <v xml:space="preserve"> </v>
      </c>
      <c r="M125" s="27" t="str">
        <f>AI9</f>
        <v xml:space="preserve"> </v>
      </c>
      <c r="N125" t="str">
        <f>AI52</f>
        <v xml:space="preserve"> </v>
      </c>
      <c r="O125" t="str">
        <f>AI29</f>
        <v xml:space="preserve"> </v>
      </c>
      <c r="P125" t="str">
        <f>AI72</f>
        <v xml:space="preserve"> </v>
      </c>
      <c r="Q125" t="str">
        <f>BD9</f>
        <v xml:space="preserve"> </v>
      </c>
      <c r="R125" t="str">
        <f>BD52</f>
        <v xml:space="preserve"> </v>
      </c>
      <c r="S125" t="str">
        <f>BD29</f>
        <v xml:space="preserve"> </v>
      </c>
      <c r="T125" s="28" t="str">
        <f>BD72</f>
        <v xml:space="preserve"> </v>
      </c>
      <c r="X125" s="27" t="str">
        <f>AI13</f>
        <v xml:space="preserve"> </v>
      </c>
      <c r="Y125" t="str">
        <f>AI56</f>
        <v xml:space="preserve"> </v>
      </c>
      <c r="Z125" t="str">
        <f>AI33</f>
        <v xml:space="preserve"> </v>
      </c>
      <c r="AA125" t="str">
        <f>AI76</f>
        <v xml:space="preserve"> </v>
      </c>
      <c r="AB125" t="str">
        <f>BD13</f>
        <v xml:space="preserve"> </v>
      </c>
      <c r="AC125" t="str">
        <f>BD56</f>
        <v xml:space="preserve"> </v>
      </c>
      <c r="AD125" t="str">
        <f>BD33</f>
        <v xml:space="preserve"> </v>
      </c>
      <c r="AE125" s="28" t="str">
        <f>BD76</f>
        <v xml:space="preserve"> </v>
      </c>
      <c r="AF125" s="27" t="str">
        <f>AI17</f>
        <v xml:space="preserve"> </v>
      </c>
      <c r="AG125" t="str">
        <f>AI60</f>
        <v xml:space="preserve"> </v>
      </c>
      <c r="AH125" t="str">
        <f>AI37</f>
        <v xml:space="preserve"> </v>
      </c>
      <c r="AI125" t="str">
        <f>AI80</f>
        <v xml:space="preserve"> </v>
      </c>
      <c r="AJ125" t="str">
        <f>BD17</f>
        <v xml:space="preserve"> </v>
      </c>
      <c r="AK125" t="str">
        <f>BD60</f>
        <v xml:space="preserve"> </v>
      </c>
      <c r="AL125" t="str">
        <f>BD37</f>
        <v xml:space="preserve"> </v>
      </c>
      <c r="AM125" s="28" t="str">
        <f>BD80</f>
        <v xml:space="preserve"> </v>
      </c>
      <c r="AQ125" s="27" t="str">
        <f>AI21</f>
        <v xml:space="preserve"> </v>
      </c>
      <c r="AR125" t="str">
        <f>AI64</f>
        <v xml:space="preserve"> </v>
      </c>
      <c r="AS125" t="str">
        <f>AI41</f>
        <v xml:space="preserve"> </v>
      </c>
      <c r="AT125" t="str">
        <f>AI84</f>
        <v xml:space="preserve"> </v>
      </c>
      <c r="AU125" t="str">
        <f>BD21</f>
        <v xml:space="preserve"> </v>
      </c>
      <c r="AV125" t="str">
        <f>BD64</f>
        <v xml:space="preserve"> </v>
      </c>
      <c r="AW125" t="str">
        <f>BD41</f>
        <v xml:space="preserve"> </v>
      </c>
      <c r="AX125" s="28" t="str">
        <f>BD84</f>
        <v xml:space="preserve"> </v>
      </c>
    </row>
    <row r="126" spans="5:50" hidden="1" x14ac:dyDescent="0.25">
      <c r="E126" s="27" t="str">
        <f>AI6</f>
        <v xml:space="preserve"> </v>
      </c>
      <c r="F126" t="str">
        <f>AI49</f>
        <v xml:space="preserve"> </v>
      </c>
      <c r="G126" t="str">
        <f>AI26</f>
        <v xml:space="preserve"> </v>
      </c>
      <c r="H126" t="str">
        <f>AI69</f>
        <v xml:space="preserve"> </v>
      </c>
      <c r="I126" t="str">
        <f>BD6</f>
        <v xml:space="preserve"> </v>
      </c>
      <c r="J126" t="str">
        <f>BD49</f>
        <v xml:space="preserve"> </v>
      </c>
      <c r="K126" t="str">
        <f>BD26</f>
        <v xml:space="preserve"> </v>
      </c>
      <c r="L126" s="28" t="str">
        <f>BD69</f>
        <v xml:space="preserve"> </v>
      </c>
      <c r="M126" s="27" t="str">
        <f>AI10</f>
        <v xml:space="preserve"> </v>
      </c>
      <c r="N126" t="str">
        <f>AI53</f>
        <v xml:space="preserve"> </v>
      </c>
      <c r="O126" t="str">
        <f>AI30</f>
        <v xml:space="preserve"> </v>
      </c>
      <c r="P126" t="str">
        <f>AI73</f>
        <v xml:space="preserve"> </v>
      </c>
      <c r="Q126" t="str">
        <f>BD10</f>
        <v xml:space="preserve"> </v>
      </c>
      <c r="R126" t="str">
        <f>BD53</f>
        <v xml:space="preserve"> </v>
      </c>
      <c r="S126" t="str">
        <f>BD30</f>
        <v xml:space="preserve"> </v>
      </c>
      <c r="T126" s="28" t="str">
        <f>BD73</f>
        <v xml:space="preserve"> </v>
      </c>
      <c r="X126" s="27" t="str">
        <f>AI14</f>
        <v xml:space="preserve"> </v>
      </c>
      <c r="Y126" t="str">
        <f>AI57</f>
        <v xml:space="preserve"> </v>
      </c>
      <c r="Z126" t="str">
        <f>AI34</f>
        <v xml:space="preserve"> </v>
      </c>
      <c r="AA126" t="str">
        <f>AI77</f>
        <v xml:space="preserve"> </v>
      </c>
      <c r="AB126" t="str">
        <f>BD14</f>
        <v xml:space="preserve"> </v>
      </c>
      <c r="AC126" t="str">
        <f>BD57</f>
        <v xml:space="preserve"> </v>
      </c>
      <c r="AD126" t="str">
        <f>BD34</f>
        <v xml:space="preserve"> </v>
      </c>
      <c r="AE126" s="28" t="str">
        <f>BD77</f>
        <v xml:space="preserve"> </v>
      </c>
      <c r="AF126" s="27" t="str">
        <f>AI18</f>
        <v xml:space="preserve"> </v>
      </c>
      <c r="AG126" t="str">
        <f>AI61</f>
        <v xml:space="preserve"> </v>
      </c>
      <c r="AH126" t="str">
        <f>AI38</f>
        <v xml:space="preserve"> </v>
      </c>
      <c r="AI126" t="str">
        <f>AI81</f>
        <v xml:space="preserve"> </v>
      </c>
      <c r="AJ126" t="str">
        <f>BD18</f>
        <v xml:space="preserve"> </v>
      </c>
      <c r="AK126" t="str">
        <f>BD61</f>
        <v xml:space="preserve"> </v>
      </c>
      <c r="AL126" t="str">
        <f>BD38</f>
        <v xml:space="preserve"> </v>
      </c>
      <c r="AM126" s="28" t="str">
        <f>BD81</f>
        <v xml:space="preserve"> </v>
      </c>
      <c r="AQ126" s="27" t="str">
        <f>AI22</f>
        <v xml:space="preserve"> </v>
      </c>
      <c r="AR126" t="str">
        <f>AI65</f>
        <v xml:space="preserve"> </v>
      </c>
      <c r="AS126" t="str">
        <f>AI42</f>
        <v xml:space="preserve"> </v>
      </c>
      <c r="AT126" t="str">
        <f>AI85</f>
        <v xml:space="preserve"> </v>
      </c>
      <c r="AU126" t="str">
        <f>BD22</f>
        <v xml:space="preserve"> </v>
      </c>
      <c r="AV126" t="str">
        <f>BD65</f>
        <v xml:space="preserve"> </v>
      </c>
      <c r="AW126" t="str">
        <f>BD42</f>
        <v xml:space="preserve"> </v>
      </c>
      <c r="AX126" s="28" t="str">
        <f>BD85</f>
        <v xml:space="preserve"> </v>
      </c>
    </row>
    <row r="127" spans="5:50" hidden="1" x14ac:dyDescent="0.25">
      <c r="E127" s="29" t="str">
        <f>AI7</f>
        <v xml:space="preserve"> </v>
      </c>
      <c r="F127" s="30" t="str">
        <f>AI50</f>
        <v xml:space="preserve"> </v>
      </c>
      <c r="G127" s="30" t="str">
        <f>AI27</f>
        <v xml:space="preserve"> </v>
      </c>
      <c r="H127" s="30" t="str">
        <f>AI70</f>
        <v xml:space="preserve"> </v>
      </c>
      <c r="I127" s="30" t="str">
        <f>BD7</f>
        <v xml:space="preserve"> </v>
      </c>
      <c r="J127" s="30" t="str">
        <f>BD50</f>
        <v xml:space="preserve"> </v>
      </c>
      <c r="K127" s="30" t="str">
        <f>BD27</f>
        <v xml:space="preserve"> </v>
      </c>
      <c r="L127" s="31" t="str">
        <f>BD70</f>
        <v xml:space="preserve"> </v>
      </c>
      <c r="M127" s="29" t="str">
        <f>AI11</f>
        <v xml:space="preserve"> </v>
      </c>
      <c r="N127" s="30" t="str">
        <f>AI54</f>
        <v xml:space="preserve"> </v>
      </c>
      <c r="O127" s="30" t="str">
        <f>AI31</f>
        <v xml:space="preserve"> </v>
      </c>
      <c r="P127" s="30" t="str">
        <f>AI74</f>
        <v xml:space="preserve"> </v>
      </c>
      <c r="Q127" s="30" t="str">
        <f>BD11</f>
        <v xml:space="preserve"> </v>
      </c>
      <c r="R127" s="30" t="str">
        <f>BD54</f>
        <v xml:space="preserve"> </v>
      </c>
      <c r="S127" s="30" t="str">
        <f>BD31</f>
        <v xml:space="preserve"> </v>
      </c>
      <c r="T127" s="31" t="str">
        <f>BD74</f>
        <v xml:space="preserve"> </v>
      </c>
      <c r="U127" s="30"/>
      <c r="V127" s="30"/>
      <c r="W127" s="30"/>
      <c r="X127" s="29" t="str">
        <f>AI15</f>
        <v xml:space="preserve"> </v>
      </c>
      <c r="Y127" s="30" t="str">
        <f>AI58</f>
        <v xml:space="preserve"> </v>
      </c>
      <c r="Z127" s="30" t="str">
        <f>AI35</f>
        <v xml:space="preserve"> </v>
      </c>
      <c r="AA127" s="30" t="str">
        <f>AI78</f>
        <v xml:space="preserve"> </v>
      </c>
      <c r="AB127" s="30" t="str">
        <f>BD15</f>
        <v xml:space="preserve"> </v>
      </c>
      <c r="AC127" s="30" t="str">
        <f>BD58</f>
        <v xml:space="preserve"> </v>
      </c>
      <c r="AD127" s="30" t="str">
        <f>BD35</f>
        <v xml:space="preserve"> </v>
      </c>
      <c r="AE127" s="31" t="str">
        <f>BD78</f>
        <v xml:space="preserve"> </v>
      </c>
      <c r="AF127" s="29" t="str">
        <f>AI19</f>
        <v xml:space="preserve"> </v>
      </c>
      <c r="AG127" s="30" t="str">
        <f>AI62</f>
        <v xml:space="preserve"> </v>
      </c>
      <c r="AH127" s="30" t="str">
        <f>AI39</f>
        <v xml:space="preserve"> </v>
      </c>
      <c r="AI127" s="30" t="str">
        <f>AI82</f>
        <v xml:space="preserve"> </v>
      </c>
      <c r="AJ127" s="30" t="str">
        <f>BD19</f>
        <v xml:space="preserve"> </v>
      </c>
      <c r="AK127" s="30" t="str">
        <f>BD62</f>
        <v xml:space="preserve"> </v>
      </c>
      <c r="AL127" s="30" t="str">
        <f>BD39</f>
        <v xml:space="preserve"> </v>
      </c>
      <c r="AM127" s="31" t="str">
        <f>BD82</f>
        <v xml:space="preserve"> </v>
      </c>
      <c r="AN127" s="30"/>
      <c r="AO127" s="30"/>
      <c r="AP127" s="30"/>
      <c r="AQ127" s="29" t="str">
        <f>AI23</f>
        <v xml:space="preserve"> </v>
      </c>
      <c r="AR127" s="30" t="str">
        <f>AI66</f>
        <v xml:space="preserve"> </v>
      </c>
      <c r="AS127" s="30" t="str">
        <f>AI43</f>
        <v xml:space="preserve"> </v>
      </c>
      <c r="AT127" s="30" t="str">
        <f>AI86</f>
        <v xml:space="preserve"> </v>
      </c>
      <c r="AU127" s="30" t="str">
        <f>BD23</f>
        <v xml:space="preserve"> </v>
      </c>
      <c r="AV127" s="30" t="str">
        <f>BD66</f>
        <v xml:space="preserve"> </v>
      </c>
      <c r="AW127" s="30" t="str">
        <f>BD43</f>
        <v xml:space="preserve"> </v>
      </c>
      <c r="AX127" s="31" t="str">
        <f>BD86</f>
        <v xml:space="preserve"> </v>
      </c>
    </row>
    <row r="128" spans="5:50" hidden="1" x14ac:dyDescent="0.25">
      <c r="E128" s="24" t="str">
        <f>AJ4</f>
        <v xml:space="preserve"> </v>
      </c>
      <c r="F128" s="25" t="str">
        <f>AJ47</f>
        <v xml:space="preserve"> </v>
      </c>
      <c r="G128" s="25" t="str">
        <f>AJ24</f>
        <v xml:space="preserve"> </v>
      </c>
      <c r="H128" s="25" t="str">
        <f>AJ67</f>
        <v xml:space="preserve"> </v>
      </c>
      <c r="I128" s="25" t="str">
        <f>BE4</f>
        <v xml:space="preserve"> </v>
      </c>
      <c r="J128" s="25" t="str">
        <f>BE47</f>
        <v xml:space="preserve"> </v>
      </c>
      <c r="K128" s="25" t="str">
        <f>BE24</f>
        <v xml:space="preserve"> </v>
      </c>
      <c r="L128" s="26" t="str">
        <f>BE67</f>
        <v xml:space="preserve"> </v>
      </c>
      <c r="M128" s="27" t="str">
        <f>AJ8</f>
        <v xml:space="preserve"> </v>
      </c>
      <c r="N128" t="str">
        <f>AJ51</f>
        <v xml:space="preserve"> </v>
      </c>
      <c r="O128" t="str">
        <f>AJ28</f>
        <v xml:space="preserve"> </v>
      </c>
      <c r="P128" t="str">
        <f>AJ71</f>
        <v xml:space="preserve"> </v>
      </c>
      <c r="Q128" t="str">
        <f>BE8</f>
        <v xml:space="preserve"> </v>
      </c>
      <c r="R128" t="str">
        <f>BE51</f>
        <v xml:space="preserve"> </v>
      </c>
      <c r="S128" t="str">
        <f>BE28</f>
        <v xml:space="preserve"> </v>
      </c>
      <c r="T128" s="28" t="str">
        <f>BE71</f>
        <v xml:space="preserve"> </v>
      </c>
      <c r="X128" s="27" t="str">
        <f>AJ12</f>
        <v xml:space="preserve"> </v>
      </c>
      <c r="Y128" t="str">
        <f>AJ55</f>
        <v xml:space="preserve"> </v>
      </c>
      <c r="Z128" t="str">
        <f>AJ32</f>
        <v xml:space="preserve"> </v>
      </c>
      <c r="AA128" t="str">
        <f>AJ75</f>
        <v xml:space="preserve"> </v>
      </c>
      <c r="AB128" t="str">
        <f>BE12</f>
        <v xml:space="preserve"> </v>
      </c>
      <c r="AC128" t="str">
        <f>BE55</f>
        <v xml:space="preserve"> </v>
      </c>
      <c r="AD128" t="str">
        <f>BE32</f>
        <v xml:space="preserve"> </v>
      </c>
      <c r="AE128" s="28" t="str">
        <f>BE75</f>
        <v xml:space="preserve"> </v>
      </c>
      <c r="AF128" s="27" t="str">
        <f>AJ16</f>
        <v xml:space="preserve"> </v>
      </c>
      <c r="AG128" t="str">
        <f>AJ59</f>
        <v xml:space="preserve"> </v>
      </c>
      <c r="AH128" t="str">
        <f>AJ36</f>
        <v xml:space="preserve"> </v>
      </c>
      <c r="AI128" t="str">
        <f>AJ79</f>
        <v xml:space="preserve"> </v>
      </c>
      <c r="AJ128" t="str">
        <f>BE16</f>
        <v xml:space="preserve"> </v>
      </c>
      <c r="AK128" t="str">
        <f>BE59</f>
        <v xml:space="preserve"> </v>
      </c>
      <c r="AL128" t="str">
        <f>BE36</f>
        <v xml:space="preserve"> </v>
      </c>
      <c r="AM128" s="28" t="str">
        <f>BE79</f>
        <v xml:space="preserve"> </v>
      </c>
      <c r="AQ128" s="27" t="str">
        <f>AJ20</f>
        <v xml:space="preserve"> </v>
      </c>
      <c r="AR128" t="str">
        <f>AJ63</f>
        <v xml:space="preserve"> </v>
      </c>
      <c r="AS128" t="str">
        <f>AJ40</f>
        <v xml:space="preserve"> </v>
      </c>
      <c r="AT128" t="str">
        <f>AJ83</f>
        <v xml:space="preserve"> </v>
      </c>
      <c r="AU128" t="str">
        <f>BE20</f>
        <v xml:space="preserve"> </v>
      </c>
      <c r="AV128" t="str">
        <f>BE63</f>
        <v xml:space="preserve"> </v>
      </c>
      <c r="AW128" t="str">
        <f>BE40</f>
        <v xml:space="preserve"> </v>
      </c>
      <c r="AX128" s="28" t="str">
        <f>BE83</f>
        <v xml:space="preserve"> </v>
      </c>
    </row>
    <row r="129" spans="5:50" hidden="1" x14ac:dyDescent="0.25">
      <c r="E129" s="27" t="str">
        <f>AJ5</f>
        <v xml:space="preserve"> </v>
      </c>
      <c r="F129" t="str">
        <f>AJ48</f>
        <v xml:space="preserve"> </v>
      </c>
      <c r="G129" t="str">
        <f>AJ25</f>
        <v xml:space="preserve"> </v>
      </c>
      <c r="H129" t="str">
        <f>AJ68</f>
        <v xml:space="preserve"> </v>
      </c>
      <c r="I129" t="str">
        <f>BE5</f>
        <v xml:space="preserve"> </v>
      </c>
      <c r="J129" t="str">
        <f>BE48</f>
        <v xml:space="preserve"> </v>
      </c>
      <c r="K129" t="str">
        <f>BE25</f>
        <v xml:space="preserve"> </v>
      </c>
      <c r="L129" s="28" t="str">
        <f>BE68</f>
        <v xml:space="preserve"> </v>
      </c>
      <c r="M129" s="27" t="str">
        <f>AJ9</f>
        <v xml:space="preserve"> </v>
      </c>
      <c r="N129" t="str">
        <f>AJ52</f>
        <v xml:space="preserve"> </v>
      </c>
      <c r="O129" t="str">
        <f>AJ29</f>
        <v xml:space="preserve"> </v>
      </c>
      <c r="P129" t="str">
        <f>AJ72</f>
        <v xml:space="preserve"> </v>
      </c>
      <c r="Q129" t="str">
        <f>BE9</f>
        <v xml:space="preserve"> </v>
      </c>
      <c r="R129" t="str">
        <f>BE52</f>
        <v xml:space="preserve"> </v>
      </c>
      <c r="S129" t="str">
        <f>BE29</f>
        <v xml:space="preserve"> </v>
      </c>
      <c r="T129" s="28" t="str">
        <f>BE72</f>
        <v xml:space="preserve"> </v>
      </c>
      <c r="X129" s="27" t="str">
        <f>AJ13</f>
        <v xml:space="preserve"> </v>
      </c>
      <c r="Y129" t="str">
        <f>AJ56</f>
        <v xml:space="preserve"> </v>
      </c>
      <c r="Z129" t="str">
        <f>AJ33</f>
        <v xml:space="preserve"> </v>
      </c>
      <c r="AA129" t="str">
        <f>AJ76</f>
        <v xml:space="preserve"> </v>
      </c>
      <c r="AB129" t="str">
        <f>BE13</f>
        <v xml:space="preserve"> </v>
      </c>
      <c r="AC129" t="str">
        <f>BE56</f>
        <v xml:space="preserve"> </v>
      </c>
      <c r="AD129" t="str">
        <f>BE33</f>
        <v xml:space="preserve"> </v>
      </c>
      <c r="AE129" s="28" t="str">
        <f>BE76</f>
        <v xml:space="preserve"> </v>
      </c>
      <c r="AF129" s="27" t="str">
        <f>AJ17</f>
        <v xml:space="preserve"> </v>
      </c>
      <c r="AG129" t="str">
        <f>AJ60</f>
        <v xml:space="preserve"> </v>
      </c>
      <c r="AH129" t="str">
        <f>AJ37</f>
        <v xml:space="preserve"> </v>
      </c>
      <c r="AI129" t="str">
        <f>AJ80</f>
        <v xml:space="preserve"> </v>
      </c>
      <c r="AJ129" t="str">
        <f>BE17</f>
        <v xml:space="preserve"> </v>
      </c>
      <c r="AK129" t="str">
        <f>BE60</f>
        <v xml:space="preserve"> </v>
      </c>
      <c r="AL129" t="str">
        <f>BE37</f>
        <v xml:space="preserve"> </v>
      </c>
      <c r="AM129" s="28" t="str">
        <f>BE80</f>
        <v xml:space="preserve"> </v>
      </c>
      <c r="AQ129" s="27" t="str">
        <f>AJ21</f>
        <v xml:space="preserve"> </v>
      </c>
      <c r="AR129" t="str">
        <f>AJ64</f>
        <v xml:space="preserve"> </v>
      </c>
      <c r="AS129" t="str">
        <f>AJ41</f>
        <v xml:space="preserve"> </v>
      </c>
      <c r="AT129" t="str">
        <f>AJ84</f>
        <v xml:space="preserve"> </v>
      </c>
      <c r="AU129" t="str">
        <f>BE21</f>
        <v xml:space="preserve"> </v>
      </c>
      <c r="AV129" t="str">
        <f>BE64</f>
        <v xml:space="preserve"> </v>
      </c>
      <c r="AW129" t="str">
        <f>BE41</f>
        <v xml:space="preserve"> </v>
      </c>
      <c r="AX129" s="28" t="str">
        <f>BE84</f>
        <v xml:space="preserve"> </v>
      </c>
    </row>
    <row r="130" spans="5:50" hidden="1" x14ac:dyDescent="0.25">
      <c r="E130" s="27" t="str">
        <f>AJ6</f>
        <v xml:space="preserve"> </v>
      </c>
      <c r="F130" t="str">
        <f>AJ49</f>
        <v xml:space="preserve"> </v>
      </c>
      <c r="G130" t="str">
        <f>AJ26</f>
        <v xml:space="preserve"> </v>
      </c>
      <c r="H130" t="str">
        <f>AJ69</f>
        <v xml:space="preserve"> </v>
      </c>
      <c r="I130" t="str">
        <f>BE6</f>
        <v xml:space="preserve"> </v>
      </c>
      <c r="J130" t="str">
        <f>BE49</f>
        <v xml:space="preserve"> </v>
      </c>
      <c r="K130" t="str">
        <f>BE26</f>
        <v xml:space="preserve"> </v>
      </c>
      <c r="L130" s="28" t="str">
        <f>BE69</f>
        <v xml:space="preserve"> </v>
      </c>
      <c r="M130" s="27" t="str">
        <f>AJ10</f>
        <v xml:space="preserve"> </v>
      </c>
      <c r="N130" t="str">
        <f>AJ53</f>
        <v xml:space="preserve"> </v>
      </c>
      <c r="O130" t="str">
        <f>AJ30</f>
        <v xml:space="preserve"> </v>
      </c>
      <c r="P130" t="str">
        <f>AJ73</f>
        <v xml:space="preserve"> </v>
      </c>
      <c r="Q130" t="str">
        <f>BE10</f>
        <v xml:space="preserve"> </v>
      </c>
      <c r="R130" t="str">
        <f>BE53</f>
        <v xml:space="preserve"> </v>
      </c>
      <c r="S130" t="str">
        <f>BE30</f>
        <v xml:space="preserve"> </v>
      </c>
      <c r="T130" s="28" t="str">
        <f>BE73</f>
        <v xml:space="preserve"> </v>
      </c>
      <c r="X130" s="27" t="str">
        <f>AJ14</f>
        <v xml:space="preserve"> </v>
      </c>
      <c r="Y130" t="str">
        <f>AJ57</f>
        <v xml:space="preserve"> </v>
      </c>
      <c r="Z130" t="str">
        <f>AJ34</f>
        <v xml:space="preserve"> </v>
      </c>
      <c r="AA130" t="str">
        <f>AJ77</f>
        <v xml:space="preserve"> </v>
      </c>
      <c r="AB130" t="str">
        <f>BE14</f>
        <v xml:space="preserve"> </v>
      </c>
      <c r="AC130" t="str">
        <f>BE57</f>
        <v xml:space="preserve"> </v>
      </c>
      <c r="AD130" t="str">
        <f>BE34</f>
        <v xml:space="preserve"> </v>
      </c>
      <c r="AE130" s="28" t="str">
        <f>BE77</f>
        <v xml:space="preserve"> </v>
      </c>
      <c r="AF130" s="27" t="str">
        <f>AJ18</f>
        <v xml:space="preserve"> </v>
      </c>
      <c r="AG130" t="str">
        <f>AJ61</f>
        <v xml:space="preserve"> </v>
      </c>
      <c r="AH130" t="str">
        <f>AJ38</f>
        <v xml:space="preserve"> </v>
      </c>
      <c r="AI130" t="str">
        <f>AJ81</f>
        <v xml:space="preserve"> </v>
      </c>
      <c r="AJ130" t="str">
        <f>BE18</f>
        <v xml:space="preserve"> </v>
      </c>
      <c r="AK130" t="str">
        <f>BE61</f>
        <v xml:space="preserve"> </v>
      </c>
      <c r="AL130" t="str">
        <f>BE38</f>
        <v xml:space="preserve"> </v>
      </c>
      <c r="AM130" s="28" t="str">
        <f>BE81</f>
        <v xml:space="preserve"> </v>
      </c>
      <c r="AQ130" s="27" t="str">
        <f>AJ22</f>
        <v xml:space="preserve"> </v>
      </c>
      <c r="AR130" t="str">
        <f>AJ65</f>
        <v xml:space="preserve"> </v>
      </c>
      <c r="AS130" t="str">
        <f>AJ42</f>
        <v xml:space="preserve"> </v>
      </c>
      <c r="AT130" t="str">
        <f>AJ85</f>
        <v xml:space="preserve"> </v>
      </c>
      <c r="AU130" t="str">
        <f>BE22</f>
        <v xml:space="preserve"> </v>
      </c>
      <c r="AV130" t="str">
        <f>BE65</f>
        <v xml:space="preserve"> </v>
      </c>
      <c r="AW130" t="str">
        <f>BE42</f>
        <v xml:space="preserve"> </v>
      </c>
      <c r="AX130" s="28" t="str">
        <f>BE85</f>
        <v xml:space="preserve"> </v>
      </c>
    </row>
    <row r="131" spans="5:50" hidden="1" x14ac:dyDescent="0.25">
      <c r="E131" s="29" t="str">
        <f>AJ7</f>
        <v xml:space="preserve"> </v>
      </c>
      <c r="F131" s="30" t="str">
        <f>AJ50</f>
        <v xml:space="preserve"> </v>
      </c>
      <c r="G131" s="30" t="str">
        <f>AJ27</f>
        <v xml:space="preserve"> </v>
      </c>
      <c r="H131" s="30" t="str">
        <f>AJ70</f>
        <v xml:space="preserve"> </v>
      </c>
      <c r="I131" s="30" t="str">
        <f>BE7</f>
        <v xml:space="preserve"> </v>
      </c>
      <c r="J131" s="30" t="str">
        <f>BE50</f>
        <v xml:space="preserve"> </v>
      </c>
      <c r="K131" s="30" t="str">
        <f>BE27</f>
        <v xml:space="preserve"> </v>
      </c>
      <c r="L131" s="31" t="str">
        <f>BE70</f>
        <v xml:space="preserve"> </v>
      </c>
      <c r="M131" s="27" t="str">
        <f>AJ11</f>
        <v xml:space="preserve"> </v>
      </c>
      <c r="N131" t="str">
        <f>AJ54</f>
        <v xml:space="preserve"> </v>
      </c>
      <c r="O131" t="str">
        <f>AJ31</f>
        <v xml:space="preserve"> </v>
      </c>
      <c r="P131" t="str">
        <f>AJ74</f>
        <v xml:space="preserve"> </v>
      </c>
      <c r="Q131" t="str">
        <f>BE11</f>
        <v xml:space="preserve"> </v>
      </c>
      <c r="R131" t="str">
        <f>BE54</f>
        <v xml:space="preserve"> </v>
      </c>
      <c r="S131" t="str">
        <f>BE31</f>
        <v xml:space="preserve"> </v>
      </c>
      <c r="T131" s="28" t="str">
        <f>BE74</f>
        <v xml:space="preserve"> </v>
      </c>
      <c r="X131" s="27" t="str">
        <f>AJ15</f>
        <v xml:space="preserve"> </v>
      </c>
      <c r="Y131" t="str">
        <f>AJ58</f>
        <v xml:space="preserve"> </v>
      </c>
      <c r="Z131" t="str">
        <f>AJ35</f>
        <v xml:space="preserve"> </v>
      </c>
      <c r="AA131" t="str">
        <f>AJ78</f>
        <v xml:space="preserve"> </v>
      </c>
      <c r="AB131" t="str">
        <f>BE15</f>
        <v xml:space="preserve"> </v>
      </c>
      <c r="AC131" t="str">
        <f>BE58</f>
        <v xml:space="preserve"> </v>
      </c>
      <c r="AD131" t="str">
        <f>BE35</f>
        <v xml:space="preserve"> </v>
      </c>
      <c r="AE131" s="28" t="str">
        <f>BE78</f>
        <v xml:space="preserve"> </v>
      </c>
      <c r="AF131" s="27" t="str">
        <f>AJ19</f>
        <v xml:space="preserve"> </v>
      </c>
      <c r="AG131" t="str">
        <f>AJ62</f>
        <v xml:space="preserve"> </v>
      </c>
      <c r="AH131" t="str">
        <f>AJ39</f>
        <v xml:space="preserve"> </v>
      </c>
      <c r="AI131" t="str">
        <f>AJ82</f>
        <v xml:space="preserve"> </v>
      </c>
      <c r="AJ131" t="str">
        <f>BE19</f>
        <v xml:space="preserve"> </v>
      </c>
      <c r="AK131" t="str">
        <f>BE62</f>
        <v xml:space="preserve"> </v>
      </c>
      <c r="AL131" t="str">
        <f>BE39</f>
        <v xml:space="preserve"> </v>
      </c>
      <c r="AM131" s="28" t="str">
        <f>BE82</f>
        <v xml:space="preserve"> </v>
      </c>
      <c r="AQ131" s="27" t="str">
        <f>AJ23</f>
        <v xml:space="preserve"> </v>
      </c>
      <c r="AR131" t="str">
        <f>AJ66</f>
        <v xml:space="preserve"> </v>
      </c>
      <c r="AS131" t="str">
        <f>AJ43</f>
        <v xml:space="preserve"> </v>
      </c>
      <c r="AT131" t="str">
        <f>AJ86</f>
        <v xml:space="preserve"> </v>
      </c>
      <c r="AU131" t="str">
        <f>BE23</f>
        <v xml:space="preserve"> </v>
      </c>
      <c r="AV131" t="str">
        <f>BE66</f>
        <v xml:space="preserve"> </v>
      </c>
      <c r="AW131" t="str">
        <f>BE43</f>
        <v xml:space="preserve"> </v>
      </c>
      <c r="AX131" s="28" t="str">
        <f>BE86</f>
        <v xml:space="preserve"> </v>
      </c>
    </row>
    <row r="132" spans="5:50" hidden="1" x14ac:dyDescent="0.25">
      <c r="E132" s="24" t="str">
        <f>AK4</f>
        <v xml:space="preserve"> </v>
      </c>
      <c r="F132" s="25" t="str">
        <f>AK47</f>
        <v xml:space="preserve"> </v>
      </c>
      <c r="G132" s="25" t="str">
        <f>AK24</f>
        <v xml:space="preserve"> </v>
      </c>
      <c r="H132" s="25" t="str">
        <f>AK67</f>
        <v xml:space="preserve"> </v>
      </c>
      <c r="I132" s="25" t="str">
        <f>BF4</f>
        <v xml:space="preserve"> </v>
      </c>
      <c r="J132" s="25" t="str">
        <f>BF47</f>
        <v xml:space="preserve"> </v>
      </c>
      <c r="K132" s="25" t="str">
        <f>BF24</f>
        <v xml:space="preserve"> </v>
      </c>
      <c r="L132" s="26" t="str">
        <f>BF67</f>
        <v xml:space="preserve"> </v>
      </c>
      <c r="M132" s="24" t="str">
        <f>AK8</f>
        <v xml:space="preserve"> </v>
      </c>
      <c r="N132" s="25" t="str">
        <f>AK51</f>
        <v xml:space="preserve"> </v>
      </c>
      <c r="O132" s="25" t="str">
        <f>AK28</f>
        <v xml:space="preserve"> </v>
      </c>
      <c r="P132" s="25" t="str">
        <f>AK71</f>
        <v xml:space="preserve"> </v>
      </c>
      <c r="Q132" s="25" t="str">
        <f>BF8</f>
        <v xml:space="preserve"> </v>
      </c>
      <c r="R132" s="25" t="str">
        <f>BF51</f>
        <v xml:space="preserve"> </v>
      </c>
      <c r="S132" s="25" t="str">
        <f>BF28</f>
        <v xml:space="preserve"> </v>
      </c>
      <c r="T132" s="26" t="str">
        <f>BF71</f>
        <v xml:space="preserve"> </v>
      </c>
      <c r="U132" s="25"/>
      <c r="V132" s="25"/>
      <c r="W132" s="25"/>
      <c r="X132" s="24" t="str">
        <f>AK12</f>
        <v xml:space="preserve"> </v>
      </c>
      <c r="Y132" s="25" t="str">
        <f>AK55</f>
        <v xml:space="preserve"> </v>
      </c>
      <c r="Z132" s="25" t="str">
        <f>AK32</f>
        <v xml:space="preserve"> </v>
      </c>
      <c r="AA132" s="25" t="str">
        <f>AK75</f>
        <v xml:space="preserve"> </v>
      </c>
      <c r="AB132" s="25" t="str">
        <f>BF12</f>
        <v xml:space="preserve"> </v>
      </c>
      <c r="AC132" s="25" t="str">
        <f>BF55</f>
        <v xml:space="preserve"> </v>
      </c>
      <c r="AD132" s="25" t="str">
        <f>BF32</f>
        <v xml:space="preserve"> </v>
      </c>
      <c r="AE132" s="26" t="str">
        <f>BF75</f>
        <v xml:space="preserve"> </v>
      </c>
      <c r="AF132" s="24" t="str">
        <f>AK16</f>
        <v xml:space="preserve"> </v>
      </c>
      <c r="AG132" s="25" t="str">
        <f>AK59</f>
        <v xml:space="preserve"> </v>
      </c>
      <c r="AH132" s="25" t="str">
        <f>AK36</f>
        <v xml:space="preserve"> </v>
      </c>
      <c r="AI132" s="25" t="str">
        <f>AK79</f>
        <v xml:space="preserve"> </v>
      </c>
      <c r="AJ132" s="25" t="str">
        <f>BF16</f>
        <v xml:space="preserve"> </v>
      </c>
      <c r="AK132" s="25" t="str">
        <f>BF59</f>
        <v xml:space="preserve"> </v>
      </c>
      <c r="AL132" s="25" t="str">
        <f>BF36</f>
        <v xml:space="preserve"> </v>
      </c>
      <c r="AM132" s="26" t="str">
        <f>BF79</f>
        <v xml:space="preserve"> </v>
      </c>
      <c r="AN132" s="25"/>
      <c r="AO132" s="25"/>
      <c r="AP132" s="25"/>
      <c r="AQ132" s="24" t="str">
        <f>AK20</f>
        <v xml:space="preserve"> </v>
      </c>
      <c r="AR132" s="25" t="str">
        <f>AK63</f>
        <v xml:space="preserve"> </v>
      </c>
      <c r="AS132" s="25" t="str">
        <f>AK40</f>
        <v xml:space="preserve"> </v>
      </c>
      <c r="AT132" s="25" t="str">
        <f>AK83</f>
        <v xml:space="preserve"> </v>
      </c>
      <c r="AU132" s="25" t="str">
        <f>BF20</f>
        <v xml:space="preserve"> </v>
      </c>
      <c r="AV132" s="25" t="str">
        <f>BF63</f>
        <v xml:space="preserve"> </v>
      </c>
      <c r="AW132" s="25" t="str">
        <f>BF40</f>
        <v xml:space="preserve"> </v>
      </c>
      <c r="AX132" s="26" t="str">
        <f>BF83</f>
        <v xml:space="preserve"> </v>
      </c>
    </row>
    <row r="133" spans="5:50" hidden="1" x14ac:dyDescent="0.25">
      <c r="E133" s="27" t="str">
        <f>AK5</f>
        <v xml:space="preserve"> </v>
      </c>
      <c r="F133" t="str">
        <f>AK48</f>
        <v xml:space="preserve"> </v>
      </c>
      <c r="G133" t="str">
        <f>AK25</f>
        <v xml:space="preserve"> </v>
      </c>
      <c r="H133" t="str">
        <f>AK68</f>
        <v xml:space="preserve"> </v>
      </c>
      <c r="I133" t="str">
        <f>BF5</f>
        <v xml:space="preserve"> </v>
      </c>
      <c r="J133" t="str">
        <f>BF48</f>
        <v xml:space="preserve"> </v>
      </c>
      <c r="K133" t="str">
        <f>BF25</f>
        <v xml:space="preserve"> </v>
      </c>
      <c r="L133" s="28" t="str">
        <f>BF68</f>
        <v xml:space="preserve"> </v>
      </c>
      <c r="M133" s="27" t="str">
        <f>AK9</f>
        <v xml:space="preserve"> </v>
      </c>
      <c r="N133" t="str">
        <f>AK52</f>
        <v xml:space="preserve"> </v>
      </c>
      <c r="O133" t="str">
        <f>AK29</f>
        <v xml:space="preserve"> </v>
      </c>
      <c r="P133" t="str">
        <f>AK72</f>
        <v xml:space="preserve"> </v>
      </c>
      <c r="Q133" t="str">
        <f>BF9</f>
        <v xml:space="preserve"> </v>
      </c>
      <c r="R133" t="str">
        <f>BF52</f>
        <v xml:space="preserve"> </v>
      </c>
      <c r="S133" t="str">
        <f>BF29</f>
        <v xml:space="preserve"> </v>
      </c>
      <c r="T133" s="28" t="str">
        <f>BF72</f>
        <v xml:space="preserve"> </v>
      </c>
      <c r="X133" s="27" t="str">
        <f>AK13</f>
        <v xml:space="preserve"> </v>
      </c>
      <c r="Y133" t="str">
        <f>AK56</f>
        <v xml:space="preserve"> </v>
      </c>
      <c r="Z133" t="str">
        <f>AK33</f>
        <v xml:space="preserve"> </v>
      </c>
      <c r="AA133" t="str">
        <f>AK76</f>
        <v xml:space="preserve"> </v>
      </c>
      <c r="AB133" t="str">
        <f>BF13</f>
        <v xml:space="preserve"> </v>
      </c>
      <c r="AC133" t="str">
        <f>BF56</f>
        <v xml:space="preserve"> </v>
      </c>
      <c r="AD133" t="str">
        <f>BF33</f>
        <v xml:space="preserve"> </v>
      </c>
      <c r="AE133" s="28" t="str">
        <f>BF76</f>
        <v xml:space="preserve"> </v>
      </c>
      <c r="AF133" s="27" t="str">
        <f>AK17</f>
        <v xml:space="preserve"> </v>
      </c>
      <c r="AG133" t="str">
        <f>AK60</f>
        <v xml:space="preserve"> </v>
      </c>
      <c r="AH133" t="str">
        <f>AK37</f>
        <v xml:space="preserve"> </v>
      </c>
      <c r="AI133" t="str">
        <f>AK80</f>
        <v xml:space="preserve"> </v>
      </c>
      <c r="AJ133" t="str">
        <f>BF17</f>
        <v xml:space="preserve"> </v>
      </c>
      <c r="AK133" t="str">
        <f>BF60</f>
        <v xml:space="preserve"> </v>
      </c>
      <c r="AL133" t="str">
        <f>BF37</f>
        <v xml:space="preserve"> </v>
      </c>
      <c r="AM133" s="28" t="str">
        <f>BF80</f>
        <v xml:space="preserve"> </v>
      </c>
      <c r="AQ133" s="27" t="str">
        <f>AK21</f>
        <v xml:space="preserve"> </v>
      </c>
      <c r="AR133" t="str">
        <f>AK64</f>
        <v xml:space="preserve"> </v>
      </c>
      <c r="AS133" t="str">
        <f>AK41</f>
        <v xml:space="preserve"> </v>
      </c>
      <c r="AT133" t="str">
        <f>AK84</f>
        <v xml:space="preserve"> </v>
      </c>
      <c r="AU133" t="str">
        <f>BF21</f>
        <v xml:space="preserve"> </v>
      </c>
      <c r="AV133" t="str">
        <f>BF64</f>
        <v xml:space="preserve"> </v>
      </c>
      <c r="AW133" t="str">
        <f>BF41</f>
        <v xml:space="preserve"> </v>
      </c>
      <c r="AX133" s="28" t="str">
        <f>BF84</f>
        <v xml:space="preserve"> </v>
      </c>
    </row>
    <row r="134" spans="5:50" hidden="1" x14ac:dyDescent="0.25">
      <c r="E134" s="27" t="str">
        <f>AK6</f>
        <v xml:space="preserve"> </v>
      </c>
      <c r="F134" t="str">
        <f>AK49</f>
        <v xml:space="preserve"> </v>
      </c>
      <c r="G134" t="str">
        <f>AK26</f>
        <v xml:space="preserve"> </v>
      </c>
      <c r="H134" t="str">
        <f>AK69</f>
        <v xml:space="preserve"> </v>
      </c>
      <c r="I134" t="str">
        <f>BF6</f>
        <v xml:space="preserve"> </v>
      </c>
      <c r="J134" t="str">
        <f>BF49</f>
        <v xml:space="preserve"> </v>
      </c>
      <c r="K134" t="str">
        <f>BF26</f>
        <v xml:space="preserve"> </v>
      </c>
      <c r="L134" s="28" t="str">
        <f>BF69</f>
        <v xml:space="preserve"> </v>
      </c>
      <c r="M134" s="27" t="str">
        <f>AK10</f>
        <v xml:space="preserve"> </v>
      </c>
      <c r="N134" t="str">
        <f>AK53</f>
        <v xml:space="preserve"> </v>
      </c>
      <c r="O134" t="str">
        <f>AK30</f>
        <v xml:space="preserve"> </v>
      </c>
      <c r="P134" t="str">
        <f>AK73</f>
        <v xml:space="preserve"> </v>
      </c>
      <c r="Q134" t="str">
        <f>BF10</f>
        <v xml:space="preserve"> </v>
      </c>
      <c r="R134" t="str">
        <f>BF53</f>
        <v xml:space="preserve"> </v>
      </c>
      <c r="S134" t="str">
        <f>BF30</f>
        <v xml:space="preserve"> </v>
      </c>
      <c r="T134" s="28" t="str">
        <f>BF73</f>
        <v xml:space="preserve"> </v>
      </c>
      <c r="X134" s="27" t="str">
        <f>AK14</f>
        <v xml:space="preserve"> </v>
      </c>
      <c r="Y134" t="str">
        <f>AK57</f>
        <v xml:space="preserve"> </v>
      </c>
      <c r="Z134" t="str">
        <f>AK34</f>
        <v xml:space="preserve"> </v>
      </c>
      <c r="AA134" t="str">
        <f>AK77</f>
        <v xml:space="preserve"> </v>
      </c>
      <c r="AB134" t="str">
        <f>BF14</f>
        <v xml:space="preserve"> </v>
      </c>
      <c r="AC134" t="str">
        <f>BF57</f>
        <v xml:space="preserve"> </v>
      </c>
      <c r="AD134" t="str">
        <f>BF34</f>
        <v xml:space="preserve"> </v>
      </c>
      <c r="AE134" s="28" t="str">
        <f>BF77</f>
        <v xml:space="preserve"> </v>
      </c>
      <c r="AF134" s="27" t="str">
        <f>AK18</f>
        <v xml:space="preserve"> </v>
      </c>
      <c r="AG134" t="str">
        <f>AK61</f>
        <v xml:space="preserve"> </v>
      </c>
      <c r="AH134" t="str">
        <f>AK38</f>
        <v xml:space="preserve"> </v>
      </c>
      <c r="AI134" t="str">
        <f>AK81</f>
        <v xml:space="preserve"> </v>
      </c>
      <c r="AJ134" t="str">
        <f>BF18</f>
        <v xml:space="preserve"> </v>
      </c>
      <c r="AK134" t="str">
        <f>BF61</f>
        <v xml:space="preserve"> </v>
      </c>
      <c r="AL134" t="str">
        <f>BF38</f>
        <v xml:space="preserve"> </v>
      </c>
      <c r="AM134" s="28" t="str">
        <f>BF81</f>
        <v xml:space="preserve"> </v>
      </c>
      <c r="AQ134" s="27" t="str">
        <f>AK22</f>
        <v xml:space="preserve"> </v>
      </c>
      <c r="AR134" t="str">
        <f>AK65</f>
        <v xml:space="preserve"> </v>
      </c>
      <c r="AS134" t="str">
        <f>AK42</f>
        <v xml:space="preserve"> </v>
      </c>
      <c r="AT134" t="str">
        <f>AK85</f>
        <v xml:space="preserve"> </v>
      </c>
      <c r="AU134" t="str">
        <f>BF22</f>
        <v xml:space="preserve"> </v>
      </c>
      <c r="AV134" t="str">
        <f>BF65</f>
        <v xml:space="preserve"> </v>
      </c>
      <c r="AW134" t="str">
        <f>BF42</f>
        <v xml:space="preserve"> </v>
      </c>
      <c r="AX134" s="28" t="str">
        <f>BF85</f>
        <v xml:space="preserve"> </v>
      </c>
    </row>
    <row r="135" spans="5:50" hidden="1" x14ac:dyDescent="0.25">
      <c r="E135" s="29" t="str">
        <f>AK7</f>
        <v xml:space="preserve"> </v>
      </c>
      <c r="F135" s="30" t="str">
        <f>AK50</f>
        <v xml:space="preserve"> </v>
      </c>
      <c r="G135" s="30" t="str">
        <f>AK27</f>
        <v xml:space="preserve"> </v>
      </c>
      <c r="H135" s="30" t="str">
        <f>AK70</f>
        <v xml:space="preserve"> </v>
      </c>
      <c r="I135" s="30" t="str">
        <f>BF7</f>
        <v xml:space="preserve"> </v>
      </c>
      <c r="J135" s="30" t="str">
        <f>BF50</f>
        <v xml:space="preserve"> </v>
      </c>
      <c r="K135" s="30" t="str">
        <f>BF27</f>
        <v xml:space="preserve"> </v>
      </c>
      <c r="L135" s="31" t="str">
        <f>BF70</f>
        <v xml:space="preserve"> </v>
      </c>
      <c r="M135" s="29" t="str">
        <f>AK11</f>
        <v xml:space="preserve"> </v>
      </c>
      <c r="N135" s="30" t="str">
        <f>AK54</f>
        <v xml:space="preserve"> </v>
      </c>
      <c r="O135" s="30" t="str">
        <f>AK31</f>
        <v xml:space="preserve"> </v>
      </c>
      <c r="P135" s="30" t="str">
        <f>AK74</f>
        <v xml:space="preserve"> </v>
      </c>
      <c r="Q135" s="30" t="str">
        <f>BF11</f>
        <v xml:space="preserve"> </v>
      </c>
      <c r="R135" s="30" t="str">
        <f>BF54</f>
        <v xml:space="preserve"> </v>
      </c>
      <c r="S135" s="30" t="str">
        <f>BF31</f>
        <v xml:space="preserve"> </v>
      </c>
      <c r="T135" s="31" t="str">
        <f>BF74</f>
        <v xml:space="preserve"> </v>
      </c>
      <c r="U135" s="30"/>
      <c r="V135" s="30"/>
      <c r="W135" s="30"/>
      <c r="X135" s="29" t="str">
        <f>AK15</f>
        <v xml:space="preserve"> </v>
      </c>
      <c r="Y135" s="30" t="str">
        <f>AK58</f>
        <v xml:space="preserve"> </v>
      </c>
      <c r="Z135" s="30" t="str">
        <f>AK35</f>
        <v xml:space="preserve"> </v>
      </c>
      <c r="AA135" s="30" t="str">
        <f>AK78</f>
        <v xml:space="preserve"> </v>
      </c>
      <c r="AB135" s="30" t="str">
        <f>BF15</f>
        <v xml:space="preserve"> </v>
      </c>
      <c r="AC135" s="30" t="str">
        <f>BF58</f>
        <v xml:space="preserve"> </v>
      </c>
      <c r="AD135" s="30" t="str">
        <f>BF35</f>
        <v xml:space="preserve"> </v>
      </c>
      <c r="AE135" s="31" t="str">
        <f>BF78</f>
        <v xml:space="preserve"> </v>
      </c>
      <c r="AF135" s="29" t="str">
        <f>AK19</f>
        <v xml:space="preserve"> </v>
      </c>
      <c r="AG135" s="30" t="str">
        <f>AK62</f>
        <v xml:space="preserve"> </v>
      </c>
      <c r="AH135" s="30" t="str">
        <f>AK39</f>
        <v xml:space="preserve"> </v>
      </c>
      <c r="AI135" s="30" t="str">
        <f>AK82</f>
        <v xml:space="preserve"> </v>
      </c>
      <c r="AJ135" s="30" t="str">
        <f>BF19</f>
        <v xml:space="preserve"> </v>
      </c>
      <c r="AK135" s="30" t="str">
        <f>BF62</f>
        <v xml:space="preserve"> </v>
      </c>
      <c r="AL135" s="30" t="str">
        <f>BF39</f>
        <v xml:space="preserve"> </v>
      </c>
      <c r="AM135" s="31" t="str">
        <f>BF82</f>
        <v xml:space="preserve"> </v>
      </c>
      <c r="AN135" s="30"/>
      <c r="AO135" s="30"/>
      <c r="AP135" s="30"/>
      <c r="AQ135" s="29" t="str">
        <f>AK23</f>
        <v xml:space="preserve"> </v>
      </c>
      <c r="AR135" s="30" t="str">
        <f>AK66</f>
        <v xml:space="preserve"> </v>
      </c>
      <c r="AS135" s="30" t="str">
        <f>AK43</f>
        <v xml:space="preserve"> </v>
      </c>
      <c r="AT135" s="30" t="str">
        <f>AK86</f>
        <v xml:space="preserve"> </v>
      </c>
      <c r="AU135" s="30" t="str">
        <f>BF23</f>
        <v xml:space="preserve"> </v>
      </c>
      <c r="AV135" s="30" t="str">
        <f>BF66</f>
        <v xml:space="preserve"> </v>
      </c>
      <c r="AW135" s="30" t="str">
        <f>BF43</f>
        <v xml:space="preserve"> </v>
      </c>
      <c r="AX135" s="31" t="str">
        <f>BF86</f>
        <v xml:space="preserve"> </v>
      </c>
    </row>
    <row r="136" spans="5:50" hidden="1" x14ac:dyDescent="0.25">
      <c r="E136" s="24" t="str">
        <f>AL4</f>
        <v xml:space="preserve"> </v>
      </c>
      <c r="F136" s="25" t="str">
        <f>AL47</f>
        <v xml:space="preserve"> </v>
      </c>
      <c r="G136" s="25" t="str">
        <f>AL24</f>
        <v xml:space="preserve"> </v>
      </c>
      <c r="H136" s="25" t="str">
        <f>AL67</f>
        <v xml:space="preserve"> </v>
      </c>
      <c r="I136" s="25" t="str">
        <f>BG4</f>
        <v xml:space="preserve"> </v>
      </c>
      <c r="J136" s="25" t="str">
        <f>BG47</f>
        <v xml:space="preserve"> </v>
      </c>
      <c r="K136" s="25" t="str">
        <f>BG24</f>
        <v xml:space="preserve"> </v>
      </c>
      <c r="L136" s="26" t="str">
        <f>BG67</f>
        <v xml:space="preserve"> </v>
      </c>
      <c r="M136" s="27" t="str">
        <f>AL8</f>
        <v xml:space="preserve"> </v>
      </c>
      <c r="N136" t="str">
        <f>AL51</f>
        <v xml:space="preserve"> </v>
      </c>
      <c r="O136" t="str">
        <f>AL28</f>
        <v xml:space="preserve"> </v>
      </c>
      <c r="P136" t="str">
        <f>AL71</f>
        <v xml:space="preserve"> </v>
      </c>
      <c r="Q136" t="str">
        <f>BG8</f>
        <v xml:space="preserve"> </v>
      </c>
      <c r="R136" t="str">
        <f>BG51</f>
        <v xml:space="preserve"> </v>
      </c>
      <c r="S136" t="str">
        <f>BG28</f>
        <v xml:space="preserve"> </v>
      </c>
      <c r="T136" s="28" t="str">
        <f>BG71</f>
        <v xml:space="preserve"> </v>
      </c>
      <c r="X136" s="27" t="str">
        <f>AL12</f>
        <v xml:space="preserve"> </v>
      </c>
      <c r="Y136" t="str">
        <f>AL55</f>
        <v xml:space="preserve"> </v>
      </c>
      <c r="Z136" t="str">
        <f>AL32</f>
        <v xml:space="preserve"> </v>
      </c>
      <c r="AA136" t="str">
        <f>AL75</f>
        <v xml:space="preserve"> </v>
      </c>
      <c r="AB136" t="str">
        <f>BG12</f>
        <v xml:space="preserve"> </v>
      </c>
      <c r="AC136" t="str">
        <f>BG55</f>
        <v xml:space="preserve"> </v>
      </c>
      <c r="AD136" t="str">
        <f>BG32</f>
        <v xml:space="preserve"> </v>
      </c>
      <c r="AE136" s="28" t="str">
        <f>BG75</f>
        <v xml:space="preserve"> </v>
      </c>
      <c r="AF136" s="27" t="str">
        <f>AL16</f>
        <v xml:space="preserve"> </v>
      </c>
      <c r="AG136" t="str">
        <f>AL59</f>
        <v xml:space="preserve"> </v>
      </c>
      <c r="AH136" t="str">
        <f>AL36</f>
        <v xml:space="preserve"> </v>
      </c>
      <c r="AI136" t="str">
        <f>AL79</f>
        <v xml:space="preserve"> </v>
      </c>
      <c r="AJ136" t="str">
        <f>BG16</f>
        <v xml:space="preserve"> </v>
      </c>
      <c r="AK136" t="str">
        <f>BG59</f>
        <v xml:space="preserve"> </v>
      </c>
      <c r="AL136" t="str">
        <f>BG36</f>
        <v xml:space="preserve"> </v>
      </c>
      <c r="AM136" s="28" t="str">
        <f>BG79</f>
        <v xml:space="preserve"> </v>
      </c>
      <c r="AQ136" s="27" t="str">
        <f>AL20</f>
        <v xml:space="preserve"> </v>
      </c>
      <c r="AR136" t="str">
        <f>AL63</f>
        <v xml:space="preserve"> </v>
      </c>
      <c r="AS136" t="str">
        <f>AL40</f>
        <v xml:space="preserve"> </v>
      </c>
      <c r="AT136" t="str">
        <f>AL83</f>
        <v xml:space="preserve"> </v>
      </c>
      <c r="AU136" t="str">
        <f>BG20</f>
        <v xml:space="preserve"> </v>
      </c>
      <c r="AV136" t="str">
        <f>BG63</f>
        <v xml:space="preserve"> </v>
      </c>
      <c r="AW136" t="str">
        <f>BG40</f>
        <v xml:space="preserve"> </v>
      </c>
      <c r="AX136" s="28" t="str">
        <f>BG83</f>
        <v xml:space="preserve"> </v>
      </c>
    </row>
    <row r="137" spans="5:50" hidden="1" x14ac:dyDescent="0.25">
      <c r="E137" s="27" t="str">
        <f>AL5</f>
        <v xml:space="preserve"> </v>
      </c>
      <c r="F137" t="str">
        <f>AL48</f>
        <v xml:space="preserve"> </v>
      </c>
      <c r="G137" t="str">
        <f>AL25</f>
        <v xml:space="preserve"> </v>
      </c>
      <c r="H137" t="str">
        <f>AL68</f>
        <v xml:space="preserve"> </v>
      </c>
      <c r="I137" t="str">
        <f>BG5</f>
        <v xml:space="preserve"> </v>
      </c>
      <c r="J137" t="str">
        <f>BG48</f>
        <v xml:space="preserve"> </v>
      </c>
      <c r="K137" t="str">
        <f>BG25</f>
        <v xml:space="preserve"> </v>
      </c>
      <c r="L137" s="28" t="str">
        <f>BG68</f>
        <v xml:space="preserve"> </v>
      </c>
      <c r="M137" s="27" t="str">
        <f>AL9</f>
        <v xml:space="preserve"> </v>
      </c>
      <c r="N137" t="str">
        <f>AL52</f>
        <v xml:space="preserve"> </v>
      </c>
      <c r="O137" t="str">
        <f>AL29</f>
        <v xml:space="preserve"> </v>
      </c>
      <c r="P137" t="str">
        <f>AL72</f>
        <v xml:space="preserve"> </v>
      </c>
      <c r="Q137" t="str">
        <f>BG9</f>
        <v xml:space="preserve"> </v>
      </c>
      <c r="R137" t="str">
        <f>BG52</f>
        <v xml:space="preserve"> </v>
      </c>
      <c r="S137" t="str">
        <f>BG29</f>
        <v xml:space="preserve"> </v>
      </c>
      <c r="T137" s="28" t="str">
        <f>BG72</f>
        <v xml:space="preserve"> </v>
      </c>
      <c r="X137" s="27" t="str">
        <f>AL13</f>
        <v xml:space="preserve"> </v>
      </c>
      <c r="Y137" t="str">
        <f>AL56</f>
        <v xml:space="preserve"> </v>
      </c>
      <c r="Z137" t="str">
        <f>AL33</f>
        <v xml:space="preserve"> </v>
      </c>
      <c r="AA137" t="str">
        <f>AL76</f>
        <v xml:space="preserve"> </v>
      </c>
      <c r="AB137" t="str">
        <f>BG13</f>
        <v xml:space="preserve"> </v>
      </c>
      <c r="AC137" t="str">
        <f>BG56</f>
        <v xml:space="preserve"> </v>
      </c>
      <c r="AD137" t="str">
        <f>BG33</f>
        <v xml:space="preserve"> </v>
      </c>
      <c r="AE137" s="28" t="str">
        <f>BG76</f>
        <v xml:space="preserve"> </v>
      </c>
      <c r="AF137" s="27" t="str">
        <f>AL17</f>
        <v xml:space="preserve"> </v>
      </c>
      <c r="AG137" t="str">
        <f>AL60</f>
        <v xml:space="preserve"> </v>
      </c>
      <c r="AH137" t="str">
        <f>AL37</f>
        <v xml:space="preserve"> </v>
      </c>
      <c r="AI137" t="str">
        <f>AL80</f>
        <v xml:space="preserve"> </v>
      </c>
      <c r="AJ137" t="str">
        <f>BG17</f>
        <v xml:space="preserve"> </v>
      </c>
      <c r="AK137" t="str">
        <f>BG60</f>
        <v xml:space="preserve"> </v>
      </c>
      <c r="AL137" t="str">
        <f>BG37</f>
        <v xml:space="preserve"> </v>
      </c>
      <c r="AM137" s="28" t="str">
        <f>BG80</f>
        <v xml:space="preserve"> </v>
      </c>
      <c r="AQ137" s="27" t="str">
        <f>AL21</f>
        <v xml:space="preserve"> </v>
      </c>
      <c r="AR137" t="str">
        <f>AL64</f>
        <v xml:space="preserve"> </v>
      </c>
      <c r="AS137" t="str">
        <f>AL41</f>
        <v xml:space="preserve"> </v>
      </c>
      <c r="AT137" t="str">
        <f>AL84</f>
        <v xml:space="preserve"> </v>
      </c>
      <c r="AU137" t="str">
        <f>BG21</f>
        <v xml:space="preserve"> </v>
      </c>
      <c r="AV137" t="str">
        <f>BG64</f>
        <v xml:space="preserve"> </v>
      </c>
      <c r="AW137" t="str">
        <f>BG41</f>
        <v xml:space="preserve"> </v>
      </c>
      <c r="AX137" s="28" t="str">
        <f>BG84</f>
        <v xml:space="preserve"> </v>
      </c>
    </row>
    <row r="138" spans="5:50" hidden="1" x14ac:dyDescent="0.25">
      <c r="E138" s="27" t="str">
        <f>AL6</f>
        <v xml:space="preserve"> </v>
      </c>
      <c r="F138" t="str">
        <f>AL49</f>
        <v xml:space="preserve"> </v>
      </c>
      <c r="G138" t="str">
        <f>AL26</f>
        <v xml:space="preserve"> </v>
      </c>
      <c r="H138" t="str">
        <f>AL69</f>
        <v xml:space="preserve"> </v>
      </c>
      <c r="I138" t="str">
        <f>BG6</f>
        <v xml:space="preserve"> </v>
      </c>
      <c r="J138" t="str">
        <f>BG49</f>
        <v xml:space="preserve"> </v>
      </c>
      <c r="K138" t="str">
        <f>BG26</f>
        <v xml:space="preserve"> </v>
      </c>
      <c r="L138" s="28" t="str">
        <f>BG69</f>
        <v xml:space="preserve"> </v>
      </c>
      <c r="M138" s="27" t="str">
        <f>AL10</f>
        <v xml:space="preserve"> </v>
      </c>
      <c r="N138" t="str">
        <f>AL53</f>
        <v xml:space="preserve"> </v>
      </c>
      <c r="O138" t="str">
        <f>AL30</f>
        <v xml:space="preserve"> </v>
      </c>
      <c r="P138" t="str">
        <f>AL73</f>
        <v xml:space="preserve"> </v>
      </c>
      <c r="Q138" t="str">
        <f>BG10</f>
        <v xml:space="preserve"> </v>
      </c>
      <c r="R138" t="str">
        <f>BG53</f>
        <v xml:space="preserve"> </v>
      </c>
      <c r="S138" t="str">
        <f>BG30</f>
        <v xml:space="preserve"> </v>
      </c>
      <c r="T138" s="28" t="str">
        <f>BG73</f>
        <v xml:space="preserve"> </v>
      </c>
      <c r="X138" s="27" t="str">
        <f>AL14</f>
        <v xml:space="preserve"> </v>
      </c>
      <c r="Y138" t="str">
        <f>AL57</f>
        <v xml:space="preserve"> </v>
      </c>
      <c r="Z138" t="str">
        <f>AL34</f>
        <v xml:space="preserve"> </v>
      </c>
      <c r="AA138" t="str">
        <f>AL77</f>
        <v xml:space="preserve"> </v>
      </c>
      <c r="AB138" t="str">
        <f>BG14</f>
        <v xml:space="preserve"> </v>
      </c>
      <c r="AC138" t="str">
        <f>BG57</f>
        <v xml:space="preserve"> </v>
      </c>
      <c r="AD138" t="str">
        <f>BG34</f>
        <v xml:space="preserve"> </v>
      </c>
      <c r="AE138" s="28" t="str">
        <f>BG77</f>
        <v xml:space="preserve"> </v>
      </c>
      <c r="AF138" s="27" t="str">
        <f>AL18</f>
        <v xml:space="preserve"> </v>
      </c>
      <c r="AG138" t="str">
        <f>AL61</f>
        <v xml:space="preserve"> </v>
      </c>
      <c r="AH138" t="str">
        <f>AL38</f>
        <v xml:space="preserve"> </v>
      </c>
      <c r="AI138" t="str">
        <f>AL81</f>
        <v xml:space="preserve"> </v>
      </c>
      <c r="AJ138" t="str">
        <f>BG18</f>
        <v xml:space="preserve"> </v>
      </c>
      <c r="AK138" t="str">
        <f>BG61</f>
        <v xml:space="preserve"> </v>
      </c>
      <c r="AL138" t="str">
        <f>BG38</f>
        <v xml:space="preserve"> </v>
      </c>
      <c r="AM138" s="28" t="str">
        <f>BG81</f>
        <v xml:space="preserve"> </v>
      </c>
      <c r="AQ138" s="27" t="str">
        <f>AL22</f>
        <v xml:space="preserve"> </v>
      </c>
      <c r="AR138" t="str">
        <f>AL65</f>
        <v xml:space="preserve"> </v>
      </c>
      <c r="AS138" t="str">
        <f>AL42</f>
        <v xml:space="preserve"> </v>
      </c>
      <c r="AT138" t="str">
        <f>AL85</f>
        <v xml:space="preserve"> </v>
      </c>
      <c r="AU138" t="str">
        <f>BG22</f>
        <v xml:space="preserve"> </v>
      </c>
      <c r="AV138" t="str">
        <f>BG65</f>
        <v xml:space="preserve"> </v>
      </c>
      <c r="AW138" t="str">
        <f>BG42</f>
        <v xml:space="preserve"> </v>
      </c>
      <c r="AX138" s="28" t="str">
        <f>BG85</f>
        <v xml:space="preserve"> </v>
      </c>
    </row>
    <row r="139" spans="5:50" hidden="1" x14ac:dyDescent="0.25">
      <c r="E139" s="29" t="str">
        <f>AL7</f>
        <v xml:space="preserve"> </v>
      </c>
      <c r="F139" s="30" t="str">
        <f>AL50</f>
        <v xml:space="preserve"> </v>
      </c>
      <c r="G139" s="30" t="str">
        <f>AL27</f>
        <v xml:space="preserve"> </v>
      </c>
      <c r="H139" s="30" t="str">
        <f>AL70</f>
        <v xml:space="preserve"> </v>
      </c>
      <c r="I139" s="30" t="str">
        <f>BG7</f>
        <v xml:space="preserve"> </v>
      </c>
      <c r="J139" s="30" t="str">
        <f>BG50</f>
        <v xml:space="preserve"> </v>
      </c>
      <c r="K139" s="30" t="str">
        <f>BG27</f>
        <v xml:space="preserve"> </v>
      </c>
      <c r="L139" s="31" t="str">
        <f>BG70</f>
        <v xml:space="preserve"> </v>
      </c>
      <c r="M139" s="27" t="str">
        <f>AL11</f>
        <v xml:space="preserve"> </v>
      </c>
      <c r="N139" t="str">
        <f>AL54</f>
        <v xml:space="preserve"> </v>
      </c>
      <c r="O139" t="str">
        <f>AL31</f>
        <v xml:space="preserve"> </v>
      </c>
      <c r="P139" t="str">
        <f>AL74</f>
        <v xml:space="preserve"> </v>
      </c>
      <c r="Q139" t="str">
        <f>BG11</f>
        <v xml:space="preserve"> </v>
      </c>
      <c r="R139" t="str">
        <f>BG54</f>
        <v xml:space="preserve"> </v>
      </c>
      <c r="S139" t="str">
        <f>BG31</f>
        <v xml:space="preserve"> </v>
      </c>
      <c r="T139" s="28" t="str">
        <f>BG74</f>
        <v xml:space="preserve"> </v>
      </c>
      <c r="X139" s="27" t="str">
        <f>AL15</f>
        <v xml:space="preserve"> </v>
      </c>
      <c r="Y139" t="str">
        <f>AL58</f>
        <v xml:space="preserve"> </v>
      </c>
      <c r="Z139" t="str">
        <f>AL35</f>
        <v xml:space="preserve"> </v>
      </c>
      <c r="AA139" t="str">
        <f>AL78</f>
        <v xml:space="preserve"> </v>
      </c>
      <c r="AB139" t="str">
        <f>BG15</f>
        <v xml:space="preserve"> </v>
      </c>
      <c r="AC139" t="str">
        <f>BG58</f>
        <v xml:space="preserve"> </v>
      </c>
      <c r="AD139" t="str">
        <f>BG35</f>
        <v xml:space="preserve"> </v>
      </c>
      <c r="AE139" s="28" t="str">
        <f>BG78</f>
        <v xml:space="preserve"> </v>
      </c>
      <c r="AF139" s="27" t="str">
        <f>AL19</f>
        <v xml:space="preserve"> </v>
      </c>
      <c r="AG139" t="str">
        <f>AL62</f>
        <v xml:space="preserve"> </v>
      </c>
      <c r="AH139" t="str">
        <f>AL39</f>
        <v xml:space="preserve"> </v>
      </c>
      <c r="AI139" t="str">
        <f>AL82</f>
        <v xml:space="preserve"> </v>
      </c>
      <c r="AJ139" t="str">
        <f>BG19</f>
        <v xml:space="preserve"> </v>
      </c>
      <c r="AK139" t="str">
        <f>BG62</f>
        <v xml:space="preserve"> </v>
      </c>
      <c r="AL139" t="str">
        <f>BG39</f>
        <v xml:space="preserve"> </v>
      </c>
      <c r="AM139" s="28" t="str">
        <f>BG82</f>
        <v xml:space="preserve"> </v>
      </c>
      <c r="AQ139" s="27" t="str">
        <f>AL23</f>
        <v xml:space="preserve"> </v>
      </c>
      <c r="AR139" t="str">
        <f>AL66</f>
        <v xml:space="preserve"> </v>
      </c>
      <c r="AS139" t="str">
        <f>AL43</f>
        <v xml:space="preserve"> </v>
      </c>
      <c r="AT139" t="str">
        <f>AL86</f>
        <v xml:space="preserve"> </v>
      </c>
      <c r="AU139" t="str">
        <f>BG23</f>
        <v xml:space="preserve"> </v>
      </c>
      <c r="AV139" t="str">
        <f>BG66</f>
        <v xml:space="preserve"> </v>
      </c>
      <c r="AW139" t="str">
        <f>BG43</f>
        <v xml:space="preserve"> </v>
      </c>
      <c r="AX139" s="28" t="str">
        <f>BG86</f>
        <v xml:space="preserve"> </v>
      </c>
    </row>
    <row r="140" spans="5:50" hidden="1" x14ac:dyDescent="0.25">
      <c r="E140" s="27" t="str">
        <f>AM4</f>
        <v xml:space="preserve"> </v>
      </c>
      <c r="F140" t="str">
        <f>AM47</f>
        <v xml:space="preserve"> </v>
      </c>
      <c r="G140" t="str">
        <f>AM24</f>
        <v xml:space="preserve"> </v>
      </c>
      <c r="H140" t="str">
        <f>AM67</f>
        <v xml:space="preserve"> </v>
      </c>
      <c r="I140" t="str">
        <f>BH4</f>
        <v xml:space="preserve"> </v>
      </c>
      <c r="J140" t="str">
        <f>BH47</f>
        <v xml:space="preserve"> </v>
      </c>
      <c r="K140" t="str">
        <f>BH24</f>
        <v xml:space="preserve"> </v>
      </c>
      <c r="L140" s="28" t="str">
        <f>BH67</f>
        <v xml:space="preserve"> </v>
      </c>
      <c r="M140" s="24" t="str">
        <f>AM8</f>
        <v xml:space="preserve"> </v>
      </c>
      <c r="N140" s="25" t="str">
        <f>AM51</f>
        <v xml:space="preserve"> </v>
      </c>
      <c r="O140" s="25" t="str">
        <f>AM28</f>
        <v xml:space="preserve"> </v>
      </c>
      <c r="P140" s="25" t="str">
        <f>AM71</f>
        <v xml:space="preserve"> </v>
      </c>
      <c r="Q140" s="25" t="str">
        <f>BH8</f>
        <v xml:space="preserve"> </v>
      </c>
      <c r="R140" s="25" t="str">
        <f>BH51</f>
        <v xml:space="preserve"> </v>
      </c>
      <c r="S140" s="25" t="str">
        <f>BH28</f>
        <v xml:space="preserve"> </v>
      </c>
      <c r="T140" s="26" t="str">
        <f>BH71</f>
        <v xml:space="preserve"> </v>
      </c>
      <c r="U140" s="25"/>
      <c r="V140" s="25"/>
      <c r="W140" s="25"/>
      <c r="X140" s="24" t="str">
        <f>AM12</f>
        <v xml:space="preserve"> </v>
      </c>
      <c r="Y140" s="25" t="str">
        <f>AM55</f>
        <v xml:space="preserve"> </v>
      </c>
      <c r="Z140" s="25" t="str">
        <f>AM32</f>
        <v xml:space="preserve"> </v>
      </c>
      <c r="AA140" s="25" t="str">
        <f>AM75</f>
        <v xml:space="preserve"> </v>
      </c>
      <c r="AB140" s="25" t="str">
        <f>BH12</f>
        <v xml:space="preserve"> </v>
      </c>
      <c r="AC140" s="25" t="str">
        <f>BH55</f>
        <v xml:space="preserve"> </v>
      </c>
      <c r="AD140" s="25" t="str">
        <f>BH32</f>
        <v xml:space="preserve"> </v>
      </c>
      <c r="AE140" s="25" t="str">
        <f>BH75</f>
        <v xml:space="preserve"> </v>
      </c>
      <c r="AF140" s="24" t="str">
        <f>AM16</f>
        <v xml:space="preserve"> </v>
      </c>
      <c r="AG140" s="25" t="str">
        <f>AM59</f>
        <v xml:space="preserve"> </v>
      </c>
      <c r="AH140" s="25" t="str">
        <f>AM36</f>
        <v xml:space="preserve"> </v>
      </c>
      <c r="AI140" s="25" t="str">
        <f>AM79</f>
        <v xml:space="preserve"> </v>
      </c>
      <c r="AJ140" s="25" t="str">
        <f>BH16</f>
        <v xml:space="preserve"> </v>
      </c>
      <c r="AK140" s="25" t="str">
        <f>BH59</f>
        <v xml:space="preserve"> </v>
      </c>
      <c r="AL140" s="25" t="str">
        <f>BH36</f>
        <v xml:space="preserve"> </v>
      </c>
      <c r="AM140" s="26" t="str">
        <f>BH79</f>
        <v xml:space="preserve"> </v>
      </c>
      <c r="AN140" s="25"/>
      <c r="AO140" s="25"/>
      <c r="AP140" s="25"/>
      <c r="AQ140" s="24" t="str">
        <f>AM20</f>
        <v xml:space="preserve"> </v>
      </c>
      <c r="AR140" s="25" t="str">
        <f>AM63</f>
        <v xml:space="preserve"> </v>
      </c>
      <c r="AS140" s="25" t="str">
        <f>AM40</f>
        <v xml:space="preserve"> </v>
      </c>
      <c r="AT140" s="25" t="str">
        <f>AM83</f>
        <v xml:space="preserve"> </v>
      </c>
      <c r="AU140" s="25" t="str">
        <f>BH20</f>
        <v xml:space="preserve"> </v>
      </c>
      <c r="AV140" s="25" t="str">
        <f>BH63</f>
        <v xml:space="preserve"> </v>
      </c>
      <c r="AW140" s="25" t="str">
        <f>BH40</f>
        <v xml:space="preserve"> </v>
      </c>
      <c r="AX140" s="26" t="str">
        <f>BH83</f>
        <v xml:space="preserve"> </v>
      </c>
    </row>
    <row r="141" spans="5:50" hidden="1" x14ac:dyDescent="0.25">
      <c r="E141" s="27" t="str">
        <f>AM5</f>
        <v xml:space="preserve"> </v>
      </c>
      <c r="F141" t="str">
        <f>AM48</f>
        <v xml:space="preserve"> </v>
      </c>
      <c r="G141" t="str">
        <f>AM25</f>
        <v xml:space="preserve"> </v>
      </c>
      <c r="H141" t="str">
        <f>AM68</f>
        <v xml:space="preserve"> </v>
      </c>
      <c r="I141" t="str">
        <f>BH5</f>
        <v xml:space="preserve"> </v>
      </c>
      <c r="J141" t="str">
        <f>BH48</f>
        <v xml:space="preserve"> </v>
      </c>
      <c r="K141" t="str">
        <f>BH25</f>
        <v xml:space="preserve"> </v>
      </c>
      <c r="L141" s="28" t="str">
        <f>BH68</f>
        <v xml:space="preserve"> </v>
      </c>
      <c r="M141" s="27" t="str">
        <f>AM9</f>
        <v xml:space="preserve"> </v>
      </c>
      <c r="N141" t="str">
        <f>AM52</f>
        <v xml:space="preserve"> </v>
      </c>
      <c r="O141" t="str">
        <f>AM29</f>
        <v xml:space="preserve"> </v>
      </c>
      <c r="P141" t="str">
        <f>AM72</f>
        <v xml:space="preserve"> </v>
      </c>
      <c r="Q141" t="str">
        <f>BH9</f>
        <v xml:space="preserve"> </v>
      </c>
      <c r="R141" t="str">
        <f>BH52</f>
        <v xml:space="preserve"> </v>
      </c>
      <c r="S141" t="str">
        <f>BH29</f>
        <v xml:space="preserve"> </v>
      </c>
      <c r="T141" s="28" t="str">
        <f>BH72</f>
        <v xml:space="preserve"> </v>
      </c>
      <c r="X141" s="27" t="str">
        <f>AM13</f>
        <v xml:space="preserve"> </v>
      </c>
      <c r="Y141" t="str">
        <f>AM56</f>
        <v xml:space="preserve"> </v>
      </c>
      <c r="Z141" t="str">
        <f>AM33</f>
        <v xml:space="preserve"> </v>
      </c>
      <c r="AA141" t="str">
        <f>AM76</f>
        <v xml:space="preserve"> </v>
      </c>
      <c r="AB141" t="str">
        <f>BH13</f>
        <v xml:space="preserve"> </v>
      </c>
      <c r="AC141" t="str">
        <f>BH56</f>
        <v xml:space="preserve"> </v>
      </c>
      <c r="AD141" t="str">
        <f>BH33</f>
        <v xml:space="preserve"> </v>
      </c>
      <c r="AE141" t="str">
        <f>BH76</f>
        <v xml:space="preserve"> </v>
      </c>
      <c r="AF141" s="27" t="str">
        <f>AM17</f>
        <v xml:space="preserve"> </v>
      </c>
      <c r="AG141" t="str">
        <f>AM60</f>
        <v xml:space="preserve"> </v>
      </c>
      <c r="AH141" t="str">
        <f>AM37</f>
        <v xml:space="preserve"> </v>
      </c>
      <c r="AI141" t="str">
        <f>AM80</f>
        <v xml:space="preserve"> </v>
      </c>
      <c r="AJ141" t="str">
        <f>BH17</f>
        <v xml:space="preserve"> </v>
      </c>
      <c r="AK141" t="str">
        <f>BH60</f>
        <v xml:space="preserve"> </v>
      </c>
      <c r="AL141" t="str">
        <f>BH37</f>
        <v xml:space="preserve"> </v>
      </c>
      <c r="AM141" s="28" t="str">
        <f>BH80</f>
        <v xml:space="preserve"> </v>
      </c>
      <c r="AQ141" s="27" t="str">
        <f>AM21</f>
        <v xml:space="preserve"> </v>
      </c>
      <c r="AR141" t="str">
        <f>AM64</f>
        <v xml:space="preserve"> </v>
      </c>
      <c r="AS141" t="str">
        <f>AM41</f>
        <v xml:space="preserve"> </v>
      </c>
      <c r="AT141" t="str">
        <f>AM84</f>
        <v xml:space="preserve"> </v>
      </c>
      <c r="AU141" t="str">
        <f>BH21</f>
        <v xml:space="preserve"> </v>
      </c>
      <c r="AV141" t="str">
        <f>BH64</f>
        <v xml:space="preserve"> </v>
      </c>
      <c r="AW141" t="str">
        <f>BH41</f>
        <v xml:space="preserve"> </v>
      </c>
      <c r="AX141" s="28" t="str">
        <f>BH84</f>
        <v xml:space="preserve"> </v>
      </c>
    </row>
    <row r="142" spans="5:50" hidden="1" x14ac:dyDescent="0.25">
      <c r="E142" s="27" t="str">
        <f>AM6</f>
        <v xml:space="preserve"> </v>
      </c>
      <c r="F142" t="str">
        <f>AM49</f>
        <v xml:space="preserve"> </v>
      </c>
      <c r="G142" t="str">
        <f>AM26</f>
        <v xml:space="preserve"> </v>
      </c>
      <c r="H142" t="str">
        <f>AM69</f>
        <v xml:space="preserve"> </v>
      </c>
      <c r="I142" t="str">
        <f>BH6</f>
        <v xml:space="preserve"> </v>
      </c>
      <c r="J142" t="str">
        <f>BH49</f>
        <v xml:space="preserve"> </v>
      </c>
      <c r="K142" t="str">
        <f>BH26</f>
        <v xml:space="preserve"> </v>
      </c>
      <c r="L142" s="28" t="str">
        <f>BH69</f>
        <v xml:space="preserve"> </v>
      </c>
      <c r="M142" s="27" t="str">
        <f>AM10</f>
        <v xml:space="preserve"> </v>
      </c>
      <c r="N142" t="str">
        <f>AM53</f>
        <v xml:space="preserve"> </v>
      </c>
      <c r="O142" t="str">
        <f>AM30</f>
        <v xml:space="preserve"> </v>
      </c>
      <c r="P142" t="str">
        <f>AM73</f>
        <v xml:space="preserve"> </v>
      </c>
      <c r="Q142" t="str">
        <f>BH10</f>
        <v xml:space="preserve"> </v>
      </c>
      <c r="R142" t="str">
        <f>BH53</f>
        <v xml:space="preserve"> </v>
      </c>
      <c r="S142" t="str">
        <f>BH30</f>
        <v xml:space="preserve"> </v>
      </c>
      <c r="T142" s="28" t="str">
        <f>BH73</f>
        <v xml:space="preserve"> </v>
      </c>
      <c r="X142" s="27" t="str">
        <f>AM14</f>
        <v xml:space="preserve"> </v>
      </c>
      <c r="Y142" t="str">
        <f>AM57</f>
        <v xml:space="preserve"> </v>
      </c>
      <c r="Z142" t="str">
        <f>AM34</f>
        <v xml:space="preserve"> </v>
      </c>
      <c r="AA142" t="str">
        <f>AM77</f>
        <v xml:space="preserve"> </v>
      </c>
      <c r="AB142" t="str">
        <f>BH14</f>
        <v xml:space="preserve"> </v>
      </c>
      <c r="AC142" t="str">
        <f>BH57</f>
        <v xml:space="preserve"> </v>
      </c>
      <c r="AD142" t="str">
        <f>BH34</f>
        <v xml:space="preserve"> </v>
      </c>
      <c r="AE142" t="str">
        <f>BH77</f>
        <v xml:space="preserve"> </v>
      </c>
      <c r="AF142" s="27" t="str">
        <f>AM18</f>
        <v xml:space="preserve"> </v>
      </c>
      <c r="AG142" t="str">
        <f>AM61</f>
        <v xml:space="preserve"> </v>
      </c>
      <c r="AH142" t="str">
        <f>AM38</f>
        <v xml:space="preserve"> </v>
      </c>
      <c r="AI142" t="str">
        <f>AM81</f>
        <v xml:space="preserve"> </v>
      </c>
      <c r="AJ142" t="str">
        <f>BH18</f>
        <v xml:space="preserve"> </v>
      </c>
      <c r="AK142" t="str">
        <f>BH61</f>
        <v xml:space="preserve"> </v>
      </c>
      <c r="AL142" t="str">
        <f>BH38</f>
        <v xml:space="preserve"> </v>
      </c>
      <c r="AM142" s="28" t="str">
        <f>BH81</f>
        <v xml:space="preserve"> </v>
      </c>
      <c r="AQ142" s="27" t="str">
        <f>AM22</f>
        <v xml:space="preserve"> </v>
      </c>
      <c r="AR142" t="str">
        <f>AM65</f>
        <v xml:space="preserve"> </v>
      </c>
      <c r="AS142" t="str">
        <f>AM42</f>
        <v xml:space="preserve"> </v>
      </c>
      <c r="AT142" t="str">
        <f>AM85</f>
        <v xml:space="preserve"> </v>
      </c>
      <c r="AU142" t="str">
        <f>BH22</f>
        <v xml:space="preserve"> </v>
      </c>
      <c r="AV142" t="str">
        <f>BH65</f>
        <v xml:space="preserve"> </v>
      </c>
      <c r="AW142" t="str">
        <f>BH42</f>
        <v xml:space="preserve"> </v>
      </c>
      <c r="AX142" s="28" t="str">
        <f>BH85</f>
        <v xml:space="preserve"> </v>
      </c>
    </row>
    <row r="143" spans="5:50" hidden="1" x14ac:dyDescent="0.25">
      <c r="E143" s="27" t="str">
        <f>AM7</f>
        <v xml:space="preserve"> </v>
      </c>
      <c r="F143" t="str">
        <f>AM50</f>
        <v xml:space="preserve"> </v>
      </c>
      <c r="G143" t="str">
        <f>AM27</f>
        <v xml:space="preserve"> </v>
      </c>
      <c r="H143" t="str">
        <f>AM70</f>
        <v xml:space="preserve"> </v>
      </c>
      <c r="I143" t="str">
        <f>BH7</f>
        <v xml:space="preserve"> </v>
      </c>
      <c r="J143" t="str">
        <f>BH50</f>
        <v xml:space="preserve"> </v>
      </c>
      <c r="K143" t="str">
        <f>BH27</f>
        <v xml:space="preserve"> </v>
      </c>
      <c r="L143" s="28" t="str">
        <f>BH70</f>
        <v xml:space="preserve"> </v>
      </c>
      <c r="M143" s="29" t="str">
        <f>AM11</f>
        <v xml:space="preserve"> </v>
      </c>
      <c r="N143" s="30" t="str">
        <f>AM54</f>
        <v xml:space="preserve"> </v>
      </c>
      <c r="O143" s="30" t="str">
        <f>AM31</f>
        <v xml:space="preserve"> </v>
      </c>
      <c r="P143" s="30" t="str">
        <f>AM74</f>
        <v xml:space="preserve"> </v>
      </c>
      <c r="Q143" s="30" t="str">
        <f>BH11</f>
        <v xml:space="preserve"> </v>
      </c>
      <c r="R143" s="30" t="str">
        <f>BH54</f>
        <v xml:space="preserve"> </v>
      </c>
      <c r="S143" s="30" t="str">
        <f>BH31</f>
        <v xml:space="preserve"> </v>
      </c>
      <c r="T143" s="31" t="str">
        <f>BH74</f>
        <v xml:space="preserve"> </v>
      </c>
      <c r="U143" s="30"/>
      <c r="V143" s="30"/>
      <c r="W143" s="30"/>
      <c r="X143" s="29" t="str">
        <f>AM15</f>
        <v xml:space="preserve"> </v>
      </c>
      <c r="Y143" s="30" t="str">
        <f>AM58</f>
        <v xml:space="preserve"> </v>
      </c>
      <c r="Z143" s="30" t="str">
        <f>AM35</f>
        <v xml:space="preserve"> </v>
      </c>
      <c r="AA143" s="30" t="str">
        <f>AM78</f>
        <v xml:space="preserve"> </v>
      </c>
      <c r="AB143" s="30" t="str">
        <f>BH15</f>
        <v xml:space="preserve"> </v>
      </c>
      <c r="AC143" s="30" t="str">
        <f>BH58</f>
        <v xml:space="preserve"> </v>
      </c>
      <c r="AD143" s="30" t="str">
        <f>BH35</f>
        <v xml:space="preserve"> </v>
      </c>
      <c r="AE143" s="30" t="str">
        <f>BH78</f>
        <v xml:space="preserve"> </v>
      </c>
      <c r="AF143" s="29" t="str">
        <f>AM19</f>
        <v xml:space="preserve"> </v>
      </c>
      <c r="AG143" s="30" t="str">
        <f>AM62</f>
        <v xml:space="preserve"> </v>
      </c>
      <c r="AH143" s="30" t="str">
        <f>AM39</f>
        <v xml:space="preserve"> </v>
      </c>
      <c r="AI143" s="30" t="str">
        <f>AM82</f>
        <v xml:space="preserve"> </v>
      </c>
      <c r="AJ143" s="30" t="str">
        <f>BH19</f>
        <v xml:space="preserve"> </v>
      </c>
      <c r="AK143" s="30" t="str">
        <f>BH62</f>
        <v xml:space="preserve"> </v>
      </c>
      <c r="AL143" s="30" t="str">
        <f>BH39</f>
        <v xml:space="preserve"> </v>
      </c>
      <c r="AM143" s="31" t="str">
        <f>BH82</f>
        <v xml:space="preserve"> </v>
      </c>
      <c r="AN143" s="30"/>
      <c r="AO143" s="30"/>
      <c r="AP143" s="30"/>
      <c r="AQ143" s="29" t="str">
        <f>AM23</f>
        <v xml:space="preserve"> </v>
      </c>
      <c r="AR143" s="30" t="str">
        <f>AM66</f>
        <v xml:space="preserve"> </v>
      </c>
      <c r="AS143" s="30" t="str">
        <f>AM43</f>
        <v xml:space="preserve"> </v>
      </c>
      <c r="AT143" s="30" t="str">
        <f>AM86</f>
        <v xml:space="preserve"> </v>
      </c>
      <c r="AU143" s="30" t="str">
        <f>BH23</f>
        <v xml:space="preserve"> </v>
      </c>
      <c r="AV143" s="30" t="str">
        <f>BH66</f>
        <v xml:space="preserve"> </v>
      </c>
      <c r="AW143" s="30" t="str">
        <f>BH43</f>
        <v xml:space="preserve"> </v>
      </c>
      <c r="AX143" s="31" t="str">
        <f>BH86</f>
        <v xml:space="preserve"> </v>
      </c>
    </row>
    <row r="144" spans="5:50" hidden="1" x14ac:dyDescent="0.25">
      <c r="E144" s="24" t="str">
        <f>AN4</f>
        <v xml:space="preserve"> </v>
      </c>
      <c r="F144" s="25" t="str">
        <f>AN47</f>
        <v xml:space="preserve"> </v>
      </c>
      <c r="G144" s="25" t="str">
        <f>AN24</f>
        <v xml:space="preserve"> </v>
      </c>
      <c r="H144" s="25" t="str">
        <f>AN67</f>
        <v xml:space="preserve"> </v>
      </c>
      <c r="I144" s="25" t="str">
        <f>BI4</f>
        <v xml:space="preserve"> </v>
      </c>
      <c r="J144" s="25" t="str">
        <f>BI47</f>
        <v xml:space="preserve"> </v>
      </c>
      <c r="K144" s="25" t="str">
        <f>BI24</f>
        <v xml:space="preserve"> </v>
      </c>
      <c r="L144" s="25" t="str">
        <f>BI67</f>
        <v xml:space="preserve"> </v>
      </c>
      <c r="M144" s="27" t="str">
        <f>$AN8</f>
        <v xml:space="preserve"> </v>
      </c>
      <c r="N144" t="str">
        <f>$AN51</f>
        <v xml:space="preserve"> </v>
      </c>
      <c r="O144" t="str">
        <f>$AN28</f>
        <v xml:space="preserve"> </v>
      </c>
      <c r="P144" t="str">
        <f>$AN71</f>
        <v xml:space="preserve"> </v>
      </c>
      <c r="Q144" t="str">
        <f>$BI8</f>
        <v xml:space="preserve"> </v>
      </c>
      <c r="R144" t="str">
        <f>$BI51</f>
        <v xml:space="preserve"> </v>
      </c>
      <c r="S144" t="str">
        <f>$BI28</f>
        <v xml:space="preserve"> </v>
      </c>
      <c r="T144" s="28" t="str">
        <f>$BI71</f>
        <v xml:space="preserve"> </v>
      </c>
      <c r="X144" s="27" t="str">
        <f>$AN12</f>
        <v xml:space="preserve"> </v>
      </c>
      <c r="Y144" t="str">
        <f>$AN55</f>
        <v xml:space="preserve"> </v>
      </c>
      <c r="Z144" t="str">
        <f>$AN32</f>
        <v xml:space="preserve"> </v>
      </c>
      <c r="AA144" t="str">
        <f>$AN75</f>
        <v xml:space="preserve"> </v>
      </c>
      <c r="AB144" t="str">
        <f>$BI12</f>
        <v xml:space="preserve"> </v>
      </c>
      <c r="AC144" t="str">
        <f>$BI55</f>
        <v xml:space="preserve"> </v>
      </c>
      <c r="AD144" t="str">
        <f>$BI32</f>
        <v xml:space="preserve"> </v>
      </c>
      <c r="AE144" t="str">
        <f>$BI75</f>
        <v xml:space="preserve"> </v>
      </c>
      <c r="AF144" s="24" t="str">
        <f>$AN16</f>
        <v xml:space="preserve"> </v>
      </c>
      <c r="AG144" s="25" t="str">
        <f>$AN59</f>
        <v xml:space="preserve"> </v>
      </c>
      <c r="AH144" s="25" t="str">
        <f>$AN36</f>
        <v xml:space="preserve"> </v>
      </c>
      <c r="AI144" s="25" t="str">
        <f>$AN79</f>
        <v xml:space="preserve"> </v>
      </c>
      <c r="AJ144" s="25" t="str">
        <f>$BI16</f>
        <v xml:space="preserve"> </v>
      </c>
      <c r="AK144" s="25" t="str">
        <f>$BI59</f>
        <v xml:space="preserve"> </v>
      </c>
      <c r="AL144" s="25" t="str">
        <f>$BI36</f>
        <v xml:space="preserve"> </v>
      </c>
      <c r="AM144" s="26" t="str">
        <f>$BI79</f>
        <v xml:space="preserve"> </v>
      </c>
      <c r="AQ144" s="24" t="str">
        <f>$AN20</f>
        <v xml:space="preserve"> </v>
      </c>
      <c r="AR144" s="25" t="str">
        <f>$AN63</f>
        <v xml:space="preserve"> </v>
      </c>
      <c r="AS144" s="25" t="str">
        <f>$AN40</f>
        <v xml:space="preserve"> </v>
      </c>
      <c r="AT144" s="25" t="str">
        <f>$AN83</f>
        <v xml:space="preserve"> </v>
      </c>
      <c r="AU144" s="25" t="str">
        <f>$BI20</f>
        <v xml:space="preserve"> </v>
      </c>
      <c r="AV144" s="25" t="str">
        <f>$BI63</f>
        <v xml:space="preserve"> </v>
      </c>
      <c r="AW144" s="25" t="str">
        <f>$BI40</f>
        <v xml:space="preserve"> </v>
      </c>
      <c r="AX144" s="26" t="str">
        <f>$BI83</f>
        <v xml:space="preserve"> </v>
      </c>
    </row>
    <row r="145" spans="5:50" hidden="1" x14ac:dyDescent="0.25">
      <c r="E145" s="27" t="str">
        <f>AN5</f>
        <v xml:space="preserve"> </v>
      </c>
      <c r="F145" t="str">
        <f>AN48</f>
        <v xml:space="preserve"> </v>
      </c>
      <c r="G145" t="str">
        <f>AN25</f>
        <v xml:space="preserve"> </v>
      </c>
      <c r="H145" t="str">
        <f>AN68</f>
        <v xml:space="preserve"> </v>
      </c>
      <c r="I145" t="str">
        <f>BI5</f>
        <v xml:space="preserve"> </v>
      </c>
      <c r="J145" t="str">
        <f>BI48</f>
        <v xml:space="preserve"> </v>
      </c>
      <c r="K145" t="str">
        <f>BI25</f>
        <v xml:space="preserve"> </v>
      </c>
      <c r="L145" t="str">
        <f>BI68</f>
        <v xml:space="preserve"> </v>
      </c>
      <c r="M145" s="27" t="str">
        <f>$AN9</f>
        <v xml:space="preserve"> </v>
      </c>
      <c r="N145" t="str">
        <f>$AN52</f>
        <v xml:space="preserve"> </v>
      </c>
      <c r="O145" t="str">
        <f>$AN29</f>
        <v xml:space="preserve"> </v>
      </c>
      <c r="P145" t="str">
        <f>$AN72</f>
        <v xml:space="preserve"> </v>
      </c>
      <c r="Q145" t="str">
        <f>$BI9</f>
        <v xml:space="preserve"> </v>
      </c>
      <c r="R145" t="str">
        <f>$BI52</f>
        <v xml:space="preserve"> </v>
      </c>
      <c r="S145" t="str">
        <f>$BI29</f>
        <v xml:space="preserve"> </v>
      </c>
      <c r="T145" s="28" t="str">
        <f>$BI72</f>
        <v xml:space="preserve"> </v>
      </c>
      <c r="X145" s="27" t="str">
        <f>$AN13</f>
        <v xml:space="preserve"> </v>
      </c>
      <c r="Y145" t="str">
        <f>$AN56</f>
        <v xml:space="preserve"> </v>
      </c>
      <c r="Z145" t="str">
        <f>$AN33</f>
        <v xml:space="preserve"> </v>
      </c>
      <c r="AA145" t="str">
        <f>$AN76</f>
        <v xml:space="preserve"> </v>
      </c>
      <c r="AB145" t="str">
        <f>$BI13</f>
        <v xml:space="preserve"> </v>
      </c>
      <c r="AC145" t="str">
        <f>$BI56</f>
        <v xml:space="preserve"> </v>
      </c>
      <c r="AD145" t="str">
        <f>$BI33</f>
        <v xml:space="preserve"> </v>
      </c>
      <c r="AE145" t="str">
        <f>$BI76</f>
        <v xml:space="preserve"> </v>
      </c>
      <c r="AF145" s="27" t="str">
        <f>$AN17</f>
        <v xml:space="preserve"> </v>
      </c>
      <c r="AG145" t="str">
        <f>$AN60</f>
        <v xml:space="preserve"> </v>
      </c>
      <c r="AH145" t="str">
        <f>$AN37</f>
        <v xml:space="preserve"> </v>
      </c>
      <c r="AI145" t="str">
        <f>$AN80</f>
        <v xml:space="preserve"> </v>
      </c>
      <c r="AJ145" t="str">
        <f>$BI17</f>
        <v xml:space="preserve"> </v>
      </c>
      <c r="AK145" t="str">
        <f>$BI60</f>
        <v xml:space="preserve"> </v>
      </c>
      <c r="AL145" t="str">
        <f>$BI37</f>
        <v xml:space="preserve"> </v>
      </c>
      <c r="AM145" s="28" t="str">
        <f>$BI80</f>
        <v xml:space="preserve"> </v>
      </c>
      <c r="AQ145" s="27" t="str">
        <f>$AN21</f>
        <v xml:space="preserve"> </v>
      </c>
      <c r="AR145" t="str">
        <f>$AN64</f>
        <v xml:space="preserve"> </v>
      </c>
      <c r="AS145" t="str">
        <f>$AN41</f>
        <v xml:space="preserve"> </v>
      </c>
      <c r="AT145" t="str">
        <f>$AN84</f>
        <v xml:space="preserve"> </v>
      </c>
      <c r="AU145" t="str">
        <f>$BI21</f>
        <v xml:space="preserve"> </v>
      </c>
      <c r="AV145" t="str">
        <f>$BI64</f>
        <v xml:space="preserve"> </v>
      </c>
      <c r="AW145" t="str">
        <f>$BI41</f>
        <v xml:space="preserve"> </v>
      </c>
      <c r="AX145" s="28" t="str">
        <f>$BI84</f>
        <v xml:space="preserve"> </v>
      </c>
    </row>
    <row r="146" spans="5:50" hidden="1" x14ac:dyDescent="0.25">
      <c r="E146" s="27" t="str">
        <f>AN6</f>
        <v xml:space="preserve"> </v>
      </c>
      <c r="F146" t="str">
        <f>AN49</f>
        <v xml:space="preserve"> </v>
      </c>
      <c r="G146" t="str">
        <f>AN26</f>
        <v xml:space="preserve"> </v>
      </c>
      <c r="H146" t="str">
        <f>AN69</f>
        <v xml:space="preserve"> </v>
      </c>
      <c r="I146" t="str">
        <f>BI6</f>
        <v xml:space="preserve"> </v>
      </c>
      <c r="J146" t="str">
        <f>BI49</f>
        <v xml:space="preserve"> </v>
      </c>
      <c r="K146" t="str">
        <f>BI26</f>
        <v xml:space="preserve"> </v>
      </c>
      <c r="L146" t="str">
        <f>BI69</f>
        <v xml:space="preserve"> </v>
      </c>
      <c r="M146" s="27" t="str">
        <f>$AN10</f>
        <v xml:space="preserve"> </v>
      </c>
      <c r="N146" t="str">
        <f>$AN53</f>
        <v xml:space="preserve"> </v>
      </c>
      <c r="O146" t="str">
        <f>$AN30</f>
        <v xml:space="preserve"> </v>
      </c>
      <c r="P146" t="str">
        <f>$AN73</f>
        <v xml:space="preserve"> </v>
      </c>
      <c r="Q146" t="str">
        <f>$BI10</f>
        <v xml:space="preserve"> </v>
      </c>
      <c r="R146" t="str">
        <f>$BI53</f>
        <v xml:space="preserve"> </v>
      </c>
      <c r="S146" t="str">
        <f>$BI30</f>
        <v xml:space="preserve"> </v>
      </c>
      <c r="T146" s="28" t="str">
        <f>$BI73</f>
        <v xml:space="preserve"> </v>
      </c>
      <c r="X146" s="27" t="str">
        <f>$AN14</f>
        <v xml:space="preserve"> </v>
      </c>
      <c r="Y146" t="str">
        <f>$AN57</f>
        <v xml:space="preserve"> </v>
      </c>
      <c r="Z146" t="str">
        <f>$AN34</f>
        <v xml:space="preserve"> </v>
      </c>
      <c r="AA146" t="str">
        <f>$AN77</f>
        <v xml:space="preserve"> </v>
      </c>
      <c r="AB146" t="str">
        <f>$BI14</f>
        <v xml:space="preserve"> </v>
      </c>
      <c r="AC146" t="str">
        <f>$BI57</f>
        <v xml:space="preserve"> </v>
      </c>
      <c r="AD146" t="str">
        <f>$BI34</f>
        <v xml:space="preserve"> </v>
      </c>
      <c r="AE146" t="str">
        <f>$BI77</f>
        <v xml:space="preserve"> </v>
      </c>
      <c r="AF146" s="27" t="str">
        <f>$AN18</f>
        <v xml:space="preserve"> </v>
      </c>
      <c r="AG146" t="str">
        <f>$AN61</f>
        <v xml:space="preserve"> </v>
      </c>
      <c r="AH146" t="str">
        <f>$AN38</f>
        <v xml:space="preserve"> </v>
      </c>
      <c r="AI146" t="str">
        <f>$AN81</f>
        <v xml:space="preserve"> </v>
      </c>
      <c r="AJ146" t="str">
        <f>$BI18</f>
        <v xml:space="preserve"> </v>
      </c>
      <c r="AK146" t="str">
        <f>$BI61</f>
        <v xml:space="preserve"> </v>
      </c>
      <c r="AL146" t="str">
        <f>$BI38</f>
        <v xml:space="preserve"> </v>
      </c>
      <c r="AM146" s="28" t="str">
        <f>$BI81</f>
        <v xml:space="preserve"> </v>
      </c>
      <c r="AQ146" s="27" t="str">
        <f>$AN22</f>
        <v xml:space="preserve"> </v>
      </c>
      <c r="AR146" t="str">
        <f>$AN65</f>
        <v xml:space="preserve"> </v>
      </c>
      <c r="AS146" t="str">
        <f>$AN42</f>
        <v xml:space="preserve"> </v>
      </c>
      <c r="AT146" t="str">
        <f>$AN85</f>
        <v xml:space="preserve"> </v>
      </c>
      <c r="AU146" t="str">
        <f>$BI22</f>
        <v xml:space="preserve"> </v>
      </c>
      <c r="AV146" t="str">
        <f>$BI65</f>
        <v xml:space="preserve"> </v>
      </c>
      <c r="AW146" t="str">
        <f>$BI42</f>
        <v xml:space="preserve"> </v>
      </c>
      <c r="AX146" s="28" t="str">
        <f>$BI85</f>
        <v xml:space="preserve"> </v>
      </c>
    </row>
    <row r="147" spans="5:50" hidden="1" x14ac:dyDescent="0.25">
      <c r="E147" s="29" t="str">
        <f>AN7</f>
        <v xml:space="preserve"> </v>
      </c>
      <c r="F147" s="30" t="str">
        <f>AN50</f>
        <v xml:space="preserve"> </v>
      </c>
      <c r="G147" s="30" t="str">
        <f>AN27</f>
        <v xml:space="preserve"> </v>
      </c>
      <c r="H147" s="30" t="str">
        <f>AN70</f>
        <v xml:space="preserve"> </v>
      </c>
      <c r="I147" s="30" t="str">
        <f>BI7</f>
        <v xml:space="preserve"> </v>
      </c>
      <c r="J147" s="30" t="str">
        <f>BI50</f>
        <v xml:space="preserve"> </v>
      </c>
      <c r="K147" s="30" t="str">
        <f>BI27</f>
        <v xml:space="preserve"> </v>
      </c>
      <c r="L147" s="30" t="str">
        <f>BI70</f>
        <v xml:space="preserve"> </v>
      </c>
      <c r="M147" s="29" t="str">
        <f>$AN11</f>
        <v xml:space="preserve"> </v>
      </c>
      <c r="N147" s="30" t="str">
        <f>$AN54</f>
        <v xml:space="preserve"> </v>
      </c>
      <c r="O147" s="30" t="str">
        <f>$AN31</f>
        <v xml:space="preserve"> </v>
      </c>
      <c r="P147" s="30" t="str">
        <f>$AN74</f>
        <v xml:space="preserve"> </v>
      </c>
      <c r="Q147" s="30" t="str">
        <f>$BI11</f>
        <v xml:space="preserve"> </v>
      </c>
      <c r="R147" s="30" t="str">
        <f>$BI54</f>
        <v xml:space="preserve"> </v>
      </c>
      <c r="S147" s="30" t="str">
        <f>$BI31</f>
        <v xml:space="preserve"> </v>
      </c>
      <c r="T147" s="31" t="str">
        <f>$BI74</f>
        <v xml:space="preserve"> </v>
      </c>
      <c r="X147" s="29" t="str">
        <f>$AN15</f>
        <v xml:space="preserve"> </v>
      </c>
      <c r="Y147" s="30" t="str">
        <f>$AN58</f>
        <v xml:space="preserve"> </v>
      </c>
      <c r="Z147" s="30" t="str">
        <f>$AN35</f>
        <v xml:space="preserve"> </v>
      </c>
      <c r="AA147" s="30" t="str">
        <f>$AN78</f>
        <v xml:space="preserve"> </v>
      </c>
      <c r="AB147" s="30" t="str">
        <f>$BI15</f>
        <v xml:space="preserve"> </v>
      </c>
      <c r="AC147" s="30" t="str">
        <f>$BI58</f>
        <v xml:space="preserve"> </v>
      </c>
      <c r="AD147" s="30" t="str">
        <f>$BI35</f>
        <v xml:space="preserve"> </v>
      </c>
      <c r="AE147" s="30" t="str">
        <f>$BI78</f>
        <v xml:space="preserve"> </v>
      </c>
      <c r="AF147" s="29" t="str">
        <f>$AN19</f>
        <v xml:space="preserve"> </v>
      </c>
      <c r="AG147" s="30" t="str">
        <f>$AN62</f>
        <v xml:space="preserve"> </v>
      </c>
      <c r="AH147" s="30" t="str">
        <f>$AN39</f>
        <v xml:space="preserve"> </v>
      </c>
      <c r="AI147" s="30" t="str">
        <f>$AN82</f>
        <v xml:space="preserve"> </v>
      </c>
      <c r="AJ147" s="30" t="str">
        <f>$BI19</f>
        <v xml:space="preserve"> </v>
      </c>
      <c r="AK147" s="30" t="str">
        <f>$BI62</f>
        <v xml:space="preserve"> </v>
      </c>
      <c r="AL147" s="30" t="str">
        <f>$BI39</f>
        <v xml:space="preserve"> </v>
      </c>
      <c r="AM147" s="31" t="str">
        <f>$BI82</f>
        <v xml:space="preserve"> </v>
      </c>
      <c r="AQ147" s="29" t="str">
        <f>$AN23</f>
        <v xml:space="preserve"> </v>
      </c>
      <c r="AR147" s="30" t="str">
        <f>$AN66</f>
        <v xml:space="preserve"> </v>
      </c>
      <c r="AS147" s="30" t="str">
        <f>$AN43</f>
        <v xml:space="preserve"> </v>
      </c>
      <c r="AT147" s="30" t="str">
        <f>$AN86</f>
        <v xml:space="preserve"> </v>
      </c>
      <c r="AU147" s="30" t="str">
        <f>$BI23</f>
        <v xml:space="preserve"> </v>
      </c>
      <c r="AV147" s="30" t="str">
        <f>$BI66</f>
        <v xml:space="preserve"> </v>
      </c>
      <c r="AW147" s="30" t="str">
        <f>$BI43</f>
        <v xml:space="preserve"> </v>
      </c>
      <c r="AX147" s="31" t="str">
        <f>$BI86</f>
        <v xml:space="preserve"> </v>
      </c>
    </row>
    <row r="148" spans="5:50" hidden="1" x14ac:dyDescent="0.25">
      <c r="E148" s="27" t="str">
        <f>AO4</f>
        <v xml:space="preserve"> </v>
      </c>
      <c r="F148" t="str">
        <f>AO47</f>
        <v xml:space="preserve"> </v>
      </c>
      <c r="G148" t="str">
        <f>AO24</f>
        <v xml:space="preserve"> </v>
      </c>
      <c r="H148" t="str">
        <f>AO67</f>
        <v xml:space="preserve"> </v>
      </c>
      <c r="I148" t="str">
        <f>BJ4</f>
        <v xml:space="preserve"> </v>
      </c>
      <c r="J148" t="str">
        <f>BJ47</f>
        <v xml:space="preserve"> </v>
      </c>
      <c r="K148" t="str">
        <f>BJ24</f>
        <v xml:space="preserve"> </v>
      </c>
      <c r="L148" s="28" t="str">
        <f>BJ67</f>
        <v xml:space="preserve"> </v>
      </c>
      <c r="M148" s="27" t="str">
        <f>$AO8</f>
        <v xml:space="preserve"> </v>
      </c>
      <c r="N148" t="str">
        <f>$AO51</f>
        <v xml:space="preserve"> </v>
      </c>
      <c r="O148" t="str">
        <f>$AO28</f>
        <v xml:space="preserve"> </v>
      </c>
      <c r="P148" t="str">
        <f>$AO71</f>
        <v xml:space="preserve"> </v>
      </c>
      <c r="Q148" t="str">
        <f>$BJ8</f>
        <v xml:space="preserve"> </v>
      </c>
      <c r="R148" t="str">
        <f>$BJ51</f>
        <v xml:space="preserve"> </v>
      </c>
      <c r="S148" t="str">
        <f>$BJ28</f>
        <v xml:space="preserve"> </v>
      </c>
      <c r="T148" s="28" t="str">
        <f>$BJ71</f>
        <v xml:space="preserve"> </v>
      </c>
      <c r="X148" s="27" t="str">
        <f>$AO12</f>
        <v xml:space="preserve"> </v>
      </c>
      <c r="Y148" t="str">
        <f>$AO55</f>
        <v xml:space="preserve"> </v>
      </c>
      <c r="Z148" t="str">
        <f>$AO32</f>
        <v xml:space="preserve"> </v>
      </c>
      <c r="AA148" t="str">
        <f>$AO75</f>
        <v xml:space="preserve"> </v>
      </c>
      <c r="AB148" t="str">
        <f>$BJ12</f>
        <v xml:space="preserve"> </v>
      </c>
      <c r="AC148" t="str">
        <f>$BJ55</f>
        <v xml:space="preserve"> </v>
      </c>
      <c r="AD148" t="str">
        <f>$BJ32</f>
        <v xml:space="preserve"> </v>
      </c>
      <c r="AE148" s="28" t="str">
        <f>$BJ75</f>
        <v xml:space="preserve"> </v>
      </c>
      <c r="AF148" s="27" t="str">
        <f>$AO16</f>
        <v xml:space="preserve"> </v>
      </c>
      <c r="AG148" t="str">
        <f>$AO59</f>
        <v xml:space="preserve"> </v>
      </c>
      <c r="AH148" t="str">
        <f>$AO36</f>
        <v xml:space="preserve"> </v>
      </c>
      <c r="AI148" t="str">
        <f>$AO79</f>
        <v xml:space="preserve"> </v>
      </c>
      <c r="AJ148" t="str">
        <f>$BJ16</f>
        <v xml:space="preserve"> </v>
      </c>
      <c r="AK148" t="str">
        <f>$BJ59</f>
        <v xml:space="preserve"> </v>
      </c>
      <c r="AL148" t="str">
        <f>$BJ36</f>
        <v xml:space="preserve"> </v>
      </c>
      <c r="AM148" s="28" t="str">
        <f>$BJ79</f>
        <v xml:space="preserve"> </v>
      </c>
      <c r="AQ148" s="27" t="str">
        <f>$AO20</f>
        <v xml:space="preserve"> </v>
      </c>
      <c r="AR148" t="str">
        <f>$AO63</f>
        <v xml:space="preserve"> </v>
      </c>
      <c r="AS148" t="str">
        <f>$AO40</f>
        <v xml:space="preserve"> </v>
      </c>
      <c r="AT148" t="str">
        <f>$AO83</f>
        <v xml:space="preserve"> </v>
      </c>
      <c r="AU148" t="str">
        <f>$BJ20</f>
        <v xml:space="preserve"> </v>
      </c>
      <c r="AV148" t="str">
        <f>$BJ63</f>
        <v xml:space="preserve"> </v>
      </c>
      <c r="AW148" t="str">
        <f>$BJ40</f>
        <v xml:space="preserve"> </v>
      </c>
      <c r="AX148" s="28" t="str">
        <f>$BJ83</f>
        <v xml:space="preserve"> </v>
      </c>
    </row>
    <row r="149" spans="5:50" hidden="1" x14ac:dyDescent="0.25">
      <c r="E149" s="27" t="str">
        <f>AO5</f>
        <v xml:space="preserve"> </v>
      </c>
      <c r="F149" t="str">
        <f>AO48</f>
        <v xml:space="preserve"> </v>
      </c>
      <c r="G149" t="str">
        <f>AO25</f>
        <v xml:space="preserve"> </v>
      </c>
      <c r="H149" t="str">
        <f>AO68</f>
        <v xml:space="preserve"> </v>
      </c>
      <c r="I149" t="str">
        <f>BJ5</f>
        <v xml:space="preserve"> </v>
      </c>
      <c r="J149" t="str">
        <f>BJ48</f>
        <v xml:space="preserve"> </v>
      </c>
      <c r="K149" t="str">
        <f>BJ25</f>
        <v xml:space="preserve"> </v>
      </c>
      <c r="L149" s="28" t="str">
        <f>BJ68</f>
        <v xml:space="preserve"> </v>
      </c>
      <c r="M149" s="27" t="str">
        <f>$AO9</f>
        <v xml:space="preserve"> </v>
      </c>
      <c r="N149" t="str">
        <f>$AO52</f>
        <v xml:space="preserve"> </v>
      </c>
      <c r="O149" t="str">
        <f>$AO29</f>
        <v xml:space="preserve"> </v>
      </c>
      <c r="P149" t="str">
        <f>$AO72</f>
        <v xml:space="preserve"> </v>
      </c>
      <c r="Q149" t="str">
        <f>$BJ9</f>
        <v xml:space="preserve"> </v>
      </c>
      <c r="R149" t="str">
        <f>$BJ52</f>
        <v xml:space="preserve"> </v>
      </c>
      <c r="S149" t="str">
        <f>$BJ29</f>
        <v xml:space="preserve"> </v>
      </c>
      <c r="T149" s="28" t="str">
        <f>$BJ72</f>
        <v xml:space="preserve"> </v>
      </c>
      <c r="X149" s="27" t="str">
        <f>$AO13</f>
        <v xml:space="preserve"> </v>
      </c>
      <c r="Y149" t="str">
        <f>$AO56</f>
        <v xml:space="preserve"> </v>
      </c>
      <c r="Z149" t="str">
        <f>$AO33</f>
        <v xml:space="preserve"> </v>
      </c>
      <c r="AA149" t="str">
        <f>$AO76</f>
        <v xml:space="preserve"> </v>
      </c>
      <c r="AB149" t="str">
        <f>$BJ13</f>
        <v xml:space="preserve"> </v>
      </c>
      <c r="AC149" t="str">
        <f>$BJ56</f>
        <v xml:space="preserve"> </v>
      </c>
      <c r="AD149" t="str">
        <f>$BJ33</f>
        <v xml:space="preserve"> </v>
      </c>
      <c r="AE149" s="28" t="str">
        <f>$BJ76</f>
        <v xml:space="preserve"> </v>
      </c>
      <c r="AF149" s="27" t="str">
        <f>$AO17</f>
        <v xml:space="preserve"> </v>
      </c>
      <c r="AG149" t="str">
        <f>$AO60</f>
        <v xml:space="preserve"> </v>
      </c>
      <c r="AH149" t="str">
        <f>$AO37</f>
        <v xml:space="preserve"> </v>
      </c>
      <c r="AI149" t="str">
        <f>$AO80</f>
        <v xml:space="preserve"> </v>
      </c>
      <c r="AJ149" t="str">
        <f>$BJ17</f>
        <v xml:space="preserve"> </v>
      </c>
      <c r="AK149" t="str">
        <f>$BJ60</f>
        <v xml:space="preserve"> </v>
      </c>
      <c r="AL149" t="str">
        <f>$BJ37</f>
        <v xml:space="preserve"> </v>
      </c>
      <c r="AM149" s="28" t="str">
        <f>$BJ80</f>
        <v xml:space="preserve"> </v>
      </c>
      <c r="AQ149" s="27" t="str">
        <f>$AO21</f>
        <v xml:space="preserve"> </v>
      </c>
      <c r="AR149" t="str">
        <f>$AO64</f>
        <v xml:space="preserve"> </v>
      </c>
      <c r="AS149" t="str">
        <f>$AO41</f>
        <v xml:space="preserve"> </v>
      </c>
      <c r="AT149" t="str">
        <f>$AO84</f>
        <v xml:space="preserve"> </v>
      </c>
      <c r="AU149" t="str">
        <f>$BJ21</f>
        <v xml:space="preserve"> </v>
      </c>
      <c r="AV149" t="str">
        <f>$BJ64</f>
        <v xml:space="preserve"> </v>
      </c>
      <c r="AW149" t="str">
        <f>$BJ41</f>
        <v xml:space="preserve"> </v>
      </c>
      <c r="AX149" s="28" t="str">
        <f>$BJ84</f>
        <v xml:space="preserve"> </v>
      </c>
    </row>
    <row r="150" spans="5:50" hidden="1" x14ac:dyDescent="0.25">
      <c r="E150" s="27" t="str">
        <f>AO6</f>
        <v xml:space="preserve"> </v>
      </c>
      <c r="F150" t="str">
        <f>AO49</f>
        <v xml:space="preserve"> </v>
      </c>
      <c r="G150" t="str">
        <f>AO26</f>
        <v xml:space="preserve"> </v>
      </c>
      <c r="H150" t="str">
        <f>AO69</f>
        <v xml:space="preserve"> </v>
      </c>
      <c r="I150" t="str">
        <f>BJ6</f>
        <v xml:space="preserve"> </v>
      </c>
      <c r="J150" t="str">
        <f>BJ49</f>
        <v xml:space="preserve"> </v>
      </c>
      <c r="K150" t="str">
        <f>BJ26</f>
        <v xml:space="preserve"> </v>
      </c>
      <c r="L150" s="28" t="str">
        <f>BJ69</f>
        <v xml:space="preserve"> </v>
      </c>
      <c r="M150" s="27" t="str">
        <f>$AO10</f>
        <v xml:space="preserve"> </v>
      </c>
      <c r="N150" t="str">
        <f>$AO53</f>
        <v xml:space="preserve"> </v>
      </c>
      <c r="O150" t="str">
        <f>$AO30</f>
        <v xml:space="preserve"> </v>
      </c>
      <c r="P150" t="str">
        <f>$AO73</f>
        <v xml:space="preserve"> </v>
      </c>
      <c r="Q150" t="str">
        <f>$BJ10</f>
        <v xml:space="preserve"> </v>
      </c>
      <c r="R150" t="str">
        <f>$BJ53</f>
        <v xml:space="preserve"> </v>
      </c>
      <c r="S150" t="str">
        <f>$BJ30</f>
        <v xml:space="preserve"> </v>
      </c>
      <c r="T150" s="28" t="str">
        <f>$BJ73</f>
        <v xml:space="preserve"> </v>
      </c>
      <c r="X150" s="27" t="str">
        <f>$AO14</f>
        <v xml:space="preserve"> </v>
      </c>
      <c r="Y150" t="str">
        <f>$AO57</f>
        <v xml:space="preserve"> </v>
      </c>
      <c r="Z150" t="str">
        <f>$AO34</f>
        <v xml:space="preserve"> </v>
      </c>
      <c r="AA150" t="str">
        <f>$AO77</f>
        <v xml:space="preserve"> </v>
      </c>
      <c r="AB150" t="str">
        <f>$BJ14</f>
        <v xml:space="preserve"> </v>
      </c>
      <c r="AC150" t="str">
        <f>$BJ57</f>
        <v xml:space="preserve"> </v>
      </c>
      <c r="AD150" t="str">
        <f>$BJ34</f>
        <v xml:space="preserve"> </v>
      </c>
      <c r="AE150" s="28" t="str">
        <f>$BJ77</f>
        <v xml:space="preserve"> </v>
      </c>
      <c r="AF150" s="27" t="str">
        <f>$AO18</f>
        <v xml:space="preserve"> </v>
      </c>
      <c r="AG150" t="str">
        <f>$AO61</f>
        <v xml:space="preserve"> </v>
      </c>
      <c r="AH150" t="str">
        <f>$AO38</f>
        <v xml:space="preserve"> </v>
      </c>
      <c r="AI150" t="str">
        <f>$AO81</f>
        <v xml:space="preserve"> </v>
      </c>
      <c r="AJ150" t="str">
        <f>$BJ18</f>
        <v xml:space="preserve"> </v>
      </c>
      <c r="AK150" t="str">
        <f>$BJ61</f>
        <v xml:space="preserve"> </v>
      </c>
      <c r="AL150" t="str">
        <f>$BJ38</f>
        <v xml:space="preserve"> </v>
      </c>
      <c r="AM150" s="28" t="str">
        <f>$BJ81</f>
        <v xml:space="preserve"> </v>
      </c>
      <c r="AQ150" s="27" t="str">
        <f>$AO22</f>
        <v xml:space="preserve"> </v>
      </c>
      <c r="AR150" t="str">
        <f>$AO65</f>
        <v xml:space="preserve"> </v>
      </c>
      <c r="AS150" t="str">
        <f>$AO42</f>
        <v xml:space="preserve"> </v>
      </c>
      <c r="AT150" t="str">
        <f>$AO85</f>
        <v xml:space="preserve"> </v>
      </c>
      <c r="AU150" t="str">
        <f>$BJ22</f>
        <v xml:space="preserve"> </v>
      </c>
      <c r="AV150" t="str">
        <f>$BJ65</f>
        <v xml:space="preserve"> </v>
      </c>
      <c r="AW150" t="str">
        <f>$BJ42</f>
        <v xml:space="preserve"> </v>
      </c>
      <c r="AX150" s="28" t="str">
        <f>$BJ85</f>
        <v xml:space="preserve"> </v>
      </c>
    </row>
    <row r="151" spans="5:50" hidden="1" x14ac:dyDescent="0.25">
      <c r="E151" s="27" t="str">
        <f>AO7</f>
        <v xml:space="preserve"> </v>
      </c>
      <c r="F151" t="str">
        <f>AO50</f>
        <v xml:space="preserve"> </v>
      </c>
      <c r="G151" t="str">
        <f>AO27</f>
        <v xml:space="preserve"> </v>
      </c>
      <c r="H151" t="str">
        <f>AO70</f>
        <v xml:space="preserve"> </v>
      </c>
      <c r="I151" t="str">
        <f>BJ7</f>
        <v xml:space="preserve"> </v>
      </c>
      <c r="J151" t="str">
        <f>BJ50</f>
        <v xml:space="preserve"> </v>
      </c>
      <c r="K151" t="str">
        <f>BJ27</f>
        <v xml:space="preserve"> </v>
      </c>
      <c r="L151" s="28" t="str">
        <f>BJ70</f>
        <v xml:space="preserve"> </v>
      </c>
      <c r="M151" s="27" t="str">
        <f>$AO11</f>
        <v xml:space="preserve"> </v>
      </c>
      <c r="N151" t="str">
        <f>$AO54</f>
        <v xml:space="preserve"> </v>
      </c>
      <c r="O151" t="str">
        <f>$AO31</f>
        <v xml:space="preserve"> </v>
      </c>
      <c r="P151" t="str">
        <f>$AO74</f>
        <v xml:space="preserve"> </v>
      </c>
      <c r="Q151" t="str">
        <f>$BJ11</f>
        <v xml:space="preserve"> </v>
      </c>
      <c r="R151" t="str">
        <f>$BJ54</f>
        <v xml:space="preserve"> </v>
      </c>
      <c r="S151" t="str">
        <f>$BJ31</f>
        <v xml:space="preserve"> </v>
      </c>
      <c r="T151" s="28" t="str">
        <f>$BJ74</f>
        <v xml:space="preserve"> </v>
      </c>
      <c r="X151" s="27" t="str">
        <f>$AO15</f>
        <v xml:space="preserve"> </v>
      </c>
      <c r="Y151" t="str">
        <f>$AO58</f>
        <v xml:space="preserve"> </v>
      </c>
      <c r="Z151" t="str">
        <f>$AO35</f>
        <v xml:space="preserve"> </v>
      </c>
      <c r="AA151" t="str">
        <f>$AO78</f>
        <v xml:space="preserve"> </v>
      </c>
      <c r="AB151" t="str">
        <f>$BJ15</f>
        <v xml:space="preserve"> </v>
      </c>
      <c r="AC151" t="str">
        <f>$BJ58</f>
        <v xml:space="preserve"> </v>
      </c>
      <c r="AD151" t="str">
        <f>$BJ35</f>
        <v xml:space="preserve"> </v>
      </c>
      <c r="AE151" s="28" t="str">
        <f>$BJ78</f>
        <v xml:space="preserve"> </v>
      </c>
      <c r="AF151" s="27" t="str">
        <f>$AO19</f>
        <v xml:space="preserve"> </v>
      </c>
      <c r="AG151" t="str">
        <f>$AO62</f>
        <v xml:space="preserve"> </v>
      </c>
      <c r="AH151" t="str">
        <f>$AO39</f>
        <v xml:space="preserve"> </v>
      </c>
      <c r="AI151" t="str">
        <f>$AO82</f>
        <v xml:space="preserve"> </v>
      </c>
      <c r="AJ151" t="str">
        <f>$BJ19</f>
        <v xml:space="preserve"> </v>
      </c>
      <c r="AK151" t="str">
        <f>$BJ62</f>
        <v xml:space="preserve"> </v>
      </c>
      <c r="AL151" t="str">
        <f>$BJ39</f>
        <v xml:space="preserve"> </v>
      </c>
      <c r="AM151" s="28" t="str">
        <f>$BJ82</f>
        <v xml:space="preserve"> </v>
      </c>
      <c r="AQ151" s="27" t="str">
        <f>$AO23</f>
        <v xml:space="preserve"> </v>
      </c>
      <c r="AR151" t="str">
        <f>$AO66</f>
        <v xml:space="preserve"> </v>
      </c>
      <c r="AS151" t="str">
        <f>$AO43</f>
        <v xml:space="preserve"> </v>
      </c>
      <c r="AT151" t="str">
        <f>$AO86</f>
        <v xml:space="preserve"> </v>
      </c>
      <c r="AU151" t="str">
        <f>$BJ23</f>
        <v xml:space="preserve"> </v>
      </c>
      <c r="AV151" t="str">
        <f>$BJ66</f>
        <v xml:space="preserve"> </v>
      </c>
      <c r="AW151" t="str">
        <f>$BJ43</f>
        <v xml:space="preserve"> </v>
      </c>
      <c r="AX151" s="28" t="str">
        <f>$BJ86</f>
        <v xml:space="preserve"> </v>
      </c>
    </row>
    <row r="152" spans="5:50" hidden="1" x14ac:dyDescent="0.25">
      <c r="E152" s="24" t="str">
        <f>AP4</f>
        <v xml:space="preserve"> </v>
      </c>
      <c r="F152" s="25" t="str">
        <f>AP47</f>
        <v xml:space="preserve"> </v>
      </c>
      <c r="G152" s="25" t="str">
        <f>AP24</f>
        <v xml:space="preserve"> </v>
      </c>
      <c r="H152" s="25" t="str">
        <f>AP67</f>
        <v xml:space="preserve"> </v>
      </c>
      <c r="I152" s="25" t="str">
        <f>BK4</f>
        <v xml:space="preserve"> </v>
      </c>
      <c r="J152" s="25" t="str">
        <f>BK47</f>
        <v xml:space="preserve"> </v>
      </c>
      <c r="K152" s="25" t="str">
        <f>BK24</f>
        <v xml:space="preserve"> </v>
      </c>
      <c r="L152" s="25" t="str">
        <f>BK67</f>
        <v xml:space="preserve"> </v>
      </c>
      <c r="M152" s="24" t="str">
        <f>$AP8</f>
        <v xml:space="preserve"> </v>
      </c>
      <c r="N152" s="25" t="str">
        <f>$AP51</f>
        <v xml:space="preserve"> </v>
      </c>
      <c r="O152" s="25" t="str">
        <f>$AP28</f>
        <v xml:space="preserve"> </v>
      </c>
      <c r="P152" s="25" t="str">
        <f>$AP71</f>
        <v xml:space="preserve"> </v>
      </c>
      <c r="Q152" s="25" t="str">
        <f>$BK8</f>
        <v xml:space="preserve"> </v>
      </c>
      <c r="R152" s="25" t="str">
        <f>$BK51</f>
        <v xml:space="preserve"> </v>
      </c>
      <c r="S152" s="25" t="str">
        <f>$BK28</f>
        <v xml:space="preserve"> </v>
      </c>
      <c r="T152" s="26" t="str">
        <f>$BK71</f>
        <v xml:space="preserve"> </v>
      </c>
      <c r="X152" s="24" t="str">
        <f>$AP12</f>
        <v xml:space="preserve"> </v>
      </c>
      <c r="Y152" s="25" t="str">
        <f>$AP55</f>
        <v xml:space="preserve"> </v>
      </c>
      <c r="Z152" s="25" t="str">
        <f>$AP32</f>
        <v xml:space="preserve"> </v>
      </c>
      <c r="AA152" s="25" t="str">
        <f>$AP75</f>
        <v xml:space="preserve"> </v>
      </c>
      <c r="AB152" s="25" t="str">
        <f>$BK12</f>
        <v xml:space="preserve"> </v>
      </c>
      <c r="AC152" s="25" t="str">
        <f>$BK55</f>
        <v xml:space="preserve"> </v>
      </c>
      <c r="AD152" s="25" t="str">
        <f>$BK32</f>
        <v xml:space="preserve"> </v>
      </c>
      <c r="AE152" s="25" t="str">
        <f>$BK75</f>
        <v xml:space="preserve"> </v>
      </c>
      <c r="AF152" s="24" t="str">
        <f>$AP16</f>
        <v xml:space="preserve"> </v>
      </c>
      <c r="AG152" s="25" t="str">
        <f>$AP59</f>
        <v xml:space="preserve"> </v>
      </c>
      <c r="AH152" s="25" t="str">
        <f>$AP36</f>
        <v xml:space="preserve"> </v>
      </c>
      <c r="AI152" s="25" t="str">
        <f>$AP79</f>
        <v xml:space="preserve"> </v>
      </c>
      <c r="AJ152" s="25" t="str">
        <f>$BK16</f>
        <v xml:space="preserve"> </v>
      </c>
      <c r="AK152" s="25" t="str">
        <f>$BK59</f>
        <v xml:space="preserve"> </v>
      </c>
      <c r="AL152" s="25" t="str">
        <f>$BK36</f>
        <v xml:space="preserve"> </v>
      </c>
      <c r="AM152" s="26" t="str">
        <f>$BK79</f>
        <v xml:space="preserve"> </v>
      </c>
      <c r="AQ152" s="24" t="str">
        <f>$AP20</f>
        <v xml:space="preserve"> </v>
      </c>
      <c r="AR152" s="25" t="str">
        <f>$AP63</f>
        <v xml:space="preserve"> </v>
      </c>
      <c r="AS152" s="25" t="str">
        <f>$AP40</f>
        <v xml:space="preserve"> </v>
      </c>
      <c r="AT152" s="25" t="str">
        <f>$AP83</f>
        <v xml:space="preserve"> </v>
      </c>
      <c r="AU152" s="25" t="str">
        <f>$BK20</f>
        <v xml:space="preserve"> </v>
      </c>
      <c r="AV152" s="25" t="str">
        <f>$BK63</f>
        <v xml:space="preserve"> </v>
      </c>
      <c r="AW152" s="25" t="str">
        <f>$BK40</f>
        <v xml:space="preserve"> </v>
      </c>
      <c r="AX152" s="26" t="str">
        <f>$BK83</f>
        <v xml:space="preserve"> </v>
      </c>
    </row>
    <row r="153" spans="5:50" hidden="1" x14ac:dyDescent="0.25">
      <c r="E153" s="27" t="str">
        <f>AP5</f>
        <v xml:space="preserve"> </v>
      </c>
      <c r="F153" t="str">
        <f>AP48</f>
        <v xml:space="preserve"> </v>
      </c>
      <c r="G153" t="str">
        <f>AP25</f>
        <v xml:space="preserve"> </v>
      </c>
      <c r="H153" t="str">
        <f>AP68</f>
        <v xml:space="preserve"> </v>
      </c>
      <c r="I153" t="str">
        <f>BK5</f>
        <v xml:space="preserve"> </v>
      </c>
      <c r="J153" t="str">
        <f>BK48</f>
        <v xml:space="preserve"> </v>
      </c>
      <c r="K153" t="str">
        <f>BK25</f>
        <v xml:space="preserve"> </v>
      </c>
      <c r="L153" t="str">
        <f>BK68</f>
        <v xml:space="preserve"> </v>
      </c>
      <c r="M153" s="27" t="str">
        <f>$AP9</f>
        <v xml:space="preserve"> </v>
      </c>
      <c r="N153" t="str">
        <f>$AP52</f>
        <v xml:space="preserve"> </v>
      </c>
      <c r="O153" t="str">
        <f>$AP29</f>
        <v xml:space="preserve"> </v>
      </c>
      <c r="P153" t="str">
        <f>$AP72</f>
        <v xml:space="preserve"> </v>
      </c>
      <c r="Q153" t="str">
        <f>$BK9</f>
        <v xml:space="preserve"> </v>
      </c>
      <c r="R153" t="str">
        <f>$BK52</f>
        <v xml:space="preserve"> </v>
      </c>
      <c r="S153" t="str">
        <f>$BK29</f>
        <v xml:space="preserve"> </v>
      </c>
      <c r="T153" s="28" t="str">
        <f>$BK72</f>
        <v xml:space="preserve"> </v>
      </c>
      <c r="X153" s="27" t="str">
        <f>$AP13</f>
        <v xml:space="preserve"> </v>
      </c>
      <c r="Y153" t="str">
        <f>$AP56</f>
        <v xml:space="preserve"> </v>
      </c>
      <c r="Z153" t="str">
        <f>$AP33</f>
        <v xml:space="preserve"> </v>
      </c>
      <c r="AA153" t="str">
        <f>$AP76</f>
        <v xml:space="preserve"> </v>
      </c>
      <c r="AB153" t="str">
        <f>$BK13</f>
        <v xml:space="preserve"> </v>
      </c>
      <c r="AC153" t="str">
        <f>$BK56</f>
        <v xml:space="preserve"> </v>
      </c>
      <c r="AD153" t="str">
        <f>$BK33</f>
        <v xml:space="preserve"> </v>
      </c>
      <c r="AE153" t="str">
        <f>$BK76</f>
        <v xml:space="preserve"> </v>
      </c>
      <c r="AF153" s="27" t="str">
        <f>$AP17</f>
        <v xml:space="preserve"> </v>
      </c>
      <c r="AG153" t="str">
        <f>$AP60</f>
        <v xml:space="preserve"> </v>
      </c>
      <c r="AH153" t="str">
        <f>$AP37</f>
        <v xml:space="preserve"> </v>
      </c>
      <c r="AI153" t="str">
        <f>$AP80</f>
        <v xml:space="preserve"> </v>
      </c>
      <c r="AJ153" t="str">
        <f>$BK17</f>
        <v xml:space="preserve"> </v>
      </c>
      <c r="AK153" t="str">
        <f>$BK60</f>
        <v xml:space="preserve"> </v>
      </c>
      <c r="AL153" t="str">
        <f>$BK37</f>
        <v xml:space="preserve"> </v>
      </c>
      <c r="AM153" s="28" t="str">
        <f>$BK80</f>
        <v xml:space="preserve"> </v>
      </c>
      <c r="AQ153" s="27" t="str">
        <f>$AP21</f>
        <v xml:space="preserve"> </v>
      </c>
      <c r="AR153" t="str">
        <f>$AP64</f>
        <v xml:space="preserve"> </v>
      </c>
      <c r="AS153" t="str">
        <f>$AP41</f>
        <v xml:space="preserve"> </v>
      </c>
      <c r="AT153" t="str">
        <f>$AP84</f>
        <v xml:space="preserve"> </v>
      </c>
      <c r="AU153" t="str">
        <f>$BK21</f>
        <v xml:space="preserve"> </v>
      </c>
      <c r="AV153" t="str">
        <f>$BK64</f>
        <v xml:space="preserve"> </v>
      </c>
      <c r="AW153" t="str">
        <f>$BK41</f>
        <v xml:space="preserve"> </v>
      </c>
      <c r="AX153" s="28" t="str">
        <f>$BK84</f>
        <v xml:space="preserve"> </v>
      </c>
    </row>
    <row r="154" spans="5:50" hidden="1" x14ac:dyDescent="0.25">
      <c r="E154" s="27" t="str">
        <f>AP6</f>
        <v xml:space="preserve"> </v>
      </c>
      <c r="F154" t="str">
        <f>AP49</f>
        <v xml:space="preserve"> </v>
      </c>
      <c r="G154" t="str">
        <f>AP26</f>
        <v xml:space="preserve"> </v>
      </c>
      <c r="H154" t="str">
        <f>AP69</f>
        <v xml:space="preserve"> </v>
      </c>
      <c r="I154" t="str">
        <f>BK6</f>
        <v xml:space="preserve"> </v>
      </c>
      <c r="J154" t="str">
        <f>BK49</f>
        <v xml:space="preserve"> </v>
      </c>
      <c r="K154" t="str">
        <f>BK26</f>
        <v xml:space="preserve"> </v>
      </c>
      <c r="L154" t="str">
        <f>BK69</f>
        <v xml:space="preserve"> </v>
      </c>
      <c r="M154" s="27" t="str">
        <f>$AP10</f>
        <v xml:space="preserve"> </v>
      </c>
      <c r="N154" t="str">
        <f>$AP53</f>
        <v xml:space="preserve"> </v>
      </c>
      <c r="O154" t="str">
        <f>$AP30</f>
        <v xml:space="preserve"> </v>
      </c>
      <c r="P154" t="str">
        <f>$AP73</f>
        <v xml:space="preserve"> </v>
      </c>
      <c r="Q154" t="str">
        <f>$BK10</f>
        <v xml:space="preserve"> </v>
      </c>
      <c r="R154" t="str">
        <f>$BK53</f>
        <v xml:space="preserve"> </v>
      </c>
      <c r="S154" t="str">
        <f>$BK30</f>
        <v xml:space="preserve"> </v>
      </c>
      <c r="T154" s="28" t="str">
        <f>$BK73</f>
        <v xml:space="preserve"> </v>
      </c>
      <c r="X154" s="27" t="str">
        <f>$AP14</f>
        <v xml:space="preserve"> </v>
      </c>
      <c r="Y154" t="str">
        <f>$AP57</f>
        <v xml:space="preserve"> </v>
      </c>
      <c r="Z154" t="str">
        <f>$AP34</f>
        <v xml:space="preserve"> </v>
      </c>
      <c r="AA154" t="str">
        <f>$AP77</f>
        <v xml:space="preserve"> </v>
      </c>
      <c r="AB154" t="str">
        <f>$BK14</f>
        <v xml:space="preserve"> </v>
      </c>
      <c r="AC154" t="str">
        <f>$BK57</f>
        <v xml:space="preserve"> </v>
      </c>
      <c r="AD154" t="str">
        <f>$BK34</f>
        <v xml:space="preserve"> </v>
      </c>
      <c r="AE154" t="str">
        <f>$BK77</f>
        <v xml:space="preserve"> </v>
      </c>
      <c r="AF154" s="27" t="str">
        <f>$AP18</f>
        <v xml:space="preserve"> </v>
      </c>
      <c r="AG154" t="str">
        <f>$AP61</f>
        <v xml:space="preserve"> </v>
      </c>
      <c r="AH154" t="str">
        <f>$AP38</f>
        <v xml:space="preserve"> </v>
      </c>
      <c r="AI154" t="str">
        <f>$AP81</f>
        <v xml:space="preserve"> </v>
      </c>
      <c r="AJ154" t="str">
        <f>$BK18</f>
        <v xml:space="preserve"> </v>
      </c>
      <c r="AK154" t="str">
        <f>$BK61</f>
        <v xml:space="preserve"> </v>
      </c>
      <c r="AL154" t="str">
        <f>$BK38</f>
        <v xml:space="preserve"> </v>
      </c>
      <c r="AM154" s="28" t="str">
        <f>$BK81</f>
        <v xml:space="preserve"> </v>
      </c>
      <c r="AQ154" s="27" t="str">
        <f>$AP22</f>
        <v xml:space="preserve"> </v>
      </c>
      <c r="AR154" t="str">
        <f>$AP65</f>
        <v xml:space="preserve"> </v>
      </c>
      <c r="AS154" t="str">
        <f>$AP42</f>
        <v xml:space="preserve"> </v>
      </c>
      <c r="AT154" t="str">
        <f>$AP85</f>
        <v xml:space="preserve"> </v>
      </c>
      <c r="AU154" t="str">
        <f>$BK22</f>
        <v xml:space="preserve"> </v>
      </c>
      <c r="AV154" t="str">
        <f>$BK65</f>
        <v xml:space="preserve"> </v>
      </c>
      <c r="AW154" t="str">
        <f>$BK42</f>
        <v xml:space="preserve"> </v>
      </c>
      <c r="AX154" s="28" t="str">
        <f>$BK85</f>
        <v xml:space="preserve"> </v>
      </c>
    </row>
    <row r="155" spans="5:50" hidden="1" x14ac:dyDescent="0.25">
      <c r="E155" s="29" t="str">
        <f>AP7</f>
        <v xml:space="preserve"> </v>
      </c>
      <c r="F155" s="30" t="str">
        <f>AP50</f>
        <v xml:space="preserve"> </v>
      </c>
      <c r="G155" s="30" t="str">
        <f>AP27</f>
        <v xml:space="preserve"> </v>
      </c>
      <c r="H155" s="30" t="str">
        <f>AP70</f>
        <v xml:space="preserve"> </v>
      </c>
      <c r="I155" s="30" t="str">
        <f>BK7</f>
        <v xml:space="preserve"> </v>
      </c>
      <c r="J155" s="30" t="str">
        <f>BK50</f>
        <v xml:space="preserve"> </v>
      </c>
      <c r="K155" s="30" t="str">
        <f>BK27</f>
        <v xml:space="preserve"> </v>
      </c>
      <c r="L155" s="30" t="str">
        <f>BK70</f>
        <v xml:space="preserve"> </v>
      </c>
      <c r="M155" s="29" t="str">
        <f>$AP11</f>
        <v xml:space="preserve"> </v>
      </c>
      <c r="N155" s="30" t="str">
        <f>$AP54</f>
        <v xml:space="preserve"> </v>
      </c>
      <c r="O155" s="30" t="str">
        <f>$AP31</f>
        <v xml:space="preserve"> </v>
      </c>
      <c r="P155" s="30" t="str">
        <f>$AP74</f>
        <v xml:space="preserve"> </v>
      </c>
      <c r="Q155" s="30" t="str">
        <f>$BK11</f>
        <v xml:space="preserve"> </v>
      </c>
      <c r="R155" s="30" t="str">
        <f>$BK54</f>
        <v xml:space="preserve"> </v>
      </c>
      <c r="S155" s="30" t="str">
        <f>$BK31</f>
        <v xml:space="preserve"> </v>
      </c>
      <c r="T155" s="31" t="str">
        <f>$BK74</f>
        <v xml:space="preserve"> </v>
      </c>
      <c r="X155" s="29" t="str">
        <f>$AP15</f>
        <v xml:space="preserve"> </v>
      </c>
      <c r="Y155" s="30" t="str">
        <f>$AP58</f>
        <v xml:space="preserve"> </v>
      </c>
      <c r="Z155" s="30" t="str">
        <f>$AP35</f>
        <v xml:space="preserve"> </v>
      </c>
      <c r="AA155" s="30" t="str">
        <f>$AP78</f>
        <v xml:space="preserve"> </v>
      </c>
      <c r="AB155" s="30" t="str">
        <f>$BK15</f>
        <v xml:space="preserve"> </v>
      </c>
      <c r="AC155" s="30" t="str">
        <f>$BK58</f>
        <v xml:space="preserve"> </v>
      </c>
      <c r="AD155" s="30" t="str">
        <f>$BK35</f>
        <v xml:space="preserve"> </v>
      </c>
      <c r="AE155" s="30" t="str">
        <f>$BK78</f>
        <v xml:space="preserve"> </v>
      </c>
      <c r="AF155" s="29" t="str">
        <f>$AP19</f>
        <v xml:space="preserve"> </v>
      </c>
      <c r="AG155" s="30" t="str">
        <f>$AP62</f>
        <v xml:space="preserve"> </v>
      </c>
      <c r="AH155" s="30" t="str">
        <f>$AP39</f>
        <v xml:space="preserve"> </v>
      </c>
      <c r="AI155" s="30" t="str">
        <f>$AP82</f>
        <v xml:space="preserve"> </v>
      </c>
      <c r="AJ155" s="30" t="str">
        <f>$BK19</f>
        <v xml:space="preserve"> </v>
      </c>
      <c r="AK155" s="30" t="str">
        <f>$BK62</f>
        <v xml:space="preserve"> </v>
      </c>
      <c r="AL155" s="30" t="str">
        <f>$BK39</f>
        <v xml:space="preserve"> </v>
      </c>
      <c r="AM155" s="31" t="str">
        <f>$BK82</f>
        <v xml:space="preserve"> </v>
      </c>
      <c r="AQ155" s="29" t="str">
        <f>$AP23</f>
        <v xml:space="preserve"> </v>
      </c>
      <c r="AR155" s="30" t="str">
        <f>$AP66</f>
        <v xml:space="preserve"> </v>
      </c>
      <c r="AS155" s="30" t="str">
        <f>$AP43</f>
        <v xml:space="preserve"> </v>
      </c>
      <c r="AT155" s="30" t="str">
        <f>$AP86</f>
        <v xml:space="preserve"> </v>
      </c>
      <c r="AU155" s="30" t="str">
        <f>$BK23</f>
        <v xml:space="preserve"> </v>
      </c>
      <c r="AV155" s="30" t="str">
        <f>$BK66</f>
        <v xml:space="preserve"> </v>
      </c>
      <c r="AW155" s="30" t="str">
        <f>$BK43</f>
        <v xml:space="preserve"> </v>
      </c>
      <c r="AX155" s="31" t="str">
        <f>$BK86</f>
        <v xml:space="preserve"> </v>
      </c>
    </row>
    <row r="156" spans="5:50" hidden="1" x14ac:dyDescent="0.25"/>
    <row r="157" spans="5:50" hidden="1" x14ac:dyDescent="0.25"/>
    <row r="158" spans="5:50" hidden="1" x14ac:dyDescent="0.25"/>
    <row r="159" spans="5:50" hidden="1" x14ac:dyDescent="0.25"/>
    <row r="160" spans="5:50" hidden="1" x14ac:dyDescent="0.25"/>
    <row r="161" spans="3:50" hidden="1" x14ac:dyDescent="0.25"/>
    <row r="162" spans="3:50" hidden="1" x14ac:dyDescent="0.25"/>
    <row r="163" spans="3:50" hidden="1" x14ac:dyDescent="0.25"/>
    <row r="164" spans="3:50" hidden="1" x14ac:dyDescent="0.25"/>
    <row r="165" spans="3:50" hidden="1" x14ac:dyDescent="0.25"/>
    <row r="166" spans="3:50" ht="16.5" hidden="1" customHeight="1" x14ac:dyDescent="0.25">
      <c r="D166">
        <v>1</v>
      </c>
      <c r="E166">
        <v>2</v>
      </c>
      <c r="F166">
        <v>3</v>
      </c>
      <c r="G166">
        <v>4</v>
      </c>
      <c r="H166">
        <v>5</v>
      </c>
      <c r="I166">
        <v>6</v>
      </c>
      <c r="J166">
        <v>7</v>
      </c>
      <c r="K166">
        <v>8</v>
      </c>
      <c r="L166">
        <v>9</v>
      </c>
      <c r="M166">
        <v>10</v>
      </c>
      <c r="N166">
        <v>11</v>
      </c>
      <c r="O166">
        <v>12</v>
      </c>
      <c r="P166">
        <v>13</v>
      </c>
      <c r="Q166">
        <v>14</v>
      </c>
      <c r="R166">
        <v>15</v>
      </c>
      <c r="S166">
        <v>16</v>
      </c>
      <c r="T166">
        <v>17</v>
      </c>
      <c r="U166">
        <v>18</v>
      </c>
      <c r="V166">
        <v>19</v>
      </c>
      <c r="W166">
        <v>20</v>
      </c>
      <c r="X166">
        <v>21</v>
      </c>
      <c r="Y166">
        <v>22</v>
      </c>
      <c r="Z166">
        <v>23</v>
      </c>
      <c r="AA166">
        <v>24</v>
      </c>
      <c r="AB166">
        <v>25</v>
      </c>
      <c r="AC166">
        <v>26</v>
      </c>
      <c r="AD166">
        <v>27</v>
      </c>
      <c r="AE166">
        <v>28</v>
      </c>
      <c r="AF166">
        <v>29</v>
      </c>
      <c r="AG166">
        <v>30</v>
      </c>
      <c r="AH166">
        <v>31</v>
      </c>
      <c r="AI166">
        <v>32</v>
      </c>
      <c r="AJ166">
        <v>33</v>
      </c>
      <c r="AK166">
        <v>34</v>
      </c>
      <c r="AL166">
        <v>35</v>
      </c>
      <c r="AM166">
        <v>36</v>
      </c>
      <c r="AN166">
        <v>37</v>
      </c>
      <c r="AO166">
        <v>38</v>
      </c>
      <c r="AP166">
        <v>39</v>
      </c>
      <c r="AQ166">
        <v>40</v>
      </c>
      <c r="AR166">
        <v>41</v>
      </c>
      <c r="AS166">
        <v>42</v>
      </c>
      <c r="AT166">
        <v>43</v>
      </c>
      <c r="AU166">
        <v>44</v>
      </c>
      <c r="AV166">
        <v>45</v>
      </c>
      <c r="AW166">
        <v>46</v>
      </c>
      <c r="AX166">
        <v>47</v>
      </c>
    </row>
    <row r="167" spans="3:50" ht="0.75" hidden="1" customHeight="1" x14ac:dyDescent="0.25"/>
    <row r="168" spans="3:50" ht="43.5" hidden="1" customHeight="1" x14ac:dyDescent="0.25">
      <c r="E168" s="643" t="s">
        <v>505</v>
      </c>
      <c r="F168" s="563"/>
      <c r="G168" s="643" t="s">
        <v>506</v>
      </c>
      <c r="H168" s="563"/>
      <c r="I168" s="643" t="s">
        <v>507</v>
      </c>
      <c r="J168" s="563"/>
      <c r="K168" s="643" t="s">
        <v>508</v>
      </c>
      <c r="L168" s="563"/>
      <c r="M168" s="647" t="s">
        <v>505</v>
      </c>
      <c r="N168" s="563"/>
      <c r="O168" s="647" t="s">
        <v>506</v>
      </c>
      <c r="P168" s="563"/>
      <c r="Q168" s="647" t="s">
        <v>507</v>
      </c>
      <c r="R168" s="563"/>
      <c r="S168" s="647" t="s">
        <v>508</v>
      </c>
      <c r="T168" s="563"/>
      <c r="U168" s="240"/>
      <c r="X168" s="644" t="s">
        <v>505</v>
      </c>
      <c r="Y168" s="563"/>
      <c r="Z168" s="644" t="s">
        <v>506</v>
      </c>
      <c r="AA168" s="563"/>
      <c r="AB168" s="644" t="s">
        <v>507</v>
      </c>
      <c r="AC168" s="563"/>
      <c r="AD168" s="644" t="s">
        <v>508</v>
      </c>
      <c r="AE168" s="563"/>
      <c r="AF168" s="648" t="s">
        <v>505</v>
      </c>
      <c r="AG168" s="563"/>
      <c r="AH168" s="648" t="s">
        <v>506</v>
      </c>
      <c r="AI168" s="563"/>
      <c r="AJ168" s="648" t="s">
        <v>507</v>
      </c>
      <c r="AK168" s="563"/>
      <c r="AL168" s="648" t="s">
        <v>508</v>
      </c>
      <c r="AM168" s="563"/>
      <c r="AN168" s="68"/>
      <c r="AO168" s="68"/>
      <c r="AP168" s="68"/>
      <c r="AQ168" s="646" t="s">
        <v>505</v>
      </c>
      <c r="AR168" s="563"/>
      <c r="AS168" s="646" t="s">
        <v>506</v>
      </c>
      <c r="AT168" s="563"/>
      <c r="AU168" s="646" t="s">
        <v>507</v>
      </c>
      <c r="AV168" s="563"/>
      <c r="AW168" s="646" t="s">
        <v>508</v>
      </c>
      <c r="AX168" s="563"/>
    </row>
    <row r="169" spans="3:50" ht="31.5" hidden="1" customHeight="1" x14ac:dyDescent="0.25">
      <c r="E169" s="53" t="s">
        <v>509</v>
      </c>
      <c r="F169" s="53" t="s">
        <v>510</v>
      </c>
      <c r="G169" s="53" t="s">
        <v>509</v>
      </c>
      <c r="H169" s="53" t="s">
        <v>510</v>
      </c>
      <c r="I169" s="53" t="s">
        <v>509</v>
      </c>
      <c r="J169" s="53" t="s">
        <v>510</v>
      </c>
      <c r="K169" s="53" t="s">
        <v>509</v>
      </c>
      <c r="L169" s="53" t="s">
        <v>510</v>
      </c>
      <c r="M169" s="54" t="s">
        <v>509</v>
      </c>
      <c r="N169" s="54" t="s">
        <v>510</v>
      </c>
      <c r="O169" s="54" t="s">
        <v>509</v>
      </c>
      <c r="P169" s="54" t="s">
        <v>510</v>
      </c>
      <c r="Q169" s="54" t="s">
        <v>509</v>
      </c>
      <c r="R169" s="54" t="s">
        <v>510</v>
      </c>
      <c r="S169" s="54" t="s">
        <v>509</v>
      </c>
      <c r="T169" s="54" t="s">
        <v>510</v>
      </c>
      <c r="U169" s="240"/>
      <c r="X169" s="219" t="s">
        <v>509</v>
      </c>
      <c r="Y169" s="219" t="s">
        <v>510</v>
      </c>
      <c r="Z169" s="219" t="s">
        <v>509</v>
      </c>
      <c r="AA169" s="219" t="s">
        <v>510</v>
      </c>
      <c r="AB169" s="219" t="s">
        <v>509</v>
      </c>
      <c r="AC169" s="219" t="s">
        <v>510</v>
      </c>
      <c r="AD169" s="219" t="s">
        <v>509</v>
      </c>
      <c r="AE169" s="219" t="s">
        <v>510</v>
      </c>
      <c r="AF169" s="220" t="s">
        <v>509</v>
      </c>
      <c r="AG169" s="220" t="s">
        <v>510</v>
      </c>
      <c r="AH169" s="220" t="s">
        <v>509</v>
      </c>
      <c r="AI169" s="220" t="s">
        <v>510</v>
      </c>
      <c r="AJ169" s="220" t="s">
        <v>509</v>
      </c>
      <c r="AK169" s="220" t="s">
        <v>510</v>
      </c>
      <c r="AL169" s="220" t="s">
        <v>509</v>
      </c>
      <c r="AM169" s="220" t="s">
        <v>510</v>
      </c>
      <c r="AN169" s="220"/>
      <c r="AO169" s="220"/>
      <c r="AP169" s="220"/>
      <c r="AQ169" s="221" t="s">
        <v>509</v>
      </c>
      <c r="AR169" s="221" t="s">
        <v>510</v>
      </c>
      <c r="AS169" s="221" t="s">
        <v>509</v>
      </c>
      <c r="AT169" s="221" t="s">
        <v>510</v>
      </c>
      <c r="AU169" s="221" t="s">
        <v>509</v>
      </c>
      <c r="AV169" s="221" t="s">
        <v>510</v>
      </c>
      <c r="AW169" s="221" t="s">
        <v>509</v>
      </c>
      <c r="AX169" s="221" t="s">
        <v>510</v>
      </c>
    </row>
    <row r="170" spans="3:50" hidden="1" x14ac:dyDescent="0.25">
      <c r="C170">
        <v>1</v>
      </c>
      <c r="D170" t="str">
        <f t="shared" ref="D170:D201" si="10">IF(ISNUMBER(E170),C170,"")</f>
        <v/>
      </c>
      <c r="E170" s="24" t="str">
        <f t="shared" ref="E170:E201" si="11">IF(ISNUMBER(E92),-ABS(E92*$BW$7),"")</f>
        <v/>
      </c>
      <c r="F170" s="24" t="str">
        <f t="shared" ref="F170:F201" si="12">IF(ISNUMBER(F92),-ABS(F92*$BW$10),"")</f>
        <v/>
      </c>
      <c r="G170" s="24" t="str">
        <f t="shared" ref="G170:G201" si="13">IF(ISNUMBER(G92),ABS(G92*$BW$13),"")</f>
        <v/>
      </c>
      <c r="H170" s="24" t="str">
        <f t="shared" ref="H170:H201" si="14">IF(ISNUMBER(H92),ABS(H92*$BW$16),"")</f>
        <v/>
      </c>
      <c r="I170" s="24" t="str">
        <f t="shared" ref="I170:I201" si="15">IF(ISNUMBER(I92),-ABS(I92*$BW$7),"")</f>
        <v/>
      </c>
      <c r="J170" s="24" t="str">
        <f t="shared" ref="J170:J201" si="16">IF(ISNUMBER(J92),-ABS(J92*$BW$10),"")</f>
        <v/>
      </c>
      <c r="K170" s="24" t="str">
        <f t="shared" ref="K170:K201" si="17">IF(ISNUMBER(K92),ABS(K92*$BW$13),"")</f>
        <v/>
      </c>
      <c r="L170" s="24" t="str">
        <f t="shared" ref="L170:L201" si="18">IF(ISNUMBER(L92),ABS(L92*$BW$16),"")</f>
        <v/>
      </c>
      <c r="M170" s="24" t="str">
        <f t="shared" ref="M170:M201" si="19">IF(ISNUMBER(M92),-ABS(M92*$BW$19),"")</f>
        <v/>
      </c>
      <c r="N170" s="24" t="str">
        <f t="shared" ref="N170:N201" si="20">IF(ISNUMBER(N92),-ABS(N92*$BW$22),"")</f>
        <v/>
      </c>
      <c r="O170" s="24" t="str">
        <f t="shared" ref="O170:O201" si="21">IF(ISNUMBER(O92),ABS(O92*$BW$25),"")</f>
        <v/>
      </c>
      <c r="P170" s="24" t="str">
        <f t="shared" ref="P170:P201" si="22">IF(ISNUMBER(P92),ABS(P92*$BW$28),"")</f>
        <v/>
      </c>
      <c r="Q170" s="24" t="str">
        <f t="shared" ref="Q170:Q201" si="23">IF(ISNUMBER(Q92),-ABS(Q92*$BW$19),"")</f>
        <v/>
      </c>
      <c r="R170" s="24" t="str">
        <f t="shared" ref="R170:R201" si="24">IF(ISNUMBER(R92),-ABS(R92*$BW$22),"")</f>
        <v/>
      </c>
      <c r="S170" s="24" t="str">
        <f t="shared" ref="S170:S201" si="25">IF(ISNUMBER(S92),ABS(S92*$BW$25),"")</f>
        <v/>
      </c>
      <c r="T170" s="24" t="str">
        <f t="shared" ref="T170:T201" si="26">IF(ISNUMBER(T92),ABS(T92*$BW$28),"")</f>
        <v/>
      </c>
      <c r="X170" s="9" t="str">
        <f t="shared" ref="X170:X201" si="27">IF(ISNUMBER(X92),-ABS(X92*$BW$31),"")</f>
        <v/>
      </c>
      <c r="Y170" s="9" t="str">
        <f t="shared" ref="Y170:Y201" si="28">IF(ISNUMBER(Y92),-ABS(Y92*$BW$34),"")</f>
        <v/>
      </c>
      <c r="Z170" s="9" t="str">
        <f t="shared" ref="Z170:Z201" si="29">IF(ISNUMBER(Z92),ABS(Z92*$BW$37),"")</f>
        <v/>
      </c>
      <c r="AA170" s="9" t="str">
        <f t="shared" ref="AA170:AA201" si="30">IF(ISNUMBER(AA92),ABS(AA92*$BW$40),"")</f>
        <v/>
      </c>
      <c r="AB170" s="9" t="str">
        <f t="shared" ref="AB170:AB201" si="31">IF(ISNUMBER(AB92),-ABS(AB92*$BW$31),"")</f>
        <v/>
      </c>
      <c r="AC170" s="9" t="str">
        <f t="shared" ref="AC170:AC201" si="32">IF(ISNUMBER(AC92),-ABS(AC92*$BW$34),"")</f>
        <v/>
      </c>
      <c r="AD170" s="9" t="str">
        <f t="shared" ref="AD170:AD201" si="33">IF(ISNUMBER(AD92),ABS(AD92*$BW$37),"")</f>
        <v/>
      </c>
      <c r="AE170" s="9" t="str">
        <f t="shared" ref="AE170:AE201" si="34">IF(ISNUMBER(AE92),ABS(AE92*$BW$40),"")</f>
        <v/>
      </c>
      <c r="AF170" s="25" t="str">
        <f t="shared" ref="AF170:AF201" si="35">IF(ISNUMBER(AF92),-ABS(AF92*$BW$43),"")</f>
        <v/>
      </c>
      <c r="AG170" s="24" t="str">
        <f t="shared" ref="AG170:AG201" si="36">IF(ISNUMBER(AG92),-ABS(AG92*$BW$46),"")</f>
        <v/>
      </c>
      <c r="AH170" s="24" t="str">
        <f t="shared" ref="AH170:AH201" si="37">IF(ISNUMBER(AH92),ABS(AH92*$BW$49),"")</f>
        <v/>
      </c>
      <c r="AI170" s="24" t="str">
        <f t="shared" ref="AI170:AI201" si="38">IF(ISNUMBER(AI92),ABS(AI92*$BW$52),"")</f>
        <v/>
      </c>
      <c r="AJ170" s="24" t="str">
        <f t="shared" ref="AJ170:AJ201" si="39">IF(ISNUMBER(AJ92),-ABS(AJ92*$BW$43),"")</f>
        <v/>
      </c>
      <c r="AK170" s="24" t="str">
        <f t="shared" ref="AK170:AK201" si="40">IF(ISNUMBER(AK92),-ABS(AK92*$BW$46),"")</f>
        <v/>
      </c>
      <c r="AL170" s="24" t="str">
        <f t="shared" ref="AL170:AL201" si="41">IF(ISNUMBER(AL92),ABS(AL92*$BW$49),"")</f>
        <v/>
      </c>
      <c r="AM170" s="24" t="str">
        <f t="shared" ref="AM170:AM201" si="42">IF(ISNUMBER(AM92),ABS(AM92*$BW$52),"")</f>
        <v/>
      </c>
      <c r="AQ170" s="9" t="str">
        <f t="shared" ref="AQ170:AQ201" si="43">IF(ISNUMBER(AQ92),-ABS(AQ92*$BW$55),"")</f>
        <v/>
      </c>
      <c r="AR170" s="9" t="str">
        <f t="shared" ref="AR170:AR201" si="44">IF(ISNUMBER(AR92),-ABS(AR92*$BW$58),"")</f>
        <v/>
      </c>
      <c r="AS170" s="9" t="str">
        <f t="shared" ref="AS170:AS201" si="45">IF(ISNUMBER(AS92),ABS(AS92*$BW$61),"")</f>
        <v/>
      </c>
      <c r="AT170" s="9" t="str">
        <f t="shared" ref="AT170:AT201" si="46">IF(ISNUMBER(AT92),ABS(AT92*$BW$64),"")</f>
        <v/>
      </c>
      <c r="AU170" s="9" t="str">
        <f t="shared" ref="AU170:AU201" si="47">IF(ISNUMBER(AU92),-ABS(AU92*$BW$55),"")</f>
        <v/>
      </c>
      <c r="AV170" s="9" t="str">
        <f t="shared" ref="AV170:AV201" si="48">IF(ISNUMBER(AV92),-ABS(AV92*$BW$58),"")</f>
        <v/>
      </c>
      <c r="AW170" s="9" t="str">
        <f t="shared" ref="AW170:AW201" si="49">IF(ISNUMBER(AW92),ABS(AW92*$BW$61),"")</f>
        <v/>
      </c>
      <c r="AX170" s="9" t="str">
        <f t="shared" ref="AX170:AX201" si="50">IF(ISNUMBER(AX92),ABS(AX92*$BW$64),"")</f>
        <v/>
      </c>
    </row>
    <row r="171" spans="3:50" hidden="1" x14ac:dyDescent="0.25">
      <c r="C171">
        <v>2</v>
      </c>
      <c r="D171" t="str">
        <f t="shared" si="10"/>
        <v/>
      </c>
      <c r="E171" s="24" t="str">
        <f t="shared" si="11"/>
        <v/>
      </c>
      <c r="F171" s="24" t="str">
        <f t="shared" si="12"/>
        <v/>
      </c>
      <c r="G171" s="24" t="str">
        <f t="shared" si="13"/>
        <v/>
      </c>
      <c r="H171" s="24" t="str">
        <f t="shared" si="14"/>
        <v/>
      </c>
      <c r="I171" s="24" t="str">
        <f t="shared" si="15"/>
        <v/>
      </c>
      <c r="J171" s="24" t="str">
        <f t="shared" si="16"/>
        <v/>
      </c>
      <c r="K171" s="24" t="str">
        <f t="shared" si="17"/>
        <v/>
      </c>
      <c r="L171" s="24" t="str">
        <f t="shared" si="18"/>
        <v/>
      </c>
      <c r="M171" s="24" t="str">
        <f t="shared" si="19"/>
        <v/>
      </c>
      <c r="N171" s="24" t="str">
        <f t="shared" si="20"/>
        <v/>
      </c>
      <c r="O171" s="24" t="str">
        <f t="shared" si="21"/>
        <v/>
      </c>
      <c r="P171" s="24" t="str">
        <f t="shared" si="22"/>
        <v/>
      </c>
      <c r="Q171" s="24" t="str">
        <f t="shared" si="23"/>
        <v/>
      </c>
      <c r="R171" s="24" t="str">
        <f t="shared" si="24"/>
        <v/>
      </c>
      <c r="S171" s="24" t="str">
        <f t="shared" si="25"/>
        <v/>
      </c>
      <c r="T171" s="24" t="str">
        <f t="shared" si="26"/>
        <v/>
      </c>
      <c r="X171" s="9" t="str">
        <f t="shared" si="27"/>
        <v/>
      </c>
      <c r="Y171" s="9" t="str">
        <f t="shared" si="28"/>
        <v/>
      </c>
      <c r="Z171" s="9" t="str">
        <f t="shared" si="29"/>
        <v/>
      </c>
      <c r="AA171" s="9" t="str">
        <f t="shared" si="30"/>
        <v/>
      </c>
      <c r="AB171" s="9" t="str">
        <f t="shared" si="31"/>
        <v/>
      </c>
      <c r="AC171" s="9" t="str">
        <f t="shared" si="32"/>
        <v/>
      </c>
      <c r="AD171" s="9" t="str">
        <f t="shared" si="33"/>
        <v/>
      </c>
      <c r="AE171" s="9" t="str">
        <f t="shared" si="34"/>
        <v/>
      </c>
      <c r="AF171" s="25" t="str">
        <f t="shared" si="35"/>
        <v/>
      </c>
      <c r="AG171" s="24" t="str">
        <f t="shared" si="36"/>
        <v/>
      </c>
      <c r="AH171" s="24" t="str">
        <f t="shared" si="37"/>
        <v/>
      </c>
      <c r="AI171" s="24" t="str">
        <f t="shared" si="38"/>
        <v/>
      </c>
      <c r="AJ171" s="24" t="str">
        <f t="shared" si="39"/>
        <v/>
      </c>
      <c r="AK171" s="24" t="str">
        <f t="shared" si="40"/>
        <v/>
      </c>
      <c r="AL171" s="24" t="str">
        <f t="shared" si="41"/>
        <v/>
      </c>
      <c r="AM171" s="24" t="str">
        <f t="shared" si="42"/>
        <v/>
      </c>
      <c r="AQ171" s="9" t="str">
        <f t="shared" si="43"/>
        <v/>
      </c>
      <c r="AR171" s="9" t="str">
        <f t="shared" si="44"/>
        <v/>
      </c>
      <c r="AS171" s="9" t="str">
        <f t="shared" si="45"/>
        <v/>
      </c>
      <c r="AT171" s="9" t="str">
        <f t="shared" si="46"/>
        <v/>
      </c>
      <c r="AU171" s="9" t="str">
        <f t="shared" si="47"/>
        <v/>
      </c>
      <c r="AV171" s="9" t="str">
        <f t="shared" si="48"/>
        <v/>
      </c>
      <c r="AW171" s="9" t="str">
        <f t="shared" si="49"/>
        <v/>
      </c>
      <c r="AX171" s="9" t="str">
        <f t="shared" si="50"/>
        <v/>
      </c>
    </row>
    <row r="172" spans="3:50" hidden="1" x14ac:dyDescent="0.25">
      <c r="C172">
        <v>3</v>
      </c>
      <c r="D172" t="str">
        <f t="shared" si="10"/>
        <v/>
      </c>
      <c r="E172" s="24" t="str">
        <f t="shared" si="11"/>
        <v/>
      </c>
      <c r="F172" s="24" t="str">
        <f t="shared" si="12"/>
        <v/>
      </c>
      <c r="G172" s="24" t="str">
        <f t="shared" si="13"/>
        <v/>
      </c>
      <c r="H172" s="24" t="str">
        <f t="shared" si="14"/>
        <v/>
      </c>
      <c r="I172" s="24" t="str">
        <f t="shared" si="15"/>
        <v/>
      </c>
      <c r="J172" s="24" t="str">
        <f t="shared" si="16"/>
        <v/>
      </c>
      <c r="K172" s="24" t="str">
        <f t="shared" si="17"/>
        <v/>
      </c>
      <c r="L172" s="24" t="str">
        <f t="shared" si="18"/>
        <v/>
      </c>
      <c r="M172" s="24" t="str">
        <f t="shared" si="19"/>
        <v/>
      </c>
      <c r="N172" s="24" t="str">
        <f t="shared" si="20"/>
        <v/>
      </c>
      <c r="O172" s="24" t="str">
        <f t="shared" si="21"/>
        <v/>
      </c>
      <c r="P172" s="24" t="str">
        <f t="shared" si="22"/>
        <v/>
      </c>
      <c r="Q172" s="24" t="str">
        <f t="shared" si="23"/>
        <v/>
      </c>
      <c r="R172" s="24" t="str">
        <f t="shared" si="24"/>
        <v/>
      </c>
      <c r="S172" s="24" t="str">
        <f t="shared" si="25"/>
        <v/>
      </c>
      <c r="T172" s="24" t="str">
        <f t="shared" si="26"/>
        <v/>
      </c>
      <c r="X172" s="9" t="str">
        <f t="shared" si="27"/>
        <v/>
      </c>
      <c r="Y172" s="9" t="str">
        <f t="shared" si="28"/>
        <v/>
      </c>
      <c r="Z172" s="9" t="str">
        <f t="shared" si="29"/>
        <v/>
      </c>
      <c r="AA172" s="9" t="str">
        <f t="shared" si="30"/>
        <v/>
      </c>
      <c r="AB172" s="9" t="str">
        <f t="shared" si="31"/>
        <v/>
      </c>
      <c r="AC172" s="9" t="str">
        <f t="shared" si="32"/>
        <v/>
      </c>
      <c r="AD172" s="9" t="str">
        <f t="shared" si="33"/>
        <v/>
      </c>
      <c r="AE172" s="9" t="str">
        <f t="shared" si="34"/>
        <v/>
      </c>
      <c r="AF172" s="25" t="str">
        <f t="shared" si="35"/>
        <v/>
      </c>
      <c r="AG172" s="24" t="str">
        <f t="shared" si="36"/>
        <v/>
      </c>
      <c r="AH172" s="24" t="str">
        <f t="shared" si="37"/>
        <v/>
      </c>
      <c r="AI172" s="24" t="str">
        <f t="shared" si="38"/>
        <v/>
      </c>
      <c r="AJ172" s="24" t="str">
        <f t="shared" si="39"/>
        <v/>
      </c>
      <c r="AK172" s="24" t="str">
        <f t="shared" si="40"/>
        <v/>
      </c>
      <c r="AL172" s="24" t="str">
        <f t="shared" si="41"/>
        <v/>
      </c>
      <c r="AM172" s="24" t="str">
        <f t="shared" si="42"/>
        <v/>
      </c>
      <c r="AQ172" s="9" t="str">
        <f t="shared" si="43"/>
        <v/>
      </c>
      <c r="AR172" s="9" t="str">
        <f t="shared" si="44"/>
        <v/>
      </c>
      <c r="AS172" s="9" t="str">
        <f t="shared" si="45"/>
        <v/>
      </c>
      <c r="AT172" s="9" t="str">
        <f t="shared" si="46"/>
        <v/>
      </c>
      <c r="AU172" s="9" t="str">
        <f t="shared" si="47"/>
        <v/>
      </c>
      <c r="AV172" s="9" t="str">
        <f t="shared" si="48"/>
        <v/>
      </c>
      <c r="AW172" s="9" t="str">
        <f t="shared" si="49"/>
        <v/>
      </c>
      <c r="AX172" s="9" t="str">
        <f t="shared" si="50"/>
        <v/>
      </c>
    </row>
    <row r="173" spans="3:50" hidden="1" x14ac:dyDescent="0.25">
      <c r="C173">
        <v>4</v>
      </c>
      <c r="D173" t="str">
        <f t="shared" si="10"/>
        <v/>
      </c>
      <c r="E173" s="24" t="str">
        <f t="shared" si="11"/>
        <v/>
      </c>
      <c r="F173" s="24" t="str">
        <f t="shared" si="12"/>
        <v/>
      </c>
      <c r="G173" s="24" t="str">
        <f t="shared" si="13"/>
        <v/>
      </c>
      <c r="H173" s="24" t="str">
        <f t="shared" si="14"/>
        <v/>
      </c>
      <c r="I173" s="24" t="str">
        <f t="shared" si="15"/>
        <v/>
      </c>
      <c r="J173" s="24" t="str">
        <f t="shared" si="16"/>
        <v/>
      </c>
      <c r="K173" s="24" t="str">
        <f t="shared" si="17"/>
        <v/>
      </c>
      <c r="L173" s="24" t="str">
        <f t="shared" si="18"/>
        <v/>
      </c>
      <c r="M173" s="24" t="str">
        <f t="shared" si="19"/>
        <v/>
      </c>
      <c r="N173" s="24" t="str">
        <f t="shared" si="20"/>
        <v/>
      </c>
      <c r="O173" s="24" t="str">
        <f t="shared" si="21"/>
        <v/>
      </c>
      <c r="P173" s="24" t="str">
        <f t="shared" si="22"/>
        <v/>
      </c>
      <c r="Q173" s="24" t="str">
        <f t="shared" si="23"/>
        <v/>
      </c>
      <c r="R173" s="24" t="str">
        <f t="shared" si="24"/>
        <v/>
      </c>
      <c r="S173" s="24" t="str">
        <f t="shared" si="25"/>
        <v/>
      </c>
      <c r="T173" s="24" t="str">
        <f t="shared" si="26"/>
        <v/>
      </c>
      <c r="X173" s="9" t="str">
        <f t="shared" si="27"/>
        <v/>
      </c>
      <c r="Y173" s="9" t="str">
        <f t="shared" si="28"/>
        <v/>
      </c>
      <c r="Z173" s="9" t="str">
        <f t="shared" si="29"/>
        <v/>
      </c>
      <c r="AA173" s="9" t="str">
        <f t="shared" si="30"/>
        <v/>
      </c>
      <c r="AB173" s="9" t="str">
        <f t="shared" si="31"/>
        <v/>
      </c>
      <c r="AC173" s="9" t="str">
        <f t="shared" si="32"/>
        <v/>
      </c>
      <c r="AD173" s="9" t="str">
        <f t="shared" si="33"/>
        <v/>
      </c>
      <c r="AE173" s="9" t="str">
        <f t="shared" si="34"/>
        <v/>
      </c>
      <c r="AF173" s="25" t="str">
        <f t="shared" si="35"/>
        <v/>
      </c>
      <c r="AG173" s="24" t="str">
        <f t="shared" si="36"/>
        <v/>
      </c>
      <c r="AH173" s="24" t="str">
        <f t="shared" si="37"/>
        <v/>
      </c>
      <c r="AI173" s="24" t="str">
        <f t="shared" si="38"/>
        <v/>
      </c>
      <c r="AJ173" s="24" t="str">
        <f t="shared" si="39"/>
        <v/>
      </c>
      <c r="AK173" s="24" t="str">
        <f t="shared" si="40"/>
        <v/>
      </c>
      <c r="AL173" s="24" t="str">
        <f t="shared" si="41"/>
        <v/>
      </c>
      <c r="AM173" s="24" t="str">
        <f t="shared" si="42"/>
        <v/>
      </c>
      <c r="AQ173" s="9" t="str">
        <f t="shared" si="43"/>
        <v/>
      </c>
      <c r="AR173" s="9" t="str">
        <f t="shared" si="44"/>
        <v/>
      </c>
      <c r="AS173" s="9" t="str">
        <f t="shared" si="45"/>
        <v/>
      </c>
      <c r="AT173" s="9" t="str">
        <f t="shared" si="46"/>
        <v/>
      </c>
      <c r="AU173" s="9" t="str">
        <f t="shared" si="47"/>
        <v/>
      </c>
      <c r="AV173" s="9" t="str">
        <f t="shared" si="48"/>
        <v/>
      </c>
      <c r="AW173" s="9" t="str">
        <f t="shared" si="49"/>
        <v/>
      </c>
      <c r="AX173" s="9" t="str">
        <f t="shared" si="50"/>
        <v/>
      </c>
    </row>
    <row r="174" spans="3:50" hidden="1" x14ac:dyDescent="0.25">
      <c r="C174">
        <v>5</v>
      </c>
      <c r="D174" t="str">
        <f t="shared" si="10"/>
        <v/>
      </c>
      <c r="E174" s="24" t="str">
        <f t="shared" si="11"/>
        <v/>
      </c>
      <c r="F174" s="24" t="str">
        <f t="shared" si="12"/>
        <v/>
      </c>
      <c r="G174" s="24" t="str">
        <f t="shared" si="13"/>
        <v/>
      </c>
      <c r="H174" s="24" t="str">
        <f t="shared" si="14"/>
        <v/>
      </c>
      <c r="I174" s="24" t="str">
        <f t="shared" si="15"/>
        <v/>
      </c>
      <c r="J174" s="24" t="str">
        <f t="shared" si="16"/>
        <v/>
      </c>
      <c r="K174" s="24" t="str">
        <f t="shared" si="17"/>
        <v/>
      </c>
      <c r="L174" s="24" t="str">
        <f t="shared" si="18"/>
        <v/>
      </c>
      <c r="M174" s="24" t="str">
        <f t="shared" si="19"/>
        <v/>
      </c>
      <c r="N174" s="24" t="str">
        <f t="shared" si="20"/>
        <v/>
      </c>
      <c r="O174" s="24" t="str">
        <f t="shared" si="21"/>
        <v/>
      </c>
      <c r="P174" s="24" t="str">
        <f t="shared" si="22"/>
        <v/>
      </c>
      <c r="Q174" s="24" t="str">
        <f t="shared" si="23"/>
        <v/>
      </c>
      <c r="R174" s="24" t="str">
        <f t="shared" si="24"/>
        <v/>
      </c>
      <c r="S174" s="24" t="str">
        <f t="shared" si="25"/>
        <v/>
      </c>
      <c r="T174" s="24" t="str">
        <f t="shared" si="26"/>
        <v/>
      </c>
      <c r="X174" s="9" t="str">
        <f t="shared" si="27"/>
        <v/>
      </c>
      <c r="Y174" s="9" t="str">
        <f t="shared" si="28"/>
        <v/>
      </c>
      <c r="Z174" s="9" t="str">
        <f t="shared" si="29"/>
        <v/>
      </c>
      <c r="AA174" s="9" t="str">
        <f t="shared" si="30"/>
        <v/>
      </c>
      <c r="AB174" s="9" t="str">
        <f t="shared" si="31"/>
        <v/>
      </c>
      <c r="AC174" s="9" t="str">
        <f t="shared" si="32"/>
        <v/>
      </c>
      <c r="AD174" s="9" t="str">
        <f t="shared" si="33"/>
        <v/>
      </c>
      <c r="AE174" s="9" t="str">
        <f t="shared" si="34"/>
        <v/>
      </c>
      <c r="AF174" s="25" t="str">
        <f t="shared" si="35"/>
        <v/>
      </c>
      <c r="AG174" s="24" t="str">
        <f t="shared" si="36"/>
        <v/>
      </c>
      <c r="AH174" s="24" t="str">
        <f t="shared" si="37"/>
        <v/>
      </c>
      <c r="AI174" s="24" t="str">
        <f t="shared" si="38"/>
        <v/>
      </c>
      <c r="AJ174" s="24" t="str">
        <f t="shared" si="39"/>
        <v/>
      </c>
      <c r="AK174" s="24" t="str">
        <f t="shared" si="40"/>
        <v/>
      </c>
      <c r="AL174" s="24" t="str">
        <f t="shared" si="41"/>
        <v/>
      </c>
      <c r="AM174" s="24" t="str">
        <f t="shared" si="42"/>
        <v/>
      </c>
      <c r="AQ174" s="9" t="str">
        <f t="shared" si="43"/>
        <v/>
      </c>
      <c r="AR174" s="9" t="str">
        <f t="shared" si="44"/>
        <v/>
      </c>
      <c r="AS174" s="9" t="str">
        <f t="shared" si="45"/>
        <v/>
      </c>
      <c r="AT174" s="9" t="str">
        <f t="shared" si="46"/>
        <v/>
      </c>
      <c r="AU174" s="9" t="str">
        <f t="shared" si="47"/>
        <v/>
      </c>
      <c r="AV174" s="9" t="str">
        <f t="shared" si="48"/>
        <v/>
      </c>
      <c r="AW174" s="9" t="str">
        <f t="shared" si="49"/>
        <v/>
      </c>
      <c r="AX174" s="9" t="str">
        <f t="shared" si="50"/>
        <v/>
      </c>
    </row>
    <row r="175" spans="3:50" hidden="1" x14ac:dyDescent="0.25">
      <c r="C175">
        <v>6</v>
      </c>
      <c r="D175" t="str">
        <f t="shared" si="10"/>
        <v/>
      </c>
      <c r="E175" s="24" t="str">
        <f t="shared" si="11"/>
        <v/>
      </c>
      <c r="F175" s="24" t="str">
        <f t="shared" si="12"/>
        <v/>
      </c>
      <c r="G175" s="24" t="str">
        <f t="shared" si="13"/>
        <v/>
      </c>
      <c r="H175" s="24" t="str">
        <f t="shared" si="14"/>
        <v/>
      </c>
      <c r="I175" s="24" t="str">
        <f t="shared" si="15"/>
        <v/>
      </c>
      <c r="J175" s="24" t="str">
        <f t="shared" si="16"/>
        <v/>
      </c>
      <c r="K175" s="24" t="str">
        <f t="shared" si="17"/>
        <v/>
      </c>
      <c r="L175" s="24" t="str">
        <f t="shared" si="18"/>
        <v/>
      </c>
      <c r="M175" s="24" t="str">
        <f t="shared" si="19"/>
        <v/>
      </c>
      <c r="N175" s="24" t="str">
        <f t="shared" si="20"/>
        <v/>
      </c>
      <c r="O175" s="24" t="str">
        <f t="shared" si="21"/>
        <v/>
      </c>
      <c r="P175" s="24" t="str">
        <f t="shared" si="22"/>
        <v/>
      </c>
      <c r="Q175" s="24" t="str">
        <f t="shared" si="23"/>
        <v/>
      </c>
      <c r="R175" s="24" t="str">
        <f t="shared" si="24"/>
        <v/>
      </c>
      <c r="S175" s="24" t="str">
        <f t="shared" si="25"/>
        <v/>
      </c>
      <c r="T175" s="24" t="str">
        <f t="shared" si="26"/>
        <v/>
      </c>
      <c r="X175" s="9" t="str">
        <f t="shared" si="27"/>
        <v/>
      </c>
      <c r="Y175" s="9" t="str">
        <f t="shared" si="28"/>
        <v/>
      </c>
      <c r="Z175" s="9" t="str">
        <f t="shared" si="29"/>
        <v/>
      </c>
      <c r="AA175" s="9" t="str">
        <f t="shared" si="30"/>
        <v/>
      </c>
      <c r="AB175" s="9" t="str">
        <f t="shared" si="31"/>
        <v/>
      </c>
      <c r="AC175" s="9" t="str">
        <f t="shared" si="32"/>
        <v/>
      </c>
      <c r="AD175" s="9" t="str">
        <f t="shared" si="33"/>
        <v/>
      </c>
      <c r="AE175" s="9" t="str">
        <f t="shared" si="34"/>
        <v/>
      </c>
      <c r="AF175" s="25" t="str">
        <f t="shared" si="35"/>
        <v/>
      </c>
      <c r="AG175" s="24" t="str">
        <f t="shared" si="36"/>
        <v/>
      </c>
      <c r="AH175" s="24" t="str">
        <f t="shared" si="37"/>
        <v/>
      </c>
      <c r="AI175" s="24" t="str">
        <f t="shared" si="38"/>
        <v/>
      </c>
      <c r="AJ175" s="24" t="str">
        <f t="shared" si="39"/>
        <v/>
      </c>
      <c r="AK175" s="24" t="str">
        <f t="shared" si="40"/>
        <v/>
      </c>
      <c r="AL175" s="24" t="str">
        <f t="shared" si="41"/>
        <v/>
      </c>
      <c r="AM175" s="24" t="str">
        <f t="shared" si="42"/>
        <v/>
      </c>
      <c r="AQ175" s="9" t="str">
        <f t="shared" si="43"/>
        <v/>
      </c>
      <c r="AR175" s="9" t="str">
        <f t="shared" si="44"/>
        <v/>
      </c>
      <c r="AS175" s="9" t="str">
        <f t="shared" si="45"/>
        <v/>
      </c>
      <c r="AT175" s="9" t="str">
        <f t="shared" si="46"/>
        <v/>
      </c>
      <c r="AU175" s="9" t="str">
        <f t="shared" si="47"/>
        <v/>
      </c>
      <c r="AV175" s="9" t="str">
        <f t="shared" si="48"/>
        <v/>
      </c>
      <c r="AW175" s="9" t="str">
        <f t="shared" si="49"/>
        <v/>
      </c>
      <c r="AX175" s="9" t="str">
        <f t="shared" si="50"/>
        <v/>
      </c>
    </row>
    <row r="176" spans="3:50" hidden="1" x14ac:dyDescent="0.25">
      <c r="C176">
        <v>7</v>
      </c>
      <c r="D176" t="str">
        <f t="shared" si="10"/>
        <v/>
      </c>
      <c r="E176" s="24" t="str">
        <f t="shared" si="11"/>
        <v/>
      </c>
      <c r="F176" s="24" t="str">
        <f t="shared" si="12"/>
        <v/>
      </c>
      <c r="G176" s="24" t="str">
        <f t="shared" si="13"/>
        <v/>
      </c>
      <c r="H176" s="24" t="str">
        <f t="shared" si="14"/>
        <v/>
      </c>
      <c r="I176" s="24" t="str">
        <f t="shared" si="15"/>
        <v/>
      </c>
      <c r="J176" s="24" t="str">
        <f t="shared" si="16"/>
        <v/>
      </c>
      <c r="K176" s="24" t="str">
        <f t="shared" si="17"/>
        <v/>
      </c>
      <c r="L176" s="24" t="str">
        <f t="shared" si="18"/>
        <v/>
      </c>
      <c r="M176" s="24" t="str">
        <f t="shared" si="19"/>
        <v/>
      </c>
      <c r="N176" s="24" t="str">
        <f t="shared" si="20"/>
        <v/>
      </c>
      <c r="O176" s="24" t="str">
        <f t="shared" si="21"/>
        <v/>
      </c>
      <c r="P176" s="24" t="str">
        <f t="shared" si="22"/>
        <v/>
      </c>
      <c r="Q176" s="24" t="str">
        <f t="shared" si="23"/>
        <v/>
      </c>
      <c r="R176" s="24" t="str">
        <f t="shared" si="24"/>
        <v/>
      </c>
      <c r="S176" s="24" t="str">
        <f t="shared" si="25"/>
        <v/>
      </c>
      <c r="T176" s="24" t="str">
        <f t="shared" si="26"/>
        <v/>
      </c>
      <c r="X176" s="9" t="str">
        <f t="shared" si="27"/>
        <v/>
      </c>
      <c r="Y176" s="9" t="str">
        <f t="shared" si="28"/>
        <v/>
      </c>
      <c r="Z176" s="9" t="str">
        <f t="shared" si="29"/>
        <v/>
      </c>
      <c r="AA176" s="9" t="str">
        <f t="shared" si="30"/>
        <v/>
      </c>
      <c r="AB176" s="9" t="str">
        <f t="shared" si="31"/>
        <v/>
      </c>
      <c r="AC176" s="9" t="str">
        <f t="shared" si="32"/>
        <v/>
      </c>
      <c r="AD176" s="9" t="str">
        <f t="shared" si="33"/>
        <v/>
      </c>
      <c r="AE176" s="9" t="str">
        <f t="shared" si="34"/>
        <v/>
      </c>
      <c r="AF176" s="25" t="str">
        <f t="shared" si="35"/>
        <v/>
      </c>
      <c r="AG176" s="24" t="str">
        <f t="shared" si="36"/>
        <v/>
      </c>
      <c r="AH176" s="24" t="str">
        <f t="shared" si="37"/>
        <v/>
      </c>
      <c r="AI176" s="24" t="str">
        <f t="shared" si="38"/>
        <v/>
      </c>
      <c r="AJ176" s="24" t="str">
        <f t="shared" si="39"/>
        <v/>
      </c>
      <c r="AK176" s="24" t="str">
        <f t="shared" si="40"/>
        <v/>
      </c>
      <c r="AL176" s="24" t="str">
        <f t="shared" si="41"/>
        <v/>
      </c>
      <c r="AM176" s="24" t="str">
        <f t="shared" si="42"/>
        <v/>
      </c>
      <c r="AQ176" s="9" t="str">
        <f t="shared" si="43"/>
        <v/>
      </c>
      <c r="AR176" s="9" t="str">
        <f t="shared" si="44"/>
        <v/>
      </c>
      <c r="AS176" s="9" t="str">
        <f t="shared" si="45"/>
        <v/>
      </c>
      <c r="AT176" s="9" t="str">
        <f t="shared" si="46"/>
        <v/>
      </c>
      <c r="AU176" s="9" t="str">
        <f t="shared" si="47"/>
        <v/>
      </c>
      <c r="AV176" s="9" t="str">
        <f t="shared" si="48"/>
        <v/>
      </c>
      <c r="AW176" s="9" t="str">
        <f t="shared" si="49"/>
        <v/>
      </c>
      <c r="AX176" s="9" t="str">
        <f t="shared" si="50"/>
        <v/>
      </c>
    </row>
    <row r="177" spans="3:50" hidden="1" x14ac:dyDescent="0.25">
      <c r="C177">
        <v>8</v>
      </c>
      <c r="D177" t="str">
        <f t="shared" si="10"/>
        <v/>
      </c>
      <c r="E177" s="24" t="str">
        <f t="shared" si="11"/>
        <v/>
      </c>
      <c r="F177" s="24" t="str">
        <f t="shared" si="12"/>
        <v/>
      </c>
      <c r="G177" s="24" t="str">
        <f t="shared" si="13"/>
        <v/>
      </c>
      <c r="H177" s="24" t="str">
        <f t="shared" si="14"/>
        <v/>
      </c>
      <c r="I177" s="24" t="str">
        <f t="shared" si="15"/>
        <v/>
      </c>
      <c r="J177" s="24" t="str">
        <f t="shared" si="16"/>
        <v/>
      </c>
      <c r="K177" s="24" t="str">
        <f t="shared" si="17"/>
        <v/>
      </c>
      <c r="L177" s="24" t="str">
        <f t="shared" si="18"/>
        <v/>
      </c>
      <c r="M177" s="24" t="str">
        <f t="shared" si="19"/>
        <v/>
      </c>
      <c r="N177" s="24" t="str">
        <f t="shared" si="20"/>
        <v/>
      </c>
      <c r="O177" s="24" t="str">
        <f t="shared" si="21"/>
        <v/>
      </c>
      <c r="P177" s="24" t="str">
        <f t="shared" si="22"/>
        <v/>
      </c>
      <c r="Q177" s="24" t="str">
        <f t="shared" si="23"/>
        <v/>
      </c>
      <c r="R177" s="24" t="str">
        <f t="shared" si="24"/>
        <v/>
      </c>
      <c r="S177" s="24" t="str">
        <f t="shared" si="25"/>
        <v/>
      </c>
      <c r="T177" s="24" t="str">
        <f t="shared" si="26"/>
        <v/>
      </c>
      <c r="X177" s="9" t="str">
        <f t="shared" si="27"/>
        <v/>
      </c>
      <c r="Y177" s="9" t="str">
        <f t="shared" si="28"/>
        <v/>
      </c>
      <c r="Z177" s="9" t="str">
        <f t="shared" si="29"/>
        <v/>
      </c>
      <c r="AA177" s="9" t="str">
        <f t="shared" si="30"/>
        <v/>
      </c>
      <c r="AB177" s="9" t="str">
        <f t="shared" si="31"/>
        <v/>
      </c>
      <c r="AC177" s="9" t="str">
        <f t="shared" si="32"/>
        <v/>
      </c>
      <c r="AD177" s="9" t="str">
        <f t="shared" si="33"/>
        <v/>
      </c>
      <c r="AE177" s="9" t="str">
        <f t="shared" si="34"/>
        <v/>
      </c>
      <c r="AF177" s="25" t="str">
        <f t="shared" si="35"/>
        <v/>
      </c>
      <c r="AG177" s="24" t="str">
        <f t="shared" si="36"/>
        <v/>
      </c>
      <c r="AH177" s="24" t="str">
        <f t="shared" si="37"/>
        <v/>
      </c>
      <c r="AI177" s="24" t="str">
        <f t="shared" si="38"/>
        <v/>
      </c>
      <c r="AJ177" s="24" t="str">
        <f t="shared" si="39"/>
        <v/>
      </c>
      <c r="AK177" s="24" t="str">
        <f t="shared" si="40"/>
        <v/>
      </c>
      <c r="AL177" s="24" t="str">
        <f t="shared" si="41"/>
        <v/>
      </c>
      <c r="AM177" s="24" t="str">
        <f t="shared" si="42"/>
        <v/>
      </c>
      <c r="AQ177" s="9" t="str">
        <f t="shared" si="43"/>
        <v/>
      </c>
      <c r="AR177" s="9" t="str">
        <f t="shared" si="44"/>
        <v/>
      </c>
      <c r="AS177" s="9" t="str">
        <f t="shared" si="45"/>
        <v/>
      </c>
      <c r="AT177" s="9" t="str">
        <f t="shared" si="46"/>
        <v/>
      </c>
      <c r="AU177" s="9" t="str">
        <f t="shared" si="47"/>
        <v/>
      </c>
      <c r="AV177" s="9" t="str">
        <f t="shared" si="48"/>
        <v/>
      </c>
      <c r="AW177" s="9" t="str">
        <f t="shared" si="49"/>
        <v/>
      </c>
      <c r="AX177" s="9" t="str">
        <f t="shared" si="50"/>
        <v/>
      </c>
    </row>
    <row r="178" spans="3:50" hidden="1" x14ac:dyDescent="0.25">
      <c r="C178">
        <v>9</v>
      </c>
      <c r="D178" t="str">
        <f t="shared" si="10"/>
        <v/>
      </c>
      <c r="E178" s="24" t="str">
        <f t="shared" si="11"/>
        <v/>
      </c>
      <c r="F178" s="24" t="str">
        <f t="shared" si="12"/>
        <v/>
      </c>
      <c r="G178" s="24" t="str">
        <f t="shared" si="13"/>
        <v/>
      </c>
      <c r="H178" s="24" t="str">
        <f t="shared" si="14"/>
        <v/>
      </c>
      <c r="I178" s="24" t="str">
        <f t="shared" si="15"/>
        <v/>
      </c>
      <c r="J178" s="24" t="str">
        <f t="shared" si="16"/>
        <v/>
      </c>
      <c r="K178" s="24" t="str">
        <f t="shared" si="17"/>
        <v/>
      </c>
      <c r="L178" s="24" t="str">
        <f t="shared" si="18"/>
        <v/>
      </c>
      <c r="M178" s="24" t="str">
        <f t="shared" si="19"/>
        <v/>
      </c>
      <c r="N178" s="24" t="str">
        <f t="shared" si="20"/>
        <v/>
      </c>
      <c r="O178" s="24" t="str">
        <f t="shared" si="21"/>
        <v/>
      </c>
      <c r="P178" s="24" t="str">
        <f t="shared" si="22"/>
        <v/>
      </c>
      <c r="Q178" s="24" t="str">
        <f t="shared" si="23"/>
        <v/>
      </c>
      <c r="R178" s="24" t="str">
        <f t="shared" si="24"/>
        <v/>
      </c>
      <c r="S178" s="24" t="str">
        <f t="shared" si="25"/>
        <v/>
      </c>
      <c r="T178" s="24" t="str">
        <f t="shared" si="26"/>
        <v/>
      </c>
      <c r="X178" s="9" t="str">
        <f t="shared" si="27"/>
        <v/>
      </c>
      <c r="Y178" s="9" t="str">
        <f t="shared" si="28"/>
        <v/>
      </c>
      <c r="Z178" s="9" t="str">
        <f t="shared" si="29"/>
        <v/>
      </c>
      <c r="AA178" s="9" t="str">
        <f t="shared" si="30"/>
        <v/>
      </c>
      <c r="AB178" s="9" t="str">
        <f t="shared" si="31"/>
        <v/>
      </c>
      <c r="AC178" s="9" t="str">
        <f t="shared" si="32"/>
        <v/>
      </c>
      <c r="AD178" s="9" t="str">
        <f t="shared" si="33"/>
        <v/>
      </c>
      <c r="AE178" s="9" t="str">
        <f t="shared" si="34"/>
        <v/>
      </c>
      <c r="AF178" s="25" t="str">
        <f t="shared" si="35"/>
        <v/>
      </c>
      <c r="AG178" s="24" t="str">
        <f t="shared" si="36"/>
        <v/>
      </c>
      <c r="AH178" s="24" t="str">
        <f t="shared" si="37"/>
        <v/>
      </c>
      <c r="AI178" s="24" t="str">
        <f t="shared" si="38"/>
        <v/>
      </c>
      <c r="AJ178" s="24" t="str">
        <f t="shared" si="39"/>
        <v/>
      </c>
      <c r="AK178" s="24" t="str">
        <f t="shared" si="40"/>
        <v/>
      </c>
      <c r="AL178" s="24" t="str">
        <f t="shared" si="41"/>
        <v/>
      </c>
      <c r="AM178" s="24" t="str">
        <f t="shared" si="42"/>
        <v/>
      </c>
      <c r="AQ178" s="9" t="str">
        <f t="shared" si="43"/>
        <v/>
      </c>
      <c r="AR178" s="9" t="str">
        <f t="shared" si="44"/>
        <v/>
      </c>
      <c r="AS178" s="9" t="str">
        <f t="shared" si="45"/>
        <v/>
      </c>
      <c r="AT178" s="9" t="str">
        <f t="shared" si="46"/>
        <v/>
      </c>
      <c r="AU178" s="9" t="str">
        <f t="shared" si="47"/>
        <v/>
      </c>
      <c r="AV178" s="9" t="str">
        <f t="shared" si="48"/>
        <v/>
      </c>
      <c r="AW178" s="9" t="str">
        <f t="shared" si="49"/>
        <v/>
      </c>
      <c r="AX178" s="9" t="str">
        <f t="shared" si="50"/>
        <v/>
      </c>
    </row>
    <row r="179" spans="3:50" hidden="1" x14ac:dyDescent="0.25">
      <c r="C179">
        <v>10</v>
      </c>
      <c r="D179" t="str">
        <f t="shared" si="10"/>
        <v/>
      </c>
      <c r="E179" s="24" t="str">
        <f t="shared" si="11"/>
        <v/>
      </c>
      <c r="F179" s="24" t="str">
        <f t="shared" si="12"/>
        <v/>
      </c>
      <c r="G179" s="24" t="str">
        <f t="shared" si="13"/>
        <v/>
      </c>
      <c r="H179" s="24" t="str">
        <f t="shared" si="14"/>
        <v/>
      </c>
      <c r="I179" s="24" t="str">
        <f t="shared" si="15"/>
        <v/>
      </c>
      <c r="J179" s="24" t="str">
        <f t="shared" si="16"/>
        <v/>
      </c>
      <c r="K179" s="24" t="str">
        <f t="shared" si="17"/>
        <v/>
      </c>
      <c r="L179" s="24" t="str">
        <f t="shared" si="18"/>
        <v/>
      </c>
      <c r="M179" s="24" t="str">
        <f t="shared" si="19"/>
        <v/>
      </c>
      <c r="N179" s="24" t="str">
        <f t="shared" si="20"/>
        <v/>
      </c>
      <c r="O179" s="24" t="str">
        <f t="shared" si="21"/>
        <v/>
      </c>
      <c r="P179" s="24" t="str">
        <f t="shared" si="22"/>
        <v/>
      </c>
      <c r="Q179" s="24" t="str">
        <f t="shared" si="23"/>
        <v/>
      </c>
      <c r="R179" s="24" t="str">
        <f t="shared" si="24"/>
        <v/>
      </c>
      <c r="S179" s="24" t="str">
        <f t="shared" si="25"/>
        <v/>
      </c>
      <c r="T179" s="24" t="str">
        <f t="shared" si="26"/>
        <v/>
      </c>
      <c r="X179" s="9" t="str">
        <f t="shared" si="27"/>
        <v/>
      </c>
      <c r="Y179" s="9" t="str">
        <f t="shared" si="28"/>
        <v/>
      </c>
      <c r="Z179" s="9" t="str">
        <f t="shared" si="29"/>
        <v/>
      </c>
      <c r="AA179" s="9" t="str">
        <f t="shared" si="30"/>
        <v/>
      </c>
      <c r="AB179" s="9" t="str">
        <f t="shared" si="31"/>
        <v/>
      </c>
      <c r="AC179" s="9" t="str">
        <f t="shared" si="32"/>
        <v/>
      </c>
      <c r="AD179" s="9" t="str">
        <f t="shared" si="33"/>
        <v/>
      </c>
      <c r="AE179" s="9" t="str">
        <f t="shared" si="34"/>
        <v/>
      </c>
      <c r="AF179" s="25" t="str">
        <f t="shared" si="35"/>
        <v/>
      </c>
      <c r="AG179" s="24" t="str">
        <f t="shared" si="36"/>
        <v/>
      </c>
      <c r="AH179" s="24" t="str">
        <f t="shared" si="37"/>
        <v/>
      </c>
      <c r="AI179" s="24" t="str">
        <f t="shared" si="38"/>
        <v/>
      </c>
      <c r="AJ179" s="24" t="str">
        <f t="shared" si="39"/>
        <v/>
      </c>
      <c r="AK179" s="24" t="str">
        <f t="shared" si="40"/>
        <v/>
      </c>
      <c r="AL179" s="24" t="str">
        <f t="shared" si="41"/>
        <v/>
      </c>
      <c r="AM179" s="24" t="str">
        <f t="shared" si="42"/>
        <v/>
      </c>
      <c r="AQ179" s="9" t="str">
        <f t="shared" si="43"/>
        <v/>
      </c>
      <c r="AR179" s="9" t="str">
        <f t="shared" si="44"/>
        <v/>
      </c>
      <c r="AS179" s="9" t="str">
        <f t="shared" si="45"/>
        <v/>
      </c>
      <c r="AT179" s="9" t="str">
        <f t="shared" si="46"/>
        <v/>
      </c>
      <c r="AU179" s="9" t="str">
        <f t="shared" si="47"/>
        <v/>
      </c>
      <c r="AV179" s="9" t="str">
        <f t="shared" si="48"/>
        <v/>
      </c>
      <c r="AW179" s="9" t="str">
        <f t="shared" si="49"/>
        <v/>
      </c>
      <c r="AX179" s="9" t="str">
        <f t="shared" si="50"/>
        <v/>
      </c>
    </row>
    <row r="180" spans="3:50" hidden="1" x14ac:dyDescent="0.25">
      <c r="C180">
        <v>11</v>
      </c>
      <c r="D180" t="str">
        <f t="shared" si="10"/>
        <v/>
      </c>
      <c r="E180" s="24" t="str">
        <f t="shared" si="11"/>
        <v/>
      </c>
      <c r="F180" s="24" t="str">
        <f t="shared" si="12"/>
        <v/>
      </c>
      <c r="G180" s="24" t="str">
        <f t="shared" si="13"/>
        <v/>
      </c>
      <c r="H180" s="24" t="str">
        <f t="shared" si="14"/>
        <v/>
      </c>
      <c r="I180" s="24" t="str">
        <f t="shared" si="15"/>
        <v/>
      </c>
      <c r="J180" s="24" t="str">
        <f t="shared" si="16"/>
        <v/>
      </c>
      <c r="K180" s="24" t="str">
        <f t="shared" si="17"/>
        <v/>
      </c>
      <c r="L180" s="24" t="str">
        <f t="shared" si="18"/>
        <v/>
      </c>
      <c r="M180" s="24" t="str">
        <f t="shared" si="19"/>
        <v/>
      </c>
      <c r="N180" s="24" t="str">
        <f t="shared" si="20"/>
        <v/>
      </c>
      <c r="O180" s="24" t="str">
        <f t="shared" si="21"/>
        <v/>
      </c>
      <c r="P180" s="24" t="str">
        <f t="shared" si="22"/>
        <v/>
      </c>
      <c r="Q180" s="24" t="str">
        <f t="shared" si="23"/>
        <v/>
      </c>
      <c r="R180" s="24" t="str">
        <f t="shared" si="24"/>
        <v/>
      </c>
      <c r="S180" s="24" t="str">
        <f t="shared" si="25"/>
        <v/>
      </c>
      <c r="T180" s="24" t="str">
        <f t="shared" si="26"/>
        <v/>
      </c>
      <c r="X180" s="9" t="str">
        <f t="shared" si="27"/>
        <v/>
      </c>
      <c r="Y180" s="9" t="str">
        <f t="shared" si="28"/>
        <v/>
      </c>
      <c r="Z180" s="9" t="str">
        <f t="shared" si="29"/>
        <v/>
      </c>
      <c r="AA180" s="9" t="str">
        <f t="shared" si="30"/>
        <v/>
      </c>
      <c r="AB180" s="9" t="str">
        <f t="shared" si="31"/>
        <v/>
      </c>
      <c r="AC180" s="9" t="str">
        <f t="shared" si="32"/>
        <v/>
      </c>
      <c r="AD180" s="9" t="str">
        <f t="shared" si="33"/>
        <v/>
      </c>
      <c r="AE180" s="9" t="str">
        <f t="shared" si="34"/>
        <v/>
      </c>
      <c r="AF180" s="25" t="str">
        <f t="shared" si="35"/>
        <v/>
      </c>
      <c r="AG180" s="24" t="str">
        <f t="shared" si="36"/>
        <v/>
      </c>
      <c r="AH180" s="24" t="str">
        <f t="shared" si="37"/>
        <v/>
      </c>
      <c r="AI180" s="24" t="str">
        <f t="shared" si="38"/>
        <v/>
      </c>
      <c r="AJ180" s="24" t="str">
        <f t="shared" si="39"/>
        <v/>
      </c>
      <c r="AK180" s="24" t="str">
        <f t="shared" si="40"/>
        <v/>
      </c>
      <c r="AL180" s="24" t="str">
        <f t="shared" si="41"/>
        <v/>
      </c>
      <c r="AM180" s="24" t="str">
        <f t="shared" si="42"/>
        <v/>
      </c>
      <c r="AQ180" s="9" t="str">
        <f t="shared" si="43"/>
        <v/>
      </c>
      <c r="AR180" s="9" t="str">
        <f t="shared" si="44"/>
        <v/>
      </c>
      <c r="AS180" s="9" t="str">
        <f t="shared" si="45"/>
        <v/>
      </c>
      <c r="AT180" s="9" t="str">
        <f t="shared" si="46"/>
        <v/>
      </c>
      <c r="AU180" s="9" t="str">
        <f t="shared" si="47"/>
        <v/>
      </c>
      <c r="AV180" s="9" t="str">
        <f t="shared" si="48"/>
        <v/>
      </c>
      <c r="AW180" s="9" t="str">
        <f t="shared" si="49"/>
        <v/>
      </c>
      <c r="AX180" s="9" t="str">
        <f t="shared" si="50"/>
        <v/>
      </c>
    </row>
    <row r="181" spans="3:50" hidden="1" x14ac:dyDescent="0.25">
      <c r="C181">
        <v>12</v>
      </c>
      <c r="D181" t="str">
        <f t="shared" si="10"/>
        <v/>
      </c>
      <c r="E181" s="24" t="str">
        <f t="shared" si="11"/>
        <v/>
      </c>
      <c r="F181" s="24" t="str">
        <f t="shared" si="12"/>
        <v/>
      </c>
      <c r="G181" s="24" t="str">
        <f t="shared" si="13"/>
        <v/>
      </c>
      <c r="H181" s="24" t="str">
        <f t="shared" si="14"/>
        <v/>
      </c>
      <c r="I181" s="24" t="str">
        <f t="shared" si="15"/>
        <v/>
      </c>
      <c r="J181" s="24" t="str">
        <f t="shared" si="16"/>
        <v/>
      </c>
      <c r="K181" s="24" t="str">
        <f t="shared" si="17"/>
        <v/>
      </c>
      <c r="L181" s="24" t="str">
        <f t="shared" si="18"/>
        <v/>
      </c>
      <c r="M181" s="24" t="str">
        <f t="shared" si="19"/>
        <v/>
      </c>
      <c r="N181" s="24" t="str">
        <f t="shared" si="20"/>
        <v/>
      </c>
      <c r="O181" s="24" t="str">
        <f t="shared" si="21"/>
        <v/>
      </c>
      <c r="P181" s="24" t="str">
        <f t="shared" si="22"/>
        <v/>
      </c>
      <c r="Q181" s="24" t="str">
        <f t="shared" si="23"/>
        <v/>
      </c>
      <c r="R181" s="24" t="str">
        <f t="shared" si="24"/>
        <v/>
      </c>
      <c r="S181" s="24" t="str">
        <f t="shared" si="25"/>
        <v/>
      </c>
      <c r="T181" s="24" t="str">
        <f t="shared" si="26"/>
        <v/>
      </c>
      <c r="X181" s="9" t="str">
        <f t="shared" si="27"/>
        <v/>
      </c>
      <c r="Y181" s="9" t="str">
        <f t="shared" si="28"/>
        <v/>
      </c>
      <c r="Z181" s="9" t="str">
        <f t="shared" si="29"/>
        <v/>
      </c>
      <c r="AA181" s="9" t="str">
        <f t="shared" si="30"/>
        <v/>
      </c>
      <c r="AB181" s="9" t="str">
        <f t="shared" si="31"/>
        <v/>
      </c>
      <c r="AC181" s="9" t="str">
        <f t="shared" si="32"/>
        <v/>
      </c>
      <c r="AD181" s="9" t="str">
        <f t="shared" si="33"/>
        <v/>
      </c>
      <c r="AE181" s="9" t="str">
        <f t="shared" si="34"/>
        <v/>
      </c>
      <c r="AF181" s="25" t="str">
        <f t="shared" si="35"/>
        <v/>
      </c>
      <c r="AG181" s="24" t="str">
        <f t="shared" si="36"/>
        <v/>
      </c>
      <c r="AH181" s="24" t="str">
        <f t="shared" si="37"/>
        <v/>
      </c>
      <c r="AI181" s="24" t="str">
        <f t="shared" si="38"/>
        <v/>
      </c>
      <c r="AJ181" s="24" t="str">
        <f t="shared" si="39"/>
        <v/>
      </c>
      <c r="AK181" s="24" t="str">
        <f t="shared" si="40"/>
        <v/>
      </c>
      <c r="AL181" s="24" t="str">
        <f t="shared" si="41"/>
        <v/>
      </c>
      <c r="AM181" s="24" t="str">
        <f t="shared" si="42"/>
        <v/>
      </c>
      <c r="AQ181" s="9" t="str">
        <f t="shared" si="43"/>
        <v/>
      </c>
      <c r="AR181" s="9" t="str">
        <f t="shared" si="44"/>
        <v/>
      </c>
      <c r="AS181" s="9" t="str">
        <f t="shared" si="45"/>
        <v/>
      </c>
      <c r="AT181" s="9" t="str">
        <f t="shared" si="46"/>
        <v/>
      </c>
      <c r="AU181" s="9" t="str">
        <f t="shared" si="47"/>
        <v/>
      </c>
      <c r="AV181" s="9" t="str">
        <f t="shared" si="48"/>
        <v/>
      </c>
      <c r="AW181" s="9" t="str">
        <f t="shared" si="49"/>
        <v/>
      </c>
      <c r="AX181" s="9" t="str">
        <f t="shared" si="50"/>
        <v/>
      </c>
    </row>
    <row r="182" spans="3:50" hidden="1" x14ac:dyDescent="0.25">
      <c r="C182">
        <v>13</v>
      </c>
      <c r="D182" t="str">
        <f t="shared" si="10"/>
        <v/>
      </c>
      <c r="E182" s="24" t="str">
        <f t="shared" si="11"/>
        <v/>
      </c>
      <c r="F182" s="24" t="str">
        <f t="shared" si="12"/>
        <v/>
      </c>
      <c r="G182" s="24" t="str">
        <f t="shared" si="13"/>
        <v/>
      </c>
      <c r="H182" s="24" t="str">
        <f t="shared" si="14"/>
        <v/>
      </c>
      <c r="I182" s="24" t="str">
        <f t="shared" si="15"/>
        <v/>
      </c>
      <c r="J182" s="24" t="str">
        <f t="shared" si="16"/>
        <v/>
      </c>
      <c r="K182" s="24" t="str">
        <f t="shared" si="17"/>
        <v/>
      </c>
      <c r="L182" s="24" t="str">
        <f t="shared" si="18"/>
        <v/>
      </c>
      <c r="M182" s="24" t="str">
        <f t="shared" si="19"/>
        <v/>
      </c>
      <c r="N182" s="24" t="str">
        <f t="shared" si="20"/>
        <v/>
      </c>
      <c r="O182" s="24" t="str">
        <f t="shared" si="21"/>
        <v/>
      </c>
      <c r="P182" s="24" t="str">
        <f t="shared" si="22"/>
        <v/>
      </c>
      <c r="Q182" s="24" t="str">
        <f t="shared" si="23"/>
        <v/>
      </c>
      <c r="R182" s="24" t="str">
        <f t="shared" si="24"/>
        <v/>
      </c>
      <c r="S182" s="24" t="str">
        <f t="shared" si="25"/>
        <v/>
      </c>
      <c r="T182" s="24" t="str">
        <f t="shared" si="26"/>
        <v/>
      </c>
      <c r="X182" s="9" t="str">
        <f t="shared" si="27"/>
        <v/>
      </c>
      <c r="Y182" s="9" t="str">
        <f t="shared" si="28"/>
        <v/>
      </c>
      <c r="Z182" s="9" t="str">
        <f t="shared" si="29"/>
        <v/>
      </c>
      <c r="AA182" s="9" t="str">
        <f t="shared" si="30"/>
        <v/>
      </c>
      <c r="AB182" s="9" t="str">
        <f t="shared" si="31"/>
        <v/>
      </c>
      <c r="AC182" s="9" t="str">
        <f t="shared" si="32"/>
        <v/>
      </c>
      <c r="AD182" s="9" t="str">
        <f t="shared" si="33"/>
        <v/>
      </c>
      <c r="AE182" s="9" t="str">
        <f t="shared" si="34"/>
        <v/>
      </c>
      <c r="AF182" s="25" t="str">
        <f t="shared" si="35"/>
        <v/>
      </c>
      <c r="AG182" s="24" t="str">
        <f t="shared" si="36"/>
        <v/>
      </c>
      <c r="AH182" s="24" t="str">
        <f t="shared" si="37"/>
        <v/>
      </c>
      <c r="AI182" s="24" t="str">
        <f t="shared" si="38"/>
        <v/>
      </c>
      <c r="AJ182" s="24" t="str">
        <f t="shared" si="39"/>
        <v/>
      </c>
      <c r="AK182" s="24" t="str">
        <f t="shared" si="40"/>
        <v/>
      </c>
      <c r="AL182" s="24" t="str">
        <f t="shared" si="41"/>
        <v/>
      </c>
      <c r="AM182" s="24" t="str">
        <f t="shared" si="42"/>
        <v/>
      </c>
      <c r="AQ182" s="9" t="str">
        <f t="shared" si="43"/>
        <v/>
      </c>
      <c r="AR182" s="9" t="str">
        <f t="shared" si="44"/>
        <v/>
      </c>
      <c r="AS182" s="9" t="str">
        <f t="shared" si="45"/>
        <v/>
      </c>
      <c r="AT182" s="9" t="str">
        <f t="shared" si="46"/>
        <v/>
      </c>
      <c r="AU182" s="9" t="str">
        <f t="shared" si="47"/>
        <v/>
      </c>
      <c r="AV182" s="9" t="str">
        <f t="shared" si="48"/>
        <v/>
      </c>
      <c r="AW182" s="9" t="str">
        <f t="shared" si="49"/>
        <v/>
      </c>
      <c r="AX182" s="9" t="str">
        <f t="shared" si="50"/>
        <v/>
      </c>
    </row>
    <row r="183" spans="3:50" hidden="1" x14ac:dyDescent="0.25">
      <c r="C183">
        <v>14</v>
      </c>
      <c r="D183" t="str">
        <f t="shared" si="10"/>
        <v/>
      </c>
      <c r="E183" s="24" t="str">
        <f t="shared" si="11"/>
        <v/>
      </c>
      <c r="F183" s="24" t="str">
        <f t="shared" si="12"/>
        <v/>
      </c>
      <c r="G183" s="24" t="str">
        <f t="shared" si="13"/>
        <v/>
      </c>
      <c r="H183" s="24" t="str">
        <f t="shared" si="14"/>
        <v/>
      </c>
      <c r="I183" s="24" t="str">
        <f t="shared" si="15"/>
        <v/>
      </c>
      <c r="J183" s="24" t="str">
        <f t="shared" si="16"/>
        <v/>
      </c>
      <c r="K183" s="24" t="str">
        <f t="shared" si="17"/>
        <v/>
      </c>
      <c r="L183" s="24" t="str">
        <f t="shared" si="18"/>
        <v/>
      </c>
      <c r="M183" s="24" t="str">
        <f t="shared" si="19"/>
        <v/>
      </c>
      <c r="N183" s="24" t="str">
        <f t="shared" si="20"/>
        <v/>
      </c>
      <c r="O183" s="24" t="str">
        <f t="shared" si="21"/>
        <v/>
      </c>
      <c r="P183" s="24" t="str">
        <f t="shared" si="22"/>
        <v/>
      </c>
      <c r="Q183" s="24" t="str">
        <f t="shared" si="23"/>
        <v/>
      </c>
      <c r="R183" s="24" t="str">
        <f t="shared" si="24"/>
        <v/>
      </c>
      <c r="S183" s="24" t="str">
        <f t="shared" si="25"/>
        <v/>
      </c>
      <c r="T183" s="24" t="str">
        <f t="shared" si="26"/>
        <v/>
      </c>
      <c r="X183" s="9" t="str">
        <f t="shared" si="27"/>
        <v/>
      </c>
      <c r="Y183" s="9" t="str">
        <f t="shared" si="28"/>
        <v/>
      </c>
      <c r="Z183" s="9" t="str">
        <f t="shared" si="29"/>
        <v/>
      </c>
      <c r="AA183" s="9" t="str">
        <f t="shared" si="30"/>
        <v/>
      </c>
      <c r="AB183" s="9" t="str">
        <f t="shared" si="31"/>
        <v/>
      </c>
      <c r="AC183" s="9" t="str">
        <f t="shared" si="32"/>
        <v/>
      </c>
      <c r="AD183" s="9" t="str">
        <f t="shared" si="33"/>
        <v/>
      </c>
      <c r="AE183" s="9" t="str">
        <f t="shared" si="34"/>
        <v/>
      </c>
      <c r="AF183" s="25" t="str">
        <f t="shared" si="35"/>
        <v/>
      </c>
      <c r="AG183" s="24" t="str">
        <f t="shared" si="36"/>
        <v/>
      </c>
      <c r="AH183" s="24" t="str">
        <f t="shared" si="37"/>
        <v/>
      </c>
      <c r="AI183" s="24" t="str">
        <f t="shared" si="38"/>
        <v/>
      </c>
      <c r="AJ183" s="24" t="str">
        <f t="shared" si="39"/>
        <v/>
      </c>
      <c r="AK183" s="24" t="str">
        <f t="shared" si="40"/>
        <v/>
      </c>
      <c r="AL183" s="24" t="str">
        <f t="shared" si="41"/>
        <v/>
      </c>
      <c r="AM183" s="24" t="str">
        <f t="shared" si="42"/>
        <v/>
      </c>
      <c r="AQ183" s="9" t="str">
        <f t="shared" si="43"/>
        <v/>
      </c>
      <c r="AR183" s="9" t="str">
        <f t="shared" si="44"/>
        <v/>
      </c>
      <c r="AS183" s="9" t="str">
        <f t="shared" si="45"/>
        <v/>
      </c>
      <c r="AT183" s="9" t="str">
        <f t="shared" si="46"/>
        <v/>
      </c>
      <c r="AU183" s="9" t="str">
        <f t="shared" si="47"/>
        <v/>
      </c>
      <c r="AV183" s="9" t="str">
        <f t="shared" si="48"/>
        <v/>
      </c>
      <c r="AW183" s="9" t="str">
        <f t="shared" si="49"/>
        <v/>
      </c>
      <c r="AX183" s="9" t="str">
        <f t="shared" si="50"/>
        <v/>
      </c>
    </row>
    <row r="184" spans="3:50" hidden="1" x14ac:dyDescent="0.25">
      <c r="C184">
        <v>15</v>
      </c>
      <c r="D184" t="str">
        <f t="shared" si="10"/>
        <v/>
      </c>
      <c r="E184" s="24" t="str">
        <f t="shared" si="11"/>
        <v/>
      </c>
      <c r="F184" s="24" t="str">
        <f t="shared" si="12"/>
        <v/>
      </c>
      <c r="G184" s="24" t="str">
        <f t="shared" si="13"/>
        <v/>
      </c>
      <c r="H184" s="24" t="str">
        <f t="shared" si="14"/>
        <v/>
      </c>
      <c r="I184" s="24" t="str">
        <f t="shared" si="15"/>
        <v/>
      </c>
      <c r="J184" s="24" t="str">
        <f t="shared" si="16"/>
        <v/>
      </c>
      <c r="K184" s="24" t="str">
        <f t="shared" si="17"/>
        <v/>
      </c>
      <c r="L184" s="24" t="str">
        <f t="shared" si="18"/>
        <v/>
      </c>
      <c r="M184" s="24" t="str">
        <f t="shared" si="19"/>
        <v/>
      </c>
      <c r="N184" s="24" t="str">
        <f t="shared" si="20"/>
        <v/>
      </c>
      <c r="O184" s="24" t="str">
        <f t="shared" si="21"/>
        <v/>
      </c>
      <c r="P184" s="24" t="str">
        <f t="shared" si="22"/>
        <v/>
      </c>
      <c r="Q184" s="24" t="str">
        <f t="shared" si="23"/>
        <v/>
      </c>
      <c r="R184" s="24" t="str">
        <f t="shared" si="24"/>
        <v/>
      </c>
      <c r="S184" s="24" t="str">
        <f t="shared" si="25"/>
        <v/>
      </c>
      <c r="T184" s="24" t="str">
        <f t="shared" si="26"/>
        <v/>
      </c>
      <c r="X184" s="9" t="str">
        <f t="shared" si="27"/>
        <v/>
      </c>
      <c r="Y184" s="9" t="str">
        <f t="shared" si="28"/>
        <v/>
      </c>
      <c r="Z184" s="9" t="str">
        <f t="shared" si="29"/>
        <v/>
      </c>
      <c r="AA184" s="9" t="str">
        <f t="shared" si="30"/>
        <v/>
      </c>
      <c r="AB184" s="9" t="str">
        <f t="shared" si="31"/>
        <v/>
      </c>
      <c r="AC184" s="9" t="str">
        <f t="shared" si="32"/>
        <v/>
      </c>
      <c r="AD184" s="9" t="str">
        <f t="shared" si="33"/>
        <v/>
      </c>
      <c r="AE184" s="9" t="str">
        <f t="shared" si="34"/>
        <v/>
      </c>
      <c r="AF184" s="25" t="str">
        <f t="shared" si="35"/>
        <v/>
      </c>
      <c r="AG184" s="24" t="str">
        <f t="shared" si="36"/>
        <v/>
      </c>
      <c r="AH184" s="24" t="str">
        <f t="shared" si="37"/>
        <v/>
      </c>
      <c r="AI184" s="24" t="str">
        <f t="shared" si="38"/>
        <v/>
      </c>
      <c r="AJ184" s="24" t="str">
        <f t="shared" si="39"/>
        <v/>
      </c>
      <c r="AK184" s="24" t="str">
        <f t="shared" si="40"/>
        <v/>
      </c>
      <c r="AL184" s="24" t="str">
        <f t="shared" si="41"/>
        <v/>
      </c>
      <c r="AM184" s="24" t="str">
        <f t="shared" si="42"/>
        <v/>
      </c>
      <c r="AQ184" s="9" t="str">
        <f t="shared" si="43"/>
        <v/>
      </c>
      <c r="AR184" s="9" t="str">
        <f t="shared" si="44"/>
        <v/>
      </c>
      <c r="AS184" s="9" t="str">
        <f t="shared" si="45"/>
        <v/>
      </c>
      <c r="AT184" s="9" t="str">
        <f t="shared" si="46"/>
        <v/>
      </c>
      <c r="AU184" s="9" t="str">
        <f t="shared" si="47"/>
        <v/>
      </c>
      <c r="AV184" s="9" t="str">
        <f t="shared" si="48"/>
        <v/>
      </c>
      <c r="AW184" s="9" t="str">
        <f t="shared" si="49"/>
        <v/>
      </c>
      <c r="AX184" s="9" t="str">
        <f t="shared" si="50"/>
        <v/>
      </c>
    </row>
    <row r="185" spans="3:50" hidden="1" x14ac:dyDescent="0.25">
      <c r="C185">
        <v>16</v>
      </c>
      <c r="D185" t="str">
        <f t="shared" si="10"/>
        <v/>
      </c>
      <c r="E185" s="24" t="str">
        <f t="shared" si="11"/>
        <v/>
      </c>
      <c r="F185" s="24" t="str">
        <f t="shared" si="12"/>
        <v/>
      </c>
      <c r="G185" s="24" t="str">
        <f t="shared" si="13"/>
        <v/>
      </c>
      <c r="H185" s="24" t="str">
        <f t="shared" si="14"/>
        <v/>
      </c>
      <c r="I185" s="24" t="str">
        <f t="shared" si="15"/>
        <v/>
      </c>
      <c r="J185" s="24" t="str">
        <f t="shared" si="16"/>
        <v/>
      </c>
      <c r="K185" s="24" t="str">
        <f t="shared" si="17"/>
        <v/>
      </c>
      <c r="L185" s="24" t="str">
        <f t="shared" si="18"/>
        <v/>
      </c>
      <c r="M185" s="24" t="str">
        <f t="shared" si="19"/>
        <v/>
      </c>
      <c r="N185" s="24" t="str">
        <f t="shared" si="20"/>
        <v/>
      </c>
      <c r="O185" s="24" t="str">
        <f t="shared" si="21"/>
        <v/>
      </c>
      <c r="P185" s="24" t="str">
        <f t="shared" si="22"/>
        <v/>
      </c>
      <c r="Q185" s="24" t="str">
        <f t="shared" si="23"/>
        <v/>
      </c>
      <c r="R185" s="24" t="str">
        <f t="shared" si="24"/>
        <v/>
      </c>
      <c r="S185" s="24" t="str">
        <f t="shared" si="25"/>
        <v/>
      </c>
      <c r="T185" s="24" t="str">
        <f t="shared" si="26"/>
        <v/>
      </c>
      <c r="X185" s="9" t="str">
        <f t="shared" si="27"/>
        <v/>
      </c>
      <c r="Y185" s="9" t="str">
        <f t="shared" si="28"/>
        <v/>
      </c>
      <c r="Z185" s="9" t="str">
        <f t="shared" si="29"/>
        <v/>
      </c>
      <c r="AA185" s="9" t="str">
        <f t="shared" si="30"/>
        <v/>
      </c>
      <c r="AB185" s="9" t="str">
        <f t="shared" si="31"/>
        <v/>
      </c>
      <c r="AC185" s="9" t="str">
        <f t="shared" si="32"/>
        <v/>
      </c>
      <c r="AD185" s="9" t="str">
        <f t="shared" si="33"/>
        <v/>
      </c>
      <c r="AE185" s="9" t="str">
        <f t="shared" si="34"/>
        <v/>
      </c>
      <c r="AF185" s="25" t="str">
        <f t="shared" si="35"/>
        <v/>
      </c>
      <c r="AG185" s="24" t="str">
        <f t="shared" si="36"/>
        <v/>
      </c>
      <c r="AH185" s="24" t="str">
        <f t="shared" si="37"/>
        <v/>
      </c>
      <c r="AI185" s="24" t="str">
        <f t="shared" si="38"/>
        <v/>
      </c>
      <c r="AJ185" s="24" t="str">
        <f t="shared" si="39"/>
        <v/>
      </c>
      <c r="AK185" s="24" t="str">
        <f t="shared" si="40"/>
        <v/>
      </c>
      <c r="AL185" s="24" t="str">
        <f t="shared" si="41"/>
        <v/>
      </c>
      <c r="AM185" s="24" t="str">
        <f t="shared" si="42"/>
        <v/>
      </c>
      <c r="AQ185" s="9" t="str">
        <f t="shared" si="43"/>
        <v/>
      </c>
      <c r="AR185" s="9" t="str">
        <f t="shared" si="44"/>
        <v/>
      </c>
      <c r="AS185" s="9" t="str">
        <f t="shared" si="45"/>
        <v/>
      </c>
      <c r="AT185" s="9" t="str">
        <f t="shared" si="46"/>
        <v/>
      </c>
      <c r="AU185" s="9" t="str">
        <f t="shared" si="47"/>
        <v/>
      </c>
      <c r="AV185" s="9" t="str">
        <f t="shared" si="48"/>
        <v/>
      </c>
      <c r="AW185" s="9" t="str">
        <f t="shared" si="49"/>
        <v/>
      </c>
      <c r="AX185" s="9" t="str">
        <f t="shared" si="50"/>
        <v/>
      </c>
    </row>
    <row r="186" spans="3:50" hidden="1" x14ac:dyDescent="0.25">
      <c r="C186">
        <v>17</v>
      </c>
      <c r="D186" t="str">
        <f t="shared" si="10"/>
        <v/>
      </c>
      <c r="E186" s="24" t="str">
        <f t="shared" si="11"/>
        <v/>
      </c>
      <c r="F186" s="24" t="str">
        <f t="shared" si="12"/>
        <v/>
      </c>
      <c r="G186" s="24" t="str">
        <f t="shared" si="13"/>
        <v/>
      </c>
      <c r="H186" s="24" t="str">
        <f t="shared" si="14"/>
        <v/>
      </c>
      <c r="I186" s="24" t="str">
        <f t="shared" si="15"/>
        <v/>
      </c>
      <c r="J186" s="24" t="str">
        <f t="shared" si="16"/>
        <v/>
      </c>
      <c r="K186" s="24" t="str">
        <f t="shared" si="17"/>
        <v/>
      </c>
      <c r="L186" s="24" t="str">
        <f t="shared" si="18"/>
        <v/>
      </c>
      <c r="M186" s="24" t="str">
        <f t="shared" si="19"/>
        <v/>
      </c>
      <c r="N186" s="24" t="str">
        <f t="shared" si="20"/>
        <v/>
      </c>
      <c r="O186" s="24" t="str">
        <f t="shared" si="21"/>
        <v/>
      </c>
      <c r="P186" s="24" t="str">
        <f t="shared" si="22"/>
        <v/>
      </c>
      <c r="Q186" s="24" t="str">
        <f t="shared" si="23"/>
        <v/>
      </c>
      <c r="R186" s="24" t="str">
        <f t="shared" si="24"/>
        <v/>
      </c>
      <c r="S186" s="24" t="str">
        <f t="shared" si="25"/>
        <v/>
      </c>
      <c r="T186" s="24" t="str">
        <f t="shared" si="26"/>
        <v/>
      </c>
      <c r="X186" s="9" t="str">
        <f t="shared" si="27"/>
        <v/>
      </c>
      <c r="Y186" s="9" t="str">
        <f t="shared" si="28"/>
        <v/>
      </c>
      <c r="Z186" s="9" t="str">
        <f t="shared" si="29"/>
        <v/>
      </c>
      <c r="AA186" s="9" t="str">
        <f t="shared" si="30"/>
        <v/>
      </c>
      <c r="AB186" s="9" t="str">
        <f t="shared" si="31"/>
        <v/>
      </c>
      <c r="AC186" s="9" t="str">
        <f t="shared" si="32"/>
        <v/>
      </c>
      <c r="AD186" s="9" t="str">
        <f t="shared" si="33"/>
        <v/>
      </c>
      <c r="AE186" s="9" t="str">
        <f t="shared" si="34"/>
        <v/>
      </c>
      <c r="AF186" s="25" t="str">
        <f t="shared" si="35"/>
        <v/>
      </c>
      <c r="AG186" s="24" t="str">
        <f t="shared" si="36"/>
        <v/>
      </c>
      <c r="AH186" s="24" t="str">
        <f t="shared" si="37"/>
        <v/>
      </c>
      <c r="AI186" s="24" t="str">
        <f t="shared" si="38"/>
        <v/>
      </c>
      <c r="AJ186" s="24" t="str">
        <f t="shared" si="39"/>
        <v/>
      </c>
      <c r="AK186" s="24" t="str">
        <f t="shared" si="40"/>
        <v/>
      </c>
      <c r="AL186" s="24" t="str">
        <f t="shared" si="41"/>
        <v/>
      </c>
      <c r="AM186" s="24" t="str">
        <f t="shared" si="42"/>
        <v/>
      </c>
      <c r="AQ186" s="9" t="str">
        <f t="shared" si="43"/>
        <v/>
      </c>
      <c r="AR186" s="9" t="str">
        <f t="shared" si="44"/>
        <v/>
      </c>
      <c r="AS186" s="9" t="str">
        <f t="shared" si="45"/>
        <v/>
      </c>
      <c r="AT186" s="9" t="str">
        <f t="shared" si="46"/>
        <v/>
      </c>
      <c r="AU186" s="9" t="str">
        <f t="shared" si="47"/>
        <v/>
      </c>
      <c r="AV186" s="9" t="str">
        <f t="shared" si="48"/>
        <v/>
      </c>
      <c r="AW186" s="9" t="str">
        <f t="shared" si="49"/>
        <v/>
      </c>
      <c r="AX186" s="9" t="str">
        <f t="shared" si="50"/>
        <v/>
      </c>
    </row>
    <row r="187" spans="3:50" hidden="1" x14ac:dyDescent="0.25">
      <c r="C187">
        <v>18</v>
      </c>
      <c r="D187" t="str">
        <f t="shared" si="10"/>
        <v/>
      </c>
      <c r="E187" s="24" t="str">
        <f t="shared" si="11"/>
        <v/>
      </c>
      <c r="F187" s="24" t="str">
        <f t="shared" si="12"/>
        <v/>
      </c>
      <c r="G187" s="24" t="str">
        <f t="shared" si="13"/>
        <v/>
      </c>
      <c r="H187" s="24" t="str">
        <f t="shared" si="14"/>
        <v/>
      </c>
      <c r="I187" s="24" t="str">
        <f t="shared" si="15"/>
        <v/>
      </c>
      <c r="J187" s="24" t="str">
        <f t="shared" si="16"/>
        <v/>
      </c>
      <c r="K187" s="24" t="str">
        <f t="shared" si="17"/>
        <v/>
      </c>
      <c r="L187" s="24" t="str">
        <f t="shared" si="18"/>
        <v/>
      </c>
      <c r="M187" s="24" t="str">
        <f t="shared" si="19"/>
        <v/>
      </c>
      <c r="N187" s="24" t="str">
        <f t="shared" si="20"/>
        <v/>
      </c>
      <c r="O187" s="24" t="str">
        <f t="shared" si="21"/>
        <v/>
      </c>
      <c r="P187" s="24" t="str">
        <f t="shared" si="22"/>
        <v/>
      </c>
      <c r="Q187" s="24" t="str">
        <f t="shared" si="23"/>
        <v/>
      </c>
      <c r="R187" s="24" t="str">
        <f t="shared" si="24"/>
        <v/>
      </c>
      <c r="S187" s="24" t="str">
        <f t="shared" si="25"/>
        <v/>
      </c>
      <c r="T187" s="24" t="str">
        <f t="shared" si="26"/>
        <v/>
      </c>
      <c r="X187" s="9" t="str">
        <f t="shared" si="27"/>
        <v/>
      </c>
      <c r="Y187" s="9" t="str">
        <f t="shared" si="28"/>
        <v/>
      </c>
      <c r="Z187" s="9" t="str">
        <f t="shared" si="29"/>
        <v/>
      </c>
      <c r="AA187" s="9" t="str">
        <f t="shared" si="30"/>
        <v/>
      </c>
      <c r="AB187" s="9" t="str">
        <f t="shared" si="31"/>
        <v/>
      </c>
      <c r="AC187" s="9" t="str">
        <f t="shared" si="32"/>
        <v/>
      </c>
      <c r="AD187" s="9" t="str">
        <f t="shared" si="33"/>
        <v/>
      </c>
      <c r="AE187" s="9" t="str">
        <f t="shared" si="34"/>
        <v/>
      </c>
      <c r="AF187" s="25" t="str">
        <f t="shared" si="35"/>
        <v/>
      </c>
      <c r="AG187" s="24" t="str">
        <f t="shared" si="36"/>
        <v/>
      </c>
      <c r="AH187" s="24" t="str">
        <f t="shared" si="37"/>
        <v/>
      </c>
      <c r="AI187" s="24" t="str">
        <f t="shared" si="38"/>
        <v/>
      </c>
      <c r="AJ187" s="24" t="str">
        <f t="shared" si="39"/>
        <v/>
      </c>
      <c r="AK187" s="24" t="str">
        <f t="shared" si="40"/>
        <v/>
      </c>
      <c r="AL187" s="24" t="str">
        <f t="shared" si="41"/>
        <v/>
      </c>
      <c r="AM187" s="24" t="str">
        <f t="shared" si="42"/>
        <v/>
      </c>
      <c r="AQ187" s="9" t="str">
        <f t="shared" si="43"/>
        <v/>
      </c>
      <c r="AR187" s="9" t="str">
        <f t="shared" si="44"/>
        <v/>
      </c>
      <c r="AS187" s="9" t="str">
        <f t="shared" si="45"/>
        <v/>
      </c>
      <c r="AT187" s="9" t="str">
        <f t="shared" si="46"/>
        <v/>
      </c>
      <c r="AU187" s="9" t="str">
        <f t="shared" si="47"/>
        <v/>
      </c>
      <c r="AV187" s="9" t="str">
        <f t="shared" si="48"/>
        <v/>
      </c>
      <c r="AW187" s="9" t="str">
        <f t="shared" si="49"/>
        <v/>
      </c>
      <c r="AX187" s="9" t="str">
        <f t="shared" si="50"/>
        <v/>
      </c>
    </row>
    <row r="188" spans="3:50" hidden="1" x14ac:dyDescent="0.25">
      <c r="C188">
        <v>19</v>
      </c>
      <c r="D188" t="str">
        <f t="shared" si="10"/>
        <v/>
      </c>
      <c r="E188" s="24" t="str">
        <f t="shared" si="11"/>
        <v/>
      </c>
      <c r="F188" s="24" t="str">
        <f t="shared" si="12"/>
        <v/>
      </c>
      <c r="G188" s="24" t="str">
        <f t="shared" si="13"/>
        <v/>
      </c>
      <c r="H188" s="24" t="str">
        <f t="shared" si="14"/>
        <v/>
      </c>
      <c r="I188" s="24" t="str">
        <f t="shared" si="15"/>
        <v/>
      </c>
      <c r="J188" s="24" t="str">
        <f t="shared" si="16"/>
        <v/>
      </c>
      <c r="K188" s="24" t="str">
        <f t="shared" si="17"/>
        <v/>
      </c>
      <c r="L188" s="24" t="str">
        <f t="shared" si="18"/>
        <v/>
      </c>
      <c r="M188" s="24" t="str">
        <f t="shared" si="19"/>
        <v/>
      </c>
      <c r="N188" s="24" t="str">
        <f t="shared" si="20"/>
        <v/>
      </c>
      <c r="O188" s="24" t="str">
        <f t="shared" si="21"/>
        <v/>
      </c>
      <c r="P188" s="24" t="str">
        <f t="shared" si="22"/>
        <v/>
      </c>
      <c r="Q188" s="24" t="str">
        <f t="shared" si="23"/>
        <v/>
      </c>
      <c r="R188" s="24" t="str">
        <f t="shared" si="24"/>
        <v/>
      </c>
      <c r="S188" s="24" t="str">
        <f t="shared" si="25"/>
        <v/>
      </c>
      <c r="T188" s="24" t="str">
        <f t="shared" si="26"/>
        <v/>
      </c>
      <c r="X188" s="9" t="str">
        <f t="shared" si="27"/>
        <v/>
      </c>
      <c r="Y188" s="9" t="str">
        <f t="shared" si="28"/>
        <v/>
      </c>
      <c r="Z188" s="9" t="str">
        <f t="shared" si="29"/>
        <v/>
      </c>
      <c r="AA188" s="9" t="str">
        <f t="shared" si="30"/>
        <v/>
      </c>
      <c r="AB188" s="9" t="str">
        <f t="shared" si="31"/>
        <v/>
      </c>
      <c r="AC188" s="9" t="str">
        <f t="shared" si="32"/>
        <v/>
      </c>
      <c r="AD188" s="9" t="str">
        <f t="shared" si="33"/>
        <v/>
      </c>
      <c r="AE188" s="9" t="str">
        <f t="shared" si="34"/>
        <v/>
      </c>
      <c r="AF188" s="25" t="str">
        <f t="shared" si="35"/>
        <v/>
      </c>
      <c r="AG188" s="24" t="str">
        <f t="shared" si="36"/>
        <v/>
      </c>
      <c r="AH188" s="24" t="str">
        <f t="shared" si="37"/>
        <v/>
      </c>
      <c r="AI188" s="24" t="str">
        <f t="shared" si="38"/>
        <v/>
      </c>
      <c r="AJ188" s="24" t="str">
        <f t="shared" si="39"/>
        <v/>
      </c>
      <c r="AK188" s="24" t="str">
        <f t="shared" si="40"/>
        <v/>
      </c>
      <c r="AL188" s="24" t="str">
        <f t="shared" si="41"/>
        <v/>
      </c>
      <c r="AM188" s="24" t="str">
        <f t="shared" si="42"/>
        <v/>
      </c>
      <c r="AQ188" s="9" t="str">
        <f t="shared" si="43"/>
        <v/>
      </c>
      <c r="AR188" s="9" t="str">
        <f t="shared" si="44"/>
        <v/>
      </c>
      <c r="AS188" s="9" t="str">
        <f t="shared" si="45"/>
        <v/>
      </c>
      <c r="AT188" s="9" t="str">
        <f t="shared" si="46"/>
        <v/>
      </c>
      <c r="AU188" s="9" t="str">
        <f t="shared" si="47"/>
        <v/>
      </c>
      <c r="AV188" s="9" t="str">
        <f t="shared" si="48"/>
        <v/>
      </c>
      <c r="AW188" s="9" t="str">
        <f t="shared" si="49"/>
        <v/>
      </c>
      <c r="AX188" s="9" t="str">
        <f t="shared" si="50"/>
        <v/>
      </c>
    </row>
    <row r="189" spans="3:50" hidden="1" x14ac:dyDescent="0.25">
      <c r="C189">
        <v>20</v>
      </c>
      <c r="D189" t="str">
        <f t="shared" si="10"/>
        <v/>
      </c>
      <c r="E189" s="24" t="str">
        <f t="shared" si="11"/>
        <v/>
      </c>
      <c r="F189" s="24" t="str">
        <f t="shared" si="12"/>
        <v/>
      </c>
      <c r="G189" s="24" t="str">
        <f t="shared" si="13"/>
        <v/>
      </c>
      <c r="H189" s="24" t="str">
        <f t="shared" si="14"/>
        <v/>
      </c>
      <c r="I189" s="24" t="str">
        <f t="shared" si="15"/>
        <v/>
      </c>
      <c r="J189" s="24" t="str">
        <f t="shared" si="16"/>
        <v/>
      </c>
      <c r="K189" s="24" t="str">
        <f t="shared" si="17"/>
        <v/>
      </c>
      <c r="L189" s="24" t="str">
        <f t="shared" si="18"/>
        <v/>
      </c>
      <c r="M189" s="24" t="str">
        <f t="shared" si="19"/>
        <v/>
      </c>
      <c r="N189" s="24" t="str">
        <f t="shared" si="20"/>
        <v/>
      </c>
      <c r="O189" s="24" t="str">
        <f t="shared" si="21"/>
        <v/>
      </c>
      <c r="P189" s="24" t="str">
        <f t="shared" si="22"/>
        <v/>
      </c>
      <c r="Q189" s="24" t="str">
        <f t="shared" si="23"/>
        <v/>
      </c>
      <c r="R189" s="24" t="str">
        <f t="shared" si="24"/>
        <v/>
      </c>
      <c r="S189" s="24" t="str">
        <f t="shared" si="25"/>
        <v/>
      </c>
      <c r="T189" s="24" t="str">
        <f t="shared" si="26"/>
        <v/>
      </c>
      <c r="X189" s="9" t="str">
        <f t="shared" si="27"/>
        <v/>
      </c>
      <c r="Y189" s="9" t="str">
        <f t="shared" si="28"/>
        <v/>
      </c>
      <c r="Z189" s="9" t="str">
        <f t="shared" si="29"/>
        <v/>
      </c>
      <c r="AA189" s="9" t="str">
        <f t="shared" si="30"/>
        <v/>
      </c>
      <c r="AB189" s="9" t="str">
        <f t="shared" si="31"/>
        <v/>
      </c>
      <c r="AC189" s="9" t="str">
        <f t="shared" si="32"/>
        <v/>
      </c>
      <c r="AD189" s="9" t="str">
        <f t="shared" si="33"/>
        <v/>
      </c>
      <c r="AE189" s="9" t="str">
        <f t="shared" si="34"/>
        <v/>
      </c>
      <c r="AF189" s="25" t="str">
        <f t="shared" si="35"/>
        <v/>
      </c>
      <c r="AG189" s="24" t="str">
        <f t="shared" si="36"/>
        <v/>
      </c>
      <c r="AH189" s="24" t="str">
        <f t="shared" si="37"/>
        <v/>
      </c>
      <c r="AI189" s="24" t="str">
        <f t="shared" si="38"/>
        <v/>
      </c>
      <c r="AJ189" s="24" t="str">
        <f t="shared" si="39"/>
        <v/>
      </c>
      <c r="AK189" s="24" t="str">
        <f t="shared" si="40"/>
        <v/>
      </c>
      <c r="AL189" s="24" t="str">
        <f t="shared" si="41"/>
        <v/>
      </c>
      <c r="AM189" s="24" t="str">
        <f t="shared" si="42"/>
        <v/>
      </c>
      <c r="AQ189" s="9" t="str">
        <f t="shared" si="43"/>
        <v/>
      </c>
      <c r="AR189" s="9" t="str">
        <f t="shared" si="44"/>
        <v/>
      </c>
      <c r="AS189" s="9" t="str">
        <f t="shared" si="45"/>
        <v/>
      </c>
      <c r="AT189" s="9" t="str">
        <f t="shared" si="46"/>
        <v/>
      </c>
      <c r="AU189" s="9" t="str">
        <f t="shared" si="47"/>
        <v/>
      </c>
      <c r="AV189" s="9" t="str">
        <f t="shared" si="48"/>
        <v/>
      </c>
      <c r="AW189" s="9" t="str">
        <f t="shared" si="49"/>
        <v/>
      </c>
      <c r="AX189" s="9" t="str">
        <f t="shared" si="50"/>
        <v/>
      </c>
    </row>
    <row r="190" spans="3:50" hidden="1" x14ac:dyDescent="0.25">
      <c r="C190">
        <v>21</v>
      </c>
      <c r="D190" t="str">
        <f t="shared" si="10"/>
        <v/>
      </c>
      <c r="E190" s="24" t="str">
        <f t="shared" si="11"/>
        <v/>
      </c>
      <c r="F190" s="24" t="str">
        <f t="shared" si="12"/>
        <v/>
      </c>
      <c r="G190" s="24" t="str">
        <f t="shared" si="13"/>
        <v/>
      </c>
      <c r="H190" s="24" t="str">
        <f t="shared" si="14"/>
        <v/>
      </c>
      <c r="I190" s="24" t="str">
        <f t="shared" si="15"/>
        <v/>
      </c>
      <c r="J190" s="24" t="str">
        <f t="shared" si="16"/>
        <v/>
      </c>
      <c r="K190" s="24" t="str">
        <f t="shared" si="17"/>
        <v/>
      </c>
      <c r="L190" s="24" t="str">
        <f t="shared" si="18"/>
        <v/>
      </c>
      <c r="M190" s="24" t="str">
        <f t="shared" si="19"/>
        <v/>
      </c>
      <c r="N190" s="24" t="str">
        <f t="shared" si="20"/>
        <v/>
      </c>
      <c r="O190" s="24" t="str">
        <f t="shared" si="21"/>
        <v/>
      </c>
      <c r="P190" s="24" t="str">
        <f t="shared" si="22"/>
        <v/>
      </c>
      <c r="Q190" s="24" t="str">
        <f t="shared" si="23"/>
        <v/>
      </c>
      <c r="R190" s="24" t="str">
        <f t="shared" si="24"/>
        <v/>
      </c>
      <c r="S190" s="24" t="str">
        <f t="shared" si="25"/>
        <v/>
      </c>
      <c r="T190" s="24" t="str">
        <f t="shared" si="26"/>
        <v/>
      </c>
      <c r="X190" s="9" t="str">
        <f t="shared" si="27"/>
        <v/>
      </c>
      <c r="Y190" s="9" t="str">
        <f t="shared" si="28"/>
        <v/>
      </c>
      <c r="Z190" s="9" t="str">
        <f t="shared" si="29"/>
        <v/>
      </c>
      <c r="AA190" s="9" t="str">
        <f t="shared" si="30"/>
        <v/>
      </c>
      <c r="AB190" s="9" t="str">
        <f t="shared" si="31"/>
        <v/>
      </c>
      <c r="AC190" s="9" t="str">
        <f t="shared" si="32"/>
        <v/>
      </c>
      <c r="AD190" s="9" t="str">
        <f t="shared" si="33"/>
        <v/>
      </c>
      <c r="AE190" s="9" t="str">
        <f t="shared" si="34"/>
        <v/>
      </c>
      <c r="AF190" s="25" t="str">
        <f t="shared" si="35"/>
        <v/>
      </c>
      <c r="AG190" s="24" t="str">
        <f t="shared" si="36"/>
        <v/>
      </c>
      <c r="AH190" s="24" t="str">
        <f t="shared" si="37"/>
        <v/>
      </c>
      <c r="AI190" s="24" t="str">
        <f t="shared" si="38"/>
        <v/>
      </c>
      <c r="AJ190" s="24" t="str">
        <f t="shared" si="39"/>
        <v/>
      </c>
      <c r="AK190" s="24" t="str">
        <f t="shared" si="40"/>
        <v/>
      </c>
      <c r="AL190" s="24" t="str">
        <f t="shared" si="41"/>
        <v/>
      </c>
      <c r="AM190" s="24" t="str">
        <f t="shared" si="42"/>
        <v/>
      </c>
      <c r="AQ190" s="9" t="str">
        <f t="shared" si="43"/>
        <v/>
      </c>
      <c r="AR190" s="9" t="str">
        <f t="shared" si="44"/>
        <v/>
      </c>
      <c r="AS190" s="9" t="str">
        <f t="shared" si="45"/>
        <v/>
      </c>
      <c r="AT190" s="9" t="str">
        <f t="shared" si="46"/>
        <v/>
      </c>
      <c r="AU190" s="9" t="str">
        <f t="shared" si="47"/>
        <v/>
      </c>
      <c r="AV190" s="9" t="str">
        <f t="shared" si="48"/>
        <v/>
      </c>
      <c r="AW190" s="9" t="str">
        <f t="shared" si="49"/>
        <v/>
      </c>
      <c r="AX190" s="9" t="str">
        <f t="shared" si="50"/>
        <v/>
      </c>
    </row>
    <row r="191" spans="3:50" hidden="1" x14ac:dyDescent="0.25">
      <c r="C191">
        <v>22</v>
      </c>
      <c r="D191" t="str">
        <f t="shared" si="10"/>
        <v/>
      </c>
      <c r="E191" s="24" t="str">
        <f t="shared" si="11"/>
        <v/>
      </c>
      <c r="F191" s="24" t="str">
        <f t="shared" si="12"/>
        <v/>
      </c>
      <c r="G191" s="24" t="str">
        <f t="shared" si="13"/>
        <v/>
      </c>
      <c r="H191" s="24" t="str">
        <f t="shared" si="14"/>
        <v/>
      </c>
      <c r="I191" s="24" t="str">
        <f t="shared" si="15"/>
        <v/>
      </c>
      <c r="J191" s="24" t="str">
        <f t="shared" si="16"/>
        <v/>
      </c>
      <c r="K191" s="24" t="str">
        <f t="shared" si="17"/>
        <v/>
      </c>
      <c r="L191" s="24" t="str">
        <f t="shared" si="18"/>
        <v/>
      </c>
      <c r="M191" s="24" t="str">
        <f t="shared" si="19"/>
        <v/>
      </c>
      <c r="N191" s="24" t="str">
        <f t="shared" si="20"/>
        <v/>
      </c>
      <c r="O191" s="24" t="str">
        <f t="shared" si="21"/>
        <v/>
      </c>
      <c r="P191" s="24" t="str">
        <f t="shared" si="22"/>
        <v/>
      </c>
      <c r="Q191" s="24" t="str">
        <f t="shared" si="23"/>
        <v/>
      </c>
      <c r="R191" s="24" t="str">
        <f t="shared" si="24"/>
        <v/>
      </c>
      <c r="S191" s="24" t="str">
        <f t="shared" si="25"/>
        <v/>
      </c>
      <c r="T191" s="24" t="str">
        <f t="shared" si="26"/>
        <v/>
      </c>
      <c r="X191" s="9" t="str">
        <f t="shared" si="27"/>
        <v/>
      </c>
      <c r="Y191" s="9" t="str">
        <f t="shared" si="28"/>
        <v/>
      </c>
      <c r="Z191" s="9" t="str">
        <f t="shared" si="29"/>
        <v/>
      </c>
      <c r="AA191" s="9" t="str">
        <f t="shared" si="30"/>
        <v/>
      </c>
      <c r="AB191" s="9" t="str">
        <f t="shared" si="31"/>
        <v/>
      </c>
      <c r="AC191" s="9" t="str">
        <f t="shared" si="32"/>
        <v/>
      </c>
      <c r="AD191" s="9" t="str">
        <f t="shared" si="33"/>
        <v/>
      </c>
      <c r="AE191" s="9" t="str">
        <f t="shared" si="34"/>
        <v/>
      </c>
      <c r="AF191" s="25" t="str">
        <f t="shared" si="35"/>
        <v/>
      </c>
      <c r="AG191" s="24" t="str">
        <f t="shared" si="36"/>
        <v/>
      </c>
      <c r="AH191" s="24" t="str">
        <f t="shared" si="37"/>
        <v/>
      </c>
      <c r="AI191" s="24" t="str">
        <f t="shared" si="38"/>
        <v/>
      </c>
      <c r="AJ191" s="24" t="str">
        <f t="shared" si="39"/>
        <v/>
      </c>
      <c r="AK191" s="24" t="str">
        <f t="shared" si="40"/>
        <v/>
      </c>
      <c r="AL191" s="24" t="str">
        <f t="shared" si="41"/>
        <v/>
      </c>
      <c r="AM191" s="24" t="str">
        <f t="shared" si="42"/>
        <v/>
      </c>
      <c r="AQ191" s="9" t="str">
        <f t="shared" si="43"/>
        <v/>
      </c>
      <c r="AR191" s="9" t="str">
        <f t="shared" si="44"/>
        <v/>
      </c>
      <c r="AS191" s="9" t="str">
        <f t="shared" si="45"/>
        <v/>
      </c>
      <c r="AT191" s="9" t="str">
        <f t="shared" si="46"/>
        <v/>
      </c>
      <c r="AU191" s="9" t="str">
        <f t="shared" si="47"/>
        <v/>
      </c>
      <c r="AV191" s="9" t="str">
        <f t="shared" si="48"/>
        <v/>
      </c>
      <c r="AW191" s="9" t="str">
        <f t="shared" si="49"/>
        <v/>
      </c>
      <c r="AX191" s="9" t="str">
        <f t="shared" si="50"/>
        <v/>
      </c>
    </row>
    <row r="192" spans="3:50" hidden="1" x14ac:dyDescent="0.25">
      <c r="C192">
        <v>23</v>
      </c>
      <c r="D192" t="str">
        <f t="shared" si="10"/>
        <v/>
      </c>
      <c r="E192" s="24" t="str">
        <f t="shared" si="11"/>
        <v/>
      </c>
      <c r="F192" s="24" t="str">
        <f t="shared" si="12"/>
        <v/>
      </c>
      <c r="G192" s="24" t="str">
        <f t="shared" si="13"/>
        <v/>
      </c>
      <c r="H192" s="24" t="str">
        <f t="shared" si="14"/>
        <v/>
      </c>
      <c r="I192" s="24" t="str">
        <f t="shared" si="15"/>
        <v/>
      </c>
      <c r="J192" s="24" t="str">
        <f t="shared" si="16"/>
        <v/>
      </c>
      <c r="K192" s="24" t="str">
        <f t="shared" si="17"/>
        <v/>
      </c>
      <c r="L192" s="24" t="str">
        <f t="shared" si="18"/>
        <v/>
      </c>
      <c r="M192" s="24" t="str">
        <f t="shared" si="19"/>
        <v/>
      </c>
      <c r="N192" s="24" t="str">
        <f t="shared" si="20"/>
        <v/>
      </c>
      <c r="O192" s="24" t="str">
        <f t="shared" si="21"/>
        <v/>
      </c>
      <c r="P192" s="24" t="str">
        <f t="shared" si="22"/>
        <v/>
      </c>
      <c r="Q192" s="24" t="str">
        <f t="shared" si="23"/>
        <v/>
      </c>
      <c r="R192" s="24" t="str">
        <f t="shared" si="24"/>
        <v/>
      </c>
      <c r="S192" s="24" t="str">
        <f t="shared" si="25"/>
        <v/>
      </c>
      <c r="T192" s="24" t="str">
        <f t="shared" si="26"/>
        <v/>
      </c>
      <c r="X192" s="9" t="str">
        <f t="shared" si="27"/>
        <v/>
      </c>
      <c r="Y192" s="9" t="str">
        <f t="shared" si="28"/>
        <v/>
      </c>
      <c r="Z192" s="9" t="str">
        <f t="shared" si="29"/>
        <v/>
      </c>
      <c r="AA192" s="9" t="str">
        <f t="shared" si="30"/>
        <v/>
      </c>
      <c r="AB192" s="9" t="str">
        <f t="shared" si="31"/>
        <v/>
      </c>
      <c r="AC192" s="9" t="str">
        <f t="shared" si="32"/>
        <v/>
      </c>
      <c r="AD192" s="9" t="str">
        <f t="shared" si="33"/>
        <v/>
      </c>
      <c r="AE192" s="9" t="str">
        <f t="shared" si="34"/>
        <v/>
      </c>
      <c r="AF192" s="25" t="str">
        <f t="shared" si="35"/>
        <v/>
      </c>
      <c r="AG192" s="24" t="str">
        <f t="shared" si="36"/>
        <v/>
      </c>
      <c r="AH192" s="24" t="str">
        <f t="shared" si="37"/>
        <v/>
      </c>
      <c r="AI192" s="24" t="str">
        <f t="shared" si="38"/>
        <v/>
      </c>
      <c r="AJ192" s="24" t="str">
        <f t="shared" si="39"/>
        <v/>
      </c>
      <c r="AK192" s="24" t="str">
        <f t="shared" si="40"/>
        <v/>
      </c>
      <c r="AL192" s="24" t="str">
        <f t="shared" si="41"/>
        <v/>
      </c>
      <c r="AM192" s="24" t="str">
        <f t="shared" si="42"/>
        <v/>
      </c>
      <c r="AQ192" s="9" t="str">
        <f t="shared" si="43"/>
        <v/>
      </c>
      <c r="AR192" s="9" t="str">
        <f t="shared" si="44"/>
        <v/>
      </c>
      <c r="AS192" s="9" t="str">
        <f t="shared" si="45"/>
        <v/>
      </c>
      <c r="AT192" s="9" t="str">
        <f t="shared" si="46"/>
        <v/>
      </c>
      <c r="AU192" s="9" t="str">
        <f t="shared" si="47"/>
        <v/>
      </c>
      <c r="AV192" s="9" t="str">
        <f t="shared" si="48"/>
        <v/>
      </c>
      <c r="AW192" s="9" t="str">
        <f t="shared" si="49"/>
        <v/>
      </c>
      <c r="AX192" s="9" t="str">
        <f t="shared" si="50"/>
        <v/>
      </c>
    </row>
    <row r="193" spans="3:50" hidden="1" x14ac:dyDescent="0.25">
      <c r="C193">
        <v>24</v>
      </c>
      <c r="D193" t="str">
        <f t="shared" si="10"/>
        <v/>
      </c>
      <c r="E193" s="24" t="str">
        <f t="shared" si="11"/>
        <v/>
      </c>
      <c r="F193" s="24" t="str">
        <f t="shared" si="12"/>
        <v/>
      </c>
      <c r="G193" s="24" t="str">
        <f t="shared" si="13"/>
        <v/>
      </c>
      <c r="H193" s="24" t="str">
        <f t="shared" si="14"/>
        <v/>
      </c>
      <c r="I193" s="24" t="str">
        <f t="shared" si="15"/>
        <v/>
      </c>
      <c r="J193" s="24" t="str">
        <f t="shared" si="16"/>
        <v/>
      </c>
      <c r="K193" s="24" t="str">
        <f t="shared" si="17"/>
        <v/>
      </c>
      <c r="L193" s="24" t="str">
        <f t="shared" si="18"/>
        <v/>
      </c>
      <c r="M193" s="24" t="str">
        <f t="shared" si="19"/>
        <v/>
      </c>
      <c r="N193" s="24" t="str">
        <f t="shared" si="20"/>
        <v/>
      </c>
      <c r="O193" s="24" t="str">
        <f t="shared" si="21"/>
        <v/>
      </c>
      <c r="P193" s="24" t="str">
        <f t="shared" si="22"/>
        <v/>
      </c>
      <c r="Q193" s="24" t="str">
        <f t="shared" si="23"/>
        <v/>
      </c>
      <c r="R193" s="24" t="str">
        <f t="shared" si="24"/>
        <v/>
      </c>
      <c r="S193" s="24" t="str">
        <f t="shared" si="25"/>
        <v/>
      </c>
      <c r="T193" s="24" t="str">
        <f t="shared" si="26"/>
        <v/>
      </c>
      <c r="X193" s="9" t="str">
        <f t="shared" si="27"/>
        <v/>
      </c>
      <c r="Y193" s="9" t="str">
        <f t="shared" si="28"/>
        <v/>
      </c>
      <c r="Z193" s="9" t="str">
        <f t="shared" si="29"/>
        <v/>
      </c>
      <c r="AA193" s="9" t="str">
        <f t="shared" si="30"/>
        <v/>
      </c>
      <c r="AB193" s="9" t="str">
        <f t="shared" si="31"/>
        <v/>
      </c>
      <c r="AC193" s="9" t="str">
        <f t="shared" si="32"/>
        <v/>
      </c>
      <c r="AD193" s="9" t="str">
        <f t="shared" si="33"/>
        <v/>
      </c>
      <c r="AE193" s="9" t="str">
        <f t="shared" si="34"/>
        <v/>
      </c>
      <c r="AF193" s="25" t="str">
        <f t="shared" si="35"/>
        <v/>
      </c>
      <c r="AG193" s="24" t="str">
        <f t="shared" si="36"/>
        <v/>
      </c>
      <c r="AH193" s="24" t="str">
        <f t="shared" si="37"/>
        <v/>
      </c>
      <c r="AI193" s="24" t="str">
        <f t="shared" si="38"/>
        <v/>
      </c>
      <c r="AJ193" s="24" t="str">
        <f t="shared" si="39"/>
        <v/>
      </c>
      <c r="AK193" s="24" t="str">
        <f t="shared" si="40"/>
        <v/>
      </c>
      <c r="AL193" s="24" t="str">
        <f t="shared" si="41"/>
        <v/>
      </c>
      <c r="AM193" s="24" t="str">
        <f t="shared" si="42"/>
        <v/>
      </c>
      <c r="AQ193" s="9" t="str">
        <f t="shared" si="43"/>
        <v/>
      </c>
      <c r="AR193" s="9" t="str">
        <f t="shared" si="44"/>
        <v/>
      </c>
      <c r="AS193" s="9" t="str">
        <f t="shared" si="45"/>
        <v/>
      </c>
      <c r="AT193" s="9" t="str">
        <f t="shared" si="46"/>
        <v/>
      </c>
      <c r="AU193" s="9" t="str">
        <f t="shared" si="47"/>
        <v/>
      </c>
      <c r="AV193" s="9" t="str">
        <f t="shared" si="48"/>
        <v/>
      </c>
      <c r="AW193" s="9" t="str">
        <f t="shared" si="49"/>
        <v/>
      </c>
      <c r="AX193" s="9" t="str">
        <f t="shared" si="50"/>
        <v/>
      </c>
    </row>
    <row r="194" spans="3:50" hidden="1" x14ac:dyDescent="0.25">
      <c r="C194">
        <v>25</v>
      </c>
      <c r="D194" t="str">
        <f t="shared" si="10"/>
        <v/>
      </c>
      <c r="E194" s="24" t="str">
        <f t="shared" si="11"/>
        <v/>
      </c>
      <c r="F194" s="24" t="str">
        <f t="shared" si="12"/>
        <v/>
      </c>
      <c r="G194" s="24" t="str">
        <f t="shared" si="13"/>
        <v/>
      </c>
      <c r="H194" s="24" t="str">
        <f t="shared" si="14"/>
        <v/>
      </c>
      <c r="I194" s="24" t="str">
        <f t="shared" si="15"/>
        <v/>
      </c>
      <c r="J194" s="24" t="str">
        <f t="shared" si="16"/>
        <v/>
      </c>
      <c r="K194" s="24" t="str">
        <f t="shared" si="17"/>
        <v/>
      </c>
      <c r="L194" s="24" t="str">
        <f t="shared" si="18"/>
        <v/>
      </c>
      <c r="M194" s="24" t="str">
        <f t="shared" si="19"/>
        <v/>
      </c>
      <c r="N194" s="24" t="str">
        <f t="shared" si="20"/>
        <v/>
      </c>
      <c r="O194" s="24" t="str">
        <f t="shared" si="21"/>
        <v/>
      </c>
      <c r="P194" s="24" t="str">
        <f t="shared" si="22"/>
        <v/>
      </c>
      <c r="Q194" s="24" t="str">
        <f t="shared" si="23"/>
        <v/>
      </c>
      <c r="R194" s="24" t="str">
        <f t="shared" si="24"/>
        <v/>
      </c>
      <c r="S194" s="24" t="str">
        <f t="shared" si="25"/>
        <v/>
      </c>
      <c r="T194" s="24" t="str">
        <f t="shared" si="26"/>
        <v/>
      </c>
      <c r="X194" s="9" t="str">
        <f t="shared" si="27"/>
        <v/>
      </c>
      <c r="Y194" s="9" t="str">
        <f t="shared" si="28"/>
        <v/>
      </c>
      <c r="Z194" s="9" t="str">
        <f t="shared" si="29"/>
        <v/>
      </c>
      <c r="AA194" s="9" t="str">
        <f t="shared" si="30"/>
        <v/>
      </c>
      <c r="AB194" s="9" t="str">
        <f t="shared" si="31"/>
        <v/>
      </c>
      <c r="AC194" s="9" t="str">
        <f t="shared" si="32"/>
        <v/>
      </c>
      <c r="AD194" s="9" t="str">
        <f t="shared" si="33"/>
        <v/>
      </c>
      <c r="AE194" s="9" t="str">
        <f t="shared" si="34"/>
        <v/>
      </c>
      <c r="AF194" s="25" t="str">
        <f t="shared" si="35"/>
        <v/>
      </c>
      <c r="AG194" s="24" t="str">
        <f t="shared" si="36"/>
        <v/>
      </c>
      <c r="AH194" s="24" t="str">
        <f t="shared" si="37"/>
        <v/>
      </c>
      <c r="AI194" s="24" t="str">
        <f t="shared" si="38"/>
        <v/>
      </c>
      <c r="AJ194" s="24" t="str">
        <f t="shared" si="39"/>
        <v/>
      </c>
      <c r="AK194" s="24" t="str">
        <f t="shared" si="40"/>
        <v/>
      </c>
      <c r="AL194" s="24" t="str">
        <f t="shared" si="41"/>
        <v/>
      </c>
      <c r="AM194" s="24" t="str">
        <f t="shared" si="42"/>
        <v/>
      </c>
      <c r="AQ194" s="9" t="str">
        <f t="shared" si="43"/>
        <v/>
      </c>
      <c r="AR194" s="9" t="str">
        <f t="shared" si="44"/>
        <v/>
      </c>
      <c r="AS194" s="9" t="str">
        <f t="shared" si="45"/>
        <v/>
      </c>
      <c r="AT194" s="9" t="str">
        <f t="shared" si="46"/>
        <v/>
      </c>
      <c r="AU194" s="9" t="str">
        <f t="shared" si="47"/>
        <v/>
      </c>
      <c r="AV194" s="9" t="str">
        <f t="shared" si="48"/>
        <v/>
      </c>
      <c r="AW194" s="9" t="str">
        <f t="shared" si="49"/>
        <v/>
      </c>
      <c r="AX194" s="9" t="str">
        <f t="shared" si="50"/>
        <v/>
      </c>
    </row>
    <row r="195" spans="3:50" hidden="1" x14ac:dyDescent="0.25">
      <c r="C195">
        <v>26</v>
      </c>
      <c r="D195" t="str">
        <f t="shared" si="10"/>
        <v/>
      </c>
      <c r="E195" s="24" t="str">
        <f t="shared" si="11"/>
        <v/>
      </c>
      <c r="F195" s="24" t="str">
        <f t="shared" si="12"/>
        <v/>
      </c>
      <c r="G195" s="24" t="str">
        <f t="shared" si="13"/>
        <v/>
      </c>
      <c r="H195" s="24" t="str">
        <f t="shared" si="14"/>
        <v/>
      </c>
      <c r="I195" s="24" t="str">
        <f t="shared" si="15"/>
        <v/>
      </c>
      <c r="J195" s="24" t="str">
        <f t="shared" si="16"/>
        <v/>
      </c>
      <c r="K195" s="24" t="str">
        <f t="shared" si="17"/>
        <v/>
      </c>
      <c r="L195" s="24" t="str">
        <f t="shared" si="18"/>
        <v/>
      </c>
      <c r="M195" s="24" t="str">
        <f t="shared" si="19"/>
        <v/>
      </c>
      <c r="N195" s="24" t="str">
        <f t="shared" si="20"/>
        <v/>
      </c>
      <c r="O195" s="24" t="str">
        <f t="shared" si="21"/>
        <v/>
      </c>
      <c r="P195" s="24" t="str">
        <f t="shared" si="22"/>
        <v/>
      </c>
      <c r="Q195" s="24" t="str">
        <f t="shared" si="23"/>
        <v/>
      </c>
      <c r="R195" s="24" t="str">
        <f t="shared" si="24"/>
        <v/>
      </c>
      <c r="S195" s="24" t="str">
        <f t="shared" si="25"/>
        <v/>
      </c>
      <c r="T195" s="24" t="str">
        <f t="shared" si="26"/>
        <v/>
      </c>
      <c r="X195" s="9" t="str">
        <f t="shared" si="27"/>
        <v/>
      </c>
      <c r="Y195" s="9" t="str">
        <f t="shared" si="28"/>
        <v/>
      </c>
      <c r="Z195" s="9" t="str">
        <f t="shared" si="29"/>
        <v/>
      </c>
      <c r="AA195" s="9" t="str">
        <f t="shared" si="30"/>
        <v/>
      </c>
      <c r="AB195" s="9" t="str">
        <f t="shared" si="31"/>
        <v/>
      </c>
      <c r="AC195" s="9" t="str">
        <f t="shared" si="32"/>
        <v/>
      </c>
      <c r="AD195" s="9" t="str">
        <f t="shared" si="33"/>
        <v/>
      </c>
      <c r="AE195" s="9" t="str">
        <f t="shared" si="34"/>
        <v/>
      </c>
      <c r="AF195" s="25" t="str">
        <f t="shared" si="35"/>
        <v/>
      </c>
      <c r="AG195" s="24" t="str">
        <f t="shared" si="36"/>
        <v/>
      </c>
      <c r="AH195" s="24" t="str">
        <f t="shared" si="37"/>
        <v/>
      </c>
      <c r="AI195" s="24" t="str">
        <f t="shared" si="38"/>
        <v/>
      </c>
      <c r="AJ195" s="24" t="str">
        <f t="shared" si="39"/>
        <v/>
      </c>
      <c r="AK195" s="24" t="str">
        <f t="shared" si="40"/>
        <v/>
      </c>
      <c r="AL195" s="24" t="str">
        <f t="shared" si="41"/>
        <v/>
      </c>
      <c r="AM195" s="24" t="str">
        <f t="shared" si="42"/>
        <v/>
      </c>
      <c r="AQ195" s="9" t="str">
        <f t="shared" si="43"/>
        <v/>
      </c>
      <c r="AR195" s="9" t="str">
        <f t="shared" si="44"/>
        <v/>
      </c>
      <c r="AS195" s="9" t="str">
        <f t="shared" si="45"/>
        <v/>
      </c>
      <c r="AT195" s="9" t="str">
        <f t="shared" si="46"/>
        <v/>
      </c>
      <c r="AU195" s="9" t="str">
        <f t="shared" si="47"/>
        <v/>
      </c>
      <c r="AV195" s="9" t="str">
        <f t="shared" si="48"/>
        <v/>
      </c>
      <c r="AW195" s="9" t="str">
        <f t="shared" si="49"/>
        <v/>
      </c>
      <c r="AX195" s="9" t="str">
        <f t="shared" si="50"/>
        <v/>
      </c>
    </row>
    <row r="196" spans="3:50" hidden="1" x14ac:dyDescent="0.25">
      <c r="C196">
        <v>27</v>
      </c>
      <c r="D196" t="str">
        <f t="shared" si="10"/>
        <v/>
      </c>
      <c r="E196" s="24" t="str">
        <f t="shared" si="11"/>
        <v/>
      </c>
      <c r="F196" s="24" t="str">
        <f t="shared" si="12"/>
        <v/>
      </c>
      <c r="G196" s="24" t="str">
        <f t="shared" si="13"/>
        <v/>
      </c>
      <c r="H196" s="24" t="str">
        <f t="shared" si="14"/>
        <v/>
      </c>
      <c r="I196" s="24" t="str">
        <f t="shared" si="15"/>
        <v/>
      </c>
      <c r="J196" s="24" t="str">
        <f t="shared" si="16"/>
        <v/>
      </c>
      <c r="K196" s="24" t="str">
        <f t="shared" si="17"/>
        <v/>
      </c>
      <c r="L196" s="24" t="str">
        <f t="shared" si="18"/>
        <v/>
      </c>
      <c r="M196" s="24" t="str">
        <f t="shared" si="19"/>
        <v/>
      </c>
      <c r="N196" s="24" t="str">
        <f t="shared" si="20"/>
        <v/>
      </c>
      <c r="O196" s="24" t="str">
        <f t="shared" si="21"/>
        <v/>
      </c>
      <c r="P196" s="24" t="str">
        <f t="shared" si="22"/>
        <v/>
      </c>
      <c r="Q196" s="24" t="str">
        <f t="shared" si="23"/>
        <v/>
      </c>
      <c r="R196" s="24" t="str">
        <f t="shared" si="24"/>
        <v/>
      </c>
      <c r="S196" s="24" t="str">
        <f t="shared" si="25"/>
        <v/>
      </c>
      <c r="T196" s="24" t="str">
        <f t="shared" si="26"/>
        <v/>
      </c>
      <c r="X196" s="9" t="str">
        <f t="shared" si="27"/>
        <v/>
      </c>
      <c r="Y196" s="9" t="str">
        <f t="shared" si="28"/>
        <v/>
      </c>
      <c r="Z196" s="9" t="str">
        <f t="shared" si="29"/>
        <v/>
      </c>
      <c r="AA196" s="9" t="str">
        <f t="shared" si="30"/>
        <v/>
      </c>
      <c r="AB196" s="9" t="str">
        <f t="shared" si="31"/>
        <v/>
      </c>
      <c r="AC196" s="9" t="str">
        <f t="shared" si="32"/>
        <v/>
      </c>
      <c r="AD196" s="9" t="str">
        <f t="shared" si="33"/>
        <v/>
      </c>
      <c r="AE196" s="9" t="str">
        <f t="shared" si="34"/>
        <v/>
      </c>
      <c r="AF196" s="25" t="str">
        <f t="shared" si="35"/>
        <v/>
      </c>
      <c r="AG196" s="24" t="str">
        <f t="shared" si="36"/>
        <v/>
      </c>
      <c r="AH196" s="24" t="str">
        <f t="shared" si="37"/>
        <v/>
      </c>
      <c r="AI196" s="24" t="str">
        <f t="shared" si="38"/>
        <v/>
      </c>
      <c r="AJ196" s="24" t="str">
        <f t="shared" si="39"/>
        <v/>
      </c>
      <c r="AK196" s="24" t="str">
        <f t="shared" si="40"/>
        <v/>
      </c>
      <c r="AL196" s="24" t="str">
        <f t="shared" si="41"/>
        <v/>
      </c>
      <c r="AM196" s="24" t="str">
        <f t="shared" si="42"/>
        <v/>
      </c>
      <c r="AQ196" s="9" t="str">
        <f t="shared" si="43"/>
        <v/>
      </c>
      <c r="AR196" s="9" t="str">
        <f t="shared" si="44"/>
        <v/>
      </c>
      <c r="AS196" s="9" t="str">
        <f t="shared" si="45"/>
        <v/>
      </c>
      <c r="AT196" s="9" t="str">
        <f t="shared" si="46"/>
        <v/>
      </c>
      <c r="AU196" s="9" t="str">
        <f t="shared" si="47"/>
        <v/>
      </c>
      <c r="AV196" s="9" t="str">
        <f t="shared" si="48"/>
        <v/>
      </c>
      <c r="AW196" s="9" t="str">
        <f t="shared" si="49"/>
        <v/>
      </c>
      <c r="AX196" s="9" t="str">
        <f t="shared" si="50"/>
        <v/>
      </c>
    </row>
    <row r="197" spans="3:50" hidden="1" x14ac:dyDescent="0.25">
      <c r="C197">
        <v>28</v>
      </c>
      <c r="D197" t="str">
        <f t="shared" si="10"/>
        <v/>
      </c>
      <c r="E197" s="24" t="str">
        <f t="shared" si="11"/>
        <v/>
      </c>
      <c r="F197" s="24" t="str">
        <f t="shared" si="12"/>
        <v/>
      </c>
      <c r="G197" s="24" t="str">
        <f t="shared" si="13"/>
        <v/>
      </c>
      <c r="H197" s="24" t="str">
        <f t="shared" si="14"/>
        <v/>
      </c>
      <c r="I197" s="24" t="str">
        <f t="shared" si="15"/>
        <v/>
      </c>
      <c r="J197" s="24" t="str">
        <f t="shared" si="16"/>
        <v/>
      </c>
      <c r="K197" s="24" t="str">
        <f t="shared" si="17"/>
        <v/>
      </c>
      <c r="L197" s="24" t="str">
        <f t="shared" si="18"/>
        <v/>
      </c>
      <c r="M197" s="24" t="str">
        <f t="shared" si="19"/>
        <v/>
      </c>
      <c r="N197" s="24" t="str">
        <f t="shared" si="20"/>
        <v/>
      </c>
      <c r="O197" s="24" t="str">
        <f t="shared" si="21"/>
        <v/>
      </c>
      <c r="P197" s="24" t="str">
        <f t="shared" si="22"/>
        <v/>
      </c>
      <c r="Q197" s="24" t="str">
        <f t="shared" si="23"/>
        <v/>
      </c>
      <c r="R197" s="24" t="str">
        <f t="shared" si="24"/>
        <v/>
      </c>
      <c r="S197" s="24" t="str">
        <f t="shared" si="25"/>
        <v/>
      </c>
      <c r="T197" s="24" t="str">
        <f t="shared" si="26"/>
        <v/>
      </c>
      <c r="X197" s="9" t="str">
        <f t="shared" si="27"/>
        <v/>
      </c>
      <c r="Y197" s="9" t="str">
        <f t="shared" si="28"/>
        <v/>
      </c>
      <c r="Z197" s="9" t="str">
        <f t="shared" si="29"/>
        <v/>
      </c>
      <c r="AA197" s="9" t="str">
        <f t="shared" si="30"/>
        <v/>
      </c>
      <c r="AB197" s="9" t="str">
        <f t="shared" si="31"/>
        <v/>
      </c>
      <c r="AC197" s="9" t="str">
        <f t="shared" si="32"/>
        <v/>
      </c>
      <c r="AD197" s="9" t="str">
        <f t="shared" si="33"/>
        <v/>
      </c>
      <c r="AE197" s="9" t="str">
        <f t="shared" si="34"/>
        <v/>
      </c>
      <c r="AF197" s="25" t="str">
        <f t="shared" si="35"/>
        <v/>
      </c>
      <c r="AG197" s="24" t="str">
        <f t="shared" si="36"/>
        <v/>
      </c>
      <c r="AH197" s="24" t="str">
        <f t="shared" si="37"/>
        <v/>
      </c>
      <c r="AI197" s="24" t="str">
        <f t="shared" si="38"/>
        <v/>
      </c>
      <c r="AJ197" s="24" t="str">
        <f t="shared" si="39"/>
        <v/>
      </c>
      <c r="AK197" s="24" t="str">
        <f t="shared" si="40"/>
        <v/>
      </c>
      <c r="AL197" s="24" t="str">
        <f t="shared" si="41"/>
        <v/>
      </c>
      <c r="AM197" s="24" t="str">
        <f t="shared" si="42"/>
        <v/>
      </c>
      <c r="AQ197" s="9" t="str">
        <f t="shared" si="43"/>
        <v/>
      </c>
      <c r="AR197" s="9" t="str">
        <f t="shared" si="44"/>
        <v/>
      </c>
      <c r="AS197" s="9" t="str">
        <f t="shared" si="45"/>
        <v/>
      </c>
      <c r="AT197" s="9" t="str">
        <f t="shared" si="46"/>
        <v/>
      </c>
      <c r="AU197" s="9" t="str">
        <f t="shared" si="47"/>
        <v/>
      </c>
      <c r="AV197" s="9" t="str">
        <f t="shared" si="48"/>
        <v/>
      </c>
      <c r="AW197" s="9" t="str">
        <f t="shared" si="49"/>
        <v/>
      </c>
      <c r="AX197" s="9" t="str">
        <f t="shared" si="50"/>
        <v/>
      </c>
    </row>
    <row r="198" spans="3:50" hidden="1" x14ac:dyDescent="0.25">
      <c r="C198">
        <v>29</v>
      </c>
      <c r="D198" t="str">
        <f t="shared" si="10"/>
        <v/>
      </c>
      <c r="E198" s="24" t="str">
        <f t="shared" si="11"/>
        <v/>
      </c>
      <c r="F198" s="24" t="str">
        <f t="shared" si="12"/>
        <v/>
      </c>
      <c r="G198" s="24" t="str">
        <f t="shared" si="13"/>
        <v/>
      </c>
      <c r="H198" s="24" t="str">
        <f t="shared" si="14"/>
        <v/>
      </c>
      <c r="I198" s="24" t="str">
        <f t="shared" si="15"/>
        <v/>
      </c>
      <c r="J198" s="24" t="str">
        <f t="shared" si="16"/>
        <v/>
      </c>
      <c r="K198" s="24" t="str">
        <f t="shared" si="17"/>
        <v/>
      </c>
      <c r="L198" s="24" t="str">
        <f t="shared" si="18"/>
        <v/>
      </c>
      <c r="M198" s="24" t="str">
        <f t="shared" si="19"/>
        <v/>
      </c>
      <c r="N198" s="24" t="str">
        <f t="shared" si="20"/>
        <v/>
      </c>
      <c r="O198" s="24" t="str">
        <f t="shared" si="21"/>
        <v/>
      </c>
      <c r="P198" s="24" t="str">
        <f t="shared" si="22"/>
        <v/>
      </c>
      <c r="Q198" s="24" t="str">
        <f t="shared" si="23"/>
        <v/>
      </c>
      <c r="R198" s="24" t="str">
        <f t="shared" si="24"/>
        <v/>
      </c>
      <c r="S198" s="24" t="str">
        <f t="shared" si="25"/>
        <v/>
      </c>
      <c r="T198" s="24" t="str">
        <f t="shared" si="26"/>
        <v/>
      </c>
      <c r="X198" s="9" t="str">
        <f t="shared" si="27"/>
        <v/>
      </c>
      <c r="Y198" s="9" t="str">
        <f t="shared" si="28"/>
        <v/>
      </c>
      <c r="Z198" s="9" t="str">
        <f t="shared" si="29"/>
        <v/>
      </c>
      <c r="AA198" s="9" t="str">
        <f t="shared" si="30"/>
        <v/>
      </c>
      <c r="AB198" s="9" t="str">
        <f t="shared" si="31"/>
        <v/>
      </c>
      <c r="AC198" s="9" t="str">
        <f t="shared" si="32"/>
        <v/>
      </c>
      <c r="AD198" s="9" t="str">
        <f t="shared" si="33"/>
        <v/>
      </c>
      <c r="AE198" s="9" t="str">
        <f t="shared" si="34"/>
        <v/>
      </c>
      <c r="AF198" s="25" t="str">
        <f t="shared" si="35"/>
        <v/>
      </c>
      <c r="AG198" s="24" t="str">
        <f t="shared" si="36"/>
        <v/>
      </c>
      <c r="AH198" s="24" t="str">
        <f t="shared" si="37"/>
        <v/>
      </c>
      <c r="AI198" s="24" t="str">
        <f t="shared" si="38"/>
        <v/>
      </c>
      <c r="AJ198" s="24" t="str">
        <f t="shared" si="39"/>
        <v/>
      </c>
      <c r="AK198" s="24" t="str">
        <f t="shared" si="40"/>
        <v/>
      </c>
      <c r="AL198" s="24" t="str">
        <f t="shared" si="41"/>
        <v/>
      </c>
      <c r="AM198" s="24" t="str">
        <f t="shared" si="42"/>
        <v/>
      </c>
      <c r="AQ198" s="9" t="str">
        <f t="shared" si="43"/>
        <v/>
      </c>
      <c r="AR198" s="9" t="str">
        <f t="shared" si="44"/>
        <v/>
      </c>
      <c r="AS198" s="9" t="str">
        <f t="shared" si="45"/>
        <v/>
      </c>
      <c r="AT198" s="9" t="str">
        <f t="shared" si="46"/>
        <v/>
      </c>
      <c r="AU198" s="9" t="str">
        <f t="shared" si="47"/>
        <v/>
      </c>
      <c r="AV198" s="9" t="str">
        <f t="shared" si="48"/>
        <v/>
      </c>
      <c r="AW198" s="9" t="str">
        <f t="shared" si="49"/>
        <v/>
      </c>
      <c r="AX198" s="9" t="str">
        <f t="shared" si="50"/>
        <v/>
      </c>
    </row>
    <row r="199" spans="3:50" hidden="1" x14ac:dyDescent="0.25">
      <c r="C199">
        <v>30</v>
      </c>
      <c r="D199" t="str">
        <f t="shared" si="10"/>
        <v/>
      </c>
      <c r="E199" s="24" t="str">
        <f t="shared" si="11"/>
        <v/>
      </c>
      <c r="F199" s="24" t="str">
        <f t="shared" si="12"/>
        <v/>
      </c>
      <c r="G199" s="24" t="str">
        <f t="shared" si="13"/>
        <v/>
      </c>
      <c r="H199" s="24" t="str">
        <f t="shared" si="14"/>
        <v/>
      </c>
      <c r="I199" s="24" t="str">
        <f t="shared" si="15"/>
        <v/>
      </c>
      <c r="J199" s="24" t="str">
        <f t="shared" si="16"/>
        <v/>
      </c>
      <c r="K199" s="24" t="str">
        <f t="shared" si="17"/>
        <v/>
      </c>
      <c r="L199" s="24" t="str">
        <f t="shared" si="18"/>
        <v/>
      </c>
      <c r="M199" s="24" t="str">
        <f t="shared" si="19"/>
        <v/>
      </c>
      <c r="N199" s="24" t="str">
        <f t="shared" si="20"/>
        <v/>
      </c>
      <c r="O199" s="24" t="str">
        <f t="shared" si="21"/>
        <v/>
      </c>
      <c r="P199" s="24" t="str">
        <f t="shared" si="22"/>
        <v/>
      </c>
      <c r="Q199" s="24" t="str">
        <f t="shared" si="23"/>
        <v/>
      </c>
      <c r="R199" s="24" t="str">
        <f t="shared" si="24"/>
        <v/>
      </c>
      <c r="S199" s="24" t="str">
        <f t="shared" si="25"/>
        <v/>
      </c>
      <c r="T199" s="24" t="str">
        <f t="shared" si="26"/>
        <v/>
      </c>
      <c r="X199" s="9" t="str">
        <f t="shared" si="27"/>
        <v/>
      </c>
      <c r="Y199" s="9" t="str">
        <f t="shared" si="28"/>
        <v/>
      </c>
      <c r="Z199" s="9" t="str">
        <f t="shared" si="29"/>
        <v/>
      </c>
      <c r="AA199" s="9" t="str">
        <f t="shared" si="30"/>
        <v/>
      </c>
      <c r="AB199" s="9" t="str">
        <f t="shared" si="31"/>
        <v/>
      </c>
      <c r="AC199" s="9" t="str">
        <f t="shared" si="32"/>
        <v/>
      </c>
      <c r="AD199" s="9" t="str">
        <f t="shared" si="33"/>
        <v/>
      </c>
      <c r="AE199" s="9" t="str">
        <f t="shared" si="34"/>
        <v/>
      </c>
      <c r="AF199" s="25" t="str">
        <f t="shared" si="35"/>
        <v/>
      </c>
      <c r="AG199" s="24" t="str">
        <f t="shared" si="36"/>
        <v/>
      </c>
      <c r="AH199" s="24" t="str">
        <f t="shared" si="37"/>
        <v/>
      </c>
      <c r="AI199" s="24" t="str">
        <f t="shared" si="38"/>
        <v/>
      </c>
      <c r="AJ199" s="24" t="str">
        <f t="shared" si="39"/>
        <v/>
      </c>
      <c r="AK199" s="24" t="str">
        <f t="shared" si="40"/>
        <v/>
      </c>
      <c r="AL199" s="24" t="str">
        <f t="shared" si="41"/>
        <v/>
      </c>
      <c r="AM199" s="24" t="str">
        <f t="shared" si="42"/>
        <v/>
      </c>
      <c r="AQ199" s="9" t="str">
        <f t="shared" si="43"/>
        <v/>
      </c>
      <c r="AR199" s="9" t="str">
        <f t="shared" si="44"/>
        <v/>
      </c>
      <c r="AS199" s="9" t="str">
        <f t="shared" si="45"/>
        <v/>
      </c>
      <c r="AT199" s="9" t="str">
        <f t="shared" si="46"/>
        <v/>
      </c>
      <c r="AU199" s="9" t="str">
        <f t="shared" si="47"/>
        <v/>
      </c>
      <c r="AV199" s="9" t="str">
        <f t="shared" si="48"/>
        <v/>
      </c>
      <c r="AW199" s="9" t="str">
        <f t="shared" si="49"/>
        <v/>
      </c>
      <c r="AX199" s="9" t="str">
        <f t="shared" si="50"/>
        <v/>
      </c>
    </row>
    <row r="200" spans="3:50" hidden="1" x14ac:dyDescent="0.25">
      <c r="C200">
        <v>31</v>
      </c>
      <c r="D200" t="str">
        <f t="shared" si="10"/>
        <v/>
      </c>
      <c r="E200" s="24" t="str">
        <f t="shared" si="11"/>
        <v/>
      </c>
      <c r="F200" s="24" t="str">
        <f t="shared" si="12"/>
        <v/>
      </c>
      <c r="G200" s="24" t="str">
        <f t="shared" si="13"/>
        <v/>
      </c>
      <c r="H200" s="24" t="str">
        <f t="shared" si="14"/>
        <v/>
      </c>
      <c r="I200" s="24" t="str">
        <f t="shared" si="15"/>
        <v/>
      </c>
      <c r="J200" s="24" t="str">
        <f t="shared" si="16"/>
        <v/>
      </c>
      <c r="K200" s="24" t="str">
        <f t="shared" si="17"/>
        <v/>
      </c>
      <c r="L200" s="24" t="str">
        <f t="shared" si="18"/>
        <v/>
      </c>
      <c r="M200" s="24" t="str">
        <f t="shared" si="19"/>
        <v/>
      </c>
      <c r="N200" s="24" t="str">
        <f t="shared" si="20"/>
        <v/>
      </c>
      <c r="O200" s="24" t="str">
        <f t="shared" si="21"/>
        <v/>
      </c>
      <c r="P200" s="24" t="str">
        <f t="shared" si="22"/>
        <v/>
      </c>
      <c r="Q200" s="24" t="str">
        <f t="shared" si="23"/>
        <v/>
      </c>
      <c r="R200" s="24" t="str">
        <f t="shared" si="24"/>
        <v/>
      </c>
      <c r="S200" s="24" t="str">
        <f t="shared" si="25"/>
        <v/>
      </c>
      <c r="T200" s="24" t="str">
        <f t="shared" si="26"/>
        <v/>
      </c>
      <c r="X200" s="9" t="str">
        <f t="shared" si="27"/>
        <v/>
      </c>
      <c r="Y200" s="9" t="str">
        <f t="shared" si="28"/>
        <v/>
      </c>
      <c r="Z200" s="9" t="str">
        <f t="shared" si="29"/>
        <v/>
      </c>
      <c r="AA200" s="9" t="str">
        <f t="shared" si="30"/>
        <v/>
      </c>
      <c r="AB200" s="9" t="str">
        <f t="shared" si="31"/>
        <v/>
      </c>
      <c r="AC200" s="9" t="str">
        <f t="shared" si="32"/>
        <v/>
      </c>
      <c r="AD200" s="9" t="str">
        <f t="shared" si="33"/>
        <v/>
      </c>
      <c r="AE200" s="9" t="str">
        <f t="shared" si="34"/>
        <v/>
      </c>
      <c r="AF200" s="25" t="str">
        <f t="shared" si="35"/>
        <v/>
      </c>
      <c r="AG200" s="24" t="str">
        <f t="shared" si="36"/>
        <v/>
      </c>
      <c r="AH200" s="24" t="str">
        <f t="shared" si="37"/>
        <v/>
      </c>
      <c r="AI200" s="24" t="str">
        <f t="shared" si="38"/>
        <v/>
      </c>
      <c r="AJ200" s="24" t="str">
        <f t="shared" si="39"/>
        <v/>
      </c>
      <c r="AK200" s="24" t="str">
        <f t="shared" si="40"/>
        <v/>
      </c>
      <c r="AL200" s="24" t="str">
        <f t="shared" si="41"/>
        <v/>
      </c>
      <c r="AM200" s="24" t="str">
        <f t="shared" si="42"/>
        <v/>
      </c>
      <c r="AQ200" s="9" t="str">
        <f t="shared" si="43"/>
        <v/>
      </c>
      <c r="AR200" s="9" t="str">
        <f t="shared" si="44"/>
        <v/>
      </c>
      <c r="AS200" s="9" t="str">
        <f t="shared" si="45"/>
        <v/>
      </c>
      <c r="AT200" s="9" t="str">
        <f t="shared" si="46"/>
        <v/>
      </c>
      <c r="AU200" s="9" t="str">
        <f t="shared" si="47"/>
        <v/>
      </c>
      <c r="AV200" s="9" t="str">
        <f t="shared" si="48"/>
        <v/>
      </c>
      <c r="AW200" s="9" t="str">
        <f t="shared" si="49"/>
        <v/>
      </c>
      <c r="AX200" s="9" t="str">
        <f t="shared" si="50"/>
        <v/>
      </c>
    </row>
    <row r="201" spans="3:50" hidden="1" x14ac:dyDescent="0.25">
      <c r="C201">
        <v>32</v>
      </c>
      <c r="D201" t="str">
        <f t="shared" si="10"/>
        <v/>
      </c>
      <c r="E201" s="24" t="str">
        <f t="shared" si="11"/>
        <v/>
      </c>
      <c r="F201" s="24" t="str">
        <f t="shared" si="12"/>
        <v/>
      </c>
      <c r="G201" s="24" t="str">
        <f t="shared" si="13"/>
        <v/>
      </c>
      <c r="H201" s="24" t="str">
        <f t="shared" si="14"/>
        <v/>
      </c>
      <c r="I201" s="24" t="str">
        <f t="shared" si="15"/>
        <v/>
      </c>
      <c r="J201" s="24" t="str">
        <f t="shared" si="16"/>
        <v/>
      </c>
      <c r="K201" s="24" t="str">
        <f t="shared" si="17"/>
        <v/>
      </c>
      <c r="L201" s="24" t="str">
        <f t="shared" si="18"/>
        <v/>
      </c>
      <c r="M201" s="24" t="str">
        <f t="shared" si="19"/>
        <v/>
      </c>
      <c r="N201" s="24" t="str">
        <f t="shared" si="20"/>
        <v/>
      </c>
      <c r="O201" s="24" t="str">
        <f t="shared" si="21"/>
        <v/>
      </c>
      <c r="P201" s="24" t="str">
        <f t="shared" si="22"/>
        <v/>
      </c>
      <c r="Q201" s="24" t="str">
        <f t="shared" si="23"/>
        <v/>
      </c>
      <c r="R201" s="24" t="str">
        <f t="shared" si="24"/>
        <v/>
      </c>
      <c r="S201" s="24" t="str">
        <f t="shared" si="25"/>
        <v/>
      </c>
      <c r="T201" s="24" t="str">
        <f t="shared" si="26"/>
        <v/>
      </c>
      <c r="X201" s="9" t="str">
        <f t="shared" si="27"/>
        <v/>
      </c>
      <c r="Y201" s="9" t="str">
        <f t="shared" si="28"/>
        <v/>
      </c>
      <c r="Z201" s="9" t="str">
        <f t="shared" si="29"/>
        <v/>
      </c>
      <c r="AA201" s="9" t="str">
        <f t="shared" si="30"/>
        <v/>
      </c>
      <c r="AB201" s="9" t="str">
        <f t="shared" si="31"/>
        <v/>
      </c>
      <c r="AC201" s="9" t="str">
        <f t="shared" si="32"/>
        <v/>
      </c>
      <c r="AD201" s="9" t="str">
        <f t="shared" si="33"/>
        <v/>
      </c>
      <c r="AE201" s="9" t="str">
        <f t="shared" si="34"/>
        <v/>
      </c>
      <c r="AF201" s="25" t="str">
        <f t="shared" si="35"/>
        <v/>
      </c>
      <c r="AG201" s="24" t="str">
        <f t="shared" si="36"/>
        <v/>
      </c>
      <c r="AH201" s="24" t="str">
        <f t="shared" si="37"/>
        <v/>
      </c>
      <c r="AI201" s="24" t="str">
        <f t="shared" si="38"/>
        <v/>
      </c>
      <c r="AJ201" s="24" t="str">
        <f t="shared" si="39"/>
        <v/>
      </c>
      <c r="AK201" s="24" t="str">
        <f t="shared" si="40"/>
        <v/>
      </c>
      <c r="AL201" s="24" t="str">
        <f t="shared" si="41"/>
        <v/>
      </c>
      <c r="AM201" s="24" t="str">
        <f t="shared" si="42"/>
        <v/>
      </c>
      <c r="AQ201" s="9" t="str">
        <f t="shared" si="43"/>
        <v/>
      </c>
      <c r="AR201" s="9" t="str">
        <f t="shared" si="44"/>
        <v/>
      </c>
      <c r="AS201" s="9" t="str">
        <f t="shared" si="45"/>
        <v/>
      </c>
      <c r="AT201" s="9" t="str">
        <f t="shared" si="46"/>
        <v/>
      </c>
      <c r="AU201" s="9" t="str">
        <f t="shared" si="47"/>
        <v/>
      </c>
      <c r="AV201" s="9" t="str">
        <f t="shared" si="48"/>
        <v/>
      </c>
      <c r="AW201" s="9" t="str">
        <f t="shared" si="49"/>
        <v/>
      </c>
      <c r="AX201" s="9" t="str">
        <f t="shared" si="50"/>
        <v/>
      </c>
    </row>
    <row r="202" spans="3:50" hidden="1" x14ac:dyDescent="0.25">
      <c r="C202">
        <v>33</v>
      </c>
      <c r="D202" t="str">
        <f t="shared" ref="D202:D233" si="51">IF(ISNUMBER(E202),C202,"")</f>
        <v/>
      </c>
      <c r="E202" s="24" t="str">
        <f t="shared" ref="E202:E233" si="52">IF(ISNUMBER(E124),-ABS(E124*$BW$7),"")</f>
        <v/>
      </c>
      <c r="F202" s="24" t="str">
        <f t="shared" ref="F202:F233" si="53">IF(ISNUMBER(F124),-ABS(F124*$BW$10),"")</f>
        <v/>
      </c>
      <c r="G202" s="24" t="str">
        <f t="shared" ref="G202:G233" si="54">IF(ISNUMBER(G124),ABS(G124*$BW$13),"")</f>
        <v/>
      </c>
      <c r="H202" s="24" t="str">
        <f t="shared" ref="H202:H233" si="55">IF(ISNUMBER(H124),ABS(H124*$BW$16),"")</f>
        <v/>
      </c>
      <c r="I202" s="24" t="str">
        <f t="shared" ref="I202:I233" si="56">IF(ISNUMBER(I124),-ABS(I124*$BW$7),"")</f>
        <v/>
      </c>
      <c r="J202" s="24" t="str">
        <f t="shared" ref="J202:J233" si="57">IF(ISNUMBER(J124),-ABS(J124*$BW$10),"")</f>
        <v/>
      </c>
      <c r="K202" s="24" t="str">
        <f t="shared" ref="K202:K233" si="58">IF(ISNUMBER(K124),ABS(K124*$BW$13),"")</f>
        <v/>
      </c>
      <c r="L202" s="24" t="str">
        <f t="shared" ref="L202:L233" si="59">IF(ISNUMBER(L124),ABS(L124*$BW$16),"")</f>
        <v/>
      </c>
      <c r="M202" s="24" t="str">
        <f t="shared" ref="M202:M233" si="60">IF(ISNUMBER(M124),-ABS(M124*$BW$19),"")</f>
        <v/>
      </c>
      <c r="N202" s="24" t="str">
        <f t="shared" ref="N202:N233" si="61">IF(ISNUMBER(N124),-ABS(N124*$BW$22),"")</f>
        <v/>
      </c>
      <c r="O202" s="24" t="str">
        <f t="shared" ref="O202:O233" si="62">IF(ISNUMBER(O124),ABS(O124*$BW$25),"")</f>
        <v/>
      </c>
      <c r="P202" s="24" t="str">
        <f t="shared" ref="P202:P233" si="63">IF(ISNUMBER(P124),ABS(P124*$BW$28),"")</f>
        <v/>
      </c>
      <c r="Q202" s="24" t="str">
        <f t="shared" ref="Q202:Q233" si="64">IF(ISNUMBER(Q124),-ABS(Q124*$BW$19),"")</f>
        <v/>
      </c>
      <c r="R202" s="24" t="str">
        <f t="shared" ref="R202:R233" si="65">IF(ISNUMBER(R124),-ABS(R124*$BW$22),"")</f>
        <v/>
      </c>
      <c r="S202" s="24" t="str">
        <f t="shared" ref="S202:S233" si="66">IF(ISNUMBER(S124),ABS(S124*$BW$25),"")</f>
        <v/>
      </c>
      <c r="T202" s="24" t="str">
        <f t="shared" ref="T202:T233" si="67">IF(ISNUMBER(T124),ABS(T124*$BW$28),"")</f>
        <v/>
      </c>
      <c r="X202" s="9" t="str">
        <f t="shared" ref="X202:X233" si="68">IF(ISNUMBER(X124),-ABS(X124*$BW$31),"")</f>
        <v/>
      </c>
      <c r="Y202" s="9" t="str">
        <f t="shared" ref="Y202:Y233" si="69">IF(ISNUMBER(Y124),-ABS(Y124*$BW$34),"")</f>
        <v/>
      </c>
      <c r="Z202" s="9" t="str">
        <f t="shared" ref="Z202:Z233" si="70">IF(ISNUMBER(Z124),ABS(Z124*$BW$37),"")</f>
        <v/>
      </c>
      <c r="AA202" s="9" t="str">
        <f t="shared" ref="AA202:AA233" si="71">IF(ISNUMBER(AA124),ABS(AA124*$BW$40),"")</f>
        <v/>
      </c>
      <c r="AB202" s="9" t="str">
        <f t="shared" ref="AB202:AB233" si="72">IF(ISNUMBER(AB124),-ABS(AB124*$BW$31),"")</f>
        <v/>
      </c>
      <c r="AC202" s="9" t="str">
        <f t="shared" ref="AC202:AC233" si="73">IF(ISNUMBER(AC124),-ABS(AC124*$BW$34),"")</f>
        <v/>
      </c>
      <c r="AD202" s="9" t="str">
        <f t="shared" ref="AD202:AD233" si="74">IF(ISNUMBER(AD124),ABS(AD124*$BW$37),"")</f>
        <v/>
      </c>
      <c r="AE202" s="9" t="str">
        <f t="shared" ref="AE202:AE233" si="75">IF(ISNUMBER(AE124),ABS(AE124*$BW$40),"")</f>
        <v/>
      </c>
      <c r="AF202" s="25" t="str">
        <f t="shared" ref="AF202:AF233" si="76">IF(ISNUMBER(AF124),-ABS(AF124*$BW$43),"")</f>
        <v/>
      </c>
      <c r="AG202" s="24" t="str">
        <f t="shared" ref="AG202:AG233" si="77">IF(ISNUMBER(AG124),-ABS(AG124*$BW$46),"")</f>
        <v/>
      </c>
      <c r="AH202" s="24" t="str">
        <f t="shared" ref="AH202:AH233" si="78">IF(ISNUMBER(AH124),ABS(AH124*$BW$49),"")</f>
        <v/>
      </c>
      <c r="AI202" s="24" t="str">
        <f t="shared" ref="AI202:AI233" si="79">IF(ISNUMBER(AI124),ABS(AI124*$BW$52),"")</f>
        <v/>
      </c>
      <c r="AJ202" s="24" t="str">
        <f t="shared" ref="AJ202:AJ233" si="80">IF(ISNUMBER(AJ124),-ABS(AJ124*$BW$43),"")</f>
        <v/>
      </c>
      <c r="AK202" s="24" t="str">
        <f t="shared" ref="AK202:AK233" si="81">IF(ISNUMBER(AK124),-ABS(AK124*$BW$46),"")</f>
        <v/>
      </c>
      <c r="AL202" s="24" t="str">
        <f t="shared" ref="AL202:AL233" si="82">IF(ISNUMBER(AL124),ABS(AL124*$BW$49),"")</f>
        <v/>
      </c>
      <c r="AM202" s="24" t="str">
        <f t="shared" ref="AM202:AM233" si="83">IF(ISNUMBER(AM124),ABS(AM124*$BW$52),"")</f>
        <v/>
      </c>
      <c r="AQ202" s="9" t="str">
        <f t="shared" ref="AQ202:AQ233" si="84">IF(ISNUMBER(AQ124),-ABS(AQ124*$BW$55),"")</f>
        <v/>
      </c>
      <c r="AR202" s="9" t="str">
        <f t="shared" ref="AR202:AR233" si="85">IF(ISNUMBER(AR124),-ABS(AR124*$BW$58),"")</f>
        <v/>
      </c>
      <c r="AS202" s="9" t="str">
        <f t="shared" ref="AS202:AS233" si="86">IF(ISNUMBER(AS124),ABS(AS124*$BW$61),"")</f>
        <v/>
      </c>
      <c r="AT202" s="9" t="str">
        <f t="shared" ref="AT202:AT233" si="87">IF(ISNUMBER(AT124),ABS(AT124*$BW$64),"")</f>
        <v/>
      </c>
      <c r="AU202" s="9" t="str">
        <f t="shared" ref="AU202:AU233" si="88">IF(ISNUMBER(AU124),-ABS(AU124*$BW$55),"")</f>
        <v/>
      </c>
      <c r="AV202" s="9" t="str">
        <f t="shared" ref="AV202:AV233" si="89">IF(ISNUMBER(AV124),-ABS(AV124*$BW$58),"")</f>
        <v/>
      </c>
      <c r="AW202" s="9" t="str">
        <f t="shared" ref="AW202:AW233" si="90">IF(ISNUMBER(AW124),ABS(AW124*$BW$61),"")</f>
        <v/>
      </c>
      <c r="AX202" s="9" t="str">
        <f t="shared" ref="AX202:AX233" si="91">IF(ISNUMBER(AX124),ABS(AX124*$BW$64),"")</f>
        <v/>
      </c>
    </row>
    <row r="203" spans="3:50" hidden="1" x14ac:dyDescent="0.25">
      <c r="C203">
        <v>34</v>
      </c>
      <c r="D203" t="str">
        <f t="shared" si="51"/>
        <v/>
      </c>
      <c r="E203" s="24" t="str">
        <f t="shared" si="52"/>
        <v/>
      </c>
      <c r="F203" s="24" t="str">
        <f t="shared" si="53"/>
        <v/>
      </c>
      <c r="G203" s="24" t="str">
        <f t="shared" si="54"/>
        <v/>
      </c>
      <c r="H203" s="24" t="str">
        <f t="shared" si="55"/>
        <v/>
      </c>
      <c r="I203" s="24" t="str">
        <f t="shared" si="56"/>
        <v/>
      </c>
      <c r="J203" s="24" t="str">
        <f t="shared" si="57"/>
        <v/>
      </c>
      <c r="K203" s="24" t="str">
        <f t="shared" si="58"/>
        <v/>
      </c>
      <c r="L203" s="24" t="str">
        <f t="shared" si="59"/>
        <v/>
      </c>
      <c r="M203" s="24" t="str">
        <f t="shared" si="60"/>
        <v/>
      </c>
      <c r="N203" s="24" t="str">
        <f t="shared" si="61"/>
        <v/>
      </c>
      <c r="O203" s="24" t="str">
        <f t="shared" si="62"/>
        <v/>
      </c>
      <c r="P203" s="24" t="str">
        <f t="shared" si="63"/>
        <v/>
      </c>
      <c r="Q203" s="24" t="str">
        <f t="shared" si="64"/>
        <v/>
      </c>
      <c r="R203" s="24" t="str">
        <f t="shared" si="65"/>
        <v/>
      </c>
      <c r="S203" s="24" t="str">
        <f t="shared" si="66"/>
        <v/>
      </c>
      <c r="T203" s="24" t="str">
        <f t="shared" si="67"/>
        <v/>
      </c>
      <c r="X203" s="9" t="str">
        <f t="shared" si="68"/>
        <v/>
      </c>
      <c r="Y203" s="9" t="str">
        <f t="shared" si="69"/>
        <v/>
      </c>
      <c r="Z203" s="9" t="str">
        <f t="shared" si="70"/>
        <v/>
      </c>
      <c r="AA203" s="9" t="str">
        <f t="shared" si="71"/>
        <v/>
      </c>
      <c r="AB203" s="9" t="str">
        <f t="shared" si="72"/>
        <v/>
      </c>
      <c r="AC203" s="9" t="str">
        <f t="shared" si="73"/>
        <v/>
      </c>
      <c r="AD203" s="9" t="str">
        <f t="shared" si="74"/>
        <v/>
      </c>
      <c r="AE203" s="9" t="str">
        <f t="shared" si="75"/>
        <v/>
      </c>
      <c r="AF203" s="25" t="str">
        <f t="shared" si="76"/>
        <v/>
      </c>
      <c r="AG203" s="24" t="str">
        <f t="shared" si="77"/>
        <v/>
      </c>
      <c r="AH203" s="24" t="str">
        <f t="shared" si="78"/>
        <v/>
      </c>
      <c r="AI203" s="24" t="str">
        <f t="shared" si="79"/>
        <v/>
      </c>
      <c r="AJ203" s="24" t="str">
        <f t="shared" si="80"/>
        <v/>
      </c>
      <c r="AK203" s="24" t="str">
        <f t="shared" si="81"/>
        <v/>
      </c>
      <c r="AL203" s="24" t="str">
        <f t="shared" si="82"/>
        <v/>
      </c>
      <c r="AM203" s="24" t="str">
        <f t="shared" si="83"/>
        <v/>
      </c>
      <c r="AQ203" s="9" t="str">
        <f t="shared" si="84"/>
        <v/>
      </c>
      <c r="AR203" s="9" t="str">
        <f t="shared" si="85"/>
        <v/>
      </c>
      <c r="AS203" s="9" t="str">
        <f t="shared" si="86"/>
        <v/>
      </c>
      <c r="AT203" s="9" t="str">
        <f t="shared" si="87"/>
        <v/>
      </c>
      <c r="AU203" s="9" t="str">
        <f t="shared" si="88"/>
        <v/>
      </c>
      <c r="AV203" s="9" t="str">
        <f t="shared" si="89"/>
        <v/>
      </c>
      <c r="AW203" s="9" t="str">
        <f t="shared" si="90"/>
        <v/>
      </c>
      <c r="AX203" s="9" t="str">
        <f t="shared" si="91"/>
        <v/>
      </c>
    </row>
    <row r="204" spans="3:50" hidden="1" x14ac:dyDescent="0.25">
      <c r="C204">
        <v>35</v>
      </c>
      <c r="D204" t="str">
        <f t="shared" si="51"/>
        <v/>
      </c>
      <c r="E204" s="24" t="str">
        <f t="shared" si="52"/>
        <v/>
      </c>
      <c r="F204" s="24" t="str">
        <f t="shared" si="53"/>
        <v/>
      </c>
      <c r="G204" s="24" t="str">
        <f t="shared" si="54"/>
        <v/>
      </c>
      <c r="H204" s="24" t="str">
        <f t="shared" si="55"/>
        <v/>
      </c>
      <c r="I204" s="24" t="str">
        <f t="shared" si="56"/>
        <v/>
      </c>
      <c r="J204" s="24" t="str">
        <f t="shared" si="57"/>
        <v/>
      </c>
      <c r="K204" s="24" t="str">
        <f t="shared" si="58"/>
        <v/>
      </c>
      <c r="L204" s="24" t="str">
        <f t="shared" si="59"/>
        <v/>
      </c>
      <c r="M204" s="24" t="str">
        <f t="shared" si="60"/>
        <v/>
      </c>
      <c r="N204" s="24" t="str">
        <f t="shared" si="61"/>
        <v/>
      </c>
      <c r="O204" s="24" t="str">
        <f t="shared" si="62"/>
        <v/>
      </c>
      <c r="P204" s="24" t="str">
        <f t="shared" si="63"/>
        <v/>
      </c>
      <c r="Q204" s="24" t="str">
        <f t="shared" si="64"/>
        <v/>
      </c>
      <c r="R204" s="24" t="str">
        <f t="shared" si="65"/>
        <v/>
      </c>
      <c r="S204" s="24" t="str">
        <f t="shared" si="66"/>
        <v/>
      </c>
      <c r="T204" s="24" t="str">
        <f t="shared" si="67"/>
        <v/>
      </c>
      <c r="X204" s="9" t="str">
        <f t="shared" si="68"/>
        <v/>
      </c>
      <c r="Y204" s="9" t="str">
        <f t="shared" si="69"/>
        <v/>
      </c>
      <c r="Z204" s="9" t="str">
        <f t="shared" si="70"/>
        <v/>
      </c>
      <c r="AA204" s="9" t="str">
        <f t="shared" si="71"/>
        <v/>
      </c>
      <c r="AB204" s="9" t="str">
        <f t="shared" si="72"/>
        <v/>
      </c>
      <c r="AC204" s="9" t="str">
        <f t="shared" si="73"/>
        <v/>
      </c>
      <c r="AD204" s="9" t="str">
        <f t="shared" si="74"/>
        <v/>
      </c>
      <c r="AE204" s="9" t="str">
        <f t="shared" si="75"/>
        <v/>
      </c>
      <c r="AF204" s="25" t="str">
        <f t="shared" si="76"/>
        <v/>
      </c>
      <c r="AG204" s="24" t="str">
        <f t="shared" si="77"/>
        <v/>
      </c>
      <c r="AH204" s="24" t="str">
        <f t="shared" si="78"/>
        <v/>
      </c>
      <c r="AI204" s="24" t="str">
        <f t="shared" si="79"/>
        <v/>
      </c>
      <c r="AJ204" s="24" t="str">
        <f t="shared" si="80"/>
        <v/>
      </c>
      <c r="AK204" s="24" t="str">
        <f t="shared" si="81"/>
        <v/>
      </c>
      <c r="AL204" s="24" t="str">
        <f t="shared" si="82"/>
        <v/>
      </c>
      <c r="AM204" s="24" t="str">
        <f t="shared" si="83"/>
        <v/>
      </c>
      <c r="AQ204" s="9" t="str">
        <f t="shared" si="84"/>
        <v/>
      </c>
      <c r="AR204" s="9" t="str">
        <f t="shared" si="85"/>
        <v/>
      </c>
      <c r="AS204" s="9" t="str">
        <f t="shared" si="86"/>
        <v/>
      </c>
      <c r="AT204" s="9" t="str">
        <f t="shared" si="87"/>
        <v/>
      </c>
      <c r="AU204" s="9" t="str">
        <f t="shared" si="88"/>
        <v/>
      </c>
      <c r="AV204" s="9" t="str">
        <f t="shared" si="89"/>
        <v/>
      </c>
      <c r="AW204" s="9" t="str">
        <f t="shared" si="90"/>
        <v/>
      </c>
      <c r="AX204" s="9" t="str">
        <f t="shared" si="91"/>
        <v/>
      </c>
    </row>
    <row r="205" spans="3:50" hidden="1" x14ac:dyDescent="0.25">
      <c r="C205">
        <v>36</v>
      </c>
      <c r="D205" t="str">
        <f t="shared" si="51"/>
        <v/>
      </c>
      <c r="E205" s="24" t="str">
        <f t="shared" si="52"/>
        <v/>
      </c>
      <c r="F205" s="24" t="str">
        <f t="shared" si="53"/>
        <v/>
      </c>
      <c r="G205" s="24" t="str">
        <f t="shared" si="54"/>
        <v/>
      </c>
      <c r="H205" s="24" t="str">
        <f t="shared" si="55"/>
        <v/>
      </c>
      <c r="I205" s="24" t="str">
        <f t="shared" si="56"/>
        <v/>
      </c>
      <c r="J205" s="24" t="str">
        <f t="shared" si="57"/>
        <v/>
      </c>
      <c r="K205" s="24" t="str">
        <f t="shared" si="58"/>
        <v/>
      </c>
      <c r="L205" s="24" t="str">
        <f t="shared" si="59"/>
        <v/>
      </c>
      <c r="M205" s="24" t="str">
        <f t="shared" si="60"/>
        <v/>
      </c>
      <c r="N205" s="24" t="str">
        <f t="shared" si="61"/>
        <v/>
      </c>
      <c r="O205" s="24" t="str">
        <f t="shared" si="62"/>
        <v/>
      </c>
      <c r="P205" s="24" t="str">
        <f t="shared" si="63"/>
        <v/>
      </c>
      <c r="Q205" s="24" t="str">
        <f t="shared" si="64"/>
        <v/>
      </c>
      <c r="R205" s="24" t="str">
        <f t="shared" si="65"/>
        <v/>
      </c>
      <c r="S205" s="24" t="str">
        <f t="shared" si="66"/>
        <v/>
      </c>
      <c r="T205" s="24" t="str">
        <f t="shared" si="67"/>
        <v/>
      </c>
      <c r="X205" s="9" t="str">
        <f t="shared" si="68"/>
        <v/>
      </c>
      <c r="Y205" s="9" t="str">
        <f t="shared" si="69"/>
        <v/>
      </c>
      <c r="Z205" s="9" t="str">
        <f t="shared" si="70"/>
        <v/>
      </c>
      <c r="AA205" s="9" t="str">
        <f t="shared" si="71"/>
        <v/>
      </c>
      <c r="AB205" s="9" t="str">
        <f t="shared" si="72"/>
        <v/>
      </c>
      <c r="AC205" s="9" t="str">
        <f t="shared" si="73"/>
        <v/>
      </c>
      <c r="AD205" s="9" t="str">
        <f t="shared" si="74"/>
        <v/>
      </c>
      <c r="AE205" s="9" t="str">
        <f t="shared" si="75"/>
        <v/>
      </c>
      <c r="AF205" s="25" t="str">
        <f t="shared" si="76"/>
        <v/>
      </c>
      <c r="AG205" s="24" t="str">
        <f t="shared" si="77"/>
        <v/>
      </c>
      <c r="AH205" s="24" t="str">
        <f t="shared" si="78"/>
        <v/>
      </c>
      <c r="AI205" s="24" t="str">
        <f t="shared" si="79"/>
        <v/>
      </c>
      <c r="AJ205" s="24" t="str">
        <f t="shared" si="80"/>
        <v/>
      </c>
      <c r="AK205" s="24" t="str">
        <f t="shared" si="81"/>
        <v/>
      </c>
      <c r="AL205" s="24" t="str">
        <f t="shared" si="82"/>
        <v/>
      </c>
      <c r="AM205" s="24" t="str">
        <f t="shared" si="83"/>
        <v/>
      </c>
      <c r="AQ205" s="9" t="str">
        <f t="shared" si="84"/>
        <v/>
      </c>
      <c r="AR205" s="9" t="str">
        <f t="shared" si="85"/>
        <v/>
      </c>
      <c r="AS205" s="9" t="str">
        <f t="shared" si="86"/>
        <v/>
      </c>
      <c r="AT205" s="9" t="str">
        <f t="shared" si="87"/>
        <v/>
      </c>
      <c r="AU205" s="9" t="str">
        <f t="shared" si="88"/>
        <v/>
      </c>
      <c r="AV205" s="9" t="str">
        <f t="shared" si="89"/>
        <v/>
      </c>
      <c r="AW205" s="9" t="str">
        <f t="shared" si="90"/>
        <v/>
      </c>
      <c r="AX205" s="9" t="str">
        <f t="shared" si="91"/>
        <v/>
      </c>
    </row>
    <row r="206" spans="3:50" hidden="1" x14ac:dyDescent="0.25">
      <c r="C206">
        <v>37</v>
      </c>
      <c r="D206" t="str">
        <f t="shared" si="51"/>
        <v/>
      </c>
      <c r="E206" s="24" t="str">
        <f t="shared" si="52"/>
        <v/>
      </c>
      <c r="F206" s="24" t="str">
        <f t="shared" si="53"/>
        <v/>
      </c>
      <c r="G206" s="24" t="str">
        <f t="shared" si="54"/>
        <v/>
      </c>
      <c r="H206" s="24" t="str">
        <f t="shared" si="55"/>
        <v/>
      </c>
      <c r="I206" s="24" t="str">
        <f t="shared" si="56"/>
        <v/>
      </c>
      <c r="J206" s="24" t="str">
        <f t="shared" si="57"/>
        <v/>
      </c>
      <c r="K206" s="24" t="str">
        <f t="shared" si="58"/>
        <v/>
      </c>
      <c r="L206" s="24" t="str">
        <f t="shared" si="59"/>
        <v/>
      </c>
      <c r="M206" s="24" t="str">
        <f t="shared" si="60"/>
        <v/>
      </c>
      <c r="N206" s="24" t="str">
        <f t="shared" si="61"/>
        <v/>
      </c>
      <c r="O206" s="24" t="str">
        <f t="shared" si="62"/>
        <v/>
      </c>
      <c r="P206" s="24" t="str">
        <f t="shared" si="63"/>
        <v/>
      </c>
      <c r="Q206" s="24" t="str">
        <f t="shared" si="64"/>
        <v/>
      </c>
      <c r="R206" s="24" t="str">
        <f t="shared" si="65"/>
        <v/>
      </c>
      <c r="S206" s="24" t="str">
        <f t="shared" si="66"/>
        <v/>
      </c>
      <c r="T206" s="24" t="str">
        <f t="shared" si="67"/>
        <v/>
      </c>
      <c r="X206" s="9" t="str">
        <f t="shared" si="68"/>
        <v/>
      </c>
      <c r="Y206" s="9" t="str">
        <f t="shared" si="69"/>
        <v/>
      </c>
      <c r="Z206" s="9" t="str">
        <f t="shared" si="70"/>
        <v/>
      </c>
      <c r="AA206" s="9" t="str">
        <f t="shared" si="71"/>
        <v/>
      </c>
      <c r="AB206" s="9" t="str">
        <f t="shared" si="72"/>
        <v/>
      </c>
      <c r="AC206" s="9" t="str">
        <f t="shared" si="73"/>
        <v/>
      </c>
      <c r="AD206" s="9" t="str">
        <f t="shared" si="74"/>
        <v/>
      </c>
      <c r="AE206" s="9" t="str">
        <f t="shared" si="75"/>
        <v/>
      </c>
      <c r="AF206" s="25" t="str">
        <f t="shared" si="76"/>
        <v/>
      </c>
      <c r="AG206" s="24" t="str">
        <f t="shared" si="77"/>
        <v/>
      </c>
      <c r="AH206" s="24" t="str">
        <f t="shared" si="78"/>
        <v/>
      </c>
      <c r="AI206" s="24" t="str">
        <f t="shared" si="79"/>
        <v/>
      </c>
      <c r="AJ206" s="24" t="str">
        <f t="shared" si="80"/>
        <v/>
      </c>
      <c r="AK206" s="24" t="str">
        <f t="shared" si="81"/>
        <v/>
      </c>
      <c r="AL206" s="24" t="str">
        <f t="shared" si="82"/>
        <v/>
      </c>
      <c r="AM206" s="24" t="str">
        <f t="shared" si="83"/>
        <v/>
      </c>
      <c r="AQ206" s="9" t="str">
        <f t="shared" si="84"/>
        <v/>
      </c>
      <c r="AR206" s="9" t="str">
        <f t="shared" si="85"/>
        <v/>
      </c>
      <c r="AS206" s="9" t="str">
        <f t="shared" si="86"/>
        <v/>
      </c>
      <c r="AT206" s="9" t="str">
        <f t="shared" si="87"/>
        <v/>
      </c>
      <c r="AU206" s="9" t="str">
        <f t="shared" si="88"/>
        <v/>
      </c>
      <c r="AV206" s="9" t="str">
        <f t="shared" si="89"/>
        <v/>
      </c>
      <c r="AW206" s="9" t="str">
        <f t="shared" si="90"/>
        <v/>
      </c>
      <c r="AX206" s="9" t="str">
        <f t="shared" si="91"/>
        <v/>
      </c>
    </row>
    <row r="207" spans="3:50" hidden="1" x14ac:dyDescent="0.25">
      <c r="C207">
        <v>38</v>
      </c>
      <c r="D207" t="str">
        <f t="shared" si="51"/>
        <v/>
      </c>
      <c r="E207" s="24" t="str">
        <f t="shared" si="52"/>
        <v/>
      </c>
      <c r="F207" s="24" t="str">
        <f t="shared" si="53"/>
        <v/>
      </c>
      <c r="G207" s="24" t="str">
        <f t="shared" si="54"/>
        <v/>
      </c>
      <c r="H207" s="24" t="str">
        <f t="shared" si="55"/>
        <v/>
      </c>
      <c r="I207" s="24" t="str">
        <f t="shared" si="56"/>
        <v/>
      </c>
      <c r="J207" s="24" t="str">
        <f t="shared" si="57"/>
        <v/>
      </c>
      <c r="K207" s="24" t="str">
        <f t="shared" si="58"/>
        <v/>
      </c>
      <c r="L207" s="24" t="str">
        <f t="shared" si="59"/>
        <v/>
      </c>
      <c r="M207" s="24" t="str">
        <f t="shared" si="60"/>
        <v/>
      </c>
      <c r="N207" s="24" t="str">
        <f t="shared" si="61"/>
        <v/>
      </c>
      <c r="O207" s="24" t="str">
        <f t="shared" si="62"/>
        <v/>
      </c>
      <c r="P207" s="24" t="str">
        <f t="shared" si="63"/>
        <v/>
      </c>
      <c r="Q207" s="24" t="str">
        <f t="shared" si="64"/>
        <v/>
      </c>
      <c r="R207" s="24" t="str">
        <f t="shared" si="65"/>
        <v/>
      </c>
      <c r="S207" s="24" t="str">
        <f t="shared" si="66"/>
        <v/>
      </c>
      <c r="T207" s="24" t="str">
        <f t="shared" si="67"/>
        <v/>
      </c>
      <c r="X207" s="9" t="str">
        <f t="shared" si="68"/>
        <v/>
      </c>
      <c r="Y207" s="9" t="str">
        <f t="shared" si="69"/>
        <v/>
      </c>
      <c r="Z207" s="9" t="str">
        <f t="shared" si="70"/>
        <v/>
      </c>
      <c r="AA207" s="9" t="str">
        <f t="shared" si="71"/>
        <v/>
      </c>
      <c r="AB207" s="9" t="str">
        <f t="shared" si="72"/>
        <v/>
      </c>
      <c r="AC207" s="9" t="str">
        <f t="shared" si="73"/>
        <v/>
      </c>
      <c r="AD207" s="9" t="str">
        <f t="shared" si="74"/>
        <v/>
      </c>
      <c r="AE207" s="9" t="str">
        <f t="shared" si="75"/>
        <v/>
      </c>
      <c r="AF207" s="25" t="str">
        <f t="shared" si="76"/>
        <v/>
      </c>
      <c r="AG207" s="24" t="str">
        <f t="shared" si="77"/>
        <v/>
      </c>
      <c r="AH207" s="24" t="str">
        <f t="shared" si="78"/>
        <v/>
      </c>
      <c r="AI207" s="24" t="str">
        <f t="shared" si="79"/>
        <v/>
      </c>
      <c r="AJ207" s="24" t="str">
        <f t="shared" si="80"/>
        <v/>
      </c>
      <c r="AK207" s="24" t="str">
        <f t="shared" si="81"/>
        <v/>
      </c>
      <c r="AL207" s="24" t="str">
        <f t="shared" si="82"/>
        <v/>
      </c>
      <c r="AM207" s="24" t="str">
        <f t="shared" si="83"/>
        <v/>
      </c>
      <c r="AQ207" s="9" t="str">
        <f t="shared" si="84"/>
        <v/>
      </c>
      <c r="AR207" s="9" t="str">
        <f t="shared" si="85"/>
        <v/>
      </c>
      <c r="AS207" s="9" t="str">
        <f t="shared" si="86"/>
        <v/>
      </c>
      <c r="AT207" s="9" t="str">
        <f t="shared" si="87"/>
        <v/>
      </c>
      <c r="AU207" s="9" t="str">
        <f t="shared" si="88"/>
        <v/>
      </c>
      <c r="AV207" s="9" t="str">
        <f t="shared" si="89"/>
        <v/>
      </c>
      <c r="AW207" s="9" t="str">
        <f t="shared" si="90"/>
        <v/>
      </c>
      <c r="AX207" s="9" t="str">
        <f t="shared" si="91"/>
        <v/>
      </c>
    </row>
    <row r="208" spans="3:50" hidden="1" x14ac:dyDescent="0.25">
      <c r="C208">
        <v>39</v>
      </c>
      <c r="D208" t="str">
        <f t="shared" si="51"/>
        <v/>
      </c>
      <c r="E208" s="24" t="str">
        <f t="shared" si="52"/>
        <v/>
      </c>
      <c r="F208" s="24" t="str">
        <f t="shared" si="53"/>
        <v/>
      </c>
      <c r="G208" s="24" t="str">
        <f t="shared" si="54"/>
        <v/>
      </c>
      <c r="H208" s="24" t="str">
        <f t="shared" si="55"/>
        <v/>
      </c>
      <c r="I208" s="24" t="str">
        <f t="shared" si="56"/>
        <v/>
      </c>
      <c r="J208" s="24" t="str">
        <f t="shared" si="57"/>
        <v/>
      </c>
      <c r="K208" s="24" t="str">
        <f t="shared" si="58"/>
        <v/>
      </c>
      <c r="L208" s="24" t="str">
        <f t="shared" si="59"/>
        <v/>
      </c>
      <c r="M208" s="24" t="str">
        <f t="shared" si="60"/>
        <v/>
      </c>
      <c r="N208" s="24" t="str">
        <f t="shared" si="61"/>
        <v/>
      </c>
      <c r="O208" s="24" t="str">
        <f t="shared" si="62"/>
        <v/>
      </c>
      <c r="P208" s="24" t="str">
        <f t="shared" si="63"/>
        <v/>
      </c>
      <c r="Q208" s="24" t="str">
        <f t="shared" si="64"/>
        <v/>
      </c>
      <c r="R208" s="24" t="str">
        <f t="shared" si="65"/>
        <v/>
      </c>
      <c r="S208" s="24" t="str">
        <f t="shared" si="66"/>
        <v/>
      </c>
      <c r="T208" s="24" t="str">
        <f t="shared" si="67"/>
        <v/>
      </c>
      <c r="X208" s="9" t="str">
        <f t="shared" si="68"/>
        <v/>
      </c>
      <c r="Y208" s="9" t="str">
        <f t="shared" si="69"/>
        <v/>
      </c>
      <c r="Z208" s="9" t="str">
        <f t="shared" si="70"/>
        <v/>
      </c>
      <c r="AA208" s="9" t="str">
        <f t="shared" si="71"/>
        <v/>
      </c>
      <c r="AB208" s="9" t="str">
        <f t="shared" si="72"/>
        <v/>
      </c>
      <c r="AC208" s="9" t="str">
        <f t="shared" si="73"/>
        <v/>
      </c>
      <c r="AD208" s="9" t="str">
        <f t="shared" si="74"/>
        <v/>
      </c>
      <c r="AE208" s="9" t="str">
        <f t="shared" si="75"/>
        <v/>
      </c>
      <c r="AF208" s="25" t="str">
        <f t="shared" si="76"/>
        <v/>
      </c>
      <c r="AG208" s="24" t="str">
        <f t="shared" si="77"/>
        <v/>
      </c>
      <c r="AH208" s="24" t="str">
        <f t="shared" si="78"/>
        <v/>
      </c>
      <c r="AI208" s="24" t="str">
        <f t="shared" si="79"/>
        <v/>
      </c>
      <c r="AJ208" s="24" t="str">
        <f t="shared" si="80"/>
        <v/>
      </c>
      <c r="AK208" s="24" t="str">
        <f t="shared" si="81"/>
        <v/>
      </c>
      <c r="AL208" s="24" t="str">
        <f t="shared" si="82"/>
        <v/>
      </c>
      <c r="AM208" s="24" t="str">
        <f t="shared" si="83"/>
        <v/>
      </c>
      <c r="AQ208" s="9" t="str">
        <f t="shared" si="84"/>
        <v/>
      </c>
      <c r="AR208" s="9" t="str">
        <f t="shared" si="85"/>
        <v/>
      </c>
      <c r="AS208" s="9" t="str">
        <f t="shared" si="86"/>
        <v/>
      </c>
      <c r="AT208" s="9" t="str">
        <f t="shared" si="87"/>
        <v/>
      </c>
      <c r="AU208" s="9" t="str">
        <f t="shared" si="88"/>
        <v/>
      </c>
      <c r="AV208" s="9" t="str">
        <f t="shared" si="89"/>
        <v/>
      </c>
      <c r="AW208" s="9" t="str">
        <f t="shared" si="90"/>
        <v/>
      </c>
      <c r="AX208" s="9" t="str">
        <f t="shared" si="91"/>
        <v/>
      </c>
    </row>
    <row r="209" spans="3:50" hidden="1" x14ac:dyDescent="0.25">
      <c r="C209">
        <v>40</v>
      </c>
      <c r="D209" t="str">
        <f t="shared" si="51"/>
        <v/>
      </c>
      <c r="E209" s="24" t="str">
        <f t="shared" si="52"/>
        <v/>
      </c>
      <c r="F209" s="24" t="str">
        <f t="shared" si="53"/>
        <v/>
      </c>
      <c r="G209" s="24" t="str">
        <f t="shared" si="54"/>
        <v/>
      </c>
      <c r="H209" s="24" t="str">
        <f t="shared" si="55"/>
        <v/>
      </c>
      <c r="I209" s="24" t="str">
        <f t="shared" si="56"/>
        <v/>
      </c>
      <c r="J209" s="24" t="str">
        <f t="shared" si="57"/>
        <v/>
      </c>
      <c r="K209" s="24" t="str">
        <f t="shared" si="58"/>
        <v/>
      </c>
      <c r="L209" s="24" t="str">
        <f t="shared" si="59"/>
        <v/>
      </c>
      <c r="M209" s="24" t="str">
        <f t="shared" si="60"/>
        <v/>
      </c>
      <c r="N209" s="24" t="str">
        <f t="shared" si="61"/>
        <v/>
      </c>
      <c r="O209" s="24" t="str">
        <f t="shared" si="62"/>
        <v/>
      </c>
      <c r="P209" s="24" t="str">
        <f t="shared" si="63"/>
        <v/>
      </c>
      <c r="Q209" s="24" t="str">
        <f t="shared" si="64"/>
        <v/>
      </c>
      <c r="R209" s="24" t="str">
        <f t="shared" si="65"/>
        <v/>
      </c>
      <c r="S209" s="24" t="str">
        <f t="shared" si="66"/>
        <v/>
      </c>
      <c r="T209" s="24" t="str">
        <f t="shared" si="67"/>
        <v/>
      </c>
      <c r="X209" s="9" t="str">
        <f t="shared" si="68"/>
        <v/>
      </c>
      <c r="Y209" s="9" t="str">
        <f t="shared" si="69"/>
        <v/>
      </c>
      <c r="Z209" s="9" t="str">
        <f t="shared" si="70"/>
        <v/>
      </c>
      <c r="AA209" s="9" t="str">
        <f t="shared" si="71"/>
        <v/>
      </c>
      <c r="AB209" s="9" t="str">
        <f t="shared" si="72"/>
        <v/>
      </c>
      <c r="AC209" s="9" t="str">
        <f t="shared" si="73"/>
        <v/>
      </c>
      <c r="AD209" s="9" t="str">
        <f t="shared" si="74"/>
        <v/>
      </c>
      <c r="AE209" s="9" t="str">
        <f t="shared" si="75"/>
        <v/>
      </c>
      <c r="AF209" s="25" t="str">
        <f t="shared" si="76"/>
        <v/>
      </c>
      <c r="AG209" s="24" t="str">
        <f t="shared" si="77"/>
        <v/>
      </c>
      <c r="AH209" s="24" t="str">
        <f t="shared" si="78"/>
        <v/>
      </c>
      <c r="AI209" s="24" t="str">
        <f t="shared" si="79"/>
        <v/>
      </c>
      <c r="AJ209" s="24" t="str">
        <f t="shared" si="80"/>
        <v/>
      </c>
      <c r="AK209" s="24" t="str">
        <f t="shared" si="81"/>
        <v/>
      </c>
      <c r="AL209" s="24" t="str">
        <f t="shared" si="82"/>
        <v/>
      </c>
      <c r="AM209" s="24" t="str">
        <f t="shared" si="83"/>
        <v/>
      </c>
      <c r="AQ209" s="9" t="str">
        <f t="shared" si="84"/>
        <v/>
      </c>
      <c r="AR209" s="9" t="str">
        <f t="shared" si="85"/>
        <v/>
      </c>
      <c r="AS209" s="9" t="str">
        <f t="shared" si="86"/>
        <v/>
      </c>
      <c r="AT209" s="9" t="str">
        <f t="shared" si="87"/>
        <v/>
      </c>
      <c r="AU209" s="9" t="str">
        <f t="shared" si="88"/>
        <v/>
      </c>
      <c r="AV209" s="9" t="str">
        <f t="shared" si="89"/>
        <v/>
      </c>
      <c r="AW209" s="9" t="str">
        <f t="shared" si="90"/>
        <v/>
      </c>
      <c r="AX209" s="9" t="str">
        <f t="shared" si="91"/>
        <v/>
      </c>
    </row>
    <row r="210" spans="3:50" hidden="1" x14ac:dyDescent="0.25">
      <c r="C210">
        <v>41</v>
      </c>
      <c r="D210" t="str">
        <f t="shared" si="51"/>
        <v/>
      </c>
      <c r="E210" s="24" t="str">
        <f t="shared" si="52"/>
        <v/>
      </c>
      <c r="F210" s="24" t="str">
        <f t="shared" si="53"/>
        <v/>
      </c>
      <c r="G210" s="24" t="str">
        <f t="shared" si="54"/>
        <v/>
      </c>
      <c r="H210" s="24" t="str">
        <f t="shared" si="55"/>
        <v/>
      </c>
      <c r="I210" s="24" t="str">
        <f t="shared" si="56"/>
        <v/>
      </c>
      <c r="J210" s="24" t="str">
        <f t="shared" si="57"/>
        <v/>
      </c>
      <c r="K210" s="24" t="str">
        <f t="shared" si="58"/>
        <v/>
      </c>
      <c r="L210" s="24" t="str">
        <f t="shared" si="59"/>
        <v/>
      </c>
      <c r="M210" s="24" t="str">
        <f t="shared" si="60"/>
        <v/>
      </c>
      <c r="N210" s="24" t="str">
        <f t="shared" si="61"/>
        <v/>
      </c>
      <c r="O210" s="24" t="str">
        <f t="shared" si="62"/>
        <v/>
      </c>
      <c r="P210" s="24" t="str">
        <f t="shared" si="63"/>
        <v/>
      </c>
      <c r="Q210" s="24" t="str">
        <f t="shared" si="64"/>
        <v/>
      </c>
      <c r="R210" s="24" t="str">
        <f t="shared" si="65"/>
        <v/>
      </c>
      <c r="S210" s="24" t="str">
        <f t="shared" si="66"/>
        <v/>
      </c>
      <c r="T210" s="24" t="str">
        <f t="shared" si="67"/>
        <v/>
      </c>
      <c r="X210" s="9" t="str">
        <f t="shared" si="68"/>
        <v/>
      </c>
      <c r="Y210" s="9" t="str">
        <f t="shared" si="69"/>
        <v/>
      </c>
      <c r="Z210" s="9" t="str">
        <f t="shared" si="70"/>
        <v/>
      </c>
      <c r="AA210" s="9" t="str">
        <f t="shared" si="71"/>
        <v/>
      </c>
      <c r="AB210" s="9" t="str">
        <f t="shared" si="72"/>
        <v/>
      </c>
      <c r="AC210" s="9" t="str">
        <f t="shared" si="73"/>
        <v/>
      </c>
      <c r="AD210" s="9" t="str">
        <f t="shared" si="74"/>
        <v/>
      </c>
      <c r="AE210" s="9" t="str">
        <f t="shared" si="75"/>
        <v/>
      </c>
      <c r="AF210" s="25" t="str">
        <f t="shared" si="76"/>
        <v/>
      </c>
      <c r="AG210" s="24" t="str">
        <f t="shared" si="77"/>
        <v/>
      </c>
      <c r="AH210" s="24" t="str">
        <f t="shared" si="78"/>
        <v/>
      </c>
      <c r="AI210" s="24" t="str">
        <f t="shared" si="79"/>
        <v/>
      </c>
      <c r="AJ210" s="24" t="str">
        <f t="shared" si="80"/>
        <v/>
      </c>
      <c r="AK210" s="24" t="str">
        <f t="shared" si="81"/>
        <v/>
      </c>
      <c r="AL210" s="24" t="str">
        <f t="shared" si="82"/>
        <v/>
      </c>
      <c r="AM210" s="24" t="str">
        <f t="shared" si="83"/>
        <v/>
      </c>
      <c r="AQ210" s="9" t="str">
        <f t="shared" si="84"/>
        <v/>
      </c>
      <c r="AR210" s="9" t="str">
        <f t="shared" si="85"/>
        <v/>
      </c>
      <c r="AS210" s="9" t="str">
        <f t="shared" si="86"/>
        <v/>
      </c>
      <c r="AT210" s="9" t="str">
        <f t="shared" si="87"/>
        <v/>
      </c>
      <c r="AU210" s="9" t="str">
        <f t="shared" si="88"/>
        <v/>
      </c>
      <c r="AV210" s="9" t="str">
        <f t="shared" si="89"/>
        <v/>
      </c>
      <c r="AW210" s="9" t="str">
        <f t="shared" si="90"/>
        <v/>
      </c>
      <c r="AX210" s="9" t="str">
        <f t="shared" si="91"/>
        <v/>
      </c>
    </row>
    <row r="211" spans="3:50" hidden="1" x14ac:dyDescent="0.25">
      <c r="C211">
        <v>42</v>
      </c>
      <c r="D211" t="str">
        <f t="shared" si="51"/>
        <v/>
      </c>
      <c r="E211" s="24" t="str">
        <f t="shared" si="52"/>
        <v/>
      </c>
      <c r="F211" s="24" t="str">
        <f t="shared" si="53"/>
        <v/>
      </c>
      <c r="G211" s="24" t="str">
        <f t="shared" si="54"/>
        <v/>
      </c>
      <c r="H211" s="24" t="str">
        <f t="shared" si="55"/>
        <v/>
      </c>
      <c r="I211" s="24" t="str">
        <f t="shared" si="56"/>
        <v/>
      </c>
      <c r="J211" s="24" t="str">
        <f t="shared" si="57"/>
        <v/>
      </c>
      <c r="K211" s="24" t="str">
        <f t="shared" si="58"/>
        <v/>
      </c>
      <c r="L211" s="24" t="str">
        <f t="shared" si="59"/>
        <v/>
      </c>
      <c r="M211" s="24" t="str">
        <f t="shared" si="60"/>
        <v/>
      </c>
      <c r="N211" s="24" t="str">
        <f t="shared" si="61"/>
        <v/>
      </c>
      <c r="O211" s="24" t="str">
        <f t="shared" si="62"/>
        <v/>
      </c>
      <c r="P211" s="24" t="str">
        <f t="shared" si="63"/>
        <v/>
      </c>
      <c r="Q211" s="24" t="str">
        <f t="shared" si="64"/>
        <v/>
      </c>
      <c r="R211" s="24" t="str">
        <f t="shared" si="65"/>
        <v/>
      </c>
      <c r="S211" s="24" t="str">
        <f t="shared" si="66"/>
        <v/>
      </c>
      <c r="T211" s="24" t="str">
        <f t="shared" si="67"/>
        <v/>
      </c>
      <c r="X211" s="9" t="str">
        <f t="shared" si="68"/>
        <v/>
      </c>
      <c r="Y211" s="9" t="str">
        <f t="shared" si="69"/>
        <v/>
      </c>
      <c r="Z211" s="9" t="str">
        <f t="shared" si="70"/>
        <v/>
      </c>
      <c r="AA211" s="9" t="str">
        <f t="shared" si="71"/>
        <v/>
      </c>
      <c r="AB211" s="9" t="str">
        <f t="shared" si="72"/>
        <v/>
      </c>
      <c r="AC211" s="9" t="str">
        <f t="shared" si="73"/>
        <v/>
      </c>
      <c r="AD211" s="9" t="str">
        <f t="shared" si="74"/>
        <v/>
      </c>
      <c r="AE211" s="9" t="str">
        <f t="shared" si="75"/>
        <v/>
      </c>
      <c r="AF211" s="25" t="str">
        <f t="shared" si="76"/>
        <v/>
      </c>
      <c r="AG211" s="24" t="str">
        <f t="shared" si="77"/>
        <v/>
      </c>
      <c r="AH211" s="24" t="str">
        <f t="shared" si="78"/>
        <v/>
      </c>
      <c r="AI211" s="24" t="str">
        <f t="shared" si="79"/>
        <v/>
      </c>
      <c r="AJ211" s="24" t="str">
        <f t="shared" si="80"/>
        <v/>
      </c>
      <c r="AK211" s="24" t="str">
        <f t="shared" si="81"/>
        <v/>
      </c>
      <c r="AL211" s="24" t="str">
        <f t="shared" si="82"/>
        <v/>
      </c>
      <c r="AM211" s="24" t="str">
        <f t="shared" si="83"/>
        <v/>
      </c>
      <c r="AQ211" s="9" t="str">
        <f t="shared" si="84"/>
        <v/>
      </c>
      <c r="AR211" s="9" t="str">
        <f t="shared" si="85"/>
        <v/>
      </c>
      <c r="AS211" s="9" t="str">
        <f t="shared" si="86"/>
        <v/>
      </c>
      <c r="AT211" s="9" t="str">
        <f t="shared" si="87"/>
        <v/>
      </c>
      <c r="AU211" s="9" t="str">
        <f t="shared" si="88"/>
        <v/>
      </c>
      <c r="AV211" s="9" t="str">
        <f t="shared" si="89"/>
        <v/>
      </c>
      <c r="AW211" s="9" t="str">
        <f t="shared" si="90"/>
        <v/>
      </c>
      <c r="AX211" s="9" t="str">
        <f t="shared" si="91"/>
        <v/>
      </c>
    </row>
    <row r="212" spans="3:50" hidden="1" x14ac:dyDescent="0.25">
      <c r="C212">
        <v>43</v>
      </c>
      <c r="D212" t="str">
        <f t="shared" si="51"/>
        <v/>
      </c>
      <c r="E212" s="24" t="str">
        <f t="shared" si="52"/>
        <v/>
      </c>
      <c r="F212" s="24" t="str">
        <f t="shared" si="53"/>
        <v/>
      </c>
      <c r="G212" s="24" t="str">
        <f t="shared" si="54"/>
        <v/>
      </c>
      <c r="H212" s="24" t="str">
        <f t="shared" si="55"/>
        <v/>
      </c>
      <c r="I212" s="24" t="str">
        <f t="shared" si="56"/>
        <v/>
      </c>
      <c r="J212" s="24" t="str">
        <f t="shared" si="57"/>
        <v/>
      </c>
      <c r="K212" s="24" t="str">
        <f t="shared" si="58"/>
        <v/>
      </c>
      <c r="L212" s="24" t="str">
        <f t="shared" si="59"/>
        <v/>
      </c>
      <c r="M212" s="24" t="str">
        <f t="shared" si="60"/>
        <v/>
      </c>
      <c r="N212" s="24" t="str">
        <f t="shared" si="61"/>
        <v/>
      </c>
      <c r="O212" s="24" t="str">
        <f t="shared" si="62"/>
        <v/>
      </c>
      <c r="P212" s="24" t="str">
        <f t="shared" si="63"/>
        <v/>
      </c>
      <c r="Q212" s="24" t="str">
        <f t="shared" si="64"/>
        <v/>
      </c>
      <c r="R212" s="24" t="str">
        <f t="shared" si="65"/>
        <v/>
      </c>
      <c r="S212" s="24" t="str">
        <f t="shared" si="66"/>
        <v/>
      </c>
      <c r="T212" s="24" t="str">
        <f t="shared" si="67"/>
        <v/>
      </c>
      <c r="X212" s="9" t="str">
        <f t="shared" si="68"/>
        <v/>
      </c>
      <c r="Y212" s="9" t="str">
        <f t="shared" si="69"/>
        <v/>
      </c>
      <c r="Z212" s="9" t="str">
        <f t="shared" si="70"/>
        <v/>
      </c>
      <c r="AA212" s="9" t="str">
        <f t="shared" si="71"/>
        <v/>
      </c>
      <c r="AB212" s="9" t="str">
        <f t="shared" si="72"/>
        <v/>
      </c>
      <c r="AC212" s="9" t="str">
        <f t="shared" si="73"/>
        <v/>
      </c>
      <c r="AD212" s="9" t="str">
        <f t="shared" si="74"/>
        <v/>
      </c>
      <c r="AE212" s="9" t="str">
        <f t="shared" si="75"/>
        <v/>
      </c>
      <c r="AF212" s="25" t="str">
        <f t="shared" si="76"/>
        <v/>
      </c>
      <c r="AG212" s="24" t="str">
        <f t="shared" si="77"/>
        <v/>
      </c>
      <c r="AH212" s="24" t="str">
        <f t="shared" si="78"/>
        <v/>
      </c>
      <c r="AI212" s="24" t="str">
        <f t="shared" si="79"/>
        <v/>
      </c>
      <c r="AJ212" s="24" t="str">
        <f t="shared" si="80"/>
        <v/>
      </c>
      <c r="AK212" s="24" t="str">
        <f t="shared" si="81"/>
        <v/>
      </c>
      <c r="AL212" s="24" t="str">
        <f t="shared" si="82"/>
        <v/>
      </c>
      <c r="AM212" s="24" t="str">
        <f t="shared" si="83"/>
        <v/>
      </c>
      <c r="AQ212" s="9" t="str">
        <f t="shared" si="84"/>
        <v/>
      </c>
      <c r="AR212" s="9" t="str">
        <f t="shared" si="85"/>
        <v/>
      </c>
      <c r="AS212" s="9" t="str">
        <f t="shared" si="86"/>
        <v/>
      </c>
      <c r="AT212" s="9" t="str">
        <f t="shared" si="87"/>
        <v/>
      </c>
      <c r="AU212" s="9" t="str">
        <f t="shared" si="88"/>
        <v/>
      </c>
      <c r="AV212" s="9" t="str">
        <f t="shared" si="89"/>
        <v/>
      </c>
      <c r="AW212" s="9" t="str">
        <f t="shared" si="90"/>
        <v/>
      </c>
      <c r="AX212" s="9" t="str">
        <f t="shared" si="91"/>
        <v/>
      </c>
    </row>
    <row r="213" spans="3:50" hidden="1" x14ac:dyDescent="0.25">
      <c r="C213">
        <v>44</v>
      </c>
      <c r="D213" t="str">
        <f t="shared" si="51"/>
        <v/>
      </c>
      <c r="E213" s="24" t="str">
        <f t="shared" si="52"/>
        <v/>
      </c>
      <c r="F213" s="24" t="str">
        <f t="shared" si="53"/>
        <v/>
      </c>
      <c r="G213" s="24" t="str">
        <f t="shared" si="54"/>
        <v/>
      </c>
      <c r="H213" s="24" t="str">
        <f t="shared" si="55"/>
        <v/>
      </c>
      <c r="I213" s="24" t="str">
        <f t="shared" si="56"/>
        <v/>
      </c>
      <c r="J213" s="24" t="str">
        <f t="shared" si="57"/>
        <v/>
      </c>
      <c r="K213" s="24" t="str">
        <f t="shared" si="58"/>
        <v/>
      </c>
      <c r="L213" s="24" t="str">
        <f t="shared" si="59"/>
        <v/>
      </c>
      <c r="M213" s="24" t="str">
        <f t="shared" si="60"/>
        <v/>
      </c>
      <c r="N213" s="24" t="str">
        <f t="shared" si="61"/>
        <v/>
      </c>
      <c r="O213" s="24" t="str">
        <f t="shared" si="62"/>
        <v/>
      </c>
      <c r="P213" s="24" t="str">
        <f t="shared" si="63"/>
        <v/>
      </c>
      <c r="Q213" s="24" t="str">
        <f t="shared" si="64"/>
        <v/>
      </c>
      <c r="R213" s="24" t="str">
        <f t="shared" si="65"/>
        <v/>
      </c>
      <c r="S213" s="24" t="str">
        <f t="shared" si="66"/>
        <v/>
      </c>
      <c r="T213" s="24" t="str">
        <f t="shared" si="67"/>
        <v/>
      </c>
      <c r="X213" s="9" t="str">
        <f t="shared" si="68"/>
        <v/>
      </c>
      <c r="Y213" s="9" t="str">
        <f t="shared" si="69"/>
        <v/>
      </c>
      <c r="Z213" s="9" t="str">
        <f t="shared" si="70"/>
        <v/>
      </c>
      <c r="AA213" s="9" t="str">
        <f t="shared" si="71"/>
        <v/>
      </c>
      <c r="AB213" s="9" t="str">
        <f t="shared" si="72"/>
        <v/>
      </c>
      <c r="AC213" s="9" t="str">
        <f t="shared" si="73"/>
        <v/>
      </c>
      <c r="AD213" s="9" t="str">
        <f t="shared" si="74"/>
        <v/>
      </c>
      <c r="AE213" s="9" t="str">
        <f t="shared" si="75"/>
        <v/>
      </c>
      <c r="AF213" s="25" t="str">
        <f t="shared" si="76"/>
        <v/>
      </c>
      <c r="AG213" s="24" t="str">
        <f t="shared" si="77"/>
        <v/>
      </c>
      <c r="AH213" s="24" t="str">
        <f t="shared" si="78"/>
        <v/>
      </c>
      <c r="AI213" s="24" t="str">
        <f t="shared" si="79"/>
        <v/>
      </c>
      <c r="AJ213" s="24" t="str">
        <f t="shared" si="80"/>
        <v/>
      </c>
      <c r="AK213" s="24" t="str">
        <f t="shared" si="81"/>
        <v/>
      </c>
      <c r="AL213" s="24" t="str">
        <f t="shared" si="82"/>
        <v/>
      </c>
      <c r="AM213" s="24" t="str">
        <f t="shared" si="83"/>
        <v/>
      </c>
      <c r="AQ213" s="9" t="str">
        <f t="shared" si="84"/>
        <v/>
      </c>
      <c r="AR213" s="9" t="str">
        <f t="shared" si="85"/>
        <v/>
      </c>
      <c r="AS213" s="9" t="str">
        <f t="shared" si="86"/>
        <v/>
      </c>
      <c r="AT213" s="9" t="str">
        <f t="shared" si="87"/>
        <v/>
      </c>
      <c r="AU213" s="9" t="str">
        <f t="shared" si="88"/>
        <v/>
      </c>
      <c r="AV213" s="9" t="str">
        <f t="shared" si="89"/>
        <v/>
      </c>
      <c r="AW213" s="9" t="str">
        <f t="shared" si="90"/>
        <v/>
      </c>
      <c r="AX213" s="9" t="str">
        <f t="shared" si="91"/>
        <v/>
      </c>
    </row>
    <row r="214" spans="3:50" hidden="1" x14ac:dyDescent="0.25">
      <c r="C214">
        <v>45</v>
      </c>
      <c r="D214" t="str">
        <f t="shared" si="51"/>
        <v/>
      </c>
      <c r="E214" s="24" t="str">
        <f t="shared" si="52"/>
        <v/>
      </c>
      <c r="F214" s="24" t="str">
        <f t="shared" si="53"/>
        <v/>
      </c>
      <c r="G214" s="24" t="str">
        <f t="shared" si="54"/>
        <v/>
      </c>
      <c r="H214" s="24" t="str">
        <f t="shared" si="55"/>
        <v/>
      </c>
      <c r="I214" s="24" t="str">
        <f t="shared" si="56"/>
        <v/>
      </c>
      <c r="J214" s="24" t="str">
        <f t="shared" si="57"/>
        <v/>
      </c>
      <c r="K214" s="24" t="str">
        <f t="shared" si="58"/>
        <v/>
      </c>
      <c r="L214" s="24" t="str">
        <f t="shared" si="59"/>
        <v/>
      </c>
      <c r="M214" s="24" t="str">
        <f t="shared" si="60"/>
        <v/>
      </c>
      <c r="N214" s="24" t="str">
        <f t="shared" si="61"/>
        <v/>
      </c>
      <c r="O214" s="24" t="str">
        <f t="shared" si="62"/>
        <v/>
      </c>
      <c r="P214" s="24" t="str">
        <f t="shared" si="63"/>
        <v/>
      </c>
      <c r="Q214" s="24" t="str">
        <f t="shared" si="64"/>
        <v/>
      </c>
      <c r="R214" s="24" t="str">
        <f t="shared" si="65"/>
        <v/>
      </c>
      <c r="S214" s="24" t="str">
        <f t="shared" si="66"/>
        <v/>
      </c>
      <c r="T214" s="24" t="str">
        <f t="shared" si="67"/>
        <v/>
      </c>
      <c r="X214" s="9" t="str">
        <f t="shared" si="68"/>
        <v/>
      </c>
      <c r="Y214" s="9" t="str">
        <f t="shared" si="69"/>
        <v/>
      </c>
      <c r="Z214" s="9" t="str">
        <f t="shared" si="70"/>
        <v/>
      </c>
      <c r="AA214" s="9" t="str">
        <f t="shared" si="71"/>
        <v/>
      </c>
      <c r="AB214" s="9" t="str">
        <f t="shared" si="72"/>
        <v/>
      </c>
      <c r="AC214" s="9" t="str">
        <f t="shared" si="73"/>
        <v/>
      </c>
      <c r="AD214" s="9" t="str">
        <f t="shared" si="74"/>
        <v/>
      </c>
      <c r="AE214" s="9" t="str">
        <f t="shared" si="75"/>
        <v/>
      </c>
      <c r="AF214" s="25" t="str">
        <f t="shared" si="76"/>
        <v/>
      </c>
      <c r="AG214" s="24" t="str">
        <f t="shared" si="77"/>
        <v/>
      </c>
      <c r="AH214" s="24" t="str">
        <f t="shared" si="78"/>
        <v/>
      </c>
      <c r="AI214" s="24" t="str">
        <f t="shared" si="79"/>
        <v/>
      </c>
      <c r="AJ214" s="24" t="str">
        <f t="shared" si="80"/>
        <v/>
      </c>
      <c r="AK214" s="24" t="str">
        <f t="shared" si="81"/>
        <v/>
      </c>
      <c r="AL214" s="24" t="str">
        <f t="shared" si="82"/>
        <v/>
      </c>
      <c r="AM214" s="24" t="str">
        <f t="shared" si="83"/>
        <v/>
      </c>
      <c r="AQ214" s="9" t="str">
        <f t="shared" si="84"/>
        <v/>
      </c>
      <c r="AR214" s="9" t="str">
        <f t="shared" si="85"/>
        <v/>
      </c>
      <c r="AS214" s="9" t="str">
        <f t="shared" si="86"/>
        <v/>
      </c>
      <c r="AT214" s="9" t="str">
        <f t="shared" si="87"/>
        <v/>
      </c>
      <c r="AU214" s="9" t="str">
        <f t="shared" si="88"/>
        <v/>
      </c>
      <c r="AV214" s="9" t="str">
        <f t="shared" si="89"/>
        <v/>
      </c>
      <c r="AW214" s="9" t="str">
        <f t="shared" si="90"/>
        <v/>
      </c>
      <c r="AX214" s="9" t="str">
        <f t="shared" si="91"/>
        <v/>
      </c>
    </row>
    <row r="215" spans="3:50" hidden="1" x14ac:dyDescent="0.25">
      <c r="C215">
        <v>46</v>
      </c>
      <c r="D215" t="str">
        <f t="shared" si="51"/>
        <v/>
      </c>
      <c r="E215" s="24" t="str">
        <f t="shared" si="52"/>
        <v/>
      </c>
      <c r="F215" s="24" t="str">
        <f t="shared" si="53"/>
        <v/>
      </c>
      <c r="G215" s="24" t="str">
        <f t="shared" si="54"/>
        <v/>
      </c>
      <c r="H215" s="24" t="str">
        <f t="shared" si="55"/>
        <v/>
      </c>
      <c r="I215" s="24" t="str">
        <f t="shared" si="56"/>
        <v/>
      </c>
      <c r="J215" s="24" t="str">
        <f t="shared" si="57"/>
        <v/>
      </c>
      <c r="K215" s="24" t="str">
        <f t="shared" si="58"/>
        <v/>
      </c>
      <c r="L215" s="24" t="str">
        <f t="shared" si="59"/>
        <v/>
      </c>
      <c r="M215" s="24" t="str">
        <f t="shared" si="60"/>
        <v/>
      </c>
      <c r="N215" s="24" t="str">
        <f t="shared" si="61"/>
        <v/>
      </c>
      <c r="O215" s="24" t="str">
        <f t="shared" si="62"/>
        <v/>
      </c>
      <c r="P215" s="24" t="str">
        <f t="shared" si="63"/>
        <v/>
      </c>
      <c r="Q215" s="24" t="str">
        <f t="shared" si="64"/>
        <v/>
      </c>
      <c r="R215" s="24" t="str">
        <f t="shared" si="65"/>
        <v/>
      </c>
      <c r="S215" s="24" t="str">
        <f t="shared" si="66"/>
        <v/>
      </c>
      <c r="T215" s="24" t="str">
        <f t="shared" si="67"/>
        <v/>
      </c>
      <c r="X215" s="9" t="str">
        <f t="shared" si="68"/>
        <v/>
      </c>
      <c r="Y215" s="9" t="str">
        <f t="shared" si="69"/>
        <v/>
      </c>
      <c r="Z215" s="9" t="str">
        <f t="shared" si="70"/>
        <v/>
      </c>
      <c r="AA215" s="9" t="str">
        <f t="shared" si="71"/>
        <v/>
      </c>
      <c r="AB215" s="9" t="str">
        <f t="shared" si="72"/>
        <v/>
      </c>
      <c r="AC215" s="9" t="str">
        <f t="shared" si="73"/>
        <v/>
      </c>
      <c r="AD215" s="9" t="str">
        <f t="shared" si="74"/>
        <v/>
      </c>
      <c r="AE215" s="9" t="str">
        <f t="shared" si="75"/>
        <v/>
      </c>
      <c r="AF215" s="25" t="str">
        <f t="shared" si="76"/>
        <v/>
      </c>
      <c r="AG215" s="24" t="str">
        <f t="shared" si="77"/>
        <v/>
      </c>
      <c r="AH215" s="24" t="str">
        <f t="shared" si="78"/>
        <v/>
      </c>
      <c r="AI215" s="24" t="str">
        <f t="shared" si="79"/>
        <v/>
      </c>
      <c r="AJ215" s="24" t="str">
        <f t="shared" si="80"/>
        <v/>
      </c>
      <c r="AK215" s="24" t="str">
        <f t="shared" si="81"/>
        <v/>
      </c>
      <c r="AL215" s="24" t="str">
        <f t="shared" si="82"/>
        <v/>
      </c>
      <c r="AM215" s="24" t="str">
        <f t="shared" si="83"/>
        <v/>
      </c>
      <c r="AQ215" s="9" t="str">
        <f t="shared" si="84"/>
        <v/>
      </c>
      <c r="AR215" s="9" t="str">
        <f t="shared" si="85"/>
        <v/>
      </c>
      <c r="AS215" s="9" t="str">
        <f t="shared" si="86"/>
        <v/>
      </c>
      <c r="AT215" s="9" t="str">
        <f t="shared" si="87"/>
        <v/>
      </c>
      <c r="AU215" s="9" t="str">
        <f t="shared" si="88"/>
        <v/>
      </c>
      <c r="AV215" s="9" t="str">
        <f t="shared" si="89"/>
        <v/>
      </c>
      <c r="AW215" s="9" t="str">
        <f t="shared" si="90"/>
        <v/>
      </c>
      <c r="AX215" s="9" t="str">
        <f t="shared" si="91"/>
        <v/>
      </c>
    </row>
    <row r="216" spans="3:50" hidden="1" x14ac:dyDescent="0.25">
      <c r="C216">
        <v>47</v>
      </c>
      <c r="D216" t="str">
        <f t="shared" si="51"/>
        <v/>
      </c>
      <c r="E216" s="24" t="str">
        <f t="shared" si="52"/>
        <v/>
      </c>
      <c r="F216" s="24" t="str">
        <f t="shared" si="53"/>
        <v/>
      </c>
      <c r="G216" s="24" t="str">
        <f t="shared" si="54"/>
        <v/>
      </c>
      <c r="H216" s="24" t="str">
        <f t="shared" si="55"/>
        <v/>
      </c>
      <c r="I216" s="24" t="str">
        <f t="shared" si="56"/>
        <v/>
      </c>
      <c r="J216" s="24" t="str">
        <f t="shared" si="57"/>
        <v/>
      </c>
      <c r="K216" s="24" t="str">
        <f t="shared" si="58"/>
        <v/>
      </c>
      <c r="L216" s="24" t="str">
        <f t="shared" si="59"/>
        <v/>
      </c>
      <c r="M216" s="24" t="str">
        <f t="shared" si="60"/>
        <v/>
      </c>
      <c r="N216" s="24" t="str">
        <f t="shared" si="61"/>
        <v/>
      </c>
      <c r="O216" s="24" t="str">
        <f t="shared" si="62"/>
        <v/>
      </c>
      <c r="P216" s="24" t="str">
        <f t="shared" si="63"/>
        <v/>
      </c>
      <c r="Q216" s="24" t="str">
        <f t="shared" si="64"/>
        <v/>
      </c>
      <c r="R216" s="24" t="str">
        <f t="shared" si="65"/>
        <v/>
      </c>
      <c r="S216" s="24" t="str">
        <f t="shared" si="66"/>
        <v/>
      </c>
      <c r="T216" s="24" t="str">
        <f t="shared" si="67"/>
        <v/>
      </c>
      <c r="X216" s="9" t="str">
        <f t="shared" si="68"/>
        <v/>
      </c>
      <c r="Y216" s="9" t="str">
        <f t="shared" si="69"/>
        <v/>
      </c>
      <c r="Z216" s="9" t="str">
        <f t="shared" si="70"/>
        <v/>
      </c>
      <c r="AA216" s="9" t="str">
        <f t="shared" si="71"/>
        <v/>
      </c>
      <c r="AB216" s="9" t="str">
        <f t="shared" si="72"/>
        <v/>
      </c>
      <c r="AC216" s="9" t="str">
        <f t="shared" si="73"/>
        <v/>
      </c>
      <c r="AD216" s="9" t="str">
        <f t="shared" si="74"/>
        <v/>
      </c>
      <c r="AE216" s="9" t="str">
        <f t="shared" si="75"/>
        <v/>
      </c>
      <c r="AF216" s="25" t="str">
        <f t="shared" si="76"/>
        <v/>
      </c>
      <c r="AG216" s="24" t="str">
        <f t="shared" si="77"/>
        <v/>
      </c>
      <c r="AH216" s="24" t="str">
        <f t="shared" si="78"/>
        <v/>
      </c>
      <c r="AI216" s="24" t="str">
        <f t="shared" si="79"/>
        <v/>
      </c>
      <c r="AJ216" s="24" t="str">
        <f t="shared" si="80"/>
        <v/>
      </c>
      <c r="AK216" s="24" t="str">
        <f t="shared" si="81"/>
        <v/>
      </c>
      <c r="AL216" s="24" t="str">
        <f t="shared" si="82"/>
        <v/>
      </c>
      <c r="AM216" s="24" t="str">
        <f t="shared" si="83"/>
        <v/>
      </c>
      <c r="AQ216" s="9" t="str">
        <f t="shared" si="84"/>
        <v/>
      </c>
      <c r="AR216" s="9" t="str">
        <f t="shared" si="85"/>
        <v/>
      </c>
      <c r="AS216" s="9" t="str">
        <f t="shared" si="86"/>
        <v/>
      </c>
      <c r="AT216" s="9" t="str">
        <f t="shared" si="87"/>
        <v/>
      </c>
      <c r="AU216" s="9" t="str">
        <f t="shared" si="88"/>
        <v/>
      </c>
      <c r="AV216" s="9" t="str">
        <f t="shared" si="89"/>
        <v/>
      </c>
      <c r="AW216" s="9" t="str">
        <f t="shared" si="90"/>
        <v/>
      </c>
      <c r="AX216" s="9" t="str">
        <f t="shared" si="91"/>
        <v/>
      </c>
    </row>
    <row r="217" spans="3:50" hidden="1" x14ac:dyDescent="0.25">
      <c r="C217">
        <v>48</v>
      </c>
      <c r="D217" t="str">
        <f t="shared" si="51"/>
        <v/>
      </c>
      <c r="E217" s="24" t="str">
        <f t="shared" si="52"/>
        <v/>
      </c>
      <c r="F217" s="24" t="str">
        <f t="shared" si="53"/>
        <v/>
      </c>
      <c r="G217" s="24" t="str">
        <f t="shared" si="54"/>
        <v/>
      </c>
      <c r="H217" s="24" t="str">
        <f t="shared" si="55"/>
        <v/>
      </c>
      <c r="I217" s="24" t="str">
        <f t="shared" si="56"/>
        <v/>
      </c>
      <c r="J217" s="24" t="str">
        <f t="shared" si="57"/>
        <v/>
      </c>
      <c r="K217" s="24" t="str">
        <f t="shared" si="58"/>
        <v/>
      </c>
      <c r="L217" s="24" t="str">
        <f t="shared" si="59"/>
        <v/>
      </c>
      <c r="M217" s="24" t="str">
        <f t="shared" si="60"/>
        <v/>
      </c>
      <c r="N217" s="24" t="str">
        <f t="shared" si="61"/>
        <v/>
      </c>
      <c r="O217" s="24" t="str">
        <f t="shared" si="62"/>
        <v/>
      </c>
      <c r="P217" s="24" t="str">
        <f t="shared" si="63"/>
        <v/>
      </c>
      <c r="Q217" s="24" t="str">
        <f t="shared" si="64"/>
        <v/>
      </c>
      <c r="R217" s="24" t="str">
        <f t="shared" si="65"/>
        <v/>
      </c>
      <c r="S217" s="24" t="str">
        <f t="shared" si="66"/>
        <v/>
      </c>
      <c r="T217" s="24" t="str">
        <f t="shared" si="67"/>
        <v/>
      </c>
      <c r="X217" s="9" t="str">
        <f t="shared" si="68"/>
        <v/>
      </c>
      <c r="Y217" s="9" t="str">
        <f t="shared" si="69"/>
        <v/>
      </c>
      <c r="Z217" s="9" t="str">
        <f t="shared" si="70"/>
        <v/>
      </c>
      <c r="AA217" s="9" t="str">
        <f t="shared" si="71"/>
        <v/>
      </c>
      <c r="AB217" s="9" t="str">
        <f t="shared" si="72"/>
        <v/>
      </c>
      <c r="AC217" s="9" t="str">
        <f t="shared" si="73"/>
        <v/>
      </c>
      <c r="AD217" s="9" t="str">
        <f t="shared" si="74"/>
        <v/>
      </c>
      <c r="AE217" s="9" t="str">
        <f t="shared" si="75"/>
        <v/>
      </c>
      <c r="AF217" s="25" t="str">
        <f t="shared" si="76"/>
        <v/>
      </c>
      <c r="AG217" s="24" t="str">
        <f t="shared" si="77"/>
        <v/>
      </c>
      <c r="AH217" s="24" t="str">
        <f t="shared" si="78"/>
        <v/>
      </c>
      <c r="AI217" s="24" t="str">
        <f t="shared" si="79"/>
        <v/>
      </c>
      <c r="AJ217" s="24" t="str">
        <f t="shared" si="80"/>
        <v/>
      </c>
      <c r="AK217" s="24" t="str">
        <f t="shared" si="81"/>
        <v/>
      </c>
      <c r="AL217" s="24" t="str">
        <f t="shared" si="82"/>
        <v/>
      </c>
      <c r="AM217" s="24" t="str">
        <f t="shared" si="83"/>
        <v/>
      </c>
      <c r="AQ217" s="9" t="str">
        <f t="shared" si="84"/>
        <v/>
      </c>
      <c r="AR217" s="9" t="str">
        <f t="shared" si="85"/>
        <v/>
      </c>
      <c r="AS217" s="9" t="str">
        <f t="shared" si="86"/>
        <v/>
      </c>
      <c r="AT217" s="9" t="str">
        <f t="shared" si="87"/>
        <v/>
      </c>
      <c r="AU217" s="9" t="str">
        <f t="shared" si="88"/>
        <v/>
      </c>
      <c r="AV217" s="9" t="str">
        <f t="shared" si="89"/>
        <v/>
      </c>
      <c r="AW217" s="9" t="str">
        <f t="shared" si="90"/>
        <v/>
      </c>
      <c r="AX217" s="9" t="str">
        <f t="shared" si="91"/>
        <v/>
      </c>
    </row>
    <row r="218" spans="3:50" hidden="1" x14ac:dyDescent="0.25">
      <c r="C218">
        <v>49</v>
      </c>
      <c r="D218" t="str">
        <f t="shared" si="51"/>
        <v/>
      </c>
      <c r="E218" s="24" t="str">
        <f t="shared" si="52"/>
        <v/>
      </c>
      <c r="F218" s="24" t="str">
        <f t="shared" si="53"/>
        <v/>
      </c>
      <c r="G218" s="24" t="str">
        <f t="shared" si="54"/>
        <v/>
      </c>
      <c r="H218" s="24" t="str">
        <f t="shared" si="55"/>
        <v/>
      </c>
      <c r="I218" s="24" t="str">
        <f t="shared" si="56"/>
        <v/>
      </c>
      <c r="J218" s="24" t="str">
        <f t="shared" si="57"/>
        <v/>
      </c>
      <c r="K218" s="24" t="str">
        <f t="shared" si="58"/>
        <v/>
      </c>
      <c r="L218" s="24" t="str">
        <f t="shared" si="59"/>
        <v/>
      </c>
      <c r="M218" s="24" t="str">
        <f t="shared" si="60"/>
        <v/>
      </c>
      <c r="N218" s="24" t="str">
        <f t="shared" si="61"/>
        <v/>
      </c>
      <c r="O218" s="24" t="str">
        <f t="shared" si="62"/>
        <v/>
      </c>
      <c r="P218" s="24" t="str">
        <f t="shared" si="63"/>
        <v/>
      </c>
      <c r="Q218" s="24" t="str">
        <f t="shared" si="64"/>
        <v/>
      </c>
      <c r="R218" s="24" t="str">
        <f t="shared" si="65"/>
        <v/>
      </c>
      <c r="S218" s="24" t="str">
        <f t="shared" si="66"/>
        <v/>
      </c>
      <c r="T218" s="24" t="str">
        <f t="shared" si="67"/>
        <v/>
      </c>
      <c r="X218" s="9" t="str">
        <f t="shared" si="68"/>
        <v/>
      </c>
      <c r="Y218" s="9" t="str">
        <f t="shared" si="69"/>
        <v/>
      </c>
      <c r="Z218" s="9" t="str">
        <f t="shared" si="70"/>
        <v/>
      </c>
      <c r="AA218" s="9" t="str">
        <f t="shared" si="71"/>
        <v/>
      </c>
      <c r="AB218" s="9" t="str">
        <f t="shared" si="72"/>
        <v/>
      </c>
      <c r="AC218" s="9" t="str">
        <f t="shared" si="73"/>
        <v/>
      </c>
      <c r="AD218" s="9" t="str">
        <f t="shared" si="74"/>
        <v/>
      </c>
      <c r="AE218" s="9" t="str">
        <f t="shared" si="75"/>
        <v/>
      </c>
      <c r="AF218" s="25" t="str">
        <f t="shared" si="76"/>
        <v/>
      </c>
      <c r="AG218" s="24" t="str">
        <f t="shared" si="77"/>
        <v/>
      </c>
      <c r="AH218" s="24" t="str">
        <f t="shared" si="78"/>
        <v/>
      </c>
      <c r="AI218" s="24" t="str">
        <f t="shared" si="79"/>
        <v/>
      </c>
      <c r="AJ218" s="24" t="str">
        <f t="shared" si="80"/>
        <v/>
      </c>
      <c r="AK218" s="24" t="str">
        <f t="shared" si="81"/>
        <v/>
      </c>
      <c r="AL218" s="24" t="str">
        <f t="shared" si="82"/>
        <v/>
      </c>
      <c r="AM218" s="24" t="str">
        <f t="shared" si="83"/>
        <v/>
      </c>
      <c r="AQ218" s="9" t="str">
        <f t="shared" si="84"/>
        <v/>
      </c>
      <c r="AR218" s="9" t="str">
        <f t="shared" si="85"/>
        <v/>
      </c>
      <c r="AS218" s="9" t="str">
        <f t="shared" si="86"/>
        <v/>
      </c>
      <c r="AT218" s="9" t="str">
        <f t="shared" si="87"/>
        <v/>
      </c>
      <c r="AU218" s="9" t="str">
        <f t="shared" si="88"/>
        <v/>
      </c>
      <c r="AV218" s="9" t="str">
        <f t="shared" si="89"/>
        <v/>
      </c>
      <c r="AW218" s="9" t="str">
        <f t="shared" si="90"/>
        <v/>
      </c>
      <c r="AX218" s="9" t="str">
        <f t="shared" si="91"/>
        <v/>
      </c>
    </row>
    <row r="219" spans="3:50" hidden="1" x14ac:dyDescent="0.25">
      <c r="C219">
        <v>50</v>
      </c>
      <c r="D219" t="str">
        <f t="shared" si="51"/>
        <v/>
      </c>
      <c r="E219" s="24" t="str">
        <f t="shared" si="52"/>
        <v/>
      </c>
      <c r="F219" s="24" t="str">
        <f t="shared" si="53"/>
        <v/>
      </c>
      <c r="G219" s="24" t="str">
        <f t="shared" si="54"/>
        <v/>
      </c>
      <c r="H219" s="24" t="str">
        <f t="shared" si="55"/>
        <v/>
      </c>
      <c r="I219" s="24" t="str">
        <f t="shared" si="56"/>
        <v/>
      </c>
      <c r="J219" s="24" t="str">
        <f t="shared" si="57"/>
        <v/>
      </c>
      <c r="K219" s="24" t="str">
        <f t="shared" si="58"/>
        <v/>
      </c>
      <c r="L219" s="24" t="str">
        <f t="shared" si="59"/>
        <v/>
      </c>
      <c r="M219" s="24" t="str">
        <f t="shared" si="60"/>
        <v/>
      </c>
      <c r="N219" s="24" t="str">
        <f t="shared" si="61"/>
        <v/>
      </c>
      <c r="O219" s="24" t="str">
        <f t="shared" si="62"/>
        <v/>
      </c>
      <c r="P219" s="24" t="str">
        <f t="shared" si="63"/>
        <v/>
      </c>
      <c r="Q219" s="24" t="str">
        <f t="shared" si="64"/>
        <v/>
      </c>
      <c r="R219" s="24" t="str">
        <f t="shared" si="65"/>
        <v/>
      </c>
      <c r="S219" s="24" t="str">
        <f t="shared" si="66"/>
        <v/>
      </c>
      <c r="T219" s="24" t="str">
        <f t="shared" si="67"/>
        <v/>
      </c>
      <c r="X219" s="9" t="str">
        <f t="shared" si="68"/>
        <v/>
      </c>
      <c r="Y219" s="9" t="str">
        <f t="shared" si="69"/>
        <v/>
      </c>
      <c r="Z219" s="9" t="str">
        <f t="shared" si="70"/>
        <v/>
      </c>
      <c r="AA219" s="9" t="str">
        <f t="shared" si="71"/>
        <v/>
      </c>
      <c r="AB219" s="9" t="str">
        <f t="shared" si="72"/>
        <v/>
      </c>
      <c r="AC219" s="9" t="str">
        <f t="shared" si="73"/>
        <v/>
      </c>
      <c r="AD219" s="9" t="str">
        <f t="shared" si="74"/>
        <v/>
      </c>
      <c r="AE219" s="9" t="str">
        <f t="shared" si="75"/>
        <v/>
      </c>
      <c r="AF219" s="25" t="str">
        <f t="shared" si="76"/>
        <v/>
      </c>
      <c r="AG219" s="24" t="str">
        <f t="shared" si="77"/>
        <v/>
      </c>
      <c r="AH219" s="24" t="str">
        <f t="shared" si="78"/>
        <v/>
      </c>
      <c r="AI219" s="24" t="str">
        <f t="shared" si="79"/>
        <v/>
      </c>
      <c r="AJ219" s="24" t="str">
        <f t="shared" si="80"/>
        <v/>
      </c>
      <c r="AK219" s="24" t="str">
        <f t="shared" si="81"/>
        <v/>
      </c>
      <c r="AL219" s="24" t="str">
        <f t="shared" si="82"/>
        <v/>
      </c>
      <c r="AM219" s="24" t="str">
        <f t="shared" si="83"/>
        <v/>
      </c>
      <c r="AQ219" s="9" t="str">
        <f t="shared" si="84"/>
        <v/>
      </c>
      <c r="AR219" s="9" t="str">
        <f t="shared" si="85"/>
        <v/>
      </c>
      <c r="AS219" s="9" t="str">
        <f t="shared" si="86"/>
        <v/>
      </c>
      <c r="AT219" s="9" t="str">
        <f t="shared" si="87"/>
        <v/>
      </c>
      <c r="AU219" s="9" t="str">
        <f t="shared" si="88"/>
        <v/>
      </c>
      <c r="AV219" s="9" t="str">
        <f t="shared" si="89"/>
        <v/>
      </c>
      <c r="AW219" s="9" t="str">
        <f t="shared" si="90"/>
        <v/>
      </c>
      <c r="AX219" s="9" t="str">
        <f t="shared" si="91"/>
        <v/>
      </c>
    </row>
    <row r="220" spans="3:50" hidden="1" x14ac:dyDescent="0.25">
      <c r="C220">
        <v>51</v>
      </c>
      <c r="D220" t="str">
        <f t="shared" si="51"/>
        <v/>
      </c>
      <c r="E220" s="24" t="str">
        <f t="shared" si="52"/>
        <v/>
      </c>
      <c r="F220" s="24" t="str">
        <f t="shared" si="53"/>
        <v/>
      </c>
      <c r="G220" s="24" t="str">
        <f t="shared" si="54"/>
        <v/>
      </c>
      <c r="H220" s="24" t="str">
        <f t="shared" si="55"/>
        <v/>
      </c>
      <c r="I220" s="24" t="str">
        <f t="shared" si="56"/>
        <v/>
      </c>
      <c r="J220" s="24" t="str">
        <f t="shared" si="57"/>
        <v/>
      </c>
      <c r="K220" s="24" t="str">
        <f t="shared" si="58"/>
        <v/>
      </c>
      <c r="L220" s="24" t="str">
        <f t="shared" si="59"/>
        <v/>
      </c>
      <c r="M220" s="24" t="str">
        <f t="shared" si="60"/>
        <v/>
      </c>
      <c r="N220" s="24" t="str">
        <f t="shared" si="61"/>
        <v/>
      </c>
      <c r="O220" s="24" t="str">
        <f t="shared" si="62"/>
        <v/>
      </c>
      <c r="P220" s="24" t="str">
        <f t="shared" si="63"/>
        <v/>
      </c>
      <c r="Q220" s="24" t="str">
        <f t="shared" si="64"/>
        <v/>
      </c>
      <c r="R220" s="24" t="str">
        <f t="shared" si="65"/>
        <v/>
      </c>
      <c r="S220" s="24" t="str">
        <f t="shared" si="66"/>
        <v/>
      </c>
      <c r="T220" s="24" t="str">
        <f t="shared" si="67"/>
        <v/>
      </c>
      <c r="X220" s="9" t="str">
        <f t="shared" si="68"/>
        <v/>
      </c>
      <c r="Y220" s="9" t="str">
        <f t="shared" si="69"/>
        <v/>
      </c>
      <c r="Z220" s="9" t="str">
        <f t="shared" si="70"/>
        <v/>
      </c>
      <c r="AA220" s="9" t="str">
        <f t="shared" si="71"/>
        <v/>
      </c>
      <c r="AB220" s="9" t="str">
        <f t="shared" si="72"/>
        <v/>
      </c>
      <c r="AC220" s="9" t="str">
        <f t="shared" si="73"/>
        <v/>
      </c>
      <c r="AD220" s="9" t="str">
        <f t="shared" si="74"/>
        <v/>
      </c>
      <c r="AE220" s="9" t="str">
        <f t="shared" si="75"/>
        <v/>
      </c>
      <c r="AF220" s="25" t="str">
        <f t="shared" si="76"/>
        <v/>
      </c>
      <c r="AG220" s="24" t="str">
        <f t="shared" si="77"/>
        <v/>
      </c>
      <c r="AH220" s="24" t="str">
        <f t="shared" si="78"/>
        <v/>
      </c>
      <c r="AI220" s="24" t="str">
        <f t="shared" si="79"/>
        <v/>
      </c>
      <c r="AJ220" s="24" t="str">
        <f t="shared" si="80"/>
        <v/>
      </c>
      <c r="AK220" s="24" t="str">
        <f t="shared" si="81"/>
        <v/>
      </c>
      <c r="AL220" s="24" t="str">
        <f t="shared" si="82"/>
        <v/>
      </c>
      <c r="AM220" s="24" t="str">
        <f t="shared" si="83"/>
        <v/>
      </c>
      <c r="AQ220" s="9" t="str">
        <f t="shared" si="84"/>
        <v/>
      </c>
      <c r="AR220" s="9" t="str">
        <f t="shared" si="85"/>
        <v/>
      </c>
      <c r="AS220" s="9" t="str">
        <f t="shared" si="86"/>
        <v/>
      </c>
      <c r="AT220" s="9" t="str">
        <f t="shared" si="87"/>
        <v/>
      </c>
      <c r="AU220" s="9" t="str">
        <f t="shared" si="88"/>
        <v/>
      </c>
      <c r="AV220" s="9" t="str">
        <f t="shared" si="89"/>
        <v/>
      </c>
      <c r="AW220" s="9" t="str">
        <f t="shared" si="90"/>
        <v/>
      </c>
      <c r="AX220" s="9" t="str">
        <f t="shared" si="91"/>
        <v/>
      </c>
    </row>
    <row r="221" spans="3:50" hidden="1" x14ac:dyDescent="0.25">
      <c r="C221">
        <v>52</v>
      </c>
      <c r="D221" t="str">
        <f t="shared" si="51"/>
        <v/>
      </c>
      <c r="E221" s="24" t="str">
        <f t="shared" si="52"/>
        <v/>
      </c>
      <c r="F221" s="24" t="str">
        <f t="shared" si="53"/>
        <v/>
      </c>
      <c r="G221" s="24" t="str">
        <f t="shared" si="54"/>
        <v/>
      </c>
      <c r="H221" s="24" t="str">
        <f t="shared" si="55"/>
        <v/>
      </c>
      <c r="I221" s="24" t="str">
        <f t="shared" si="56"/>
        <v/>
      </c>
      <c r="J221" s="24" t="str">
        <f t="shared" si="57"/>
        <v/>
      </c>
      <c r="K221" s="24" t="str">
        <f t="shared" si="58"/>
        <v/>
      </c>
      <c r="L221" s="24" t="str">
        <f t="shared" si="59"/>
        <v/>
      </c>
      <c r="M221" s="24" t="str">
        <f t="shared" si="60"/>
        <v/>
      </c>
      <c r="N221" s="24" t="str">
        <f t="shared" si="61"/>
        <v/>
      </c>
      <c r="O221" s="24" t="str">
        <f t="shared" si="62"/>
        <v/>
      </c>
      <c r="P221" s="24" t="str">
        <f t="shared" si="63"/>
        <v/>
      </c>
      <c r="Q221" s="24" t="str">
        <f t="shared" si="64"/>
        <v/>
      </c>
      <c r="R221" s="24" t="str">
        <f t="shared" si="65"/>
        <v/>
      </c>
      <c r="S221" s="24" t="str">
        <f t="shared" si="66"/>
        <v/>
      </c>
      <c r="T221" s="24" t="str">
        <f t="shared" si="67"/>
        <v/>
      </c>
      <c r="X221" s="9" t="str">
        <f t="shared" si="68"/>
        <v/>
      </c>
      <c r="Y221" s="9" t="str">
        <f t="shared" si="69"/>
        <v/>
      </c>
      <c r="Z221" s="9" t="str">
        <f t="shared" si="70"/>
        <v/>
      </c>
      <c r="AA221" s="9" t="str">
        <f t="shared" si="71"/>
        <v/>
      </c>
      <c r="AB221" s="9" t="str">
        <f t="shared" si="72"/>
        <v/>
      </c>
      <c r="AC221" s="9" t="str">
        <f t="shared" si="73"/>
        <v/>
      </c>
      <c r="AD221" s="9" t="str">
        <f t="shared" si="74"/>
        <v/>
      </c>
      <c r="AE221" s="9" t="str">
        <f t="shared" si="75"/>
        <v/>
      </c>
      <c r="AF221" s="25" t="str">
        <f t="shared" si="76"/>
        <v/>
      </c>
      <c r="AG221" s="24" t="str">
        <f t="shared" si="77"/>
        <v/>
      </c>
      <c r="AH221" s="24" t="str">
        <f t="shared" si="78"/>
        <v/>
      </c>
      <c r="AI221" s="24" t="str">
        <f t="shared" si="79"/>
        <v/>
      </c>
      <c r="AJ221" s="24" t="str">
        <f t="shared" si="80"/>
        <v/>
      </c>
      <c r="AK221" s="24" t="str">
        <f t="shared" si="81"/>
        <v/>
      </c>
      <c r="AL221" s="24" t="str">
        <f t="shared" si="82"/>
        <v/>
      </c>
      <c r="AM221" s="24" t="str">
        <f t="shared" si="83"/>
        <v/>
      </c>
      <c r="AQ221" s="9" t="str">
        <f t="shared" si="84"/>
        <v/>
      </c>
      <c r="AR221" s="9" t="str">
        <f t="shared" si="85"/>
        <v/>
      </c>
      <c r="AS221" s="9" t="str">
        <f t="shared" si="86"/>
        <v/>
      </c>
      <c r="AT221" s="9" t="str">
        <f t="shared" si="87"/>
        <v/>
      </c>
      <c r="AU221" s="9" t="str">
        <f t="shared" si="88"/>
        <v/>
      </c>
      <c r="AV221" s="9" t="str">
        <f t="shared" si="89"/>
        <v/>
      </c>
      <c r="AW221" s="9" t="str">
        <f t="shared" si="90"/>
        <v/>
      </c>
      <c r="AX221" s="9" t="str">
        <f t="shared" si="91"/>
        <v/>
      </c>
    </row>
    <row r="222" spans="3:50" hidden="1" x14ac:dyDescent="0.25">
      <c r="C222">
        <v>53</v>
      </c>
      <c r="D222" t="str">
        <f t="shared" si="51"/>
        <v/>
      </c>
      <c r="E222" s="24" t="str">
        <f t="shared" si="52"/>
        <v/>
      </c>
      <c r="F222" s="24" t="str">
        <f t="shared" si="53"/>
        <v/>
      </c>
      <c r="G222" s="24" t="str">
        <f t="shared" si="54"/>
        <v/>
      </c>
      <c r="H222" s="24" t="str">
        <f t="shared" si="55"/>
        <v/>
      </c>
      <c r="I222" s="24" t="str">
        <f t="shared" si="56"/>
        <v/>
      </c>
      <c r="J222" s="24" t="str">
        <f t="shared" si="57"/>
        <v/>
      </c>
      <c r="K222" s="24" t="str">
        <f t="shared" si="58"/>
        <v/>
      </c>
      <c r="L222" s="24" t="str">
        <f t="shared" si="59"/>
        <v/>
      </c>
      <c r="M222" s="24" t="str">
        <f t="shared" si="60"/>
        <v/>
      </c>
      <c r="N222" s="24" t="str">
        <f t="shared" si="61"/>
        <v/>
      </c>
      <c r="O222" s="24" t="str">
        <f t="shared" si="62"/>
        <v/>
      </c>
      <c r="P222" s="24" t="str">
        <f t="shared" si="63"/>
        <v/>
      </c>
      <c r="Q222" s="24" t="str">
        <f t="shared" si="64"/>
        <v/>
      </c>
      <c r="R222" s="24" t="str">
        <f t="shared" si="65"/>
        <v/>
      </c>
      <c r="S222" s="24" t="str">
        <f t="shared" si="66"/>
        <v/>
      </c>
      <c r="T222" s="24" t="str">
        <f t="shared" si="67"/>
        <v/>
      </c>
      <c r="X222" s="9" t="str">
        <f t="shared" si="68"/>
        <v/>
      </c>
      <c r="Y222" s="9" t="str">
        <f t="shared" si="69"/>
        <v/>
      </c>
      <c r="Z222" s="9" t="str">
        <f t="shared" si="70"/>
        <v/>
      </c>
      <c r="AA222" s="9" t="str">
        <f t="shared" si="71"/>
        <v/>
      </c>
      <c r="AB222" s="9" t="str">
        <f t="shared" si="72"/>
        <v/>
      </c>
      <c r="AC222" s="9" t="str">
        <f t="shared" si="73"/>
        <v/>
      </c>
      <c r="AD222" s="9" t="str">
        <f t="shared" si="74"/>
        <v/>
      </c>
      <c r="AE222" s="9" t="str">
        <f t="shared" si="75"/>
        <v/>
      </c>
      <c r="AF222" s="25" t="str">
        <f t="shared" si="76"/>
        <v/>
      </c>
      <c r="AG222" s="24" t="str">
        <f t="shared" si="77"/>
        <v/>
      </c>
      <c r="AH222" s="24" t="str">
        <f t="shared" si="78"/>
        <v/>
      </c>
      <c r="AI222" s="24" t="str">
        <f t="shared" si="79"/>
        <v/>
      </c>
      <c r="AJ222" s="24" t="str">
        <f t="shared" si="80"/>
        <v/>
      </c>
      <c r="AK222" s="24" t="str">
        <f t="shared" si="81"/>
        <v/>
      </c>
      <c r="AL222" s="24" t="str">
        <f t="shared" si="82"/>
        <v/>
      </c>
      <c r="AM222" s="24" t="str">
        <f t="shared" si="83"/>
        <v/>
      </c>
      <c r="AQ222" s="9" t="str">
        <f t="shared" si="84"/>
        <v/>
      </c>
      <c r="AR222" s="9" t="str">
        <f t="shared" si="85"/>
        <v/>
      </c>
      <c r="AS222" s="9" t="str">
        <f t="shared" si="86"/>
        <v/>
      </c>
      <c r="AT222" s="9" t="str">
        <f t="shared" si="87"/>
        <v/>
      </c>
      <c r="AU222" s="9" t="str">
        <f t="shared" si="88"/>
        <v/>
      </c>
      <c r="AV222" s="9" t="str">
        <f t="shared" si="89"/>
        <v/>
      </c>
      <c r="AW222" s="9" t="str">
        <f t="shared" si="90"/>
        <v/>
      </c>
      <c r="AX222" s="9" t="str">
        <f t="shared" si="91"/>
        <v/>
      </c>
    </row>
    <row r="223" spans="3:50" hidden="1" x14ac:dyDescent="0.25">
      <c r="C223">
        <v>54</v>
      </c>
      <c r="D223" t="str">
        <f t="shared" si="51"/>
        <v/>
      </c>
      <c r="E223" s="24" t="str">
        <f t="shared" si="52"/>
        <v/>
      </c>
      <c r="F223" s="24" t="str">
        <f t="shared" si="53"/>
        <v/>
      </c>
      <c r="G223" s="24" t="str">
        <f t="shared" si="54"/>
        <v/>
      </c>
      <c r="H223" s="24" t="str">
        <f t="shared" si="55"/>
        <v/>
      </c>
      <c r="I223" s="24" t="str">
        <f t="shared" si="56"/>
        <v/>
      </c>
      <c r="J223" s="24" t="str">
        <f t="shared" si="57"/>
        <v/>
      </c>
      <c r="K223" s="24" t="str">
        <f t="shared" si="58"/>
        <v/>
      </c>
      <c r="L223" s="24" t="str">
        <f t="shared" si="59"/>
        <v/>
      </c>
      <c r="M223" s="24" t="str">
        <f t="shared" si="60"/>
        <v/>
      </c>
      <c r="N223" s="24" t="str">
        <f t="shared" si="61"/>
        <v/>
      </c>
      <c r="O223" s="24" t="str">
        <f t="shared" si="62"/>
        <v/>
      </c>
      <c r="P223" s="24" t="str">
        <f t="shared" si="63"/>
        <v/>
      </c>
      <c r="Q223" s="24" t="str">
        <f t="shared" si="64"/>
        <v/>
      </c>
      <c r="R223" s="24" t="str">
        <f t="shared" si="65"/>
        <v/>
      </c>
      <c r="S223" s="24" t="str">
        <f t="shared" si="66"/>
        <v/>
      </c>
      <c r="T223" s="24" t="str">
        <f t="shared" si="67"/>
        <v/>
      </c>
      <c r="X223" s="9" t="str">
        <f t="shared" si="68"/>
        <v/>
      </c>
      <c r="Y223" s="9" t="str">
        <f t="shared" si="69"/>
        <v/>
      </c>
      <c r="Z223" s="9" t="str">
        <f t="shared" si="70"/>
        <v/>
      </c>
      <c r="AA223" s="9" t="str">
        <f t="shared" si="71"/>
        <v/>
      </c>
      <c r="AB223" s="9" t="str">
        <f t="shared" si="72"/>
        <v/>
      </c>
      <c r="AC223" s="9" t="str">
        <f t="shared" si="73"/>
        <v/>
      </c>
      <c r="AD223" s="9" t="str">
        <f t="shared" si="74"/>
        <v/>
      </c>
      <c r="AE223" s="9" t="str">
        <f t="shared" si="75"/>
        <v/>
      </c>
      <c r="AF223" s="25" t="str">
        <f t="shared" si="76"/>
        <v/>
      </c>
      <c r="AG223" s="24" t="str">
        <f t="shared" si="77"/>
        <v/>
      </c>
      <c r="AH223" s="24" t="str">
        <f t="shared" si="78"/>
        <v/>
      </c>
      <c r="AI223" s="24" t="str">
        <f t="shared" si="79"/>
        <v/>
      </c>
      <c r="AJ223" s="24" t="str">
        <f t="shared" si="80"/>
        <v/>
      </c>
      <c r="AK223" s="24" t="str">
        <f t="shared" si="81"/>
        <v/>
      </c>
      <c r="AL223" s="24" t="str">
        <f t="shared" si="82"/>
        <v/>
      </c>
      <c r="AM223" s="24" t="str">
        <f t="shared" si="83"/>
        <v/>
      </c>
      <c r="AQ223" s="9" t="str">
        <f t="shared" si="84"/>
        <v/>
      </c>
      <c r="AR223" s="9" t="str">
        <f t="shared" si="85"/>
        <v/>
      </c>
      <c r="AS223" s="9" t="str">
        <f t="shared" si="86"/>
        <v/>
      </c>
      <c r="AT223" s="9" t="str">
        <f t="shared" si="87"/>
        <v/>
      </c>
      <c r="AU223" s="9" t="str">
        <f t="shared" si="88"/>
        <v/>
      </c>
      <c r="AV223" s="9" t="str">
        <f t="shared" si="89"/>
        <v/>
      </c>
      <c r="AW223" s="9" t="str">
        <f t="shared" si="90"/>
        <v/>
      </c>
      <c r="AX223" s="9" t="str">
        <f t="shared" si="91"/>
        <v/>
      </c>
    </row>
    <row r="224" spans="3:50" hidden="1" x14ac:dyDescent="0.25">
      <c r="C224">
        <v>55</v>
      </c>
      <c r="D224" t="str">
        <f t="shared" si="51"/>
        <v/>
      </c>
      <c r="E224" s="24" t="str">
        <f t="shared" si="52"/>
        <v/>
      </c>
      <c r="F224" s="24" t="str">
        <f t="shared" si="53"/>
        <v/>
      </c>
      <c r="G224" s="24" t="str">
        <f t="shared" si="54"/>
        <v/>
      </c>
      <c r="H224" s="24" t="str">
        <f t="shared" si="55"/>
        <v/>
      </c>
      <c r="I224" s="24" t="str">
        <f t="shared" si="56"/>
        <v/>
      </c>
      <c r="J224" s="24" t="str">
        <f t="shared" si="57"/>
        <v/>
      </c>
      <c r="K224" s="24" t="str">
        <f t="shared" si="58"/>
        <v/>
      </c>
      <c r="L224" s="24" t="str">
        <f t="shared" si="59"/>
        <v/>
      </c>
      <c r="M224" s="24" t="str">
        <f t="shared" si="60"/>
        <v/>
      </c>
      <c r="N224" s="24" t="str">
        <f t="shared" si="61"/>
        <v/>
      </c>
      <c r="O224" s="24" t="str">
        <f t="shared" si="62"/>
        <v/>
      </c>
      <c r="P224" s="24" t="str">
        <f t="shared" si="63"/>
        <v/>
      </c>
      <c r="Q224" s="24" t="str">
        <f t="shared" si="64"/>
        <v/>
      </c>
      <c r="R224" s="24" t="str">
        <f t="shared" si="65"/>
        <v/>
      </c>
      <c r="S224" s="24" t="str">
        <f t="shared" si="66"/>
        <v/>
      </c>
      <c r="T224" s="24" t="str">
        <f t="shared" si="67"/>
        <v/>
      </c>
      <c r="X224" s="9" t="str">
        <f t="shared" si="68"/>
        <v/>
      </c>
      <c r="Y224" s="9" t="str">
        <f t="shared" si="69"/>
        <v/>
      </c>
      <c r="Z224" s="9" t="str">
        <f t="shared" si="70"/>
        <v/>
      </c>
      <c r="AA224" s="9" t="str">
        <f t="shared" si="71"/>
        <v/>
      </c>
      <c r="AB224" s="9" t="str">
        <f t="shared" si="72"/>
        <v/>
      </c>
      <c r="AC224" s="9" t="str">
        <f t="shared" si="73"/>
        <v/>
      </c>
      <c r="AD224" s="9" t="str">
        <f t="shared" si="74"/>
        <v/>
      </c>
      <c r="AE224" s="9" t="str">
        <f t="shared" si="75"/>
        <v/>
      </c>
      <c r="AF224" s="25" t="str">
        <f t="shared" si="76"/>
        <v/>
      </c>
      <c r="AG224" s="24" t="str">
        <f t="shared" si="77"/>
        <v/>
      </c>
      <c r="AH224" s="24" t="str">
        <f t="shared" si="78"/>
        <v/>
      </c>
      <c r="AI224" s="24" t="str">
        <f t="shared" si="79"/>
        <v/>
      </c>
      <c r="AJ224" s="24" t="str">
        <f t="shared" si="80"/>
        <v/>
      </c>
      <c r="AK224" s="24" t="str">
        <f t="shared" si="81"/>
        <v/>
      </c>
      <c r="AL224" s="24" t="str">
        <f t="shared" si="82"/>
        <v/>
      </c>
      <c r="AM224" s="24" t="str">
        <f t="shared" si="83"/>
        <v/>
      </c>
      <c r="AQ224" s="9" t="str">
        <f t="shared" si="84"/>
        <v/>
      </c>
      <c r="AR224" s="9" t="str">
        <f t="shared" si="85"/>
        <v/>
      </c>
      <c r="AS224" s="9" t="str">
        <f t="shared" si="86"/>
        <v/>
      </c>
      <c r="AT224" s="9" t="str">
        <f t="shared" si="87"/>
        <v/>
      </c>
      <c r="AU224" s="9" t="str">
        <f t="shared" si="88"/>
        <v/>
      </c>
      <c r="AV224" s="9" t="str">
        <f t="shared" si="89"/>
        <v/>
      </c>
      <c r="AW224" s="9" t="str">
        <f t="shared" si="90"/>
        <v/>
      </c>
      <c r="AX224" s="9" t="str">
        <f t="shared" si="91"/>
        <v/>
      </c>
    </row>
    <row r="225" spans="3:50" hidden="1" x14ac:dyDescent="0.25">
      <c r="C225">
        <v>56</v>
      </c>
      <c r="D225" t="str">
        <f t="shared" si="51"/>
        <v/>
      </c>
      <c r="E225" s="24" t="str">
        <f t="shared" si="52"/>
        <v/>
      </c>
      <c r="F225" s="24" t="str">
        <f t="shared" si="53"/>
        <v/>
      </c>
      <c r="G225" s="24" t="str">
        <f t="shared" si="54"/>
        <v/>
      </c>
      <c r="H225" s="24" t="str">
        <f t="shared" si="55"/>
        <v/>
      </c>
      <c r="I225" s="24" t="str">
        <f t="shared" si="56"/>
        <v/>
      </c>
      <c r="J225" s="24" t="str">
        <f t="shared" si="57"/>
        <v/>
      </c>
      <c r="K225" s="24" t="str">
        <f t="shared" si="58"/>
        <v/>
      </c>
      <c r="L225" s="24" t="str">
        <f t="shared" si="59"/>
        <v/>
      </c>
      <c r="M225" s="24" t="str">
        <f t="shared" si="60"/>
        <v/>
      </c>
      <c r="N225" s="24" t="str">
        <f t="shared" si="61"/>
        <v/>
      </c>
      <c r="O225" s="24" t="str">
        <f t="shared" si="62"/>
        <v/>
      </c>
      <c r="P225" s="24" t="str">
        <f t="shared" si="63"/>
        <v/>
      </c>
      <c r="Q225" s="24" t="str">
        <f t="shared" si="64"/>
        <v/>
      </c>
      <c r="R225" s="24" t="str">
        <f t="shared" si="65"/>
        <v/>
      </c>
      <c r="S225" s="24" t="str">
        <f t="shared" si="66"/>
        <v/>
      </c>
      <c r="T225" s="24" t="str">
        <f t="shared" si="67"/>
        <v/>
      </c>
      <c r="X225" s="9" t="str">
        <f t="shared" si="68"/>
        <v/>
      </c>
      <c r="Y225" s="9" t="str">
        <f t="shared" si="69"/>
        <v/>
      </c>
      <c r="Z225" s="9" t="str">
        <f t="shared" si="70"/>
        <v/>
      </c>
      <c r="AA225" s="9" t="str">
        <f t="shared" si="71"/>
        <v/>
      </c>
      <c r="AB225" s="9" t="str">
        <f t="shared" si="72"/>
        <v/>
      </c>
      <c r="AC225" s="9" t="str">
        <f t="shared" si="73"/>
        <v/>
      </c>
      <c r="AD225" s="9" t="str">
        <f t="shared" si="74"/>
        <v/>
      </c>
      <c r="AE225" s="9" t="str">
        <f t="shared" si="75"/>
        <v/>
      </c>
      <c r="AF225" s="25" t="str">
        <f t="shared" si="76"/>
        <v/>
      </c>
      <c r="AG225" s="24" t="str">
        <f t="shared" si="77"/>
        <v/>
      </c>
      <c r="AH225" s="24" t="str">
        <f t="shared" si="78"/>
        <v/>
      </c>
      <c r="AI225" s="24" t="str">
        <f t="shared" si="79"/>
        <v/>
      </c>
      <c r="AJ225" s="24" t="str">
        <f t="shared" si="80"/>
        <v/>
      </c>
      <c r="AK225" s="24" t="str">
        <f t="shared" si="81"/>
        <v/>
      </c>
      <c r="AL225" s="24" t="str">
        <f t="shared" si="82"/>
        <v/>
      </c>
      <c r="AM225" s="24" t="str">
        <f t="shared" si="83"/>
        <v/>
      </c>
      <c r="AQ225" s="9" t="str">
        <f t="shared" si="84"/>
        <v/>
      </c>
      <c r="AR225" s="9" t="str">
        <f t="shared" si="85"/>
        <v/>
      </c>
      <c r="AS225" s="9" t="str">
        <f t="shared" si="86"/>
        <v/>
      </c>
      <c r="AT225" s="9" t="str">
        <f t="shared" si="87"/>
        <v/>
      </c>
      <c r="AU225" s="9" t="str">
        <f t="shared" si="88"/>
        <v/>
      </c>
      <c r="AV225" s="9" t="str">
        <f t="shared" si="89"/>
        <v/>
      </c>
      <c r="AW225" s="9" t="str">
        <f t="shared" si="90"/>
        <v/>
      </c>
      <c r="AX225" s="9" t="str">
        <f t="shared" si="91"/>
        <v/>
      </c>
    </row>
    <row r="226" spans="3:50" hidden="1" x14ac:dyDescent="0.25">
      <c r="C226">
        <v>57</v>
      </c>
      <c r="D226" t="str">
        <f t="shared" si="51"/>
        <v/>
      </c>
      <c r="E226" s="24" t="str">
        <f t="shared" si="52"/>
        <v/>
      </c>
      <c r="F226" s="24" t="str">
        <f t="shared" si="53"/>
        <v/>
      </c>
      <c r="G226" s="24" t="str">
        <f t="shared" si="54"/>
        <v/>
      </c>
      <c r="H226" s="24" t="str">
        <f t="shared" si="55"/>
        <v/>
      </c>
      <c r="I226" s="24" t="str">
        <f t="shared" si="56"/>
        <v/>
      </c>
      <c r="J226" s="24" t="str">
        <f t="shared" si="57"/>
        <v/>
      </c>
      <c r="K226" s="24" t="str">
        <f t="shared" si="58"/>
        <v/>
      </c>
      <c r="L226" s="24" t="str">
        <f t="shared" si="59"/>
        <v/>
      </c>
      <c r="M226" s="24" t="str">
        <f t="shared" si="60"/>
        <v/>
      </c>
      <c r="N226" s="24" t="str">
        <f t="shared" si="61"/>
        <v/>
      </c>
      <c r="O226" s="24" t="str">
        <f t="shared" si="62"/>
        <v/>
      </c>
      <c r="P226" s="24" t="str">
        <f t="shared" si="63"/>
        <v/>
      </c>
      <c r="Q226" s="24" t="str">
        <f t="shared" si="64"/>
        <v/>
      </c>
      <c r="R226" s="24" t="str">
        <f t="shared" si="65"/>
        <v/>
      </c>
      <c r="S226" s="24" t="str">
        <f t="shared" si="66"/>
        <v/>
      </c>
      <c r="T226" s="24" t="str">
        <f t="shared" si="67"/>
        <v/>
      </c>
      <c r="X226" s="9" t="str">
        <f t="shared" si="68"/>
        <v/>
      </c>
      <c r="Y226" s="9" t="str">
        <f t="shared" si="69"/>
        <v/>
      </c>
      <c r="Z226" s="9" t="str">
        <f t="shared" si="70"/>
        <v/>
      </c>
      <c r="AA226" s="9" t="str">
        <f t="shared" si="71"/>
        <v/>
      </c>
      <c r="AB226" s="9" t="str">
        <f t="shared" si="72"/>
        <v/>
      </c>
      <c r="AC226" s="9" t="str">
        <f t="shared" si="73"/>
        <v/>
      </c>
      <c r="AD226" s="9" t="str">
        <f t="shared" si="74"/>
        <v/>
      </c>
      <c r="AE226" s="9" t="str">
        <f t="shared" si="75"/>
        <v/>
      </c>
      <c r="AF226" s="25" t="str">
        <f t="shared" si="76"/>
        <v/>
      </c>
      <c r="AG226" s="24" t="str">
        <f t="shared" si="77"/>
        <v/>
      </c>
      <c r="AH226" s="24" t="str">
        <f t="shared" si="78"/>
        <v/>
      </c>
      <c r="AI226" s="24" t="str">
        <f t="shared" si="79"/>
        <v/>
      </c>
      <c r="AJ226" s="24" t="str">
        <f t="shared" si="80"/>
        <v/>
      </c>
      <c r="AK226" s="24" t="str">
        <f t="shared" si="81"/>
        <v/>
      </c>
      <c r="AL226" s="24" t="str">
        <f t="shared" si="82"/>
        <v/>
      </c>
      <c r="AM226" s="24" t="str">
        <f t="shared" si="83"/>
        <v/>
      </c>
      <c r="AQ226" s="9" t="str">
        <f t="shared" si="84"/>
        <v/>
      </c>
      <c r="AR226" s="9" t="str">
        <f t="shared" si="85"/>
        <v/>
      </c>
      <c r="AS226" s="9" t="str">
        <f t="shared" si="86"/>
        <v/>
      </c>
      <c r="AT226" s="9" t="str">
        <f t="shared" si="87"/>
        <v/>
      </c>
      <c r="AU226" s="9" t="str">
        <f t="shared" si="88"/>
        <v/>
      </c>
      <c r="AV226" s="9" t="str">
        <f t="shared" si="89"/>
        <v/>
      </c>
      <c r="AW226" s="9" t="str">
        <f t="shared" si="90"/>
        <v/>
      </c>
      <c r="AX226" s="9" t="str">
        <f t="shared" si="91"/>
        <v/>
      </c>
    </row>
    <row r="227" spans="3:50" hidden="1" x14ac:dyDescent="0.25">
      <c r="C227">
        <v>58</v>
      </c>
      <c r="D227" t="str">
        <f t="shared" si="51"/>
        <v/>
      </c>
      <c r="E227" s="24" t="str">
        <f t="shared" si="52"/>
        <v/>
      </c>
      <c r="F227" s="24" t="str">
        <f t="shared" si="53"/>
        <v/>
      </c>
      <c r="G227" s="24" t="str">
        <f t="shared" si="54"/>
        <v/>
      </c>
      <c r="H227" s="24" t="str">
        <f t="shared" si="55"/>
        <v/>
      </c>
      <c r="I227" s="24" t="str">
        <f t="shared" si="56"/>
        <v/>
      </c>
      <c r="J227" s="24" t="str">
        <f t="shared" si="57"/>
        <v/>
      </c>
      <c r="K227" s="24" t="str">
        <f t="shared" si="58"/>
        <v/>
      </c>
      <c r="L227" s="24" t="str">
        <f t="shared" si="59"/>
        <v/>
      </c>
      <c r="M227" s="24" t="str">
        <f t="shared" si="60"/>
        <v/>
      </c>
      <c r="N227" s="24" t="str">
        <f t="shared" si="61"/>
        <v/>
      </c>
      <c r="O227" s="24" t="str">
        <f t="shared" si="62"/>
        <v/>
      </c>
      <c r="P227" s="24" t="str">
        <f t="shared" si="63"/>
        <v/>
      </c>
      <c r="Q227" s="24" t="str">
        <f t="shared" si="64"/>
        <v/>
      </c>
      <c r="R227" s="24" t="str">
        <f t="shared" si="65"/>
        <v/>
      </c>
      <c r="S227" s="24" t="str">
        <f t="shared" si="66"/>
        <v/>
      </c>
      <c r="T227" s="24" t="str">
        <f t="shared" si="67"/>
        <v/>
      </c>
      <c r="X227" s="9" t="str">
        <f t="shared" si="68"/>
        <v/>
      </c>
      <c r="Y227" s="9" t="str">
        <f t="shared" si="69"/>
        <v/>
      </c>
      <c r="Z227" s="9" t="str">
        <f t="shared" si="70"/>
        <v/>
      </c>
      <c r="AA227" s="9" t="str">
        <f t="shared" si="71"/>
        <v/>
      </c>
      <c r="AB227" s="9" t="str">
        <f t="shared" si="72"/>
        <v/>
      </c>
      <c r="AC227" s="9" t="str">
        <f t="shared" si="73"/>
        <v/>
      </c>
      <c r="AD227" s="9" t="str">
        <f t="shared" si="74"/>
        <v/>
      </c>
      <c r="AE227" s="9" t="str">
        <f t="shared" si="75"/>
        <v/>
      </c>
      <c r="AF227" s="25" t="str">
        <f t="shared" si="76"/>
        <v/>
      </c>
      <c r="AG227" s="24" t="str">
        <f t="shared" si="77"/>
        <v/>
      </c>
      <c r="AH227" s="24" t="str">
        <f t="shared" si="78"/>
        <v/>
      </c>
      <c r="AI227" s="24" t="str">
        <f t="shared" si="79"/>
        <v/>
      </c>
      <c r="AJ227" s="24" t="str">
        <f t="shared" si="80"/>
        <v/>
      </c>
      <c r="AK227" s="24" t="str">
        <f t="shared" si="81"/>
        <v/>
      </c>
      <c r="AL227" s="24" t="str">
        <f t="shared" si="82"/>
        <v/>
      </c>
      <c r="AM227" s="24" t="str">
        <f t="shared" si="83"/>
        <v/>
      </c>
      <c r="AQ227" s="9" t="str">
        <f t="shared" si="84"/>
        <v/>
      </c>
      <c r="AR227" s="9" t="str">
        <f t="shared" si="85"/>
        <v/>
      </c>
      <c r="AS227" s="9" t="str">
        <f t="shared" si="86"/>
        <v/>
      </c>
      <c r="AT227" s="9" t="str">
        <f t="shared" si="87"/>
        <v/>
      </c>
      <c r="AU227" s="9" t="str">
        <f t="shared" si="88"/>
        <v/>
      </c>
      <c r="AV227" s="9" t="str">
        <f t="shared" si="89"/>
        <v/>
      </c>
      <c r="AW227" s="9" t="str">
        <f t="shared" si="90"/>
        <v/>
      </c>
      <c r="AX227" s="9" t="str">
        <f t="shared" si="91"/>
        <v/>
      </c>
    </row>
    <row r="228" spans="3:50" hidden="1" x14ac:dyDescent="0.25">
      <c r="C228">
        <v>59</v>
      </c>
      <c r="D228" t="str">
        <f t="shared" si="51"/>
        <v/>
      </c>
      <c r="E228" s="24" t="str">
        <f t="shared" si="52"/>
        <v/>
      </c>
      <c r="F228" s="24" t="str">
        <f t="shared" si="53"/>
        <v/>
      </c>
      <c r="G228" s="24" t="str">
        <f t="shared" si="54"/>
        <v/>
      </c>
      <c r="H228" s="24" t="str">
        <f t="shared" si="55"/>
        <v/>
      </c>
      <c r="I228" s="24" t="str">
        <f t="shared" si="56"/>
        <v/>
      </c>
      <c r="J228" s="24" t="str">
        <f t="shared" si="57"/>
        <v/>
      </c>
      <c r="K228" s="24" t="str">
        <f t="shared" si="58"/>
        <v/>
      </c>
      <c r="L228" s="24" t="str">
        <f t="shared" si="59"/>
        <v/>
      </c>
      <c r="M228" s="24" t="str">
        <f t="shared" si="60"/>
        <v/>
      </c>
      <c r="N228" s="24" t="str">
        <f t="shared" si="61"/>
        <v/>
      </c>
      <c r="O228" s="24" t="str">
        <f t="shared" si="62"/>
        <v/>
      </c>
      <c r="P228" s="24" t="str">
        <f t="shared" si="63"/>
        <v/>
      </c>
      <c r="Q228" s="24" t="str">
        <f t="shared" si="64"/>
        <v/>
      </c>
      <c r="R228" s="24" t="str">
        <f t="shared" si="65"/>
        <v/>
      </c>
      <c r="S228" s="24" t="str">
        <f t="shared" si="66"/>
        <v/>
      </c>
      <c r="T228" s="24" t="str">
        <f t="shared" si="67"/>
        <v/>
      </c>
      <c r="X228" s="9" t="str">
        <f t="shared" si="68"/>
        <v/>
      </c>
      <c r="Y228" s="9" t="str">
        <f t="shared" si="69"/>
        <v/>
      </c>
      <c r="Z228" s="9" t="str">
        <f t="shared" si="70"/>
        <v/>
      </c>
      <c r="AA228" s="9" t="str">
        <f t="shared" si="71"/>
        <v/>
      </c>
      <c r="AB228" s="9" t="str">
        <f t="shared" si="72"/>
        <v/>
      </c>
      <c r="AC228" s="9" t="str">
        <f t="shared" si="73"/>
        <v/>
      </c>
      <c r="AD228" s="9" t="str">
        <f t="shared" si="74"/>
        <v/>
      </c>
      <c r="AE228" s="9" t="str">
        <f t="shared" si="75"/>
        <v/>
      </c>
      <c r="AF228" s="25" t="str">
        <f t="shared" si="76"/>
        <v/>
      </c>
      <c r="AG228" s="24" t="str">
        <f t="shared" si="77"/>
        <v/>
      </c>
      <c r="AH228" s="24" t="str">
        <f t="shared" si="78"/>
        <v/>
      </c>
      <c r="AI228" s="24" t="str">
        <f t="shared" si="79"/>
        <v/>
      </c>
      <c r="AJ228" s="24" t="str">
        <f t="shared" si="80"/>
        <v/>
      </c>
      <c r="AK228" s="24" t="str">
        <f t="shared" si="81"/>
        <v/>
      </c>
      <c r="AL228" s="24" t="str">
        <f t="shared" si="82"/>
        <v/>
      </c>
      <c r="AM228" s="24" t="str">
        <f t="shared" si="83"/>
        <v/>
      </c>
      <c r="AQ228" s="9" t="str">
        <f t="shared" si="84"/>
        <v/>
      </c>
      <c r="AR228" s="9" t="str">
        <f t="shared" si="85"/>
        <v/>
      </c>
      <c r="AS228" s="9" t="str">
        <f t="shared" si="86"/>
        <v/>
      </c>
      <c r="AT228" s="9" t="str">
        <f t="shared" si="87"/>
        <v/>
      </c>
      <c r="AU228" s="9" t="str">
        <f t="shared" si="88"/>
        <v/>
      </c>
      <c r="AV228" s="9" t="str">
        <f t="shared" si="89"/>
        <v/>
      </c>
      <c r="AW228" s="9" t="str">
        <f t="shared" si="90"/>
        <v/>
      </c>
      <c r="AX228" s="9" t="str">
        <f t="shared" si="91"/>
        <v/>
      </c>
    </row>
    <row r="229" spans="3:50" hidden="1" x14ac:dyDescent="0.25">
      <c r="C229">
        <v>60</v>
      </c>
      <c r="D229" t="str">
        <f t="shared" si="51"/>
        <v/>
      </c>
      <c r="E229" s="24" t="str">
        <f t="shared" si="52"/>
        <v/>
      </c>
      <c r="F229" s="24" t="str">
        <f t="shared" si="53"/>
        <v/>
      </c>
      <c r="G229" s="24" t="str">
        <f t="shared" si="54"/>
        <v/>
      </c>
      <c r="H229" s="24" t="str">
        <f t="shared" si="55"/>
        <v/>
      </c>
      <c r="I229" s="24" t="str">
        <f t="shared" si="56"/>
        <v/>
      </c>
      <c r="J229" s="24" t="str">
        <f t="shared" si="57"/>
        <v/>
      </c>
      <c r="K229" s="24" t="str">
        <f t="shared" si="58"/>
        <v/>
      </c>
      <c r="L229" s="24" t="str">
        <f t="shared" si="59"/>
        <v/>
      </c>
      <c r="M229" s="24" t="str">
        <f t="shared" si="60"/>
        <v/>
      </c>
      <c r="N229" s="24" t="str">
        <f t="shared" si="61"/>
        <v/>
      </c>
      <c r="O229" s="24" t="str">
        <f t="shared" si="62"/>
        <v/>
      </c>
      <c r="P229" s="24" t="str">
        <f t="shared" si="63"/>
        <v/>
      </c>
      <c r="Q229" s="24" t="str">
        <f t="shared" si="64"/>
        <v/>
      </c>
      <c r="R229" s="24" t="str">
        <f t="shared" si="65"/>
        <v/>
      </c>
      <c r="S229" s="24" t="str">
        <f t="shared" si="66"/>
        <v/>
      </c>
      <c r="T229" s="24" t="str">
        <f t="shared" si="67"/>
        <v/>
      </c>
      <c r="X229" s="9" t="str">
        <f t="shared" si="68"/>
        <v/>
      </c>
      <c r="Y229" s="9" t="str">
        <f t="shared" si="69"/>
        <v/>
      </c>
      <c r="Z229" s="9" t="str">
        <f t="shared" si="70"/>
        <v/>
      </c>
      <c r="AA229" s="9" t="str">
        <f t="shared" si="71"/>
        <v/>
      </c>
      <c r="AB229" s="9" t="str">
        <f t="shared" si="72"/>
        <v/>
      </c>
      <c r="AC229" s="9" t="str">
        <f t="shared" si="73"/>
        <v/>
      </c>
      <c r="AD229" s="9" t="str">
        <f t="shared" si="74"/>
        <v/>
      </c>
      <c r="AE229" s="9" t="str">
        <f t="shared" si="75"/>
        <v/>
      </c>
      <c r="AF229" s="25" t="str">
        <f t="shared" si="76"/>
        <v/>
      </c>
      <c r="AG229" s="24" t="str">
        <f t="shared" si="77"/>
        <v/>
      </c>
      <c r="AH229" s="24" t="str">
        <f t="shared" si="78"/>
        <v/>
      </c>
      <c r="AI229" s="24" t="str">
        <f t="shared" si="79"/>
        <v/>
      </c>
      <c r="AJ229" s="24" t="str">
        <f t="shared" si="80"/>
        <v/>
      </c>
      <c r="AK229" s="24" t="str">
        <f t="shared" si="81"/>
        <v/>
      </c>
      <c r="AL229" s="24" t="str">
        <f t="shared" si="82"/>
        <v/>
      </c>
      <c r="AM229" s="24" t="str">
        <f t="shared" si="83"/>
        <v/>
      </c>
      <c r="AQ229" s="9" t="str">
        <f t="shared" si="84"/>
        <v/>
      </c>
      <c r="AR229" s="9" t="str">
        <f t="shared" si="85"/>
        <v/>
      </c>
      <c r="AS229" s="9" t="str">
        <f t="shared" si="86"/>
        <v/>
      </c>
      <c r="AT229" s="9" t="str">
        <f t="shared" si="87"/>
        <v/>
      </c>
      <c r="AU229" s="9" t="str">
        <f t="shared" si="88"/>
        <v/>
      </c>
      <c r="AV229" s="9" t="str">
        <f t="shared" si="89"/>
        <v/>
      </c>
      <c r="AW229" s="9" t="str">
        <f t="shared" si="90"/>
        <v/>
      </c>
      <c r="AX229" s="9" t="str">
        <f t="shared" si="91"/>
        <v/>
      </c>
    </row>
    <row r="230" spans="3:50" hidden="1" x14ac:dyDescent="0.25">
      <c r="C230">
        <v>61</v>
      </c>
      <c r="D230" t="str">
        <f t="shared" si="51"/>
        <v/>
      </c>
      <c r="E230" s="24" t="str">
        <f t="shared" si="52"/>
        <v/>
      </c>
      <c r="F230" s="24" t="str">
        <f t="shared" si="53"/>
        <v/>
      </c>
      <c r="G230" s="24" t="str">
        <f t="shared" si="54"/>
        <v/>
      </c>
      <c r="H230" s="24" t="str">
        <f t="shared" si="55"/>
        <v/>
      </c>
      <c r="I230" s="24" t="str">
        <f t="shared" si="56"/>
        <v/>
      </c>
      <c r="J230" s="24" t="str">
        <f t="shared" si="57"/>
        <v/>
      </c>
      <c r="K230" s="24" t="str">
        <f t="shared" si="58"/>
        <v/>
      </c>
      <c r="L230" s="24" t="str">
        <f t="shared" si="59"/>
        <v/>
      </c>
      <c r="M230" s="24" t="str">
        <f t="shared" si="60"/>
        <v/>
      </c>
      <c r="N230" s="24" t="str">
        <f t="shared" si="61"/>
        <v/>
      </c>
      <c r="O230" s="24" t="str">
        <f t="shared" si="62"/>
        <v/>
      </c>
      <c r="P230" s="24" t="str">
        <f t="shared" si="63"/>
        <v/>
      </c>
      <c r="Q230" s="24" t="str">
        <f t="shared" si="64"/>
        <v/>
      </c>
      <c r="R230" s="24" t="str">
        <f t="shared" si="65"/>
        <v/>
      </c>
      <c r="S230" s="24" t="str">
        <f t="shared" si="66"/>
        <v/>
      </c>
      <c r="T230" s="24" t="str">
        <f t="shared" si="67"/>
        <v/>
      </c>
      <c r="X230" s="9" t="str">
        <f t="shared" si="68"/>
        <v/>
      </c>
      <c r="Y230" s="9" t="str">
        <f t="shared" si="69"/>
        <v/>
      </c>
      <c r="Z230" s="9" t="str">
        <f t="shared" si="70"/>
        <v/>
      </c>
      <c r="AA230" s="9" t="str">
        <f t="shared" si="71"/>
        <v/>
      </c>
      <c r="AB230" s="9" t="str">
        <f t="shared" si="72"/>
        <v/>
      </c>
      <c r="AC230" s="9" t="str">
        <f t="shared" si="73"/>
        <v/>
      </c>
      <c r="AD230" s="9" t="str">
        <f t="shared" si="74"/>
        <v/>
      </c>
      <c r="AE230" s="9" t="str">
        <f t="shared" si="75"/>
        <v/>
      </c>
      <c r="AF230" s="25" t="str">
        <f t="shared" si="76"/>
        <v/>
      </c>
      <c r="AG230" s="24" t="str">
        <f t="shared" si="77"/>
        <v/>
      </c>
      <c r="AH230" s="24" t="str">
        <f t="shared" si="78"/>
        <v/>
      </c>
      <c r="AI230" s="24" t="str">
        <f t="shared" si="79"/>
        <v/>
      </c>
      <c r="AJ230" s="24" t="str">
        <f t="shared" si="80"/>
        <v/>
      </c>
      <c r="AK230" s="24" t="str">
        <f t="shared" si="81"/>
        <v/>
      </c>
      <c r="AL230" s="24" t="str">
        <f t="shared" si="82"/>
        <v/>
      </c>
      <c r="AM230" s="24" t="str">
        <f t="shared" si="83"/>
        <v/>
      </c>
      <c r="AQ230" s="9" t="str">
        <f t="shared" si="84"/>
        <v/>
      </c>
      <c r="AR230" s="9" t="str">
        <f t="shared" si="85"/>
        <v/>
      </c>
      <c r="AS230" s="9" t="str">
        <f t="shared" si="86"/>
        <v/>
      </c>
      <c r="AT230" s="9" t="str">
        <f t="shared" si="87"/>
        <v/>
      </c>
      <c r="AU230" s="9" t="str">
        <f t="shared" si="88"/>
        <v/>
      </c>
      <c r="AV230" s="9" t="str">
        <f t="shared" si="89"/>
        <v/>
      </c>
      <c r="AW230" s="9" t="str">
        <f t="shared" si="90"/>
        <v/>
      </c>
      <c r="AX230" s="9" t="str">
        <f t="shared" si="91"/>
        <v/>
      </c>
    </row>
    <row r="231" spans="3:50" hidden="1" x14ac:dyDescent="0.25">
      <c r="C231">
        <v>62</v>
      </c>
      <c r="D231" t="str">
        <f t="shared" si="51"/>
        <v/>
      </c>
      <c r="E231" s="24" t="str">
        <f t="shared" si="52"/>
        <v/>
      </c>
      <c r="F231" s="24" t="str">
        <f t="shared" si="53"/>
        <v/>
      </c>
      <c r="G231" s="24" t="str">
        <f t="shared" si="54"/>
        <v/>
      </c>
      <c r="H231" s="24" t="str">
        <f t="shared" si="55"/>
        <v/>
      </c>
      <c r="I231" s="24" t="str">
        <f t="shared" si="56"/>
        <v/>
      </c>
      <c r="J231" s="24" t="str">
        <f t="shared" si="57"/>
        <v/>
      </c>
      <c r="K231" s="24" t="str">
        <f t="shared" si="58"/>
        <v/>
      </c>
      <c r="L231" s="24" t="str">
        <f t="shared" si="59"/>
        <v/>
      </c>
      <c r="M231" s="24" t="str">
        <f t="shared" si="60"/>
        <v/>
      </c>
      <c r="N231" s="24" t="str">
        <f t="shared" si="61"/>
        <v/>
      </c>
      <c r="O231" s="24" t="str">
        <f t="shared" si="62"/>
        <v/>
      </c>
      <c r="P231" s="24" t="str">
        <f t="shared" si="63"/>
        <v/>
      </c>
      <c r="Q231" s="24" t="str">
        <f t="shared" si="64"/>
        <v/>
      </c>
      <c r="R231" s="24" t="str">
        <f t="shared" si="65"/>
        <v/>
      </c>
      <c r="S231" s="24" t="str">
        <f t="shared" si="66"/>
        <v/>
      </c>
      <c r="T231" s="24" t="str">
        <f t="shared" si="67"/>
        <v/>
      </c>
      <c r="X231" s="9" t="str">
        <f t="shared" si="68"/>
        <v/>
      </c>
      <c r="Y231" s="9" t="str">
        <f t="shared" si="69"/>
        <v/>
      </c>
      <c r="Z231" s="9" t="str">
        <f t="shared" si="70"/>
        <v/>
      </c>
      <c r="AA231" s="9" t="str">
        <f t="shared" si="71"/>
        <v/>
      </c>
      <c r="AB231" s="9" t="str">
        <f t="shared" si="72"/>
        <v/>
      </c>
      <c r="AC231" s="9" t="str">
        <f t="shared" si="73"/>
        <v/>
      </c>
      <c r="AD231" s="9" t="str">
        <f t="shared" si="74"/>
        <v/>
      </c>
      <c r="AE231" s="9" t="str">
        <f t="shared" si="75"/>
        <v/>
      </c>
      <c r="AF231" s="25" t="str">
        <f t="shared" si="76"/>
        <v/>
      </c>
      <c r="AG231" s="24" t="str">
        <f t="shared" si="77"/>
        <v/>
      </c>
      <c r="AH231" s="24" t="str">
        <f t="shared" si="78"/>
        <v/>
      </c>
      <c r="AI231" s="24" t="str">
        <f t="shared" si="79"/>
        <v/>
      </c>
      <c r="AJ231" s="24" t="str">
        <f t="shared" si="80"/>
        <v/>
      </c>
      <c r="AK231" s="24" t="str">
        <f t="shared" si="81"/>
        <v/>
      </c>
      <c r="AL231" s="24" t="str">
        <f t="shared" si="82"/>
        <v/>
      </c>
      <c r="AM231" s="24" t="str">
        <f t="shared" si="83"/>
        <v/>
      </c>
      <c r="AQ231" s="9" t="str">
        <f t="shared" si="84"/>
        <v/>
      </c>
      <c r="AR231" s="9" t="str">
        <f t="shared" si="85"/>
        <v/>
      </c>
      <c r="AS231" s="9" t="str">
        <f t="shared" si="86"/>
        <v/>
      </c>
      <c r="AT231" s="9" t="str">
        <f t="shared" si="87"/>
        <v/>
      </c>
      <c r="AU231" s="9" t="str">
        <f t="shared" si="88"/>
        <v/>
      </c>
      <c r="AV231" s="9" t="str">
        <f t="shared" si="89"/>
        <v/>
      </c>
      <c r="AW231" s="9" t="str">
        <f t="shared" si="90"/>
        <v/>
      </c>
      <c r="AX231" s="9" t="str">
        <f t="shared" si="91"/>
        <v/>
      </c>
    </row>
    <row r="232" spans="3:50" hidden="1" x14ac:dyDescent="0.25">
      <c r="C232">
        <v>63</v>
      </c>
      <c r="D232" t="str">
        <f t="shared" si="51"/>
        <v/>
      </c>
      <c r="E232" s="24" t="str">
        <f t="shared" si="52"/>
        <v/>
      </c>
      <c r="F232" s="24" t="str">
        <f t="shared" si="53"/>
        <v/>
      </c>
      <c r="G232" s="24" t="str">
        <f t="shared" si="54"/>
        <v/>
      </c>
      <c r="H232" s="24" t="str">
        <f t="shared" si="55"/>
        <v/>
      </c>
      <c r="I232" s="24" t="str">
        <f t="shared" si="56"/>
        <v/>
      </c>
      <c r="J232" s="24" t="str">
        <f t="shared" si="57"/>
        <v/>
      </c>
      <c r="K232" s="24" t="str">
        <f t="shared" si="58"/>
        <v/>
      </c>
      <c r="L232" s="24" t="str">
        <f t="shared" si="59"/>
        <v/>
      </c>
      <c r="M232" s="24" t="str">
        <f t="shared" si="60"/>
        <v/>
      </c>
      <c r="N232" s="24" t="str">
        <f t="shared" si="61"/>
        <v/>
      </c>
      <c r="O232" s="24" t="str">
        <f t="shared" si="62"/>
        <v/>
      </c>
      <c r="P232" s="24" t="str">
        <f t="shared" si="63"/>
        <v/>
      </c>
      <c r="Q232" s="24" t="str">
        <f t="shared" si="64"/>
        <v/>
      </c>
      <c r="R232" s="24" t="str">
        <f t="shared" si="65"/>
        <v/>
      </c>
      <c r="S232" s="24" t="str">
        <f t="shared" si="66"/>
        <v/>
      </c>
      <c r="T232" s="24" t="str">
        <f t="shared" si="67"/>
        <v/>
      </c>
      <c r="X232" s="9" t="str">
        <f t="shared" si="68"/>
        <v/>
      </c>
      <c r="Y232" s="9" t="str">
        <f t="shared" si="69"/>
        <v/>
      </c>
      <c r="Z232" s="9" t="str">
        <f t="shared" si="70"/>
        <v/>
      </c>
      <c r="AA232" s="9" t="str">
        <f t="shared" si="71"/>
        <v/>
      </c>
      <c r="AB232" s="9" t="str">
        <f t="shared" si="72"/>
        <v/>
      </c>
      <c r="AC232" s="9" t="str">
        <f t="shared" si="73"/>
        <v/>
      </c>
      <c r="AD232" s="9" t="str">
        <f t="shared" si="74"/>
        <v/>
      </c>
      <c r="AE232" s="9" t="str">
        <f t="shared" si="75"/>
        <v/>
      </c>
      <c r="AF232" s="25" t="str">
        <f t="shared" si="76"/>
        <v/>
      </c>
      <c r="AG232" s="24" t="str">
        <f t="shared" si="77"/>
        <v/>
      </c>
      <c r="AH232" s="24" t="str">
        <f t="shared" si="78"/>
        <v/>
      </c>
      <c r="AI232" s="24" t="str">
        <f t="shared" si="79"/>
        <v/>
      </c>
      <c r="AJ232" s="24" t="str">
        <f t="shared" si="80"/>
        <v/>
      </c>
      <c r="AK232" s="24" t="str">
        <f t="shared" si="81"/>
        <v/>
      </c>
      <c r="AL232" s="24" t="str">
        <f t="shared" si="82"/>
        <v/>
      </c>
      <c r="AM232" s="24" t="str">
        <f t="shared" si="83"/>
        <v/>
      </c>
      <c r="AQ232" s="9" t="str">
        <f t="shared" si="84"/>
        <v/>
      </c>
      <c r="AR232" s="9" t="str">
        <f t="shared" si="85"/>
        <v/>
      </c>
      <c r="AS232" s="9" t="str">
        <f t="shared" si="86"/>
        <v/>
      </c>
      <c r="AT232" s="9" t="str">
        <f t="shared" si="87"/>
        <v/>
      </c>
      <c r="AU232" s="9" t="str">
        <f t="shared" si="88"/>
        <v/>
      </c>
      <c r="AV232" s="9" t="str">
        <f t="shared" si="89"/>
        <v/>
      </c>
      <c r="AW232" s="9" t="str">
        <f t="shared" si="90"/>
        <v/>
      </c>
      <c r="AX232" s="9" t="str">
        <f t="shared" si="91"/>
        <v/>
      </c>
    </row>
    <row r="233" spans="3:50" s="10" customFormat="1" hidden="1" x14ac:dyDescent="0.25">
      <c r="C233" s="10">
        <v>64</v>
      </c>
      <c r="D233" t="str">
        <f t="shared" si="51"/>
        <v/>
      </c>
      <c r="E233" s="24" t="str">
        <f t="shared" si="52"/>
        <v/>
      </c>
      <c r="F233" s="24" t="str">
        <f t="shared" si="53"/>
        <v/>
      </c>
      <c r="G233" s="24" t="str">
        <f t="shared" si="54"/>
        <v/>
      </c>
      <c r="H233" s="24" t="str">
        <f t="shared" si="55"/>
        <v/>
      </c>
      <c r="I233" s="24" t="str">
        <f t="shared" si="56"/>
        <v/>
      </c>
      <c r="J233" s="24" t="str">
        <f t="shared" si="57"/>
        <v/>
      </c>
      <c r="K233" s="24" t="str">
        <f t="shared" si="58"/>
        <v/>
      </c>
      <c r="L233" s="24" t="str">
        <f t="shared" si="59"/>
        <v/>
      </c>
      <c r="M233" s="24" t="str">
        <f t="shared" si="60"/>
        <v/>
      </c>
      <c r="N233" s="24" t="str">
        <f t="shared" si="61"/>
        <v/>
      </c>
      <c r="O233" s="24" t="str">
        <f t="shared" si="62"/>
        <v/>
      </c>
      <c r="P233" s="24" t="str">
        <f t="shared" si="63"/>
        <v/>
      </c>
      <c r="Q233" s="24" t="str">
        <f t="shared" si="64"/>
        <v/>
      </c>
      <c r="R233" s="24" t="str">
        <f t="shared" si="65"/>
        <v/>
      </c>
      <c r="S233" s="24" t="str">
        <f t="shared" si="66"/>
        <v/>
      </c>
      <c r="T233" s="24" t="str">
        <f t="shared" si="67"/>
        <v/>
      </c>
      <c r="X233" s="9" t="str">
        <f t="shared" si="68"/>
        <v/>
      </c>
      <c r="Y233" s="9" t="str">
        <f t="shared" si="69"/>
        <v/>
      </c>
      <c r="Z233" s="9" t="str">
        <f t="shared" si="70"/>
        <v/>
      </c>
      <c r="AA233" s="9" t="str">
        <f t="shared" si="71"/>
        <v/>
      </c>
      <c r="AB233" s="9" t="str">
        <f t="shared" si="72"/>
        <v/>
      </c>
      <c r="AC233" s="9" t="str">
        <f t="shared" si="73"/>
        <v/>
      </c>
      <c r="AD233" s="9" t="str">
        <f t="shared" si="74"/>
        <v/>
      </c>
      <c r="AE233" s="9" t="str">
        <f t="shared" si="75"/>
        <v/>
      </c>
      <c r="AF233" s="25" t="str">
        <f t="shared" si="76"/>
        <v/>
      </c>
      <c r="AG233" s="24" t="str">
        <f t="shared" si="77"/>
        <v/>
      </c>
      <c r="AH233" s="24" t="str">
        <f t="shared" si="78"/>
        <v/>
      </c>
      <c r="AI233" s="24" t="str">
        <f t="shared" si="79"/>
        <v/>
      </c>
      <c r="AJ233" s="24" t="str">
        <f t="shared" si="80"/>
        <v/>
      </c>
      <c r="AK233" s="24" t="str">
        <f t="shared" si="81"/>
        <v/>
      </c>
      <c r="AL233" s="24" t="str">
        <f t="shared" si="82"/>
        <v/>
      </c>
      <c r="AM233" s="24" t="str">
        <f t="shared" si="83"/>
        <v/>
      </c>
      <c r="AQ233" s="9" t="str">
        <f t="shared" si="84"/>
        <v/>
      </c>
      <c r="AR233" s="9" t="str">
        <f t="shared" si="85"/>
        <v/>
      </c>
      <c r="AS233" s="9" t="str">
        <f t="shared" si="86"/>
        <v/>
      </c>
      <c r="AT233" s="9" t="str">
        <f t="shared" si="87"/>
        <v/>
      </c>
      <c r="AU233" s="9" t="str">
        <f t="shared" si="88"/>
        <v/>
      </c>
      <c r="AV233" s="9" t="str">
        <f t="shared" si="89"/>
        <v/>
      </c>
      <c r="AW233" s="9" t="str">
        <f t="shared" si="90"/>
        <v/>
      </c>
      <c r="AX233" s="9" t="str">
        <f t="shared" si="91"/>
        <v/>
      </c>
    </row>
    <row r="234" spans="3:50" hidden="1" x14ac:dyDescent="0.25">
      <c r="C234">
        <v>65</v>
      </c>
      <c r="D234" t="str">
        <f t="shared" ref="D234:D265" si="92">IF(ISNUMBER(E234),C234,"")</f>
        <v/>
      </c>
      <c r="E234" s="24" t="str">
        <f t="shared" ref="E234:T234" si="93">E170</f>
        <v/>
      </c>
      <c r="F234" s="24" t="str">
        <f t="shared" si="93"/>
        <v/>
      </c>
      <c r="G234" s="24" t="str">
        <f t="shared" si="93"/>
        <v/>
      </c>
      <c r="H234" s="24" t="str">
        <f t="shared" si="93"/>
        <v/>
      </c>
      <c r="I234" s="24" t="str">
        <f t="shared" si="93"/>
        <v/>
      </c>
      <c r="J234" s="24" t="str">
        <f t="shared" si="93"/>
        <v/>
      </c>
      <c r="K234" s="24" t="str">
        <f t="shared" si="93"/>
        <v/>
      </c>
      <c r="L234" s="24" t="str">
        <f t="shared" si="93"/>
        <v/>
      </c>
      <c r="M234" s="24" t="str">
        <f t="shared" si="93"/>
        <v/>
      </c>
      <c r="N234" s="24" t="str">
        <f t="shared" si="93"/>
        <v/>
      </c>
      <c r="O234" s="24" t="str">
        <f t="shared" si="93"/>
        <v/>
      </c>
      <c r="P234" s="24" t="str">
        <f t="shared" si="93"/>
        <v/>
      </c>
      <c r="Q234" s="24" t="str">
        <f t="shared" si="93"/>
        <v/>
      </c>
      <c r="R234" s="24" t="str">
        <f t="shared" si="93"/>
        <v/>
      </c>
      <c r="S234" s="24" t="str">
        <f t="shared" si="93"/>
        <v/>
      </c>
      <c r="T234" s="24" t="str">
        <f t="shared" si="93"/>
        <v/>
      </c>
      <c r="X234" s="246" t="str">
        <f t="shared" ref="X234:AM234" si="94">X170</f>
        <v/>
      </c>
      <c r="Y234" s="9" t="str">
        <f t="shared" si="94"/>
        <v/>
      </c>
      <c r="Z234" s="9" t="str">
        <f t="shared" si="94"/>
        <v/>
      </c>
      <c r="AA234" s="9" t="str">
        <f t="shared" si="94"/>
        <v/>
      </c>
      <c r="AB234" s="9" t="str">
        <f t="shared" si="94"/>
        <v/>
      </c>
      <c r="AC234" s="9" t="str">
        <f t="shared" si="94"/>
        <v/>
      </c>
      <c r="AD234" s="9" t="str">
        <f t="shared" si="94"/>
        <v/>
      </c>
      <c r="AE234" s="247" t="str">
        <f t="shared" si="94"/>
        <v/>
      </c>
      <c r="AF234" s="25" t="str">
        <f t="shared" si="94"/>
        <v/>
      </c>
      <c r="AG234" s="25" t="str">
        <f t="shared" si="94"/>
        <v/>
      </c>
      <c r="AH234" s="25" t="str">
        <f t="shared" si="94"/>
        <v/>
      </c>
      <c r="AI234" s="25" t="str">
        <f t="shared" si="94"/>
        <v/>
      </c>
      <c r="AJ234" s="25" t="str">
        <f t="shared" si="94"/>
        <v/>
      </c>
      <c r="AK234" s="25" t="str">
        <f t="shared" si="94"/>
        <v/>
      </c>
      <c r="AL234" s="25" t="str">
        <f t="shared" si="94"/>
        <v/>
      </c>
      <c r="AM234" s="25" t="str">
        <f t="shared" si="94"/>
        <v/>
      </c>
      <c r="AQ234" s="9" t="str">
        <f t="shared" ref="AQ234:AX243" si="95">AQ170</f>
        <v/>
      </c>
      <c r="AR234" s="9" t="str">
        <f t="shared" si="95"/>
        <v/>
      </c>
      <c r="AS234" s="9" t="str">
        <f t="shared" si="95"/>
        <v/>
      </c>
      <c r="AT234" s="9" t="str">
        <f t="shared" si="95"/>
        <v/>
      </c>
      <c r="AU234" s="9" t="str">
        <f t="shared" si="95"/>
        <v/>
      </c>
      <c r="AV234" s="9" t="str">
        <f t="shared" si="95"/>
        <v/>
      </c>
      <c r="AW234" s="9" t="str">
        <f t="shared" si="95"/>
        <v/>
      </c>
      <c r="AX234" s="9" t="str">
        <f t="shared" si="95"/>
        <v/>
      </c>
    </row>
    <row r="235" spans="3:50" hidden="1" x14ac:dyDescent="0.25">
      <c r="C235">
        <v>66</v>
      </c>
      <c r="D235" t="str">
        <f t="shared" si="92"/>
        <v/>
      </c>
      <c r="E235" s="24" t="str">
        <f t="shared" ref="E235:T235" si="96">E171</f>
        <v/>
      </c>
      <c r="F235" s="24" t="str">
        <f t="shared" si="96"/>
        <v/>
      </c>
      <c r="G235" s="24" t="str">
        <f t="shared" si="96"/>
        <v/>
      </c>
      <c r="H235" s="24" t="str">
        <f t="shared" si="96"/>
        <v/>
      </c>
      <c r="I235" s="24" t="str">
        <f t="shared" si="96"/>
        <v/>
      </c>
      <c r="J235" s="24" t="str">
        <f t="shared" si="96"/>
        <v/>
      </c>
      <c r="K235" s="24" t="str">
        <f t="shared" si="96"/>
        <v/>
      </c>
      <c r="L235" s="24" t="str">
        <f t="shared" si="96"/>
        <v/>
      </c>
      <c r="M235" s="24" t="str">
        <f t="shared" si="96"/>
        <v/>
      </c>
      <c r="N235" s="24" t="str">
        <f t="shared" si="96"/>
        <v/>
      </c>
      <c r="O235" s="24" t="str">
        <f t="shared" si="96"/>
        <v/>
      </c>
      <c r="P235" s="24" t="str">
        <f t="shared" si="96"/>
        <v/>
      </c>
      <c r="Q235" s="24" t="str">
        <f t="shared" si="96"/>
        <v/>
      </c>
      <c r="R235" s="24" t="str">
        <f t="shared" si="96"/>
        <v/>
      </c>
      <c r="S235" s="24" t="str">
        <f t="shared" si="96"/>
        <v/>
      </c>
      <c r="T235" s="24" t="str">
        <f t="shared" si="96"/>
        <v/>
      </c>
      <c r="X235" s="246" t="str">
        <f t="shared" ref="X235:AM235" si="97">X171</f>
        <v/>
      </c>
      <c r="Y235" s="9" t="str">
        <f t="shared" si="97"/>
        <v/>
      </c>
      <c r="Z235" s="9" t="str">
        <f t="shared" si="97"/>
        <v/>
      </c>
      <c r="AA235" s="9" t="str">
        <f t="shared" si="97"/>
        <v/>
      </c>
      <c r="AB235" s="9" t="str">
        <f t="shared" si="97"/>
        <v/>
      </c>
      <c r="AC235" s="9" t="str">
        <f t="shared" si="97"/>
        <v/>
      </c>
      <c r="AD235" s="9" t="str">
        <f t="shared" si="97"/>
        <v/>
      </c>
      <c r="AE235" s="247" t="str">
        <f t="shared" si="97"/>
        <v/>
      </c>
      <c r="AF235" s="25" t="str">
        <f t="shared" si="97"/>
        <v/>
      </c>
      <c r="AG235" s="25" t="str">
        <f t="shared" si="97"/>
        <v/>
      </c>
      <c r="AH235" s="25" t="str">
        <f t="shared" si="97"/>
        <v/>
      </c>
      <c r="AI235" s="25" t="str">
        <f t="shared" si="97"/>
        <v/>
      </c>
      <c r="AJ235" s="25" t="str">
        <f t="shared" si="97"/>
        <v/>
      </c>
      <c r="AK235" s="25" t="str">
        <f t="shared" si="97"/>
        <v/>
      </c>
      <c r="AL235" s="25" t="str">
        <f t="shared" si="97"/>
        <v/>
      </c>
      <c r="AM235" s="25" t="str">
        <f t="shared" si="97"/>
        <v/>
      </c>
      <c r="AQ235" s="9" t="str">
        <f t="shared" si="95"/>
        <v/>
      </c>
      <c r="AR235" s="9" t="str">
        <f t="shared" si="95"/>
        <v/>
      </c>
      <c r="AS235" s="9" t="str">
        <f t="shared" si="95"/>
        <v/>
      </c>
      <c r="AT235" s="9" t="str">
        <f t="shared" si="95"/>
        <v/>
      </c>
      <c r="AU235" s="9" t="str">
        <f t="shared" si="95"/>
        <v/>
      </c>
      <c r="AV235" s="9" t="str">
        <f t="shared" si="95"/>
        <v/>
      </c>
      <c r="AW235" s="9" t="str">
        <f t="shared" si="95"/>
        <v/>
      </c>
      <c r="AX235" s="9" t="str">
        <f t="shared" si="95"/>
        <v/>
      </c>
    </row>
    <row r="236" spans="3:50" hidden="1" x14ac:dyDescent="0.25">
      <c r="C236">
        <v>67</v>
      </c>
      <c r="D236" t="str">
        <f t="shared" si="92"/>
        <v/>
      </c>
      <c r="E236" s="24" t="str">
        <f t="shared" ref="E236:T236" si="98">E172</f>
        <v/>
      </c>
      <c r="F236" s="24" t="str">
        <f t="shared" si="98"/>
        <v/>
      </c>
      <c r="G236" s="24" t="str">
        <f t="shared" si="98"/>
        <v/>
      </c>
      <c r="H236" s="24" t="str">
        <f t="shared" si="98"/>
        <v/>
      </c>
      <c r="I236" s="24" t="str">
        <f t="shared" si="98"/>
        <v/>
      </c>
      <c r="J236" s="24" t="str">
        <f t="shared" si="98"/>
        <v/>
      </c>
      <c r="K236" s="24" t="str">
        <f t="shared" si="98"/>
        <v/>
      </c>
      <c r="L236" s="24" t="str">
        <f t="shared" si="98"/>
        <v/>
      </c>
      <c r="M236" s="24" t="str">
        <f t="shared" si="98"/>
        <v/>
      </c>
      <c r="N236" s="24" t="str">
        <f t="shared" si="98"/>
        <v/>
      </c>
      <c r="O236" s="24" t="str">
        <f t="shared" si="98"/>
        <v/>
      </c>
      <c r="P236" s="24" t="str">
        <f t="shared" si="98"/>
        <v/>
      </c>
      <c r="Q236" s="24" t="str">
        <f t="shared" si="98"/>
        <v/>
      </c>
      <c r="R236" s="24" t="str">
        <f t="shared" si="98"/>
        <v/>
      </c>
      <c r="S236" s="24" t="str">
        <f t="shared" si="98"/>
        <v/>
      </c>
      <c r="T236" s="24" t="str">
        <f t="shared" si="98"/>
        <v/>
      </c>
      <c r="X236" s="246" t="str">
        <f t="shared" ref="X236:AM236" si="99">X172</f>
        <v/>
      </c>
      <c r="Y236" s="9" t="str">
        <f t="shared" si="99"/>
        <v/>
      </c>
      <c r="Z236" s="9" t="str">
        <f t="shared" si="99"/>
        <v/>
      </c>
      <c r="AA236" s="9" t="str">
        <f t="shared" si="99"/>
        <v/>
      </c>
      <c r="AB236" s="9" t="str">
        <f t="shared" si="99"/>
        <v/>
      </c>
      <c r="AC236" s="9" t="str">
        <f t="shared" si="99"/>
        <v/>
      </c>
      <c r="AD236" s="9" t="str">
        <f t="shared" si="99"/>
        <v/>
      </c>
      <c r="AE236" s="247" t="str">
        <f t="shared" si="99"/>
        <v/>
      </c>
      <c r="AF236" s="25" t="str">
        <f t="shared" si="99"/>
        <v/>
      </c>
      <c r="AG236" s="25" t="str">
        <f t="shared" si="99"/>
        <v/>
      </c>
      <c r="AH236" s="25" t="str">
        <f t="shared" si="99"/>
        <v/>
      </c>
      <c r="AI236" s="25" t="str">
        <f t="shared" si="99"/>
        <v/>
      </c>
      <c r="AJ236" s="25" t="str">
        <f t="shared" si="99"/>
        <v/>
      </c>
      <c r="AK236" s="25" t="str">
        <f t="shared" si="99"/>
        <v/>
      </c>
      <c r="AL236" s="25" t="str">
        <f t="shared" si="99"/>
        <v/>
      </c>
      <c r="AM236" s="25" t="str">
        <f t="shared" si="99"/>
        <v/>
      </c>
      <c r="AQ236" s="9" t="str">
        <f t="shared" si="95"/>
        <v/>
      </c>
      <c r="AR236" s="9" t="str">
        <f t="shared" si="95"/>
        <v/>
      </c>
      <c r="AS236" s="9" t="str">
        <f t="shared" si="95"/>
        <v/>
      </c>
      <c r="AT236" s="9" t="str">
        <f t="shared" si="95"/>
        <v/>
      </c>
      <c r="AU236" s="9" t="str">
        <f t="shared" si="95"/>
        <v/>
      </c>
      <c r="AV236" s="9" t="str">
        <f t="shared" si="95"/>
        <v/>
      </c>
      <c r="AW236" s="9" t="str">
        <f t="shared" si="95"/>
        <v/>
      </c>
      <c r="AX236" s="9" t="str">
        <f t="shared" si="95"/>
        <v/>
      </c>
    </row>
    <row r="237" spans="3:50" hidden="1" x14ac:dyDescent="0.25">
      <c r="C237">
        <v>68</v>
      </c>
      <c r="D237" t="str">
        <f t="shared" si="92"/>
        <v/>
      </c>
      <c r="E237" s="24" t="str">
        <f t="shared" ref="E237:T237" si="100">E173</f>
        <v/>
      </c>
      <c r="F237" s="24" t="str">
        <f t="shared" si="100"/>
        <v/>
      </c>
      <c r="G237" s="24" t="str">
        <f t="shared" si="100"/>
        <v/>
      </c>
      <c r="H237" s="24" t="str">
        <f t="shared" si="100"/>
        <v/>
      </c>
      <c r="I237" s="24" t="str">
        <f t="shared" si="100"/>
        <v/>
      </c>
      <c r="J237" s="24" t="str">
        <f t="shared" si="100"/>
        <v/>
      </c>
      <c r="K237" s="24" t="str">
        <f t="shared" si="100"/>
        <v/>
      </c>
      <c r="L237" s="24" t="str">
        <f t="shared" si="100"/>
        <v/>
      </c>
      <c r="M237" s="24" t="str">
        <f t="shared" si="100"/>
        <v/>
      </c>
      <c r="N237" s="24" t="str">
        <f t="shared" si="100"/>
        <v/>
      </c>
      <c r="O237" s="24" t="str">
        <f t="shared" si="100"/>
        <v/>
      </c>
      <c r="P237" s="24" t="str">
        <f t="shared" si="100"/>
        <v/>
      </c>
      <c r="Q237" s="24" t="str">
        <f t="shared" si="100"/>
        <v/>
      </c>
      <c r="R237" s="24" t="str">
        <f t="shared" si="100"/>
        <v/>
      </c>
      <c r="S237" s="24" t="str">
        <f t="shared" si="100"/>
        <v/>
      </c>
      <c r="T237" s="24" t="str">
        <f t="shared" si="100"/>
        <v/>
      </c>
      <c r="X237" s="246" t="str">
        <f t="shared" ref="X237:AM237" si="101">X173</f>
        <v/>
      </c>
      <c r="Y237" s="9" t="str">
        <f t="shared" si="101"/>
        <v/>
      </c>
      <c r="Z237" s="9" t="str">
        <f t="shared" si="101"/>
        <v/>
      </c>
      <c r="AA237" s="9" t="str">
        <f t="shared" si="101"/>
        <v/>
      </c>
      <c r="AB237" s="9" t="str">
        <f t="shared" si="101"/>
        <v/>
      </c>
      <c r="AC237" s="9" t="str">
        <f t="shared" si="101"/>
        <v/>
      </c>
      <c r="AD237" s="9" t="str">
        <f t="shared" si="101"/>
        <v/>
      </c>
      <c r="AE237" s="247" t="str">
        <f t="shared" si="101"/>
        <v/>
      </c>
      <c r="AF237" s="25" t="str">
        <f t="shared" si="101"/>
        <v/>
      </c>
      <c r="AG237" s="25" t="str">
        <f t="shared" si="101"/>
        <v/>
      </c>
      <c r="AH237" s="25" t="str">
        <f t="shared" si="101"/>
        <v/>
      </c>
      <c r="AI237" s="25" t="str">
        <f t="shared" si="101"/>
        <v/>
      </c>
      <c r="AJ237" s="25" t="str">
        <f t="shared" si="101"/>
        <v/>
      </c>
      <c r="AK237" s="25" t="str">
        <f t="shared" si="101"/>
        <v/>
      </c>
      <c r="AL237" s="25" t="str">
        <f t="shared" si="101"/>
        <v/>
      </c>
      <c r="AM237" s="25" t="str">
        <f t="shared" si="101"/>
        <v/>
      </c>
      <c r="AQ237" s="9" t="str">
        <f t="shared" si="95"/>
        <v/>
      </c>
      <c r="AR237" s="9" t="str">
        <f t="shared" si="95"/>
        <v/>
      </c>
      <c r="AS237" s="9" t="str">
        <f t="shared" si="95"/>
        <v/>
      </c>
      <c r="AT237" s="9" t="str">
        <f t="shared" si="95"/>
        <v/>
      </c>
      <c r="AU237" s="9" t="str">
        <f t="shared" si="95"/>
        <v/>
      </c>
      <c r="AV237" s="9" t="str">
        <f t="shared" si="95"/>
        <v/>
      </c>
      <c r="AW237" s="9" t="str">
        <f t="shared" si="95"/>
        <v/>
      </c>
      <c r="AX237" s="9" t="str">
        <f t="shared" si="95"/>
        <v/>
      </c>
    </row>
    <row r="238" spans="3:50" hidden="1" x14ac:dyDescent="0.25">
      <c r="C238">
        <v>69</v>
      </c>
      <c r="D238" t="str">
        <f t="shared" si="92"/>
        <v/>
      </c>
      <c r="E238" s="24" t="str">
        <f t="shared" ref="E238:T238" si="102">E174</f>
        <v/>
      </c>
      <c r="F238" s="24" t="str">
        <f t="shared" si="102"/>
        <v/>
      </c>
      <c r="G238" s="24" t="str">
        <f t="shared" si="102"/>
        <v/>
      </c>
      <c r="H238" s="24" t="str">
        <f t="shared" si="102"/>
        <v/>
      </c>
      <c r="I238" s="24" t="str">
        <f t="shared" si="102"/>
        <v/>
      </c>
      <c r="J238" s="24" t="str">
        <f t="shared" si="102"/>
        <v/>
      </c>
      <c r="K238" s="24" t="str">
        <f t="shared" si="102"/>
        <v/>
      </c>
      <c r="L238" s="24" t="str">
        <f t="shared" si="102"/>
        <v/>
      </c>
      <c r="M238" s="24" t="str">
        <f t="shared" si="102"/>
        <v/>
      </c>
      <c r="N238" s="24" t="str">
        <f t="shared" si="102"/>
        <v/>
      </c>
      <c r="O238" s="24" t="str">
        <f t="shared" si="102"/>
        <v/>
      </c>
      <c r="P238" s="24" t="str">
        <f t="shared" si="102"/>
        <v/>
      </c>
      <c r="Q238" s="24" t="str">
        <f t="shared" si="102"/>
        <v/>
      </c>
      <c r="R238" s="24" t="str">
        <f t="shared" si="102"/>
        <v/>
      </c>
      <c r="S238" s="24" t="str">
        <f t="shared" si="102"/>
        <v/>
      </c>
      <c r="T238" s="24" t="str">
        <f t="shared" si="102"/>
        <v/>
      </c>
      <c r="X238" s="246" t="str">
        <f t="shared" ref="X238:AM238" si="103">X174</f>
        <v/>
      </c>
      <c r="Y238" s="9" t="str">
        <f t="shared" si="103"/>
        <v/>
      </c>
      <c r="Z238" s="9" t="str">
        <f t="shared" si="103"/>
        <v/>
      </c>
      <c r="AA238" s="9" t="str">
        <f t="shared" si="103"/>
        <v/>
      </c>
      <c r="AB238" s="9" t="str">
        <f t="shared" si="103"/>
        <v/>
      </c>
      <c r="AC238" s="9" t="str">
        <f t="shared" si="103"/>
        <v/>
      </c>
      <c r="AD238" s="9" t="str">
        <f t="shared" si="103"/>
        <v/>
      </c>
      <c r="AE238" s="247" t="str">
        <f t="shared" si="103"/>
        <v/>
      </c>
      <c r="AF238" s="25" t="str">
        <f t="shared" si="103"/>
        <v/>
      </c>
      <c r="AG238" s="25" t="str">
        <f t="shared" si="103"/>
        <v/>
      </c>
      <c r="AH238" s="25" t="str">
        <f t="shared" si="103"/>
        <v/>
      </c>
      <c r="AI238" s="25" t="str">
        <f t="shared" si="103"/>
        <v/>
      </c>
      <c r="AJ238" s="25" t="str">
        <f t="shared" si="103"/>
        <v/>
      </c>
      <c r="AK238" s="25" t="str">
        <f t="shared" si="103"/>
        <v/>
      </c>
      <c r="AL238" s="25" t="str">
        <f t="shared" si="103"/>
        <v/>
      </c>
      <c r="AM238" s="25" t="str">
        <f t="shared" si="103"/>
        <v/>
      </c>
      <c r="AQ238" s="9" t="str">
        <f t="shared" si="95"/>
        <v/>
      </c>
      <c r="AR238" s="9" t="str">
        <f t="shared" si="95"/>
        <v/>
      </c>
      <c r="AS238" s="9" t="str">
        <f t="shared" si="95"/>
        <v/>
      </c>
      <c r="AT238" s="9" t="str">
        <f t="shared" si="95"/>
        <v/>
      </c>
      <c r="AU238" s="9" t="str">
        <f t="shared" si="95"/>
        <v/>
      </c>
      <c r="AV238" s="9" t="str">
        <f t="shared" si="95"/>
        <v/>
      </c>
      <c r="AW238" s="9" t="str">
        <f t="shared" si="95"/>
        <v/>
      </c>
      <c r="AX238" s="9" t="str">
        <f t="shared" si="95"/>
        <v/>
      </c>
    </row>
    <row r="239" spans="3:50" hidden="1" x14ac:dyDescent="0.25">
      <c r="C239">
        <v>70</v>
      </c>
      <c r="D239" t="str">
        <f t="shared" si="92"/>
        <v/>
      </c>
      <c r="E239" s="24" t="str">
        <f t="shared" ref="E239:T239" si="104">E175</f>
        <v/>
      </c>
      <c r="F239" s="24" t="str">
        <f t="shared" si="104"/>
        <v/>
      </c>
      <c r="G239" s="24" t="str">
        <f t="shared" si="104"/>
        <v/>
      </c>
      <c r="H239" s="24" t="str">
        <f t="shared" si="104"/>
        <v/>
      </c>
      <c r="I239" s="24" t="str">
        <f t="shared" si="104"/>
        <v/>
      </c>
      <c r="J239" s="24" t="str">
        <f t="shared" si="104"/>
        <v/>
      </c>
      <c r="K239" s="24" t="str">
        <f t="shared" si="104"/>
        <v/>
      </c>
      <c r="L239" s="24" t="str">
        <f t="shared" si="104"/>
        <v/>
      </c>
      <c r="M239" s="24" t="str">
        <f t="shared" si="104"/>
        <v/>
      </c>
      <c r="N239" s="24" t="str">
        <f t="shared" si="104"/>
        <v/>
      </c>
      <c r="O239" s="24" t="str">
        <f t="shared" si="104"/>
        <v/>
      </c>
      <c r="P239" s="24" t="str">
        <f t="shared" si="104"/>
        <v/>
      </c>
      <c r="Q239" s="24" t="str">
        <f t="shared" si="104"/>
        <v/>
      </c>
      <c r="R239" s="24" t="str">
        <f t="shared" si="104"/>
        <v/>
      </c>
      <c r="S239" s="24" t="str">
        <f t="shared" si="104"/>
        <v/>
      </c>
      <c r="T239" s="24" t="str">
        <f t="shared" si="104"/>
        <v/>
      </c>
      <c r="X239" s="246" t="str">
        <f t="shared" ref="X239:AM239" si="105">X175</f>
        <v/>
      </c>
      <c r="Y239" s="9" t="str">
        <f t="shared" si="105"/>
        <v/>
      </c>
      <c r="Z239" s="9" t="str">
        <f t="shared" si="105"/>
        <v/>
      </c>
      <c r="AA239" s="9" t="str">
        <f t="shared" si="105"/>
        <v/>
      </c>
      <c r="AB239" s="9" t="str">
        <f t="shared" si="105"/>
        <v/>
      </c>
      <c r="AC239" s="9" t="str">
        <f t="shared" si="105"/>
        <v/>
      </c>
      <c r="AD239" s="9" t="str">
        <f t="shared" si="105"/>
        <v/>
      </c>
      <c r="AE239" s="247" t="str">
        <f t="shared" si="105"/>
        <v/>
      </c>
      <c r="AF239" s="25" t="str">
        <f t="shared" si="105"/>
        <v/>
      </c>
      <c r="AG239" s="25" t="str">
        <f t="shared" si="105"/>
        <v/>
      </c>
      <c r="AH239" s="25" t="str">
        <f t="shared" si="105"/>
        <v/>
      </c>
      <c r="AI239" s="25" t="str">
        <f t="shared" si="105"/>
        <v/>
      </c>
      <c r="AJ239" s="25" t="str">
        <f t="shared" si="105"/>
        <v/>
      </c>
      <c r="AK239" s="25" t="str">
        <f t="shared" si="105"/>
        <v/>
      </c>
      <c r="AL239" s="25" t="str">
        <f t="shared" si="105"/>
        <v/>
      </c>
      <c r="AM239" s="25" t="str">
        <f t="shared" si="105"/>
        <v/>
      </c>
      <c r="AQ239" s="9" t="str">
        <f t="shared" si="95"/>
        <v/>
      </c>
      <c r="AR239" s="9" t="str">
        <f t="shared" si="95"/>
        <v/>
      </c>
      <c r="AS239" s="9" t="str">
        <f t="shared" si="95"/>
        <v/>
      </c>
      <c r="AT239" s="9" t="str">
        <f t="shared" si="95"/>
        <v/>
      </c>
      <c r="AU239" s="9" t="str">
        <f t="shared" si="95"/>
        <v/>
      </c>
      <c r="AV239" s="9" t="str">
        <f t="shared" si="95"/>
        <v/>
      </c>
      <c r="AW239" s="9" t="str">
        <f t="shared" si="95"/>
        <v/>
      </c>
      <c r="AX239" s="9" t="str">
        <f t="shared" si="95"/>
        <v/>
      </c>
    </row>
    <row r="240" spans="3:50" hidden="1" x14ac:dyDescent="0.25">
      <c r="C240">
        <v>71</v>
      </c>
      <c r="D240" t="str">
        <f t="shared" si="92"/>
        <v/>
      </c>
      <c r="E240" s="24" t="str">
        <f t="shared" ref="E240:T240" si="106">E176</f>
        <v/>
      </c>
      <c r="F240" s="24" t="str">
        <f t="shared" si="106"/>
        <v/>
      </c>
      <c r="G240" s="24" t="str">
        <f t="shared" si="106"/>
        <v/>
      </c>
      <c r="H240" s="24" t="str">
        <f t="shared" si="106"/>
        <v/>
      </c>
      <c r="I240" s="24" t="str">
        <f t="shared" si="106"/>
        <v/>
      </c>
      <c r="J240" s="24" t="str">
        <f t="shared" si="106"/>
        <v/>
      </c>
      <c r="K240" s="24" t="str">
        <f t="shared" si="106"/>
        <v/>
      </c>
      <c r="L240" s="24" t="str">
        <f t="shared" si="106"/>
        <v/>
      </c>
      <c r="M240" s="24" t="str">
        <f t="shared" si="106"/>
        <v/>
      </c>
      <c r="N240" s="24" t="str">
        <f t="shared" si="106"/>
        <v/>
      </c>
      <c r="O240" s="24" t="str">
        <f t="shared" si="106"/>
        <v/>
      </c>
      <c r="P240" s="24" t="str">
        <f t="shared" si="106"/>
        <v/>
      </c>
      <c r="Q240" s="24" t="str">
        <f t="shared" si="106"/>
        <v/>
      </c>
      <c r="R240" s="24" t="str">
        <f t="shared" si="106"/>
        <v/>
      </c>
      <c r="S240" s="24" t="str">
        <f t="shared" si="106"/>
        <v/>
      </c>
      <c r="T240" s="24" t="str">
        <f t="shared" si="106"/>
        <v/>
      </c>
      <c r="X240" s="246" t="str">
        <f t="shared" ref="X240:AM240" si="107">X176</f>
        <v/>
      </c>
      <c r="Y240" s="9" t="str">
        <f t="shared" si="107"/>
        <v/>
      </c>
      <c r="Z240" s="9" t="str">
        <f t="shared" si="107"/>
        <v/>
      </c>
      <c r="AA240" s="9" t="str">
        <f t="shared" si="107"/>
        <v/>
      </c>
      <c r="AB240" s="9" t="str">
        <f t="shared" si="107"/>
        <v/>
      </c>
      <c r="AC240" s="9" t="str">
        <f t="shared" si="107"/>
        <v/>
      </c>
      <c r="AD240" s="9" t="str">
        <f t="shared" si="107"/>
        <v/>
      </c>
      <c r="AE240" s="247" t="str">
        <f t="shared" si="107"/>
        <v/>
      </c>
      <c r="AF240" s="25" t="str">
        <f t="shared" si="107"/>
        <v/>
      </c>
      <c r="AG240" s="25" t="str">
        <f t="shared" si="107"/>
        <v/>
      </c>
      <c r="AH240" s="25" t="str">
        <f t="shared" si="107"/>
        <v/>
      </c>
      <c r="AI240" s="25" t="str">
        <f t="shared" si="107"/>
        <v/>
      </c>
      <c r="AJ240" s="25" t="str">
        <f t="shared" si="107"/>
        <v/>
      </c>
      <c r="AK240" s="25" t="str">
        <f t="shared" si="107"/>
        <v/>
      </c>
      <c r="AL240" s="25" t="str">
        <f t="shared" si="107"/>
        <v/>
      </c>
      <c r="AM240" s="25" t="str">
        <f t="shared" si="107"/>
        <v/>
      </c>
      <c r="AQ240" s="9" t="str">
        <f t="shared" si="95"/>
        <v/>
      </c>
      <c r="AR240" s="9" t="str">
        <f t="shared" si="95"/>
        <v/>
      </c>
      <c r="AS240" s="9" t="str">
        <f t="shared" si="95"/>
        <v/>
      </c>
      <c r="AT240" s="9" t="str">
        <f t="shared" si="95"/>
        <v/>
      </c>
      <c r="AU240" s="9" t="str">
        <f t="shared" si="95"/>
        <v/>
      </c>
      <c r="AV240" s="9" t="str">
        <f t="shared" si="95"/>
        <v/>
      </c>
      <c r="AW240" s="9" t="str">
        <f t="shared" si="95"/>
        <v/>
      </c>
      <c r="AX240" s="9" t="str">
        <f t="shared" si="95"/>
        <v/>
      </c>
    </row>
    <row r="241" spans="3:50" hidden="1" x14ac:dyDescent="0.25">
      <c r="C241">
        <v>72</v>
      </c>
      <c r="D241" t="str">
        <f t="shared" si="92"/>
        <v/>
      </c>
      <c r="E241" s="24" t="str">
        <f t="shared" ref="E241:T241" si="108">E177</f>
        <v/>
      </c>
      <c r="F241" s="24" t="str">
        <f t="shared" si="108"/>
        <v/>
      </c>
      <c r="G241" s="24" t="str">
        <f t="shared" si="108"/>
        <v/>
      </c>
      <c r="H241" s="24" t="str">
        <f t="shared" si="108"/>
        <v/>
      </c>
      <c r="I241" s="24" t="str">
        <f t="shared" si="108"/>
        <v/>
      </c>
      <c r="J241" s="24" t="str">
        <f t="shared" si="108"/>
        <v/>
      </c>
      <c r="K241" s="24" t="str">
        <f t="shared" si="108"/>
        <v/>
      </c>
      <c r="L241" s="24" t="str">
        <f t="shared" si="108"/>
        <v/>
      </c>
      <c r="M241" s="24" t="str">
        <f t="shared" si="108"/>
        <v/>
      </c>
      <c r="N241" s="24" t="str">
        <f t="shared" si="108"/>
        <v/>
      </c>
      <c r="O241" s="24" t="str">
        <f t="shared" si="108"/>
        <v/>
      </c>
      <c r="P241" s="24" t="str">
        <f t="shared" si="108"/>
        <v/>
      </c>
      <c r="Q241" s="24" t="str">
        <f t="shared" si="108"/>
        <v/>
      </c>
      <c r="R241" s="24" t="str">
        <f t="shared" si="108"/>
        <v/>
      </c>
      <c r="S241" s="24" t="str">
        <f t="shared" si="108"/>
        <v/>
      </c>
      <c r="T241" s="24" t="str">
        <f t="shared" si="108"/>
        <v/>
      </c>
      <c r="X241" s="246" t="str">
        <f t="shared" ref="X241:AM241" si="109">X177</f>
        <v/>
      </c>
      <c r="Y241" s="9" t="str">
        <f t="shared" si="109"/>
        <v/>
      </c>
      <c r="Z241" s="9" t="str">
        <f t="shared" si="109"/>
        <v/>
      </c>
      <c r="AA241" s="9" t="str">
        <f t="shared" si="109"/>
        <v/>
      </c>
      <c r="AB241" s="9" t="str">
        <f t="shared" si="109"/>
        <v/>
      </c>
      <c r="AC241" s="9" t="str">
        <f t="shared" si="109"/>
        <v/>
      </c>
      <c r="AD241" s="9" t="str">
        <f t="shared" si="109"/>
        <v/>
      </c>
      <c r="AE241" s="247" t="str">
        <f t="shared" si="109"/>
        <v/>
      </c>
      <c r="AF241" s="25" t="str">
        <f t="shared" si="109"/>
        <v/>
      </c>
      <c r="AG241" s="25" t="str">
        <f t="shared" si="109"/>
        <v/>
      </c>
      <c r="AH241" s="25" t="str">
        <f t="shared" si="109"/>
        <v/>
      </c>
      <c r="AI241" s="25" t="str">
        <f t="shared" si="109"/>
        <v/>
      </c>
      <c r="AJ241" s="25" t="str">
        <f t="shared" si="109"/>
        <v/>
      </c>
      <c r="AK241" s="25" t="str">
        <f t="shared" si="109"/>
        <v/>
      </c>
      <c r="AL241" s="25" t="str">
        <f t="shared" si="109"/>
        <v/>
      </c>
      <c r="AM241" s="25" t="str">
        <f t="shared" si="109"/>
        <v/>
      </c>
      <c r="AQ241" s="9" t="str">
        <f t="shared" si="95"/>
        <v/>
      </c>
      <c r="AR241" s="9" t="str">
        <f t="shared" si="95"/>
        <v/>
      </c>
      <c r="AS241" s="9" t="str">
        <f t="shared" si="95"/>
        <v/>
      </c>
      <c r="AT241" s="9" t="str">
        <f t="shared" si="95"/>
        <v/>
      </c>
      <c r="AU241" s="9" t="str">
        <f t="shared" si="95"/>
        <v/>
      </c>
      <c r="AV241" s="9" t="str">
        <f t="shared" si="95"/>
        <v/>
      </c>
      <c r="AW241" s="9" t="str">
        <f t="shared" si="95"/>
        <v/>
      </c>
      <c r="AX241" s="9" t="str">
        <f t="shared" si="95"/>
        <v/>
      </c>
    </row>
    <row r="242" spans="3:50" hidden="1" x14ac:dyDescent="0.25">
      <c r="C242">
        <v>73</v>
      </c>
      <c r="D242" t="str">
        <f t="shared" si="92"/>
        <v/>
      </c>
      <c r="E242" s="24" t="str">
        <f t="shared" ref="E242:T242" si="110">E178</f>
        <v/>
      </c>
      <c r="F242" s="24" t="str">
        <f t="shared" si="110"/>
        <v/>
      </c>
      <c r="G242" s="24" t="str">
        <f t="shared" si="110"/>
        <v/>
      </c>
      <c r="H242" s="24" t="str">
        <f t="shared" si="110"/>
        <v/>
      </c>
      <c r="I242" s="24" t="str">
        <f t="shared" si="110"/>
        <v/>
      </c>
      <c r="J242" s="24" t="str">
        <f t="shared" si="110"/>
        <v/>
      </c>
      <c r="K242" s="24" t="str">
        <f t="shared" si="110"/>
        <v/>
      </c>
      <c r="L242" s="24" t="str">
        <f t="shared" si="110"/>
        <v/>
      </c>
      <c r="M242" s="24" t="str">
        <f t="shared" si="110"/>
        <v/>
      </c>
      <c r="N242" s="24" t="str">
        <f t="shared" si="110"/>
        <v/>
      </c>
      <c r="O242" s="24" t="str">
        <f t="shared" si="110"/>
        <v/>
      </c>
      <c r="P242" s="24" t="str">
        <f t="shared" si="110"/>
        <v/>
      </c>
      <c r="Q242" s="24" t="str">
        <f t="shared" si="110"/>
        <v/>
      </c>
      <c r="R242" s="24" t="str">
        <f t="shared" si="110"/>
        <v/>
      </c>
      <c r="S242" s="24" t="str">
        <f t="shared" si="110"/>
        <v/>
      </c>
      <c r="T242" s="24" t="str">
        <f t="shared" si="110"/>
        <v/>
      </c>
      <c r="X242" s="246" t="str">
        <f t="shared" ref="X242:AM242" si="111">X178</f>
        <v/>
      </c>
      <c r="Y242" s="9" t="str">
        <f t="shared" si="111"/>
        <v/>
      </c>
      <c r="Z242" s="9" t="str">
        <f t="shared" si="111"/>
        <v/>
      </c>
      <c r="AA242" s="9" t="str">
        <f t="shared" si="111"/>
        <v/>
      </c>
      <c r="AB242" s="9" t="str">
        <f t="shared" si="111"/>
        <v/>
      </c>
      <c r="AC242" s="9" t="str">
        <f t="shared" si="111"/>
        <v/>
      </c>
      <c r="AD242" s="9" t="str">
        <f t="shared" si="111"/>
        <v/>
      </c>
      <c r="AE242" s="247" t="str">
        <f t="shared" si="111"/>
        <v/>
      </c>
      <c r="AF242" s="25" t="str">
        <f t="shared" si="111"/>
        <v/>
      </c>
      <c r="AG242" s="25" t="str">
        <f t="shared" si="111"/>
        <v/>
      </c>
      <c r="AH242" s="25" t="str">
        <f t="shared" si="111"/>
        <v/>
      </c>
      <c r="AI242" s="25" t="str">
        <f t="shared" si="111"/>
        <v/>
      </c>
      <c r="AJ242" s="25" t="str">
        <f t="shared" si="111"/>
        <v/>
      </c>
      <c r="AK242" s="25" t="str">
        <f t="shared" si="111"/>
        <v/>
      </c>
      <c r="AL242" s="25" t="str">
        <f t="shared" si="111"/>
        <v/>
      </c>
      <c r="AM242" s="25" t="str">
        <f t="shared" si="111"/>
        <v/>
      </c>
      <c r="AQ242" s="9" t="str">
        <f t="shared" si="95"/>
        <v/>
      </c>
      <c r="AR242" s="9" t="str">
        <f t="shared" si="95"/>
        <v/>
      </c>
      <c r="AS242" s="9" t="str">
        <f t="shared" si="95"/>
        <v/>
      </c>
      <c r="AT242" s="9" t="str">
        <f t="shared" si="95"/>
        <v/>
      </c>
      <c r="AU242" s="9" t="str">
        <f t="shared" si="95"/>
        <v/>
      </c>
      <c r="AV242" s="9" t="str">
        <f t="shared" si="95"/>
        <v/>
      </c>
      <c r="AW242" s="9" t="str">
        <f t="shared" si="95"/>
        <v/>
      </c>
      <c r="AX242" s="9" t="str">
        <f t="shared" si="95"/>
        <v/>
      </c>
    </row>
    <row r="243" spans="3:50" hidden="1" x14ac:dyDescent="0.25">
      <c r="C243">
        <v>74</v>
      </c>
      <c r="D243" t="str">
        <f t="shared" si="92"/>
        <v/>
      </c>
      <c r="E243" s="24" t="str">
        <f t="shared" ref="E243:T243" si="112">E179</f>
        <v/>
      </c>
      <c r="F243" s="24" t="str">
        <f t="shared" si="112"/>
        <v/>
      </c>
      <c r="G243" s="24" t="str">
        <f t="shared" si="112"/>
        <v/>
      </c>
      <c r="H243" s="24" t="str">
        <f t="shared" si="112"/>
        <v/>
      </c>
      <c r="I243" s="24" t="str">
        <f t="shared" si="112"/>
        <v/>
      </c>
      <c r="J243" s="24" t="str">
        <f t="shared" si="112"/>
        <v/>
      </c>
      <c r="K243" s="24" t="str">
        <f t="shared" si="112"/>
        <v/>
      </c>
      <c r="L243" s="24" t="str">
        <f t="shared" si="112"/>
        <v/>
      </c>
      <c r="M243" s="24" t="str">
        <f t="shared" si="112"/>
        <v/>
      </c>
      <c r="N243" s="24" t="str">
        <f t="shared" si="112"/>
        <v/>
      </c>
      <c r="O243" s="24" t="str">
        <f t="shared" si="112"/>
        <v/>
      </c>
      <c r="P243" s="24" t="str">
        <f t="shared" si="112"/>
        <v/>
      </c>
      <c r="Q243" s="24" t="str">
        <f t="shared" si="112"/>
        <v/>
      </c>
      <c r="R243" s="24" t="str">
        <f t="shared" si="112"/>
        <v/>
      </c>
      <c r="S243" s="24" t="str">
        <f t="shared" si="112"/>
        <v/>
      </c>
      <c r="T243" s="24" t="str">
        <f t="shared" si="112"/>
        <v/>
      </c>
      <c r="X243" s="246" t="str">
        <f t="shared" ref="X243:AM243" si="113">X179</f>
        <v/>
      </c>
      <c r="Y243" s="9" t="str">
        <f t="shared" si="113"/>
        <v/>
      </c>
      <c r="Z243" s="9" t="str">
        <f t="shared" si="113"/>
        <v/>
      </c>
      <c r="AA243" s="9" t="str">
        <f t="shared" si="113"/>
        <v/>
      </c>
      <c r="AB243" s="9" t="str">
        <f t="shared" si="113"/>
        <v/>
      </c>
      <c r="AC243" s="9" t="str">
        <f t="shared" si="113"/>
        <v/>
      </c>
      <c r="AD243" s="9" t="str">
        <f t="shared" si="113"/>
        <v/>
      </c>
      <c r="AE243" s="247" t="str">
        <f t="shared" si="113"/>
        <v/>
      </c>
      <c r="AF243" s="25" t="str">
        <f t="shared" si="113"/>
        <v/>
      </c>
      <c r="AG243" s="25" t="str">
        <f t="shared" si="113"/>
        <v/>
      </c>
      <c r="AH243" s="25" t="str">
        <f t="shared" si="113"/>
        <v/>
      </c>
      <c r="AI243" s="25" t="str">
        <f t="shared" si="113"/>
        <v/>
      </c>
      <c r="AJ243" s="25" t="str">
        <f t="shared" si="113"/>
        <v/>
      </c>
      <c r="AK243" s="25" t="str">
        <f t="shared" si="113"/>
        <v/>
      </c>
      <c r="AL243" s="25" t="str">
        <f t="shared" si="113"/>
        <v/>
      </c>
      <c r="AM243" s="25" t="str">
        <f t="shared" si="113"/>
        <v/>
      </c>
      <c r="AQ243" s="9" t="str">
        <f t="shared" si="95"/>
        <v/>
      </c>
      <c r="AR243" s="9" t="str">
        <f t="shared" si="95"/>
        <v/>
      </c>
      <c r="AS243" s="9" t="str">
        <f t="shared" si="95"/>
        <v/>
      </c>
      <c r="AT243" s="9" t="str">
        <f t="shared" si="95"/>
        <v/>
      </c>
      <c r="AU243" s="9" t="str">
        <f t="shared" si="95"/>
        <v/>
      </c>
      <c r="AV243" s="9" t="str">
        <f t="shared" si="95"/>
        <v/>
      </c>
      <c r="AW243" s="9" t="str">
        <f t="shared" si="95"/>
        <v/>
      </c>
      <c r="AX243" s="9" t="str">
        <f t="shared" si="95"/>
        <v/>
      </c>
    </row>
    <row r="244" spans="3:50" hidden="1" x14ac:dyDescent="0.25">
      <c r="C244">
        <v>75</v>
      </c>
      <c r="D244" t="str">
        <f t="shared" si="92"/>
        <v/>
      </c>
      <c r="E244" s="24" t="str">
        <f t="shared" ref="E244:T244" si="114">E180</f>
        <v/>
      </c>
      <c r="F244" s="24" t="str">
        <f t="shared" si="114"/>
        <v/>
      </c>
      <c r="G244" s="24" t="str">
        <f t="shared" si="114"/>
        <v/>
      </c>
      <c r="H244" s="24" t="str">
        <f t="shared" si="114"/>
        <v/>
      </c>
      <c r="I244" s="24" t="str">
        <f t="shared" si="114"/>
        <v/>
      </c>
      <c r="J244" s="24" t="str">
        <f t="shared" si="114"/>
        <v/>
      </c>
      <c r="K244" s="24" t="str">
        <f t="shared" si="114"/>
        <v/>
      </c>
      <c r="L244" s="24" t="str">
        <f t="shared" si="114"/>
        <v/>
      </c>
      <c r="M244" s="24" t="str">
        <f t="shared" si="114"/>
        <v/>
      </c>
      <c r="N244" s="24" t="str">
        <f t="shared" si="114"/>
        <v/>
      </c>
      <c r="O244" s="24" t="str">
        <f t="shared" si="114"/>
        <v/>
      </c>
      <c r="P244" s="24" t="str">
        <f t="shared" si="114"/>
        <v/>
      </c>
      <c r="Q244" s="24" t="str">
        <f t="shared" si="114"/>
        <v/>
      </c>
      <c r="R244" s="24" t="str">
        <f t="shared" si="114"/>
        <v/>
      </c>
      <c r="S244" s="24" t="str">
        <f t="shared" si="114"/>
        <v/>
      </c>
      <c r="T244" s="24" t="str">
        <f t="shared" si="114"/>
        <v/>
      </c>
      <c r="X244" s="246" t="str">
        <f t="shared" ref="X244:AM244" si="115">X180</f>
        <v/>
      </c>
      <c r="Y244" s="9" t="str">
        <f t="shared" si="115"/>
        <v/>
      </c>
      <c r="Z244" s="9" t="str">
        <f t="shared" si="115"/>
        <v/>
      </c>
      <c r="AA244" s="9" t="str">
        <f t="shared" si="115"/>
        <v/>
      </c>
      <c r="AB244" s="9" t="str">
        <f t="shared" si="115"/>
        <v/>
      </c>
      <c r="AC244" s="9" t="str">
        <f t="shared" si="115"/>
        <v/>
      </c>
      <c r="AD244" s="9" t="str">
        <f t="shared" si="115"/>
        <v/>
      </c>
      <c r="AE244" s="247" t="str">
        <f t="shared" si="115"/>
        <v/>
      </c>
      <c r="AF244" s="25" t="str">
        <f t="shared" si="115"/>
        <v/>
      </c>
      <c r="AG244" s="25" t="str">
        <f t="shared" si="115"/>
        <v/>
      </c>
      <c r="AH244" s="25" t="str">
        <f t="shared" si="115"/>
        <v/>
      </c>
      <c r="AI244" s="25" t="str">
        <f t="shared" si="115"/>
        <v/>
      </c>
      <c r="AJ244" s="25" t="str">
        <f t="shared" si="115"/>
        <v/>
      </c>
      <c r="AK244" s="25" t="str">
        <f t="shared" si="115"/>
        <v/>
      </c>
      <c r="AL244" s="25" t="str">
        <f t="shared" si="115"/>
        <v/>
      </c>
      <c r="AM244" s="25" t="str">
        <f t="shared" si="115"/>
        <v/>
      </c>
      <c r="AQ244" s="9" t="str">
        <f t="shared" ref="AQ244:AX253" si="116">AQ180</f>
        <v/>
      </c>
      <c r="AR244" s="9" t="str">
        <f t="shared" si="116"/>
        <v/>
      </c>
      <c r="AS244" s="9" t="str">
        <f t="shared" si="116"/>
        <v/>
      </c>
      <c r="AT244" s="9" t="str">
        <f t="shared" si="116"/>
        <v/>
      </c>
      <c r="AU244" s="9" t="str">
        <f t="shared" si="116"/>
        <v/>
      </c>
      <c r="AV244" s="9" t="str">
        <f t="shared" si="116"/>
        <v/>
      </c>
      <c r="AW244" s="9" t="str">
        <f t="shared" si="116"/>
        <v/>
      </c>
      <c r="AX244" s="9" t="str">
        <f t="shared" si="116"/>
        <v/>
      </c>
    </row>
    <row r="245" spans="3:50" hidden="1" x14ac:dyDescent="0.25">
      <c r="C245">
        <v>76</v>
      </c>
      <c r="D245" t="str">
        <f t="shared" si="92"/>
        <v/>
      </c>
      <c r="E245" s="24" t="str">
        <f t="shared" ref="E245:T245" si="117">E181</f>
        <v/>
      </c>
      <c r="F245" s="24" t="str">
        <f t="shared" si="117"/>
        <v/>
      </c>
      <c r="G245" s="24" t="str">
        <f t="shared" si="117"/>
        <v/>
      </c>
      <c r="H245" s="24" t="str">
        <f t="shared" si="117"/>
        <v/>
      </c>
      <c r="I245" s="24" t="str">
        <f t="shared" si="117"/>
        <v/>
      </c>
      <c r="J245" s="24" t="str">
        <f t="shared" si="117"/>
        <v/>
      </c>
      <c r="K245" s="24" t="str">
        <f t="shared" si="117"/>
        <v/>
      </c>
      <c r="L245" s="24" t="str">
        <f t="shared" si="117"/>
        <v/>
      </c>
      <c r="M245" s="24" t="str">
        <f t="shared" si="117"/>
        <v/>
      </c>
      <c r="N245" s="24" t="str">
        <f t="shared" si="117"/>
        <v/>
      </c>
      <c r="O245" s="24" t="str">
        <f t="shared" si="117"/>
        <v/>
      </c>
      <c r="P245" s="24" t="str">
        <f t="shared" si="117"/>
        <v/>
      </c>
      <c r="Q245" s="24" t="str">
        <f t="shared" si="117"/>
        <v/>
      </c>
      <c r="R245" s="24" t="str">
        <f t="shared" si="117"/>
        <v/>
      </c>
      <c r="S245" s="24" t="str">
        <f t="shared" si="117"/>
        <v/>
      </c>
      <c r="T245" s="24" t="str">
        <f t="shared" si="117"/>
        <v/>
      </c>
      <c r="X245" s="246" t="str">
        <f t="shared" ref="X245:AM245" si="118">X181</f>
        <v/>
      </c>
      <c r="Y245" s="9" t="str">
        <f t="shared" si="118"/>
        <v/>
      </c>
      <c r="Z245" s="9" t="str">
        <f t="shared" si="118"/>
        <v/>
      </c>
      <c r="AA245" s="9" t="str">
        <f t="shared" si="118"/>
        <v/>
      </c>
      <c r="AB245" s="9" t="str">
        <f t="shared" si="118"/>
        <v/>
      </c>
      <c r="AC245" s="9" t="str">
        <f t="shared" si="118"/>
        <v/>
      </c>
      <c r="AD245" s="9" t="str">
        <f t="shared" si="118"/>
        <v/>
      </c>
      <c r="AE245" s="247" t="str">
        <f t="shared" si="118"/>
        <v/>
      </c>
      <c r="AF245" s="25" t="str">
        <f t="shared" si="118"/>
        <v/>
      </c>
      <c r="AG245" s="25" t="str">
        <f t="shared" si="118"/>
        <v/>
      </c>
      <c r="AH245" s="25" t="str">
        <f t="shared" si="118"/>
        <v/>
      </c>
      <c r="AI245" s="25" t="str">
        <f t="shared" si="118"/>
        <v/>
      </c>
      <c r="AJ245" s="25" t="str">
        <f t="shared" si="118"/>
        <v/>
      </c>
      <c r="AK245" s="25" t="str">
        <f t="shared" si="118"/>
        <v/>
      </c>
      <c r="AL245" s="25" t="str">
        <f t="shared" si="118"/>
        <v/>
      </c>
      <c r="AM245" s="25" t="str">
        <f t="shared" si="118"/>
        <v/>
      </c>
      <c r="AQ245" s="9" t="str">
        <f t="shared" si="116"/>
        <v/>
      </c>
      <c r="AR245" s="9" t="str">
        <f t="shared" si="116"/>
        <v/>
      </c>
      <c r="AS245" s="9" t="str">
        <f t="shared" si="116"/>
        <v/>
      </c>
      <c r="AT245" s="9" t="str">
        <f t="shared" si="116"/>
        <v/>
      </c>
      <c r="AU245" s="9" t="str">
        <f t="shared" si="116"/>
        <v/>
      </c>
      <c r="AV245" s="9" t="str">
        <f t="shared" si="116"/>
        <v/>
      </c>
      <c r="AW245" s="9" t="str">
        <f t="shared" si="116"/>
        <v/>
      </c>
      <c r="AX245" s="9" t="str">
        <f t="shared" si="116"/>
        <v/>
      </c>
    </row>
    <row r="246" spans="3:50" hidden="1" x14ac:dyDescent="0.25">
      <c r="C246">
        <v>77</v>
      </c>
      <c r="D246" t="str">
        <f t="shared" si="92"/>
        <v/>
      </c>
      <c r="E246" s="24" t="str">
        <f t="shared" ref="E246:T246" si="119">E182</f>
        <v/>
      </c>
      <c r="F246" s="24" t="str">
        <f t="shared" si="119"/>
        <v/>
      </c>
      <c r="G246" s="24" t="str">
        <f t="shared" si="119"/>
        <v/>
      </c>
      <c r="H246" s="24" t="str">
        <f t="shared" si="119"/>
        <v/>
      </c>
      <c r="I246" s="24" t="str">
        <f t="shared" si="119"/>
        <v/>
      </c>
      <c r="J246" s="24" t="str">
        <f t="shared" si="119"/>
        <v/>
      </c>
      <c r="K246" s="24" t="str">
        <f t="shared" si="119"/>
        <v/>
      </c>
      <c r="L246" s="24" t="str">
        <f t="shared" si="119"/>
        <v/>
      </c>
      <c r="M246" s="24" t="str">
        <f t="shared" si="119"/>
        <v/>
      </c>
      <c r="N246" s="24" t="str">
        <f t="shared" si="119"/>
        <v/>
      </c>
      <c r="O246" s="24" t="str">
        <f t="shared" si="119"/>
        <v/>
      </c>
      <c r="P246" s="24" t="str">
        <f t="shared" si="119"/>
        <v/>
      </c>
      <c r="Q246" s="24" t="str">
        <f t="shared" si="119"/>
        <v/>
      </c>
      <c r="R246" s="24" t="str">
        <f t="shared" si="119"/>
        <v/>
      </c>
      <c r="S246" s="24" t="str">
        <f t="shared" si="119"/>
        <v/>
      </c>
      <c r="T246" s="24" t="str">
        <f t="shared" si="119"/>
        <v/>
      </c>
      <c r="X246" s="246" t="str">
        <f t="shared" ref="X246:AM246" si="120">X182</f>
        <v/>
      </c>
      <c r="Y246" s="9" t="str">
        <f t="shared" si="120"/>
        <v/>
      </c>
      <c r="Z246" s="9" t="str">
        <f t="shared" si="120"/>
        <v/>
      </c>
      <c r="AA246" s="9" t="str">
        <f t="shared" si="120"/>
        <v/>
      </c>
      <c r="AB246" s="9" t="str">
        <f t="shared" si="120"/>
        <v/>
      </c>
      <c r="AC246" s="9" t="str">
        <f t="shared" si="120"/>
        <v/>
      </c>
      <c r="AD246" s="9" t="str">
        <f t="shared" si="120"/>
        <v/>
      </c>
      <c r="AE246" s="247" t="str">
        <f t="shared" si="120"/>
        <v/>
      </c>
      <c r="AF246" s="25" t="str">
        <f t="shared" si="120"/>
        <v/>
      </c>
      <c r="AG246" s="25" t="str">
        <f t="shared" si="120"/>
        <v/>
      </c>
      <c r="AH246" s="25" t="str">
        <f t="shared" si="120"/>
        <v/>
      </c>
      <c r="AI246" s="25" t="str">
        <f t="shared" si="120"/>
        <v/>
      </c>
      <c r="AJ246" s="25" t="str">
        <f t="shared" si="120"/>
        <v/>
      </c>
      <c r="AK246" s="25" t="str">
        <f t="shared" si="120"/>
        <v/>
      </c>
      <c r="AL246" s="25" t="str">
        <f t="shared" si="120"/>
        <v/>
      </c>
      <c r="AM246" s="25" t="str">
        <f t="shared" si="120"/>
        <v/>
      </c>
      <c r="AQ246" s="9" t="str">
        <f t="shared" si="116"/>
        <v/>
      </c>
      <c r="AR246" s="9" t="str">
        <f t="shared" si="116"/>
        <v/>
      </c>
      <c r="AS246" s="9" t="str">
        <f t="shared" si="116"/>
        <v/>
      </c>
      <c r="AT246" s="9" t="str">
        <f t="shared" si="116"/>
        <v/>
      </c>
      <c r="AU246" s="9" t="str">
        <f t="shared" si="116"/>
        <v/>
      </c>
      <c r="AV246" s="9" t="str">
        <f t="shared" si="116"/>
        <v/>
      </c>
      <c r="AW246" s="9" t="str">
        <f t="shared" si="116"/>
        <v/>
      </c>
      <c r="AX246" s="9" t="str">
        <f t="shared" si="116"/>
        <v/>
      </c>
    </row>
    <row r="247" spans="3:50" hidden="1" x14ac:dyDescent="0.25">
      <c r="C247">
        <v>78</v>
      </c>
      <c r="D247" t="str">
        <f t="shared" si="92"/>
        <v/>
      </c>
      <c r="E247" s="24" t="str">
        <f t="shared" ref="E247:T247" si="121">E183</f>
        <v/>
      </c>
      <c r="F247" s="24" t="str">
        <f t="shared" si="121"/>
        <v/>
      </c>
      <c r="G247" s="24" t="str">
        <f t="shared" si="121"/>
        <v/>
      </c>
      <c r="H247" s="24" t="str">
        <f t="shared" si="121"/>
        <v/>
      </c>
      <c r="I247" s="24" t="str">
        <f t="shared" si="121"/>
        <v/>
      </c>
      <c r="J247" s="24" t="str">
        <f t="shared" si="121"/>
        <v/>
      </c>
      <c r="K247" s="24" t="str">
        <f t="shared" si="121"/>
        <v/>
      </c>
      <c r="L247" s="24" t="str">
        <f t="shared" si="121"/>
        <v/>
      </c>
      <c r="M247" s="24" t="str">
        <f t="shared" si="121"/>
        <v/>
      </c>
      <c r="N247" s="24" t="str">
        <f t="shared" si="121"/>
        <v/>
      </c>
      <c r="O247" s="24" t="str">
        <f t="shared" si="121"/>
        <v/>
      </c>
      <c r="P247" s="24" t="str">
        <f t="shared" si="121"/>
        <v/>
      </c>
      <c r="Q247" s="24" t="str">
        <f t="shared" si="121"/>
        <v/>
      </c>
      <c r="R247" s="24" t="str">
        <f t="shared" si="121"/>
        <v/>
      </c>
      <c r="S247" s="24" t="str">
        <f t="shared" si="121"/>
        <v/>
      </c>
      <c r="T247" s="24" t="str">
        <f t="shared" si="121"/>
        <v/>
      </c>
      <c r="X247" s="246" t="str">
        <f t="shared" ref="X247:AM247" si="122">X183</f>
        <v/>
      </c>
      <c r="Y247" s="9" t="str">
        <f t="shared" si="122"/>
        <v/>
      </c>
      <c r="Z247" s="9" t="str">
        <f t="shared" si="122"/>
        <v/>
      </c>
      <c r="AA247" s="9" t="str">
        <f t="shared" si="122"/>
        <v/>
      </c>
      <c r="AB247" s="9" t="str">
        <f t="shared" si="122"/>
        <v/>
      </c>
      <c r="AC247" s="9" t="str">
        <f t="shared" si="122"/>
        <v/>
      </c>
      <c r="AD247" s="9" t="str">
        <f t="shared" si="122"/>
        <v/>
      </c>
      <c r="AE247" s="247" t="str">
        <f t="shared" si="122"/>
        <v/>
      </c>
      <c r="AF247" s="25" t="str">
        <f t="shared" si="122"/>
        <v/>
      </c>
      <c r="AG247" s="25" t="str">
        <f t="shared" si="122"/>
        <v/>
      </c>
      <c r="AH247" s="25" t="str">
        <f t="shared" si="122"/>
        <v/>
      </c>
      <c r="AI247" s="25" t="str">
        <f t="shared" si="122"/>
        <v/>
      </c>
      <c r="AJ247" s="25" t="str">
        <f t="shared" si="122"/>
        <v/>
      </c>
      <c r="AK247" s="25" t="str">
        <f t="shared" si="122"/>
        <v/>
      </c>
      <c r="AL247" s="25" t="str">
        <f t="shared" si="122"/>
        <v/>
      </c>
      <c r="AM247" s="25" t="str">
        <f t="shared" si="122"/>
        <v/>
      </c>
      <c r="AQ247" s="9" t="str">
        <f t="shared" si="116"/>
        <v/>
      </c>
      <c r="AR247" s="9" t="str">
        <f t="shared" si="116"/>
        <v/>
      </c>
      <c r="AS247" s="9" t="str">
        <f t="shared" si="116"/>
        <v/>
      </c>
      <c r="AT247" s="9" t="str">
        <f t="shared" si="116"/>
        <v/>
      </c>
      <c r="AU247" s="9" t="str">
        <f t="shared" si="116"/>
        <v/>
      </c>
      <c r="AV247" s="9" t="str">
        <f t="shared" si="116"/>
        <v/>
      </c>
      <c r="AW247" s="9" t="str">
        <f t="shared" si="116"/>
        <v/>
      </c>
      <c r="AX247" s="9" t="str">
        <f t="shared" si="116"/>
        <v/>
      </c>
    </row>
    <row r="248" spans="3:50" hidden="1" x14ac:dyDescent="0.25">
      <c r="C248">
        <v>79</v>
      </c>
      <c r="D248" t="str">
        <f t="shared" si="92"/>
        <v/>
      </c>
      <c r="E248" s="24" t="str">
        <f t="shared" ref="E248:T248" si="123">E184</f>
        <v/>
      </c>
      <c r="F248" s="24" t="str">
        <f t="shared" si="123"/>
        <v/>
      </c>
      <c r="G248" s="24" t="str">
        <f t="shared" si="123"/>
        <v/>
      </c>
      <c r="H248" s="24" t="str">
        <f t="shared" si="123"/>
        <v/>
      </c>
      <c r="I248" s="24" t="str">
        <f t="shared" si="123"/>
        <v/>
      </c>
      <c r="J248" s="24" t="str">
        <f t="shared" si="123"/>
        <v/>
      </c>
      <c r="K248" s="24" t="str">
        <f t="shared" si="123"/>
        <v/>
      </c>
      <c r="L248" s="24" t="str">
        <f t="shared" si="123"/>
        <v/>
      </c>
      <c r="M248" s="24" t="str">
        <f t="shared" si="123"/>
        <v/>
      </c>
      <c r="N248" s="24" t="str">
        <f t="shared" si="123"/>
        <v/>
      </c>
      <c r="O248" s="24" t="str">
        <f t="shared" si="123"/>
        <v/>
      </c>
      <c r="P248" s="24" t="str">
        <f t="shared" si="123"/>
        <v/>
      </c>
      <c r="Q248" s="24" t="str">
        <f t="shared" si="123"/>
        <v/>
      </c>
      <c r="R248" s="24" t="str">
        <f t="shared" si="123"/>
        <v/>
      </c>
      <c r="S248" s="24" t="str">
        <f t="shared" si="123"/>
        <v/>
      </c>
      <c r="T248" s="24" t="str">
        <f t="shared" si="123"/>
        <v/>
      </c>
      <c r="X248" s="246" t="str">
        <f t="shared" ref="X248:AM248" si="124">X184</f>
        <v/>
      </c>
      <c r="Y248" s="9" t="str">
        <f t="shared" si="124"/>
        <v/>
      </c>
      <c r="Z248" s="9" t="str">
        <f t="shared" si="124"/>
        <v/>
      </c>
      <c r="AA248" s="9" t="str">
        <f t="shared" si="124"/>
        <v/>
      </c>
      <c r="AB248" s="9" t="str">
        <f t="shared" si="124"/>
        <v/>
      </c>
      <c r="AC248" s="9" t="str">
        <f t="shared" si="124"/>
        <v/>
      </c>
      <c r="AD248" s="9" t="str">
        <f t="shared" si="124"/>
        <v/>
      </c>
      <c r="AE248" s="247" t="str">
        <f t="shared" si="124"/>
        <v/>
      </c>
      <c r="AF248" s="25" t="str">
        <f t="shared" si="124"/>
        <v/>
      </c>
      <c r="AG248" s="25" t="str">
        <f t="shared" si="124"/>
        <v/>
      </c>
      <c r="AH248" s="25" t="str">
        <f t="shared" si="124"/>
        <v/>
      </c>
      <c r="AI248" s="25" t="str">
        <f t="shared" si="124"/>
        <v/>
      </c>
      <c r="AJ248" s="25" t="str">
        <f t="shared" si="124"/>
        <v/>
      </c>
      <c r="AK248" s="25" t="str">
        <f t="shared" si="124"/>
        <v/>
      </c>
      <c r="AL248" s="25" t="str">
        <f t="shared" si="124"/>
        <v/>
      </c>
      <c r="AM248" s="25" t="str">
        <f t="shared" si="124"/>
        <v/>
      </c>
      <c r="AQ248" s="9" t="str">
        <f t="shared" si="116"/>
        <v/>
      </c>
      <c r="AR248" s="9" t="str">
        <f t="shared" si="116"/>
        <v/>
      </c>
      <c r="AS248" s="9" t="str">
        <f t="shared" si="116"/>
        <v/>
      </c>
      <c r="AT248" s="9" t="str">
        <f t="shared" si="116"/>
        <v/>
      </c>
      <c r="AU248" s="9" t="str">
        <f t="shared" si="116"/>
        <v/>
      </c>
      <c r="AV248" s="9" t="str">
        <f t="shared" si="116"/>
        <v/>
      </c>
      <c r="AW248" s="9" t="str">
        <f t="shared" si="116"/>
        <v/>
      </c>
      <c r="AX248" s="9" t="str">
        <f t="shared" si="116"/>
        <v/>
      </c>
    </row>
    <row r="249" spans="3:50" hidden="1" x14ac:dyDescent="0.25">
      <c r="C249">
        <v>80</v>
      </c>
      <c r="D249" t="str">
        <f t="shared" si="92"/>
        <v/>
      </c>
      <c r="E249" s="24" t="str">
        <f t="shared" ref="E249:T249" si="125">E185</f>
        <v/>
      </c>
      <c r="F249" s="24" t="str">
        <f t="shared" si="125"/>
        <v/>
      </c>
      <c r="G249" s="24" t="str">
        <f t="shared" si="125"/>
        <v/>
      </c>
      <c r="H249" s="24" t="str">
        <f t="shared" si="125"/>
        <v/>
      </c>
      <c r="I249" s="24" t="str">
        <f t="shared" si="125"/>
        <v/>
      </c>
      <c r="J249" s="24" t="str">
        <f t="shared" si="125"/>
        <v/>
      </c>
      <c r="K249" s="24" t="str">
        <f t="shared" si="125"/>
        <v/>
      </c>
      <c r="L249" s="24" t="str">
        <f t="shared" si="125"/>
        <v/>
      </c>
      <c r="M249" s="24" t="str">
        <f t="shared" si="125"/>
        <v/>
      </c>
      <c r="N249" s="24" t="str">
        <f t="shared" si="125"/>
        <v/>
      </c>
      <c r="O249" s="24" t="str">
        <f t="shared" si="125"/>
        <v/>
      </c>
      <c r="P249" s="24" t="str">
        <f t="shared" si="125"/>
        <v/>
      </c>
      <c r="Q249" s="24" t="str">
        <f t="shared" si="125"/>
        <v/>
      </c>
      <c r="R249" s="24" t="str">
        <f t="shared" si="125"/>
        <v/>
      </c>
      <c r="S249" s="24" t="str">
        <f t="shared" si="125"/>
        <v/>
      </c>
      <c r="T249" s="24" t="str">
        <f t="shared" si="125"/>
        <v/>
      </c>
      <c r="X249" s="246" t="str">
        <f t="shared" ref="X249:AM249" si="126">X185</f>
        <v/>
      </c>
      <c r="Y249" s="9" t="str">
        <f t="shared" si="126"/>
        <v/>
      </c>
      <c r="Z249" s="9" t="str">
        <f t="shared" si="126"/>
        <v/>
      </c>
      <c r="AA249" s="9" t="str">
        <f t="shared" si="126"/>
        <v/>
      </c>
      <c r="AB249" s="9" t="str">
        <f t="shared" si="126"/>
        <v/>
      </c>
      <c r="AC249" s="9" t="str">
        <f t="shared" si="126"/>
        <v/>
      </c>
      <c r="AD249" s="9" t="str">
        <f t="shared" si="126"/>
        <v/>
      </c>
      <c r="AE249" s="247" t="str">
        <f t="shared" si="126"/>
        <v/>
      </c>
      <c r="AF249" s="25" t="str">
        <f t="shared" si="126"/>
        <v/>
      </c>
      <c r="AG249" s="25" t="str">
        <f t="shared" si="126"/>
        <v/>
      </c>
      <c r="AH249" s="25" t="str">
        <f t="shared" si="126"/>
        <v/>
      </c>
      <c r="AI249" s="25" t="str">
        <f t="shared" si="126"/>
        <v/>
      </c>
      <c r="AJ249" s="25" t="str">
        <f t="shared" si="126"/>
        <v/>
      </c>
      <c r="AK249" s="25" t="str">
        <f t="shared" si="126"/>
        <v/>
      </c>
      <c r="AL249" s="25" t="str">
        <f t="shared" si="126"/>
        <v/>
      </c>
      <c r="AM249" s="25" t="str">
        <f t="shared" si="126"/>
        <v/>
      </c>
      <c r="AQ249" s="9" t="str">
        <f t="shared" si="116"/>
        <v/>
      </c>
      <c r="AR249" s="9" t="str">
        <f t="shared" si="116"/>
        <v/>
      </c>
      <c r="AS249" s="9" t="str">
        <f t="shared" si="116"/>
        <v/>
      </c>
      <c r="AT249" s="9" t="str">
        <f t="shared" si="116"/>
        <v/>
      </c>
      <c r="AU249" s="9" t="str">
        <f t="shared" si="116"/>
        <v/>
      </c>
      <c r="AV249" s="9" t="str">
        <f t="shared" si="116"/>
        <v/>
      </c>
      <c r="AW249" s="9" t="str">
        <f t="shared" si="116"/>
        <v/>
      </c>
      <c r="AX249" s="9" t="str">
        <f t="shared" si="116"/>
        <v/>
      </c>
    </row>
    <row r="250" spans="3:50" hidden="1" x14ac:dyDescent="0.25">
      <c r="C250">
        <v>81</v>
      </c>
      <c r="D250" t="str">
        <f t="shared" si="92"/>
        <v/>
      </c>
      <c r="E250" s="24" t="str">
        <f t="shared" ref="E250:T250" si="127">E186</f>
        <v/>
      </c>
      <c r="F250" s="24" t="str">
        <f t="shared" si="127"/>
        <v/>
      </c>
      <c r="G250" s="24" t="str">
        <f t="shared" si="127"/>
        <v/>
      </c>
      <c r="H250" s="24" t="str">
        <f t="shared" si="127"/>
        <v/>
      </c>
      <c r="I250" s="24" t="str">
        <f t="shared" si="127"/>
        <v/>
      </c>
      <c r="J250" s="24" t="str">
        <f t="shared" si="127"/>
        <v/>
      </c>
      <c r="K250" s="24" t="str">
        <f t="shared" si="127"/>
        <v/>
      </c>
      <c r="L250" s="24" t="str">
        <f t="shared" si="127"/>
        <v/>
      </c>
      <c r="M250" s="24" t="str">
        <f t="shared" si="127"/>
        <v/>
      </c>
      <c r="N250" s="24" t="str">
        <f t="shared" si="127"/>
        <v/>
      </c>
      <c r="O250" s="24" t="str">
        <f t="shared" si="127"/>
        <v/>
      </c>
      <c r="P250" s="24" t="str">
        <f t="shared" si="127"/>
        <v/>
      </c>
      <c r="Q250" s="24" t="str">
        <f t="shared" si="127"/>
        <v/>
      </c>
      <c r="R250" s="24" t="str">
        <f t="shared" si="127"/>
        <v/>
      </c>
      <c r="S250" s="24" t="str">
        <f t="shared" si="127"/>
        <v/>
      </c>
      <c r="T250" s="24" t="str">
        <f t="shared" si="127"/>
        <v/>
      </c>
      <c r="X250" s="246" t="str">
        <f t="shared" ref="X250:AM250" si="128">X186</f>
        <v/>
      </c>
      <c r="Y250" s="9" t="str">
        <f t="shared" si="128"/>
        <v/>
      </c>
      <c r="Z250" s="9" t="str">
        <f t="shared" si="128"/>
        <v/>
      </c>
      <c r="AA250" s="9" t="str">
        <f t="shared" si="128"/>
        <v/>
      </c>
      <c r="AB250" s="9" t="str">
        <f t="shared" si="128"/>
        <v/>
      </c>
      <c r="AC250" s="9" t="str">
        <f t="shared" si="128"/>
        <v/>
      </c>
      <c r="AD250" s="9" t="str">
        <f t="shared" si="128"/>
        <v/>
      </c>
      <c r="AE250" s="247" t="str">
        <f t="shared" si="128"/>
        <v/>
      </c>
      <c r="AF250" s="25" t="str">
        <f t="shared" si="128"/>
        <v/>
      </c>
      <c r="AG250" s="25" t="str">
        <f t="shared" si="128"/>
        <v/>
      </c>
      <c r="AH250" s="25" t="str">
        <f t="shared" si="128"/>
        <v/>
      </c>
      <c r="AI250" s="25" t="str">
        <f t="shared" si="128"/>
        <v/>
      </c>
      <c r="AJ250" s="25" t="str">
        <f t="shared" si="128"/>
        <v/>
      </c>
      <c r="AK250" s="25" t="str">
        <f t="shared" si="128"/>
        <v/>
      </c>
      <c r="AL250" s="25" t="str">
        <f t="shared" si="128"/>
        <v/>
      </c>
      <c r="AM250" s="25" t="str">
        <f t="shared" si="128"/>
        <v/>
      </c>
      <c r="AQ250" s="9" t="str">
        <f t="shared" si="116"/>
        <v/>
      </c>
      <c r="AR250" s="9" t="str">
        <f t="shared" si="116"/>
        <v/>
      </c>
      <c r="AS250" s="9" t="str">
        <f t="shared" si="116"/>
        <v/>
      </c>
      <c r="AT250" s="9" t="str">
        <f t="shared" si="116"/>
        <v/>
      </c>
      <c r="AU250" s="9" t="str">
        <f t="shared" si="116"/>
        <v/>
      </c>
      <c r="AV250" s="9" t="str">
        <f t="shared" si="116"/>
        <v/>
      </c>
      <c r="AW250" s="9" t="str">
        <f t="shared" si="116"/>
        <v/>
      </c>
      <c r="AX250" s="9" t="str">
        <f t="shared" si="116"/>
        <v/>
      </c>
    </row>
    <row r="251" spans="3:50" hidden="1" x14ac:dyDescent="0.25">
      <c r="C251">
        <v>82</v>
      </c>
      <c r="D251" t="str">
        <f t="shared" si="92"/>
        <v/>
      </c>
      <c r="E251" s="24" t="str">
        <f t="shared" ref="E251:T251" si="129">E187</f>
        <v/>
      </c>
      <c r="F251" s="24" t="str">
        <f t="shared" si="129"/>
        <v/>
      </c>
      <c r="G251" s="24" t="str">
        <f t="shared" si="129"/>
        <v/>
      </c>
      <c r="H251" s="24" t="str">
        <f t="shared" si="129"/>
        <v/>
      </c>
      <c r="I251" s="24" t="str">
        <f t="shared" si="129"/>
        <v/>
      </c>
      <c r="J251" s="24" t="str">
        <f t="shared" si="129"/>
        <v/>
      </c>
      <c r="K251" s="24" t="str">
        <f t="shared" si="129"/>
        <v/>
      </c>
      <c r="L251" s="24" t="str">
        <f t="shared" si="129"/>
        <v/>
      </c>
      <c r="M251" s="24" t="str">
        <f t="shared" si="129"/>
        <v/>
      </c>
      <c r="N251" s="24" t="str">
        <f t="shared" si="129"/>
        <v/>
      </c>
      <c r="O251" s="24" t="str">
        <f t="shared" si="129"/>
        <v/>
      </c>
      <c r="P251" s="24" t="str">
        <f t="shared" si="129"/>
        <v/>
      </c>
      <c r="Q251" s="24" t="str">
        <f t="shared" si="129"/>
        <v/>
      </c>
      <c r="R251" s="24" t="str">
        <f t="shared" si="129"/>
        <v/>
      </c>
      <c r="S251" s="24" t="str">
        <f t="shared" si="129"/>
        <v/>
      </c>
      <c r="T251" s="24" t="str">
        <f t="shared" si="129"/>
        <v/>
      </c>
      <c r="X251" s="246" t="str">
        <f t="shared" ref="X251:AM251" si="130">X187</f>
        <v/>
      </c>
      <c r="Y251" s="9" t="str">
        <f t="shared" si="130"/>
        <v/>
      </c>
      <c r="Z251" s="9" t="str">
        <f t="shared" si="130"/>
        <v/>
      </c>
      <c r="AA251" s="9" t="str">
        <f t="shared" si="130"/>
        <v/>
      </c>
      <c r="AB251" s="9" t="str">
        <f t="shared" si="130"/>
        <v/>
      </c>
      <c r="AC251" s="9" t="str">
        <f t="shared" si="130"/>
        <v/>
      </c>
      <c r="AD251" s="9" t="str">
        <f t="shared" si="130"/>
        <v/>
      </c>
      <c r="AE251" s="247" t="str">
        <f t="shared" si="130"/>
        <v/>
      </c>
      <c r="AF251" s="25" t="str">
        <f t="shared" si="130"/>
        <v/>
      </c>
      <c r="AG251" s="25" t="str">
        <f t="shared" si="130"/>
        <v/>
      </c>
      <c r="AH251" s="25" t="str">
        <f t="shared" si="130"/>
        <v/>
      </c>
      <c r="AI251" s="25" t="str">
        <f t="shared" si="130"/>
        <v/>
      </c>
      <c r="AJ251" s="25" t="str">
        <f t="shared" si="130"/>
        <v/>
      </c>
      <c r="AK251" s="25" t="str">
        <f t="shared" si="130"/>
        <v/>
      </c>
      <c r="AL251" s="25" t="str">
        <f t="shared" si="130"/>
        <v/>
      </c>
      <c r="AM251" s="25" t="str">
        <f t="shared" si="130"/>
        <v/>
      </c>
      <c r="AQ251" s="9" t="str">
        <f t="shared" si="116"/>
        <v/>
      </c>
      <c r="AR251" s="9" t="str">
        <f t="shared" si="116"/>
        <v/>
      </c>
      <c r="AS251" s="9" t="str">
        <f t="shared" si="116"/>
        <v/>
      </c>
      <c r="AT251" s="9" t="str">
        <f t="shared" si="116"/>
        <v/>
      </c>
      <c r="AU251" s="9" t="str">
        <f t="shared" si="116"/>
        <v/>
      </c>
      <c r="AV251" s="9" t="str">
        <f t="shared" si="116"/>
        <v/>
      </c>
      <c r="AW251" s="9" t="str">
        <f t="shared" si="116"/>
        <v/>
      </c>
      <c r="AX251" s="9" t="str">
        <f t="shared" si="116"/>
        <v/>
      </c>
    </row>
    <row r="252" spans="3:50" hidden="1" x14ac:dyDescent="0.25">
      <c r="C252">
        <v>83</v>
      </c>
      <c r="D252" t="str">
        <f t="shared" si="92"/>
        <v/>
      </c>
      <c r="E252" s="24" t="str">
        <f t="shared" ref="E252:T252" si="131">E188</f>
        <v/>
      </c>
      <c r="F252" s="24" t="str">
        <f t="shared" si="131"/>
        <v/>
      </c>
      <c r="G252" s="24" t="str">
        <f t="shared" si="131"/>
        <v/>
      </c>
      <c r="H252" s="24" t="str">
        <f t="shared" si="131"/>
        <v/>
      </c>
      <c r="I252" s="24" t="str">
        <f t="shared" si="131"/>
        <v/>
      </c>
      <c r="J252" s="24" t="str">
        <f t="shared" si="131"/>
        <v/>
      </c>
      <c r="K252" s="24" t="str">
        <f t="shared" si="131"/>
        <v/>
      </c>
      <c r="L252" s="24" t="str">
        <f t="shared" si="131"/>
        <v/>
      </c>
      <c r="M252" s="24" t="str">
        <f t="shared" si="131"/>
        <v/>
      </c>
      <c r="N252" s="24" t="str">
        <f t="shared" si="131"/>
        <v/>
      </c>
      <c r="O252" s="24" t="str">
        <f t="shared" si="131"/>
        <v/>
      </c>
      <c r="P252" s="24" t="str">
        <f t="shared" si="131"/>
        <v/>
      </c>
      <c r="Q252" s="24" t="str">
        <f t="shared" si="131"/>
        <v/>
      </c>
      <c r="R252" s="24" t="str">
        <f t="shared" si="131"/>
        <v/>
      </c>
      <c r="S252" s="24" t="str">
        <f t="shared" si="131"/>
        <v/>
      </c>
      <c r="T252" s="24" t="str">
        <f t="shared" si="131"/>
        <v/>
      </c>
      <c r="X252" s="246" t="str">
        <f t="shared" ref="X252:AM252" si="132">X188</f>
        <v/>
      </c>
      <c r="Y252" s="9" t="str">
        <f t="shared" si="132"/>
        <v/>
      </c>
      <c r="Z252" s="9" t="str">
        <f t="shared" si="132"/>
        <v/>
      </c>
      <c r="AA252" s="9" t="str">
        <f t="shared" si="132"/>
        <v/>
      </c>
      <c r="AB252" s="9" t="str">
        <f t="shared" si="132"/>
        <v/>
      </c>
      <c r="AC252" s="9" t="str">
        <f t="shared" si="132"/>
        <v/>
      </c>
      <c r="AD252" s="9" t="str">
        <f t="shared" si="132"/>
        <v/>
      </c>
      <c r="AE252" s="247" t="str">
        <f t="shared" si="132"/>
        <v/>
      </c>
      <c r="AF252" s="25" t="str">
        <f t="shared" si="132"/>
        <v/>
      </c>
      <c r="AG252" s="25" t="str">
        <f t="shared" si="132"/>
        <v/>
      </c>
      <c r="AH252" s="25" t="str">
        <f t="shared" si="132"/>
        <v/>
      </c>
      <c r="AI252" s="25" t="str">
        <f t="shared" si="132"/>
        <v/>
      </c>
      <c r="AJ252" s="25" t="str">
        <f t="shared" si="132"/>
        <v/>
      </c>
      <c r="AK252" s="25" t="str">
        <f t="shared" si="132"/>
        <v/>
      </c>
      <c r="AL252" s="25" t="str">
        <f t="shared" si="132"/>
        <v/>
      </c>
      <c r="AM252" s="25" t="str">
        <f t="shared" si="132"/>
        <v/>
      </c>
      <c r="AQ252" s="9" t="str">
        <f t="shared" si="116"/>
        <v/>
      </c>
      <c r="AR252" s="9" t="str">
        <f t="shared" si="116"/>
        <v/>
      </c>
      <c r="AS252" s="9" t="str">
        <f t="shared" si="116"/>
        <v/>
      </c>
      <c r="AT252" s="9" t="str">
        <f t="shared" si="116"/>
        <v/>
      </c>
      <c r="AU252" s="9" t="str">
        <f t="shared" si="116"/>
        <v/>
      </c>
      <c r="AV252" s="9" t="str">
        <f t="shared" si="116"/>
        <v/>
      </c>
      <c r="AW252" s="9" t="str">
        <f t="shared" si="116"/>
        <v/>
      </c>
      <c r="AX252" s="9" t="str">
        <f t="shared" si="116"/>
        <v/>
      </c>
    </row>
    <row r="253" spans="3:50" hidden="1" x14ac:dyDescent="0.25">
      <c r="C253">
        <v>84</v>
      </c>
      <c r="D253" t="str">
        <f t="shared" si="92"/>
        <v/>
      </c>
      <c r="E253" s="24" t="str">
        <f t="shared" ref="E253:T253" si="133">E189</f>
        <v/>
      </c>
      <c r="F253" s="24" t="str">
        <f t="shared" si="133"/>
        <v/>
      </c>
      <c r="G253" s="24" t="str">
        <f t="shared" si="133"/>
        <v/>
      </c>
      <c r="H253" s="24" t="str">
        <f t="shared" si="133"/>
        <v/>
      </c>
      <c r="I253" s="24" t="str">
        <f t="shared" si="133"/>
        <v/>
      </c>
      <c r="J253" s="24" t="str">
        <f t="shared" si="133"/>
        <v/>
      </c>
      <c r="K253" s="24" t="str">
        <f t="shared" si="133"/>
        <v/>
      </c>
      <c r="L253" s="24" t="str">
        <f t="shared" si="133"/>
        <v/>
      </c>
      <c r="M253" s="24" t="str">
        <f t="shared" si="133"/>
        <v/>
      </c>
      <c r="N253" s="24" t="str">
        <f t="shared" si="133"/>
        <v/>
      </c>
      <c r="O253" s="24" t="str">
        <f t="shared" si="133"/>
        <v/>
      </c>
      <c r="P253" s="24" t="str">
        <f t="shared" si="133"/>
        <v/>
      </c>
      <c r="Q253" s="24" t="str">
        <f t="shared" si="133"/>
        <v/>
      </c>
      <c r="R253" s="24" t="str">
        <f t="shared" si="133"/>
        <v/>
      </c>
      <c r="S253" s="24" t="str">
        <f t="shared" si="133"/>
        <v/>
      </c>
      <c r="T253" s="24" t="str">
        <f t="shared" si="133"/>
        <v/>
      </c>
      <c r="X253" s="246" t="str">
        <f t="shared" ref="X253:AM253" si="134">X189</f>
        <v/>
      </c>
      <c r="Y253" s="9" t="str">
        <f t="shared" si="134"/>
        <v/>
      </c>
      <c r="Z253" s="9" t="str">
        <f t="shared" si="134"/>
        <v/>
      </c>
      <c r="AA253" s="9" t="str">
        <f t="shared" si="134"/>
        <v/>
      </c>
      <c r="AB253" s="9" t="str">
        <f t="shared" si="134"/>
        <v/>
      </c>
      <c r="AC253" s="9" t="str">
        <f t="shared" si="134"/>
        <v/>
      </c>
      <c r="AD253" s="9" t="str">
        <f t="shared" si="134"/>
        <v/>
      </c>
      <c r="AE253" s="247" t="str">
        <f t="shared" si="134"/>
        <v/>
      </c>
      <c r="AF253" s="25" t="str">
        <f t="shared" si="134"/>
        <v/>
      </c>
      <c r="AG253" s="25" t="str">
        <f t="shared" si="134"/>
        <v/>
      </c>
      <c r="AH253" s="25" t="str">
        <f t="shared" si="134"/>
        <v/>
      </c>
      <c r="AI253" s="25" t="str">
        <f t="shared" si="134"/>
        <v/>
      </c>
      <c r="AJ253" s="25" t="str">
        <f t="shared" si="134"/>
        <v/>
      </c>
      <c r="AK253" s="25" t="str">
        <f t="shared" si="134"/>
        <v/>
      </c>
      <c r="AL253" s="25" t="str">
        <f t="shared" si="134"/>
        <v/>
      </c>
      <c r="AM253" s="25" t="str">
        <f t="shared" si="134"/>
        <v/>
      </c>
      <c r="AQ253" s="9" t="str">
        <f t="shared" si="116"/>
        <v/>
      </c>
      <c r="AR253" s="9" t="str">
        <f t="shared" si="116"/>
        <v/>
      </c>
      <c r="AS253" s="9" t="str">
        <f t="shared" si="116"/>
        <v/>
      </c>
      <c r="AT253" s="9" t="str">
        <f t="shared" si="116"/>
        <v/>
      </c>
      <c r="AU253" s="9" t="str">
        <f t="shared" si="116"/>
        <v/>
      </c>
      <c r="AV253" s="9" t="str">
        <f t="shared" si="116"/>
        <v/>
      </c>
      <c r="AW253" s="9" t="str">
        <f t="shared" si="116"/>
        <v/>
      </c>
      <c r="AX253" s="9" t="str">
        <f t="shared" si="116"/>
        <v/>
      </c>
    </row>
    <row r="254" spans="3:50" hidden="1" x14ac:dyDescent="0.25">
      <c r="C254">
        <v>85</v>
      </c>
      <c r="D254" t="str">
        <f t="shared" si="92"/>
        <v/>
      </c>
      <c r="E254" s="24" t="str">
        <f t="shared" ref="E254:T254" si="135">E190</f>
        <v/>
      </c>
      <c r="F254" s="24" t="str">
        <f t="shared" si="135"/>
        <v/>
      </c>
      <c r="G254" s="24" t="str">
        <f t="shared" si="135"/>
        <v/>
      </c>
      <c r="H254" s="24" t="str">
        <f t="shared" si="135"/>
        <v/>
      </c>
      <c r="I254" s="24" t="str">
        <f t="shared" si="135"/>
        <v/>
      </c>
      <c r="J254" s="24" t="str">
        <f t="shared" si="135"/>
        <v/>
      </c>
      <c r="K254" s="24" t="str">
        <f t="shared" si="135"/>
        <v/>
      </c>
      <c r="L254" s="24" t="str">
        <f t="shared" si="135"/>
        <v/>
      </c>
      <c r="M254" s="24" t="str">
        <f t="shared" si="135"/>
        <v/>
      </c>
      <c r="N254" s="24" t="str">
        <f t="shared" si="135"/>
        <v/>
      </c>
      <c r="O254" s="24" t="str">
        <f t="shared" si="135"/>
        <v/>
      </c>
      <c r="P254" s="24" t="str">
        <f t="shared" si="135"/>
        <v/>
      </c>
      <c r="Q254" s="24" t="str">
        <f t="shared" si="135"/>
        <v/>
      </c>
      <c r="R254" s="24" t="str">
        <f t="shared" si="135"/>
        <v/>
      </c>
      <c r="S254" s="24" t="str">
        <f t="shared" si="135"/>
        <v/>
      </c>
      <c r="T254" s="24" t="str">
        <f t="shared" si="135"/>
        <v/>
      </c>
      <c r="X254" s="246" t="str">
        <f t="shared" ref="X254:AM254" si="136">X190</f>
        <v/>
      </c>
      <c r="Y254" s="9" t="str">
        <f t="shared" si="136"/>
        <v/>
      </c>
      <c r="Z254" s="9" t="str">
        <f t="shared" si="136"/>
        <v/>
      </c>
      <c r="AA254" s="9" t="str">
        <f t="shared" si="136"/>
        <v/>
      </c>
      <c r="AB254" s="9" t="str">
        <f t="shared" si="136"/>
        <v/>
      </c>
      <c r="AC254" s="9" t="str">
        <f t="shared" si="136"/>
        <v/>
      </c>
      <c r="AD254" s="9" t="str">
        <f t="shared" si="136"/>
        <v/>
      </c>
      <c r="AE254" s="247" t="str">
        <f t="shared" si="136"/>
        <v/>
      </c>
      <c r="AF254" s="25" t="str">
        <f t="shared" si="136"/>
        <v/>
      </c>
      <c r="AG254" s="25" t="str">
        <f t="shared" si="136"/>
        <v/>
      </c>
      <c r="AH254" s="25" t="str">
        <f t="shared" si="136"/>
        <v/>
      </c>
      <c r="AI254" s="25" t="str">
        <f t="shared" si="136"/>
        <v/>
      </c>
      <c r="AJ254" s="25" t="str">
        <f t="shared" si="136"/>
        <v/>
      </c>
      <c r="AK254" s="25" t="str">
        <f t="shared" si="136"/>
        <v/>
      </c>
      <c r="AL254" s="25" t="str">
        <f t="shared" si="136"/>
        <v/>
      </c>
      <c r="AM254" s="25" t="str">
        <f t="shared" si="136"/>
        <v/>
      </c>
      <c r="AQ254" s="9" t="str">
        <f t="shared" ref="AQ254:AX263" si="137">AQ190</f>
        <v/>
      </c>
      <c r="AR254" s="9" t="str">
        <f t="shared" si="137"/>
        <v/>
      </c>
      <c r="AS254" s="9" t="str">
        <f t="shared" si="137"/>
        <v/>
      </c>
      <c r="AT254" s="9" t="str">
        <f t="shared" si="137"/>
        <v/>
      </c>
      <c r="AU254" s="9" t="str">
        <f t="shared" si="137"/>
        <v/>
      </c>
      <c r="AV254" s="9" t="str">
        <f t="shared" si="137"/>
        <v/>
      </c>
      <c r="AW254" s="9" t="str">
        <f t="shared" si="137"/>
        <v/>
      </c>
      <c r="AX254" s="9" t="str">
        <f t="shared" si="137"/>
        <v/>
      </c>
    </row>
    <row r="255" spans="3:50" hidden="1" x14ac:dyDescent="0.25">
      <c r="C255">
        <v>86</v>
      </c>
      <c r="D255" t="str">
        <f t="shared" si="92"/>
        <v/>
      </c>
      <c r="E255" s="24" t="str">
        <f t="shared" ref="E255:T255" si="138">E191</f>
        <v/>
      </c>
      <c r="F255" s="24" t="str">
        <f t="shared" si="138"/>
        <v/>
      </c>
      <c r="G255" s="24" t="str">
        <f t="shared" si="138"/>
        <v/>
      </c>
      <c r="H255" s="24" t="str">
        <f t="shared" si="138"/>
        <v/>
      </c>
      <c r="I255" s="24" t="str">
        <f t="shared" si="138"/>
        <v/>
      </c>
      <c r="J255" s="24" t="str">
        <f t="shared" si="138"/>
        <v/>
      </c>
      <c r="K255" s="24" t="str">
        <f t="shared" si="138"/>
        <v/>
      </c>
      <c r="L255" s="24" t="str">
        <f t="shared" si="138"/>
        <v/>
      </c>
      <c r="M255" s="24" t="str">
        <f t="shared" si="138"/>
        <v/>
      </c>
      <c r="N255" s="24" t="str">
        <f t="shared" si="138"/>
        <v/>
      </c>
      <c r="O255" s="24" t="str">
        <f t="shared" si="138"/>
        <v/>
      </c>
      <c r="P255" s="24" t="str">
        <f t="shared" si="138"/>
        <v/>
      </c>
      <c r="Q255" s="24" t="str">
        <f t="shared" si="138"/>
        <v/>
      </c>
      <c r="R255" s="24" t="str">
        <f t="shared" si="138"/>
        <v/>
      </c>
      <c r="S255" s="24" t="str">
        <f t="shared" si="138"/>
        <v/>
      </c>
      <c r="T255" s="24" t="str">
        <f t="shared" si="138"/>
        <v/>
      </c>
      <c r="X255" s="246" t="str">
        <f t="shared" ref="X255:AM255" si="139">X191</f>
        <v/>
      </c>
      <c r="Y255" s="9" t="str">
        <f t="shared" si="139"/>
        <v/>
      </c>
      <c r="Z255" s="9" t="str">
        <f t="shared" si="139"/>
        <v/>
      </c>
      <c r="AA255" s="9" t="str">
        <f t="shared" si="139"/>
        <v/>
      </c>
      <c r="AB255" s="9" t="str">
        <f t="shared" si="139"/>
        <v/>
      </c>
      <c r="AC255" s="9" t="str">
        <f t="shared" si="139"/>
        <v/>
      </c>
      <c r="AD255" s="9" t="str">
        <f t="shared" si="139"/>
        <v/>
      </c>
      <c r="AE255" s="247" t="str">
        <f t="shared" si="139"/>
        <v/>
      </c>
      <c r="AF255" s="25" t="str">
        <f t="shared" si="139"/>
        <v/>
      </c>
      <c r="AG255" s="25" t="str">
        <f t="shared" si="139"/>
        <v/>
      </c>
      <c r="AH255" s="25" t="str">
        <f t="shared" si="139"/>
        <v/>
      </c>
      <c r="AI255" s="25" t="str">
        <f t="shared" si="139"/>
        <v/>
      </c>
      <c r="AJ255" s="25" t="str">
        <f t="shared" si="139"/>
        <v/>
      </c>
      <c r="AK255" s="25" t="str">
        <f t="shared" si="139"/>
        <v/>
      </c>
      <c r="AL255" s="25" t="str">
        <f t="shared" si="139"/>
        <v/>
      </c>
      <c r="AM255" s="25" t="str">
        <f t="shared" si="139"/>
        <v/>
      </c>
      <c r="AQ255" s="9" t="str">
        <f t="shared" si="137"/>
        <v/>
      </c>
      <c r="AR255" s="9" t="str">
        <f t="shared" si="137"/>
        <v/>
      </c>
      <c r="AS255" s="9" t="str">
        <f t="shared" si="137"/>
        <v/>
      </c>
      <c r="AT255" s="9" t="str">
        <f t="shared" si="137"/>
        <v/>
      </c>
      <c r="AU255" s="9" t="str">
        <f t="shared" si="137"/>
        <v/>
      </c>
      <c r="AV255" s="9" t="str">
        <f t="shared" si="137"/>
        <v/>
      </c>
      <c r="AW255" s="9" t="str">
        <f t="shared" si="137"/>
        <v/>
      </c>
      <c r="AX255" s="9" t="str">
        <f t="shared" si="137"/>
        <v/>
      </c>
    </row>
    <row r="256" spans="3:50" hidden="1" x14ac:dyDescent="0.25">
      <c r="C256">
        <v>87</v>
      </c>
      <c r="D256" t="str">
        <f t="shared" si="92"/>
        <v/>
      </c>
      <c r="E256" s="24" t="str">
        <f t="shared" ref="E256:T256" si="140">E192</f>
        <v/>
      </c>
      <c r="F256" s="24" t="str">
        <f t="shared" si="140"/>
        <v/>
      </c>
      <c r="G256" s="24" t="str">
        <f t="shared" si="140"/>
        <v/>
      </c>
      <c r="H256" s="24" t="str">
        <f t="shared" si="140"/>
        <v/>
      </c>
      <c r="I256" s="24" t="str">
        <f t="shared" si="140"/>
        <v/>
      </c>
      <c r="J256" s="24" t="str">
        <f t="shared" si="140"/>
        <v/>
      </c>
      <c r="K256" s="24" t="str">
        <f t="shared" si="140"/>
        <v/>
      </c>
      <c r="L256" s="24" t="str">
        <f t="shared" si="140"/>
        <v/>
      </c>
      <c r="M256" s="24" t="str">
        <f t="shared" si="140"/>
        <v/>
      </c>
      <c r="N256" s="24" t="str">
        <f t="shared" si="140"/>
        <v/>
      </c>
      <c r="O256" s="24" t="str">
        <f t="shared" si="140"/>
        <v/>
      </c>
      <c r="P256" s="24" t="str">
        <f t="shared" si="140"/>
        <v/>
      </c>
      <c r="Q256" s="24" t="str">
        <f t="shared" si="140"/>
        <v/>
      </c>
      <c r="R256" s="24" t="str">
        <f t="shared" si="140"/>
        <v/>
      </c>
      <c r="S256" s="24" t="str">
        <f t="shared" si="140"/>
        <v/>
      </c>
      <c r="T256" s="24" t="str">
        <f t="shared" si="140"/>
        <v/>
      </c>
      <c r="X256" s="246" t="str">
        <f t="shared" ref="X256:AM256" si="141">X192</f>
        <v/>
      </c>
      <c r="Y256" s="9" t="str">
        <f t="shared" si="141"/>
        <v/>
      </c>
      <c r="Z256" s="9" t="str">
        <f t="shared" si="141"/>
        <v/>
      </c>
      <c r="AA256" s="9" t="str">
        <f t="shared" si="141"/>
        <v/>
      </c>
      <c r="AB256" s="9" t="str">
        <f t="shared" si="141"/>
        <v/>
      </c>
      <c r="AC256" s="9" t="str">
        <f t="shared" si="141"/>
        <v/>
      </c>
      <c r="AD256" s="9" t="str">
        <f t="shared" si="141"/>
        <v/>
      </c>
      <c r="AE256" s="247" t="str">
        <f t="shared" si="141"/>
        <v/>
      </c>
      <c r="AF256" s="25" t="str">
        <f t="shared" si="141"/>
        <v/>
      </c>
      <c r="AG256" s="25" t="str">
        <f t="shared" si="141"/>
        <v/>
      </c>
      <c r="AH256" s="25" t="str">
        <f t="shared" si="141"/>
        <v/>
      </c>
      <c r="AI256" s="25" t="str">
        <f t="shared" si="141"/>
        <v/>
      </c>
      <c r="AJ256" s="25" t="str">
        <f t="shared" si="141"/>
        <v/>
      </c>
      <c r="AK256" s="25" t="str">
        <f t="shared" si="141"/>
        <v/>
      </c>
      <c r="AL256" s="25" t="str">
        <f t="shared" si="141"/>
        <v/>
      </c>
      <c r="AM256" s="25" t="str">
        <f t="shared" si="141"/>
        <v/>
      </c>
      <c r="AQ256" s="9" t="str">
        <f t="shared" si="137"/>
        <v/>
      </c>
      <c r="AR256" s="9" t="str">
        <f t="shared" si="137"/>
        <v/>
      </c>
      <c r="AS256" s="9" t="str">
        <f t="shared" si="137"/>
        <v/>
      </c>
      <c r="AT256" s="9" t="str">
        <f t="shared" si="137"/>
        <v/>
      </c>
      <c r="AU256" s="9" t="str">
        <f t="shared" si="137"/>
        <v/>
      </c>
      <c r="AV256" s="9" t="str">
        <f t="shared" si="137"/>
        <v/>
      </c>
      <c r="AW256" s="9" t="str">
        <f t="shared" si="137"/>
        <v/>
      </c>
      <c r="AX256" s="9" t="str">
        <f t="shared" si="137"/>
        <v/>
      </c>
    </row>
    <row r="257" spans="3:50" hidden="1" x14ac:dyDescent="0.25">
      <c r="C257">
        <v>88</v>
      </c>
      <c r="D257" t="str">
        <f t="shared" si="92"/>
        <v/>
      </c>
      <c r="E257" s="24" t="str">
        <f t="shared" ref="E257:T257" si="142">E193</f>
        <v/>
      </c>
      <c r="F257" s="24" t="str">
        <f t="shared" si="142"/>
        <v/>
      </c>
      <c r="G257" s="24" t="str">
        <f t="shared" si="142"/>
        <v/>
      </c>
      <c r="H257" s="24" t="str">
        <f t="shared" si="142"/>
        <v/>
      </c>
      <c r="I257" s="24" t="str">
        <f t="shared" si="142"/>
        <v/>
      </c>
      <c r="J257" s="24" t="str">
        <f t="shared" si="142"/>
        <v/>
      </c>
      <c r="K257" s="24" t="str">
        <f t="shared" si="142"/>
        <v/>
      </c>
      <c r="L257" s="24" t="str">
        <f t="shared" si="142"/>
        <v/>
      </c>
      <c r="M257" s="24" t="str">
        <f t="shared" si="142"/>
        <v/>
      </c>
      <c r="N257" s="24" t="str">
        <f t="shared" si="142"/>
        <v/>
      </c>
      <c r="O257" s="24" t="str">
        <f t="shared" si="142"/>
        <v/>
      </c>
      <c r="P257" s="24" t="str">
        <f t="shared" si="142"/>
        <v/>
      </c>
      <c r="Q257" s="24" t="str">
        <f t="shared" si="142"/>
        <v/>
      </c>
      <c r="R257" s="24" t="str">
        <f t="shared" si="142"/>
        <v/>
      </c>
      <c r="S257" s="24" t="str">
        <f t="shared" si="142"/>
        <v/>
      </c>
      <c r="T257" s="24" t="str">
        <f t="shared" si="142"/>
        <v/>
      </c>
      <c r="X257" s="246" t="str">
        <f t="shared" ref="X257:AM257" si="143">X193</f>
        <v/>
      </c>
      <c r="Y257" s="9" t="str">
        <f t="shared" si="143"/>
        <v/>
      </c>
      <c r="Z257" s="9" t="str">
        <f t="shared" si="143"/>
        <v/>
      </c>
      <c r="AA257" s="9" t="str">
        <f t="shared" si="143"/>
        <v/>
      </c>
      <c r="AB257" s="9" t="str">
        <f t="shared" si="143"/>
        <v/>
      </c>
      <c r="AC257" s="9" t="str">
        <f t="shared" si="143"/>
        <v/>
      </c>
      <c r="AD257" s="9" t="str">
        <f t="shared" si="143"/>
        <v/>
      </c>
      <c r="AE257" s="247" t="str">
        <f t="shared" si="143"/>
        <v/>
      </c>
      <c r="AF257" s="25" t="str">
        <f t="shared" si="143"/>
        <v/>
      </c>
      <c r="AG257" s="25" t="str">
        <f t="shared" si="143"/>
        <v/>
      </c>
      <c r="AH257" s="25" t="str">
        <f t="shared" si="143"/>
        <v/>
      </c>
      <c r="AI257" s="25" t="str">
        <f t="shared" si="143"/>
        <v/>
      </c>
      <c r="AJ257" s="25" t="str">
        <f t="shared" si="143"/>
        <v/>
      </c>
      <c r="AK257" s="25" t="str">
        <f t="shared" si="143"/>
        <v/>
      </c>
      <c r="AL257" s="25" t="str">
        <f t="shared" si="143"/>
        <v/>
      </c>
      <c r="AM257" s="25" t="str">
        <f t="shared" si="143"/>
        <v/>
      </c>
      <c r="AQ257" s="9" t="str">
        <f t="shared" si="137"/>
        <v/>
      </c>
      <c r="AR257" s="9" t="str">
        <f t="shared" si="137"/>
        <v/>
      </c>
      <c r="AS257" s="9" t="str">
        <f t="shared" si="137"/>
        <v/>
      </c>
      <c r="AT257" s="9" t="str">
        <f t="shared" si="137"/>
        <v/>
      </c>
      <c r="AU257" s="9" t="str">
        <f t="shared" si="137"/>
        <v/>
      </c>
      <c r="AV257" s="9" t="str">
        <f t="shared" si="137"/>
        <v/>
      </c>
      <c r="AW257" s="9" t="str">
        <f t="shared" si="137"/>
        <v/>
      </c>
      <c r="AX257" s="9" t="str">
        <f t="shared" si="137"/>
        <v/>
      </c>
    </row>
    <row r="258" spans="3:50" hidden="1" x14ac:dyDescent="0.25">
      <c r="C258">
        <v>89</v>
      </c>
      <c r="D258" t="str">
        <f t="shared" si="92"/>
        <v/>
      </c>
      <c r="E258" s="24" t="str">
        <f t="shared" ref="E258:T258" si="144">E194</f>
        <v/>
      </c>
      <c r="F258" s="24" t="str">
        <f t="shared" si="144"/>
        <v/>
      </c>
      <c r="G258" s="24" t="str">
        <f t="shared" si="144"/>
        <v/>
      </c>
      <c r="H258" s="24" t="str">
        <f t="shared" si="144"/>
        <v/>
      </c>
      <c r="I258" s="24" t="str">
        <f t="shared" si="144"/>
        <v/>
      </c>
      <c r="J258" s="24" t="str">
        <f t="shared" si="144"/>
        <v/>
      </c>
      <c r="K258" s="24" t="str">
        <f t="shared" si="144"/>
        <v/>
      </c>
      <c r="L258" s="24" t="str">
        <f t="shared" si="144"/>
        <v/>
      </c>
      <c r="M258" s="24" t="str">
        <f t="shared" si="144"/>
        <v/>
      </c>
      <c r="N258" s="24" t="str">
        <f t="shared" si="144"/>
        <v/>
      </c>
      <c r="O258" s="24" t="str">
        <f t="shared" si="144"/>
        <v/>
      </c>
      <c r="P258" s="24" t="str">
        <f t="shared" si="144"/>
        <v/>
      </c>
      <c r="Q258" s="24" t="str">
        <f t="shared" si="144"/>
        <v/>
      </c>
      <c r="R258" s="24" t="str">
        <f t="shared" si="144"/>
        <v/>
      </c>
      <c r="S258" s="24" t="str">
        <f t="shared" si="144"/>
        <v/>
      </c>
      <c r="T258" s="24" t="str">
        <f t="shared" si="144"/>
        <v/>
      </c>
      <c r="X258" s="246" t="str">
        <f t="shared" ref="X258:AM258" si="145">X194</f>
        <v/>
      </c>
      <c r="Y258" s="9" t="str">
        <f t="shared" si="145"/>
        <v/>
      </c>
      <c r="Z258" s="9" t="str">
        <f t="shared" si="145"/>
        <v/>
      </c>
      <c r="AA258" s="9" t="str">
        <f t="shared" si="145"/>
        <v/>
      </c>
      <c r="AB258" s="9" t="str">
        <f t="shared" si="145"/>
        <v/>
      </c>
      <c r="AC258" s="9" t="str">
        <f t="shared" si="145"/>
        <v/>
      </c>
      <c r="AD258" s="9" t="str">
        <f t="shared" si="145"/>
        <v/>
      </c>
      <c r="AE258" s="247" t="str">
        <f t="shared" si="145"/>
        <v/>
      </c>
      <c r="AF258" s="25" t="str">
        <f t="shared" si="145"/>
        <v/>
      </c>
      <c r="AG258" s="25" t="str">
        <f t="shared" si="145"/>
        <v/>
      </c>
      <c r="AH258" s="25" t="str">
        <f t="shared" si="145"/>
        <v/>
      </c>
      <c r="AI258" s="25" t="str">
        <f t="shared" si="145"/>
        <v/>
      </c>
      <c r="AJ258" s="25" t="str">
        <f t="shared" si="145"/>
        <v/>
      </c>
      <c r="AK258" s="25" t="str">
        <f t="shared" si="145"/>
        <v/>
      </c>
      <c r="AL258" s="25" t="str">
        <f t="shared" si="145"/>
        <v/>
      </c>
      <c r="AM258" s="25" t="str">
        <f t="shared" si="145"/>
        <v/>
      </c>
      <c r="AQ258" s="9" t="str">
        <f t="shared" si="137"/>
        <v/>
      </c>
      <c r="AR258" s="9" t="str">
        <f t="shared" si="137"/>
        <v/>
      </c>
      <c r="AS258" s="9" t="str">
        <f t="shared" si="137"/>
        <v/>
      </c>
      <c r="AT258" s="9" t="str">
        <f t="shared" si="137"/>
        <v/>
      </c>
      <c r="AU258" s="9" t="str">
        <f t="shared" si="137"/>
        <v/>
      </c>
      <c r="AV258" s="9" t="str">
        <f t="shared" si="137"/>
        <v/>
      </c>
      <c r="AW258" s="9" t="str">
        <f t="shared" si="137"/>
        <v/>
      </c>
      <c r="AX258" s="9" t="str">
        <f t="shared" si="137"/>
        <v/>
      </c>
    </row>
    <row r="259" spans="3:50" hidden="1" x14ac:dyDescent="0.25">
      <c r="C259">
        <v>90</v>
      </c>
      <c r="D259" t="str">
        <f t="shared" si="92"/>
        <v/>
      </c>
      <c r="E259" s="24" t="str">
        <f t="shared" ref="E259:T259" si="146">E195</f>
        <v/>
      </c>
      <c r="F259" s="24" t="str">
        <f t="shared" si="146"/>
        <v/>
      </c>
      <c r="G259" s="24" t="str">
        <f t="shared" si="146"/>
        <v/>
      </c>
      <c r="H259" s="24" t="str">
        <f t="shared" si="146"/>
        <v/>
      </c>
      <c r="I259" s="24" t="str">
        <f t="shared" si="146"/>
        <v/>
      </c>
      <c r="J259" s="24" t="str">
        <f t="shared" si="146"/>
        <v/>
      </c>
      <c r="K259" s="24" t="str">
        <f t="shared" si="146"/>
        <v/>
      </c>
      <c r="L259" s="24" t="str">
        <f t="shared" si="146"/>
        <v/>
      </c>
      <c r="M259" s="24" t="str">
        <f t="shared" si="146"/>
        <v/>
      </c>
      <c r="N259" s="24" t="str">
        <f t="shared" si="146"/>
        <v/>
      </c>
      <c r="O259" s="24" t="str">
        <f t="shared" si="146"/>
        <v/>
      </c>
      <c r="P259" s="24" t="str">
        <f t="shared" si="146"/>
        <v/>
      </c>
      <c r="Q259" s="24" t="str">
        <f t="shared" si="146"/>
        <v/>
      </c>
      <c r="R259" s="24" t="str">
        <f t="shared" si="146"/>
        <v/>
      </c>
      <c r="S259" s="24" t="str">
        <f t="shared" si="146"/>
        <v/>
      </c>
      <c r="T259" s="24" t="str">
        <f t="shared" si="146"/>
        <v/>
      </c>
      <c r="X259" s="246" t="str">
        <f t="shared" ref="X259:AM259" si="147">X195</f>
        <v/>
      </c>
      <c r="Y259" s="9" t="str">
        <f t="shared" si="147"/>
        <v/>
      </c>
      <c r="Z259" s="9" t="str">
        <f t="shared" si="147"/>
        <v/>
      </c>
      <c r="AA259" s="9" t="str">
        <f t="shared" si="147"/>
        <v/>
      </c>
      <c r="AB259" s="9" t="str">
        <f t="shared" si="147"/>
        <v/>
      </c>
      <c r="AC259" s="9" t="str">
        <f t="shared" si="147"/>
        <v/>
      </c>
      <c r="AD259" s="9" t="str">
        <f t="shared" si="147"/>
        <v/>
      </c>
      <c r="AE259" s="247" t="str">
        <f t="shared" si="147"/>
        <v/>
      </c>
      <c r="AF259" s="25" t="str">
        <f t="shared" si="147"/>
        <v/>
      </c>
      <c r="AG259" s="25" t="str">
        <f t="shared" si="147"/>
        <v/>
      </c>
      <c r="AH259" s="25" t="str">
        <f t="shared" si="147"/>
        <v/>
      </c>
      <c r="AI259" s="25" t="str">
        <f t="shared" si="147"/>
        <v/>
      </c>
      <c r="AJ259" s="25" t="str">
        <f t="shared" si="147"/>
        <v/>
      </c>
      <c r="AK259" s="25" t="str">
        <f t="shared" si="147"/>
        <v/>
      </c>
      <c r="AL259" s="25" t="str">
        <f t="shared" si="147"/>
        <v/>
      </c>
      <c r="AM259" s="25" t="str">
        <f t="shared" si="147"/>
        <v/>
      </c>
      <c r="AQ259" s="9" t="str">
        <f t="shared" si="137"/>
        <v/>
      </c>
      <c r="AR259" s="9" t="str">
        <f t="shared" si="137"/>
        <v/>
      </c>
      <c r="AS259" s="9" t="str">
        <f t="shared" si="137"/>
        <v/>
      </c>
      <c r="AT259" s="9" t="str">
        <f t="shared" si="137"/>
        <v/>
      </c>
      <c r="AU259" s="9" t="str">
        <f t="shared" si="137"/>
        <v/>
      </c>
      <c r="AV259" s="9" t="str">
        <f t="shared" si="137"/>
        <v/>
      </c>
      <c r="AW259" s="9" t="str">
        <f t="shared" si="137"/>
        <v/>
      </c>
      <c r="AX259" s="9" t="str">
        <f t="shared" si="137"/>
        <v/>
      </c>
    </row>
    <row r="260" spans="3:50" hidden="1" x14ac:dyDescent="0.25">
      <c r="C260">
        <v>91</v>
      </c>
      <c r="D260" t="str">
        <f t="shared" si="92"/>
        <v/>
      </c>
      <c r="E260" s="24" t="str">
        <f t="shared" ref="E260:T260" si="148">E196</f>
        <v/>
      </c>
      <c r="F260" s="24" t="str">
        <f t="shared" si="148"/>
        <v/>
      </c>
      <c r="G260" s="24" t="str">
        <f t="shared" si="148"/>
        <v/>
      </c>
      <c r="H260" s="24" t="str">
        <f t="shared" si="148"/>
        <v/>
      </c>
      <c r="I260" s="24" t="str">
        <f t="shared" si="148"/>
        <v/>
      </c>
      <c r="J260" s="24" t="str">
        <f t="shared" si="148"/>
        <v/>
      </c>
      <c r="K260" s="24" t="str">
        <f t="shared" si="148"/>
        <v/>
      </c>
      <c r="L260" s="24" t="str">
        <f t="shared" si="148"/>
        <v/>
      </c>
      <c r="M260" s="24" t="str">
        <f t="shared" si="148"/>
        <v/>
      </c>
      <c r="N260" s="24" t="str">
        <f t="shared" si="148"/>
        <v/>
      </c>
      <c r="O260" s="24" t="str">
        <f t="shared" si="148"/>
        <v/>
      </c>
      <c r="P260" s="24" t="str">
        <f t="shared" si="148"/>
        <v/>
      </c>
      <c r="Q260" s="24" t="str">
        <f t="shared" si="148"/>
        <v/>
      </c>
      <c r="R260" s="24" t="str">
        <f t="shared" si="148"/>
        <v/>
      </c>
      <c r="S260" s="24" t="str">
        <f t="shared" si="148"/>
        <v/>
      </c>
      <c r="T260" s="24" t="str">
        <f t="shared" si="148"/>
        <v/>
      </c>
      <c r="X260" s="246" t="str">
        <f t="shared" ref="X260:AM260" si="149">X196</f>
        <v/>
      </c>
      <c r="Y260" s="9" t="str">
        <f t="shared" si="149"/>
        <v/>
      </c>
      <c r="Z260" s="9" t="str">
        <f t="shared" si="149"/>
        <v/>
      </c>
      <c r="AA260" s="9" t="str">
        <f t="shared" si="149"/>
        <v/>
      </c>
      <c r="AB260" s="9" t="str">
        <f t="shared" si="149"/>
        <v/>
      </c>
      <c r="AC260" s="9" t="str">
        <f t="shared" si="149"/>
        <v/>
      </c>
      <c r="AD260" s="9" t="str">
        <f t="shared" si="149"/>
        <v/>
      </c>
      <c r="AE260" s="247" t="str">
        <f t="shared" si="149"/>
        <v/>
      </c>
      <c r="AF260" s="25" t="str">
        <f t="shared" si="149"/>
        <v/>
      </c>
      <c r="AG260" s="25" t="str">
        <f t="shared" si="149"/>
        <v/>
      </c>
      <c r="AH260" s="25" t="str">
        <f t="shared" si="149"/>
        <v/>
      </c>
      <c r="AI260" s="25" t="str">
        <f t="shared" si="149"/>
        <v/>
      </c>
      <c r="AJ260" s="25" t="str">
        <f t="shared" si="149"/>
        <v/>
      </c>
      <c r="AK260" s="25" t="str">
        <f t="shared" si="149"/>
        <v/>
      </c>
      <c r="AL260" s="25" t="str">
        <f t="shared" si="149"/>
        <v/>
      </c>
      <c r="AM260" s="25" t="str">
        <f t="shared" si="149"/>
        <v/>
      </c>
      <c r="AQ260" s="9" t="str">
        <f t="shared" si="137"/>
        <v/>
      </c>
      <c r="AR260" s="9" t="str">
        <f t="shared" si="137"/>
        <v/>
      </c>
      <c r="AS260" s="9" t="str">
        <f t="shared" si="137"/>
        <v/>
      </c>
      <c r="AT260" s="9" t="str">
        <f t="shared" si="137"/>
        <v/>
      </c>
      <c r="AU260" s="9" t="str">
        <f t="shared" si="137"/>
        <v/>
      </c>
      <c r="AV260" s="9" t="str">
        <f t="shared" si="137"/>
        <v/>
      </c>
      <c r="AW260" s="9" t="str">
        <f t="shared" si="137"/>
        <v/>
      </c>
      <c r="AX260" s="9" t="str">
        <f t="shared" si="137"/>
        <v/>
      </c>
    </row>
    <row r="261" spans="3:50" hidden="1" x14ac:dyDescent="0.25">
      <c r="C261">
        <v>92</v>
      </c>
      <c r="D261" t="str">
        <f t="shared" si="92"/>
        <v/>
      </c>
      <c r="E261" s="24" t="str">
        <f t="shared" ref="E261:T261" si="150">E197</f>
        <v/>
      </c>
      <c r="F261" s="24" t="str">
        <f t="shared" si="150"/>
        <v/>
      </c>
      <c r="G261" s="24" t="str">
        <f t="shared" si="150"/>
        <v/>
      </c>
      <c r="H261" s="24" t="str">
        <f t="shared" si="150"/>
        <v/>
      </c>
      <c r="I261" s="24" t="str">
        <f t="shared" si="150"/>
        <v/>
      </c>
      <c r="J261" s="24" t="str">
        <f t="shared" si="150"/>
        <v/>
      </c>
      <c r="K261" s="24" t="str">
        <f t="shared" si="150"/>
        <v/>
      </c>
      <c r="L261" s="24" t="str">
        <f t="shared" si="150"/>
        <v/>
      </c>
      <c r="M261" s="24" t="str">
        <f t="shared" si="150"/>
        <v/>
      </c>
      <c r="N261" s="24" t="str">
        <f t="shared" si="150"/>
        <v/>
      </c>
      <c r="O261" s="24" t="str">
        <f t="shared" si="150"/>
        <v/>
      </c>
      <c r="P261" s="24" t="str">
        <f t="shared" si="150"/>
        <v/>
      </c>
      <c r="Q261" s="24" t="str">
        <f t="shared" si="150"/>
        <v/>
      </c>
      <c r="R261" s="24" t="str">
        <f t="shared" si="150"/>
        <v/>
      </c>
      <c r="S261" s="24" t="str">
        <f t="shared" si="150"/>
        <v/>
      </c>
      <c r="T261" s="24" t="str">
        <f t="shared" si="150"/>
        <v/>
      </c>
      <c r="X261" s="246" t="str">
        <f t="shared" ref="X261:AM261" si="151">X197</f>
        <v/>
      </c>
      <c r="Y261" s="9" t="str">
        <f t="shared" si="151"/>
        <v/>
      </c>
      <c r="Z261" s="9" t="str">
        <f t="shared" si="151"/>
        <v/>
      </c>
      <c r="AA261" s="9" t="str">
        <f t="shared" si="151"/>
        <v/>
      </c>
      <c r="AB261" s="9" t="str">
        <f t="shared" si="151"/>
        <v/>
      </c>
      <c r="AC261" s="9" t="str">
        <f t="shared" si="151"/>
        <v/>
      </c>
      <c r="AD261" s="9" t="str">
        <f t="shared" si="151"/>
        <v/>
      </c>
      <c r="AE261" s="247" t="str">
        <f t="shared" si="151"/>
        <v/>
      </c>
      <c r="AF261" s="25" t="str">
        <f t="shared" si="151"/>
        <v/>
      </c>
      <c r="AG261" s="25" t="str">
        <f t="shared" si="151"/>
        <v/>
      </c>
      <c r="AH261" s="25" t="str">
        <f t="shared" si="151"/>
        <v/>
      </c>
      <c r="AI261" s="25" t="str">
        <f t="shared" si="151"/>
        <v/>
      </c>
      <c r="AJ261" s="25" t="str">
        <f t="shared" si="151"/>
        <v/>
      </c>
      <c r="AK261" s="25" t="str">
        <f t="shared" si="151"/>
        <v/>
      </c>
      <c r="AL261" s="25" t="str">
        <f t="shared" si="151"/>
        <v/>
      </c>
      <c r="AM261" s="25" t="str">
        <f t="shared" si="151"/>
        <v/>
      </c>
      <c r="AQ261" s="9" t="str">
        <f t="shared" si="137"/>
        <v/>
      </c>
      <c r="AR261" s="9" t="str">
        <f t="shared" si="137"/>
        <v/>
      </c>
      <c r="AS261" s="9" t="str">
        <f t="shared" si="137"/>
        <v/>
      </c>
      <c r="AT261" s="9" t="str">
        <f t="shared" si="137"/>
        <v/>
      </c>
      <c r="AU261" s="9" t="str">
        <f t="shared" si="137"/>
        <v/>
      </c>
      <c r="AV261" s="9" t="str">
        <f t="shared" si="137"/>
        <v/>
      </c>
      <c r="AW261" s="9" t="str">
        <f t="shared" si="137"/>
        <v/>
      </c>
      <c r="AX261" s="9" t="str">
        <f t="shared" si="137"/>
        <v/>
      </c>
    </row>
    <row r="262" spans="3:50" hidden="1" x14ac:dyDescent="0.25">
      <c r="C262">
        <v>93</v>
      </c>
      <c r="D262" t="str">
        <f t="shared" si="92"/>
        <v/>
      </c>
      <c r="E262" s="24" t="str">
        <f t="shared" ref="E262:T262" si="152">E198</f>
        <v/>
      </c>
      <c r="F262" s="24" t="str">
        <f t="shared" si="152"/>
        <v/>
      </c>
      <c r="G262" s="24" t="str">
        <f t="shared" si="152"/>
        <v/>
      </c>
      <c r="H262" s="24" t="str">
        <f t="shared" si="152"/>
        <v/>
      </c>
      <c r="I262" s="24" t="str">
        <f t="shared" si="152"/>
        <v/>
      </c>
      <c r="J262" s="24" t="str">
        <f t="shared" si="152"/>
        <v/>
      </c>
      <c r="K262" s="24" t="str">
        <f t="shared" si="152"/>
        <v/>
      </c>
      <c r="L262" s="24" t="str">
        <f t="shared" si="152"/>
        <v/>
      </c>
      <c r="M262" s="24" t="str">
        <f t="shared" si="152"/>
        <v/>
      </c>
      <c r="N262" s="24" t="str">
        <f t="shared" si="152"/>
        <v/>
      </c>
      <c r="O262" s="24" t="str">
        <f t="shared" si="152"/>
        <v/>
      </c>
      <c r="P262" s="24" t="str">
        <f t="shared" si="152"/>
        <v/>
      </c>
      <c r="Q262" s="24" t="str">
        <f t="shared" si="152"/>
        <v/>
      </c>
      <c r="R262" s="24" t="str">
        <f t="shared" si="152"/>
        <v/>
      </c>
      <c r="S262" s="24" t="str">
        <f t="shared" si="152"/>
        <v/>
      </c>
      <c r="T262" s="24" t="str">
        <f t="shared" si="152"/>
        <v/>
      </c>
      <c r="X262" s="246" t="str">
        <f t="shared" ref="X262:AM262" si="153">X198</f>
        <v/>
      </c>
      <c r="Y262" s="9" t="str">
        <f t="shared" si="153"/>
        <v/>
      </c>
      <c r="Z262" s="9" t="str">
        <f t="shared" si="153"/>
        <v/>
      </c>
      <c r="AA262" s="9" t="str">
        <f t="shared" si="153"/>
        <v/>
      </c>
      <c r="AB262" s="9" t="str">
        <f t="shared" si="153"/>
        <v/>
      </c>
      <c r="AC262" s="9" t="str">
        <f t="shared" si="153"/>
        <v/>
      </c>
      <c r="AD262" s="9" t="str">
        <f t="shared" si="153"/>
        <v/>
      </c>
      <c r="AE262" s="247" t="str">
        <f t="shared" si="153"/>
        <v/>
      </c>
      <c r="AF262" s="25" t="str">
        <f t="shared" si="153"/>
        <v/>
      </c>
      <c r="AG262" s="25" t="str">
        <f t="shared" si="153"/>
        <v/>
      </c>
      <c r="AH262" s="25" t="str">
        <f t="shared" si="153"/>
        <v/>
      </c>
      <c r="AI262" s="25" t="str">
        <f t="shared" si="153"/>
        <v/>
      </c>
      <c r="AJ262" s="25" t="str">
        <f t="shared" si="153"/>
        <v/>
      </c>
      <c r="AK262" s="25" t="str">
        <f t="shared" si="153"/>
        <v/>
      </c>
      <c r="AL262" s="25" t="str">
        <f t="shared" si="153"/>
        <v/>
      </c>
      <c r="AM262" s="25" t="str">
        <f t="shared" si="153"/>
        <v/>
      </c>
      <c r="AQ262" s="9" t="str">
        <f t="shared" si="137"/>
        <v/>
      </c>
      <c r="AR262" s="9" t="str">
        <f t="shared" si="137"/>
        <v/>
      </c>
      <c r="AS262" s="9" t="str">
        <f t="shared" si="137"/>
        <v/>
      </c>
      <c r="AT262" s="9" t="str">
        <f t="shared" si="137"/>
        <v/>
      </c>
      <c r="AU262" s="9" t="str">
        <f t="shared" si="137"/>
        <v/>
      </c>
      <c r="AV262" s="9" t="str">
        <f t="shared" si="137"/>
        <v/>
      </c>
      <c r="AW262" s="9" t="str">
        <f t="shared" si="137"/>
        <v/>
      </c>
      <c r="AX262" s="9" t="str">
        <f t="shared" si="137"/>
        <v/>
      </c>
    </row>
    <row r="263" spans="3:50" hidden="1" x14ac:dyDescent="0.25">
      <c r="C263">
        <v>94</v>
      </c>
      <c r="D263" t="str">
        <f t="shared" si="92"/>
        <v/>
      </c>
      <c r="E263" s="24" t="str">
        <f t="shared" ref="E263:T263" si="154">E199</f>
        <v/>
      </c>
      <c r="F263" s="24" t="str">
        <f t="shared" si="154"/>
        <v/>
      </c>
      <c r="G263" s="24" t="str">
        <f t="shared" si="154"/>
        <v/>
      </c>
      <c r="H263" s="24" t="str">
        <f t="shared" si="154"/>
        <v/>
      </c>
      <c r="I263" s="24" t="str">
        <f t="shared" si="154"/>
        <v/>
      </c>
      <c r="J263" s="24" t="str">
        <f t="shared" si="154"/>
        <v/>
      </c>
      <c r="K263" s="24" t="str">
        <f t="shared" si="154"/>
        <v/>
      </c>
      <c r="L263" s="24" t="str">
        <f t="shared" si="154"/>
        <v/>
      </c>
      <c r="M263" s="24" t="str">
        <f t="shared" si="154"/>
        <v/>
      </c>
      <c r="N263" s="24" t="str">
        <f t="shared" si="154"/>
        <v/>
      </c>
      <c r="O263" s="24" t="str">
        <f t="shared" si="154"/>
        <v/>
      </c>
      <c r="P263" s="24" t="str">
        <f t="shared" si="154"/>
        <v/>
      </c>
      <c r="Q263" s="24" t="str">
        <f t="shared" si="154"/>
        <v/>
      </c>
      <c r="R263" s="24" t="str">
        <f t="shared" si="154"/>
        <v/>
      </c>
      <c r="S263" s="24" t="str">
        <f t="shared" si="154"/>
        <v/>
      </c>
      <c r="T263" s="24" t="str">
        <f t="shared" si="154"/>
        <v/>
      </c>
      <c r="X263" s="246" t="str">
        <f t="shared" ref="X263:AM263" si="155">X199</f>
        <v/>
      </c>
      <c r="Y263" s="9" t="str">
        <f t="shared" si="155"/>
        <v/>
      </c>
      <c r="Z263" s="9" t="str">
        <f t="shared" si="155"/>
        <v/>
      </c>
      <c r="AA263" s="9" t="str">
        <f t="shared" si="155"/>
        <v/>
      </c>
      <c r="AB263" s="9" t="str">
        <f t="shared" si="155"/>
        <v/>
      </c>
      <c r="AC263" s="9" t="str">
        <f t="shared" si="155"/>
        <v/>
      </c>
      <c r="AD263" s="9" t="str">
        <f t="shared" si="155"/>
        <v/>
      </c>
      <c r="AE263" s="247" t="str">
        <f t="shared" si="155"/>
        <v/>
      </c>
      <c r="AF263" s="25" t="str">
        <f t="shared" si="155"/>
        <v/>
      </c>
      <c r="AG263" s="25" t="str">
        <f t="shared" si="155"/>
        <v/>
      </c>
      <c r="AH263" s="25" t="str">
        <f t="shared" si="155"/>
        <v/>
      </c>
      <c r="AI263" s="25" t="str">
        <f t="shared" si="155"/>
        <v/>
      </c>
      <c r="AJ263" s="25" t="str">
        <f t="shared" si="155"/>
        <v/>
      </c>
      <c r="AK263" s="25" t="str">
        <f t="shared" si="155"/>
        <v/>
      </c>
      <c r="AL263" s="25" t="str">
        <f t="shared" si="155"/>
        <v/>
      </c>
      <c r="AM263" s="25" t="str">
        <f t="shared" si="155"/>
        <v/>
      </c>
      <c r="AQ263" s="9" t="str">
        <f t="shared" si="137"/>
        <v/>
      </c>
      <c r="AR263" s="9" t="str">
        <f t="shared" si="137"/>
        <v/>
      </c>
      <c r="AS263" s="9" t="str">
        <f t="shared" si="137"/>
        <v/>
      </c>
      <c r="AT263" s="9" t="str">
        <f t="shared" si="137"/>
        <v/>
      </c>
      <c r="AU263" s="9" t="str">
        <f t="shared" si="137"/>
        <v/>
      </c>
      <c r="AV263" s="9" t="str">
        <f t="shared" si="137"/>
        <v/>
      </c>
      <c r="AW263" s="9" t="str">
        <f t="shared" si="137"/>
        <v/>
      </c>
      <c r="AX263" s="9" t="str">
        <f t="shared" si="137"/>
        <v/>
      </c>
    </row>
    <row r="264" spans="3:50" hidden="1" x14ac:dyDescent="0.25">
      <c r="C264">
        <v>95</v>
      </c>
      <c r="D264" t="str">
        <f t="shared" si="92"/>
        <v/>
      </c>
      <c r="E264" s="24" t="str">
        <f t="shared" ref="E264:T264" si="156">E200</f>
        <v/>
      </c>
      <c r="F264" s="24" t="str">
        <f t="shared" si="156"/>
        <v/>
      </c>
      <c r="G264" s="24" t="str">
        <f t="shared" si="156"/>
        <v/>
      </c>
      <c r="H264" s="24" t="str">
        <f t="shared" si="156"/>
        <v/>
      </c>
      <c r="I264" s="24" t="str">
        <f t="shared" si="156"/>
        <v/>
      </c>
      <c r="J264" s="24" t="str">
        <f t="shared" si="156"/>
        <v/>
      </c>
      <c r="K264" s="24" t="str">
        <f t="shared" si="156"/>
        <v/>
      </c>
      <c r="L264" s="24" t="str">
        <f t="shared" si="156"/>
        <v/>
      </c>
      <c r="M264" s="24" t="str">
        <f t="shared" si="156"/>
        <v/>
      </c>
      <c r="N264" s="24" t="str">
        <f t="shared" si="156"/>
        <v/>
      </c>
      <c r="O264" s="24" t="str">
        <f t="shared" si="156"/>
        <v/>
      </c>
      <c r="P264" s="24" t="str">
        <f t="shared" si="156"/>
        <v/>
      </c>
      <c r="Q264" s="24" t="str">
        <f t="shared" si="156"/>
        <v/>
      </c>
      <c r="R264" s="24" t="str">
        <f t="shared" si="156"/>
        <v/>
      </c>
      <c r="S264" s="24" t="str">
        <f t="shared" si="156"/>
        <v/>
      </c>
      <c r="T264" s="24" t="str">
        <f t="shared" si="156"/>
        <v/>
      </c>
      <c r="X264" s="246" t="str">
        <f t="shared" ref="X264:AM264" si="157">X200</f>
        <v/>
      </c>
      <c r="Y264" s="9" t="str">
        <f t="shared" si="157"/>
        <v/>
      </c>
      <c r="Z264" s="9" t="str">
        <f t="shared" si="157"/>
        <v/>
      </c>
      <c r="AA264" s="9" t="str">
        <f t="shared" si="157"/>
        <v/>
      </c>
      <c r="AB264" s="9" t="str">
        <f t="shared" si="157"/>
        <v/>
      </c>
      <c r="AC264" s="9" t="str">
        <f t="shared" si="157"/>
        <v/>
      </c>
      <c r="AD264" s="9" t="str">
        <f t="shared" si="157"/>
        <v/>
      </c>
      <c r="AE264" s="247" t="str">
        <f t="shared" si="157"/>
        <v/>
      </c>
      <c r="AF264" s="25" t="str">
        <f t="shared" si="157"/>
        <v/>
      </c>
      <c r="AG264" s="25" t="str">
        <f t="shared" si="157"/>
        <v/>
      </c>
      <c r="AH264" s="25" t="str">
        <f t="shared" si="157"/>
        <v/>
      </c>
      <c r="AI264" s="25" t="str">
        <f t="shared" si="157"/>
        <v/>
      </c>
      <c r="AJ264" s="25" t="str">
        <f t="shared" si="157"/>
        <v/>
      </c>
      <c r="AK264" s="25" t="str">
        <f t="shared" si="157"/>
        <v/>
      </c>
      <c r="AL264" s="25" t="str">
        <f t="shared" si="157"/>
        <v/>
      </c>
      <c r="AM264" s="25" t="str">
        <f t="shared" si="157"/>
        <v/>
      </c>
      <c r="AQ264" s="9" t="str">
        <f t="shared" ref="AQ264:AX273" si="158">AQ200</f>
        <v/>
      </c>
      <c r="AR264" s="9" t="str">
        <f t="shared" si="158"/>
        <v/>
      </c>
      <c r="AS264" s="9" t="str">
        <f t="shared" si="158"/>
        <v/>
      </c>
      <c r="AT264" s="9" t="str">
        <f t="shared" si="158"/>
        <v/>
      </c>
      <c r="AU264" s="9" t="str">
        <f t="shared" si="158"/>
        <v/>
      </c>
      <c r="AV264" s="9" t="str">
        <f t="shared" si="158"/>
        <v/>
      </c>
      <c r="AW264" s="9" t="str">
        <f t="shared" si="158"/>
        <v/>
      </c>
      <c r="AX264" s="9" t="str">
        <f t="shared" si="158"/>
        <v/>
      </c>
    </row>
    <row r="265" spans="3:50" hidden="1" x14ac:dyDescent="0.25">
      <c r="C265">
        <v>96</v>
      </c>
      <c r="D265" t="str">
        <f t="shared" si="92"/>
        <v/>
      </c>
      <c r="E265" s="24" t="str">
        <f t="shared" ref="E265:T265" si="159">E201</f>
        <v/>
      </c>
      <c r="F265" s="24" t="str">
        <f t="shared" si="159"/>
        <v/>
      </c>
      <c r="G265" s="24" t="str">
        <f t="shared" si="159"/>
        <v/>
      </c>
      <c r="H265" s="24" t="str">
        <f t="shared" si="159"/>
        <v/>
      </c>
      <c r="I265" s="24" t="str">
        <f t="shared" si="159"/>
        <v/>
      </c>
      <c r="J265" s="24" t="str">
        <f t="shared" si="159"/>
        <v/>
      </c>
      <c r="K265" s="24" t="str">
        <f t="shared" si="159"/>
        <v/>
      </c>
      <c r="L265" s="24" t="str">
        <f t="shared" si="159"/>
        <v/>
      </c>
      <c r="M265" s="24" t="str">
        <f t="shared" si="159"/>
        <v/>
      </c>
      <c r="N265" s="24" t="str">
        <f t="shared" si="159"/>
        <v/>
      </c>
      <c r="O265" s="24" t="str">
        <f t="shared" si="159"/>
        <v/>
      </c>
      <c r="P265" s="24" t="str">
        <f t="shared" si="159"/>
        <v/>
      </c>
      <c r="Q265" s="24" t="str">
        <f t="shared" si="159"/>
        <v/>
      </c>
      <c r="R265" s="24" t="str">
        <f t="shared" si="159"/>
        <v/>
      </c>
      <c r="S265" s="24" t="str">
        <f t="shared" si="159"/>
        <v/>
      </c>
      <c r="T265" s="24" t="str">
        <f t="shared" si="159"/>
        <v/>
      </c>
      <c r="X265" s="246" t="str">
        <f t="shared" ref="X265:AM265" si="160">X201</f>
        <v/>
      </c>
      <c r="Y265" s="9" t="str">
        <f t="shared" si="160"/>
        <v/>
      </c>
      <c r="Z265" s="9" t="str">
        <f t="shared" si="160"/>
        <v/>
      </c>
      <c r="AA265" s="9" t="str">
        <f t="shared" si="160"/>
        <v/>
      </c>
      <c r="AB265" s="9" t="str">
        <f t="shared" si="160"/>
        <v/>
      </c>
      <c r="AC265" s="9" t="str">
        <f t="shared" si="160"/>
        <v/>
      </c>
      <c r="AD265" s="9" t="str">
        <f t="shared" si="160"/>
        <v/>
      </c>
      <c r="AE265" s="247" t="str">
        <f t="shared" si="160"/>
        <v/>
      </c>
      <c r="AF265" s="25" t="str">
        <f t="shared" si="160"/>
        <v/>
      </c>
      <c r="AG265" s="25" t="str">
        <f t="shared" si="160"/>
        <v/>
      </c>
      <c r="AH265" s="25" t="str">
        <f t="shared" si="160"/>
        <v/>
      </c>
      <c r="AI265" s="25" t="str">
        <f t="shared" si="160"/>
        <v/>
      </c>
      <c r="AJ265" s="25" t="str">
        <f t="shared" si="160"/>
        <v/>
      </c>
      <c r="AK265" s="25" t="str">
        <f t="shared" si="160"/>
        <v/>
      </c>
      <c r="AL265" s="25" t="str">
        <f t="shared" si="160"/>
        <v/>
      </c>
      <c r="AM265" s="25" t="str">
        <f t="shared" si="160"/>
        <v/>
      </c>
      <c r="AQ265" s="9" t="str">
        <f t="shared" si="158"/>
        <v/>
      </c>
      <c r="AR265" s="9" t="str">
        <f t="shared" si="158"/>
        <v/>
      </c>
      <c r="AS265" s="9" t="str">
        <f t="shared" si="158"/>
        <v/>
      </c>
      <c r="AT265" s="9" t="str">
        <f t="shared" si="158"/>
        <v/>
      </c>
      <c r="AU265" s="9" t="str">
        <f t="shared" si="158"/>
        <v/>
      </c>
      <c r="AV265" s="9" t="str">
        <f t="shared" si="158"/>
        <v/>
      </c>
      <c r="AW265" s="9" t="str">
        <f t="shared" si="158"/>
        <v/>
      </c>
      <c r="AX265" s="9" t="str">
        <f t="shared" si="158"/>
        <v/>
      </c>
    </row>
    <row r="266" spans="3:50" hidden="1" x14ac:dyDescent="0.25">
      <c r="C266">
        <v>97</v>
      </c>
      <c r="D266" t="str">
        <f t="shared" ref="D266:D297" si="161">IF(ISNUMBER(E266),C266,"")</f>
        <v/>
      </c>
      <c r="E266" s="24" t="str">
        <f t="shared" ref="E266:T266" si="162">E202</f>
        <v/>
      </c>
      <c r="F266" s="24" t="str">
        <f t="shared" si="162"/>
        <v/>
      </c>
      <c r="G266" s="24" t="str">
        <f t="shared" si="162"/>
        <v/>
      </c>
      <c r="H266" s="24" t="str">
        <f t="shared" si="162"/>
        <v/>
      </c>
      <c r="I266" s="24" t="str">
        <f t="shared" si="162"/>
        <v/>
      </c>
      <c r="J266" s="24" t="str">
        <f t="shared" si="162"/>
        <v/>
      </c>
      <c r="K266" s="24" t="str">
        <f t="shared" si="162"/>
        <v/>
      </c>
      <c r="L266" s="24" t="str">
        <f t="shared" si="162"/>
        <v/>
      </c>
      <c r="M266" s="24" t="str">
        <f t="shared" si="162"/>
        <v/>
      </c>
      <c r="N266" s="24" t="str">
        <f t="shared" si="162"/>
        <v/>
      </c>
      <c r="O266" s="24" t="str">
        <f t="shared" si="162"/>
        <v/>
      </c>
      <c r="P266" s="24" t="str">
        <f t="shared" si="162"/>
        <v/>
      </c>
      <c r="Q266" s="24" t="str">
        <f t="shared" si="162"/>
        <v/>
      </c>
      <c r="R266" s="24" t="str">
        <f t="shared" si="162"/>
        <v/>
      </c>
      <c r="S266" s="24" t="str">
        <f t="shared" si="162"/>
        <v/>
      </c>
      <c r="T266" s="24" t="str">
        <f t="shared" si="162"/>
        <v/>
      </c>
      <c r="X266" s="246" t="str">
        <f t="shared" ref="X266:AM266" si="163">X202</f>
        <v/>
      </c>
      <c r="Y266" s="9" t="str">
        <f t="shared" si="163"/>
        <v/>
      </c>
      <c r="Z266" s="9" t="str">
        <f t="shared" si="163"/>
        <v/>
      </c>
      <c r="AA266" s="9" t="str">
        <f t="shared" si="163"/>
        <v/>
      </c>
      <c r="AB266" s="9" t="str">
        <f t="shared" si="163"/>
        <v/>
      </c>
      <c r="AC266" s="9" t="str">
        <f t="shared" si="163"/>
        <v/>
      </c>
      <c r="AD266" s="9" t="str">
        <f t="shared" si="163"/>
        <v/>
      </c>
      <c r="AE266" s="247" t="str">
        <f t="shared" si="163"/>
        <v/>
      </c>
      <c r="AF266" s="25" t="str">
        <f t="shared" si="163"/>
        <v/>
      </c>
      <c r="AG266" s="25" t="str">
        <f t="shared" si="163"/>
        <v/>
      </c>
      <c r="AH266" s="25" t="str">
        <f t="shared" si="163"/>
        <v/>
      </c>
      <c r="AI266" s="25" t="str">
        <f t="shared" si="163"/>
        <v/>
      </c>
      <c r="AJ266" s="25" t="str">
        <f t="shared" si="163"/>
        <v/>
      </c>
      <c r="AK266" s="25" t="str">
        <f t="shared" si="163"/>
        <v/>
      </c>
      <c r="AL266" s="25" t="str">
        <f t="shared" si="163"/>
        <v/>
      </c>
      <c r="AM266" s="25" t="str">
        <f t="shared" si="163"/>
        <v/>
      </c>
      <c r="AQ266" s="9" t="str">
        <f t="shared" si="158"/>
        <v/>
      </c>
      <c r="AR266" s="9" t="str">
        <f t="shared" si="158"/>
        <v/>
      </c>
      <c r="AS266" s="9" t="str">
        <f t="shared" si="158"/>
        <v/>
      </c>
      <c r="AT266" s="9" t="str">
        <f t="shared" si="158"/>
        <v/>
      </c>
      <c r="AU266" s="9" t="str">
        <f t="shared" si="158"/>
        <v/>
      </c>
      <c r="AV266" s="9" t="str">
        <f t="shared" si="158"/>
        <v/>
      </c>
      <c r="AW266" s="9" t="str">
        <f t="shared" si="158"/>
        <v/>
      </c>
      <c r="AX266" s="9" t="str">
        <f t="shared" si="158"/>
        <v/>
      </c>
    </row>
    <row r="267" spans="3:50" hidden="1" x14ac:dyDescent="0.25">
      <c r="C267">
        <v>98</v>
      </c>
      <c r="D267" t="str">
        <f t="shared" si="161"/>
        <v/>
      </c>
      <c r="E267" s="24" t="str">
        <f t="shared" ref="E267:T267" si="164">E203</f>
        <v/>
      </c>
      <c r="F267" s="24" t="str">
        <f t="shared" si="164"/>
        <v/>
      </c>
      <c r="G267" s="24" t="str">
        <f t="shared" si="164"/>
        <v/>
      </c>
      <c r="H267" s="24" t="str">
        <f t="shared" si="164"/>
        <v/>
      </c>
      <c r="I267" s="24" t="str">
        <f t="shared" si="164"/>
        <v/>
      </c>
      <c r="J267" s="24" t="str">
        <f t="shared" si="164"/>
        <v/>
      </c>
      <c r="K267" s="24" t="str">
        <f t="shared" si="164"/>
        <v/>
      </c>
      <c r="L267" s="24" t="str">
        <f t="shared" si="164"/>
        <v/>
      </c>
      <c r="M267" s="24" t="str">
        <f t="shared" si="164"/>
        <v/>
      </c>
      <c r="N267" s="24" t="str">
        <f t="shared" si="164"/>
        <v/>
      </c>
      <c r="O267" s="24" t="str">
        <f t="shared" si="164"/>
        <v/>
      </c>
      <c r="P267" s="24" t="str">
        <f t="shared" si="164"/>
        <v/>
      </c>
      <c r="Q267" s="24" t="str">
        <f t="shared" si="164"/>
        <v/>
      </c>
      <c r="R267" s="24" t="str">
        <f t="shared" si="164"/>
        <v/>
      </c>
      <c r="S267" s="24" t="str">
        <f t="shared" si="164"/>
        <v/>
      </c>
      <c r="T267" s="24" t="str">
        <f t="shared" si="164"/>
        <v/>
      </c>
      <c r="X267" s="246" t="str">
        <f t="shared" ref="X267:AM267" si="165">X203</f>
        <v/>
      </c>
      <c r="Y267" s="9" t="str">
        <f t="shared" si="165"/>
        <v/>
      </c>
      <c r="Z267" s="9" t="str">
        <f t="shared" si="165"/>
        <v/>
      </c>
      <c r="AA267" s="9" t="str">
        <f t="shared" si="165"/>
        <v/>
      </c>
      <c r="AB267" s="9" t="str">
        <f t="shared" si="165"/>
        <v/>
      </c>
      <c r="AC267" s="9" t="str">
        <f t="shared" si="165"/>
        <v/>
      </c>
      <c r="AD267" s="9" t="str">
        <f t="shared" si="165"/>
        <v/>
      </c>
      <c r="AE267" s="247" t="str">
        <f t="shared" si="165"/>
        <v/>
      </c>
      <c r="AF267" s="25" t="str">
        <f t="shared" si="165"/>
        <v/>
      </c>
      <c r="AG267" s="25" t="str">
        <f t="shared" si="165"/>
        <v/>
      </c>
      <c r="AH267" s="25" t="str">
        <f t="shared" si="165"/>
        <v/>
      </c>
      <c r="AI267" s="25" t="str">
        <f t="shared" si="165"/>
        <v/>
      </c>
      <c r="AJ267" s="25" t="str">
        <f t="shared" si="165"/>
        <v/>
      </c>
      <c r="AK267" s="25" t="str">
        <f t="shared" si="165"/>
        <v/>
      </c>
      <c r="AL267" s="25" t="str">
        <f t="shared" si="165"/>
        <v/>
      </c>
      <c r="AM267" s="25" t="str">
        <f t="shared" si="165"/>
        <v/>
      </c>
      <c r="AQ267" s="9" t="str">
        <f t="shared" si="158"/>
        <v/>
      </c>
      <c r="AR267" s="9" t="str">
        <f t="shared" si="158"/>
        <v/>
      </c>
      <c r="AS267" s="9" t="str">
        <f t="shared" si="158"/>
        <v/>
      </c>
      <c r="AT267" s="9" t="str">
        <f t="shared" si="158"/>
        <v/>
      </c>
      <c r="AU267" s="9" t="str">
        <f t="shared" si="158"/>
        <v/>
      </c>
      <c r="AV267" s="9" t="str">
        <f t="shared" si="158"/>
        <v/>
      </c>
      <c r="AW267" s="9" t="str">
        <f t="shared" si="158"/>
        <v/>
      </c>
      <c r="AX267" s="9" t="str">
        <f t="shared" si="158"/>
        <v/>
      </c>
    </row>
    <row r="268" spans="3:50" hidden="1" x14ac:dyDescent="0.25">
      <c r="C268">
        <v>99</v>
      </c>
      <c r="D268" t="str">
        <f t="shared" si="161"/>
        <v/>
      </c>
      <c r="E268" s="24" t="str">
        <f t="shared" ref="E268:T268" si="166">E204</f>
        <v/>
      </c>
      <c r="F268" s="24" t="str">
        <f t="shared" si="166"/>
        <v/>
      </c>
      <c r="G268" s="24" t="str">
        <f t="shared" si="166"/>
        <v/>
      </c>
      <c r="H268" s="24" t="str">
        <f t="shared" si="166"/>
        <v/>
      </c>
      <c r="I268" s="24" t="str">
        <f t="shared" si="166"/>
        <v/>
      </c>
      <c r="J268" s="24" t="str">
        <f t="shared" si="166"/>
        <v/>
      </c>
      <c r="K268" s="24" t="str">
        <f t="shared" si="166"/>
        <v/>
      </c>
      <c r="L268" s="24" t="str">
        <f t="shared" si="166"/>
        <v/>
      </c>
      <c r="M268" s="24" t="str">
        <f t="shared" si="166"/>
        <v/>
      </c>
      <c r="N268" s="24" t="str">
        <f t="shared" si="166"/>
        <v/>
      </c>
      <c r="O268" s="24" t="str">
        <f t="shared" si="166"/>
        <v/>
      </c>
      <c r="P268" s="24" t="str">
        <f t="shared" si="166"/>
        <v/>
      </c>
      <c r="Q268" s="24" t="str">
        <f t="shared" si="166"/>
        <v/>
      </c>
      <c r="R268" s="24" t="str">
        <f t="shared" si="166"/>
        <v/>
      </c>
      <c r="S268" s="24" t="str">
        <f t="shared" si="166"/>
        <v/>
      </c>
      <c r="T268" s="24" t="str">
        <f t="shared" si="166"/>
        <v/>
      </c>
      <c r="X268" s="246" t="str">
        <f t="shared" ref="X268:AM268" si="167">X204</f>
        <v/>
      </c>
      <c r="Y268" s="9" t="str">
        <f t="shared" si="167"/>
        <v/>
      </c>
      <c r="Z268" s="9" t="str">
        <f t="shared" si="167"/>
        <v/>
      </c>
      <c r="AA268" s="9" t="str">
        <f t="shared" si="167"/>
        <v/>
      </c>
      <c r="AB268" s="9" t="str">
        <f t="shared" si="167"/>
        <v/>
      </c>
      <c r="AC268" s="9" t="str">
        <f t="shared" si="167"/>
        <v/>
      </c>
      <c r="AD268" s="9" t="str">
        <f t="shared" si="167"/>
        <v/>
      </c>
      <c r="AE268" s="247" t="str">
        <f t="shared" si="167"/>
        <v/>
      </c>
      <c r="AF268" s="25" t="str">
        <f t="shared" si="167"/>
        <v/>
      </c>
      <c r="AG268" s="25" t="str">
        <f t="shared" si="167"/>
        <v/>
      </c>
      <c r="AH268" s="25" t="str">
        <f t="shared" si="167"/>
        <v/>
      </c>
      <c r="AI268" s="25" t="str">
        <f t="shared" si="167"/>
        <v/>
      </c>
      <c r="AJ268" s="25" t="str">
        <f t="shared" si="167"/>
        <v/>
      </c>
      <c r="AK268" s="25" t="str">
        <f t="shared" si="167"/>
        <v/>
      </c>
      <c r="AL268" s="25" t="str">
        <f t="shared" si="167"/>
        <v/>
      </c>
      <c r="AM268" s="25" t="str">
        <f t="shared" si="167"/>
        <v/>
      </c>
      <c r="AQ268" s="9" t="str">
        <f t="shared" si="158"/>
        <v/>
      </c>
      <c r="AR268" s="9" t="str">
        <f t="shared" si="158"/>
        <v/>
      </c>
      <c r="AS268" s="9" t="str">
        <f t="shared" si="158"/>
        <v/>
      </c>
      <c r="AT268" s="9" t="str">
        <f t="shared" si="158"/>
        <v/>
      </c>
      <c r="AU268" s="9" t="str">
        <f t="shared" si="158"/>
        <v/>
      </c>
      <c r="AV268" s="9" t="str">
        <f t="shared" si="158"/>
        <v/>
      </c>
      <c r="AW268" s="9" t="str">
        <f t="shared" si="158"/>
        <v/>
      </c>
      <c r="AX268" s="9" t="str">
        <f t="shared" si="158"/>
        <v/>
      </c>
    </row>
    <row r="269" spans="3:50" hidden="1" x14ac:dyDescent="0.25">
      <c r="C269">
        <v>100</v>
      </c>
      <c r="D269" t="str">
        <f t="shared" si="161"/>
        <v/>
      </c>
      <c r="E269" s="24" t="str">
        <f t="shared" ref="E269:T269" si="168">E205</f>
        <v/>
      </c>
      <c r="F269" s="24" t="str">
        <f t="shared" si="168"/>
        <v/>
      </c>
      <c r="G269" s="24" t="str">
        <f t="shared" si="168"/>
        <v/>
      </c>
      <c r="H269" s="24" t="str">
        <f t="shared" si="168"/>
        <v/>
      </c>
      <c r="I269" s="24" t="str">
        <f t="shared" si="168"/>
        <v/>
      </c>
      <c r="J269" s="24" t="str">
        <f t="shared" si="168"/>
        <v/>
      </c>
      <c r="K269" s="24" t="str">
        <f t="shared" si="168"/>
        <v/>
      </c>
      <c r="L269" s="24" t="str">
        <f t="shared" si="168"/>
        <v/>
      </c>
      <c r="M269" s="24" t="str">
        <f t="shared" si="168"/>
        <v/>
      </c>
      <c r="N269" s="24" t="str">
        <f t="shared" si="168"/>
        <v/>
      </c>
      <c r="O269" s="24" t="str">
        <f t="shared" si="168"/>
        <v/>
      </c>
      <c r="P269" s="24" t="str">
        <f t="shared" si="168"/>
        <v/>
      </c>
      <c r="Q269" s="24" t="str">
        <f t="shared" si="168"/>
        <v/>
      </c>
      <c r="R269" s="24" t="str">
        <f t="shared" si="168"/>
        <v/>
      </c>
      <c r="S269" s="24" t="str">
        <f t="shared" si="168"/>
        <v/>
      </c>
      <c r="T269" s="24" t="str">
        <f t="shared" si="168"/>
        <v/>
      </c>
      <c r="X269" s="246" t="str">
        <f t="shared" ref="X269:AM269" si="169">X205</f>
        <v/>
      </c>
      <c r="Y269" s="9" t="str">
        <f t="shared" si="169"/>
        <v/>
      </c>
      <c r="Z269" s="9" t="str">
        <f t="shared" si="169"/>
        <v/>
      </c>
      <c r="AA269" s="9" t="str">
        <f t="shared" si="169"/>
        <v/>
      </c>
      <c r="AB269" s="9" t="str">
        <f t="shared" si="169"/>
        <v/>
      </c>
      <c r="AC269" s="9" t="str">
        <f t="shared" si="169"/>
        <v/>
      </c>
      <c r="AD269" s="9" t="str">
        <f t="shared" si="169"/>
        <v/>
      </c>
      <c r="AE269" s="247" t="str">
        <f t="shared" si="169"/>
        <v/>
      </c>
      <c r="AF269" s="25" t="str">
        <f t="shared" si="169"/>
        <v/>
      </c>
      <c r="AG269" s="25" t="str">
        <f t="shared" si="169"/>
        <v/>
      </c>
      <c r="AH269" s="25" t="str">
        <f t="shared" si="169"/>
        <v/>
      </c>
      <c r="AI269" s="25" t="str">
        <f t="shared" si="169"/>
        <v/>
      </c>
      <c r="AJ269" s="25" t="str">
        <f t="shared" si="169"/>
        <v/>
      </c>
      <c r="AK269" s="25" t="str">
        <f t="shared" si="169"/>
        <v/>
      </c>
      <c r="AL269" s="25" t="str">
        <f t="shared" si="169"/>
        <v/>
      </c>
      <c r="AM269" s="25" t="str">
        <f t="shared" si="169"/>
        <v/>
      </c>
      <c r="AQ269" s="9" t="str">
        <f t="shared" si="158"/>
        <v/>
      </c>
      <c r="AR269" s="9" t="str">
        <f t="shared" si="158"/>
        <v/>
      </c>
      <c r="AS269" s="9" t="str">
        <f t="shared" si="158"/>
        <v/>
      </c>
      <c r="AT269" s="9" t="str">
        <f t="shared" si="158"/>
        <v/>
      </c>
      <c r="AU269" s="9" t="str">
        <f t="shared" si="158"/>
        <v/>
      </c>
      <c r="AV269" s="9" t="str">
        <f t="shared" si="158"/>
        <v/>
      </c>
      <c r="AW269" s="9" t="str">
        <f t="shared" si="158"/>
        <v/>
      </c>
      <c r="AX269" s="9" t="str">
        <f t="shared" si="158"/>
        <v/>
      </c>
    </row>
    <row r="270" spans="3:50" hidden="1" x14ac:dyDescent="0.25">
      <c r="C270">
        <v>101</v>
      </c>
      <c r="D270" t="str">
        <f t="shared" si="161"/>
        <v/>
      </c>
      <c r="E270" s="24" t="str">
        <f t="shared" ref="E270:T270" si="170">E206</f>
        <v/>
      </c>
      <c r="F270" s="24" t="str">
        <f t="shared" si="170"/>
        <v/>
      </c>
      <c r="G270" s="24" t="str">
        <f t="shared" si="170"/>
        <v/>
      </c>
      <c r="H270" s="24" t="str">
        <f t="shared" si="170"/>
        <v/>
      </c>
      <c r="I270" s="24" t="str">
        <f t="shared" si="170"/>
        <v/>
      </c>
      <c r="J270" s="24" t="str">
        <f t="shared" si="170"/>
        <v/>
      </c>
      <c r="K270" s="24" t="str">
        <f t="shared" si="170"/>
        <v/>
      </c>
      <c r="L270" s="24" t="str">
        <f t="shared" si="170"/>
        <v/>
      </c>
      <c r="M270" s="24" t="str">
        <f t="shared" si="170"/>
        <v/>
      </c>
      <c r="N270" s="24" t="str">
        <f t="shared" si="170"/>
        <v/>
      </c>
      <c r="O270" s="24" t="str">
        <f t="shared" si="170"/>
        <v/>
      </c>
      <c r="P270" s="24" t="str">
        <f t="shared" si="170"/>
        <v/>
      </c>
      <c r="Q270" s="24" t="str">
        <f t="shared" si="170"/>
        <v/>
      </c>
      <c r="R270" s="24" t="str">
        <f t="shared" si="170"/>
        <v/>
      </c>
      <c r="S270" s="24" t="str">
        <f t="shared" si="170"/>
        <v/>
      </c>
      <c r="T270" s="24" t="str">
        <f t="shared" si="170"/>
        <v/>
      </c>
      <c r="X270" s="246" t="str">
        <f t="shared" ref="X270:AM270" si="171">X206</f>
        <v/>
      </c>
      <c r="Y270" s="9" t="str">
        <f t="shared" si="171"/>
        <v/>
      </c>
      <c r="Z270" s="9" t="str">
        <f t="shared" si="171"/>
        <v/>
      </c>
      <c r="AA270" s="9" t="str">
        <f t="shared" si="171"/>
        <v/>
      </c>
      <c r="AB270" s="9" t="str">
        <f t="shared" si="171"/>
        <v/>
      </c>
      <c r="AC270" s="9" t="str">
        <f t="shared" si="171"/>
        <v/>
      </c>
      <c r="AD270" s="9" t="str">
        <f t="shared" si="171"/>
        <v/>
      </c>
      <c r="AE270" s="247" t="str">
        <f t="shared" si="171"/>
        <v/>
      </c>
      <c r="AF270" s="25" t="str">
        <f t="shared" si="171"/>
        <v/>
      </c>
      <c r="AG270" s="25" t="str">
        <f t="shared" si="171"/>
        <v/>
      </c>
      <c r="AH270" s="25" t="str">
        <f t="shared" si="171"/>
        <v/>
      </c>
      <c r="AI270" s="25" t="str">
        <f t="shared" si="171"/>
        <v/>
      </c>
      <c r="AJ270" s="25" t="str">
        <f t="shared" si="171"/>
        <v/>
      </c>
      <c r="AK270" s="25" t="str">
        <f t="shared" si="171"/>
        <v/>
      </c>
      <c r="AL270" s="25" t="str">
        <f t="shared" si="171"/>
        <v/>
      </c>
      <c r="AM270" s="25" t="str">
        <f t="shared" si="171"/>
        <v/>
      </c>
      <c r="AQ270" s="9" t="str">
        <f t="shared" si="158"/>
        <v/>
      </c>
      <c r="AR270" s="9" t="str">
        <f t="shared" si="158"/>
        <v/>
      </c>
      <c r="AS270" s="9" t="str">
        <f t="shared" si="158"/>
        <v/>
      </c>
      <c r="AT270" s="9" t="str">
        <f t="shared" si="158"/>
        <v/>
      </c>
      <c r="AU270" s="9" t="str">
        <f t="shared" si="158"/>
        <v/>
      </c>
      <c r="AV270" s="9" t="str">
        <f t="shared" si="158"/>
        <v/>
      </c>
      <c r="AW270" s="9" t="str">
        <f t="shared" si="158"/>
        <v/>
      </c>
      <c r="AX270" s="9" t="str">
        <f t="shared" si="158"/>
        <v/>
      </c>
    </row>
    <row r="271" spans="3:50" hidden="1" x14ac:dyDescent="0.25">
      <c r="C271">
        <v>102</v>
      </c>
      <c r="D271" t="str">
        <f t="shared" si="161"/>
        <v/>
      </c>
      <c r="E271" s="24" t="str">
        <f t="shared" ref="E271:T271" si="172">E207</f>
        <v/>
      </c>
      <c r="F271" s="24" t="str">
        <f t="shared" si="172"/>
        <v/>
      </c>
      <c r="G271" s="24" t="str">
        <f t="shared" si="172"/>
        <v/>
      </c>
      <c r="H271" s="24" t="str">
        <f t="shared" si="172"/>
        <v/>
      </c>
      <c r="I271" s="24" t="str">
        <f t="shared" si="172"/>
        <v/>
      </c>
      <c r="J271" s="24" t="str">
        <f t="shared" si="172"/>
        <v/>
      </c>
      <c r="K271" s="24" t="str">
        <f t="shared" si="172"/>
        <v/>
      </c>
      <c r="L271" s="24" t="str">
        <f t="shared" si="172"/>
        <v/>
      </c>
      <c r="M271" s="24" t="str">
        <f t="shared" si="172"/>
        <v/>
      </c>
      <c r="N271" s="24" t="str">
        <f t="shared" si="172"/>
        <v/>
      </c>
      <c r="O271" s="24" t="str">
        <f t="shared" si="172"/>
        <v/>
      </c>
      <c r="P271" s="24" t="str">
        <f t="shared" si="172"/>
        <v/>
      </c>
      <c r="Q271" s="24" t="str">
        <f t="shared" si="172"/>
        <v/>
      </c>
      <c r="R271" s="24" t="str">
        <f t="shared" si="172"/>
        <v/>
      </c>
      <c r="S271" s="24" t="str">
        <f t="shared" si="172"/>
        <v/>
      </c>
      <c r="T271" s="24" t="str">
        <f t="shared" si="172"/>
        <v/>
      </c>
      <c r="X271" s="246" t="str">
        <f t="shared" ref="X271:AM271" si="173">X207</f>
        <v/>
      </c>
      <c r="Y271" s="9" t="str">
        <f t="shared" si="173"/>
        <v/>
      </c>
      <c r="Z271" s="9" t="str">
        <f t="shared" si="173"/>
        <v/>
      </c>
      <c r="AA271" s="9" t="str">
        <f t="shared" si="173"/>
        <v/>
      </c>
      <c r="AB271" s="9" t="str">
        <f t="shared" si="173"/>
        <v/>
      </c>
      <c r="AC271" s="9" t="str">
        <f t="shared" si="173"/>
        <v/>
      </c>
      <c r="AD271" s="9" t="str">
        <f t="shared" si="173"/>
        <v/>
      </c>
      <c r="AE271" s="247" t="str">
        <f t="shared" si="173"/>
        <v/>
      </c>
      <c r="AF271" s="25" t="str">
        <f t="shared" si="173"/>
        <v/>
      </c>
      <c r="AG271" s="25" t="str">
        <f t="shared" si="173"/>
        <v/>
      </c>
      <c r="AH271" s="25" t="str">
        <f t="shared" si="173"/>
        <v/>
      </c>
      <c r="AI271" s="25" t="str">
        <f t="shared" si="173"/>
        <v/>
      </c>
      <c r="AJ271" s="25" t="str">
        <f t="shared" si="173"/>
        <v/>
      </c>
      <c r="AK271" s="25" t="str">
        <f t="shared" si="173"/>
        <v/>
      </c>
      <c r="AL271" s="25" t="str">
        <f t="shared" si="173"/>
        <v/>
      </c>
      <c r="AM271" s="25" t="str">
        <f t="shared" si="173"/>
        <v/>
      </c>
      <c r="AQ271" s="9" t="str">
        <f t="shared" si="158"/>
        <v/>
      </c>
      <c r="AR271" s="9" t="str">
        <f t="shared" si="158"/>
        <v/>
      </c>
      <c r="AS271" s="9" t="str">
        <f t="shared" si="158"/>
        <v/>
      </c>
      <c r="AT271" s="9" t="str">
        <f t="shared" si="158"/>
        <v/>
      </c>
      <c r="AU271" s="9" t="str">
        <f t="shared" si="158"/>
        <v/>
      </c>
      <c r="AV271" s="9" t="str">
        <f t="shared" si="158"/>
        <v/>
      </c>
      <c r="AW271" s="9" t="str">
        <f t="shared" si="158"/>
        <v/>
      </c>
      <c r="AX271" s="9" t="str">
        <f t="shared" si="158"/>
        <v/>
      </c>
    </row>
    <row r="272" spans="3:50" hidden="1" x14ac:dyDescent="0.25">
      <c r="C272">
        <v>103</v>
      </c>
      <c r="D272" t="str">
        <f t="shared" si="161"/>
        <v/>
      </c>
      <c r="E272" s="24" t="str">
        <f t="shared" ref="E272:T272" si="174">E208</f>
        <v/>
      </c>
      <c r="F272" s="24" t="str">
        <f t="shared" si="174"/>
        <v/>
      </c>
      <c r="G272" s="24" t="str">
        <f t="shared" si="174"/>
        <v/>
      </c>
      <c r="H272" s="24" t="str">
        <f t="shared" si="174"/>
        <v/>
      </c>
      <c r="I272" s="24" t="str">
        <f t="shared" si="174"/>
        <v/>
      </c>
      <c r="J272" s="24" t="str">
        <f t="shared" si="174"/>
        <v/>
      </c>
      <c r="K272" s="24" t="str">
        <f t="shared" si="174"/>
        <v/>
      </c>
      <c r="L272" s="24" t="str">
        <f t="shared" si="174"/>
        <v/>
      </c>
      <c r="M272" s="24" t="str">
        <f t="shared" si="174"/>
        <v/>
      </c>
      <c r="N272" s="24" t="str">
        <f t="shared" si="174"/>
        <v/>
      </c>
      <c r="O272" s="24" t="str">
        <f t="shared" si="174"/>
        <v/>
      </c>
      <c r="P272" s="24" t="str">
        <f t="shared" si="174"/>
        <v/>
      </c>
      <c r="Q272" s="24" t="str">
        <f t="shared" si="174"/>
        <v/>
      </c>
      <c r="R272" s="24" t="str">
        <f t="shared" si="174"/>
        <v/>
      </c>
      <c r="S272" s="24" t="str">
        <f t="shared" si="174"/>
        <v/>
      </c>
      <c r="T272" s="24" t="str">
        <f t="shared" si="174"/>
        <v/>
      </c>
      <c r="X272" s="246" t="str">
        <f t="shared" ref="X272:AM272" si="175">X208</f>
        <v/>
      </c>
      <c r="Y272" s="9" t="str">
        <f t="shared" si="175"/>
        <v/>
      </c>
      <c r="Z272" s="9" t="str">
        <f t="shared" si="175"/>
        <v/>
      </c>
      <c r="AA272" s="9" t="str">
        <f t="shared" si="175"/>
        <v/>
      </c>
      <c r="AB272" s="9" t="str">
        <f t="shared" si="175"/>
        <v/>
      </c>
      <c r="AC272" s="9" t="str">
        <f t="shared" si="175"/>
        <v/>
      </c>
      <c r="AD272" s="9" t="str">
        <f t="shared" si="175"/>
        <v/>
      </c>
      <c r="AE272" s="247" t="str">
        <f t="shared" si="175"/>
        <v/>
      </c>
      <c r="AF272" s="25" t="str">
        <f t="shared" si="175"/>
        <v/>
      </c>
      <c r="AG272" s="25" t="str">
        <f t="shared" si="175"/>
        <v/>
      </c>
      <c r="AH272" s="25" t="str">
        <f t="shared" si="175"/>
        <v/>
      </c>
      <c r="AI272" s="25" t="str">
        <f t="shared" si="175"/>
        <v/>
      </c>
      <c r="AJ272" s="25" t="str">
        <f t="shared" si="175"/>
        <v/>
      </c>
      <c r="AK272" s="25" t="str">
        <f t="shared" si="175"/>
        <v/>
      </c>
      <c r="AL272" s="25" t="str">
        <f t="shared" si="175"/>
        <v/>
      </c>
      <c r="AM272" s="25" t="str">
        <f t="shared" si="175"/>
        <v/>
      </c>
      <c r="AQ272" s="9" t="str">
        <f t="shared" si="158"/>
        <v/>
      </c>
      <c r="AR272" s="9" t="str">
        <f t="shared" si="158"/>
        <v/>
      </c>
      <c r="AS272" s="9" t="str">
        <f t="shared" si="158"/>
        <v/>
      </c>
      <c r="AT272" s="9" t="str">
        <f t="shared" si="158"/>
        <v/>
      </c>
      <c r="AU272" s="9" t="str">
        <f t="shared" si="158"/>
        <v/>
      </c>
      <c r="AV272" s="9" t="str">
        <f t="shared" si="158"/>
        <v/>
      </c>
      <c r="AW272" s="9" t="str">
        <f t="shared" si="158"/>
        <v/>
      </c>
      <c r="AX272" s="9" t="str">
        <f t="shared" si="158"/>
        <v/>
      </c>
    </row>
    <row r="273" spans="3:50" hidden="1" x14ac:dyDescent="0.25">
      <c r="C273">
        <v>104</v>
      </c>
      <c r="D273" t="str">
        <f t="shared" si="161"/>
        <v/>
      </c>
      <c r="E273" s="24" t="str">
        <f t="shared" ref="E273:T273" si="176">E209</f>
        <v/>
      </c>
      <c r="F273" s="24" t="str">
        <f t="shared" si="176"/>
        <v/>
      </c>
      <c r="G273" s="24" t="str">
        <f t="shared" si="176"/>
        <v/>
      </c>
      <c r="H273" s="24" t="str">
        <f t="shared" si="176"/>
        <v/>
      </c>
      <c r="I273" s="24" t="str">
        <f t="shared" si="176"/>
        <v/>
      </c>
      <c r="J273" s="24" t="str">
        <f t="shared" si="176"/>
        <v/>
      </c>
      <c r="K273" s="24" t="str">
        <f t="shared" si="176"/>
        <v/>
      </c>
      <c r="L273" s="24" t="str">
        <f t="shared" si="176"/>
        <v/>
      </c>
      <c r="M273" s="24" t="str">
        <f t="shared" si="176"/>
        <v/>
      </c>
      <c r="N273" s="24" t="str">
        <f t="shared" si="176"/>
        <v/>
      </c>
      <c r="O273" s="24" t="str">
        <f t="shared" si="176"/>
        <v/>
      </c>
      <c r="P273" s="24" t="str">
        <f t="shared" si="176"/>
        <v/>
      </c>
      <c r="Q273" s="24" t="str">
        <f t="shared" si="176"/>
        <v/>
      </c>
      <c r="R273" s="24" t="str">
        <f t="shared" si="176"/>
        <v/>
      </c>
      <c r="S273" s="24" t="str">
        <f t="shared" si="176"/>
        <v/>
      </c>
      <c r="T273" s="24" t="str">
        <f t="shared" si="176"/>
        <v/>
      </c>
      <c r="X273" s="246" t="str">
        <f t="shared" ref="X273:AM273" si="177">X209</f>
        <v/>
      </c>
      <c r="Y273" s="9" t="str">
        <f t="shared" si="177"/>
        <v/>
      </c>
      <c r="Z273" s="9" t="str">
        <f t="shared" si="177"/>
        <v/>
      </c>
      <c r="AA273" s="9" t="str">
        <f t="shared" si="177"/>
        <v/>
      </c>
      <c r="AB273" s="9" t="str">
        <f t="shared" si="177"/>
        <v/>
      </c>
      <c r="AC273" s="9" t="str">
        <f t="shared" si="177"/>
        <v/>
      </c>
      <c r="AD273" s="9" t="str">
        <f t="shared" si="177"/>
        <v/>
      </c>
      <c r="AE273" s="247" t="str">
        <f t="shared" si="177"/>
        <v/>
      </c>
      <c r="AF273" s="25" t="str">
        <f t="shared" si="177"/>
        <v/>
      </c>
      <c r="AG273" s="25" t="str">
        <f t="shared" si="177"/>
        <v/>
      </c>
      <c r="AH273" s="25" t="str">
        <f t="shared" si="177"/>
        <v/>
      </c>
      <c r="AI273" s="25" t="str">
        <f t="shared" si="177"/>
        <v/>
      </c>
      <c r="AJ273" s="25" t="str">
        <f t="shared" si="177"/>
        <v/>
      </c>
      <c r="AK273" s="25" t="str">
        <f t="shared" si="177"/>
        <v/>
      </c>
      <c r="AL273" s="25" t="str">
        <f t="shared" si="177"/>
        <v/>
      </c>
      <c r="AM273" s="25" t="str">
        <f t="shared" si="177"/>
        <v/>
      </c>
      <c r="AQ273" s="9" t="str">
        <f t="shared" si="158"/>
        <v/>
      </c>
      <c r="AR273" s="9" t="str">
        <f t="shared" si="158"/>
        <v/>
      </c>
      <c r="AS273" s="9" t="str">
        <f t="shared" si="158"/>
        <v/>
      </c>
      <c r="AT273" s="9" t="str">
        <f t="shared" si="158"/>
        <v/>
      </c>
      <c r="AU273" s="9" t="str">
        <f t="shared" si="158"/>
        <v/>
      </c>
      <c r="AV273" s="9" t="str">
        <f t="shared" si="158"/>
        <v/>
      </c>
      <c r="AW273" s="9" t="str">
        <f t="shared" si="158"/>
        <v/>
      </c>
      <c r="AX273" s="9" t="str">
        <f t="shared" si="158"/>
        <v/>
      </c>
    </row>
    <row r="274" spans="3:50" hidden="1" x14ac:dyDescent="0.25">
      <c r="C274">
        <v>105</v>
      </c>
      <c r="D274" t="str">
        <f t="shared" si="161"/>
        <v/>
      </c>
      <c r="E274" s="24" t="str">
        <f t="shared" ref="E274:T274" si="178">E210</f>
        <v/>
      </c>
      <c r="F274" s="24" t="str">
        <f t="shared" si="178"/>
        <v/>
      </c>
      <c r="G274" s="24" t="str">
        <f t="shared" si="178"/>
        <v/>
      </c>
      <c r="H274" s="24" t="str">
        <f t="shared" si="178"/>
        <v/>
      </c>
      <c r="I274" s="24" t="str">
        <f t="shared" si="178"/>
        <v/>
      </c>
      <c r="J274" s="24" t="str">
        <f t="shared" si="178"/>
        <v/>
      </c>
      <c r="K274" s="24" t="str">
        <f t="shared" si="178"/>
        <v/>
      </c>
      <c r="L274" s="24" t="str">
        <f t="shared" si="178"/>
        <v/>
      </c>
      <c r="M274" s="24" t="str">
        <f t="shared" si="178"/>
        <v/>
      </c>
      <c r="N274" s="24" t="str">
        <f t="shared" si="178"/>
        <v/>
      </c>
      <c r="O274" s="24" t="str">
        <f t="shared" si="178"/>
        <v/>
      </c>
      <c r="P274" s="24" t="str">
        <f t="shared" si="178"/>
        <v/>
      </c>
      <c r="Q274" s="24" t="str">
        <f t="shared" si="178"/>
        <v/>
      </c>
      <c r="R274" s="24" t="str">
        <f t="shared" si="178"/>
        <v/>
      </c>
      <c r="S274" s="24" t="str">
        <f t="shared" si="178"/>
        <v/>
      </c>
      <c r="T274" s="24" t="str">
        <f t="shared" si="178"/>
        <v/>
      </c>
      <c r="X274" s="246" t="str">
        <f t="shared" ref="X274:AM274" si="179">X210</f>
        <v/>
      </c>
      <c r="Y274" s="9" t="str">
        <f t="shared" si="179"/>
        <v/>
      </c>
      <c r="Z274" s="9" t="str">
        <f t="shared" si="179"/>
        <v/>
      </c>
      <c r="AA274" s="9" t="str">
        <f t="shared" si="179"/>
        <v/>
      </c>
      <c r="AB274" s="9" t="str">
        <f t="shared" si="179"/>
        <v/>
      </c>
      <c r="AC274" s="9" t="str">
        <f t="shared" si="179"/>
        <v/>
      </c>
      <c r="AD274" s="9" t="str">
        <f t="shared" si="179"/>
        <v/>
      </c>
      <c r="AE274" s="247" t="str">
        <f t="shared" si="179"/>
        <v/>
      </c>
      <c r="AF274" s="25" t="str">
        <f t="shared" si="179"/>
        <v/>
      </c>
      <c r="AG274" s="25" t="str">
        <f t="shared" si="179"/>
        <v/>
      </c>
      <c r="AH274" s="25" t="str">
        <f t="shared" si="179"/>
        <v/>
      </c>
      <c r="AI274" s="25" t="str">
        <f t="shared" si="179"/>
        <v/>
      </c>
      <c r="AJ274" s="25" t="str">
        <f t="shared" si="179"/>
        <v/>
      </c>
      <c r="AK274" s="25" t="str">
        <f t="shared" si="179"/>
        <v/>
      </c>
      <c r="AL274" s="25" t="str">
        <f t="shared" si="179"/>
        <v/>
      </c>
      <c r="AM274" s="25" t="str">
        <f t="shared" si="179"/>
        <v/>
      </c>
      <c r="AQ274" s="9" t="str">
        <f t="shared" ref="AQ274:AX283" si="180">AQ210</f>
        <v/>
      </c>
      <c r="AR274" s="9" t="str">
        <f t="shared" si="180"/>
        <v/>
      </c>
      <c r="AS274" s="9" t="str">
        <f t="shared" si="180"/>
        <v/>
      </c>
      <c r="AT274" s="9" t="str">
        <f t="shared" si="180"/>
        <v/>
      </c>
      <c r="AU274" s="9" t="str">
        <f t="shared" si="180"/>
        <v/>
      </c>
      <c r="AV274" s="9" t="str">
        <f t="shared" si="180"/>
        <v/>
      </c>
      <c r="AW274" s="9" t="str">
        <f t="shared" si="180"/>
        <v/>
      </c>
      <c r="AX274" s="9" t="str">
        <f t="shared" si="180"/>
        <v/>
      </c>
    </row>
    <row r="275" spans="3:50" hidden="1" x14ac:dyDescent="0.25">
      <c r="C275">
        <v>106</v>
      </c>
      <c r="D275" t="str">
        <f t="shared" si="161"/>
        <v/>
      </c>
      <c r="E275" s="24" t="str">
        <f t="shared" ref="E275:T275" si="181">E211</f>
        <v/>
      </c>
      <c r="F275" s="24" t="str">
        <f t="shared" si="181"/>
        <v/>
      </c>
      <c r="G275" s="24" t="str">
        <f t="shared" si="181"/>
        <v/>
      </c>
      <c r="H275" s="24" t="str">
        <f t="shared" si="181"/>
        <v/>
      </c>
      <c r="I275" s="24" t="str">
        <f t="shared" si="181"/>
        <v/>
      </c>
      <c r="J275" s="24" t="str">
        <f t="shared" si="181"/>
        <v/>
      </c>
      <c r="K275" s="24" t="str">
        <f t="shared" si="181"/>
        <v/>
      </c>
      <c r="L275" s="24" t="str">
        <f t="shared" si="181"/>
        <v/>
      </c>
      <c r="M275" s="24" t="str">
        <f t="shared" si="181"/>
        <v/>
      </c>
      <c r="N275" s="24" t="str">
        <f t="shared" si="181"/>
        <v/>
      </c>
      <c r="O275" s="24" t="str">
        <f t="shared" si="181"/>
        <v/>
      </c>
      <c r="P275" s="24" t="str">
        <f t="shared" si="181"/>
        <v/>
      </c>
      <c r="Q275" s="24" t="str">
        <f t="shared" si="181"/>
        <v/>
      </c>
      <c r="R275" s="24" t="str">
        <f t="shared" si="181"/>
        <v/>
      </c>
      <c r="S275" s="24" t="str">
        <f t="shared" si="181"/>
        <v/>
      </c>
      <c r="T275" s="24" t="str">
        <f t="shared" si="181"/>
        <v/>
      </c>
      <c r="X275" s="246" t="str">
        <f t="shared" ref="X275:AM275" si="182">X211</f>
        <v/>
      </c>
      <c r="Y275" s="9" t="str">
        <f t="shared" si="182"/>
        <v/>
      </c>
      <c r="Z275" s="9" t="str">
        <f t="shared" si="182"/>
        <v/>
      </c>
      <c r="AA275" s="9" t="str">
        <f t="shared" si="182"/>
        <v/>
      </c>
      <c r="AB275" s="9" t="str">
        <f t="shared" si="182"/>
        <v/>
      </c>
      <c r="AC275" s="9" t="str">
        <f t="shared" si="182"/>
        <v/>
      </c>
      <c r="AD275" s="9" t="str">
        <f t="shared" si="182"/>
        <v/>
      </c>
      <c r="AE275" s="247" t="str">
        <f t="shared" si="182"/>
        <v/>
      </c>
      <c r="AF275" s="25" t="str">
        <f t="shared" si="182"/>
        <v/>
      </c>
      <c r="AG275" s="25" t="str">
        <f t="shared" si="182"/>
        <v/>
      </c>
      <c r="AH275" s="25" t="str">
        <f t="shared" si="182"/>
        <v/>
      </c>
      <c r="AI275" s="25" t="str">
        <f t="shared" si="182"/>
        <v/>
      </c>
      <c r="AJ275" s="25" t="str">
        <f t="shared" si="182"/>
        <v/>
      </c>
      <c r="AK275" s="25" t="str">
        <f t="shared" si="182"/>
        <v/>
      </c>
      <c r="AL275" s="25" t="str">
        <f t="shared" si="182"/>
        <v/>
      </c>
      <c r="AM275" s="25" t="str">
        <f t="shared" si="182"/>
        <v/>
      </c>
      <c r="AQ275" s="9" t="str">
        <f t="shared" si="180"/>
        <v/>
      </c>
      <c r="AR275" s="9" t="str">
        <f t="shared" si="180"/>
        <v/>
      </c>
      <c r="AS275" s="9" t="str">
        <f t="shared" si="180"/>
        <v/>
      </c>
      <c r="AT275" s="9" t="str">
        <f t="shared" si="180"/>
        <v/>
      </c>
      <c r="AU275" s="9" t="str">
        <f t="shared" si="180"/>
        <v/>
      </c>
      <c r="AV275" s="9" t="str">
        <f t="shared" si="180"/>
        <v/>
      </c>
      <c r="AW275" s="9" t="str">
        <f t="shared" si="180"/>
        <v/>
      </c>
      <c r="AX275" s="9" t="str">
        <f t="shared" si="180"/>
        <v/>
      </c>
    </row>
    <row r="276" spans="3:50" hidden="1" x14ac:dyDescent="0.25">
      <c r="C276">
        <v>107</v>
      </c>
      <c r="D276" t="str">
        <f t="shared" si="161"/>
        <v/>
      </c>
      <c r="E276" s="24" t="str">
        <f t="shared" ref="E276:T276" si="183">E212</f>
        <v/>
      </c>
      <c r="F276" s="24" t="str">
        <f t="shared" si="183"/>
        <v/>
      </c>
      <c r="G276" s="24" t="str">
        <f t="shared" si="183"/>
        <v/>
      </c>
      <c r="H276" s="24" t="str">
        <f t="shared" si="183"/>
        <v/>
      </c>
      <c r="I276" s="24" t="str">
        <f t="shared" si="183"/>
        <v/>
      </c>
      <c r="J276" s="24" t="str">
        <f t="shared" si="183"/>
        <v/>
      </c>
      <c r="K276" s="24" t="str">
        <f t="shared" si="183"/>
        <v/>
      </c>
      <c r="L276" s="24" t="str">
        <f t="shared" si="183"/>
        <v/>
      </c>
      <c r="M276" s="24" t="str">
        <f t="shared" si="183"/>
        <v/>
      </c>
      <c r="N276" s="24" t="str">
        <f t="shared" si="183"/>
        <v/>
      </c>
      <c r="O276" s="24" t="str">
        <f t="shared" si="183"/>
        <v/>
      </c>
      <c r="P276" s="24" t="str">
        <f t="shared" si="183"/>
        <v/>
      </c>
      <c r="Q276" s="24" t="str">
        <f t="shared" si="183"/>
        <v/>
      </c>
      <c r="R276" s="24" t="str">
        <f t="shared" si="183"/>
        <v/>
      </c>
      <c r="S276" s="24" t="str">
        <f t="shared" si="183"/>
        <v/>
      </c>
      <c r="T276" s="24" t="str">
        <f t="shared" si="183"/>
        <v/>
      </c>
      <c r="X276" s="246" t="str">
        <f t="shared" ref="X276:AM276" si="184">X212</f>
        <v/>
      </c>
      <c r="Y276" s="9" t="str">
        <f t="shared" si="184"/>
        <v/>
      </c>
      <c r="Z276" s="9" t="str">
        <f t="shared" si="184"/>
        <v/>
      </c>
      <c r="AA276" s="9" t="str">
        <f t="shared" si="184"/>
        <v/>
      </c>
      <c r="AB276" s="9" t="str">
        <f t="shared" si="184"/>
        <v/>
      </c>
      <c r="AC276" s="9" t="str">
        <f t="shared" si="184"/>
        <v/>
      </c>
      <c r="AD276" s="9" t="str">
        <f t="shared" si="184"/>
        <v/>
      </c>
      <c r="AE276" s="247" t="str">
        <f t="shared" si="184"/>
        <v/>
      </c>
      <c r="AF276" s="25" t="str">
        <f t="shared" si="184"/>
        <v/>
      </c>
      <c r="AG276" s="25" t="str">
        <f t="shared" si="184"/>
        <v/>
      </c>
      <c r="AH276" s="25" t="str">
        <f t="shared" si="184"/>
        <v/>
      </c>
      <c r="AI276" s="25" t="str">
        <f t="shared" si="184"/>
        <v/>
      </c>
      <c r="AJ276" s="25" t="str">
        <f t="shared" si="184"/>
        <v/>
      </c>
      <c r="AK276" s="25" t="str">
        <f t="shared" si="184"/>
        <v/>
      </c>
      <c r="AL276" s="25" t="str">
        <f t="shared" si="184"/>
        <v/>
      </c>
      <c r="AM276" s="25" t="str">
        <f t="shared" si="184"/>
        <v/>
      </c>
      <c r="AQ276" s="9" t="str">
        <f t="shared" si="180"/>
        <v/>
      </c>
      <c r="AR276" s="9" t="str">
        <f t="shared" si="180"/>
        <v/>
      </c>
      <c r="AS276" s="9" t="str">
        <f t="shared" si="180"/>
        <v/>
      </c>
      <c r="AT276" s="9" t="str">
        <f t="shared" si="180"/>
        <v/>
      </c>
      <c r="AU276" s="9" t="str">
        <f t="shared" si="180"/>
        <v/>
      </c>
      <c r="AV276" s="9" t="str">
        <f t="shared" si="180"/>
        <v/>
      </c>
      <c r="AW276" s="9" t="str">
        <f t="shared" si="180"/>
        <v/>
      </c>
      <c r="AX276" s="9" t="str">
        <f t="shared" si="180"/>
        <v/>
      </c>
    </row>
    <row r="277" spans="3:50" hidden="1" x14ac:dyDescent="0.25">
      <c r="C277">
        <v>108</v>
      </c>
      <c r="D277" t="str">
        <f t="shared" si="161"/>
        <v/>
      </c>
      <c r="E277" s="24" t="str">
        <f t="shared" ref="E277:T277" si="185">E213</f>
        <v/>
      </c>
      <c r="F277" s="24" t="str">
        <f t="shared" si="185"/>
        <v/>
      </c>
      <c r="G277" s="24" t="str">
        <f t="shared" si="185"/>
        <v/>
      </c>
      <c r="H277" s="24" t="str">
        <f t="shared" si="185"/>
        <v/>
      </c>
      <c r="I277" s="24" t="str">
        <f t="shared" si="185"/>
        <v/>
      </c>
      <c r="J277" s="24" t="str">
        <f t="shared" si="185"/>
        <v/>
      </c>
      <c r="K277" s="24" t="str">
        <f t="shared" si="185"/>
        <v/>
      </c>
      <c r="L277" s="24" t="str">
        <f t="shared" si="185"/>
        <v/>
      </c>
      <c r="M277" s="24" t="str">
        <f t="shared" si="185"/>
        <v/>
      </c>
      <c r="N277" s="24" t="str">
        <f t="shared" si="185"/>
        <v/>
      </c>
      <c r="O277" s="24" t="str">
        <f t="shared" si="185"/>
        <v/>
      </c>
      <c r="P277" s="24" t="str">
        <f t="shared" si="185"/>
        <v/>
      </c>
      <c r="Q277" s="24" t="str">
        <f t="shared" si="185"/>
        <v/>
      </c>
      <c r="R277" s="24" t="str">
        <f t="shared" si="185"/>
        <v/>
      </c>
      <c r="S277" s="24" t="str">
        <f t="shared" si="185"/>
        <v/>
      </c>
      <c r="T277" s="24" t="str">
        <f t="shared" si="185"/>
        <v/>
      </c>
      <c r="X277" s="246" t="str">
        <f t="shared" ref="X277:AM277" si="186">X213</f>
        <v/>
      </c>
      <c r="Y277" s="9" t="str">
        <f t="shared" si="186"/>
        <v/>
      </c>
      <c r="Z277" s="9" t="str">
        <f t="shared" si="186"/>
        <v/>
      </c>
      <c r="AA277" s="9" t="str">
        <f t="shared" si="186"/>
        <v/>
      </c>
      <c r="AB277" s="9" t="str">
        <f t="shared" si="186"/>
        <v/>
      </c>
      <c r="AC277" s="9" t="str">
        <f t="shared" si="186"/>
        <v/>
      </c>
      <c r="AD277" s="9" t="str">
        <f t="shared" si="186"/>
        <v/>
      </c>
      <c r="AE277" s="247" t="str">
        <f t="shared" si="186"/>
        <v/>
      </c>
      <c r="AF277" s="25" t="str">
        <f t="shared" si="186"/>
        <v/>
      </c>
      <c r="AG277" s="25" t="str">
        <f t="shared" si="186"/>
        <v/>
      </c>
      <c r="AH277" s="25" t="str">
        <f t="shared" si="186"/>
        <v/>
      </c>
      <c r="AI277" s="25" t="str">
        <f t="shared" si="186"/>
        <v/>
      </c>
      <c r="AJ277" s="25" t="str">
        <f t="shared" si="186"/>
        <v/>
      </c>
      <c r="AK277" s="25" t="str">
        <f t="shared" si="186"/>
        <v/>
      </c>
      <c r="AL277" s="25" t="str">
        <f t="shared" si="186"/>
        <v/>
      </c>
      <c r="AM277" s="25" t="str">
        <f t="shared" si="186"/>
        <v/>
      </c>
      <c r="AQ277" s="9" t="str">
        <f t="shared" si="180"/>
        <v/>
      </c>
      <c r="AR277" s="9" t="str">
        <f t="shared" si="180"/>
        <v/>
      </c>
      <c r="AS277" s="9" t="str">
        <f t="shared" si="180"/>
        <v/>
      </c>
      <c r="AT277" s="9" t="str">
        <f t="shared" si="180"/>
        <v/>
      </c>
      <c r="AU277" s="9" t="str">
        <f t="shared" si="180"/>
        <v/>
      </c>
      <c r="AV277" s="9" t="str">
        <f t="shared" si="180"/>
        <v/>
      </c>
      <c r="AW277" s="9" t="str">
        <f t="shared" si="180"/>
        <v/>
      </c>
      <c r="AX277" s="9" t="str">
        <f t="shared" si="180"/>
        <v/>
      </c>
    </row>
    <row r="278" spans="3:50" hidden="1" x14ac:dyDescent="0.25">
      <c r="C278">
        <v>109</v>
      </c>
      <c r="D278" t="str">
        <f t="shared" si="161"/>
        <v/>
      </c>
      <c r="E278" s="24" t="str">
        <f t="shared" ref="E278:T278" si="187">E214</f>
        <v/>
      </c>
      <c r="F278" s="24" t="str">
        <f t="shared" si="187"/>
        <v/>
      </c>
      <c r="G278" s="24" t="str">
        <f t="shared" si="187"/>
        <v/>
      </c>
      <c r="H278" s="24" t="str">
        <f t="shared" si="187"/>
        <v/>
      </c>
      <c r="I278" s="24" t="str">
        <f t="shared" si="187"/>
        <v/>
      </c>
      <c r="J278" s="24" t="str">
        <f t="shared" si="187"/>
        <v/>
      </c>
      <c r="K278" s="24" t="str">
        <f t="shared" si="187"/>
        <v/>
      </c>
      <c r="L278" s="24" t="str">
        <f t="shared" si="187"/>
        <v/>
      </c>
      <c r="M278" s="24" t="str">
        <f t="shared" si="187"/>
        <v/>
      </c>
      <c r="N278" s="24" t="str">
        <f t="shared" si="187"/>
        <v/>
      </c>
      <c r="O278" s="24" t="str">
        <f t="shared" si="187"/>
        <v/>
      </c>
      <c r="P278" s="24" t="str">
        <f t="shared" si="187"/>
        <v/>
      </c>
      <c r="Q278" s="24" t="str">
        <f t="shared" si="187"/>
        <v/>
      </c>
      <c r="R278" s="24" t="str">
        <f t="shared" si="187"/>
        <v/>
      </c>
      <c r="S278" s="24" t="str">
        <f t="shared" si="187"/>
        <v/>
      </c>
      <c r="T278" s="24" t="str">
        <f t="shared" si="187"/>
        <v/>
      </c>
      <c r="X278" s="246" t="str">
        <f t="shared" ref="X278:AM278" si="188">X214</f>
        <v/>
      </c>
      <c r="Y278" s="9" t="str">
        <f t="shared" si="188"/>
        <v/>
      </c>
      <c r="Z278" s="9" t="str">
        <f t="shared" si="188"/>
        <v/>
      </c>
      <c r="AA278" s="9" t="str">
        <f t="shared" si="188"/>
        <v/>
      </c>
      <c r="AB278" s="9" t="str">
        <f t="shared" si="188"/>
        <v/>
      </c>
      <c r="AC278" s="9" t="str">
        <f t="shared" si="188"/>
        <v/>
      </c>
      <c r="AD278" s="9" t="str">
        <f t="shared" si="188"/>
        <v/>
      </c>
      <c r="AE278" s="247" t="str">
        <f t="shared" si="188"/>
        <v/>
      </c>
      <c r="AF278" s="25" t="str">
        <f t="shared" si="188"/>
        <v/>
      </c>
      <c r="AG278" s="25" t="str">
        <f t="shared" si="188"/>
        <v/>
      </c>
      <c r="AH278" s="25" t="str">
        <f t="shared" si="188"/>
        <v/>
      </c>
      <c r="AI278" s="25" t="str">
        <f t="shared" si="188"/>
        <v/>
      </c>
      <c r="AJ278" s="25" t="str">
        <f t="shared" si="188"/>
        <v/>
      </c>
      <c r="AK278" s="25" t="str">
        <f t="shared" si="188"/>
        <v/>
      </c>
      <c r="AL278" s="25" t="str">
        <f t="shared" si="188"/>
        <v/>
      </c>
      <c r="AM278" s="25" t="str">
        <f t="shared" si="188"/>
        <v/>
      </c>
      <c r="AQ278" s="9" t="str">
        <f t="shared" si="180"/>
        <v/>
      </c>
      <c r="AR278" s="9" t="str">
        <f t="shared" si="180"/>
        <v/>
      </c>
      <c r="AS278" s="9" t="str">
        <f t="shared" si="180"/>
        <v/>
      </c>
      <c r="AT278" s="9" t="str">
        <f t="shared" si="180"/>
        <v/>
      </c>
      <c r="AU278" s="9" t="str">
        <f t="shared" si="180"/>
        <v/>
      </c>
      <c r="AV278" s="9" t="str">
        <f t="shared" si="180"/>
        <v/>
      </c>
      <c r="AW278" s="9" t="str">
        <f t="shared" si="180"/>
        <v/>
      </c>
      <c r="AX278" s="9" t="str">
        <f t="shared" si="180"/>
        <v/>
      </c>
    </row>
    <row r="279" spans="3:50" hidden="1" x14ac:dyDescent="0.25">
      <c r="C279">
        <v>110</v>
      </c>
      <c r="D279" t="str">
        <f t="shared" si="161"/>
        <v/>
      </c>
      <c r="E279" s="24" t="str">
        <f t="shared" ref="E279:T279" si="189">E215</f>
        <v/>
      </c>
      <c r="F279" s="24" t="str">
        <f t="shared" si="189"/>
        <v/>
      </c>
      <c r="G279" s="24" t="str">
        <f t="shared" si="189"/>
        <v/>
      </c>
      <c r="H279" s="24" t="str">
        <f t="shared" si="189"/>
        <v/>
      </c>
      <c r="I279" s="24" t="str">
        <f t="shared" si="189"/>
        <v/>
      </c>
      <c r="J279" s="24" t="str">
        <f t="shared" si="189"/>
        <v/>
      </c>
      <c r="K279" s="24" t="str">
        <f t="shared" si="189"/>
        <v/>
      </c>
      <c r="L279" s="24" t="str">
        <f t="shared" si="189"/>
        <v/>
      </c>
      <c r="M279" s="24" t="str">
        <f t="shared" si="189"/>
        <v/>
      </c>
      <c r="N279" s="24" t="str">
        <f t="shared" si="189"/>
        <v/>
      </c>
      <c r="O279" s="24" t="str">
        <f t="shared" si="189"/>
        <v/>
      </c>
      <c r="P279" s="24" t="str">
        <f t="shared" si="189"/>
        <v/>
      </c>
      <c r="Q279" s="24" t="str">
        <f t="shared" si="189"/>
        <v/>
      </c>
      <c r="R279" s="24" t="str">
        <f t="shared" si="189"/>
        <v/>
      </c>
      <c r="S279" s="24" t="str">
        <f t="shared" si="189"/>
        <v/>
      </c>
      <c r="T279" s="24" t="str">
        <f t="shared" si="189"/>
        <v/>
      </c>
      <c r="X279" s="246" t="str">
        <f t="shared" ref="X279:AM279" si="190">X215</f>
        <v/>
      </c>
      <c r="Y279" s="9" t="str">
        <f t="shared" si="190"/>
        <v/>
      </c>
      <c r="Z279" s="9" t="str">
        <f t="shared" si="190"/>
        <v/>
      </c>
      <c r="AA279" s="9" t="str">
        <f t="shared" si="190"/>
        <v/>
      </c>
      <c r="AB279" s="9" t="str">
        <f t="shared" si="190"/>
        <v/>
      </c>
      <c r="AC279" s="9" t="str">
        <f t="shared" si="190"/>
        <v/>
      </c>
      <c r="AD279" s="9" t="str">
        <f t="shared" si="190"/>
        <v/>
      </c>
      <c r="AE279" s="247" t="str">
        <f t="shared" si="190"/>
        <v/>
      </c>
      <c r="AF279" s="25" t="str">
        <f t="shared" si="190"/>
        <v/>
      </c>
      <c r="AG279" s="25" t="str">
        <f t="shared" si="190"/>
        <v/>
      </c>
      <c r="AH279" s="25" t="str">
        <f t="shared" si="190"/>
        <v/>
      </c>
      <c r="AI279" s="25" t="str">
        <f t="shared" si="190"/>
        <v/>
      </c>
      <c r="AJ279" s="25" t="str">
        <f t="shared" si="190"/>
        <v/>
      </c>
      <c r="AK279" s="25" t="str">
        <f t="shared" si="190"/>
        <v/>
      </c>
      <c r="AL279" s="25" t="str">
        <f t="shared" si="190"/>
        <v/>
      </c>
      <c r="AM279" s="25" t="str">
        <f t="shared" si="190"/>
        <v/>
      </c>
      <c r="AQ279" s="9" t="str">
        <f t="shared" si="180"/>
        <v/>
      </c>
      <c r="AR279" s="9" t="str">
        <f t="shared" si="180"/>
        <v/>
      </c>
      <c r="AS279" s="9" t="str">
        <f t="shared" si="180"/>
        <v/>
      </c>
      <c r="AT279" s="9" t="str">
        <f t="shared" si="180"/>
        <v/>
      </c>
      <c r="AU279" s="9" t="str">
        <f t="shared" si="180"/>
        <v/>
      </c>
      <c r="AV279" s="9" t="str">
        <f t="shared" si="180"/>
        <v/>
      </c>
      <c r="AW279" s="9" t="str">
        <f t="shared" si="180"/>
        <v/>
      </c>
      <c r="AX279" s="9" t="str">
        <f t="shared" si="180"/>
        <v/>
      </c>
    </row>
    <row r="280" spans="3:50" hidden="1" x14ac:dyDescent="0.25">
      <c r="C280">
        <v>111</v>
      </c>
      <c r="D280" t="str">
        <f t="shared" si="161"/>
        <v/>
      </c>
      <c r="E280" s="24" t="str">
        <f t="shared" ref="E280:T280" si="191">E216</f>
        <v/>
      </c>
      <c r="F280" s="24" t="str">
        <f t="shared" si="191"/>
        <v/>
      </c>
      <c r="G280" s="24" t="str">
        <f t="shared" si="191"/>
        <v/>
      </c>
      <c r="H280" s="24" t="str">
        <f t="shared" si="191"/>
        <v/>
      </c>
      <c r="I280" s="24" t="str">
        <f t="shared" si="191"/>
        <v/>
      </c>
      <c r="J280" s="24" t="str">
        <f t="shared" si="191"/>
        <v/>
      </c>
      <c r="K280" s="24" t="str">
        <f t="shared" si="191"/>
        <v/>
      </c>
      <c r="L280" s="24" t="str">
        <f t="shared" si="191"/>
        <v/>
      </c>
      <c r="M280" s="24" t="str">
        <f t="shared" si="191"/>
        <v/>
      </c>
      <c r="N280" s="24" t="str">
        <f t="shared" si="191"/>
        <v/>
      </c>
      <c r="O280" s="24" t="str">
        <f t="shared" si="191"/>
        <v/>
      </c>
      <c r="P280" s="24" t="str">
        <f t="shared" si="191"/>
        <v/>
      </c>
      <c r="Q280" s="24" t="str">
        <f t="shared" si="191"/>
        <v/>
      </c>
      <c r="R280" s="24" t="str">
        <f t="shared" si="191"/>
        <v/>
      </c>
      <c r="S280" s="24" t="str">
        <f t="shared" si="191"/>
        <v/>
      </c>
      <c r="T280" s="24" t="str">
        <f t="shared" si="191"/>
        <v/>
      </c>
      <c r="X280" s="246" t="str">
        <f t="shared" ref="X280:AM280" si="192">X216</f>
        <v/>
      </c>
      <c r="Y280" s="9" t="str">
        <f t="shared" si="192"/>
        <v/>
      </c>
      <c r="Z280" s="9" t="str">
        <f t="shared" si="192"/>
        <v/>
      </c>
      <c r="AA280" s="9" t="str">
        <f t="shared" si="192"/>
        <v/>
      </c>
      <c r="AB280" s="9" t="str">
        <f t="shared" si="192"/>
        <v/>
      </c>
      <c r="AC280" s="9" t="str">
        <f t="shared" si="192"/>
        <v/>
      </c>
      <c r="AD280" s="9" t="str">
        <f t="shared" si="192"/>
        <v/>
      </c>
      <c r="AE280" s="247" t="str">
        <f t="shared" si="192"/>
        <v/>
      </c>
      <c r="AF280" s="25" t="str">
        <f t="shared" si="192"/>
        <v/>
      </c>
      <c r="AG280" s="25" t="str">
        <f t="shared" si="192"/>
        <v/>
      </c>
      <c r="AH280" s="25" t="str">
        <f t="shared" si="192"/>
        <v/>
      </c>
      <c r="AI280" s="25" t="str">
        <f t="shared" si="192"/>
        <v/>
      </c>
      <c r="AJ280" s="25" t="str">
        <f t="shared" si="192"/>
        <v/>
      </c>
      <c r="AK280" s="25" t="str">
        <f t="shared" si="192"/>
        <v/>
      </c>
      <c r="AL280" s="25" t="str">
        <f t="shared" si="192"/>
        <v/>
      </c>
      <c r="AM280" s="25" t="str">
        <f t="shared" si="192"/>
        <v/>
      </c>
      <c r="AQ280" s="9" t="str">
        <f t="shared" si="180"/>
        <v/>
      </c>
      <c r="AR280" s="9" t="str">
        <f t="shared" si="180"/>
        <v/>
      </c>
      <c r="AS280" s="9" t="str">
        <f t="shared" si="180"/>
        <v/>
      </c>
      <c r="AT280" s="9" t="str">
        <f t="shared" si="180"/>
        <v/>
      </c>
      <c r="AU280" s="9" t="str">
        <f t="shared" si="180"/>
        <v/>
      </c>
      <c r="AV280" s="9" t="str">
        <f t="shared" si="180"/>
        <v/>
      </c>
      <c r="AW280" s="9" t="str">
        <f t="shared" si="180"/>
        <v/>
      </c>
      <c r="AX280" s="9" t="str">
        <f t="shared" si="180"/>
        <v/>
      </c>
    </row>
    <row r="281" spans="3:50" hidden="1" x14ac:dyDescent="0.25">
      <c r="C281">
        <v>112</v>
      </c>
      <c r="D281" t="str">
        <f t="shared" si="161"/>
        <v/>
      </c>
      <c r="E281" s="24" t="str">
        <f t="shared" ref="E281:T281" si="193">E217</f>
        <v/>
      </c>
      <c r="F281" s="24" t="str">
        <f t="shared" si="193"/>
        <v/>
      </c>
      <c r="G281" s="24" t="str">
        <f t="shared" si="193"/>
        <v/>
      </c>
      <c r="H281" s="24" t="str">
        <f t="shared" si="193"/>
        <v/>
      </c>
      <c r="I281" s="24" t="str">
        <f t="shared" si="193"/>
        <v/>
      </c>
      <c r="J281" s="24" t="str">
        <f t="shared" si="193"/>
        <v/>
      </c>
      <c r="K281" s="24" t="str">
        <f t="shared" si="193"/>
        <v/>
      </c>
      <c r="L281" s="24" t="str">
        <f t="shared" si="193"/>
        <v/>
      </c>
      <c r="M281" s="24" t="str">
        <f t="shared" si="193"/>
        <v/>
      </c>
      <c r="N281" s="24" t="str">
        <f t="shared" si="193"/>
        <v/>
      </c>
      <c r="O281" s="24" t="str">
        <f t="shared" si="193"/>
        <v/>
      </c>
      <c r="P281" s="24" t="str">
        <f t="shared" si="193"/>
        <v/>
      </c>
      <c r="Q281" s="24" t="str">
        <f t="shared" si="193"/>
        <v/>
      </c>
      <c r="R281" s="24" t="str">
        <f t="shared" si="193"/>
        <v/>
      </c>
      <c r="S281" s="24" t="str">
        <f t="shared" si="193"/>
        <v/>
      </c>
      <c r="T281" s="24" t="str">
        <f t="shared" si="193"/>
        <v/>
      </c>
      <c r="X281" s="246" t="str">
        <f t="shared" ref="X281:AM281" si="194">X217</f>
        <v/>
      </c>
      <c r="Y281" s="9" t="str">
        <f t="shared" si="194"/>
        <v/>
      </c>
      <c r="Z281" s="9" t="str">
        <f t="shared" si="194"/>
        <v/>
      </c>
      <c r="AA281" s="9" t="str">
        <f t="shared" si="194"/>
        <v/>
      </c>
      <c r="AB281" s="9" t="str">
        <f t="shared" si="194"/>
        <v/>
      </c>
      <c r="AC281" s="9" t="str">
        <f t="shared" si="194"/>
        <v/>
      </c>
      <c r="AD281" s="9" t="str">
        <f t="shared" si="194"/>
        <v/>
      </c>
      <c r="AE281" s="247" t="str">
        <f t="shared" si="194"/>
        <v/>
      </c>
      <c r="AF281" s="25" t="str">
        <f t="shared" si="194"/>
        <v/>
      </c>
      <c r="AG281" s="25" t="str">
        <f t="shared" si="194"/>
        <v/>
      </c>
      <c r="AH281" s="25" t="str">
        <f t="shared" si="194"/>
        <v/>
      </c>
      <c r="AI281" s="25" t="str">
        <f t="shared" si="194"/>
        <v/>
      </c>
      <c r="AJ281" s="25" t="str">
        <f t="shared" si="194"/>
        <v/>
      </c>
      <c r="AK281" s="25" t="str">
        <f t="shared" si="194"/>
        <v/>
      </c>
      <c r="AL281" s="25" t="str">
        <f t="shared" si="194"/>
        <v/>
      </c>
      <c r="AM281" s="25" t="str">
        <f t="shared" si="194"/>
        <v/>
      </c>
      <c r="AQ281" s="9" t="str">
        <f t="shared" si="180"/>
        <v/>
      </c>
      <c r="AR281" s="9" t="str">
        <f t="shared" si="180"/>
        <v/>
      </c>
      <c r="AS281" s="9" t="str">
        <f t="shared" si="180"/>
        <v/>
      </c>
      <c r="AT281" s="9" t="str">
        <f t="shared" si="180"/>
        <v/>
      </c>
      <c r="AU281" s="9" t="str">
        <f t="shared" si="180"/>
        <v/>
      </c>
      <c r="AV281" s="9" t="str">
        <f t="shared" si="180"/>
        <v/>
      </c>
      <c r="AW281" s="9" t="str">
        <f t="shared" si="180"/>
        <v/>
      </c>
      <c r="AX281" s="9" t="str">
        <f t="shared" si="180"/>
        <v/>
      </c>
    </row>
    <row r="282" spans="3:50" hidden="1" x14ac:dyDescent="0.25">
      <c r="C282">
        <v>113</v>
      </c>
      <c r="D282" t="str">
        <f t="shared" si="161"/>
        <v/>
      </c>
      <c r="E282" s="24" t="str">
        <f t="shared" ref="E282:T282" si="195">E218</f>
        <v/>
      </c>
      <c r="F282" s="24" t="str">
        <f t="shared" si="195"/>
        <v/>
      </c>
      <c r="G282" s="24" t="str">
        <f t="shared" si="195"/>
        <v/>
      </c>
      <c r="H282" s="24" t="str">
        <f t="shared" si="195"/>
        <v/>
      </c>
      <c r="I282" s="24" t="str">
        <f t="shared" si="195"/>
        <v/>
      </c>
      <c r="J282" s="24" t="str">
        <f t="shared" si="195"/>
        <v/>
      </c>
      <c r="K282" s="24" t="str">
        <f t="shared" si="195"/>
        <v/>
      </c>
      <c r="L282" s="24" t="str">
        <f t="shared" si="195"/>
        <v/>
      </c>
      <c r="M282" s="24" t="str">
        <f t="shared" si="195"/>
        <v/>
      </c>
      <c r="N282" s="24" t="str">
        <f t="shared" si="195"/>
        <v/>
      </c>
      <c r="O282" s="24" t="str">
        <f t="shared" si="195"/>
        <v/>
      </c>
      <c r="P282" s="24" t="str">
        <f t="shared" si="195"/>
        <v/>
      </c>
      <c r="Q282" s="24" t="str">
        <f t="shared" si="195"/>
        <v/>
      </c>
      <c r="R282" s="24" t="str">
        <f t="shared" si="195"/>
        <v/>
      </c>
      <c r="S282" s="24" t="str">
        <f t="shared" si="195"/>
        <v/>
      </c>
      <c r="T282" s="24" t="str">
        <f t="shared" si="195"/>
        <v/>
      </c>
      <c r="X282" s="246" t="str">
        <f t="shared" ref="X282:AM282" si="196">X218</f>
        <v/>
      </c>
      <c r="Y282" s="9" t="str">
        <f t="shared" si="196"/>
        <v/>
      </c>
      <c r="Z282" s="9" t="str">
        <f t="shared" si="196"/>
        <v/>
      </c>
      <c r="AA282" s="9" t="str">
        <f t="shared" si="196"/>
        <v/>
      </c>
      <c r="AB282" s="9" t="str">
        <f t="shared" si="196"/>
        <v/>
      </c>
      <c r="AC282" s="9" t="str">
        <f t="shared" si="196"/>
        <v/>
      </c>
      <c r="AD282" s="9" t="str">
        <f t="shared" si="196"/>
        <v/>
      </c>
      <c r="AE282" s="247" t="str">
        <f t="shared" si="196"/>
        <v/>
      </c>
      <c r="AF282" s="25" t="str">
        <f t="shared" si="196"/>
        <v/>
      </c>
      <c r="AG282" s="25" t="str">
        <f t="shared" si="196"/>
        <v/>
      </c>
      <c r="AH282" s="25" t="str">
        <f t="shared" si="196"/>
        <v/>
      </c>
      <c r="AI282" s="25" t="str">
        <f t="shared" si="196"/>
        <v/>
      </c>
      <c r="AJ282" s="25" t="str">
        <f t="shared" si="196"/>
        <v/>
      </c>
      <c r="AK282" s="25" t="str">
        <f t="shared" si="196"/>
        <v/>
      </c>
      <c r="AL282" s="25" t="str">
        <f t="shared" si="196"/>
        <v/>
      </c>
      <c r="AM282" s="25" t="str">
        <f t="shared" si="196"/>
        <v/>
      </c>
      <c r="AQ282" s="9" t="str">
        <f t="shared" si="180"/>
        <v/>
      </c>
      <c r="AR282" s="9" t="str">
        <f t="shared" si="180"/>
        <v/>
      </c>
      <c r="AS282" s="9" t="str">
        <f t="shared" si="180"/>
        <v/>
      </c>
      <c r="AT282" s="9" t="str">
        <f t="shared" si="180"/>
        <v/>
      </c>
      <c r="AU282" s="9" t="str">
        <f t="shared" si="180"/>
        <v/>
      </c>
      <c r="AV282" s="9" t="str">
        <f t="shared" si="180"/>
        <v/>
      </c>
      <c r="AW282" s="9" t="str">
        <f t="shared" si="180"/>
        <v/>
      </c>
      <c r="AX282" s="9" t="str">
        <f t="shared" si="180"/>
        <v/>
      </c>
    </row>
    <row r="283" spans="3:50" hidden="1" x14ac:dyDescent="0.25">
      <c r="C283">
        <v>114</v>
      </c>
      <c r="D283" t="str">
        <f t="shared" si="161"/>
        <v/>
      </c>
      <c r="E283" s="24" t="str">
        <f t="shared" ref="E283:T283" si="197">E219</f>
        <v/>
      </c>
      <c r="F283" s="24" t="str">
        <f t="shared" si="197"/>
        <v/>
      </c>
      <c r="G283" s="24" t="str">
        <f t="shared" si="197"/>
        <v/>
      </c>
      <c r="H283" s="24" t="str">
        <f t="shared" si="197"/>
        <v/>
      </c>
      <c r="I283" s="24" t="str">
        <f t="shared" si="197"/>
        <v/>
      </c>
      <c r="J283" s="24" t="str">
        <f t="shared" si="197"/>
        <v/>
      </c>
      <c r="K283" s="24" t="str">
        <f t="shared" si="197"/>
        <v/>
      </c>
      <c r="L283" s="24" t="str">
        <f t="shared" si="197"/>
        <v/>
      </c>
      <c r="M283" s="24" t="str">
        <f t="shared" si="197"/>
        <v/>
      </c>
      <c r="N283" s="24" t="str">
        <f t="shared" si="197"/>
        <v/>
      </c>
      <c r="O283" s="24" t="str">
        <f t="shared" si="197"/>
        <v/>
      </c>
      <c r="P283" s="24" t="str">
        <f t="shared" si="197"/>
        <v/>
      </c>
      <c r="Q283" s="24" t="str">
        <f t="shared" si="197"/>
        <v/>
      </c>
      <c r="R283" s="24" t="str">
        <f t="shared" si="197"/>
        <v/>
      </c>
      <c r="S283" s="24" t="str">
        <f t="shared" si="197"/>
        <v/>
      </c>
      <c r="T283" s="24" t="str">
        <f t="shared" si="197"/>
        <v/>
      </c>
      <c r="X283" s="246" t="str">
        <f t="shared" ref="X283:AM283" si="198">X219</f>
        <v/>
      </c>
      <c r="Y283" s="9" t="str">
        <f t="shared" si="198"/>
        <v/>
      </c>
      <c r="Z283" s="9" t="str">
        <f t="shared" si="198"/>
        <v/>
      </c>
      <c r="AA283" s="9" t="str">
        <f t="shared" si="198"/>
        <v/>
      </c>
      <c r="AB283" s="9" t="str">
        <f t="shared" si="198"/>
        <v/>
      </c>
      <c r="AC283" s="9" t="str">
        <f t="shared" si="198"/>
        <v/>
      </c>
      <c r="AD283" s="9" t="str">
        <f t="shared" si="198"/>
        <v/>
      </c>
      <c r="AE283" s="247" t="str">
        <f t="shared" si="198"/>
        <v/>
      </c>
      <c r="AF283" s="25" t="str">
        <f t="shared" si="198"/>
        <v/>
      </c>
      <c r="AG283" s="25" t="str">
        <f t="shared" si="198"/>
        <v/>
      </c>
      <c r="AH283" s="25" t="str">
        <f t="shared" si="198"/>
        <v/>
      </c>
      <c r="AI283" s="25" t="str">
        <f t="shared" si="198"/>
        <v/>
      </c>
      <c r="AJ283" s="25" t="str">
        <f t="shared" si="198"/>
        <v/>
      </c>
      <c r="AK283" s="25" t="str">
        <f t="shared" si="198"/>
        <v/>
      </c>
      <c r="AL283" s="25" t="str">
        <f t="shared" si="198"/>
        <v/>
      </c>
      <c r="AM283" s="25" t="str">
        <f t="shared" si="198"/>
        <v/>
      </c>
      <c r="AQ283" s="9" t="str">
        <f t="shared" si="180"/>
        <v/>
      </c>
      <c r="AR283" s="9" t="str">
        <f t="shared" si="180"/>
        <v/>
      </c>
      <c r="AS283" s="9" t="str">
        <f t="shared" si="180"/>
        <v/>
      </c>
      <c r="AT283" s="9" t="str">
        <f t="shared" si="180"/>
        <v/>
      </c>
      <c r="AU283" s="9" t="str">
        <f t="shared" si="180"/>
        <v/>
      </c>
      <c r="AV283" s="9" t="str">
        <f t="shared" si="180"/>
        <v/>
      </c>
      <c r="AW283" s="9" t="str">
        <f t="shared" si="180"/>
        <v/>
      </c>
      <c r="AX283" s="9" t="str">
        <f t="shared" si="180"/>
        <v/>
      </c>
    </row>
    <row r="284" spans="3:50" hidden="1" x14ac:dyDescent="0.25">
      <c r="C284">
        <v>115</v>
      </c>
      <c r="D284" t="str">
        <f t="shared" si="161"/>
        <v/>
      </c>
      <c r="E284" s="24" t="str">
        <f t="shared" ref="E284:T284" si="199">E220</f>
        <v/>
      </c>
      <c r="F284" s="24" t="str">
        <f t="shared" si="199"/>
        <v/>
      </c>
      <c r="G284" s="24" t="str">
        <f t="shared" si="199"/>
        <v/>
      </c>
      <c r="H284" s="24" t="str">
        <f t="shared" si="199"/>
        <v/>
      </c>
      <c r="I284" s="24" t="str">
        <f t="shared" si="199"/>
        <v/>
      </c>
      <c r="J284" s="24" t="str">
        <f t="shared" si="199"/>
        <v/>
      </c>
      <c r="K284" s="24" t="str">
        <f t="shared" si="199"/>
        <v/>
      </c>
      <c r="L284" s="24" t="str">
        <f t="shared" si="199"/>
        <v/>
      </c>
      <c r="M284" s="24" t="str">
        <f t="shared" si="199"/>
        <v/>
      </c>
      <c r="N284" s="24" t="str">
        <f t="shared" si="199"/>
        <v/>
      </c>
      <c r="O284" s="24" t="str">
        <f t="shared" si="199"/>
        <v/>
      </c>
      <c r="P284" s="24" t="str">
        <f t="shared" si="199"/>
        <v/>
      </c>
      <c r="Q284" s="24" t="str">
        <f t="shared" si="199"/>
        <v/>
      </c>
      <c r="R284" s="24" t="str">
        <f t="shared" si="199"/>
        <v/>
      </c>
      <c r="S284" s="24" t="str">
        <f t="shared" si="199"/>
        <v/>
      </c>
      <c r="T284" s="24" t="str">
        <f t="shared" si="199"/>
        <v/>
      </c>
      <c r="X284" s="246" t="str">
        <f t="shared" ref="X284:AM284" si="200">X220</f>
        <v/>
      </c>
      <c r="Y284" s="9" t="str">
        <f t="shared" si="200"/>
        <v/>
      </c>
      <c r="Z284" s="9" t="str">
        <f t="shared" si="200"/>
        <v/>
      </c>
      <c r="AA284" s="9" t="str">
        <f t="shared" si="200"/>
        <v/>
      </c>
      <c r="AB284" s="9" t="str">
        <f t="shared" si="200"/>
        <v/>
      </c>
      <c r="AC284" s="9" t="str">
        <f t="shared" si="200"/>
        <v/>
      </c>
      <c r="AD284" s="9" t="str">
        <f t="shared" si="200"/>
        <v/>
      </c>
      <c r="AE284" s="247" t="str">
        <f t="shared" si="200"/>
        <v/>
      </c>
      <c r="AF284" s="25" t="str">
        <f t="shared" si="200"/>
        <v/>
      </c>
      <c r="AG284" s="25" t="str">
        <f t="shared" si="200"/>
        <v/>
      </c>
      <c r="AH284" s="25" t="str">
        <f t="shared" si="200"/>
        <v/>
      </c>
      <c r="AI284" s="25" t="str">
        <f t="shared" si="200"/>
        <v/>
      </c>
      <c r="AJ284" s="25" t="str">
        <f t="shared" si="200"/>
        <v/>
      </c>
      <c r="AK284" s="25" t="str">
        <f t="shared" si="200"/>
        <v/>
      </c>
      <c r="AL284" s="25" t="str">
        <f t="shared" si="200"/>
        <v/>
      </c>
      <c r="AM284" s="25" t="str">
        <f t="shared" si="200"/>
        <v/>
      </c>
      <c r="AQ284" s="9" t="str">
        <f t="shared" ref="AQ284:AX293" si="201">AQ220</f>
        <v/>
      </c>
      <c r="AR284" s="9" t="str">
        <f t="shared" si="201"/>
        <v/>
      </c>
      <c r="AS284" s="9" t="str">
        <f t="shared" si="201"/>
        <v/>
      </c>
      <c r="AT284" s="9" t="str">
        <f t="shared" si="201"/>
        <v/>
      </c>
      <c r="AU284" s="9" t="str">
        <f t="shared" si="201"/>
        <v/>
      </c>
      <c r="AV284" s="9" t="str">
        <f t="shared" si="201"/>
        <v/>
      </c>
      <c r="AW284" s="9" t="str">
        <f t="shared" si="201"/>
        <v/>
      </c>
      <c r="AX284" s="9" t="str">
        <f t="shared" si="201"/>
        <v/>
      </c>
    </row>
    <row r="285" spans="3:50" hidden="1" x14ac:dyDescent="0.25">
      <c r="C285">
        <v>116</v>
      </c>
      <c r="D285" t="str">
        <f t="shared" si="161"/>
        <v/>
      </c>
      <c r="E285" s="24" t="str">
        <f t="shared" ref="E285:T285" si="202">E221</f>
        <v/>
      </c>
      <c r="F285" s="24" t="str">
        <f t="shared" si="202"/>
        <v/>
      </c>
      <c r="G285" s="24" t="str">
        <f t="shared" si="202"/>
        <v/>
      </c>
      <c r="H285" s="24" t="str">
        <f t="shared" si="202"/>
        <v/>
      </c>
      <c r="I285" s="24" t="str">
        <f t="shared" si="202"/>
        <v/>
      </c>
      <c r="J285" s="24" t="str">
        <f t="shared" si="202"/>
        <v/>
      </c>
      <c r="K285" s="24" t="str">
        <f t="shared" si="202"/>
        <v/>
      </c>
      <c r="L285" s="24" t="str">
        <f t="shared" si="202"/>
        <v/>
      </c>
      <c r="M285" s="24" t="str">
        <f t="shared" si="202"/>
        <v/>
      </c>
      <c r="N285" s="24" t="str">
        <f t="shared" si="202"/>
        <v/>
      </c>
      <c r="O285" s="24" t="str">
        <f t="shared" si="202"/>
        <v/>
      </c>
      <c r="P285" s="24" t="str">
        <f t="shared" si="202"/>
        <v/>
      </c>
      <c r="Q285" s="24" t="str">
        <f t="shared" si="202"/>
        <v/>
      </c>
      <c r="R285" s="24" t="str">
        <f t="shared" si="202"/>
        <v/>
      </c>
      <c r="S285" s="24" t="str">
        <f t="shared" si="202"/>
        <v/>
      </c>
      <c r="T285" s="24" t="str">
        <f t="shared" si="202"/>
        <v/>
      </c>
      <c r="X285" s="246" t="str">
        <f t="shared" ref="X285:AM285" si="203">X221</f>
        <v/>
      </c>
      <c r="Y285" s="9" t="str">
        <f t="shared" si="203"/>
        <v/>
      </c>
      <c r="Z285" s="9" t="str">
        <f t="shared" si="203"/>
        <v/>
      </c>
      <c r="AA285" s="9" t="str">
        <f t="shared" si="203"/>
        <v/>
      </c>
      <c r="AB285" s="9" t="str">
        <f t="shared" si="203"/>
        <v/>
      </c>
      <c r="AC285" s="9" t="str">
        <f t="shared" si="203"/>
        <v/>
      </c>
      <c r="AD285" s="9" t="str">
        <f t="shared" si="203"/>
        <v/>
      </c>
      <c r="AE285" s="247" t="str">
        <f t="shared" si="203"/>
        <v/>
      </c>
      <c r="AF285" s="25" t="str">
        <f t="shared" si="203"/>
        <v/>
      </c>
      <c r="AG285" s="25" t="str">
        <f t="shared" si="203"/>
        <v/>
      </c>
      <c r="AH285" s="25" t="str">
        <f t="shared" si="203"/>
        <v/>
      </c>
      <c r="AI285" s="25" t="str">
        <f t="shared" si="203"/>
        <v/>
      </c>
      <c r="AJ285" s="25" t="str">
        <f t="shared" si="203"/>
        <v/>
      </c>
      <c r="AK285" s="25" t="str">
        <f t="shared" si="203"/>
        <v/>
      </c>
      <c r="AL285" s="25" t="str">
        <f t="shared" si="203"/>
        <v/>
      </c>
      <c r="AM285" s="25" t="str">
        <f t="shared" si="203"/>
        <v/>
      </c>
      <c r="AQ285" s="9" t="str">
        <f t="shared" si="201"/>
        <v/>
      </c>
      <c r="AR285" s="9" t="str">
        <f t="shared" si="201"/>
        <v/>
      </c>
      <c r="AS285" s="9" t="str">
        <f t="shared" si="201"/>
        <v/>
      </c>
      <c r="AT285" s="9" t="str">
        <f t="shared" si="201"/>
        <v/>
      </c>
      <c r="AU285" s="9" t="str">
        <f t="shared" si="201"/>
        <v/>
      </c>
      <c r="AV285" s="9" t="str">
        <f t="shared" si="201"/>
        <v/>
      </c>
      <c r="AW285" s="9" t="str">
        <f t="shared" si="201"/>
        <v/>
      </c>
      <c r="AX285" s="9" t="str">
        <f t="shared" si="201"/>
        <v/>
      </c>
    </row>
    <row r="286" spans="3:50" hidden="1" x14ac:dyDescent="0.25">
      <c r="C286">
        <v>117</v>
      </c>
      <c r="D286" t="str">
        <f t="shared" si="161"/>
        <v/>
      </c>
      <c r="E286" s="24" t="str">
        <f t="shared" ref="E286:T286" si="204">E222</f>
        <v/>
      </c>
      <c r="F286" s="24" t="str">
        <f t="shared" si="204"/>
        <v/>
      </c>
      <c r="G286" s="24" t="str">
        <f t="shared" si="204"/>
        <v/>
      </c>
      <c r="H286" s="24" t="str">
        <f t="shared" si="204"/>
        <v/>
      </c>
      <c r="I286" s="24" t="str">
        <f t="shared" si="204"/>
        <v/>
      </c>
      <c r="J286" s="24" t="str">
        <f t="shared" si="204"/>
        <v/>
      </c>
      <c r="K286" s="24" t="str">
        <f t="shared" si="204"/>
        <v/>
      </c>
      <c r="L286" s="24" t="str">
        <f t="shared" si="204"/>
        <v/>
      </c>
      <c r="M286" s="24" t="str">
        <f t="shared" si="204"/>
        <v/>
      </c>
      <c r="N286" s="24" t="str">
        <f t="shared" si="204"/>
        <v/>
      </c>
      <c r="O286" s="24" t="str">
        <f t="shared" si="204"/>
        <v/>
      </c>
      <c r="P286" s="24" t="str">
        <f t="shared" si="204"/>
        <v/>
      </c>
      <c r="Q286" s="24" t="str">
        <f t="shared" si="204"/>
        <v/>
      </c>
      <c r="R286" s="24" t="str">
        <f t="shared" si="204"/>
        <v/>
      </c>
      <c r="S286" s="24" t="str">
        <f t="shared" si="204"/>
        <v/>
      </c>
      <c r="T286" s="24" t="str">
        <f t="shared" si="204"/>
        <v/>
      </c>
      <c r="X286" s="246" t="str">
        <f t="shared" ref="X286:AM286" si="205">X222</f>
        <v/>
      </c>
      <c r="Y286" s="9" t="str">
        <f t="shared" si="205"/>
        <v/>
      </c>
      <c r="Z286" s="9" t="str">
        <f t="shared" si="205"/>
        <v/>
      </c>
      <c r="AA286" s="9" t="str">
        <f t="shared" si="205"/>
        <v/>
      </c>
      <c r="AB286" s="9" t="str">
        <f t="shared" si="205"/>
        <v/>
      </c>
      <c r="AC286" s="9" t="str">
        <f t="shared" si="205"/>
        <v/>
      </c>
      <c r="AD286" s="9" t="str">
        <f t="shared" si="205"/>
        <v/>
      </c>
      <c r="AE286" s="247" t="str">
        <f t="shared" si="205"/>
        <v/>
      </c>
      <c r="AF286" s="25" t="str">
        <f t="shared" si="205"/>
        <v/>
      </c>
      <c r="AG286" s="25" t="str">
        <f t="shared" si="205"/>
        <v/>
      </c>
      <c r="AH286" s="25" t="str">
        <f t="shared" si="205"/>
        <v/>
      </c>
      <c r="AI286" s="25" t="str">
        <f t="shared" si="205"/>
        <v/>
      </c>
      <c r="AJ286" s="25" t="str">
        <f t="shared" si="205"/>
        <v/>
      </c>
      <c r="AK286" s="25" t="str">
        <f t="shared" si="205"/>
        <v/>
      </c>
      <c r="AL286" s="25" t="str">
        <f t="shared" si="205"/>
        <v/>
      </c>
      <c r="AM286" s="25" t="str">
        <f t="shared" si="205"/>
        <v/>
      </c>
      <c r="AQ286" s="9" t="str">
        <f t="shared" si="201"/>
        <v/>
      </c>
      <c r="AR286" s="9" t="str">
        <f t="shared" si="201"/>
        <v/>
      </c>
      <c r="AS286" s="9" t="str">
        <f t="shared" si="201"/>
        <v/>
      </c>
      <c r="AT286" s="9" t="str">
        <f t="shared" si="201"/>
        <v/>
      </c>
      <c r="AU286" s="9" t="str">
        <f t="shared" si="201"/>
        <v/>
      </c>
      <c r="AV286" s="9" t="str">
        <f t="shared" si="201"/>
        <v/>
      </c>
      <c r="AW286" s="9" t="str">
        <f t="shared" si="201"/>
        <v/>
      </c>
      <c r="AX286" s="9" t="str">
        <f t="shared" si="201"/>
        <v/>
      </c>
    </row>
    <row r="287" spans="3:50" hidden="1" x14ac:dyDescent="0.25">
      <c r="C287">
        <v>118</v>
      </c>
      <c r="D287" t="str">
        <f t="shared" si="161"/>
        <v/>
      </c>
      <c r="E287" s="24" t="str">
        <f t="shared" ref="E287:T287" si="206">E223</f>
        <v/>
      </c>
      <c r="F287" s="24" t="str">
        <f t="shared" si="206"/>
        <v/>
      </c>
      <c r="G287" s="24" t="str">
        <f t="shared" si="206"/>
        <v/>
      </c>
      <c r="H287" s="24" t="str">
        <f t="shared" si="206"/>
        <v/>
      </c>
      <c r="I287" s="24" t="str">
        <f t="shared" si="206"/>
        <v/>
      </c>
      <c r="J287" s="24" t="str">
        <f t="shared" si="206"/>
        <v/>
      </c>
      <c r="K287" s="24" t="str">
        <f t="shared" si="206"/>
        <v/>
      </c>
      <c r="L287" s="24" t="str">
        <f t="shared" si="206"/>
        <v/>
      </c>
      <c r="M287" s="24" t="str">
        <f t="shared" si="206"/>
        <v/>
      </c>
      <c r="N287" s="24" t="str">
        <f t="shared" si="206"/>
        <v/>
      </c>
      <c r="O287" s="24" t="str">
        <f t="shared" si="206"/>
        <v/>
      </c>
      <c r="P287" s="24" t="str">
        <f t="shared" si="206"/>
        <v/>
      </c>
      <c r="Q287" s="24" t="str">
        <f t="shared" si="206"/>
        <v/>
      </c>
      <c r="R287" s="24" t="str">
        <f t="shared" si="206"/>
        <v/>
      </c>
      <c r="S287" s="24" t="str">
        <f t="shared" si="206"/>
        <v/>
      </c>
      <c r="T287" s="24" t="str">
        <f t="shared" si="206"/>
        <v/>
      </c>
      <c r="X287" s="246" t="str">
        <f t="shared" ref="X287:AM287" si="207">X223</f>
        <v/>
      </c>
      <c r="Y287" s="9" t="str">
        <f t="shared" si="207"/>
        <v/>
      </c>
      <c r="Z287" s="9" t="str">
        <f t="shared" si="207"/>
        <v/>
      </c>
      <c r="AA287" s="9" t="str">
        <f t="shared" si="207"/>
        <v/>
      </c>
      <c r="AB287" s="9" t="str">
        <f t="shared" si="207"/>
        <v/>
      </c>
      <c r="AC287" s="9" t="str">
        <f t="shared" si="207"/>
        <v/>
      </c>
      <c r="AD287" s="9" t="str">
        <f t="shared" si="207"/>
        <v/>
      </c>
      <c r="AE287" s="247" t="str">
        <f t="shared" si="207"/>
        <v/>
      </c>
      <c r="AF287" s="25" t="str">
        <f t="shared" si="207"/>
        <v/>
      </c>
      <c r="AG287" s="25" t="str">
        <f t="shared" si="207"/>
        <v/>
      </c>
      <c r="AH287" s="25" t="str">
        <f t="shared" si="207"/>
        <v/>
      </c>
      <c r="AI287" s="25" t="str">
        <f t="shared" si="207"/>
        <v/>
      </c>
      <c r="AJ287" s="25" t="str">
        <f t="shared" si="207"/>
        <v/>
      </c>
      <c r="AK287" s="25" t="str">
        <f t="shared" si="207"/>
        <v/>
      </c>
      <c r="AL287" s="25" t="str">
        <f t="shared" si="207"/>
        <v/>
      </c>
      <c r="AM287" s="25" t="str">
        <f t="shared" si="207"/>
        <v/>
      </c>
      <c r="AQ287" s="9" t="str">
        <f t="shared" si="201"/>
        <v/>
      </c>
      <c r="AR287" s="9" t="str">
        <f t="shared" si="201"/>
        <v/>
      </c>
      <c r="AS287" s="9" t="str">
        <f t="shared" si="201"/>
        <v/>
      </c>
      <c r="AT287" s="9" t="str">
        <f t="shared" si="201"/>
        <v/>
      </c>
      <c r="AU287" s="9" t="str">
        <f t="shared" si="201"/>
        <v/>
      </c>
      <c r="AV287" s="9" t="str">
        <f t="shared" si="201"/>
        <v/>
      </c>
      <c r="AW287" s="9" t="str">
        <f t="shared" si="201"/>
        <v/>
      </c>
      <c r="AX287" s="9" t="str">
        <f t="shared" si="201"/>
        <v/>
      </c>
    </row>
    <row r="288" spans="3:50" hidden="1" x14ac:dyDescent="0.25">
      <c r="C288">
        <v>119</v>
      </c>
      <c r="D288" t="str">
        <f t="shared" si="161"/>
        <v/>
      </c>
      <c r="E288" s="24" t="str">
        <f t="shared" ref="E288:T288" si="208">E224</f>
        <v/>
      </c>
      <c r="F288" s="24" t="str">
        <f t="shared" si="208"/>
        <v/>
      </c>
      <c r="G288" s="24" t="str">
        <f t="shared" si="208"/>
        <v/>
      </c>
      <c r="H288" s="24" t="str">
        <f t="shared" si="208"/>
        <v/>
      </c>
      <c r="I288" s="24" t="str">
        <f t="shared" si="208"/>
        <v/>
      </c>
      <c r="J288" s="24" t="str">
        <f t="shared" si="208"/>
        <v/>
      </c>
      <c r="K288" s="24" t="str">
        <f t="shared" si="208"/>
        <v/>
      </c>
      <c r="L288" s="24" t="str">
        <f t="shared" si="208"/>
        <v/>
      </c>
      <c r="M288" s="24" t="str">
        <f t="shared" si="208"/>
        <v/>
      </c>
      <c r="N288" s="24" t="str">
        <f t="shared" si="208"/>
        <v/>
      </c>
      <c r="O288" s="24" t="str">
        <f t="shared" si="208"/>
        <v/>
      </c>
      <c r="P288" s="24" t="str">
        <f t="shared" si="208"/>
        <v/>
      </c>
      <c r="Q288" s="24" t="str">
        <f t="shared" si="208"/>
        <v/>
      </c>
      <c r="R288" s="24" t="str">
        <f t="shared" si="208"/>
        <v/>
      </c>
      <c r="S288" s="24" t="str">
        <f t="shared" si="208"/>
        <v/>
      </c>
      <c r="T288" s="24" t="str">
        <f t="shared" si="208"/>
        <v/>
      </c>
      <c r="X288" s="246" t="str">
        <f t="shared" ref="X288:AM288" si="209">X224</f>
        <v/>
      </c>
      <c r="Y288" s="9" t="str">
        <f t="shared" si="209"/>
        <v/>
      </c>
      <c r="Z288" s="9" t="str">
        <f t="shared" si="209"/>
        <v/>
      </c>
      <c r="AA288" s="9" t="str">
        <f t="shared" si="209"/>
        <v/>
      </c>
      <c r="AB288" s="9" t="str">
        <f t="shared" si="209"/>
        <v/>
      </c>
      <c r="AC288" s="9" t="str">
        <f t="shared" si="209"/>
        <v/>
      </c>
      <c r="AD288" s="9" t="str">
        <f t="shared" si="209"/>
        <v/>
      </c>
      <c r="AE288" s="247" t="str">
        <f t="shared" si="209"/>
        <v/>
      </c>
      <c r="AF288" s="25" t="str">
        <f t="shared" si="209"/>
        <v/>
      </c>
      <c r="AG288" s="25" t="str">
        <f t="shared" si="209"/>
        <v/>
      </c>
      <c r="AH288" s="25" t="str">
        <f t="shared" si="209"/>
        <v/>
      </c>
      <c r="AI288" s="25" t="str">
        <f t="shared" si="209"/>
        <v/>
      </c>
      <c r="AJ288" s="25" t="str">
        <f t="shared" si="209"/>
        <v/>
      </c>
      <c r="AK288" s="25" t="str">
        <f t="shared" si="209"/>
        <v/>
      </c>
      <c r="AL288" s="25" t="str">
        <f t="shared" si="209"/>
        <v/>
      </c>
      <c r="AM288" s="25" t="str">
        <f t="shared" si="209"/>
        <v/>
      </c>
      <c r="AQ288" s="9" t="str">
        <f t="shared" si="201"/>
        <v/>
      </c>
      <c r="AR288" s="9" t="str">
        <f t="shared" si="201"/>
        <v/>
      </c>
      <c r="AS288" s="9" t="str">
        <f t="shared" si="201"/>
        <v/>
      </c>
      <c r="AT288" s="9" t="str">
        <f t="shared" si="201"/>
        <v/>
      </c>
      <c r="AU288" s="9" t="str">
        <f t="shared" si="201"/>
        <v/>
      </c>
      <c r="AV288" s="9" t="str">
        <f t="shared" si="201"/>
        <v/>
      </c>
      <c r="AW288" s="9" t="str">
        <f t="shared" si="201"/>
        <v/>
      </c>
      <c r="AX288" s="9" t="str">
        <f t="shared" si="201"/>
        <v/>
      </c>
    </row>
    <row r="289" spans="3:50" hidden="1" x14ac:dyDescent="0.25">
      <c r="C289">
        <v>120</v>
      </c>
      <c r="D289" t="str">
        <f t="shared" si="161"/>
        <v/>
      </c>
      <c r="E289" s="24" t="str">
        <f t="shared" ref="E289:T289" si="210">E225</f>
        <v/>
      </c>
      <c r="F289" s="24" t="str">
        <f t="shared" si="210"/>
        <v/>
      </c>
      <c r="G289" s="24" t="str">
        <f t="shared" si="210"/>
        <v/>
      </c>
      <c r="H289" s="24" t="str">
        <f t="shared" si="210"/>
        <v/>
      </c>
      <c r="I289" s="24" t="str">
        <f t="shared" si="210"/>
        <v/>
      </c>
      <c r="J289" s="24" t="str">
        <f t="shared" si="210"/>
        <v/>
      </c>
      <c r="K289" s="24" t="str">
        <f t="shared" si="210"/>
        <v/>
      </c>
      <c r="L289" s="24" t="str">
        <f t="shared" si="210"/>
        <v/>
      </c>
      <c r="M289" s="24" t="str">
        <f t="shared" si="210"/>
        <v/>
      </c>
      <c r="N289" s="24" t="str">
        <f t="shared" si="210"/>
        <v/>
      </c>
      <c r="O289" s="24" t="str">
        <f t="shared" si="210"/>
        <v/>
      </c>
      <c r="P289" s="24" t="str">
        <f t="shared" si="210"/>
        <v/>
      </c>
      <c r="Q289" s="24" t="str">
        <f t="shared" si="210"/>
        <v/>
      </c>
      <c r="R289" s="24" t="str">
        <f t="shared" si="210"/>
        <v/>
      </c>
      <c r="S289" s="24" t="str">
        <f t="shared" si="210"/>
        <v/>
      </c>
      <c r="T289" s="24" t="str">
        <f t="shared" si="210"/>
        <v/>
      </c>
      <c r="X289" s="246" t="str">
        <f t="shared" ref="X289:AM289" si="211">X225</f>
        <v/>
      </c>
      <c r="Y289" s="9" t="str">
        <f t="shared" si="211"/>
        <v/>
      </c>
      <c r="Z289" s="9" t="str">
        <f t="shared" si="211"/>
        <v/>
      </c>
      <c r="AA289" s="9" t="str">
        <f t="shared" si="211"/>
        <v/>
      </c>
      <c r="AB289" s="9" t="str">
        <f t="shared" si="211"/>
        <v/>
      </c>
      <c r="AC289" s="9" t="str">
        <f t="shared" si="211"/>
        <v/>
      </c>
      <c r="AD289" s="9" t="str">
        <f t="shared" si="211"/>
        <v/>
      </c>
      <c r="AE289" s="247" t="str">
        <f t="shared" si="211"/>
        <v/>
      </c>
      <c r="AF289" s="25" t="str">
        <f t="shared" si="211"/>
        <v/>
      </c>
      <c r="AG289" s="25" t="str">
        <f t="shared" si="211"/>
        <v/>
      </c>
      <c r="AH289" s="25" t="str">
        <f t="shared" si="211"/>
        <v/>
      </c>
      <c r="AI289" s="25" t="str">
        <f t="shared" si="211"/>
        <v/>
      </c>
      <c r="AJ289" s="25" t="str">
        <f t="shared" si="211"/>
        <v/>
      </c>
      <c r="AK289" s="25" t="str">
        <f t="shared" si="211"/>
        <v/>
      </c>
      <c r="AL289" s="25" t="str">
        <f t="shared" si="211"/>
        <v/>
      </c>
      <c r="AM289" s="25" t="str">
        <f t="shared" si="211"/>
        <v/>
      </c>
      <c r="AQ289" s="9" t="str">
        <f t="shared" si="201"/>
        <v/>
      </c>
      <c r="AR289" s="9" t="str">
        <f t="shared" si="201"/>
        <v/>
      </c>
      <c r="AS289" s="9" t="str">
        <f t="shared" si="201"/>
        <v/>
      </c>
      <c r="AT289" s="9" t="str">
        <f t="shared" si="201"/>
        <v/>
      </c>
      <c r="AU289" s="9" t="str">
        <f t="shared" si="201"/>
        <v/>
      </c>
      <c r="AV289" s="9" t="str">
        <f t="shared" si="201"/>
        <v/>
      </c>
      <c r="AW289" s="9" t="str">
        <f t="shared" si="201"/>
        <v/>
      </c>
      <c r="AX289" s="9" t="str">
        <f t="shared" si="201"/>
        <v/>
      </c>
    </row>
    <row r="290" spans="3:50" hidden="1" x14ac:dyDescent="0.25">
      <c r="C290">
        <v>121</v>
      </c>
      <c r="D290" t="str">
        <f t="shared" si="161"/>
        <v/>
      </c>
      <c r="E290" s="24" t="str">
        <f t="shared" ref="E290:T290" si="212">E226</f>
        <v/>
      </c>
      <c r="F290" s="24" t="str">
        <f t="shared" si="212"/>
        <v/>
      </c>
      <c r="G290" s="24" t="str">
        <f t="shared" si="212"/>
        <v/>
      </c>
      <c r="H290" s="24" t="str">
        <f t="shared" si="212"/>
        <v/>
      </c>
      <c r="I290" s="24" t="str">
        <f t="shared" si="212"/>
        <v/>
      </c>
      <c r="J290" s="24" t="str">
        <f t="shared" si="212"/>
        <v/>
      </c>
      <c r="K290" s="24" t="str">
        <f t="shared" si="212"/>
        <v/>
      </c>
      <c r="L290" s="24" t="str">
        <f t="shared" si="212"/>
        <v/>
      </c>
      <c r="M290" s="24" t="str">
        <f t="shared" si="212"/>
        <v/>
      </c>
      <c r="N290" s="24" t="str">
        <f t="shared" si="212"/>
        <v/>
      </c>
      <c r="O290" s="24" t="str">
        <f t="shared" si="212"/>
        <v/>
      </c>
      <c r="P290" s="24" t="str">
        <f t="shared" si="212"/>
        <v/>
      </c>
      <c r="Q290" s="24" t="str">
        <f t="shared" si="212"/>
        <v/>
      </c>
      <c r="R290" s="24" t="str">
        <f t="shared" si="212"/>
        <v/>
      </c>
      <c r="S290" s="24" t="str">
        <f t="shared" si="212"/>
        <v/>
      </c>
      <c r="T290" s="24" t="str">
        <f t="shared" si="212"/>
        <v/>
      </c>
      <c r="X290" s="246" t="str">
        <f t="shared" ref="X290:AM290" si="213">X226</f>
        <v/>
      </c>
      <c r="Y290" s="9" t="str">
        <f t="shared" si="213"/>
        <v/>
      </c>
      <c r="Z290" s="9" t="str">
        <f t="shared" si="213"/>
        <v/>
      </c>
      <c r="AA290" s="9" t="str">
        <f t="shared" si="213"/>
        <v/>
      </c>
      <c r="AB290" s="9" t="str">
        <f t="shared" si="213"/>
        <v/>
      </c>
      <c r="AC290" s="9" t="str">
        <f t="shared" si="213"/>
        <v/>
      </c>
      <c r="AD290" s="9" t="str">
        <f t="shared" si="213"/>
        <v/>
      </c>
      <c r="AE290" s="247" t="str">
        <f t="shared" si="213"/>
        <v/>
      </c>
      <c r="AF290" s="25" t="str">
        <f t="shared" si="213"/>
        <v/>
      </c>
      <c r="AG290" s="25" t="str">
        <f t="shared" si="213"/>
        <v/>
      </c>
      <c r="AH290" s="25" t="str">
        <f t="shared" si="213"/>
        <v/>
      </c>
      <c r="AI290" s="25" t="str">
        <f t="shared" si="213"/>
        <v/>
      </c>
      <c r="AJ290" s="25" t="str">
        <f t="shared" si="213"/>
        <v/>
      </c>
      <c r="AK290" s="25" t="str">
        <f t="shared" si="213"/>
        <v/>
      </c>
      <c r="AL290" s="25" t="str">
        <f t="shared" si="213"/>
        <v/>
      </c>
      <c r="AM290" s="25" t="str">
        <f t="shared" si="213"/>
        <v/>
      </c>
      <c r="AQ290" s="9" t="str">
        <f t="shared" si="201"/>
        <v/>
      </c>
      <c r="AR290" s="9" t="str">
        <f t="shared" si="201"/>
        <v/>
      </c>
      <c r="AS290" s="9" t="str">
        <f t="shared" si="201"/>
        <v/>
      </c>
      <c r="AT290" s="9" t="str">
        <f t="shared" si="201"/>
        <v/>
      </c>
      <c r="AU290" s="9" t="str">
        <f t="shared" si="201"/>
        <v/>
      </c>
      <c r="AV290" s="9" t="str">
        <f t="shared" si="201"/>
        <v/>
      </c>
      <c r="AW290" s="9" t="str">
        <f t="shared" si="201"/>
        <v/>
      </c>
      <c r="AX290" s="9" t="str">
        <f t="shared" si="201"/>
        <v/>
      </c>
    </row>
    <row r="291" spans="3:50" hidden="1" x14ac:dyDescent="0.25">
      <c r="C291">
        <v>122</v>
      </c>
      <c r="D291" t="str">
        <f t="shared" si="161"/>
        <v/>
      </c>
      <c r="E291" s="24" t="str">
        <f t="shared" ref="E291:T291" si="214">E227</f>
        <v/>
      </c>
      <c r="F291" s="24" t="str">
        <f t="shared" si="214"/>
        <v/>
      </c>
      <c r="G291" s="24" t="str">
        <f t="shared" si="214"/>
        <v/>
      </c>
      <c r="H291" s="24" t="str">
        <f t="shared" si="214"/>
        <v/>
      </c>
      <c r="I291" s="24" t="str">
        <f t="shared" si="214"/>
        <v/>
      </c>
      <c r="J291" s="24" t="str">
        <f t="shared" si="214"/>
        <v/>
      </c>
      <c r="K291" s="24" t="str">
        <f t="shared" si="214"/>
        <v/>
      </c>
      <c r="L291" s="24" t="str">
        <f t="shared" si="214"/>
        <v/>
      </c>
      <c r="M291" s="24" t="str">
        <f t="shared" si="214"/>
        <v/>
      </c>
      <c r="N291" s="24" t="str">
        <f t="shared" si="214"/>
        <v/>
      </c>
      <c r="O291" s="24" t="str">
        <f t="shared" si="214"/>
        <v/>
      </c>
      <c r="P291" s="24" t="str">
        <f t="shared" si="214"/>
        <v/>
      </c>
      <c r="Q291" s="24" t="str">
        <f t="shared" si="214"/>
        <v/>
      </c>
      <c r="R291" s="24" t="str">
        <f t="shared" si="214"/>
        <v/>
      </c>
      <c r="S291" s="24" t="str">
        <f t="shared" si="214"/>
        <v/>
      </c>
      <c r="T291" s="24" t="str">
        <f t="shared" si="214"/>
        <v/>
      </c>
      <c r="X291" s="246" t="str">
        <f t="shared" ref="X291:AM291" si="215">X227</f>
        <v/>
      </c>
      <c r="Y291" s="9" t="str">
        <f t="shared" si="215"/>
        <v/>
      </c>
      <c r="Z291" s="9" t="str">
        <f t="shared" si="215"/>
        <v/>
      </c>
      <c r="AA291" s="9" t="str">
        <f t="shared" si="215"/>
        <v/>
      </c>
      <c r="AB291" s="9" t="str">
        <f t="shared" si="215"/>
        <v/>
      </c>
      <c r="AC291" s="9" t="str">
        <f t="shared" si="215"/>
        <v/>
      </c>
      <c r="AD291" s="9" t="str">
        <f t="shared" si="215"/>
        <v/>
      </c>
      <c r="AE291" s="247" t="str">
        <f t="shared" si="215"/>
        <v/>
      </c>
      <c r="AF291" s="25" t="str">
        <f t="shared" si="215"/>
        <v/>
      </c>
      <c r="AG291" s="25" t="str">
        <f t="shared" si="215"/>
        <v/>
      </c>
      <c r="AH291" s="25" t="str">
        <f t="shared" si="215"/>
        <v/>
      </c>
      <c r="AI291" s="25" t="str">
        <f t="shared" si="215"/>
        <v/>
      </c>
      <c r="AJ291" s="25" t="str">
        <f t="shared" si="215"/>
        <v/>
      </c>
      <c r="AK291" s="25" t="str">
        <f t="shared" si="215"/>
        <v/>
      </c>
      <c r="AL291" s="25" t="str">
        <f t="shared" si="215"/>
        <v/>
      </c>
      <c r="AM291" s="25" t="str">
        <f t="shared" si="215"/>
        <v/>
      </c>
      <c r="AQ291" s="9" t="str">
        <f t="shared" si="201"/>
        <v/>
      </c>
      <c r="AR291" s="9" t="str">
        <f t="shared" si="201"/>
        <v/>
      </c>
      <c r="AS291" s="9" t="str">
        <f t="shared" si="201"/>
        <v/>
      </c>
      <c r="AT291" s="9" t="str">
        <f t="shared" si="201"/>
        <v/>
      </c>
      <c r="AU291" s="9" t="str">
        <f t="shared" si="201"/>
        <v/>
      </c>
      <c r="AV291" s="9" t="str">
        <f t="shared" si="201"/>
        <v/>
      </c>
      <c r="AW291" s="9" t="str">
        <f t="shared" si="201"/>
        <v/>
      </c>
      <c r="AX291" s="9" t="str">
        <f t="shared" si="201"/>
        <v/>
      </c>
    </row>
    <row r="292" spans="3:50" hidden="1" x14ac:dyDescent="0.25">
      <c r="C292">
        <v>123</v>
      </c>
      <c r="D292" t="str">
        <f t="shared" si="161"/>
        <v/>
      </c>
      <c r="E292" s="24" t="str">
        <f t="shared" ref="E292:T292" si="216">E228</f>
        <v/>
      </c>
      <c r="F292" s="24" t="str">
        <f t="shared" si="216"/>
        <v/>
      </c>
      <c r="G292" s="24" t="str">
        <f t="shared" si="216"/>
        <v/>
      </c>
      <c r="H292" s="24" t="str">
        <f t="shared" si="216"/>
        <v/>
      </c>
      <c r="I292" s="24" t="str">
        <f t="shared" si="216"/>
        <v/>
      </c>
      <c r="J292" s="24" t="str">
        <f t="shared" si="216"/>
        <v/>
      </c>
      <c r="K292" s="24" t="str">
        <f t="shared" si="216"/>
        <v/>
      </c>
      <c r="L292" s="24" t="str">
        <f t="shared" si="216"/>
        <v/>
      </c>
      <c r="M292" s="24" t="str">
        <f t="shared" si="216"/>
        <v/>
      </c>
      <c r="N292" s="24" t="str">
        <f t="shared" si="216"/>
        <v/>
      </c>
      <c r="O292" s="24" t="str">
        <f t="shared" si="216"/>
        <v/>
      </c>
      <c r="P292" s="24" t="str">
        <f t="shared" si="216"/>
        <v/>
      </c>
      <c r="Q292" s="24" t="str">
        <f t="shared" si="216"/>
        <v/>
      </c>
      <c r="R292" s="24" t="str">
        <f t="shared" si="216"/>
        <v/>
      </c>
      <c r="S292" s="24" t="str">
        <f t="shared" si="216"/>
        <v/>
      </c>
      <c r="T292" s="24" t="str">
        <f t="shared" si="216"/>
        <v/>
      </c>
      <c r="X292" s="246" t="str">
        <f t="shared" ref="X292:AM292" si="217">X228</f>
        <v/>
      </c>
      <c r="Y292" s="9" t="str">
        <f t="shared" si="217"/>
        <v/>
      </c>
      <c r="Z292" s="9" t="str">
        <f t="shared" si="217"/>
        <v/>
      </c>
      <c r="AA292" s="9" t="str">
        <f t="shared" si="217"/>
        <v/>
      </c>
      <c r="AB292" s="9" t="str">
        <f t="shared" si="217"/>
        <v/>
      </c>
      <c r="AC292" s="9" t="str">
        <f t="shared" si="217"/>
        <v/>
      </c>
      <c r="AD292" s="9" t="str">
        <f t="shared" si="217"/>
        <v/>
      </c>
      <c r="AE292" s="247" t="str">
        <f t="shared" si="217"/>
        <v/>
      </c>
      <c r="AF292" s="25" t="str">
        <f t="shared" si="217"/>
        <v/>
      </c>
      <c r="AG292" s="25" t="str">
        <f t="shared" si="217"/>
        <v/>
      </c>
      <c r="AH292" s="25" t="str">
        <f t="shared" si="217"/>
        <v/>
      </c>
      <c r="AI292" s="25" t="str">
        <f t="shared" si="217"/>
        <v/>
      </c>
      <c r="AJ292" s="25" t="str">
        <f t="shared" si="217"/>
        <v/>
      </c>
      <c r="AK292" s="25" t="str">
        <f t="shared" si="217"/>
        <v/>
      </c>
      <c r="AL292" s="25" t="str">
        <f t="shared" si="217"/>
        <v/>
      </c>
      <c r="AM292" s="25" t="str">
        <f t="shared" si="217"/>
        <v/>
      </c>
      <c r="AQ292" s="9" t="str">
        <f t="shared" si="201"/>
        <v/>
      </c>
      <c r="AR292" s="9" t="str">
        <f t="shared" si="201"/>
        <v/>
      </c>
      <c r="AS292" s="9" t="str">
        <f t="shared" si="201"/>
        <v/>
      </c>
      <c r="AT292" s="9" t="str">
        <f t="shared" si="201"/>
        <v/>
      </c>
      <c r="AU292" s="9" t="str">
        <f t="shared" si="201"/>
        <v/>
      </c>
      <c r="AV292" s="9" t="str">
        <f t="shared" si="201"/>
        <v/>
      </c>
      <c r="AW292" s="9" t="str">
        <f t="shared" si="201"/>
        <v/>
      </c>
      <c r="AX292" s="9" t="str">
        <f t="shared" si="201"/>
        <v/>
      </c>
    </row>
    <row r="293" spans="3:50" hidden="1" x14ac:dyDescent="0.25">
      <c r="C293">
        <v>124</v>
      </c>
      <c r="D293" t="str">
        <f t="shared" si="161"/>
        <v/>
      </c>
      <c r="E293" s="24" t="str">
        <f t="shared" ref="E293:T293" si="218">E229</f>
        <v/>
      </c>
      <c r="F293" s="24" t="str">
        <f t="shared" si="218"/>
        <v/>
      </c>
      <c r="G293" s="24" t="str">
        <f t="shared" si="218"/>
        <v/>
      </c>
      <c r="H293" s="24" t="str">
        <f t="shared" si="218"/>
        <v/>
      </c>
      <c r="I293" s="24" t="str">
        <f t="shared" si="218"/>
        <v/>
      </c>
      <c r="J293" s="24" t="str">
        <f t="shared" si="218"/>
        <v/>
      </c>
      <c r="K293" s="24" t="str">
        <f t="shared" si="218"/>
        <v/>
      </c>
      <c r="L293" s="24" t="str">
        <f t="shared" si="218"/>
        <v/>
      </c>
      <c r="M293" s="24" t="str">
        <f t="shared" si="218"/>
        <v/>
      </c>
      <c r="N293" s="24" t="str">
        <f t="shared" si="218"/>
        <v/>
      </c>
      <c r="O293" s="24" t="str">
        <f t="shared" si="218"/>
        <v/>
      </c>
      <c r="P293" s="24" t="str">
        <f t="shared" si="218"/>
        <v/>
      </c>
      <c r="Q293" s="24" t="str">
        <f t="shared" si="218"/>
        <v/>
      </c>
      <c r="R293" s="24" t="str">
        <f t="shared" si="218"/>
        <v/>
      </c>
      <c r="S293" s="24" t="str">
        <f t="shared" si="218"/>
        <v/>
      </c>
      <c r="T293" s="24" t="str">
        <f t="shared" si="218"/>
        <v/>
      </c>
      <c r="X293" s="246" t="str">
        <f t="shared" ref="X293:AM293" si="219">X229</f>
        <v/>
      </c>
      <c r="Y293" s="9" t="str">
        <f t="shared" si="219"/>
        <v/>
      </c>
      <c r="Z293" s="9" t="str">
        <f t="shared" si="219"/>
        <v/>
      </c>
      <c r="AA293" s="9" t="str">
        <f t="shared" si="219"/>
        <v/>
      </c>
      <c r="AB293" s="9" t="str">
        <f t="shared" si="219"/>
        <v/>
      </c>
      <c r="AC293" s="9" t="str">
        <f t="shared" si="219"/>
        <v/>
      </c>
      <c r="AD293" s="9" t="str">
        <f t="shared" si="219"/>
        <v/>
      </c>
      <c r="AE293" s="247" t="str">
        <f t="shared" si="219"/>
        <v/>
      </c>
      <c r="AF293" s="25" t="str">
        <f t="shared" si="219"/>
        <v/>
      </c>
      <c r="AG293" s="25" t="str">
        <f t="shared" si="219"/>
        <v/>
      </c>
      <c r="AH293" s="25" t="str">
        <f t="shared" si="219"/>
        <v/>
      </c>
      <c r="AI293" s="25" t="str">
        <f t="shared" si="219"/>
        <v/>
      </c>
      <c r="AJ293" s="25" t="str">
        <f t="shared" si="219"/>
        <v/>
      </c>
      <c r="AK293" s="25" t="str">
        <f t="shared" si="219"/>
        <v/>
      </c>
      <c r="AL293" s="25" t="str">
        <f t="shared" si="219"/>
        <v/>
      </c>
      <c r="AM293" s="25" t="str">
        <f t="shared" si="219"/>
        <v/>
      </c>
      <c r="AQ293" s="9" t="str">
        <f t="shared" si="201"/>
        <v/>
      </c>
      <c r="AR293" s="9" t="str">
        <f t="shared" si="201"/>
        <v/>
      </c>
      <c r="AS293" s="9" t="str">
        <f t="shared" si="201"/>
        <v/>
      </c>
      <c r="AT293" s="9" t="str">
        <f t="shared" si="201"/>
        <v/>
      </c>
      <c r="AU293" s="9" t="str">
        <f t="shared" si="201"/>
        <v/>
      </c>
      <c r="AV293" s="9" t="str">
        <f t="shared" si="201"/>
        <v/>
      </c>
      <c r="AW293" s="9" t="str">
        <f t="shared" si="201"/>
        <v/>
      </c>
      <c r="AX293" s="9" t="str">
        <f t="shared" si="201"/>
        <v/>
      </c>
    </row>
    <row r="294" spans="3:50" hidden="1" x14ac:dyDescent="0.25">
      <c r="C294">
        <v>125</v>
      </c>
      <c r="D294" t="str">
        <f t="shared" si="161"/>
        <v/>
      </c>
      <c r="E294" s="24" t="str">
        <f t="shared" ref="E294:T294" si="220">E230</f>
        <v/>
      </c>
      <c r="F294" s="24" t="str">
        <f t="shared" si="220"/>
        <v/>
      </c>
      <c r="G294" s="24" t="str">
        <f t="shared" si="220"/>
        <v/>
      </c>
      <c r="H294" s="24" t="str">
        <f t="shared" si="220"/>
        <v/>
      </c>
      <c r="I294" s="24" t="str">
        <f t="shared" si="220"/>
        <v/>
      </c>
      <c r="J294" s="24" t="str">
        <f t="shared" si="220"/>
        <v/>
      </c>
      <c r="K294" s="24" t="str">
        <f t="shared" si="220"/>
        <v/>
      </c>
      <c r="L294" s="24" t="str">
        <f t="shared" si="220"/>
        <v/>
      </c>
      <c r="M294" s="24" t="str">
        <f t="shared" si="220"/>
        <v/>
      </c>
      <c r="N294" s="24" t="str">
        <f t="shared" si="220"/>
        <v/>
      </c>
      <c r="O294" s="24" t="str">
        <f t="shared" si="220"/>
        <v/>
      </c>
      <c r="P294" s="24" t="str">
        <f t="shared" si="220"/>
        <v/>
      </c>
      <c r="Q294" s="24" t="str">
        <f t="shared" si="220"/>
        <v/>
      </c>
      <c r="R294" s="24" t="str">
        <f t="shared" si="220"/>
        <v/>
      </c>
      <c r="S294" s="24" t="str">
        <f t="shared" si="220"/>
        <v/>
      </c>
      <c r="T294" s="24" t="str">
        <f t="shared" si="220"/>
        <v/>
      </c>
      <c r="X294" s="246" t="str">
        <f t="shared" ref="X294:AM294" si="221">X230</f>
        <v/>
      </c>
      <c r="Y294" s="9" t="str">
        <f t="shared" si="221"/>
        <v/>
      </c>
      <c r="Z294" s="9" t="str">
        <f t="shared" si="221"/>
        <v/>
      </c>
      <c r="AA294" s="9" t="str">
        <f t="shared" si="221"/>
        <v/>
      </c>
      <c r="AB294" s="9" t="str">
        <f t="shared" si="221"/>
        <v/>
      </c>
      <c r="AC294" s="9" t="str">
        <f t="shared" si="221"/>
        <v/>
      </c>
      <c r="AD294" s="9" t="str">
        <f t="shared" si="221"/>
        <v/>
      </c>
      <c r="AE294" s="247" t="str">
        <f t="shared" si="221"/>
        <v/>
      </c>
      <c r="AF294" s="25" t="str">
        <f t="shared" si="221"/>
        <v/>
      </c>
      <c r="AG294" s="25" t="str">
        <f t="shared" si="221"/>
        <v/>
      </c>
      <c r="AH294" s="25" t="str">
        <f t="shared" si="221"/>
        <v/>
      </c>
      <c r="AI294" s="25" t="str">
        <f t="shared" si="221"/>
        <v/>
      </c>
      <c r="AJ294" s="25" t="str">
        <f t="shared" si="221"/>
        <v/>
      </c>
      <c r="AK294" s="25" t="str">
        <f t="shared" si="221"/>
        <v/>
      </c>
      <c r="AL294" s="25" t="str">
        <f t="shared" si="221"/>
        <v/>
      </c>
      <c r="AM294" s="25" t="str">
        <f t="shared" si="221"/>
        <v/>
      </c>
      <c r="AQ294" s="9" t="str">
        <f t="shared" ref="AQ294:AX303" si="222">AQ230</f>
        <v/>
      </c>
      <c r="AR294" s="9" t="str">
        <f t="shared" si="222"/>
        <v/>
      </c>
      <c r="AS294" s="9" t="str">
        <f t="shared" si="222"/>
        <v/>
      </c>
      <c r="AT294" s="9" t="str">
        <f t="shared" si="222"/>
        <v/>
      </c>
      <c r="AU294" s="9" t="str">
        <f t="shared" si="222"/>
        <v/>
      </c>
      <c r="AV294" s="9" t="str">
        <f t="shared" si="222"/>
        <v/>
      </c>
      <c r="AW294" s="9" t="str">
        <f t="shared" si="222"/>
        <v/>
      </c>
      <c r="AX294" s="9" t="str">
        <f t="shared" si="222"/>
        <v/>
      </c>
    </row>
    <row r="295" spans="3:50" hidden="1" x14ac:dyDescent="0.25">
      <c r="C295">
        <v>126</v>
      </c>
      <c r="D295" t="str">
        <f t="shared" si="161"/>
        <v/>
      </c>
      <c r="E295" s="24" t="str">
        <f t="shared" ref="E295:T295" si="223">E231</f>
        <v/>
      </c>
      <c r="F295" s="24" t="str">
        <f t="shared" si="223"/>
        <v/>
      </c>
      <c r="G295" s="24" t="str">
        <f t="shared" si="223"/>
        <v/>
      </c>
      <c r="H295" s="24" t="str">
        <f t="shared" si="223"/>
        <v/>
      </c>
      <c r="I295" s="24" t="str">
        <f t="shared" si="223"/>
        <v/>
      </c>
      <c r="J295" s="24" t="str">
        <f t="shared" si="223"/>
        <v/>
      </c>
      <c r="K295" s="24" t="str">
        <f t="shared" si="223"/>
        <v/>
      </c>
      <c r="L295" s="24" t="str">
        <f t="shared" si="223"/>
        <v/>
      </c>
      <c r="M295" s="24" t="str">
        <f t="shared" si="223"/>
        <v/>
      </c>
      <c r="N295" s="24" t="str">
        <f t="shared" si="223"/>
        <v/>
      </c>
      <c r="O295" s="24" t="str">
        <f t="shared" si="223"/>
        <v/>
      </c>
      <c r="P295" s="24" t="str">
        <f t="shared" si="223"/>
        <v/>
      </c>
      <c r="Q295" s="24" t="str">
        <f t="shared" si="223"/>
        <v/>
      </c>
      <c r="R295" s="24" t="str">
        <f t="shared" si="223"/>
        <v/>
      </c>
      <c r="S295" s="24" t="str">
        <f t="shared" si="223"/>
        <v/>
      </c>
      <c r="T295" s="24" t="str">
        <f t="shared" si="223"/>
        <v/>
      </c>
      <c r="X295" s="246" t="str">
        <f t="shared" ref="X295:AM295" si="224">X231</f>
        <v/>
      </c>
      <c r="Y295" s="9" t="str">
        <f t="shared" si="224"/>
        <v/>
      </c>
      <c r="Z295" s="9" t="str">
        <f t="shared" si="224"/>
        <v/>
      </c>
      <c r="AA295" s="9" t="str">
        <f t="shared" si="224"/>
        <v/>
      </c>
      <c r="AB295" s="9" t="str">
        <f t="shared" si="224"/>
        <v/>
      </c>
      <c r="AC295" s="9" t="str">
        <f t="shared" si="224"/>
        <v/>
      </c>
      <c r="AD295" s="9" t="str">
        <f t="shared" si="224"/>
        <v/>
      </c>
      <c r="AE295" s="247" t="str">
        <f t="shared" si="224"/>
        <v/>
      </c>
      <c r="AF295" s="25" t="str">
        <f t="shared" si="224"/>
        <v/>
      </c>
      <c r="AG295" s="25" t="str">
        <f t="shared" si="224"/>
        <v/>
      </c>
      <c r="AH295" s="25" t="str">
        <f t="shared" si="224"/>
        <v/>
      </c>
      <c r="AI295" s="25" t="str">
        <f t="shared" si="224"/>
        <v/>
      </c>
      <c r="AJ295" s="25" t="str">
        <f t="shared" si="224"/>
        <v/>
      </c>
      <c r="AK295" s="25" t="str">
        <f t="shared" si="224"/>
        <v/>
      </c>
      <c r="AL295" s="25" t="str">
        <f t="shared" si="224"/>
        <v/>
      </c>
      <c r="AM295" s="25" t="str">
        <f t="shared" si="224"/>
        <v/>
      </c>
      <c r="AQ295" s="9" t="str">
        <f t="shared" si="222"/>
        <v/>
      </c>
      <c r="AR295" s="9" t="str">
        <f t="shared" si="222"/>
        <v/>
      </c>
      <c r="AS295" s="9" t="str">
        <f t="shared" si="222"/>
        <v/>
      </c>
      <c r="AT295" s="9" t="str">
        <f t="shared" si="222"/>
        <v/>
      </c>
      <c r="AU295" s="9" t="str">
        <f t="shared" si="222"/>
        <v/>
      </c>
      <c r="AV295" s="9" t="str">
        <f t="shared" si="222"/>
        <v/>
      </c>
      <c r="AW295" s="9" t="str">
        <f t="shared" si="222"/>
        <v/>
      </c>
      <c r="AX295" s="9" t="str">
        <f t="shared" si="222"/>
        <v/>
      </c>
    </row>
    <row r="296" spans="3:50" hidden="1" x14ac:dyDescent="0.25">
      <c r="C296">
        <v>127</v>
      </c>
      <c r="D296" t="str">
        <f t="shared" si="161"/>
        <v/>
      </c>
      <c r="E296" s="24" t="str">
        <f t="shared" ref="E296:T296" si="225">E232</f>
        <v/>
      </c>
      <c r="F296" s="24" t="str">
        <f t="shared" si="225"/>
        <v/>
      </c>
      <c r="G296" s="24" t="str">
        <f t="shared" si="225"/>
        <v/>
      </c>
      <c r="H296" s="24" t="str">
        <f t="shared" si="225"/>
        <v/>
      </c>
      <c r="I296" s="24" t="str">
        <f t="shared" si="225"/>
        <v/>
      </c>
      <c r="J296" s="24" t="str">
        <f t="shared" si="225"/>
        <v/>
      </c>
      <c r="K296" s="24" t="str">
        <f t="shared" si="225"/>
        <v/>
      </c>
      <c r="L296" s="24" t="str">
        <f t="shared" si="225"/>
        <v/>
      </c>
      <c r="M296" s="24" t="str">
        <f t="shared" si="225"/>
        <v/>
      </c>
      <c r="N296" s="24" t="str">
        <f t="shared" si="225"/>
        <v/>
      </c>
      <c r="O296" s="24" t="str">
        <f t="shared" si="225"/>
        <v/>
      </c>
      <c r="P296" s="24" t="str">
        <f t="shared" si="225"/>
        <v/>
      </c>
      <c r="Q296" s="24" t="str">
        <f t="shared" si="225"/>
        <v/>
      </c>
      <c r="R296" s="24" t="str">
        <f t="shared" si="225"/>
        <v/>
      </c>
      <c r="S296" s="24" t="str">
        <f t="shared" si="225"/>
        <v/>
      </c>
      <c r="T296" s="24" t="str">
        <f t="shared" si="225"/>
        <v/>
      </c>
      <c r="X296" s="246" t="str">
        <f t="shared" ref="X296:AM296" si="226">X232</f>
        <v/>
      </c>
      <c r="Y296" s="9" t="str">
        <f t="shared" si="226"/>
        <v/>
      </c>
      <c r="Z296" s="9" t="str">
        <f t="shared" si="226"/>
        <v/>
      </c>
      <c r="AA296" s="9" t="str">
        <f t="shared" si="226"/>
        <v/>
      </c>
      <c r="AB296" s="9" t="str">
        <f t="shared" si="226"/>
        <v/>
      </c>
      <c r="AC296" s="9" t="str">
        <f t="shared" si="226"/>
        <v/>
      </c>
      <c r="AD296" s="9" t="str">
        <f t="shared" si="226"/>
        <v/>
      </c>
      <c r="AE296" s="247" t="str">
        <f t="shared" si="226"/>
        <v/>
      </c>
      <c r="AF296" s="25" t="str">
        <f t="shared" si="226"/>
        <v/>
      </c>
      <c r="AG296" s="25" t="str">
        <f t="shared" si="226"/>
        <v/>
      </c>
      <c r="AH296" s="25" t="str">
        <f t="shared" si="226"/>
        <v/>
      </c>
      <c r="AI296" s="25" t="str">
        <f t="shared" si="226"/>
        <v/>
      </c>
      <c r="AJ296" s="25" t="str">
        <f t="shared" si="226"/>
        <v/>
      </c>
      <c r="AK296" s="25" t="str">
        <f t="shared" si="226"/>
        <v/>
      </c>
      <c r="AL296" s="25" t="str">
        <f t="shared" si="226"/>
        <v/>
      </c>
      <c r="AM296" s="25" t="str">
        <f t="shared" si="226"/>
        <v/>
      </c>
      <c r="AQ296" s="9" t="str">
        <f t="shared" si="222"/>
        <v/>
      </c>
      <c r="AR296" s="9" t="str">
        <f t="shared" si="222"/>
        <v/>
      </c>
      <c r="AS296" s="9" t="str">
        <f t="shared" si="222"/>
        <v/>
      </c>
      <c r="AT296" s="9" t="str">
        <f t="shared" si="222"/>
        <v/>
      </c>
      <c r="AU296" s="9" t="str">
        <f t="shared" si="222"/>
        <v/>
      </c>
      <c r="AV296" s="9" t="str">
        <f t="shared" si="222"/>
        <v/>
      </c>
      <c r="AW296" s="9" t="str">
        <f t="shared" si="222"/>
        <v/>
      </c>
      <c r="AX296" s="9" t="str">
        <f t="shared" si="222"/>
        <v/>
      </c>
    </row>
    <row r="297" spans="3:50" ht="15.75" hidden="1" customHeight="1" thickBot="1" x14ac:dyDescent="0.3">
      <c r="C297">
        <v>128</v>
      </c>
      <c r="D297" t="str">
        <f t="shared" si="161"/>
        <v/>
      </c>
      <c r="E297" s="24" t="str">
        <f t="shared" ref="E297:T297" si="227">E233</f>
        <v/>
      </c>
      <c r="F297" s="24" t="str">
        <f t="shared" si="227"/>
        <v/>
      </c>
      <c r="G297" s="24" t="str">
        <f t="shared" si="227"/>
        <v/>
      </c>
      <c r="H297" s="24" t="str">
        <f t="shared" si="227"/>
        <v/>
      </c>
      <c r="I297" s="24" t="str">
        <f t="shared" si="227"/>
        <v/>
      </c>
      <c r="J297" s="24" t="str">
        <f t="shared" si="227"/>
        <v/>
      </c>
      <c r="K297" s="24" t="str">
        <f t="shared" si="227"/>
        <v/>
      </c>
      <c r="L297" s="24" t="str">
        <f t="shared" si="227"/>
        <v/>
      </c>
      <c r="M297" s="24" t="str">
        <f t="shared" si="227"/>
        <v/>
      </c>
      <c r="N297" s="24" t="str">
        <f t="shared" si="227"/>
        <v/>
      </c>
      <c r="O297" s="24" t="str">
        <f t="shared" si="227"/>
        <v/>
      </c>
      <c r="P297" s="24" t="str">
        <f t="shared" si="227"/>
        <v/>
      </c>
      <c r="Q297" s="24" t="str">
        <f t="shared" si="227"/>
        <v/>
      </c>
      <c r="R297" s="24" t="str">
        <f t="shared" si="227"/>
        <v/>
      </c>
      <c r="S297" s="24" t="str">
        <f t="shared" si="227"/>
        <v/>
      </c>
      <c r="T297" s="24" t="str">
        <f t="shared" si="227"/>
        <v/>
      </c>
      <c r="U297" s="30"/>
      <c r="V297" s="30"/>
      <c r="X297" s="248" t="str">
        <f t="shared" ref="X297:AM297" si="228">X233</f>
        <v/>
      </c>
      <c r="Y297" s="249" t="str">
        <f t="shared" si="228"/>
        <v/>
      </c>
      <c r="Z297" s="249" t="str">
        <f t="shared" si="228"/>
        <v/>
      </c>
      <c r="AA297" s="249" t="str">
        <f t="shared" si="228"/>
        <v/>
      </c>
      <c r="AB297" s="249" t="str">
        <f t="shared" si="228"/>
        <v/>
      </c>
      <c r="AC297" s="249" t="str">
        <f t="shared" si="228"/>
        <v/>
      </c>
      <c r="AD297" s="249" t="str">
        <f t="shared" si="228"/>
        <v/>
      </c>
      <c r="AE297" s="234" t="str">
        <f t="shared" si="228"/>
        <v/>
      </c>
      <c r="AF297" s="25" t="str">
        <f t="shared" si="228"/>
        <v/>
      </c>
      <c r="AG297" s="25" t="str">
        <f t="shared" si="228"/>
        <v/>
      </c>
      <c r="AH297" s="25" t="str">
        <f t="shared" si="228"/>
        <v/>
      </c>
      <c r="AI297" s="25" t="str">
        <f t="shared" si="228"/>
        <v/>
      </c>
      <c r="AJ297" s="25" t="str">
        <f t="shared" si="228"/>
        <v/>
      </c>
      <c r="AK297" s="25" t="str">
        <f t="shared" si="228"/>
        <v/>
      </c>
      <c r="AL297" s="25" t="str">
        <f t="shared" si="228"/>
        <v/>
      </c>
      <c r="AM297" s="25" t="str">
        <f t="shared" si="228"/>
        <v/>
      </c>
      <c r="AN297" s="30"/>
      <c r="AO297" s="30"/>
      <c r="AP297" s="30"/>
      <c r="AQ297" s="9" t="str">
        <f t="shared" si="222"/>
        <v/>
      </c>
      <c r="AR297" s="9" t="str">
        <f t="shared" si="222"/>
        <v/>
      </c>
      <c r="AS297" s="9" t="str">
        <f t="shared" si="222"/>
        <v/>
      </c>
      <c r="AT297" s="9" t="str">
        <f t="shared" si="222"/>
        <v/>
      </c>
      <c r="AU297" s="9" t="str">
        <f t="shared" si="222"/>
        <v/>
      </c>
      <c r="AV297" s="9" t="str">
        <f t="shared" si="222"/>
        <v/>
      </c>
      <c r="AW297" s="9" t="str">
        <f t="shared" si="222"/>
        <v/>
      </c>
      <c r="AX297" s="9" t="str">
        <f t="shared" si="222"/>
        <v/>
      </c>
    </row>
    <row r="298" spans="3:50" hidden="1" x14ac:dyDescent="0.25"/>
    <row r="299" spans="3:50" hidden="1" x14ac:dyDescent="0.25"/>
    <row r="300" spans="3:50" hidden="1" x14ac:dyDescent="0.25"/>
    <row r="301" spans="3:50" ht="43.5" hidden="1" customHeight="1" x14ac:dyDescent="0.25">
      <c r="E301" s="643" t="s">
        <v>505</v>
      </c>
      <c r="F301" s="563"/>
      <c r="G301" s="643" t="s">
        <v>506</v>
      </c>
      <c r="H301" s="563"/>
      <c r="I301" s="643" t="s">
        <v>507</v>
      </c>
      <c r="J301" s="563"/>
      <c r="K301" s="643" t="s">
        <v>508</v>
      </c>
      <c r="L301" s="563"/>
      <c r="M301" s="647" t="s">
        <v>505</v>
      </c>
      <c r="N301" s="563"/>
      <c r="O301" s="647" t="s">
        <v>506</v>
      </c>
      <c r="P301" s="563"/>
      <c r="Q301" s="647" t="s">
        <v>507</v>
      </c>
      <c r="R301" s="563"/>
      <c r="S301" s="647" t="s">
        <v>508</v>
      </c>
      <c r="T301" s="563"/>
      <c r="U301" s="240"/>
      <c r="X301" s="644" t="s">
        <v>505</v>
      </c>
      <c r="Y301" s="563"/>
      <c r="Z301" s="644" t="s">
        <v>506</v>
      </c>
      <c r="AA301" s="563"/>
      <c r="AB301" s="644" t="s">
        <v>507</v>
      </c>
      <c r="AC301" s="563"/>
      <c r="AD301" s="644" t="s">
        <v>508</v>
      </c>
      <c r="AE301" s="563"/>
      <c r="AF301" s="648" t="s">
        <v>505</v>
      </c>
      <c r="AG301" s="563"/>
      <c r="AH301" s="648" t="s">
        <v>506</v>
      </c>
      <c r="AI301" s="563"/>
      <c r="AJ301" s="648" t="s">
        <v>507</v>
      </c>
      <c r="AK301" s="563"/>
      <c r="AL301" s="648" t="s">
        <v>508</v>
      </c>
      <c r="AM301" s="563"/>
      <c r="AN301" s="68"/>
      <c r="AO301" s="68"/>
      <c r="AP301" s="68"/>
      <c r="AQ301" s="646" t="s">
        <v>505</v>
      </c>
      <c r="AR301" s="563"/>
      <c r="AS301" s="646" t="s">
        <v>506</v>
      </c>
      <c r="AT301" s="563"/>
      <c r="AU301" s="646" t="s">
        <v>507</v>
      </c>
      <c r="AV301" s="563"/>
      <c r="AW301" s="646" t="s">
        <v>508</v>
      </c>
      <c r="AX301" s="563"/>
    </row>
    <row r="302" spans="3:50" hidden="1" x14ac:dyDescent="0.25">
      <c r="E302" s="53" t="s">
        <v>509</v>
      </c>
      <c r="F302" s="53" t="s">
        <v>510</v>
      </c>
      <c r="G302" s="53" t="s">
        <v>509</v>
      </c>
      <c r="H302" s="53" t="s">
        <v>510</v>
      </c>
      <c r="I302" s="53" t="s">
        <v>509</v>
      </c>
      <c r="J302" s="53" t="s">
        <v>510</v>
      </c>
      <c r="K302" s="53" t="s">
        <v>509</v>
      </c>
      <c r="L302" s="53" t="s">
        <v>510</v>
      </c>
      <c r="M302" s="66" t="s">
        <v>509</v>
      </c>
      <c r="N302" s="66" t="s">
        <v>510</v>
      </c>
      <c r="O302" s="66" t="s">
        <v>509</v>
      </c>
      <c r="P302" s="66" t="s">
        <v>510</v>
      </c>
      <c r="Q302" s="66" t="s">
        <v>509</v>
      </c>
      <c r="R302" s="66" t="s">
        <v>510</v>
      </c>
      <c r="S302" s="66" t="s">
        <v>509</v>
      </c>
      <c r="T302" s="66" t="s">
        <v>510</v>
      </c>
      <c r="U302" s="240"/>
      <c r="X302" s="67" t="s">
        <v>509</v>
      </c>
      <c r="Y302" s="67" t="s">
        <v>510</v>
      </c>
      <c r="Z302" s="67" t="s">
        <v>509</v>
      </c>
      <c r="AA302" s="67" t="s">
        <v>510</v>
      </c>
      <c r="AB302" s="67" t="s">
        <v>509</v>
      </c>
      <c r="AC302" s="67" t="s">
        <v>510</v>
      </c>
      <c r="AD302" s="67" t="s">
        <v>509</v>
      </c>
      <c r="AE302" s="67" t="s">
        <v>510</v>
      </c>
      <c r="AF302" s="68" t="s">
        <v>509</v>
      </c>
      <c r="AG302" s="68" t="s">
        <v>510</v>
      </c>
      <c r="AH302" s="68" t="s">
        <v>509</v>
      </c>
      <c r="AI302" s="68" t="s">
        <v>510</v>
      </c>
      <c r="AJ302" s="68" t="s">
        <v>509</v>
      </c>
      <c r="AK302" s="68" t="s">
        <v>510</v>
      </c>
      <c r="AL302" s="68" t="s">
        <v>509</v>
      </c>
      <c r="AM302" s="68" t="s">
        <v>510</v>
      </c>
      <c r="AN302" s="68"/>
      <c r="AO302" s="68"/>
      <c r="AP302" s="68"/>
      <c r="AQ302" s="69" t="s">
        <v>509</v>
      </c>
      <c r="AR302" s="69" t="s">
        <v>510</v>
      </c>
      <c r="AS302" s="69" t="s">
        <v>509</v>
      </c>
      <c r="AT302" s="69" t="s">
        <v>510</v>
      </c>
      <c r="AU302" s="69" t="s">
        <v>509</v>
      </c>
      <c r="AV302" s="69" t="s">
        <v>510</v>
      </c>
      <c r="AW302" s="69" t="s">
        <v>509</v>
      </c>
      <c r="AX302" s="69" t="s">
        <v>510</v>
      </c>
    </row>
    <row r="303" spans="3:50" hidden="1" x14ac:dyDescent="0.25">
      <c r="D303" s="70">
        <v>1</v>
      </c>
      <c r="E303" s="24" t="str">
        <f t="shared" ref="E303:E334" si="229">IFERROR(VLOOKUP(SMALL($D$170:$D$297,$D303),$D$170:$AX$297,2,FALSE),"")</f>
        <v/>
      </c>
      <c r="F303" s="25" t="str">
        <f t="shared" ref="F303:F334" si="230">IFERROR(VLOOKUP(SMALL($D$170:$D$297,$D303),$D$170:$AX$297,3,FALSE),"")</f>
        <v/>
      </c>
      <c r="G303" s="25" t="str">
        <f t="shared" ref="G303:G334" si="231">IFERROR(VLOOKUP(SMALL($D$170:$D$297,$D303),$D$170:$AX$297,4,FALSE),"")</f>
        <v/>
      </c>
      <c r="H303" s="25" t="str">
        <f t="shared" ref="H303:H334" si="232">IFERROR(VLOOKUP(SMALL($D$170:$D$297,$D303),$D$170:$AX$297,5,FALSE),"")</f>
        <v/>
      </c>
      <c r="I303" s="25" t="str">
        <f t="shared" ref="I303:I334" si="233">IFERROR(VLOOKUP(SMALL($D$170:$D$297,$D303),$D$170:$AX$297,6,FALSE),"")</f>
        <v/>
      </c>
      <c r="J303" s="25" t="str">
        <f t="shared" ref="J303:J334" si="234">IFERROR(VLOOKUP(SMALL($D$170:$D$297,$D303),$D$170:$AX$297,7,FALSE),"")</f>
        <v/>
      </c>
      <c r="K303" s="25" t="str">
        <f t="shared" ref="K303:K334" si="235">IFERROR(VLOOKUP(SMALL($D$170:$D$297,$D303),$D$170:$AX$297,8,FALSE),"")</f>
        <v/>
      </c>
      <c r="L303" s="26" t="str">
        <f t="shared" ref="L303:L334" si="236">IFERROR(VLOOKUP(SMALL($D$170:$D$297,$D303),$D$170:$AX$297,9,FALSE),"")</f>
        <v/>
      </c>
      <c r="M303" s="24" t="str">
        <f t="shared" ref="M303:M334" si="237">IFERROR(VLOOKUP(SMALL($D$170:$D$297,$D303),$D$170:$AX$297,10,FALSE),"")</f>
        <v/>
      </c>
      <c r="N303" s="25" t="str">
        <f t="shared" ref="N303:N334" si="238">IFERROR(VLOOKUP(SMALL($D$170:$D$297,$D303),$D$170:$AX$297,11,FALSE),"")</f>
        <v/>
      </c>
      <c r="O303" s="25" t="str">
        <f t="shared" ref="O303:O334" si="239">IFERROR(VLOOKUP(SMALL($D$170:$D$297,$D303),$D$170:$AX$297,12,FALSE),"")</f>
        <v/>
      </c>
      <c r="P303" s="25" t="str">
        <f t="shared" ref="P303:P334" si="240">IFERROR(VLOOKUP(SMALL($D$170:$D$297,$D303),$D$170:$AX$297,13,FALSE),"")</f>
        <v/>
      </c>
      <c r="Q303" s="25" t="str">
        <f t="shared" ref="Q303:Q334" si="241">IFERROR(VLOOKUP(SMALL($D$170:$D$297,$D303),$D$170:$AX$297,14,FALSE),"")</f>
        <v/>
      </c>
      <c r="R303" s="25" t="str">
        <f t="shared" ref="R303:R334" si="242">IFERROR(VLOOKUP(SMALL($D$170:$D$297,$D303),$D$170:$AX$297,15,FALSE),"")</f>
        <v/>
      </c>
      <c r="S303" s="25" t="str">
        <f t="shared" ref="S303:S334" si="243">IFERROR(VLOOKUP(SMALL($D$170:$D$297,$D303),$D$170:$AX$297,16,FALSE),"")</f>
        <v/>
      </c>
      <c r="T303" s="26" t="str">
        <f t="shared" ref="T303:T334" si="244">IFERROR(VLOOKUP(SMALL($D$170:$D$297,$D303),$D$170:$AX$297,17,FALSE),"")</f>
        <v/>
      </c>
      <c r="X303" s="24" t="str">
        <f t="shared" ref="X303:X334" si="245">IFERROR(VLOOKUP(SMALL($D$170:$D$297,$D303),$D$170:$AX$297,21,FALSE),"")</f>
        <v/>
      </c>
      <c r="Y303" s="25" t="str">
        <f t="shared" ref="Y303:Y334" si="246">IFERROR(VLOOKUP(SMALL($D$170:$D$297,$D303),$D$170:$AX$297,22,FALSE),"")</f>
        <v/>
      </c>
      <c r="Z303" s="25" t="str">
        <f t="shared" ref="Z303:Z334" si="247">IFERROR(VLOOKUP(SMALL($D$170:$D$297,$D303),$D$170:$AX$297,23,FALSE),"")</f>
        <v/>
      </c>
      <c r="AA303" s="25" t="str">
        <f t="shared" ref="AA303:AA334" si="248">IFERROR(VLOOKUP(SMALL($D$170:$D$297,$D303),$D$170:$AX$297,24,FALSE),"")</f>
        <v/>
      </c>
      <c r="AB303" s="25" t="str">
        <f t="shared" ref="AB303:AB334" si="249">IFERROR(VLOOKUP(SMALL($D$170:$D$297,$D303),$D$170:$AX$297,25,FALSE),"")</f>
        <v/>
      </c>
      <c r="AC303" s="25" t="str">
        <f t="shared" ref="AC303:AC334" si="250">IFERROR(VLOOKUP(SMALL($D$170:$D$297,$D303),$D$170:$AX$297,26,FALSE),"")</f>
        <v/>
      </c>
      <c r="AD303" s="25" t="str">
        <f t="shared" ref="AD303:AD334" si="251">IFERROR(VLOOKUP(SMALL($D$170:$D$297,$D303),$D$170:$AX$297,27,FALSE),"")</f>
        <v/>
      </c>
      <c r="AE303" s="26" t="str">
        <f t="shared" ref="AE303:AE334" si="252">IFERROR(VLOOKUP(SMALL($D$170:$D$297,$D303),$D$170:$AX$297,28,FALSE),"")</f>
        <v/>
      </c>
      <c r="AF303" s="24" t="str">
        <f t="shared" ref="AF303:AF334" si="253">IFERROR(VLOOKUP(SMALL($D$170:$D$297,$D303),$D$170:$AX$297,29,FALSE),"")</f>
        <v/>
      </c>
      <c r="AG303" s="25" t="str">
        <f t="shared" ref="AG303:AG334" si="254">IFERROR(VLOOKUP(SMALL($D$170:$D$297,$D303),$D$170:$AX$297,30,FALSE),"")</f>
        <v/>
      </c>
      <c r="AH303" s="25" t="str">
        <f t="shared" ref="AH303:AH334" si="255">IFERROR(VLOOKUP(SMALL($D$170:$D$297,$D303),$D$170:$AX$297,31,FALSE),"")</f>
        <v/>
      </c>
      <c r="AI303" s="25" t="str">
        <f t="shared" ref="AI303:AI334" si="256">IFERROR(VLOOKUP(SMALL($D$170:$D$297,$D303),$D$170:$AX$297,32,FALSE),"")</f>
        <v/>
      </c>
      <c r="AJ303" s="25" t="str">
        <f t="shared" ref="AJ303:AJ334" si="257">IFERROR(VLOOKUP(SMALL($D$170:$D$297,$D303),$D$170:$AX$297,33,FALSE),"")</f>
        <v/>
      </c>
      <c r="AK303" s="25" t="str">
        <f t="shared" ref="AK303:AK334" si="258">IFERROR(VLOOKUP(SMALL($D$170:$D$297,$D303),$D$170:$AX$297,34,FALSE),"")</f>
        <v/>
      </c>
      <c r="AL303" s="25" t="str">
        <f t="shared" ref="AL303:AL334" si="259">IFERROR(VLOOKUP(SMALL($D$170:$D$297,$D303),$D$170:$AX$297,35,FALSE),"")</f>
        <v/>
      </c>
      <c r="AM303" s="26" t="str">
        <f t="shared" ref="AM303:AM334" si="260">IFERROR(VLOOKUP(SMALL($D$170:$D$297,$D303),$D$170:$AX$297,36,FALSE),"")</f>
        <v/>
      </c>
      <c r="AN303" s="25"/>
      <c r="AO303" s="25"/>
      <c r="AP303" s="25"/>
      <c r="AQ303" s="24" t="str">
        <f t="shared" ref="AQ303:AQ334" si="261">IFERROR(VLOOKUP(SMALL($D$170:$D$297,$D303),$D$170:$AX$297,40,FALSE),"")</f>
        <v/>
      </c>
      <c r="AR303" s="25" t="str">
        <f t="shared" ref="AR303:AR334" si="262">IFERROR(VLOOKUP(SMALL($D$170:$D$297,$D303),$D$170:$AX$297,41,FALSE),"")</f>
        <v/>
      </c>
      <c r="AS303" s="25" t="str">
        <f t="shared" ref="AS303:AS334" si="263">IFERROR(VLOOKUP(SMALL($D$170:$D$297,$D303),$D$170:$AX$297,42,FALSE),"")</f>
        <v/>
      </c>
      <c r="AT303" s="25" t="str">
        <f t="shared" ref="AT303:AT334" si="264">IFERROR(VLOOKUP(SMALL($D$170:$D$297,$D303),$D$170:$AX$297,43,FALSE),"")</f>
        <v/>
      </c>
      <c r="AU303" s="25" t="str">
        <f t="shared" ref="AU303:AU334" si="265">IFERROR(VLOOKUP(SMALL($D$170:$D$297,$D303),$D$170:$AX$297,44,FALSE),"")</f>
        <v/>
      </c>
      <c r="AV303" s="25" t="str">
        <f t="shared" ref="AV303:AV334" si="266">IFERROR(VLOOKUP(SMALL($D$170:$D$297,$D303),$D$170:$AX$297,45,FALSE),"")</f>
        <v/>
      </c>
      <c r="AW303" s="25" t="str">
        <f t="shared" ref="AW303:AW334" si="267">IFERROR(VLOOKUP(SMALL($D$170:$D$297,$D303),$D$170:$AX$297,46,FALSE),"")</f>
        <v/>
      </c>
      <c r="AX303" s="26" t="str">
        <f t="shared" ref="AX303:AX334" si="268">IFERROR(VLOOKUP(SMALL($D$170:$D$297,$D303),$D$170:$AX$297,47,FALSE),"")</f>
        <v/>
      </c>
    </row>
    <row r="304" spans="3:50" hidden="1" x14ac:dyDescent="0.25">
      <c r="D304" s="70">
        <v>2</v>
      </c>
      <c r="E304" s="24" t="str">
        <f t="shared" si="229"/>
        <v/>
      </c>
      <c r="F304" s="25" t="str">
        <f t="shared" si="230"/>
        <v/>
      </c>
      <c r="G304" s="25" t="str">
        <f t="shared" si="231"/>
        <v/>
      </c>
      <c r="H304" s="25" t="str">
        <f t="shared" si="232"/>
        <v/>
      </c>
      <c r="I304" s="25" t="str">
        <f t="shared" si="233"/>
        <v/>
      </c>
      <c r="J304" s="25" t="str">
        <f t="shared" si="234"/>
        <v/>
      </c>
      <c r="K304" s="25" t="str">
        <f t="shared" si="235"/>
        <v/>
      </c>
      <c r="L304" s="26" t="str">
        <f t="shared" si="236"/>
        <v/>
      </c>
      <c r="M304" s="24" t="str">
        <f t="shared" si="237"/>
        <v/>
      </c>
      <c r="N304" s="25" t="str">
        <f t="shared" si="238"/>
        <v/>
      </c>
      <c r="O304" s="25" t="str">
        <f t="shared" si="239"/>
        <v/>
      </c>
      <c r="P304" s="25" t="str">
        <f t="shared" si="240"/>
        <v/>
      </c>
      <c r="Q304" s="25" t="str">
        <f t="shared" si="241"/>
        <v/>
      </c>
      <c r="R304" s="25" t="str">
        <f t="shared" si="242"/>
        <v/>
      </c>
      <c r="S304" s="25" t="str">
        <f t="shared" si="243"/>
        <v/>
      </c>
      <c r="T304" s="26" t="str">
        <f t="shared" si="244"/>
        <v/>
      </c>
      <c r="X304" s="24" t="str">
        <f t="shared" si="245"/>
        <v/>
      </c>
      <c r="Y304" s="25" t="str">
        <f t="shared" si="246"/>
        <v/>
      </c>
      <c r="Z304" s="25" t="str">
        <f t="shared" si="247"/>
        <v/>
      </c>
      <c r="AA304" s="25" t="str">
        <f t="shared" si="248"/>
        <v/>
      </c>
      <c r="AB304" s="25" t="str">
        <f t="shared" si="249"/>
        <v/>
      </c>
      <c r="AC304" s="25" t="str">
        <f t="shared" si="250"/>
        <v/>
      </c>
      <c r="AD304" s="25" t="str">
        <f t="shared" si="251"/>
        <v/>
      </c>
      <c r="AE304" s="26" t="str">
        <f t="shared" si="252"/>
        <v/>
      </c>
      <c r="AF304" s="24" t="str">
        <f t="shared" si="253"/>
        <v/>
      </c>
      <c r="AG304" s="25" t="str">
        <f t="shared" si="254"/>
        <v/>
      </c>
      <c r="AH304" s="25" t="str">
        <f t="shared" si="255"/>
        <v/>
      </c>
      <c r="AI304" s="25" t="str">
        <f t="shared" si="256"/>
        <v/>
      </c>
      <c r="AJ304" s="25" t="str">
        <f t="shared" si="257"/>
        <v/>
      </c>
      <c r="AK304" s="25" t="str">
        <f t="shared" si="258"/>
        <v/>
      </c>
      <c r="AL304" s="25" t="str">
        <f t="shared" si="259"/>
        <v/>
      </c>
      <c r="AM304" s="26" t="str">
        <f t="shared" si="260"/>
        <v/>
      </c>
      <c r="AQ304" s="24" t="str">
        <f t="shared" si="261"/>
        <v/>
      </c>
      <c r="AR304" s="25" t="str">
        <f t="shared" si="262"/>
        <v/>
      </c>
      <c r="AS304" s="25" t="str">
        <f t="shared" si="263"/>
        <v/>
      </c>
      <c r="AT304" s="25" t="str">
        <f t="shared" si="264"/>
        <v/>
      </c>
      <c r="AU304" s="25" t="str">
        <f t="shared" si="265"/>
        <v/>
      </c>
      <c r="AV304" s="25" t="str">
        <f t="shared" si="266"/>
        <v/>
      </c>
      <c r="AW304" s="25" t="str">
        <f t="shared" si="267"/>
        <v/>
      </c>
      <c r="AX304" s="26" t="str">
        <f t="shared" si="268"/>
        <v/>
      </c>
    </row>
    <row r="305" spans="4:50" hidden="1" x14ac:dyDescent="0.25">
      <c r="D305" s="70">
        <v>3</v>
      </c>
      <c r="E305" s="24" t="str">
        <f t="shared" si="229"/>
        <v/>
      </c>
      <c r="F305" s="25" t="str">
        <f t="shared" si="230"/>
        <v/>
      </c>
      <c r="G305" s="25" t="str">
        <f t="shared" si="231"/>
        <v/>
      </c>
      <c r="H305" s="25" t="str">
        <f t="shared" si="232"/>
        <v/>
      </c>
      <c r="I305" s="25" t="str">
        <f t="shared" si="233"/>
        <v/>
      </c>
      <c r="J305" s="25" t="str">
        <f t="shared" si="234"/>
        <v/>
      </c>
      <c r="K305" s="25" t="str">
        <f t="shared" si="235"/>
        <v/>
      </c>
      <c r="L305" s="26" t="str">
        <f t="shared" si="236"/>
        <v/>
      </c>
      <c r="M305" s="24" t="str">
        <f t="shared" si="237"/>
        <v/>
      </c>
      <c r="N305" s="25" t="str">
        <f t="shared" si="238"/>
        <v/>
      </c>
      <c r="O305" s="25" t="str">
        <f t="shared" si="239"/>
        <v/>
      </c>
      <c r="P305" s="25" t="str">
        <f t="shared" si="240"/>
        <v/>
      </c>
      <c r="Q305" s="25" t="str">
        <f t="shared" si="241"/>
        <v/>
      </c>
      <c r="R305" s="25" t="str">
        <f t="shared" si="242"/>
        <v/>
      </c>
      <c r="S305" s="25" t="str">
        <f t="shared" si="243"/>
        <v/>
      </c>
      <c r="T305" s="26" t="str">
        <f t="shared" si="244"/>
        <v/>
      </c>
      <c r="X305" s="24" t="str">
        <f t="shared" si="245"/>
        <v/>
      </c>
      <c r="Y305" s="25" t="str">
        <f t="shared" si="246"/>
        <v/>
      </c>
      <c r="Z305" s="25" t="str">
        <f t="shared" si="247"/>
        <v/>
      </c>
      <c r="AA305" s="25" t="str">
        <f t="shared" si="248"/>
        <v/>
      </c>
      <c r="AB305" s="25" t="str">
        <f t="shared" si="249"/>
        <v/>
      </c>
      <c r="AC305" s="25" t="str">
        <f t="shared" si="250"/>
        <v/>
      </c>
      <c r="AD305" s="25" t="str">
        <f t="shared" si="251"/>
        <v/>
      </c>
      <c r="AE305" s="26" t="str">
        <f t="shared" si="252"/>
        <v/>
      </c>
      <c r="AF305" s="24" t="str">
        <f t="shared" si="253"/>
        <v/>
      </c>
      <c r="AG305" s="25" t="str">
        <f t="shared" si="254"/>
        <v/>
      </c>
      <c r="AH305" s="25" t="str">
        <f t="shared" si="255"/>
        <v/>
      </c>
      <c r="AI305" s="25" t="str">
        <f t="shared" si="256"/>
        <v/>
      </c>
      <c r="AJ305" s="25" t="str">
        <f t="shared" si="257"/>
        <v/>
      </c>
      <c r="AK305" s="25" t="str">
        <f t="shared" si="258"/>
        <v/>
      </c>
      <c r="AL305" s="25" t="str">
        <f t="shared" si="259"/>
        <v/>
      </c>
      <c r="AM305" s="26" t="str">
        <f t="shared" si="260"/>
        <v/>
      </c>
      <c r="AQ305" s="24" t="str">
        <f t="shared" si="261"/>
        <v/>
      </c>
      <c r="AR305" s="25" t="str">
        <f t="shared" si="262"/>
        <v/>
      </c>
      <c r="AS305" s="25" t="str">
        <f t="shared" si="263"/>
        <v/>
      </c>
      <c r="AT305" s="25" t="str">
        <f t="shared" si="264"/>
        <v/>
      </c>
      <c r="AU305" s="25" t="str">
        <f t="shared" si="265"/>
        <v/>
      </c>
      <c r="AV305" s="25" t="str">
        <f t="shared" si="266"/>
        <v/>
      </c>
      <c r="AW305" s="25" t="str">
        <f t="shared" si="267"/>
        <v/>
      </c>
      <c r="AX305" s="26" t="str">
        <f t="shared" si="268"/>
        <v/>
      </c>
    </row>
    <row r="306" spans="4:50" hidden="1" x14ac:dyDescent="0.25">
      <c r="D306" s="70">
        <v>4</v>
      </c>
      <c r="E306" s="24" t="str">
        <f t="shared" si="229"/>
        <v/>
      </c>
      <c r="F306" s="25" t="str">
        <f t="shared" si="230"/>
        <v/>
      </c>
      <c r="G306" s="25" t="str">
        <f t="shared" si="231"/>
        <v/>
      </c>
      <c r="H306" s="25" t="str">
        <f t="shared" si="232"/>
        <v/>
      </c>
      <c r="I306" s="25" t="str">
        <f t="shared" si="233"/>
        <v/>
      </c>
      <c r="J306" s="25" t="str">
        <f t="shared" si="234"/>
        <v/>
      </c>
      <c r="K306" s="25" t="str">
        <f t="shared" si="235"/>
        <v/>
      </c>
      <c r="L306" s="26" t="str">
        <f t="shared" si="236"/>
        <v/>
      </c>
      <c r="M306" s="24" t="str">
        <f t="shared" si="237"/>
        <v/>
      </c>
      <c r="N306" s="25" t="str">
        <f t="shared" si="238"/>
        <v/>
      </c>
      <c r="O306" s="25" t="str">
        <f t="shared" si="239"/>
        <v/>
      </c>
      <c r="P306" s="25" t="str">
        <f t="shared" si="240"/>
        <v/>
      </c>
      <c r="Q306" s="25" t="str">
        <f t="shared" si="241"/>
        <v/>
      </c>
      <c r="R306" s="25" t="str">
        <f t="shared" si="242"/>
        <v/>
      </c>
      <c r="S306" s="25" t="str">
        <f t="shared" si="243"/>
        <v/>
      </c>
      <c r="T306" s="26" t="str">
        <f t="shared" si="244"/>
        <v/>
      </c>
      <c r="X306" s="24" t="str">
        <f t="shared" si="245"/>
        <v/>
      </c>
      <c r="Y306" s="25" t="str">
        <f t="shared" si="246"/>
        <v/>
      </c>
      <c r="Z306" s="25" t="str">
        <f t="shared" si="247"/>
        <v/>
      </c>
      <c r="AA306" s="25" t="str">
        <f t="shared" si="248"/>
        <v/>
      </c>
      <c r="AB306" s="25" t="str">
        <f t="shared" si="249"/>
        <v/>
      </c>
      <c r="AC306" s="25" t="str">
        <f t="shared" si="250"/>
        <v/>
      </c>
      <c r="AD306" s="25" t="str">
        <f t="shared" si="251"/>
        <v/>
      </c>
      <c r="AE306" s="26" t="str">
        <f t="shared" si="252"/>
        <v/>
      </c>
      <c r="AF306" s="24" t="str">
        <f t="shared" si="253"/>
        <v/>
      </c>
      <c r="AG306" s="25" t="str">
        <f t="shared" si="254"/>
        <v/>
      </c>
      <c r="AH306" s="25" t="str">
        <f t="shared" si="255"/>
        <v/>
      </c>
      <c r="AI306" s="25" t="str">
        <f t="shared" si="256"/>
        <v/>
      </c>
      <c r="AJ306" s="25" t="str">
        <f t="shared" si="257"/>
        <v/>
      </c>
      <c r="AK306" s="25" t="str">
        <f t="shared" si="258"/>
        <v/>
      </c>
      <c r="AL306" s="25" t="str">
        <f t="shared" si="259"/>
        <v/>
      </c>
      <c r="AM306" s="26" t="str">
        <f t="shared" si="260"/>
        <v/>
      </c>
      <c r="AQ306" s="24" t="str">
        <f t="shared" si="261"/>
        <v/>
      </c>
      <c r="AR306" s="25" t="str">
        <f t="shared" si="262"/>
        <v/>
      </c>
      <c r="AS306" s="25" t="str">
        <f t="shared" si="263"/>
        <v/>
      </c>
      <c r="AT306" s="25" t="str">
        <f t="shared" si="264"/>
        <v/>
      </c>
      <c r="AU306" s="25" t="str">
        <f t="shared" si="265"/>
        <v/>
      </c>
      <c r="AV306" s="25" t="str">
        <f t="shared" si="266"/>
        <v/>
      </c>
      <c r="AW306" s="25" t="str">
        <f t="shared" si="267"/>
        <v/>
      </c>
      <c r="AX306" s="26" t="str">
        <f t="shared" si="268"/>
        <v/>
      </c>
    </row>
    <row r="307" spans="4:50" hidden="1" x14ac:dyDescent="0.25">
      <c r="D307" s="70">
        <v>5</v>
      </c>
      <c r="E307" s="24" t="str">
        <f t="shared" si="229"/>
        <v/>
      </c>
      <c r="F307" s="25" t="str">
        <f t="shared" si="230"/>
        <v/>
      </c>
      <c r="G307" s="25" t="str">
        <f t="shared" si="231"/>
        <v/>
      </c>
      <c r="H307" s="25" t="str">
        <f t="shared" si="232"/>
        <v/>
      </c>
      <c r="I307" s="25" t="str">
        <f t="shared" si="233"/>
        <v/>
      </c>
      <c r="J307" s="25" t="str">
        <f t="shared" si="234"/>
        <v/>
      </c>
      <c r="K307" s="25" t="str">
        <f t="shared" si="235"/>
        <v/>
      </c>
      <c r="L307" s="26" t="str">
        <f t="shared" si="236"/>
        <v/>
      </c>
      <c r="M307" s="24" t="str">
        <f t="shared" si="237"/>
        <v/>
      </c>
      <c r="N307" s="25" t="str">
        <f t="shared" si="238"/>
        <v/>
      </c>
      <c r="O307" s="25" t="str">
        <f t="shared" si="239"/>
        <v/>
      </c>
      <c r="P307" s="25" t="str">
        <f t="shared" si="240"/>
        <v/>
      </c>
      <c r="Q307" s="25" t="str">
        <f t="shared" si="241"/>
        <v/>
      </c>
      <c r="R307" s="25" t="str">
        <f t="shared" si="242"/>
        <v/>
      </c>
      <c r="S307" s="25" t="str">
        <f t="shared" si="243"/>
        <v/>
      </c>
      <c r="T307" s="26" t="str">
        <f t="shared" si="244"/>
        <v/>
      </c>
      <c r="X307" s="24" t="str">
        <f t="shared" si="245"/>
        <v/>
      </c>
      <c r="Y307" s="25" t="str">
        <f t="shared" si="246"/>
        <v/>
      </c>
      <c r="Z307" s="25" t="str">
        <f t="shared" si="247"/>
        <v/>
      </c>
      <c r="AA307" s="25" t="str">
        <f t="shared" si="248"/>
        <v/>
      </c>
      <c r="AB307" s="25" t="str">
        <f t="shared" si="249"/>
        <v/>
      </c>
      <c r="AC307" s="25" t="str">
        <f t="shared" si="250"/>
        <v/>
      </c>
      <c r="AD307" s="25" t="str">
        <f t="shared" si="251"/>
        <v/>
      </c>
      <c r="AE307" s="26" t="str">
        <f t="shared" si="252"/>
        <v/>
      </c>
      <c r="AF307" s="24" t="str">
        <f t="shared" si="253"/>
        <v/>
      </c>
      <c r="AG307" s="25" t="str">
        <f t="shared" si="254"/>
        <v/>
      </c>
      <c r="AH307" s="25" t="str">
        <f t="shared" si="255"/>
        <v/>
      </c>
      <c r="AI307" s="25" t="str">
        <f t="shared" si="256"/>
        <v/>
      </c>
      <c r="AJ307" s="25" t="str">
        <f t="shared" si="257"/>
        <v/>
      </c>
      <c r="AK307" s="25" t="str">
        <f t="shared" si="258"/>
        <v/>
      </c>
      <c r="AL307" s="25" t="str">
        <f t="shared" si="259"/>
        <v/>
      </c>
      <c r="AM307" s="26" t="str">
        <f t="shared" si="260"/>
        <v/>
      </c>
      <c r="AQ307" s="24" t="str">
        <f t="shared" si="261"/>
        <v/>
      </c>
      <c r="AR307" s="25" t="str">
        <f t="shared" si="262"/>
        <v/>
      </c>
      <c r="AS307" s="25" t="str">
        <f t="shared" si="263"/>
        <v/>
      </c>
      <c r="AT307" s="25" t="str">
        <f t="shared" si="264"/>
        <v/>
      </c>
      <c r="AU307" s="25" t="str">
        <f t="shared" si="265"/>
        <v/>
      </c>
      <c r="AV307" s="25" t="str">
        <f t="shared" si="266"/>
        <v/>
      </c>
      <c r="AW307" s="25" t="str">
        <f t="shared" si="267"/>
        <v/>
      </c>
      <c r="AX307" s="26" t="str">
        <f t="shared" si="268"/>
        <v/>
      </c>
    </row>
    <row r="308" spans="4:50" hidden="1" x14ac:dyDescent="0.25">
      <c r="D308" s="70">
        <v>6</v>
      </c>
      <c r="E308" s="24" t="str">
        <f t="shared" si="229"/>
        <v/>
      </c>
      <c r="F308" s="25" t="str">
        <f t="shared" si="230"/>
        <v/>
      </c>
      <c r="G308" s="25" t="str">
        <f t="shared" si="231"/>
        <v/>
      </c>
      <c r="H308" s="25" t="str">
        <f t="shared" si="232"/>
        <v/>
      </c>
      <c r="I308" s="25" t="str">
        <f t="shared" si="233"/>
        <v/>
      </c>
      <c r="J308" s="25" t="str">
        <f t="shared" si="234"/>
        <v/>
      </c>
      <c r="K308" s="25" t="str">
        <f t="shared" si="235"/>
        <v/>
      </c>
      <c r="L308" s="26" t="str">
        <f t="shared" si="236"/>
        <v/>
      </c>
      <c r="M308" s="24" t="str">
        <f t="shared" si="237"/>
        <v/>
      </c>
      <c r="N308" s="25" t="str">
        <f t="shared" si="238"/>
        <v/>
      </c>
      <c r="O308" s="25" t="str">
        <f t="shared" si="239"/>
        <v/>
      </c>
      <c r="P308" s="25" t="str">
        <f t="shared" si="240"/>
        <v/>
      </c>
      <c r="Q308" s="25" t="str">
        <f t="shared" si="241"/>
        <v/>
      </c>
      <c r="R308" s="25" t="str">
        <f t="shared" si="242"/>
        <v/>
      </c>
      <c r="S308" s="25" t="str">
        <f t="shared" si="243"/>
        <v/>
      </c>
      <c r="T308" s="26" t="str">
        <f t="shared" si="244"/>
        <v/>
      </c>
      <c r="X308" s="24" t="str">
        <f t="shared" si="245"/>
        <v/>
      </c>
      <c r="Y308" s="25" t="str">
        <f t="shared" si="246"/>
        <v/>
      </c>
      <c r="Z308" s="25" t="str">
        <f t="shared" si="247"/>
        <v/>
      </c>
      <c r="AA308" s="25" t="str">
        <f t="shared" si="248"/>
        <v/>
      </c>
      <c r="AB308" s="25" t="str">
        <f t="shared" si="249"/>
        <v/>
      </c>
      <c r="AC308" s="25" t="str">
        <f t="shared" si="250"/>
        <v/>
      </c>
      <c r="AD308" s="25" t="str">
        <f t="shared" si="251"/>
        <v/>
      </c>
      <c r="AE308" s="26" t="str">
        <f t="shared" si="252"/>
        <v/>
      </c>
      <c r="AF308" s="24" t="str">
        <f t="shared" si="253"/>
        <v/>
      </c>
      <c r="AG308" s="25" t="str">
        <f t="shared" si="254"/>
        <v/>
      </c>
      <c r="AH308" s="25" t="str">
        <f t="shared" si="255"/>
        <v/>
      </c>
      <c r="AI308" s="25" t="str">
        <f t="shared" si="256"/>
        <v/>
      </c>
      <c r="AJ308" s="25" t="str">
        <f t="shared" si="257"/>
        <v/>
      </c>
      <c r="AK308" s="25" t="str">
        <f t="shared" si="258"/>
        <v/>
      </c>
      <c r="AL308" s="25" t="str">
        <f t="shared" si="259"/>
        <v/>
      </c>
      <c r="AM308" s="26" t="str">
        <f t="shared" si="260"/>
        <v/>
      </c>
      <c r="AQ308" s="24" t="str">
        <f t="shared" si="261"/>
        <v/>
      </c>
      <c r="AR308" s="25" t="str">
        <f t="shared" si="262"/>
        <v/>
      </c>
      <c r="AS308" s="25" t="str">
        <f t="shared" si="263"/>
        <v/>
      </c>
      <c r="AT308" s="25" t="str">
        <f t="shared" si="264"/>
        <v/>
      </c>
      <c r="AU308" s="25" t="str">
        <f t="shared" si="265"/>
        <v/>
      </c>
      <c r="AV308" s="25" t="str">
        <f t="shared" si="266"/>
        <v/>
      </c>
      <c r="AW308" s="25" t="str">
        <f t="shared" si="267"/>
        <v/>
      </c>
      <c r="AX308" s="26" t="str">
        <f t="shared" si="268"/>
        <v/>
      </c>
    </row>
    <row r="309" spans="4:50" hidden="1" x14ac:dyDescent="0.25">
      <c r="D309" s="70">
        <v>7</v>
      </c>
      <c r="E309" s="24" t="str">
        <f t="shared" si="229"/>
        <v/>
      </c>
      <c r="F309" s="25" t="str">
        <f t="shared" si="230"/>
        <v/>
      </c>
      <c r="G309" s="25" t="str">
        <f t="shared" si="231"/>
        <v/>
      </c>
      <c r="H309" s="25" t="str">
        <f t="shared" si="232"/>
        <v/>
      </c>
      <c r="I309" s="25" t="str">
        <f t="shared" si="233"/>
        <v/>
      </c>
      <c r="J309" s="25" t="str">
        <f t="shared" si="234"/>
        <v/>
      </c>
      <c r="K309" s="25" t="str">
        <f t="shared" si="235"/>
        <v/>
      </c>
      <c r="L309" s="26" t="str">
        <f t="shared" si="236"/>
        <v/>
      </c>
      <c r="M309" s="24" t="str">
        <f t="shared" si="237"/>
        <v/>
      </c>
      <c r="N309" s="25" t="str">
        <f t="shared" si="238"/>
        <v/>
      </c>
      <c r="O309" s="25" t="str">
        <f t="shared" si="239"/>
        <v/>
      </c>
      <c r="P309" s="25" t="str">
        <f t="shared" si="240"/>
        <v/>
      </c>
      <c r="Q309" s="25" t="str">
        <f t="shared" si="241"/>
        <v/>
      </c>
      <c r="R309" s="25" t="str">
        <f t="shared" si="242"/>
        <v/>
      </c>
      <c r="S309" s="25" t="str">
        <f t="shared" si="243"/>
        <v/>
      </c>
      <c r="T309" s="26" t="str">
        <f t="shared" si="244"/>
        <v/>
      </c>
      <c r="X309" s="24" t="str">
        <f t="shared" si="245"/>
        <v/>
      </c>
      <c r="Y309" s="25" t="str">
        <f t="shared" si="246"/>
        <v/>
      </c>
      <c r="Z309" s="25" t="str">
        <f t="shared" si="247"/>
        <v/>
      </c>
      <c r="AA309" s="25" t="str">
        <f t="shared" si="248"/>
        <v/>
      </c>
      <c r="AB309" s="25" t="str">
        <f t="shared" si="249"/>
        <v/>
      </c>
      <c r="AC309" s="25" t="str">
        <f t="shared" si="250"/>
        <v/>
      </c>
      <c r="AD309" s="25" t="str">
        <f t="shared" si="251"/>
        <v/>
      </c>
      <c r="AE309" s="26" t="str">
        <f t="shared" si="252"/>
        <v/>
      </c>
      <c r="AF309" s="24" t="str">
        <f t="shared" si="253"/>
        <v/>
      </c>
      <c r="AG309" s="25" t="str">
        <f t="shared" si="254"/>
        <v/>
      </c>
      <c r="AH309" s="25" t="str">
        <f t="shared" si="255"/>
        <v/>
      </c>
      <c r="AI309" s="25" t="str">
        <f t="shared" si="256"/>
        <v/>
      </c>
      <c r="AJ309" s="25" t="str">
        <f t="shared" si="257"/>
        <v/>
      </c>
      <c r="AK309" s="25" t="str">
        <f t="shared" si="258"/>
        <v/>
      </c>
      <c r="AL309" s="25" t="str">
        <f t="shared" si="259"/>
        <v/>
      </c>
      <c r="AM309" s="26" t="str">
        <f t="shared" si="260"/>
        <v/>
      </c>
      <c r="AQ309" s="24" t="str">
        <f t="shared" si="261"/>
        <v/>
      </c>
      <c r="AR309" s="25" t="str">
        <f t="shared" si="262"/>
        <v/>
      </c>
      <c r="AS309" s="25" t="str">
        <f t="shared" si="263"/>
        <v/>
      </c>
      <c r="AT309" s="25" t="str">
        <f t="shared" si="264"/>
        <v/>
      </c>
      <c r="AU309" s="25" t="str">
        <f t="shared" si="265"/>
        <v/>
      </c>
      <c r="AV309" s="25" t="str">
        <f t="shared" si="266"/>
        <v/>
      </c>
      <c r="AW309" s="25" t="str">
        <f t="shared" si="267"/>
        <v/>
      </c>
      <c r="AX309" s="26" t="str">
        <f t="shared" si="268"/>
        <v/>
      </c>
    </row>
    <row r="310" spans="4:50" hidden="1" x14ac:dyDescent="0.25">
      <c r="D310" s="70">
        <v>8</v>
      </c>
      <c r="E310" s="24" t="str">
        <f t="shared" si="229"/>
        <v/>
      </c>
      <c r="F310" s="25" t="str">
        <f t="shared" si="230"/>
        <v/>
      </c>
      <c r="G310" s="25" t="str">
        <f t="shared" si="231"/>
        <v/>
      </c>
      <c r="H310" s="25" t="str">
        <f t="shared" si="232"/>
        <v/>
      </c>
      <c r="I310" s="25" t="str">
        <f t="shared" si="233"/>
        <v/>
      </c>
      <c r="J310" s="25" t="str">
        <f t="shared" si="234"/>
        <v/>
      </c>
      <c r="K310" s="25" t="str">
        <f t="shared" si="235"/>
        <v/>
      </c>
      <c r="L310" s="26" t="str">
        <f t="shared" si="236"/>
        <v/>
      </c>
      <c r="M310" s="24" t="str">
        <f t="shared" si="237"/>
        <v/>
      </c>
      <c r="N310" s="25" t="str">
        <f t="shared" si="238"/>
        <v/>
      </c>
      <c r="O310" s="25" t="str">
        <f t="shared" si="239"/>
        <v/>
      </c>
      <c r="P310" s="25" t="str">
        <f t="shared" si="240"/>
        <v/>
      </c>
      <c r="Q310" s="25" t="str">
        <f t="shared" si="241"/>
        <v/>
      </c>
      <c r="R310" s="25" t="str">
        <f t="shared" si="242"/>
        <v/>
      </c>
      <c r="S310" s="25" t="str">
        <f t="shared" si="243"/>
        <v/>
      </c>
      <c r="T310" s="26" t="str">
        <f t="shared" si="244"/>
        <v/>
      </c>
      <c r="X310" s="24" t="str">
        <f t="shared" si="245"/>
        <v/>
      </c>
      <c r="Y310" s="25" t="str">
        <f t="shared" si="246"/>
        <v/>
      </c>
      <c r="Z310" s="25" t="str">
        <f t="shared" si="247"/>
        <v/>
      </c>
      <c r="AA310" s="25" t="str">
        <f t="shared" si="248"/>
        <v/>
      </c>
      <c r="AB310" s="25" t="str">
        <f t="shared" si="249"/>
        <v/>
      </c>
      <c r="AC310" s="25" t="str">
        <f t="shared" si="250"/>
        <v/>
      </c>
      <c r="AD310" s="25" t="str">
        <f t="shared" si="251"/>
        <v/>
      </c>
      <c r="AE310" s="26" t="str">
        <f t="shared" si="252"/>
        <v/>
      </c>
      <c r="AF310" s="24" t="str">
        <f t="shared" si="253"/>
        <v/>
      </c>
      <c r="AG310" s="25" t="str">
        <f t="shared" si="254"/>
        <v/>
      </c>
      <c r="AH310" s="25" t="str">
        <f t="shared" si="255"/>
        <v/>
      </c>
      <c r="AI310" s="25" t="str">
        <f t="shared" si="256"/>
        <v/>
      </c>
      <c r="AJ310" s="25" t="str">
        <f t="shared" si="257"/>
        <v/>
      </c>
      <c r="AK310" s="25" t="str">
        <f t="shared" si="258"/>
        <v/>
      </c>
      <c r="AL310" s="25" t="str">
        <f t="shared" si="259"/>
        <v/>
      </c>
      <c r="AM310" s="26" t="str">
        <f t="shared" si="260"/>
        <v/>
      </c>
      <c r="AQ310" s="24" t="str">
        <f t="shared" si="261"/>
        <v/>
      </c>
      <c r="AR310" s="25" t="str">
        <f t="shared" si="262"/>
        <v/>
      </c>
      <c r="AS310" s="25" t="str">
        <f t="shared" si="263"/>
        <v/>
      </c>
      <c r="AT310" s="25" t="str">
        <f t="shared" si="264"/>
        <v/>
      </c>
      <c r="AU310" s="25" t="str">
        <f t="shared" si="265"/>
        <v/>
      </c>
      <c r="AV310" s="25" t="str">
        <f t="shared" si="266"/>
        <v/>
      </c>
      <c r="AW310" s="25" t="str">
        <f t="shared" si="267"/>
        <v/>
      </c>
      <c r="AX310" s="26" t="str">
        <f t="shared" si="268"/>
        <v/>
      </c>
    </row>
    <row r="311" spans="4:50" hidden="1" x14ac:dyDescent="0.25">
      <c r="D311" s="70">
        <v>9</v>
      </c>
      <c r="E311" s="24" t="str">
        <f t="shared" si="229"/>
        <v/>
      </c>
      <c r="F311" s="25" t="str">
        <f t="shared" si="230"/>
        <v/>
      </c>
      <c r="G311" s="25" t="str">
        <f t="shared" si="231"/>
        <v/>
      </c>
      <c r="H311" s="25" t="str">
        <f t="shared" si="232"/>
        <v/>
      </c>
      <c r="I311" s="25" t="str">
        <f t="shared" si="233"/>
        <v/>
      </c>
      <c r="J311" s="25" t="str">
        <f t="shared" si="234"/>
        <v/>
      </c>
      <c r="K311" s="25" t="str">
        <f t="shared" si="235"/>
        <v/>
      </c>
      <c r="L311" s="26" t="str">
        <f t="shared" si="236"/>
        <v/>
      </c>
      <c r="M311" s="24" t="str">
        <f t="shared" si="237"/>
        <v/>
      </c>
      <c r="N311" s="25" t="str">
        <f t="shared" si="238"/>
        <v/>
      </c>
      <c r="O311" s="25" t="str">
        <f t="shared" si="239"/>
        <v/>
      </c>
      <c r="P311" s="25" t="str">
        <f t="shared" si="240"/>
        <v/>
      </c>
      <c r="Q311" s="25" t="str">
        <f t="shared" si="241"/>
        <v/>
      </c>
      <c r="R311" s="25" t="str">
        <f t="shared" si="242"/>
        <v/>
      </c>
      <c r="S311" s="25" t="str">
        <f t="shared" si="243"/>
        <v/>
      </c>
      <c r="T311" s="26" t="str">
        <f t="shared" si="244"/>
        <v/>
      </c>
      <c r="X311" s="24" t="str">
        <f t="shared" si="245"/>
        <v/>
      </c>
      <c r="Y311" s="25" t="str">
        <f t="shared" si="246"/>
        <v/>
      </c>
      <c r="Z311" s="25" t="str">
        <f t="shared" si="247"/>
        <v/>
      </c>
      <c r="AA311" s="25" t="str">
        <f t="shared" si="248"/>
        <v/>
      </c>
      <c r="AB311" s="25" t="str">
        <f t="shared" si="249"/>
        <v/>
      </c>
      <c r="AC311" s="25" t="str">
        <f t="shared" si="250"/>
        <v/>
      </c>
      <c r="AD311" s="25" t="str">
        <f t="shared" si="251"/>
        <v/>
      </c>
      <c r="AE311" s="26" t="str">
        <f t="shared" si="252"/>
        <v/>
      </c>
      <c r="AF311" s="24" t="str">
        <f t="shared" si="253"/>
        <v/>
      </c>
      <c r="AG311" s="25" t="str">
        <f t="shared" si="254"/>
        <v/>
      </c>
      <c r="AH311" s="25" t="str">
        <f t="shared" si="255"/>
        <v/>
      </c>
      <c r="AI311" s="25" t="str">
        <f t="shared" si="256"/>
        <v/>
      </c>
      <c r="AJ311" s="25" t="str">
        <f t="shared" si="257"/>
        <v/>
      </c>
      <c r="AK311" s="25" t="str">
        <f t="shared" si="258"/>
        <v/>
      </c>
      <c r="AL311" s="25" t="str">
        <f t="shared" si="259"/>
        <v/>
      </c>
      <c r="AM311" s="26" t="str">
        <f t="shared" si="260"/>
        <v/>
      </c>
      <c r="AQ311" s="24" t="str">
        <f t="shared" si="261"/>
        <v/>
      </c>
      <c r="AR311" s="25" t="str">
        <f t="shared" si="262"/>
        <v/>
      </c>
      <c r="AS311" s="25" t="str">
        <f t="shared" si="263"/>
        <v/>
      </c>
      <c r="AT311" s="25" t="str">
        <f t="shared" si="264"/>
        <v/>
      </c>
      <c r="AU311" s="25" t="str">
        <f t="shared" si="265"/>
        <v/>
      </c>
      <c r="AV311" s="25" t="str">
        <f t="shared" si="266"/>
        <v/>
      </c>
      <c r="AW311" s="25" t="str">
        <f t="shared" si="267"/>
        <v/>
      </c>
      <c r="AX311" s="26" t="str">
        <f t="shared" si="268"/>
        <v/>
      </c>
    </row>
    <row r="312" spans="4:50" hidden="1" x14ac:dyDescent="0.25">
      <c r="D312" s="70">
        <v>10</v>
      </c>
      <c r="E312" s="24" t="str">
        <f t="shared" si="229"/>
        <v/>
      </c>
      <c r="F312" s="25" t="str">
        <f t="shared" si="230"/>
        <v/>
      </c>
      <c r="G312" s="25" t="str">
        <f t="shared" si="231"/>
        <v/>
      </c>
      <c r="H312" s="25" t="str">
        <f t="shared" si="232"/>
        <v/>
      </c>
      <c r="I312" s="25" t="str">
        <f t="shared" si="233"/>
        <v/>
      </c>
      <c r="J312" s="25" t="str">
        <f t="shared" si="234"/>
        <v/>
      </c>
      <c r="K312" s="25" t="str">
        <f t="shared" si="235"/>
        <v/>
      </c>
      <c r="L312" s="26" t="str">
        <f t="shared" si="236"/>
        <v/>
      </c>
      <c r="M312" s="24" t="str">
        <f t="shared" si="237"/>
        <v/>
      </c>
      <c r="N312" s="25" t="str">
        <f t="shared" si="238"/>
        <v/>
      </c>
      <c r="O312" s="25" t="str">
        <f t="shared" si="239"/>
        <v/>
      </c>
      <c r="P312" s="25" t="str">
        <f t="shared" si="240"/>
        <v/>
      </c>
      <c r="Q312" s="25" t="str">
        <f t="shared" si="241"/>
        <v/>
      </c>
      <c r="R312" s="25" t="str">
        <f t="shared" si="242"/>
        <v/>
      </c>
      <c r="S312" s="25" t="str">
        <f t="shared" si="243"/>
        <v/>
      </c>
      <c r="T312" s="26" t="str">
        <f t="shared" si="244"/>
        <v/>
      </c>
      <c r="X312" s="24" t="str">
        <f t="shared" si="245"/>
        <v/>
      </c>
      <c r="Y312" s="25" t="str">
        <f t="shared" si="246"/>
        <v/>
      </c>
      <c r="Z312" s="25" t="str">
        <f t="shared" si="247"/>
        <v/>
      </c>
      <c r="AA312" s="25" t="str">
        <f t="shared" si="248"/>
        <v/>
      </c>
      <c r="AB312" s="25" t="str">
        <f t="shared" si="249"/>
        <v/>
      </c>
      <c r="AC312" s="25" t="str">
        <f t="shared" si="250"/>
        <v/>
      </c>
      <c r="AD312" s="25" t="str">
        <f t="shared" si="251"/>
        <v/>
      </c>
      <c r="AE312" s="26" t="str">
        <f t="shared" si="252"/>
        <v/>
      </c>
      <c r="AF312" s="24" t="str">
        <f t="shared" si="253"/>
        <v/>
      </c>
      <c r="AG312" s="25" t="str">
        <f t="shared" si="254"/>
        <v/>
      </c>
      <c r="AH312" s="25" t="str">
        <f t="shared" si="255"/>
        <v/>
      </c>
      <c r="AI312" s="25" t="str">
        <f t="shared" si="256"/>
        <v/>
      </c>
      <c r="AJ312" s="25" t="str">
        <f t="shared" si="257"/>
        <v/>
      </c>
      <c r="AK312" s="25" t="str">
        <f t="shared" si="258"/>
        <v/>
      </c>
      <c r="AL312" s="25" t="str">
        <f t="shared" si="259"/>
        <v/>
      </c>
      <c r="AM312" s="26" t="str">
        <f t="shared" si="260"/>
        <v/>
      </c>
      <c r="AQ312" s="24" t="str">
        <f t="shared" si="261"/>
        <v/>
      </c>
      <c r="AR312" s="25" t="str">
        <f t="shared" si="262"/>
        <v/>
      </c>
      <c r="AS312" s="25" t="str">
        <f t="shared" si="263"/>
        <v/>
      </c>
      <c r="AT312" s="25" t="str">
        <f t="shared" si="264"/>
        <v/>
      </c>
      <c r="AU312" s="25" t="str">
        <f t="shared" si="265"/>
        <v/>
      </c>
      <c r="AV312" s="25" t="str">
        <f t="shared" si="266"/>
        <v/>
      </c>
      <c r="AW312" s="25" t="str">
        <f t="shared" si="267"/>
        <v/>
      </c>
      <c r="AX312" s="26" t="str">
        <f t="shared" si="268"/>
        <v/>
      </c>
    </row>
    <row r="313" spans="4:50" hidden="1" x14ac:dyDescent="0.25">
      <c r="D313" s="70">
        <v>11</v>
      </c>
      <c r="E313" s="24" t="str">
        <f t="shared" si="229"/>
        <v/>
      </c>
      <c r="F313" s="25" t="str">
        <f t="shared" si="230"/>
        <v/>
      </c>
      <c r="G313" s="25" t="str">
        <f t="shared" si="231"/>
        <v/>
      </c>
      <c r="H313" s="25" t="str">
        <f t="shared" si="232"/>
        <v/>
      </c>
      <c r="I313" s="25" t="str">
        <f t="shared" si="233"/>
        <v/>
      </c>
      <c r="J313" s="25" t="str">
        <f t="shared" si="234"/>
        <v/>
      </c>
      <c r="K313" s="25" t="str">
        <f t="shared" si="235"/>
        <v/>
      </c>
      <c r="L313" s="26" t="str">
        <f t="shared" si="236"/>
        <v/>
      </c>
      <c r="M313" s="24" t="str">
        <f t="shared" si="237"/>
        <v/>
      </c>
      <c r="N313" s="25" t="str">
        <f t="shared" si="238"/>
        <v/>
      </c>
      <c r="O313" s="25" t="str">
        <f t="shared" si="239"/>
        <v/>
      </c>
      <c r="P313" s="25" t="str">
        <f t="shared" si="240"/>
        <v/>
      </c>
      <c r="Q313" s="25" t="str">
        <f t="shared" si="241"/>
        <v/>
      </c>
      <c r="R313" s="25" t="str">
        <f t="shared" si="242"/>
        <v/>
      </c>
      <c r="S313" s="25" t="str">
        <f t="shared" si="243"/>
        <v/>
      </c>
      <c r="T313" s="26" t="str">
        <f t="shared" si="244"/>
        <v/>
      </c>
      <c r="X313" s="24" t="str">
        <f t="shared" si="245"/>
        <v/>
      </c>
      <c r="Y313" s="25" t="str">
        <f t="shared" si="246"/>
        <v/>
      </c>
      <c r="Z313" s="25" t="str">
        <f t="shared" si="247"/>
        <v/>
      </c>
      <c r="AA313" s="25" t="str">
        <f t="shared" si="248"/>
        <v/>
      </c>
      <c r="AB313" s="25" t="str">
        <f t="shared" si="249"/>
        <v/>
      </c>
      <c r="AC313" s="25" t="str">
        <f t="shared" si="250"/>
        <v/>
      </c>
      <c r="AD313" s="25" t="str">
        <f t="shared" si="251"/>
        <v/>
      </c>
      <c r="AE313" s="26" t="str">
        <f t="shared" si="252"/>
        <v/>
      </c>
      <c r="AF313" s="24" t="str">
        <f t="shared" si="253"/>
        <v/>
      </c>
      <c r="AG313" s="25" t="str">
        <f t="shared" si="254"/>
        <v/>
      </c>
      <c r="AH313" s="25" t="str">
        <f t="shared" si="255"/>
        <v/>
      </c>
      <c r="AI313" s="25" t="str">
        <f t="shared" si="256"/>
        <v/>
      </c>
      <c r="AJ313" s="25" t="str">
        <f t="shared" si="257"/>
        <v/>
      </c>
      <c r="AK313" s="25" t="str">
        <f t="shared" si="258"/>
        <v/>
      </c>
      <c r="AL313" s="25" t="str">
        <f t="shared" si="259"/>
        <v/>
      </c>
      <c r="AM313" s="26" t="str">
        <f t="shared" si="260"/>
        <v/>
      </c>
      <c r="AQ313" s="24" t="str">
        <f t="shared" si="261"/>
        <v/>
      </c>
      <c r="AR313" s="25" t="str">
        <f t="shared" si="262"/>
        <v/>
      </c>
      <c r="AS313" s="25" t="str">
        <f t="shared" si="263"/>
        <v/>
      </c>
      <c r="AT313" s="25" t="str">
        <f t="shared" si="264"/>
        <v/>
      </c>
      <c r="AU313" s="25" t="str">
        <f t="shared" si="265"/>
        <v/>
      </c>
      <c r="AV313" s="25" t="str">
        <f t="shared" si="266"/>
        <v/>
      </c>
      <c r="AW313" s="25" t="str">
        <f t="shared" si="267"/>
        <v/>
      </c>
      <c r="AX313" s="26" t="str">
        <f t="shared" si="268"/>
        <v/>
      </c>
    </row>
    <row r="314" spans="4:50" hidden="1" x14ac:dyDescent="0.25">
      <c r="D314" s="70">
        <v>12</v>
      </c>
      <c r="E314" s="24" t="str">
        <f t="shared" si="229"/>
        <v/>
      </c>
      <c r="F314" s="25" t="str">
        <f t="shared" si="230"/>
        <v/>
      </c>
      <c r="G314" s="25" t="str">
        <f t="shared" si="231"/>
        <v/>
      </c>
      <c r="H314" s="25" t="str">
        <f t="shared" si="232"/>
        <v/>
      </c>
      <c r="I314" s="25" t="str">
        <f t="shared" si="233"/>
        <v/>
      </c>
      <c r="J314" s="25" t="str">
        <f t="shared" si="234"/>
        <v/>
      </c>
      <c r="K314" s="25" t="str">
        <f t="shared" si="235"/>
        <v/>
      </c>
      <c r="L314" s="26" t="str">
        <f t="shared" si="236"/>
        <v/>
      </c>
      <c r="M314" s="24" t="str">
        <f t="shared" si="237"/>
        <v/>
      </c>
      <c r="N314" s="25" t="str">
        <f t="shared" si="238"/>
        <v/>
      </c>
      <c r="O314" s="25" t="str">
        <f t="shared" si="239"/>
        <v/>
      </c>
      <c r="P314" s="25" t="str">
        <f t="shared" si="240"/>
        <v/>
      </c>
      <c r="Q314" s="25" t="str">
        <f t="shared" si="241"/>
        <v/>
      </c>
      <c r="R314" s="25" t="str">
        <f t="shared" si="242"/>
        <v/>
      </c>
      <c r="S314" s="25" t="str">
        <f t="shared" si="243"/>
        <v/>
      </c>
      <c r="T314" s="26" t="str">
        <f t="shared" si="244"/>
        <v/>
      </c>
      <c r="X314" s="24" t="str">
        <f t="shared" si="245"/>
        <v/>
      </c>
      <c r="Y314" s="25" t="str">
        <f t="shared" si="246"/>
        <v/>
      </c>
      <c r="Z314" s="25" t="str">
        <f t="shared" si="247"/>
        <v/>
      </c>
      <c r="AA314" s="25" t="str">
        <f t="shared" si="248"/>
        <v/>
      </c>
      <c r="AB314" s="25" t="str">
        <f t="shared" si="249"/>
        <v/>
      </c>
      <c r="AC314" s="25" t="str">
        <f t="shared" si="250"/>
        <v/>
      </c>
      <c r="AD314" s="25" t="str">
        <f t="shared" si="251"/>
        <v/>
      </c>
      <c r="AE314" s="26" t="str">
        <f t="shared" si="252"/>
        <v/>
      </c>
      <c r="AF314" s="24" t="str">
        <f t="shared" si="253"/>
        <v/>
      </c>
      <c r="AG314" s="25" t="str">
        <f t="shared" si="254"/>
        <v/>
      </c>
      <c r="AH314" s="25" t="str">
        <f t="shared" si="255"/>
        <v/>
      </c>
      <c r="AI314" s="25" t="str">
        <f t="shared" si="256"/>
        <v/>
      </c>
      <c r="AJ314" s="25" t="str">
        <f t="shared" si="257"/>
        <v/>
      </c>
      <c r="AK314" s="25" t="str">
        <f t="shared" si="258"/>
        <v/>
      </c>
      <c r="AL314" s="25" t="str">
        <f t="shared" si="259"/>
        <v/>
      </c>
      <c r="AM314" s="26" t="str">
        <f t="shared" si="260"/>
        <v/>
      </c>
      <c r="AQ314" s="24" t="str">
        <f t="shared" si="261"/>
        <v/>
      </c>
      <c r="AR314" s="25" t="str">
        <f t="shared" si="262"/>
        <v/>
      </c>
      <c r="AS314" s="25" t="str">
        <f t="shared" si="263"/>
        <v/>
      </c>
      <c r="AT314" s="25" t="str">
        <f t="shared" si="264"/>
        <v/>
      </c>
      <c r="AU314" s="25" t="str">
        <f t="shared" si="265"/>
        <v/>
      </c>
      <c r="AV314" s="25" t="str">
        <f t="shared" si="266"/>
        <v/>
      </c>
      <c r="AW314" s="25" t="str">
        <f t="shared" si="267"/>
        <v/>
      </c>
      <c r="AX314" s="26" t="str">
        <f t="shared" si="268"/>
        <v/>
      </c>
    </row>
    <row r="315" spans="4:50" hidden="1" x14ac:dyDescent="0.25">
      <c r="D315" s="70">
        <v>13</v>
      </c>
      <c r="E315" s="24" t="str">
        <f t="shared" si="229"/>
        <v/>
      </c>
      <c r="F315" s="25" t="str">
        <f t="shared" si="230"/>
        <v/>
      </c>
      <c r="G315" s="25" t="str">
        <f t="shared" si="231"/>
        <v/>
      </c>
      <c r="H315" s="25" t="str">
        <f t="shared" si="232"/>
        <v/>
      </c>
      <c r="I315" s="25" t="str">
        <f t="shared" si="233"/>
        <v/>
      </c>
      <c r="J315" s="25" t="str">
        <f t="shared" si="234"/>
        <v/>
      </c>
      <c r="K315" s="25" t="str">
        <f t="shared" si="235"/>
        <v/>
      </c>
      <c r="L315" s="26" t="str">
        <f t="shared" si="236"/>
        <v/>
      </c>
      <c r="M315" s="24" t="str">
        <f t="shared" si="237"/>
        <v/>
      </c>
      <c r="N315" s="25" t="str">
        <f t="shared" si="238"/>
        <v/>
      </c>
      <c r="O315" s="25" t="str">
        <f t="shared" si="239"/>
        <v/>
      </c>
      <c r="P315" s="25" t="str">
        <f t="shared" si="240"/>
        <v/>
      </c>
      <c r="Q315" s="25" t="str">
        <f t="shared" si="241"/>
        <v/>
      </c>
      <c r="R315" s="25" t="str">
        <f t="shared" si="242"/>
        <v/>
      </c>
      <c r="S315" s="25" t="str">
        <f t="shared" si="243"/>
        <v/>
      </c>
      <c r="T315" s="26" t="str">
        <f t="shared" si="244"/>
        <v/>
      </c>
      <c r="X315" s="24" t="str">
        <f t="shared" si="245"/>
        <v/>
      </c>
      <c r="Y315" s="25" t="str">
        <f t="shared" si="246"/>
        <v/>
      </c>
      <c r="Z315" s="25" t="str">
        <f t="shared" si="247"/>
        <v/>
      </c>
      <c r="AA315" s="25" t="str">
        <f t="shared" si="248"/>
        <v/>
      </c>
      <c r="AB315" s="25" t="str">
        <f t="shared" si="249"/>
        <v/>
      </c>
      <c r="AC315" s="25" t="str">
        <f t="shared" si="250"/>
        <v/>
      </c>
      <c r="AD315" s="25" t="str">
        <f t="shared" si="251"/>
        <v/>
      </c>
      <c r="AE315" s="26" t="str">
        <f t="shared" si="252"/>
        <v/>
      </c>
      <c r="AF315" s="24" t="str">
        <f t="shared" si="253"/>
        <v/>
      </c>
      <c r="AG315" s="25" t="str">
        <f t="shared" si="254"/>
        <v/>
      </c>
      <c r="AH315" s="25" t="str">
        <f t="shared" si="255"/>
        <v/>
      </c>
      <c r="AI315" s="25" t="str">
        <f t="shared" si="256"/>
        <v/>
      </c>
      <c r="AJ315" s="25" t="str">
        <f t="shared" si="257"/>
        <v/>
      </c>
      <c r="AK315" s="25" t="str">
        <f t="shared" si="258"/>
        <v/>
      </c>
      <c r="AL315" s="25" t="str">
        <f t="shared" si="259"/>
        <v/>
      </c>
      <c r="AM315" s="26" t="str">
        <f t="shared" si="260"/>
        <v/>
      </c>
      <c r="AQ315" s="24" t="str">
        <f t="shared" si="261"/>
        <v/>
      </c>
      <c r="AR315" s="25" t="str">
        <f t="shared" si="262"/>
        <v/>
      </c>
      <c r="AS315" s="25" t="str">
        <f t="shared" si="263"/>
        <v/>
      </c>
      <c r="AT315" s="25" t="str">
        <f t="shared" si="264"/>
        <v/>
      </c>
      <c r="AU315" s="25" t="str">
        <f t="shared" si="265"/>
        <v/>
      </c>
      <c r="AV315" s="25" t="str">
        <f t="shared" si="266"/>
        <v/>
      </c>
      <c r="AW315" s="25" t="str">
        <f t="shared" si="267"/>
        <v/>
      </c>
      <c r="AX315" s="26" t="str">
        <f t="shared" si="268"/>
        <v/>
      </c>
    </row>
    <row r="316" spans="4:50" hidden="1" x14ac:dyDescent="0.25">
      <c r="D316" s="70">
        <v>14</v>
      </c>
      <c r="E316" s="24" t="str">
        <f t="shared" si="229"/>
        <v/>
      </c>
      <c r="F316" s="25" t="str">
        <f t="shared" si="230"/>
        <v/>
      </c>
      <c r="G316" s="25" t="str">
        <f t="shared" si="231"/>
        <v/>
      </c>
      <c r="H316" s="25" t="str">
        <f t="shared" si="232"/>
        <v/>
      </c>
      <c r="I316" s="25" t="str">
        <f t="shared" si="233"/>
        <v/>
      </c>
      <c r="J316" s="25" t="str">
        <f t="shared" si="234"/>
        <v/>
      </c>
      <c r="K316" s="25" t="str">
        <f t="shared" si="235"/>
        <v/>
      </c>
      <c r="L316" s="26" t="str">
        <f t="shared" si="236"/>
        <v/>
      </c>
      <c r="M316" s="24" t="str">
        <f t="shared" si="237"/>
        <v/>
      </c>
      <c r="N316" s="25" t="str">
        <f t="shared" si="238"/>
        <v/>
      </c>
      <c r="O316" s="25" t="str">
        <f t="shared" si="239"/>
        <v/>
      </c>
      <c r="P316" s="25" t="str">
        <f t="shared" si="240"/>
        <v/>
      </c>
      <c r="Q316" s="25" t="str">
        <f t="shared" si="241"/>
        <v/>
      </c>
      <c r="R316" s="25" t="str">
        <f t="shared" si="242"/>
        <v/>
      </c>
      <c r="S316" s="25" t="str">
        <f t="shared" si="243"/>
        <v/>
      </c>
      <c r="T316" s="26" t="str">
        <f t="shared" si="244"/>
        <v/>
      </c>
      <c r="X316" s="24" t="str">
        <f t="shared" si="245"/>
        <v/>
      </c>
      <c r="Y316" s="25" t="str">
        <f t="shared" si="246"/>
        <v/>
      </c>
      <c r="Z316" s="25" t="str">
        <f t="shared" si="247"/>
        <v/>
      </c>
      <c r="AA316" s="25" t="str">
        <f t="shared" si="248"/>
        <v/>
      </c>
      <c r="AB316" s="25" t="str">
        <f t="shared" si="249"/>
        <v/>
      </c>
      <c r="AC316" s="25" t="str">
        <f t="shared" si="250"/>
        <v/>
      </c>
      <c r="AD316" s="25" t="str">
        <f t="shared" si="251"/>
        <v/>
      </c>
      <c r="AE316" s="26" t="str">
        <f t="shared" si="252"/>
        <v/>
      </c>
      <c r="AF316" s="24" t="str">
        <f t="shared" si="253"/>
        <v/>
      </c>
      <c r="AG316" s="25" t="str">
        <f t="shared" si="254"/>
        <v/>
      </c>
      <c r="AH316" s="25" t="str">
        <f t="shared" si="255"/>
        <v/>
      </c>
      <c r="AI316" s="25" t="str">
        <f t="shared" si="256"/>
        <v/>
      </c>
      <c r="AJ316" s="25" t="str">
        <f t="shared" si="257"/>
        <v/>
      </c>
      <c r="AK316" s="25" t="str">
        <f t="shared" si="258"/>
        <v/>
      </c>
      <c r="AL316" s="25" t="str">
        <f t="shared" si="259"/>
        <v/>
      </c>
      <c r="AM316" s="26" t="str">
        <f t="shared" si="260"/>
        <v/>
      </c>
      <c r="AQ316" s="24" t="str">
        <f t="shared" si="261"/>
        <v/>
      </c>
      <c r="AR316" s="25" t="str">
        <f t="shared" si="262"/>
        <v/>
      </c>
      <c r="AS316" s="25" t="str">
        <f t="shared" si="263"/>
        <v/>
      </c>
      <c r="AT316" s="25" t="str">
        <f t="shared" si="264"/>
        <v/>
      </c>
      <c r="AU316" s="25" t="str">
        <f t="shared" si="265"/>
        <v/>
      </c>
      <c r="AV316" s="25" t="str">
        <f t="shared" si="266"/>
        <v/>
      </c>
      <c r="AW316" s="25" t="str">
        <f t="shared" si="267"/>
        <v/>
      </c>
      <c r="AX316" s="26" t="str">
        <f t="shared" si="268"/>
        <v/>
      </c>
    </row>
    <row r="317" spans="4:50" hidden="1" x14ac:dyDescent="0.25">
      <c r="D317" s="70">
        <v>15</v>
      </c>
      <c r="E317" s="24" t="str">
        <f t="shared" si="229"/>
        <v/>
      </c>
      <c r="F317" s="25" t="str">
        <f t="shared" si="230"/>
        <v/>
      </c>
      <c r="G317" s="25" t="str">
        <f t="shared" si="231"/>
        <v/>
      </c>
      <c r="H317" s="25" t="str">
        <f t="shared" si="232"/>
        <v/>
      </c>
      <c r="I317" s="25" t="str">
        <f t="shared" si="233"/>
        <v/>
      </c>
      <c r="J317" s="25" t="str">
        <f t="shared" si="234"/>
        <v/>
      </c>
      <c r="K317" s="25" t="str">
        <f t="shared" si="235"/>
        <v/>
      </c>
      <c r="L317" s="26" t="str">
        <f t="shared" si="236"/>
        <v/>
      </c>
      <c r="M317" s="24" t="str">
        <f t="shared" si="237"/>
        <v/>
      </c>
      <c r="N317" s="25" t="str">
        <f t="shared" si="238"/>
        <v/>
      </c>
      <c r="O317" s="25" t="str">
        <f t="shared" si="239"/>
        <v/>
      </c>
      <c r="P317" s="25" t="str">
        <f t="shared" si="240"/>
        <v/>
      </c>
      <c r="Q317" s="25" t="str">
        <f t="shared" si="241"/>
        <v/>
      </c>
      <c r="R317" s="25" t="str">
        <f t="shared" si="242"/>
        <v/>
      </c>
      <c r="S317" s="25" t="str">
        <f t="shared" si="243"/>
        <v/>
      </c>
      <c r="T317" s="26" t="str">
        <f t="shared" si="244"/>
        <v/>
      </c>
      <c r="X317" s="24" t="str">
        <f t="shared" si="245"/>
        <v/>
      </c>
      <c r="Y317" s="25" t="str">
        <f t="shared" si="246"/>
        <v/>
      </c>
      <c r="Z317" s="25" t="str">
        <f t="shared" si="247"/>
        <v/>
      </c>
      <c r="AA317" s="25" t="str">
        <f t="shared" si="248"/>
        <v/>
      </c>
      <c r="AB317" s="25" t="str">
        <f t="shared" si="249"/>
        <v/>
      </c>
      <c r="AC317" s="25" t="str">
        <f t="shared" si="250"/>
        <v/>
      </c>
      <c r="AD317" s="25" t="str">
        <f t="shared" si="251"/>
        <v/>
      </c>
      <c r="AE317" s="26" t="str">
        <f t="shared" si="252"/>
        <v/>
      </c>
      <c r="AF317" s="24" t="str">
        <f t="shared" si="253"/>
        <v/>
      </c>
      <c r="AG317" s="25" t="str">
        <f t="shared" si="254"/>
        <v/>
      </c>
      <c r="AH317" s="25" t="str">
        <f t="shared" si="255"/>
        <v/>
      </c>
      <c r="AI317" s="25" t="str">
        <f t="shared" si="256"/>
        <v/>
      </c>
      <c r="AJ317" s="25" t="str">
        <f t="shared" si="257"/>
        <v/>
      </c>
      <c r="AK317" s="25" t="str">
        <f t="shared" si="258"/>
        <v/>
      </c>
      <c r="AL317" s="25" t="str">
        <f t="shared" si="259"/>
        <v/>
      </c>
      <c r="AM317" s="26" t="str">
        <f t="shared" si="260"/>
        <v/>
      </c>
      <c r="AQ317" s="24" t="str">
        <f t="shared" si="261"/>
        <v/>
      </c>
      <c r="AR317" s="25" t="str">
        <f t="shared" si="262"/>
        <v/>
      </c>
      <c r="AS317" s="25" t="str">
        <f t="shared" si="263"/>
        <v/>
      </c>
      <c r="AT317" s="25" t="str">
        <f t="shared" si="264"/>
        <v/>
      </c>
      <c r="AU317" s="25" t="str">
        <f t="shared" si="265"/>
        <v/>
      </c>
      <c r="AV317" s="25" t="str">
        <f t="shared" si="266"/>
        <v/>
      </c>
      <c r="AW317" s="25" t="str">
        <f t="shared" si="267"/>
        <v/>
      </c>
      <c r="AX317" s="26" t="str">
        <f t="shared" si="268"/>
        <v/>
      </c>
    </row>
    <row r="318" spans="4:50" hidden="1" x14ac:dyDescent="0.25">
      <c r="D318" s="70">
        <v>16</v>
      </c>
      <c r="E318" s="24" t="str">
        <f t="shared" si="229"/>
        <v/>
      </c>
      <c r="F318" s="25" t="str">
        <f t="shared" si="230"/>
        <v/>
      </c>
      <c r="G318" s="25" t="str">
        <f t="shared" si="231"/>
        <v/>
      </c>
      <c r="H318" s="25" t="str">
        <f t="shared" si="232"/>
        <v/>
      </c>
      <c r="I318" s="25" t="str">
        <f t="shared" si="233"/>
        <v/>
      </c>
      <c r="J318" s="25" t="str">
        <f t="shared" si="234"/>
        <v/>
      </c>
      <c r="K318" s="25" t="str">
        <f t="shared" si="235"/>
        <v/>
      </c>
      <c r="L318" s="26" t="str">
        <f t="shared" si="236"/>
        <v/>
      </c>
      <c r="M318" s="24" t="str">
        <f t="shared" si="237"/>
        <v/>
      </c>
      <c r="N318" s="25" t="str">
        <f t="shared" si="238"/>
        <v/>
      </c>
      <c r="O318" s="25" t="str">
        <f t="shared" si="239"/>
        <v/>
      </c>
      <c r="P318" s="25" t="str">
        <f t="shared" si="240"/>
        <v/>
      </c>
      <c r="Q318" s="25" t="str">
        <f t="shared" si="241"/>
        <v/>
      </c>
      <c r="R318" s="25" t="str">
        <f t="shared" si="242"/>
        <v/>
      </c>
      <c r="S318" s="25" t="str">
        <f t="shared" si="243"/>
        <v/>
      </c>
      <c r="T318" s="26" t="str">
        <f t="shared" si="244"/>
        <v/>
      </c>
      <c r="X318" s="24" t="str">
        <f t="shared" si="245"/>
        <v/>
      </c>
      <c r="Y318" s="25" t="str">
        <f t="shared" si="246"/>
        <v/>
      </c>
      <c r="Z318" s="25" t="str">
        <f t="shared" si="247"/>
        <v/>
      </c>
      <c r="AA318" s="25" t="str">
        <f t="shared" si="248"/>
        <v/>
      </c>
      <c r="AB318" s="25" t="str">
        <f t="shared" si="249"/>
        <v/>
      </c>
      <c r="AC318" s="25" t="str">
        <f t="shared" si="250"/>
        <v/>
      </c>
      <c r="AD318" s="25" t="str">
        <f t="shared" si="251"/>
        <v/>
      </c>
      <c r="AE318" s="26" t="str">
        <f t="shared" si="252"/>
        <v/>
      </c>
      <c r="AF318" s="24" t="str">
        <f t="shared" si="253"/>
        <v/>
      </c>
      <c r="AG318" s="25" t="str">
        <f t="shared" si="254"/>
        <v/>
      </c>
      <c r="AH318" s="25" t="str">
        <f t="shared" si="255"/>
        <v/>
      </c>
      <c r="AI318" s="25" t="str">
        <f t="shared" si="256"/>
        <v/>
      </c>
      <c r="AJ318" s="25" t="str">
        <f t="shared" si="257"/>
        <v/>
      </c>
      <c r="AK318" s="25" t="str">
        <f t="shared" si="258"/>
        <v/>
      </c>
      <c r="AL318" s="25" t="str">
        <f t="shared" si="259"/>
        <v/>
      </c>
      <c r="AM318" s="26" t="str">
        <f t="shared" si="260"/>
        <v/>
      </c>
      <c r="AQ318" s="24" t="str">
        <f t="shared" si="261"/>
        <v/>
      </c>
      <c r="AR318" s="25" t="str">
        <f t="shared" si="262"/>
        <v/>
      </c>
      <c r="AS318" s="25" t="str">
        <f t="shared" si="263"/>
        <v/>
      </c>
      <c r="AT318" s="25" t="str">
        <f t="shared" si="264"/>
        <v/>
      </c>
      <c r="AU318" s="25" t="str">
        <f t="shared" si="265"/>
        <v/>
      </c>
      <c r="AV318" s="25" t="str">
        <f t="shared" si="266"/>
        <v/>
      </c>
      <c r="AW318" s="25" t="str">
        <f t="shared" si="267"/>
        <v/>
      </c>
      <c r="AX318" s="26" t="str">
        <f t="shared" si="268"/>
        <v/>
      </c>
    </row>
    <row r="319" spans="4:50" hidden="1" x14ac:dyDescent="0.25">
      <c r="D319" s="70">
        <v>17</v>
      </c>
      <c r="E319" s="24" t="str">
        <f t="shared" si="229"/>
        <v/>
      </c>
      <c r="F319" s="25" t="str">
        <f t="shared" si="230"/>
        <v/>
      </c>
      <c r="G319" s="25" t="str">
        <f t="shared" si="231"/>
        <v/>
      </c>
      <c r="H319" s="25" t="str">
        <f t="shared" si="232"/>
        <v/>
      </c>
      <c r="I319" s="25" t="str">
        <f t="shared" si="233"/>
        <v/>
      </c>
      <c r="J319" s="25" t="str">
        <f t="shared" si="234"/>
        <v/>
      </c>
      <c r="K319" s="25" t="str">
        <f t="shared" si="235"/>
        <v/>
      </c>
      <c r="L319" s="26" t="str">
        <f t="shared" si="236"/>
        <v/>
      </c>
      <c r="M319" s="24" t="str">
        <f t="shared" si="237"/>
        <v/>
      </c>
      <c r="N319" s="25" t="str">
        <f t="shared" si="238"/>
        <v/>
      </c>
      <c r="O319" s="25" t="str">
        <f t="shared" si="239"/>
        <v/>
      </c>
      <c r="P319" s="25" t="str">
        <f t="shared" si="240"/>
        <v/>
      </c>
      <c r="Q319" s="25" t="str">
        <f t="shared" si="241"/>
        <v/>
      </c>
      <c r="R319" s="25" t="str">
        <f t="shared" si="242"/>
        <v/>
      </c>
      <c r="S319" s="25" t="str">
        <f t="shared" si="243"/>
        <v/>
      </c>
      <c r="T319" s="26" t="str">
        <f t="shared" si="244"/>
        <v/>
      </c>
      <c r="X319" s="24" t="str">
        <f t="shared" si="245"/>
        <v/>
      </c>
      <c r="Y319" s="25" t="str">
        <f t="shared" si="246"/>
        <v/>
      </c>
      <c r="Z319" s="25" t="str">
        <f t="shared" si="247"/>
        <v/>
      </c>
      <c r="AA319" s="25" t="str">
        <f t="shared" si="248"/>
        <v/>
      </c>
      <c r="AB319" s="25" t="str">
        <f t="shared" si="249"/>
        <v/>
      </c>
      <c r="AC319" s="25" t="str">
        <f t="shared" si="250"/>
        <v/>
      </c>
      <c r="AD319" s="25" t="str">
        <f t="shared" si="251"/>
        <v/>
      </c>
      <c r="AE319" s="26" t="str">
        <f t="shared" si="252"/>
        <v/>
      </c>
      <c r="AF319" s="24" t="str">
        <f t="shared" si="253"/>
        <v/>
      </c>
      <c r="AG319" s="25" t="str">
        <f t="shared" si="254"/>
        <v/>
      </c>
      <c r="AH319" s="25" t="str">
        <f t="shared" si="255"/>
        <v/>
      </c>
      <c r="AI319" s="25" t="str">
        <f t="shared" si="256"/>
        <v/>
      </c>
      <c r="AJ319" s="25" t="str">
        <f t="shared" si="257"/>
        <v/>
      </c>
      <c r="AK319" s="25" t="str">
        <f t="shared" si="258"/>
        <v/>
      </c>
      <c r="AL319" s="25" t="str">
        <f t="shared" si="259"/>
        <v/>
      </c>
      <c r="AM319" s="26" t="str">
        <f t="shared" si="260"/>
        <v/>
      </c>
      <c r="AQ319" s="24" t="str">
        <f t="shared" si="261"/>
        <v/>
      </c>
      <c r="AR319" s="25" t="str">
        <f t="shared" si="262"/>
        <v/>
      </c>
      <c r="AS319" s="25" t="str">
        <f t="shared" si="263"/>
        <v/>
      </c>
      <c r="AT319" s="25" t="str">
        <f t="shared" si="264"/>
        <v/>
      </c>
      <c r="AU319" s="25" t="str">
        <f t="shared" si="265"/>
        <v/>
      </c>
      <c r="AV319" s="25" t="str">
        <f t="shared" si="266"/>
        <v/>
      </c>
      <c r="AW319" s="25" t="str">
        <f t="shared" si="267"/>
        <v/>
      </c>
      <c r="AX319" s="26" t="str">
        <f t="shared" si="268"/>
        <v/>
      </c>
    </row>
    <row r="320" spans="4:50" hidden="1" x14ac:dyDescent="0.25">
      <c r="D320" s="70">
        <v>18</v>
      </c>
      <c r="E320" s="24" t="str">
        <f t="shared" si="229"/>
        <v/>
      </c>
      <c r="F320" s="25" t="str">
        <f t="shared" si="230"/>
        <v/>
      </c>
      <c r="G320" s="25" t="str">
        <f t="shared" si="231"/>
        <v/>
      </c>
      <c r="H320" s="25" t="str">
        <f t="shared" si="232"/>
        <v/>
      </c>
      <c r="I320" s="25" t="str">
        <f t="shared" si="233"/>
        <v/>
      </c>
      <c r="J320" s="25" t="str">
        <f t="shared" si="234"/>
        <v/>
      </c>
      <c r="K320" s="25" t="str">
        <f t="shared" si="235"/>
        <v/>
      </c>
      <c r="L320" s="26" t="str">
        <f t="shared" si="236"/>
        <v/>
      </c>
      <c r="M320" s="24" t="str">
        <f t="shared" si="237"/>
        <v/>
      </c>
      <c r="N320" s="25" t="str">
        <f t="shared" si="238"/>
        <v/>
      </c>
      <c r="O320" s="25" t="str">
        <f t="shared" si="239"/>
        <v/>
      </c>
      <c r="P320" s="25" t="str">
        <f t="shared" si="240"/>
        <v/>
      </c>
      <c r="Q320" s="25" t="str">
        <f t="shared" si="241"/>
        <v/>
      </c>
      <c r="R320" s="25" t="str">
        <f t="shared" si="242"/>
        <v/>
      </c>
      <c r="S320" s="25" t="str">
        <f t="shared" si="243"/>
        <v/>
      </c>
      <c r="T320" s="26" t="str">
        <f t="shared" si="244"/>
        <v/>
      </c>
      <c r="X320" s="24" t="str">
        <f t="shared" si="245"/>
        <v/>
      </c>
      <c r="Y320" s="25" t="str">
        <f t="shared" si="246"/>
        <v/>
      </c>
      <c r="Z320" s="25" t="str">
        <f t="shared" si="247"/>
        <v/>
      </c>
      <c r="AA320" s="25" t="str">
        <f t="shared" si="248"/>
        <v/>
      </c>
      <c r="AB320" s="25" t="str">
        <f t="shared" si="249"/>
        <v/>
      </c>
      <c r="AC320" s="25" t="str">
        <f t="shared" si="250"/>
        <v/>
      </c>
      <c r="AD320" s="25" t="str">
        <f t="shared" si="251"/>
        <v/>
      </c>
      <c r="AE320" s="26" t="str">
        <f t="shared" si="252"/>
        <v/>
      </c>
      <c r="AF320" s="24" t="str">
        <f t="shared" si="253"/>
        <v/>
      </c>
      <c r="AG320" s="25" t="str">
        <f t="shared" si="254"/>
        <v/>
      </c>
      <c r="AH320" s="25" t="str">
        <f t="shared" si="255"/>
        <v/>
      </c>
      <c r="AI320" s="25" t="str">
        <f t="shared" si="256"/>
        <v/>
      </c>
      <c r="AJ320" s="25" t="str">
        <f t="shared" si="257"/>
        <v/>
      </c>
      <c r="AK320" s="25" t="str">
        <f t="shared" si="258"/>
        <v/>
      </c>
      <c r="AL320" s="25" t="str">
        <f t="shared" si="259"/>
        <v/>
      </c>
      <c r="AM320" s="26" t="str">
        <f t="shared" si="260"/>
        <v/>
      </c>
      <c r="AQ320" s="24" t="str">
        <f t="shared" si="261"/>
        <v/>
      </c>
      <c r="AR320" s="25" t="str">
        <f t="shared" si="262"/>
        <v/>
      </c>
      <c r="AS320" s="25" t="str">
        <f t="shared" si="263"/>
        <v/>
      </c>
      <c r="AT320" s="25" t="str">
        <f t="shared" si="264"/>
        <v/>
      </c>
      <c r="AU320" s="25" t="str">
        <f t="shared" si="265"/>
        <v/>
      </c>
      <c r="AV320" s="25" t="str">
        <f t="shared" si="266"/>
        <v/>
      </c>
      <c r="AW320" s="25" t="str">
        <f t="shared" si="267"/>
        <v/>
      </c>
      <c r="AX320" s="26" t="str">
        <f t="shared" si="268"/>
        <v/>
      </c>
    </row>
    <row r="321" spans="4:50" hidden="1" x14ac:dyDescent="0.25">
      <c r="D321" s="70">
        <v>19</v>
      </c>
      <c r="E321" s="24" t="str">
        <f t="shared" si="229"/>
        <v/>
      </c>
      <c r="F321" s="25" t="str">
        <f t="shared" si="230"/>
        <v/>
      </c>
      <c r="G321" s="25" t="str">
        <f t="shared" si="231"/>
        <v/>
      </c>
      <c r="H321" s="25" t="str">
        <f t="shared" si="232"/>
        <v/>
      </c>
      <c r="I321" s="25" t="str">
        <f t="shared" si="233"/>
        <v/>
      </c>
      <c r="J321" s="25" t="str">
        <f t="shared" si="234"/>
        <v/>
      </c>
      <c r="K321" s="25" t="str">
        <f t="shared" si="235"/>
        <v/>
      </c>
      <c r="L321" s="26" t="str">
        <f t="shared" si="236"/>
        <v/>
      </c>
      <c r="M321" s="24" t="str">
        <f t="shared" si="237"/>
        <v/>
      </c>
      <c r="N321" s="25" t="str">
        <f t="shared" si="238"/>
        <v/>
      </c>
      <c r="O321" s="25" t="str">
        <f t="shared" si="239"/>
        <v/>
      </c>
      <c r="P321" s="25" t="str">
        <f t="shared" si="240"/>
        <v/>
      </c>
      <c r="Q321" s="25" t="str">
        <f t="shared" si="241"/>
        <v/>
      </c>
      <c r="R321" s="25" t="str">
        <f t="shared" si="242"/>
        <v/>
      </c>
      <c r="S321" s="25" t="str">
        <f t="shared" si="243"/>
        <v/>
      </c>
      <c r="T321" s="26" t="str">
        <f t="shared" si="244"/>
        <v/>
      </c>
      <c r="X321" s="24" t="str">
        <f t="shared" si="245"/>
        <v/>
      </c>
      <c r="Y321" s="25" t="str">
        <f t="shared" si="246"/>
        <v/>
      </c>
      <c r="Z321" s="25" t="str">
        <f t="shared" si="247"/>
        <v/>
      </c>
      <c r="AA321" s="25" t="str">
        <f t="shared" si="248"/>
        <v/>
      </c>
      <c r="AB321" s="25" t="str">
        <f t="shared" si="249"/>
        <v/>
      </c>
      <c r="AC321" s="25" t="str">
        <f t="shared" si="250"/>
        <v/>
      </c>
      <c r="AD321" s="25" t="str">
        <f t="shared" si="251"/>
        <v/>
      </c>
      <c r="AE321" s="26" t="str">
        <f t="shared" si="252"/>
        <v/>
      </c>
      <c r="AF321" s="24" t="str">
        <f t="shared" si="253"/>
        <v/>
      </c>
      <c r="AG321" s="25" t="str">
        <f t="shared" si="254"/>
        <v/>
      </c>
      <c r="AH321" s="25" t="str">
        <f t="shared" si="255"/>
        <v/>
      </c>
      <c r="AI321" s="25" t="str">
        <f t="shared" si="256"/>
        <v/>
      </c>
      <c r="AJ321" s="25" t="str">
        <f t="shared" si="257"/>
        <v/>
      </c>
      <c r="AK321" s="25" t="str">
        <f t="shared" si="258"/>
        <v/>
      </c>
      <c r="AL321" s="25" t="str">
        <f t="shared" si="259"/>
        <v/>
      </c>
      <c r="AM321" s="26" t="str">
        <f t="shared" si="260"/>
        <v/>
      </c>
      <c r="AQ321" s="24" t="str">
        <f t="shared" si="261"/>
        <v/>
      </c>
      <c r="AR321" s="25" t="str">
        <f t="shared" si="262"/>
        <v/>
      </c>
      <c r="AS321" s="25" t="str">
        <f t="shared" si="263"/>
        <v/>
      </c>
      <c r="AT321" s="25" t="str">
        <f t="shared" si="264"/>
        <v/>
      </c>
      <c r="AU321" s="25" t="str">
        <f t="shared" si="265"/>
        <v/>
      </c>
      <c r="AV321" s="25" t="str">
        <f t="shared" si="266"/>
        <v/>
      </c>
      <c r="AW321" s="25" t="str">
        <f t="shared" si="267"/>
        <v/>
      </c>
      <c r="AX321" s="26" t="str">
        <f t="shared" si="268"/>
        <v/>
      </c>
    </row>
    <row r="322" spans="4:50" hidden="1" x14ac:dyDescent="0.25">
      <c r="D322" s="70">
        <v>20</v>
      </c>
      <c r="E322" s="24" t="str">
        <f t="shared" si="229"/>
        <v/>
      </c>
      <c r="F322" s="25" t="str">
        <f t="shared" si="230"/>
        <v/>
      </c>
      <c r="G322" s="25" t="str">
        <f t="shared" si="231"/>
        <v/>
      </c>
      <c r="H322" s="25" t="str">
        <f t="shared" si="232"/>
        <v/>
      </c>
      <c r="I322" s="25" t="str">
        <f t="shared" si="233"/>
        <v/>
      </c>
      <c r="J322" s="25" t="str">
        <f t="shared" si="234"/>
        <v/>
      </c>
      <c r="K322" s="25" t="str">
        <f t="shared" si="235"/>
        <v/>
      </c>
      <c r="L322" s="26" t="str">
        <f t="shared" si="236"/>
        <v/>
      </c>
      <c r="M322" s="24" t="str">
        <f t="shared" si="237"/>
        <v/>
      </c>
      <c r="N322" s="25" t="str">
        <f t="shared" si="238"/>
        <v/>
      </c>
      <c r="O322" s="25" t="str">
        <f t="shared" si="239"/>
        <v/>
      </c>
      <c r="P322" s="25" t="str">
        <f t="shared" si="240"/>
        <v/>
      </c>
      <c r="Q322" s="25" t="str">
        <f t="shared" si="241"/>
        <v/>
      </c>
      <c r="R322" s="25" t="str">
        <f t="shared" si="242"/>
        <v/>
      </c>
      <c r="S322" s="25" t="str">
        <f t="shared" si="243"/>
        <v/>
      </c>
      <c r="T322" s="26" t="str">
        <f t="shared" si="244"/>
        <v/>
      </c>
      <c r="X322" s="24" t="str">
        <f t="shared" si="245"/>
        <v/>
      </c>
      <c r="Y322" s="25" t="str">
        <f t="shared" si="246"/>
        <v/>
      </c>
      <c r="Z322" s="25" t="str">
        <f t="shared" si="247"/>
        <v/>
      </c>
      <c r="AA322" s="25" t="str">
        <f t="shared" si="248"/>
        <v/>
      </c>
      <c r="AB322" s="25" t="str">
        <f t="shared" si="249"/>
        <v/>
      </c>
      <c r="AC322" s="25" t="str">
        <f t="shared" si="250"/>
        <v/>
      </c>
      <c r="AD322" s="25" t="str">
        <f t="shared" si="251"/>
        <v/>
      </c>
      <c r="AE322" s="26" t="str">
        <f t="shared" si="252"/>
        <v/>
      </c>
      <c r="AF322" s="24" t="str">
        <f t="shared" si="253"/>
        <v/>
      </c>
      <c r="AG322" s="25" t="str">
        <f t="shared" si="254"/>
        <v/>
      </c>
      <c r="AH322" s="25" t="str">
        <f t="shared" si="255"/>
        <v/>
      </c>
      <c r="AI322" s="25" t="str">
        <f t="shared" si="256"/>
        <v/>
      </c>
      <c r="AJ322" s="25" t="str">
        <f t="shared" si="257"/>
        <v/>
      </c>
      <c r="AK322" s="25" t="str">
        <f t="shared" si="258"/>
        <v/>
      </c>
      <c r="AL322" s="25" t="str">
        <f t="shared" si="259"/>
        <v/>
      </c>
      <c r="AM322" s="26" t="str">
        <f t="shared" si="260"/>
        <v/>
      </c>
      <c r="AQ322" s="24" t="str">
        <f t="shared" si="261"/>
        <v/>
      </c>
      <c r="AR322" s="25" t="str">
        <f t="shared" si="262"/>
        <v/>
      </c>
      <c r="AS322" s="25" t="str">
        <f t="shared" si="263"/>
        <v/>
      </c>
      <c r="AT322" s="25" t="str">
        <f t="shared" si="264"/>
        <v/>
      </c>
      <c r="AU322" s="25" t="str">
        <f t="shared" si="265"/>
        <v/>
      </c>
      <c r="AV322" s="25" t="str">
        <f t="shared" si="266"/>
        <v/>
      </c>
      <c r="AW322" s="25" t="str">
        <f t="shared" si="267"/>
        <v/>
      </c>
      <c r="AX322" s="26" t="str">
        <f t="shared" si="268"/>
        <v/>
      </c>
    </row>
    <row r="323" spans="4:50" hidden="1" x14ac:dyDescent="0.25">
      <c r="D323" s="70">
        <v>21</v>
      </c>
      <c r="E323" s="24" t="str">
        <f t="shared" si="229"/>
        <v/>
      </c>
      <c r="F323" s="25" t="str">
        <f t="shared" si="230"/>
        <v/>
      </c>
      <c r="G323" s="25" t="str">
        <f t="shared" si="231"/>
        <v/>
      </c>
      <c r="H323" s="25" t="str">
        <f t="shared" si="232"/>
        <v/>
      </c>
      <c r="I323" s="25" t="str">
        <f t="shared" si="233"/>
        <v/>
      </c>
      <c r="J323" s="25" t="str">
        <f t="shared" si="234"/>
        <v/>
      </c>
      <c r="K323" s="25" t="str">
        <f t="shared" si="235"/>
        <v/>
      </c>
      <c r="L323" s="26" t="str">
        <f t="shared" si="236"/>
        <v/>
      </c>
      <c r="M323" s="24" t="str">
        <f t="shared" si="237"/>
        <v/>
      </c>
      <c r="N323" s="25" t="str">
        <f t="shared" si="238"/>
        <v/>
      </c>
      <c r="O323" s="25" t="str">
        <f t="shared" si="239"/>
        <v/>
      </c>
      <c r="P323" s="25" t="str">
        <f t="shared" si="240"/>
        <v/>
      </c>
      <c r="Q323" s="25" t="str">
        <f t="shared" si="241"/>
        <v/>
      </c>
      <c r="R323" s="25" t="str">
        <f t="shared" si="242"/>
        <v/>
      </c>
      <c r="S323" s="25" t="str">
        <f t="shared" si="243"/>
        <v/>
      </c>
      <c r="T323" s="26" t="str">
        <f t="shared" si="244"/>
        <v/>
      </c>
      <c r="X323" s="24" t="str">
        <f t="shared" si="245"/>
        <v/>
      </c>
      <c r="Y323" s="25" t="str">
        <f t="shared" si="246"/>
        <v/>
      </c>
      <c r="Z323" s="25" t="str">
        <f t="shared" si="247"/>
        <v/>
      </c>
      <c r="AA323" s="25" t="str">
        <f t="shared" si="248"/>
        <v/>
      </c>
      <c r="AB323" s="25" t="str">
        <f t="shared" si="249"/>
        <v/>
      </c>
      <c r="AC323" s="25" t="str">
        <f t="shared" si="250"/>
        <v/>
      </c>
      <c r="AD323" s="25" t="str">
        <f t="shared" si="251"/>
        <v/>
      </c>
      <c r="AE323" s="26" t="str">
        <f t="shared" si="252"/>
        <v/>
      </c>
      <c r="AF323" s="24" t="str">
        <f t="shared" si="253"/>
        <v/>
      </c>
      <c r="AG323" s="25" t="str">
        <f t="shared" si="254"/>
        <v/>
      </c>
      <c r="AH323" s="25" t="str">
        <f t="shared" si="255"/>
        <v/>
      </c>
      <c r="AI323" s="25" t="str">
        <f t="shared" si="256"/>
        <v/>
      </c>
      <c r="AJ323" s="25" t="str">
        <f t="shared" si="257"/>
        <v/>
      </c>
      <c r="AK323" s="25" t="str">
        <f t="shared" si="258"/>
        <v/>
      </c>
      <c r="AL323" s="25" t="str">
        <f t="shared" si="259"/>
        <v/>
      </c>
      <c r="AM323" s="26" t="str">
        <f t="shared" si="260"/>
        <v/>
      </c>
      <c r="AQ323" s="24" t="str">
        <f t="shared" si="261"/>
        <v/>
      </c>
      <c r="AR323" s="25" t="str">
        <f t="shared" si="262"/>
        <v/>
      </c>
      <c r="AS323" s="25" t="str">
        <f t="shared" si="263"/>
        <v/>
      </c>
      <c r="AT323" s="25" t="str">
        <f t="shared" si="264"/>
        <v/>
      </c>
      <c r="AU323" s="25" t="str">
        <f t="shared" si="265"/>
        <v/>
      </c>
      <c r="AV323" s="25" t="str">
        <f t="shared" si="266"/>
        <v/>
      </c>
      <c r="AW323" s="25" t="str">
        <f t="shared" si="267"/>
        <v/>
      </c>
      <c r="AX323" s="26" t="str">
        <f t="shared" si="268"/>
        <v/>
      </c>
    </row>
    <row r="324" spans="4:50" hidden="1" x14ac:dyDescent="0.25">
      <c r="D324" s="70">
        <v>22</v>
      </c>
      <c r="E324" s="24" t="str">
        <f t="shared" si="229"/>
        <v/>
      </c>
      <c r="F324" s="25" t="str">
        <f t="shared" si="230"/>
        <v/>
      </c>
      <c r="G324" s="25" t="str">
        <f t="shared" si="231"/>
        <v/>
      </c>
      <c r="H324" s="25" t="str">
        <f t="shared" si="232"/>
        <v/>
      </c>
      <c r="I324" s="25" t="str">
        <f t="shared" si="233"/>
        <v/>
      </c>
      <c r="J324" s="25" t="str">
        <f t="shared" si="234"/>
        <v/>
      </c>
      <c r="K324" s="25" t="str">
        <f t="shared" si="235"/>
        <v/>
      </c>
      <c r="L324" s="26" t="str">
        <f t="shared" si="236"/>
        <v/>
      </c>
      <c r="M324" s="24" t="str">
        <f t="shared" si="237"/>
        <v/>
      </c>
      <c r="N324" s="25" t="str">
        <f t="shared" si="238"/>
        <v/>
      </c>
      <c r="O324" s="25" t="str">
        <f t="shared" si="239"/>
        <v/>
      </c>
      <c r="P324" s="25" t="str">
        <f t="shared" si="240"/>
        <v/>
      </c>
      <c r="Q324" s="25" t="str">
        <f t="shared" si="241"/>
        <v/>
      </c>
      <c r="R324" s="25" t="str">
        <f t="shared" si="242"/>
        <v/>
      </c>
      <c r="S324" s="25" t="str">
        <f t="shared" si="243"/>
        <v/>
      </c>
      <c r="T324" s="26" t="str">
        <f t="shared" si="244"/>
        <v/>
      </c>
      <c r="X324" s="24" t="str">
        <f t="shared" si="245"/>
        <v/>
      </c>
      <c r="Y324" s="25" t="str">
        <f t="shared" si="246"/>
        <v/>
      </c>
      <c r="Z324" s="25" t="str">
        <f t="shared" si="247"/>
        <v/>
      </c>
      <c r="AA324" s="25" t="str">
        <f t="shared" si="248"/>
        <v/>
      </c>
      <c r="AB324" s="25" t="str">
        <f t="shared" si="249"/>
        <v/>
      </c>
      <c r="AC324" s="25" t="str">
        <f t="shared" si="250"/>
        <v/>
      </c>
      <c r="AD324" s="25" t="str">
        <f t="shared" si="251"/>
        <v/>
      </c>
      <c r="AE324" s="26" t="str">
        <f t="shared" si="252"/>
        <v/>
      </c>
      <c r="AF324" s="24" t="str">
        <f t="shared" si="253"/>
        <v/>
      </c>
      <c r="AG324" s="25" t="str">
        <f t="shared" si="254"/>
        <v/>
      </c>
      <c r="AH324" s="25" t="str">
        <f t="shared" si="255"/>
        <v/>
      </c>
      <c r="AI324" s="25" t="str">
        <f t="shared" si="256"/>
        <v/>
      </c>
      <c r="AJ324" s="25" t="str">
        <f t="shared" si="257"/>
        <v/>
      </c>
      <c r="AK324" s="25" t="str">
        <f t="shared" si="258"/>
        <v/>
      </c>
      <c r="AL324" s="25" t="str">
        <f t="shared" si="259"/>
        <v/>
      </c>
      <c r="AM324" s="26" t="str">
        <f t="shared" si="260"/>
        <v/>
      </c>
      <c r="AQ324" s="24" t="str">
        <f t="shared" si="261"/>
        <v/>
      </c>
      <c r="AR324" s="25" t="str">
        <f t="shared" si="262"/>
        <v/>
      </c>
      <c r="AS324" s="25" t="str">
        <f t="shared" si="263"/>
        <v/>
      </c>
      <c r="AT324" s="25" t="str">
        <f t="shared" si="264"/>
        <v/>
      </c>
      <c r="AU324" s="25" t="str">
        <f t="shared" si="265"/>
        <v/>
      </c>
      <c r="AV324" s="25" t="str">
        <f t="shared" si="266"/>
        <v/>
      </c>
      <c r="AW324" s="25" t="str">
        <f t="shared" si="267"/>
        <v/>
      </c>
      <c r="AX324" s="26" t="str">
        <f t="shared" si="268"/>
        <v/>
      </c>
    </row>
    <row r="325" spans="4:50" hidden="1" x14ac:dyDescent="0.25">
      <c r="D325" s="70">
        <v>23</v>
      </c>
      <c r="E325" s="24" t="str">
        <f t="shared" si="229"/>
        <v/>
      </c>
      <c r="F325" s="25" t="str">
        <f t="shared" si="230"/>
        <v/>
      </c>
      <c r="G325" s="25" t="str">
        <f t="shared" si="231"/>
        <v/>
      </c>
      <c r="H325" s="25" t="str">
        <f t="shared" si="232"/>
        <v/>
      </c>
      <c r="I325" s="25" t="str">
        <f t="shared" si="233"/>
        <v/>
      </c>
      <c r="J325" s="25" t="str">
        <f t="shared" si="234"/>
        <v/>
      </c>
      <c r="K325" s="25" t="str">
        <f t="shared" si="235"/>
        <v/>
      </c>
      <c r="L325" s="26" t="str">
        <f t="shared" si="236"/>
        <v/>
      </c>
      <c r="M325" s="24" t="str">
        <f t="shared" si="237"/>
        <v/>
      </c>
      <c r="N325" s="25" t="str">
        <f t="shared" si="238"/>
        <v/>
      </c>
      <c r="O325" s="25" t="str">
        <f t="shared" si="239"/>
        <v/>
      </c>
      <c r="P325" s="25" t="str">
        <f t="shared" si="240"/>
        <v/>
      </c>
      <c r="Q325" s="25" t="str">
        <f t="shared" si="241"/>
        <v/>
      </c>
      <c r="R325" s="25" t="str">
        <f t="shared" si="242"/>
        <v/>
      </c>
      <c r="S325" s="25" t="str">
        <f t="shared" si="243"/>
        <v/>
      </c>
      <c r="T325" s="26" t="str">
        <f t="shared" si="244"/>
        <v/>
      </c>
      <c r="X325" s="24" t="str">
        <f t="shared" si="245"/>
        <v/>
      </c>
      <c r="Y325" s="25" t="str">
        <f t="shared" si="246"/>
        <v/>
      </c>
      <c r="Z325" s="25" t="str">
        <f t="shared" si="247"/>
        <v/>
      </c>
      <c r="AA325" s="25" t="str">
        <f t="shared" si="248"/>
        <v/>
      </c>
      <c r="AB325" s="25" t="str">
        <f t="shared" si="249"/>
        <v/>
      </c>
      <c r="AC325" s="25" t="str">
        <f t="shared" si="250"/>
        <v/>
      </c>
      <c r="AD325" s="25" t="str">
        <f t="shared" si="251"/>
        <v/>
      </c>
      <c r="AE325" s="26" t="str">
        <f t="shared" si="252"/>
        <v/>
      </c>
      <c r="AF325" s="24" t="str">
        <f t="shared" si="253"/>
        <v/>
      </c>
      <c r="AG325" s="25" t="str">
        <f t="shared" si="254"/>
        <v/>
      </c>
      <c r="AH325" s="25" t="str">
        <f t="shared" si="255"/>
        <v/>
      </c>
      <c r="AI325" s="25" t="str">
        <f t="shared" si="256"/>
        <v/>
      </c>
      <c r="AJ325" s="25" t="str">
        <f t="shared" si="257"/>
        <v/>
      </c>
      <c r="AK325" s="25" t="str">
        <f t="shared" si="258"/>
        <v/>
      </c>
      <c r="AL325" s="25" t="str">
        <f t="shared" si="259"/>
        <v/>
      </c>
      <c r="AM325" s="26" t="str">
        <f t="shared" si="260"/>
        <v/>
      </c>
      <c r="AQ325" s="24" t="str">
        <f t="shared" si="261"/>
        <v/>
      </c>
      <c r="AR325" s="25" t="str">
        <f t="shared" si="262"/>
        <v/>
      </c>
      <c r="AS325" s="25" t="str">
        <f t="shared" si="263"/>
        <v/>
      </c>
      <c r="AT325" s="25" t="str">
        <f t="shared" si="264"/>
        <v/>
      </c>
      <c r="AU325" s="25" t="str">
        <f t="shared" si="265"/>
        <v/>
      </c>
      <c r="AV325" s="25" t="str">
        <f t="shared" si="266"/>
        <v/>
      </c>
      <c r="AW325" s="25" t="str">
        <f t="shared" si="267"/>
        <v/>
      </c>
      <c r="AX325" s="26" t="str">
        <f t="shared" si="268"/>
        <v/>
      </c>
    </row>
    <row r="326" spans="4:50" hidden="1" x14ac:dyDescent="0.25">
      <c r="D326" s="70">
        <v>24</v>
      </c>
      <c r="E326" s="24" t="str">
        <f t="shared" si="229"/>
        <v/>
      </c>
      <c r="F326" s="25" t="str">
        <f t="shared" si="230"/>
        <v/>
      </c>
      <c r="G326" s="25" t="str">
        <f t="shared" si="231"/>
        <v/>
      </c>
      <c r="H326" s="25" t="str">
        <f t="shared" si="232"/>
        <v/>
      </c>
      <c r="I326" s="25" t="str">
        <f t="shared" si="233"/>
        <v/>
      </c>
      <c r="J326" s="25" t="str">
        <f t="shared" si="234"/>
        <v/>
      </c>
      <c r="K326" s="25" t="str">
        <f t="shared" si="235"/>
        <v/>
      </c>
      <c r="L326" s="26" t="str">
        <f t="shared" si="236"/>
        <v/>
      </c>
      <c r="M326" s="24" t="str">
        <f t="shared" si="237"/>
        <v/>
      </c>
      <c r="N326" s="25" t="str">
        <f t="shared" si="238"/>
        <v/>
      </c>
      <c r="O326" s="25" t="str">
        <f t="shared" si="239"/>
        <v/>
      </c>
      <c r="P326" s="25" t="str">
        <f t="shared" si="240"/>
        <v/>
      </c>
      <c r="Q326" s="25" t="str">
        <f t="shared" si="241"/>
        <v/>
      </c>
      <c r="R326" s="25" t="str">
        <f t="shared" si="242"/>
        <v/>
      </c>
      <c r="S326" s="25" t="str">
        <f t="shared" si="243"/>
        <v/>
      </c>
      <c r="T326" s="26" t="str">
        <f t="shared" si="244"/>
        <v/>
      </c>
      <c r="X326" s="24" t="str">
        <f t="shared" si="245"/>
        <v/>
      </c>
      <c r="Y326" s="25" t="str">
        <f t="shared" si="246"/>
        <v/>
      </c>
      <c r="Z326" s="25" t="str">
        <f t="shared" si="247"/>
        <v/>
      </c>
      <c r="AA326" s="25" t="str">
        <f t="shared" si="248"/>
        <v/>
      </c>
      <c r="AB326" s="25" t="str">
        <f t="shared" si="249"/>
        <v/>
      </c>
      <c r="AC326" s="25" t="str">
        <f t="shared" si="250"/>
        <v/>
      </c>
      <c r="AD326" s="25" t="str">
        <f t="shared" si="251"/>
        <v/>
      </c>
      <c r="AE326" s="26" t="str">
        <f t="shared" si="252"/>
        <v/>
      </c>
      <c r="AF326" s="24" t="str">
        <f t="shared" si="253"/>
        <v/>
      </c>
      <c r="AG326" s="25" t="str">
        <f t="shared" si="254"/>
        <v/>
      </c>
      <c r="AH326" s="25" t="str">
        <f t="shared" si="255"/>
        <v/>
      </c>
      <c r="AI326" s="25" t="str">
        <f t="shared" si="256"/>
        <v/>
      </c>
      <c r="AJ326" s="25" t="str">
        <f t="shared" si="257"/>
        <v/>
      </c>
      <c r="AK326" s="25" t="str">
        <f t="shared" si="258"/>
        <v/>
      </c>
      <c r="AL326" s="25" t="str">
        <f t="shared" si="259"/>
        <v/>
      </c>
      <c r="AM326" s="26" t="str">
        <f t="shared" si="260"/>
        <v/>
      </c>
      <c r="AQ326" s="24" t="str">
        <f t="shared" si="261"/>
        <v/>
      </c>
      <c r="AR326" s="25" t="str">
        <f t="shared" si="262"/>
        <v/>
      </c>
      <c r="AS326" s="25" t="str">
        <f t="shared" si="263"/>
        <v/>
      </c>
      <c r="AT326" s="25" t="str">
        <f t="shared" si="264"/>
        <v/>
      </c>
      <c r="AU326" s="25" t="str">
        <f t="shared" si="265"/>
        <v/>
      </c>
      <c r="AV326" s="25" t="str">
        <f t="shared" si="266"/>
        <v/>
      </c>
      <c r="AW326" s="25" t="str">
        <f t="shared" si="267"/>
        <v/>
      </c>
      <c r="AX326" s="26" t="str">
        <f t="shared" si="268"/>
        <v/>
      </c>
    </row>
    <row r="327" spans="4:50" hidden="1" x14ac:dyDescent="0.25">
      <c r="D327" s="70">
        <v>25</v>
      </c>
      <c r="E327" s="24" t="str">
        <f t="shared" si="229"/>
        <v/>
      </c>
      <c r="F327" s="25" t="str">
        <f t="shared" si="230"/>
        <v/>
      </c>
      <c r="G327" s="25" t="str">
        <f t="shared" si="231"/>
        <v/>
      </c>
      <c r="H327" s="25" t="str">
        <f t="shared" si="232"/>
        <v/>
      </c>
      <c r="I327" s="25" t="str">
        <f t="shared" si="233"/>
        <v/>
      </c>
      <c r="J327" s="25" t="str">
        <f t="shared" si="234"/>
        <v/>
      </c>
      <c r="K327" s="25" t="str">
        <f t="shared" si="235"/>
        <v/>
      </c>
      <c r="L327" s="26" t="str">
        <f t="shared" si="236"/>
        <v/>
      </c>
      <c r="M327" s="24" t="str">
        <f t="shared" si="237"/>
        <v/>
      </c>
      <c r="N327" s="25" t="str">
        <f t="shared" si="238"/>
        <v/>
      </c>
      <c r="O327" s="25" t="str">
        <f t="shared" si="239"/>
        <v/>
      </c>
      <c r="P327" s="25" t="str">
        <f t="shared" si="240"/>
        <v/>
      </c>
      <c r="Q327" s="25" t="str">
        <f t="shared" si="241"/>
        <v/>
      </c>
      <c r="R327" s="25" t="str">
        <f t="shared" si="242"/>
        <v/>
      </c>
      <c r="S327" s="25" t="str">
        <f t="shared" si="243"/>
        <v/>
      </c>
      <c r="T327" s="26" t="str">
        <f t="shared" si="244"/>
        <v/>
      </c>
      <c r="X327" s="24" t="str">
        <f t="shared" si="245"/>
        <v/>
      </c>
      <c r="Y327" s="25" t="str">
        <f t="shared" si="246"/>
        <v/>
      </c>
      <c r="Z327" s="25" t="str">
        <f t="shared" si="247"/>
        <v/>
      </c>
      <c r="AA327" s="25" t="str">
        <f t="shared" si="248"/>
        <v/>
      </c>
      <c r="AB327" s="25" t="str">
        <f t="shared" si="249"/>
        <v/>
      </c>
      <c r="AC327" s="25" t="str">
        <f t="shared" si="250"/>
        <v/>
      </c>
      <c r="AD327" s="25" t="str">
        <f t="shared" si="251"/>
        <v/>
      </c>
      <c r="AE327" s="26" t="str">
        <f t="shared" si="252"/>
        <v/>
      </c>
      <c r="AF327" s="24" t="str">
        <f t="shared" si="253"/>
        <v/>
      </c>
      <c r="AG327" s="25" t="str">
        <f t="shared" si="254"/>
        <v/>
      </c>
      <c r="AH327" s="25" t="str">
        <f t="shared" si="255"/>
        <v/>
      </c>
      <c r="AI327" s="25" t="str">
        <f t="shared" si="256"/>
        <v/>
      </c>
      <c r="AJ327" s="25" t="str">
        <f t="shared" si="257"/>
        <v/>
      </c>
      <c r="AK327" s="25" t="str">
        <f t="shared" si="258"/>
        <v/>
      </c>
      <c r="AL327" s="25" t="str">
        <f t="shared" si="259"/>
        <v/>
      </c>
      <c r="AM327" s="26" t="str">
        <f t="shared" si="260"/>
        <v/>
      </c>
      <c r="AQ327" s="24" t="str">
        <f t="shared" si="261"/>
        <v/>
      </c>
      <c r="AR327" s="25" t="str">
        <f t="shared" si="262"/>
        <v/>
      </c>
      <c r="AS327" s="25" t="str">
        <f t="shared" si="263"/>
        <v/>
      </c>
      <c r="AT327" s="25" t="str">
        <f t="shared" si="264"/>
        <v/>
      </c>
      <c r="AU327" s="25" t="str">
        <f t="shared" si="265"/>
        <v/>
      </c>
      <c r="AV327" s="25" t="str">
        <f t="shared" si="266"/>
        <v/>
      </c>
      <c r="AW327" s="25" t="str">
        <f t="shared" si="267"/>
        <v/>
      </c>
      <c r="AX327" s="26" t="str">
        <f t="shared" si="268"/>
        <v/>
      </c>
    </row>
    <row r="328" spans="4:50" hidden="1" x14ac:dyDescent="0.25">
      <c r="D328" s="70">
        <v>26</v>
      </c>
      <c r="E328" s="24" t="str">
        <f t="shared" si="229"/>
        <v/>
      </c>
      <c r="F328" s="25" t="str">
        <f t="shared" si="230"/>
        <v/>
      </c>
      <c r="G328" s="25" t="str">
        <f t="shared" si="231"/>
        <v/>
      </c>
      <c r="H328" s="25" t="str">
        <f t="shared" si="232"/>
        <v/>
      </c>
      <c r="I328" s="25" t="str">
        <f t="shared" si="233"/>
        <v/>
      </c>
      <c r="J328" s="25" t="str">
        <f t="shared" si="234"/>
        <v/>
      </c>
      <c r="K328" s="25" t="str">
        <f t="shared" si="235"/>
        <v/>
      </c>
      <c r="L328" s="26" t="str">
        <f t="shared" si="236"/>
        <v/>
      </c>
      <c r="M328" s="24" t="str">
        <f t="shared" si="237"/>
        <v/>
      </c>
      <c r="N328" s="25" t="str">
        <f t="shared" si="238"/>
        <v/>
      </c>
      <c r="O328" s="25" t="str">
        <f t="shared" si="239"/>
        <v/>
      </c>
      <c r="P328" s="25" t="str">
        <f t="shared" si="240"/>
        <v/>
      </c>
      <c r="Q328" s="25" t="str">
        <f t="shared" si="241"/>
        <v/>
      </c>
      <c r="R328" s="25" t="str">
        <f t="shared" si="242"/>
        <v/>
      </c>
      <c r="S328" s="25" t="str">
        <f t="shared" si="243"/>
        <v/>
      </c>
      <c r="T328" s="26" t="str">
        <f t="shared" si="244"/>
        <v/>
      </c>
      <c r="X328" s="24" t="str">
        <f t="shared" si="245"/>
        <v/>
      </c>
      <c r="Y328" s="25" t="str">
        <f t="shared" si="246"/>
        <v/>
      </c>
      <c r="Z328" s="25" t="str">
        <f t="shared" si="247"/>
        <v/>
      </c>
      <c r="AA328" s="25" t="str">
        <f t="shared" si="248"/>
        <v/>
      </c>
      <c r="AB328" s="25" t="str">
        <f t="shared" si="249"/>
        <v/>
      </c>
      <c r="AC328" s="25" t="str">
        <f t="shared" si="250"/>
        <v/>
      </c>
      <c r="AD328" s="25" t="str">
        <f t="shared" si="251"/>
        <v/>
      </c>
      <c r="AE328" s="26" t="str">
        <f t="shared" si="252"/>
        <v/>
      </c>
      <c r="AF328" s="24" t="str">
        <f t="shared" si="253"/>
        <v/>
      </c>
      <c r="AG328" s="25" t="str">
        <f t="shared" si="254"/>
        <v/>
      </c>
      <c r="AH328" s="25" t="str">
        <f t="shared" si="255"/>
        <v/>
      </c>
      <c r="AI328" s="25" t="str">
        <f t="shared" si="256"/>
        <v/>
      </c>
      <c r="AJ328" s="25" t="str">
        <f t="shared" si="257"/>
        <v/>
      </c>
      <c r="AK328" s="25" t="str">
        <f t="shared" si="258"/>
        <v/>
      </c>
      <c r="AL328" s="25" t="str">
        <f t="shared" si="259"/>
        <v/>
      </c>
      <c r="AM328" s="26" t="str">
        <f t="shared" si="260"/>
        <v/>
      </c>
      <c r="AQ328" s="24" t="str">
        <f t="shared" si="261"/>
        <v/>
      </c>
      <c r="AR328" s="25" t="str">
        <f t="shared" si="262"/>
        <v/>
      </c>
      <c r="AS328" s="25" t="str">
        <f t="shared" si="263"/>
        <v/>
      </c>
      <c r="AT328" s="25" t="str">
        <f t="shared" si="264"/>
        <v/>
      </c>
      <c r="AU328" s="25" t="str">
        <f t="shared" si="265"/>
        <v/>
      </c>
      <c r="AV328" s="25" t="str">
        <f t="shared" si="266"/>
        <v/>
      </c>
      <c r="AW328" s="25" t="str">
        <f t="shared" si="267"/>
        <v/>
      </c>
      <c r="AX328" s="26" t="str">
        <f t="shared" si="268"/>
        <v/>
      </c>
    </row>
    <row r="329" spans="4:50" hidden="1" x14ac:dyDescent="0.25">
      <c r="D329" s="70">
        <v>27</v>
      </c>
      <c r="E329" s="24" t="str">
        <f t="shared" si="229"/>
        <v/>
      </c>
      <c r="F329" s="25" t="str">
        <f t="shared" si="230"/>
        <v/>
      </c>
      <c r="G329" s="25" t="str">
        <f t="shared" si="231"/>
        <v/>
      </c>
      <c r="H329" s="25" t="str">
        <f t="shared" si="232"/>
        <v/>
      </c>
      <c r="I329" s="25" t="str">
        <f t="shared" si="233"/>
        <v/>
      </c>
      <c r="J329" s="25" t="str">
        <f t="shared" si="234"/>
        <v/>
      </c>
      <c r="K329" s="25" t="str">
        <f t="shared" si="235"/>
        <v/>
      </c>
      <c r="L329" s="26" t="str">
        <f t="shared" si="236"/>
        <v/>
      </c>
      <c r="M329" s="24" t="str">
        <f t="shared" si="237"/>
        <v/>
      </c>
      <c r="N329" s="25" t="str">
        <f t="shared" si="238"/>
        <v/>
      </c>
      <c r="O329" s="25" t="str">
        <f t="shared" si="239"/>
        <v/>
      </c>
      <c r="P329" s="25" t="str">
        <f t="shared" si="240"/>
        <v/>
      </c>
      <c r="Q329" s="25" t="str">
        <f t="shared" si="241"/>
        <v/>
      </c>
      <c r="R329" s="25" t="str">
        <f t="shared" si="242"/>
        <v/>
      </c>
      <c r="S329" s="25" t="str">
        <f t="shared" si="243"/>
        <v/>
      </c>
      <c r="T329" s="26" t="str">
        <f t="shared" si="244"/>
        <v/>
      </c>
      <c r="X329" s="24" t="str">
        <f t="shared" si="245"/>
        <v/>
      </c>
      <c r="Y329" s="25" t="str">
        <f t="shared" si="246"/>
        <v/>
      </c>
      <c r="Z329" s="25" t="str">
        <f t="shared" si="247"/>
        <v/>
      </c>
      <c r="AA329" s="25" t="str">
        <f t="shared" si="248"/>
        <v/>
      </c>
      <c r="AB329" s="25" t="str">
        <f t="shared" si="249"/>
        <v/>
      </c>
      <c r="AC329" s="25" t="str">
        <f t="shared" si="250"/>
        <v/>
      </c>
      <c r="AD329" s="25" t="str">
        <f t="shared" si="251"/>
        <v/>
      </c>
      <c r="AE329" s="26" t="str">
        <f t="shared" si="252"/>
        <v/>
      </c>
      <c r="AF329" s="24" t="str">
        <f t="shared" si="253"/>
        <v/>
      </c>
      <c r="AG329" s="25" t="str">
        <f t="shared" si="254"/>
        <v/>
      </c>
      <c r="AH329" s="25" t="str">
        <f t="shared" si="255"/>
        <v/>
      </c>
      <c r="AI329" s="25" t="str">
        <f t="shared" si="256"/>
        <v/>
      </c>
      <c r="AJ329" s="25" t="str">
        <f t="shared" si="257"/>
        <v/>
      </c>
      <c r="AK329" s="25" t="str">
        <f t="shared" si="258"/>
        <v/>
      </c>
      <c r="AL329" s="25" t="str">
        <f t="shared" si="259"/>
        <v/>
      </c>
      <c r="AM329" s="26" t="str">
        <f t="shared" si="260"/>
        <v/>
      </c>
      <c r="AQ329" s="24" t="str">
        <f t="shared" si="261"/>
        <v/>
      </c>
      <c r="AR329" s="25" t="str">
        <f t="shared" si="262"/>
        <v/>
      </c>
      <c r="AS329" s="25" t="str">
        <f t="shared" si="263"/>
        <v/>
      </c>
      <c r="AT329" s="25" t="str">
        <f t="shared" si="264"/>
        <v/>
      </c>
      <c r="AU329" s="25" t="str">
        <f t="shared" si="265"/>
        <v/>
      </c>
      <c r="AV329" s="25" t="str">
        <f t="shared" si="266"/>
        <v/>
      </c>
      <c r="AW329" s="25" t="str">
        <f t="shared" si="267"/>
        <v/>
      </c>
      <c r="AX329" s="26" t="str">
        <f t="shared" si="268"/>
        <v/>
      </c>
    </row>
    <row r="330" spans="4:50" hidden="1" x14ac:dyDescent="0.25">
      <c r="D330" s="70">
        <v>28</v>
      </c>
      <c r="E330" s="24" t="str">
        <f t="shared" si="229"/>
        <v/>
      </c>
      <c r="F330" s="25" t="str">
        <f t="shared" si="230"/>
        <v/>
      </c>
      <c r="G330" s="25" t="str">
        <f t="shared" si="231"/>
        <v/>
      </c>
      <c r="H330" s="25" t="str">
        <f t="shared" si="232"/>
        <v/>
      </c>
      <c r="I330" s="25" t="str">
        <f t="shared" si="233"/>
        <v/>
      </c>
      <c r="J330" s="25" t="str">
        <f t="shared" si="234"/>
        <v/>
      </c>
      <c r="K330" s="25" t="str">
        <f t="shared" si="235"/>
        <v/>
      </c>
      <c r="L330" s="26" t="str">
        <f t="shared" si="236"/>
        <v/>
      </c>
      <c r="M330" s="24" t="str">
        <f t="shared" si="237"/>
        <v/>
      </c>
      <c r="N330" s="25" t="str">
        <f t="shared" si="238"/>
        <v/>
      </c>
      <c r="O330" s="25" t="str">
        <f t="shared" si="239"/>
        <v/>
      </c>
      <c r="P330" s="25" t="str">
        <f t="shared" si="240"/>
        <v/>
      </c>
      <c r="Q330" s="25" t="str">
        <f t="shared" si="241"/>
        <v/>
      </c>
      <c r="R330" s="25" t="str">
        <f t="shared" si="242"/>
        <v/>
      </c>
      <c r="S330" s="25" t="str">
        <f t="shared" si="243"/>
        <v/>
      </c>
      <c r="T330" s="26" t="str">
        <f t="shared" si="244"/>
        <v/>
      </c>
      <c r="X330" s="24" t="str">
        <f t="shared" si="245"/>
        <v/>
      </c>
      <c r="Y330" s="25" t="str">
        <f t="shared" si="246"/>
        <v/>
      </c>
      <c r="Z330" s="25" t="str">
        <f t="shared" si="247"/>
        <v/>
      </c>
      <c r="AA330" s="25" t="str">
        <f t="shared" si="248"/>
        <v/>
      </c>
      <c r="AB330" s="25" t="str">
        <f t="shared" si="249"/>
        <v/>
      </c>
      <c r="AC330" s="25" t="str">
        <f t="shared" si="250"/>
        <v/>
      </c>
      <c r="AD330" s="25" t="str">
        <f t="shared" si="251"/>
        <v/>
      </c>
      <c r="AE330" s="26" t="str">
        <f t="shared" si="252"/>
        <v/>
      </c>
      <c r="AF330" s="24" t="str">
        <f t="shared" si="253"/>
        <v/>
      </c>
      <c r="AG330" s="25" t="str">
        <f t="shared" si="254"/>
        <v/>
      </c>
      <c r="AH330" s="25" t="str">
        <f t="shared" si="255"/>
        <v/>
      </c>
      <c r="AI330" s="25" t="str">
        <f t="shared" si="256"/>
        <v/>
      </c>
      <c r="AJ330" s="25" t="str">
        <f t="shared" si="257"/>
        <v/>
      </c>
      <c r="AK330" s="25" t="str">
        <f t="shared" si="258"/>
        <v/>
      </c>
      <c r="AL330" s="25" t="str">
        <f t="shared" si="259"/>
        <v/>
      </c>
      <c r="AM330" s="26" t="str">
        <f t="shared" si="260"/>
        <v/>
      </c>
      <c r="AQ330" s="24" t="str">
        <f t="shared" si="261"/>
        <v/>
      </c>
      <c r="AR330" s="25" t="str">
        <f t="shared" si="262"/>
        <v/>
      </c>
      <c r="AS330" s="25" t="str">
        <f t="shared" si="263"/>
        <v/>
      </c>
      <c r="AT330" s="25" t="str">
        <f t="shared" si="264"/>
        <v/>
      </c>
      <c r="AU330" s="25" t="str">
        <f t="shared" si="265"/>
        <v/>
      </c>
      <c r="AV330" s="25" t="str">
        <f t="shared" si="266"/>
        <v/>
      </c>
      <c r="AW330" s="25" t="str">
        <f t="shared" si="267"/>
        <v/>
      </c>
      <c r="AX330" s="26" t="str">
        <f t="shared" si="268"/>
        <v/>
      </c>
    </row>
    <row r="331" spans="4:50" hidden="1" x14ac:dyDescent="0.25">
      <c r="D331" s="70">
        <v>29</v>
      </c>
      <c r="E331" s="24" t="str">
        <f t="shared" si="229"/>
        <v/>
      </c>
      <c r="F331" s="25" t="str">
        <f t="shared" si="230"/>
        <v/>
      </c>
      <c r="G331" s="25" t="str">
        <f t="shared" si="231"/>
        <v/>
      </c>
      <c r="H331" s="25" t="str">
        <f t="shared" si="232"/>
        <v/>
      </c>
      <c r="I331" s="25" t="str">
        <f t="shared" si="233"/>
        <v/>
      </c>
      <c r="J331" s="25" t="str">
        <f t="shared" si="234"/>
        <v/>
      </c>
      <c r="K331" s="25" t="str">
        <f t="shared" si="235"/>
        <v/>
      </c>
      <c r="L331" s="26" t="str">
        <f t="shared" si="236"/>
        <v/>
      </c>
      <c r="M331" s="24" t="str">
        <f t="shared" si="237"/>
        <v/>
      </c>
      <c r="N331" s="25" t="str">
        <f t="shared" si="238"/>
        <v/>
      </c>
      <c r="O331" s="25" t="str">
        <f t="shared" si="239"/>
        <v/>
      </c>
      <c r="P331" s="25" t="str">
        <f t="shared" si="240"/>
        <v/>
      </c>
      <c r="Q331" s="25" t="str">
        <f t="shared" si="241"/>
        <v/>
      </c>
      <c r="R331" s="25" t="str">
        <f t="shared" si="242"/>
        <v/>
      </c>
      <c r="S331" s="25" t="str">
        <f t="shared" si="243"/>
        <v/>
      </c>
      <c r="T331" s="26" t="str">
        <f t="shared" si="244"/>
        <v/>
      </c>
      <c r="X331" s="24" t="str">
        <f t="shared" si="245"/>
        <v/>
      </c>
      <c r="Y331" s="25" t="str">
        <f t="shared" si="246"/>
        <v/>
      </c>
      <c r="Z331" s="25" t="str">
        <f t="shared" si="247"/>
        <v/>
      </c>
      <c r="AA331" s="25" t="str">
        <f t="shared" si="248"/>
        <v/>
      </c>
      <c r="AB331" s="25" t="str">
        <f t="shared" si="249"/>
        <v/>
      </c>
      <c r="AC331" s="25" t="str">
        <f t="shared" si="250"/>
        <v/>
      </c>
      <c r="AD331" s="25" t="str">
        <f t="shared" si="251"/>
        <v/>
      </c>
      <c r="AE331" s="26" t="str">
        <f t="shared" si="252"/>
        <v/>
      </c>
      <c r="AF331" s="24" t="str">
        <f t="shared" si="253"/>
        <v/>
      </c>
      <c r="AG331" s="25" t="str">
        <f t="shared" si="254"/>
        <v/>
      </c>
      <c r="AH331" s="25" t="str">
        <f t="shared" si="255"/>
        <v/>
      </c>
      <c r="AI331" s="25" t="str">
        <f t="shared" si="256"/>
        <v/>
      </c>
      <c r="AJ331" s="25" t="str">
        <f t="shared" si="257"/>
        <v/>
      </c>
      <c r="AK331" s="25" t="str">
        <f t="shared" si="258"/>
        <v/>
      </c>
      <c r="AL331" s="25" t="str">
        <f t="shared" si="259"/>
        <v/>
      </c>
      <c r="AM331" s="26" t="str">
        <f t="shared" si="260"/>
        <v/>
      </c>
      <c r="AQ331" s="24" t="str">
        <f t="shared" si="261"/>
        <v/>
      </c>
      <c r="AR331" s="25" t="str">
        <f t="shared" si="262"/>
        <v/>
      </c>
      <c r="AS331" s="25" t="str">
        <f t="shared" si="263"/>
        <v/>
      </c>
      <c r="AT331" s="25" t="str">
        <f t="shared" si="264"/>
        <v/>
      </c>
      <c r="AU331" s="25" t="str">
        <f t="shared" si="265"/>
        <v/>
      </c>
      <c r="AV331" s="25" t="str">
        <f t="shared" si="266"/>
        <v/>
      </c>
      <c r="AW331" s="25" t="str">
        <f t="shared" si="267"/>
        <v/>
      </c>
      <c r="AX331" s="26" t="str">
        <f t="shared" si="268"/>
        <v/>
      </c>
    </row>
    <row r="332" spans="4:50" hidden="1" x14ac:dyDescent="0.25">
      <c r="D332" s="70">
        <v>30</v>
      </c>
      <c r="E332" s="24" t="str">
        <f t="shared" si="229"/>
        <v/>
      </c>
      <c r="F332" s="25" t="str">
        <f t="shared" si="230"/>
        <v/>
      </c>
      <c r="G332" s="25" t="str">
        <f t="shared" si="231"/>
        <v/>
      </c>
      <c r="H332" s="25" t="str">
        <f t="shared" si="232"/>
        <v/>
      </c>
      <c r="I332" s="25" t="str">
        <f t="shared" si="233"/>
        <v/>
      </c>
      <c r="J332" s="25" t="str">
        <f t="shared" si="234"/>
        <v/>
      </c>
      <c r="K332" s="25" t="str">
        <f t="shared" si="235"/>
        <v/>
      </c>
      <c r="L332" s="26" t="str">
        <f t="shared" si="236"/>
        <v/>
      </c>
      <c r="M332" s="24" t="str">
        <f t="shared" si="237"/>
        <v/>
      </c>
      <c r="N332" s="25" t="str">
        <f t="shared" si="238"/>
        <v/>
      </c>
      <c r="O332" s="25" t="str">
        <f t="shared" si="239"/>
        <v/>
      </c>
      <c r="P332" s="25" t="str">
        <f t="shared" si="240"/>
        <v/>
      </c>
      <c r="Q332" s="25" t="str">
        <f t="shared" si="241"/>
        <v/>
      </c>
      <c r="R332" s="25" t="str">
        <f t="shared" si="242"/>
        <v/>
      </c>
      <c r="S332" s="25" t="str">
        <f t="shared" si="243"/>
        <v/>
      </c>
      <c r="T332" s="26" t="str">
        <f t="shared" si="244"/>
        <v/>
      </c>
      <c r="X332" s="24" t="str">
        <f t="shared" si="245"/>
        <v/>
      </c>
      <c r="Y332" s="25" t="str">
        <f t="shared" si="246"/>
        <v/>
      </c>
      <c r="Z332" s="25" t="str">
        <f t="shared" si="247"/>
        <v/>
      </c>
      <c r="AA332" s="25" t="str">
        <f t="shared" si="248"/>
        <v/>
      </c>
      <c r="AB332" s="25" t="str">
        <f t="shared" si="249"/>
        <v/>
      </c>
      <c r="AC332" s="25" t="str">
        <f t="shared" si="250"/>
        <v/>
      </c>
      <c r="AD332" s="25" t="str">
        <f t="shared" si="251"/>
        <v/>
      </c>
      <c r="AE332" s="26" t="str">
        <f t="shared" si="252"/>
        <v/>
      </c>
      <c r="AF332" s="24" t="str">
        <f t="shared" si="253"/>
        <v/>
      </c>
      <c r="AG332" s="25" t="str">
        <f t="shared" si="254"/>
        <v/>
      </c>
      <c r="AH332" s="25" t="str">
        <f t="shared" si="255"/>
        <v/>
      </c>
      <c r="AI332" s="25" t="str">
        <f t="shared" si="256"/>
        <v/>
      </c>
      <c r="AJ332" s="25" t="str">
        <f t="shared" si="257"/>
        <v/>
      </c>
      <c r="AK332" s="25" t="str">
        <f t="shared" si="258"/>
        <v/>
      </c>
      <c r="AL332" s="25" t="str">
        <f t="shared" si="259"/>
        <v/>
      </c>
      <c r="AM332" s="26" t="str">
        <f t="shared" si="260"/>
        <v/>
      </c>
      <c r="AQ332" s="24" t="str">
        <f t="shared" si="261"/>
        <v/>
      </c>
      <c r="AR332" s="25" t="str">
        <f t="shared" si="262"/>
        <v/>
      </c>
      <c r="AS332" s="25" t="str">
        <f t="shared" si="263"/>
        <v/>
      </c>
      <c r="AT332" s="25" t="str">
        <f t="shared" si="264"/>
        <v/>
      </c>
      <c r="AU332" s="25" t="str">
        <f t="shared" si="265"/>
        <v/>
      </c>
      <c r="AV332" s="25" t="str">
        <f t="shared" si="266"/>
        <v/>
      </c>
      <c r="AW332" s="25" t="str">
        <f t="shared" si="267"/>
        <v/>
      </c>
      <c r="AX332" s="26" t="str">
        <f t="shared" si="268"/>
        <v/>
      </c>
    </row>
    <row r="333" spans="4:50" hidden="1" x14ac:dyDescent="0.25">
      <c r="D333" s="70">
        <v>31</v>
      </c>
      <c r="E333" s="24" t="str">
        <f t="shared" si="229"/>
        <v/>
      </c>
      <c r="F333" s="25" t="str">
        <f t="shared" si="230"/>
        <v/>
      </c>
      <c r="G333" s="25" t="str">
        <f t="shared" si="231"/>
        <v/>
      </c>
      <c r="H333" s="25" t="str">
        <f t="shared" si="232"/>
        <v/>
      </c>
      <c r="I333" s="25" t="str">
        <f t="shared" si="233"/>
        <v/>
      </c>
      <c r="J333" s="25" t="str">
        <f t="shared" si="234"/>
        <v/>
      </c>
      <c r="K333" s="25" t="str">
        <f t="shared" si="235"/>
        <v/>
      </c>
      <c r="L333" s="26" t="str">
        <f t="shared" si="236"/>
        <v/>
      </c>
      <c r="M333" s="24" t="str">
        <f t="shared" si="237"/>
        <v/>
      </c>
      <c r="N333" s="25" t="str">
        <f t="shared" si="238"/>
        <v/>
      </c>
      <c r="O333" s="25" t="str">
        <f t="shared" si="239"/>
        <v/>
      </c>
      <c r="P333" s="25" t="str">
        <f t="shared" si="240"/>
        <v/>
      </c>
      <c r="Q333" s="25" t="str">
        <f t="shared" si="241"/>
        <v/>
      </c>
      <c r="R333" s="25" t="str">
        <f t="shared" si="242"/>
        <v/>
      </c>
      <c r="S333" s="25" t="str">
        <f t="shared" si="243"/>
        <v/>
      </c>
      <c r="T333" s="26" t="str">
        <f t="shared" si="244"/>
        <v/>
      </c>
      <c r="X333" s="24" t="str">
        <f t="shared" si="245"/>
        <v/>
      </c>
      <c r="Y333" s="25" t="str">
        <f t="shared" si="246"/>
        <v/>
      </c>
      <c r="Z333" s="25" t="str">
        <f t="shared" si="247"/>
        <v/>
      </c>
      <c r="AA333" s="25" t="str">
        <f t="shared" si="248"/>
        <v/>
      </c>
      <c r="AB333" s="25" t="str">
        <f t="shared" si="249"/>
        <v/>
      </c>
      <c r="AC333" s="25" t="str">
        <f t="shared" si="250"/>
        <v/>
      </c>
      <c r="AD333" s="25" t="str">
        <f t="shared" si="251"/>
        <v/>
      </c>
      <c r="AE333" s="26" t="str">
        <f t="shared" si="252"/>
        <v/>
      </c>
      <c r="AF333" s="24" t="str">
        <f t="shared" si="253"/>
        <v/>
      </c>
      <c r="AG333" s="25" t="str">
        <f t="shared" si="254"/>
        <v/>
      </c>
      <c r="AH333" s="25" t="str">
        <f t="shared" si="255"/>
        <v/>
      </c>
      <c r="AI333" s="25" t="str">
        <f t="shared" si="256"/>
        <v/>
      </c>
      <c r="AJ333" s="25" t="str">
        <f t="shared" si="257"/>
        <v/>
      </c>
      <c r="AK333" s="25" t="str">
        <f t="shared" si="258"/>
        <v/>
      </c>
      <c r="AL333" s="25" t="str">
        <f t="shared" si="259"/>
        <v/>
      </c>
      <c r="AM333" s="26" t="str">
        <f t="shared" si="260"/>
        <v/>
      </c>
      <c r="AQ333" s="24" t="str">
        <f t="shared" si="261"/>
        <v/>
      </c>
      <c r="AR333" s="25" t="str">
        <f t="shared" si="262"/>
        <v/>
      </c>
      <c r="AS333" s="25" t="str">
        <f t="shared" si="263"/>
        <v/>
      </c>
      <c r="AT333" s="25" t="str">
        <f t="shared" si="264"/>
        <v/>
      </c>
      <c r="AU333" s="25" t="str">
        <f t="shared" si="265"/>
        <v/>
      </c>
      <c r="AV333" s="25" t="str">
        <f t="shared" si="266"/>
        <v/>
      </c>
      <c r="AW333" s="25" t="str">
        <f t="shared" si="267"/>
        <v/>
      </c>
      <c r="AX333" s="26" t="str">
        <f t="shared" si="268"/>
        <v/>
      </c>
    </row>
    <row r="334" spans="4:50" hidden="1" x14ac:dyDescent="0.25">
      <c r="D334" s="70">
        <v>32</v>
      </c>
      <c r="E334" s="24" t="str">
        <f t="shared" si="229"/>
        <v/>
      </c>
      <c r="F334" s="25" t="str">
        <f t="shared" si="230"/>
        <v/>
      </c>
      <c r="G334" s="25" t="str">
        <f t="shared" si="231"/>
        <v/>
      </c>
      <c r="H334" s="25" t="str">
        <f t="shared" si="232"/>
        <v/>
      </c>
      <c r="I334" s="25" t="str">
        <f t="shared" si="233"/>
        <v/>
      </c>
      <c r="J334" s="25" t="str">
        <f t="shared" si="234"/>
        <v/>
      </c>
      <c r="K334" s="25" t="str">
        <f t="shared" si="235"/>
        <v/>
      </c>
      <c r="L334" s="26" t="str">
        <f t="shared" si="236"/>
        <v/>
      </c>
      <c r="M334" s="24" t="str">
        <f t="shared" si="237"/>
        <v/>
      </c>
      <c r="N334" s="25" t="str">
        <f t="shared" si="238"/>
        <v/>
      </c>
      <c r="O334" s="25" t="str">
        <f t="shared" si="239"/>
        <v/>
      </c>
      <c r="P334" s="25" t="str">
        <f t="shared" si="240"/>
        <v/>
      </c>
      <c r="Q334" s="25" t="str">
        <f t="shared" si="241"/>
        <v/>
      </c>
      <c r="R334" s="25" t="str">
        <f t="shared" si="242"/>
        <v/>
      </c>
      <c r="S334" s="25" t="str">
        <f t="shared" si="243"/>
        <v/>
      </c>
      <c r="T334" s="26" t="str">
        <f t="shared" si="244"/>
        <v/>
      </c>
      <c r="X334" s="24" t="str">
        <f t="shared" si="245"/>
        <v/>
      </c>
      <c r="Y334" s="25" t="str">
        <f t="shared" si="246"/>
        <v/>
      </c>
      <c r="Z334" s="25" t="str">
        <f t="shared" si="247"/>
        <v/>
      </c>
      <c r="AA334" s="25" t="str">
        <f t="shared" si="248"/>
        <v/>
      </c>
      <c r="AB334" s="25" t="str">
        <f t="shared" si="249"/>
        <v/>
      </c>
      <c r="AC334" s="25" t="str">
        <f t="shared" si="250"/>
        <v/>
      </c>
      <c r="AD334" s="25" t="str">
        <f t="shared" si="251"/>
        <v/>
      </c>
      <c r="AE334" s="26" t="str">
        <f t="shared" si="252"/>
        <v/>
      </c>
      <c r="AF334" s="24" t="str">
        <f t="shared" si="253"/>
        <v/>
      </c>
      <c r="AG334" s="25" t="str">
        <f t="shared" si="254"/>
        <v/>
      </c>
      <c r="AH334" s="25" t="str">
        <f t="shared" si="255"/>
        <v/>
      </c>
      <c r="AI334" s="25" t="str">
        <f t="shared" si="256"/>
        <v/>
      </c>
      <c r="AJ334" s="25" t="str">
        <f t="shared" si="257"/>
        <v/>
      </c>
      <c r="AK334" s="25" t="str">
        <f t="shared" si="258"/>
        <v/>
      </c>
      <c r="AL334" s="25" t="str">
        <f t="shared" si="259"/>
        <v/>
      </c>
      <c r="AM334" s="26" t="str">
        <f t="shared" si="260"/>
        <v/>
      </c>
      <c r="AQ334" s="24" t="str">
        <f t="shared" si="261"/>
        <v/>
      </c>
      <c r="AR334" s="25" t="str">
        <f t="shared" si="262"/>
        <v/>
      </c>
      <c r="AS334" s="25" t="str">
        <f t="shared" si="263"/>
        <v/>
      </c>
      <c r="AT334" s="25" t="str">
        <f t="shared" si="264"/>
        <v/>
      </c>
      <c r="AU334" s="25" t="str">
        <f t="shared" si="265"/>
        <v/>
      </c>
      <c r="AV334" s="25" t="str">
        <f t="shared" si="266"/>
        <v/>
      </c>
      <c r="AW334" s="25" t="str">
        <f t="shared" si="267"/>
        <v/>
      </c>
      <c r="AX334" s="26" t="str">
        <f t="shared" si="268"/>
        <v/>
      </c>
    </row>
    <row r="335" spans="4:50" hidden="1" x14ac:dyDescent="0.25">
      <c r="D335" s="70">
        <v>33</v>
      </c>
      <c r="E335" s="24" t="str">
        <f t="shared" ref="E335:E366" si="269">IFERROR(VLOOKUP(SMALL($D$170:$D$297,$D335),$D$170:$AX$297,2,FALSE),"")</f>
        <v/>
      </c>
      <c r="F335" s="25" t="str">
        <f t="shared" ref="F335:F366" si="270">IFERROR(VLOOKUP(SMALL($D$170:$D$297,$D335),$D$170:$AX$297,3,FALSE),"")</f>
        <v/>
      </c>
      <c r="G335" s="25" t="str">
        <f t="shared" ref="G335:G366" si="271">IFERROR(VLOOKUP(SMALL($D$170:$D$297,$D335),$D$170:$AX$297,4,FALSE),"")</f>
        <v/>
      </c>
      <c r="H335" s="25" t="str">
        <f t="shared" ref="H335:H366" si="272">IFERROR(VLOOKUP(SMALL($D$170:$D$297,$D335),$D$170:$AX$297,5,FALSE),"")</f>
        <v/>
      </c>
      <c r="I335" s="25" t="str">
        <f t="shared" ref="I335:I366" si="273">IFERROR(VLOOKUP(SMALL($D$170:$D$297,$D335),$D$170:$AX$297,6,FALSE),"")</f>
        <v/>
      </c>
      <c r="J335" s="25" t="str">
        <f t="shared" ref="J335:J366" si="274">IFERROR(VLOOKUP(SMALL($D$170:$D$297,$D335),$D$170:$AX$297,7,FALSE),"")</f>
        <v/>
      </c>
      <c r="K335" s="25" t="str">
        <f t="shared" ref="K335:K366" si="275">IFERROR(VLOOKUP(SMALL($D$170:$D$297,$D335),$D$170:$AX$297,8,FALSE),"")</f>
        <v/>
      </c>
      <c r="L335" s="26" t="str">
        <f t="shared" ref="L335:L366" si="276">IFERROR(VLOOKUP(SMALL($D$170:$D$297,$D335),$D$170:$AX$297,9,FALSE),"")</f>
        <v/>
      </c>
      <c r="M335" s="24" t="str">
        <f t="shared" ref="M335:M366" si="277">IFERROR(VLOOKUP(SMALL($D$170:$D$297,$D335),$D$170:$AX$297,10,FALSE),"")</f>
        <v/>
      </c>
      <c r="N335" s="25" t="str">
        <f t="shared" ref="N335:N366" si="278">IFERROR(VLOOKUP(SMALL($D$170:$D$297,$D335),$D$170:$AX$297,11,FALSE),"")</f>
        <v/>
      </c>
      <c r="O335" s="25" t="str">
        <f t="shared" ref="O335:O366" si="279">IFERROR(VLOOKUP(SMALL($D$170:$D$297,$D335),$D$170:$AX$297,12,FALSE),"")</f>
        <v/>
      </c>
      <c r="P335" s="25" t="str">
        <f t="shared" ref="P335:P366" si="280">IFERROR(VLOOKUP(SMALL($D$170:$D$297,$D335),$D$170:$AX$297,13,FALSE),"")</f>
        <v/>
      </c>
      <c r="Q335" s="25" t="str">
        <f t="shared" ref="Q335:Q366" si="281">IFERROR(VLOOKUP(SMALL($D$170:$D$297,$D335),$D$170:$AX$297,14,FALSE),"")</f>
        <v/>
      </c>
      <c r="R335" s="25" t="str">
        <f t="shared" ref="R335:R366" si="282">IFERROR(VLOOKUP(SMALL($D$170:$D$297,$D335),$D$170:$AX$297,15,FALSE),"")</f>
        <v/>
      </c>
      <c r="S335" s="25" t="str">
        <f t="shared" ref="S335:S366" si="283">IFERROR(VLOOKUP(SMALL($D$170:$D$297,$D335),$D$170:$AX$297,16,FALSE),"")</f>
        <v/>
      </c>
      <c r="T335" s="26" t="str">
        <f t="shared" ref="T335:T366" si="284">IFERROR(VLOOKUP(SMALL($D$170:$D$297,$D335),$D$170:$AX$297,17,FALSE),"")</f>
        <v/>
      </c>
      <c r="X335" s="24" t="str">
        <f t="shared" ref="X335:X366" si="285">IFERROR(VLOOKUP(SMALL($D$170:$D$297,$D335),$D$170:$AX$297,21,FALSE),"")</f>
        <v/>
      </c>
      <c r="Y335" s="25" t="str">
        <f t="shared" ref="Y335:Y366" si="286">IFERROR(VLOOKUP(SMALL($D$170:$D$297,$D335),$D$170:$AX$297,22,FALSE),"")</f>
        <v/>
      </c>
      <c r="Z335" s="25" t="str">
        <f t="shared" ref="Z335:Z366" si="287">IFERROR(VLOOKUP(SMALL($D$170:$D$297,$D335),$D$170:$AX$297,23,FALSE),"")</f>
        <v/>
      </c>
      <c r="AA335" s="25" t="str">
        <f t="shared" ref="AA335:AA366" si="288">IFERROR(VLOOKUP(SMALL($D$170:$D$297,$D335),$D$170:$AX$297,24,FALSE),"")</f>
        <v/>
      </c>
      <c r="AB335" s="25" t="str">
        <f t="shared" ref="AB335:AB366" si="289">IFERROR(VLOOKUP(SMALL($D$170:$D$297,$D335),$D$170:$AX$297,25,FALSE),"")</f>
        <v/>
      </c>
      <c r="AC335" s="25" t="str">
        <f t="shared" ref="AC335:AC366" si="290">IFERROR(VLOOKUP(SMALL($D$170:$D$297,$D335),$D$170:$AX$297,26,FALSE),"")</f>
        <v/>
      </c>
      <c r="AD335" s="25" t="str">
        <f t="shared" ref="AD335:AD366" si="291">IFERROR(VLOOKUP(SMALL($D$170:$D$297,$D335),$D$170:$AX$297,27,FALSE),"")</f>
        <v/>
      </c>
      <c r="AE335" s="26" t="str">
        <f t="shared" ref="AE335:AE366" si="292">IFERROR(VLOOKUP(SMALL($D$170:$D$297,$D335),$D$170:$AX$297,28,FALSE),"")</f>
        <v/>
      </c>
      <c r="AF335" s="24" t="str">
        <f t="shared" ref="AF335:AF366" si="293">IFERROR(VLOOKUP(SMALL($D$170:$D$297,$D335),$D$170:$AX$297,29,FALSE),"")</f>
        <v/>
      </c>
      <c r="AG335" s="25" t="str">
        <f t="shared" ref="AG335:AG366" si="294">IFERROR(VLOOKUP(SMALL($D$170:$D$297,$D335),$D$170:$AX$297,30,FALSE),"")</f>
        <v/>
      </c>
      <c r="AH335" s="25" t="str">
        <f t="shared" ref="AH335:AH366" si="295">IFERROR(VLOOKUP(SMALL($D$170:$D$297,$D335),$D$170:$AX$297,31,FALSE),"")</f>
        <v/>
      </c>
      <c r="AI335" s="25" t="str">
        <f t="shared" ref="AI335:AI366" si="296">IFERROR(VLOOKUP(SMALL($D$170:$D$297,$D335),$D$170:$AX$297,32,FALSE),"")</f>
        <v/>
      </c>
      <c r="AJ335" s="25" t="str">
        <f t="shared" ref="AJ335:AJ366" si="297">IFERROR(VLOOKUP(SMALL($D$170:$D$297,$D335),$D$170:$AX$297,33,FALSE),"")</f>
        <v/>
      </c>
      <c r="AK335" s="25" t="str">
        <f t="shared" ref="AK335:AK366" si="298">IFERROR(VLOOKUP(SMALL($D$170:$D$297,$D335),$D$170:$AX$297,34,FALSE),"")</f>
        <v/>
      </c>
      <c r="AL335" s="25" t="str">
        <f t="shared" ref="AL335:AL366" si="299">IFERROR(VLOOKUP(SMALL($D$170:$D$297,$D335),$D$170:$AX$297,35,FALSE),"")</f>
        <v/>
      </c>
      <c r="AM335" s="26" t="str">
        <f t="shared" ref="AM335:AM366" si="300">IFERROR(VLOOKUP(SMALL($D$170:$D$297,$D335),$D$170:$AX$297,36,FALSE),"")</f>
        <v/>
      </c>
      <c r="AQ335" s="24" t="str">
        <f t="shared" ref="AQ335:AQ366" si="301">IFERROR(VLOOKUP(SMALL($D$170:$D$297,$D335),$D$170:$AX$297,40,FALSE),"")</f>
        <v/>
      </c>
      <c r="AR335" s="25" t="str">
        <f t="shared" ref="AR335:AR366" si="302">IFERROR(VLOOKUP(SMALL($D$170:$D$297,$D335),$D$170:$AX$297,41,FALSE),"")</f>
        <v/>
      </c>
      <c r="AS335" s="25" t="str">
        <f t="shared" ref="AS335:AS366" si="303">IFERROR(VLOOKUP(SMALL($D$170:$D$297,$D335),$D$170:$AX$297,42,FALSE),"")</f>
        <v/>
      </c>
      <c r="AT335" s="25" t="str">
        <f t="shared" ref="AT335:AT366" si="304">IFERROR(VLOOKUP(SMALL($D$170:$D$297,$D335),$D$170:$AX$297,43,FALSE),"")</f>
        <v/>
      </c>
      <c r="AU335" s="25" t="str">
        <f t="shared" ref="AU335:AU366" si="305">IFERROR(VLOOKUP(SMALL($D$170:$D$297,$D335),$D$170:$AX$297,44,FALSE),"")</f>
        <v/>
      </c>
      <c r="AV335" s="25" t="str">
        <f t="shared" ref="AV335:AV366" si="306">IFERROR(VLOOKUP(SMALL($D$170:$D$297,$D335),$D$170:$AX$297,45,FALSE),"")</f>
        <v/>
      </c>
      <c r="AW335" s="25" t="str">
        <f t="shared" ref="AW335:AW366" si="307">IFERROR(VLOOKUP(SMALL($D$170:$D$297,$D335),$D$170:$AX$297,46,FALSE),"")</f>
        <v/>
      </c>
      <c r="AX335" s="26" t="str">
        <f t="shared" ref="AX335:AX366" si="308">IFERROR(VLOOKUP(SMALL($D$170:$D$297,$D335),$D$170:$AX$297,47,FALSE),"")</f>
        <v/>
      </c>
    </row>
    <row r="336" spans="4:50" hidden="1" x14ac:dyDescent="0.25">
      <c r="D336" s="70">
        <v>34</v>
      </c>
      <c r="E336" s="24" t="str">
        <f t="shared" si="269"/>
        <v/>
      </c>
      <c r="F336" s="25" t="str">
        <f t="shared" si="270"/>
        <v/>
      </c>
      <c r="G336" s="25" t="str">
        <f t="shared" si="271"/>
        <v/>
      </c>
      <c r="H336" s="25" t="str">
        <f t="shared" si="272"/>
        <v/>
      </c>
      <c r="I336" s="25" t="str">
        <f t="shared" si="273"/>
        <v/>
      </c>
      <c r="J336" s="25" t="str">
        <f t="shared" si="274"/>
        <v/>
      </c>
      <c r="K336" s="25" t="str">
        <f t="shared" si="275"/>
        <v/>
      </c>
      <c r="L336" s="26" t="str">
        <f t="shared" si="276"/>
        <v/>
      </c>
      <c r="M336" s="24" t="str">
        <f t="shared" si="277"/>
        <v/>
      </c>
      <c r="N336" s="25" t="str">
        <f t="shared" si="278"/>
        <v/>
      </c>
      <c r="O336" s="25" t="str">
        <f t="shared" si="279"/>
        <v/>
      </c>
      <c r="P336" s="25" t="str">
        <f t="shared" si="280"/>
        <v/>
      </c>
      <c r="Q336" s="25" t="str">
        <f t="shared" si="281"/>
        <v/>
      </c>
      <c r="R336" s="25" t="str">
        <f t="shared" si="282"/>
        <v/>
      </c>
      <c r="S336" s="25" t="str">
        <f t="shared" si="283"/>
        <v/>
      </c>
      <c r="T336" s="26" t="str">
        <f t="shared" si="284"/>
        <v/>
      </c>
      <c r="X336" s="24" t="str">
        <f t="shared" si="285"/>
        <v/>
      </c>
      <c r="Y336" s="25" t="str">
        <f t="shared" si="286"/>
        <v/>
      </c>
      <c r="Z336" s="25" t="str">
        <f t="shared" si="287"/>
        <v/>
      </c>
      <c r="AA336" s="25" t="str">
        <f t="shared" si="288"/>
        <v/>
      </c>
      <c r="AB336" s="25" t="str">
        <f t="shared" si="289"/>
        <v/>
      </c>
      <c r="AC336" s="25" t="str">
        <f t="shared" si="290"/>
        <v/>
      </c>
      <c r="AD336" s="25" t="str">
        <f t="shared" si="291"/>
        <v/>
      </c>
      <c r="AE336" s="26" t="str">
        <f t="shared" si="292"/>
        <v/>
      </c>
      <c r="AF336" s="24" t="str">
        <f t="shared" si="293"/>
        <v/>
      </c>
      <c r="AG336" s="25" t="str">
        <f t="shared" si="294"/>
        <v/>
      </c>
      <c r="AH336" s="25" t="str">
        <f t="shared" si="295"/>
        <v/>
      </c>
      <c r="AI336" s="25" t="str">
        <f t="shared" si="296"/>
        <v/>
      </c>
      <c r="AJ336" s="25" t="str">
        <f t="shared" si="297"/>
        <v/>
      </c>
      <c r="AK336" s="25" t="str">
        <f t="shared" si="298"/>
        <v/>
      </c>
      <c r="AL336" s="25" t="str">
        <f t="shared" si="299"/>
        <v/>
      </c>
      <c r="AM336" s="26" t="str">
        <f t="shared" si="300"/>
        <v/>
      </c>
      <c r="AQ336" s="24" t="str">
        <f t="shared" si="301"/>
        <v/>
      </c>
      <c r="AR336" s="25" t="str">
        <f t="shared" si="302"/>
        <v/>
      </c>
      <c r="AS336" s="25" t="str">
        <f t="shared" si="303"/>
        <v/>
      </c>
      <c r="AT336" s="25" t="str">
        <f t="shared" si="304"/>
        <v/>
      </c>
      <c r="AU336" s="25" t="str">
        <f t="shared" si="305"/>
        <v/>
      </c>
      <c r="AV336" s="25" t="str">
        <f t="shared" si="306"/>
        <v/>
      </c>
      <c r="AW336" s="25" t="str">
        <f t="shared" si="307"/>
        <v/>
      </c>
      <c r="AX336" s="26" t="str">
        <f t="shared" si="308"/>
        <v/>
      </c>
    </row>
    <row r="337" spans="4:50" hidden="1" x14ac:dyDescent="0.25">
      <c r="D337" s="70">
        <v>35</v>
      </c>
      <c r="E337" s="24" t="str">
        <f t="shared" si="269"/>
        <v/>
      </c>
      <c r="F337" s="25" t="str">
        <f t="shared" si="270"/>
        <v/>
      </c>
      <c r="G337" s="25" t="str">
        <f t="shared" si="271"/>
        <v/>
      </c>
      <c r="H337" s="25" t="str">
        <f t="shared" si="272"/>
        <v/>
      </c>
      <c r="I337" s="25" t="str">
        <f t="shared" si="273"/>
        <v/>
      </c>
      <c r="J337" s="25" t="str">
        <f t="shared" si="274"/>
        <v/>
      </c>
      <c r="K337" s="25" t="str">
        <f t="shared" si="275"/>
        <v/>
      </c>
      <c r="L337" s="26" t="str">
        <f t="shared" si="276"/>
        <v/>
      </c>
      <c r="M337" s="24" t="str">
        <f t="shared" si="277"/>
        <v/>
      </c>
      <c r="N337" s="25" t="str">
        <f t="shared" si="278"/>
        <v/>
      </c>
      <c r="O337" s="25" t="str">
        <f t="shared" si="279"/>
        <v/>
      </c>
      <c r="P337" s="25" t="str">
        <f t="shared" si="280"/>
        <v/>
      </c>
      <c r="Q337" s="25" t="str">
        <f t="shared" si="281"/>
        <v/>
      </c>
      <c r="R337" s="25" t="str">
        <f t="shared" si="282"/>
        <v/>
      </c>
      <c r="S337" s="25" t="str">
        <f t="shared" si="283"/>
        <v/>
      </c>
      <c r="T337" s="26" t="str">
        <f t="shared" si="284"/>
        <v/>
      </c>
      <c r="X337" s="24" t="str">
        <f t="shared" si="285"/>
        <v/>
      </c>
      <c r="Y337" s="25" t="str">
        <f t="shared" si="286"/>
        <v/>
      </c>
      <c r="Z337" s="25" t="str">
        <f t="shared" si="287"/>
        <v/>
      </c>
      <c r="AA337" s="25" t="str">
        <f t="shared" si="288"/>
        <v/>
      </c>
      <c r="AB337" s="25" t="str">
        <f t="shared" si="289"/>
        <v/>
      </c>
      <c r="AC337" s="25" t="str">
        <f t="shared" si="290"/>
        <v/>
      </c>
      <c r="AD337" s="25" t="str">
        <f t="shared" si="291"/>
        <v/>
      </c>
      <c r="AE337" s="26" t="str">
        <f t="shared" si="292"/>
        <v/>
      </c>
      <c r="AF337" s="24" t="str">
        <f t="shared" si="293"/>
        <v/>
      </c>
      <c r="AG337" s="25" t="str">
        <f t="shared" si="294"/>
        <v/>
      </c>
      <c r="AH337" s="25" t="str">
        <f t="shared" si="295"/>
        <v/>
      </c>
      <c r="AI337" s="25" t="str">
        <f t="shared" si="296"/>
        <v/>
      </c>
      <c r="AJ337" s="25" t="str">
        <f t="shared" si="297"/>
        <v/>
      </c>
      <c r="AK337" s="25" t="str">
        <f t="shared" si="298"/>
        <v/>
      </c>
      <c r="AL337" s="25" t="str">
        <f t="shared" si="299"/>
        <v/>
      </c>
      <c r="AM337" s="26" t="str">
        <f t="shared" si="300"/>
        <v/>
      </c>
      <c r="AQ337" s="24" t="str">
        <f t="shared" si="301"/>
        <v/>
      </c>
      <c r="AR337" s="25" t="str">
        <f t="shared" si="302"/>
        <v/>
      </c>
      <c r="AS337" s="25" t="str">
        <f t="shared" si="303"/>
        <v/>
      </c>
      <c r="AT337" s="25" t="str">
        <f t="shared" si="304"/>
        <v/>
      </c>
      <c r="AU337" s="25" t="str">
        <f t="shared" si="305"/>
        <v/>
      </c>
      <c r="AV337" s="25" t="str">
        <f t="shared" si="306"/>
        <v/>
      </c>
      <c r="AW337" s="25" t="str">
        <f t="shared" si="307"/>
        <v/>
      </c>
      <c r="AX337" s="26" t="str">
        <f t="shared" si="308"/>
        <v/>
      </c>
    </row>
    <row r="338" spans="4:50" hidden="1" x14ac:dyDescent="0.25">
      <c r="D338" s="70">
        <v>36</v>
      </c>
      <c r="E338" s="24" t="str">
        <f t="shared" si="269"/>
        <v/>
      </c>
      <c r="F338" s="25" t="str">
        <f t="shared" si="270"/>
        <v/>
      </c>
      <c r="G338" s="25" t="str">
        <f t="shared" si="271"/>
        <v/>
      </c>
      <c r="H338" s="25" t="str">
        <f t="shared" si="272"/>
        <v/>
      </c>
      <c r="I338" s="25" t="str">
        <f t="shared" si="273"/>
        <v/>
      </c>
      <c r="J338" s="25" t="str">
        <f t="shared" si="274"/>
        <v/>
      </c>
      <c r="K338" s="25" t="str">
        <f t="shared" si="275"/>
        <v/>
      </c>
      <c r="L338" s="26" t="str">
        <f t="shared" si="276"/>
        <v/>
      </c>
      <c r="M338" s="24" t="str">
        <f t="shared" si="277"/>
        <v/>
      </c>
      <c r="N338" s="25" t="str">
        <f t="shared" si="278"/>
        <v/>
      </c>
      <c r="O338" s="25" t="str">
        <f t="shared" si="279"/>
        <v/>
      </c>
      <c r="P338" s="25" t="str">
        <f t="shared" si="280"/>
        <v/>
      </c>
      <c r="Q338" s="25" t="str">
        <f t="shared" si="281"/>
        <v/>
      </c>
      <c r="R338" s="25" t="str">
        <f t="shared" si="282"/>
        <v/>
      </c>
      <c r="S338" s="25" t="str">
        <f t="shared" si="283"/>
        <v/>
      </c>
      <c r="T338" s="26" t="str">
        <f t="shared" si="284"/>
        <v/>
      </c>
      <c r="X338" s="24" t="str">
        <f t="shared" si="285"/>
        <v/>
      </c>
      <c r="Y338" s="25" t="str">
        <f t="shared" si="286"/>
        <v/>
      </c>
      <c r="Z338" s="25" t="str">
        <f t="shared" si="287"/>
        <v/>
      </c>
      <c r="AA338" s="25" t="str">
        <f t="shared" si="288"/>
        <v/>
      </c>
      <c r="AB338" s="25" t="str">
        <f t="shared" si="289"/>
        <v/>
      </c>
      <c r="AC338" s="25" t="str">
        <f t="shared" si="290"/>
        <v/>
      </c>
      <c r="AD338" s="25" t="str">
        <f t="shared" si="291"/>
        <v/>
      </c>
      <c r="AE338" s="26" t="str">
        <f t="shared" si="292"/>
        <v/>
      </c>
      <c r="AF338" s="24" t="str">
        <f t="shared" si="293"/>
        <v/>
      </c>
      <c r="AG338" s="25" t="str">
        <f t="shared" si="294"/>
        <v/>
      </c>
      <c r="AH338" s="25" t="str">
        <f t="shared" si="295"/>
        <v/>
      </c>
      <c r="AI338" s="25" t="str">
        <f t="shared" si="296"/>
        <v/>
      </c>
      <c r="AJ338" s="25" t="str">
        <f t="shared" si="297"/>
        <v/>
      </c>
      <c r="AK338" s="25" t="str">
        <f t="shared" si="298"/>
        <v/>
      </c>
      <c r="AL338" s="25" t="str">
        <f t="shared" si="299"/>
        <v/>
      </c>
      <c r="AM338" s="26" t="str">
        <f t="shared" si="300"/>
        <v/>
      </c>
      <c r="AQ338" s="24" t="str">
        <f t="shared" si="301"/>
        <v/>
      </c>
      <c r="AR338" s="25" t="str">
        <f t="shared" si="302"/>
        <v/>
      </c>
      <c r="AS338" s="25" t="str">
        <f t="shared" si="303"/>
        <v/>
      </c>
      <c r="AT338" s="25" t="str">
        <f t="shared" si="304"/>
        <v/>
      </c>
      <c r="AU338" s="25" t="str">
        <f t="shared" si="305"/>
        <v/>
      </c>
      <c r="AV338" s="25" t="str">
        <f t="shared" si="306"/>
        <v/>
      </c>
      <c r="AW338" s="25" t="str">
        <f t="shared" si="307"/>
        <v/>
      </c>
      <c r="AX338" s="26" t="str">
        <f t="shared" si="308"/>
        <v/>
      </c>
    </row>
    <row r="339" spans="4:50" hidden="1" x14ac:dyDescent="0.25">
      <c r="D339" s="70">
        <v>37</v>
      </c>
      <c r="E339" s="24" t="str">
        <f t="shared" si="269"/>
        <v/>
      </c>
      <c r="F339" s="25" t="str">
        <f t="shared" si="270"/>
        <v/>
      </c>
      <c r="G339" s="25" t="str">
        <f t="shared" si="271"/>
        <v/>
      </c>
      <c r="H339" s="25" t="str">
        <f t="shared" si="272"/>
        <v/>
      </c>
      <c r="I339" s="25" t="str">
        <f t="shared" si="273"/>
        <v/>
      </c>
      <c r="J339" s="25" t="str">
        <f t="shared" si="274"/>
        <v/>
      </c>
      <c r="K339" s="25" t="str">
        <f t="shared" si="275"/>
        <v/>
      </c>
      <c r="L339" s="26" t="str">
        <f t="shared" si="276"/>
        <v/>
      </c>
      <c r="M339" s="24" t="str">
        <f t="shared" si="277"/>
        <v/>
      </c>
      <c r="N339" s="25" t="str">
        <f t="shared" si="278"/>
        <v/>
      </c>
      <c r="O339" s="25" t="str">
        <f t="shared" si="279"/>
        <v/>
      </c>
      <c r="P339" s="25" t="str">
        <f t="shared" si="280"/>
        <v/>
      </c>
      <c r="Q339" s="25" t="str">
        <f t="shared" si="281"/>
        <v/>
      </c>
      <c r="R339" s="25" t="str">
        <f t="shared" si="282"/>
        <v/>
      </c>
      <c r="S339" s="25" t="str">
        <f t="shared" si="283"/>
        <v/>
      </c>
      <c r="T339" s="26" t="str">
        <f t="shared" si="284"/>
        <v/>
      </c>
      <c r="X339" s="24" t="str">
        <f t="shared" si="285"/>
        <v/>
      </c>
      <c r="Y339" s="25" t="str">
        <f t="shared" si="286"/>
        <v/>
      </c>
      <c r="Z339" s="25" t="str">
        <f t="shared" si="287"/>
        <v/>
      </c>
      <c r="AA339" s="25" t="str">
        <f t="shared" si="288"/>
        <v/>
      </c>
      <c r="AB339" s="25" t="str">
        <f t="shared" si="289"/>
        <v/>
      </c>
      <c r="AC339" s="25" t="str">
        <f t="shared" si="290"/>
        <v/>
      </c>
      <c r="AD339" s="25" t="str">
        <f t="shared" si="291"/>
        <v/>
      </c>
      <c r="AE339" s="26" t="str">
        <f t="shared" si="292"/>
        <v/>
      </c>
      <c r="AF339" s="24" t="str">
        <f t="shared" si="293"/>
        <v/>
      </c>
      <c r="AG339" s="25" t="str">
        <f t="shared" si="294"/>
        <v/>
      </c>
      <c r="AH339" s="25" t="str">
        <f t="shared" si="295"/>
        <v/>
      </c>
      <c r="AI339" s="25" t="str">
        <f t="shared" si="296"/>
        <v/>
      </c>
      <c r="AJ339" s="25" t="str">
        <f t="shared" si="297"/>
        <v/>
      </c>
      <c r="AK339" s="25" t="str">
        <f t="shared" si="298"/>
        <v/>
      </c>
      <c r="AL339" s="25" t="str">
        <f t="shared" si="299"/>
        <v/>
      </c>
      <c r="AM339" s="26" t="str">
        <f t="shared" si="300"/>
        <v/>
      </c>
      <c r="AQ339" s="24" t="str">
        <f t="shared" si="301"/>
        <v/>
      </c>
      <c r="AR339" s="25" t="str">
        <f t="shared" si="302"/>
        <v/>
      </c>
      <c r="AS339" s="25" t="str">
        <f t="shared" si="303"/>
        <v/>
      </c>
      <c r="AT339" s="25" t="str">
        <f t="shared" si="304"/>
        <v/>
      </c>
      <c r="AU339" s="25" t="str">
        <f t="shared" si="305"/>
        <v/>
      </c>
      <c r="AV339" s="25" t="str">
        <f t="shared" si="306"/>
        <v/>
      </c>
      <c r="AW339" s="25" t="str">
        <f t="shared" si="307"/>
        <v/>
      </c>
      <c r="AX339" s="26" t="str">
        <f t="shared" si="308"/>
        <v/>
      </c>
    </row>
    <row r="340" spans="4:50" hidden="1" x14ac:dyDescent="0.25">
      <c r="D340" s="70">
        <v>38</v>
      </c>
      <c r="E340" s="24" t="str">
        <f t="shared" si="269"/>
        <v/>
      </c>
      <c r="F340" s="25" t="str">
        <f t="shared" si="270"/>
        <v/>
      </c>
      <c r="G340" s="25" t="str">
        <f t="shared" si="271"/>
        <v/>
      </c>
      <c r="H340" s="25" t="str">
        <f t="shared" si="272"/>
        <v/>
      </c>
      <c r="I340" s="25" t="str">
        <f t="shared" si="273"/>
        <v/>
      </c>
      <c r="J340" s="25" t="str">
        <f t="shared" si="274"/>
        <v/>
      </c>
      <c r="K340" s="25" t="str">
        <f t="shared" si="275"/>
        <v/>
      </c>
      <c r="L340" s="26" t="str">
        <f t="shared" si="276"/>
        <v/>
      </c>
      <c r="M340" s="24" t="str">
        <f t="shared" si="277"/>
        <v/>
      </c>
      <c r="N340" s="25" t="str">
        <f t="shared" si="278"/>
        <v/>
      </c>
      <c r="O340" s="25" t="str">
        <f t="shared" si="279"/>
        <v/>
      </c>
      <c r="P340" s="25" t="str">
        <f t="shared" si="280"/>
        <v/>
      </c>
      <c r="Q340" s="25" t="str">
        <f t="shared" si="281"/>
        <v/>
      </c>
      <c r="R340" s="25" t="str">
        <f t="shared" si="282"/>
        <v/>
      </c>
      <c r="S340" s="25" t="str">
        <f t="shared" si="283"/>
        <v/>
      </c>
      <c r="T340" s="26" t="str">
        <f t="shared" si="284"/>
        <v/>
      </c>
      <c r="X340" s="24" t="str">
        <f t="shared" si="285"/>
        <v/>
      </c>
      <c r="Y340" s="25" t="str">
        <f t="shared" si="286"/>
        <v/>
      </c>
      <c r="Z340" s="25" t="str">
        <f t="shared" si="287"/>
        <v/>
      </c>
      <c r="AA340" s="25" t="str">
        <f t="shared" si="288"/>
        <v/>
      </c>
      <c r="AB340" s="25" t="str">
        <f t="shared" si="289"/>
        <v/>
      </c>
      <c r="AC340" s="25" t="str">
        <f t="shared" si="290"/>
        <v/>
      </c>
      <c r="AD340" s="25" t="str">
        <f t="shared" si="291"/>
        <v/>
      </c>
      <c r="AE340" s="26" t="str">
        <f t="shared" si="292"/>
        <v/>
      </c>
      <c r="AF340" s="24" t="str">
        <f t="shared" si="293"/>
        <v/>
      </c>
      <c r="AG340" s="25" t="str">
        <f t="shared" si="294"/>
        <v/>
      </c>
      <c r="AH340" s="25" t="str">
        <f t="shared" si="295"/>
        <v/>
      </c>
      <c r="AI340" s="25" t="str">
        <f t="shared" si="296"/>
        <v/>
      </c>
      <c r="AJ340" s="25" t="str">
        <f t="shared" si="297"/>
        <v/>
      </c>
      <c r="AK340" s="25" t="str">
        <f t="shared" si="298"/>
        <v/>
      </c>
      <c r="AL340" s="25" t="str">
        <f t="shared" si="299"/>
        <v/>
      </c>
      <c r="AM340" s="26" t="str">
        <f t="shared" si="300"/>
        <v/>
      </c>
      <c r="AQ340" s="24" t="str">
        <f t="shared" si="301"/>
        <v/>
      </c>
      <c r="AR340" s="25" t="str">
        <f t="shared" si="302"/>
        <v/>
      </c>
      <c r="AS340" s="25" t="str">
        <f t="shared" si="303"/>
        <v/>
      </c>
      <c r="AT340" s="25" t="str">
        <f t="shared" si="304"/>
        <v/>
      </c>
      <c r="AU340" s="25" t="str">
        <f t="shared" si="305"/>
        <v/>
      </c>
      <c r="AV340" s="25" t="str">
        <f t="shared" si="306"/>
        <v/>
      </c>
      <c r="AW340" s="25" t="str">
        <f t="shared" si="307"/>
        <v/>
      </c>
      <c r="AX340" s="26" t="str">
        <f t="shared" si="308"/>
        <v/>
      </c>
    </row>
    <row r="341" spans="4:50" hidden="1" x14ac:dyDescent="0.25">
      <c r="D341" s="70">
        <v>39</v>
      </c>
      <c r="E341" s="24" t="str">
        <f t="shared" si="269"/>
        <v/>
      </c>
      <c r="F341" s="25" t="str">
        <f t="shared" si="270"/>
        <v/>
      </c>
      <c r="G341" s="25" t="str">
        <f t="shared" si="271"/>
        <v/>
      </c>
      <c r="H341" s="25" t="str">
        <f t="shared" si="272"/>
        <v/>
      </c>
      <c r="I341" s="25" t="str">
        <f t="shared" si="273"/>
        <v/>
      </c>
      <c r="J341" s="25" t="str">
        <f t="shared" si="274"/>
        <v/>
      </c>
      <c r="K341" s="25" t="str">
        <f t="shared" si="275"/>
        <v/>
      </c>
      <c r="L341" s="26" t="str">
        <f t="shared" si="276"/>
        <v/>
      </c>
      <c r="M341" s="24" t="str">
        <f t="shared" si="277"/>
        <v/>
      </c>
      <c r="N341" s="25" t="str">
        <f t="shared" si="278"/>
        <v/>
      </c>
      <c r="O341" s="25" t="str">
        <f t="shared" si="279"/>
        <v/>
      </c>
      <c r="P341" s="25" t="str">
        <f t="shared" si="280"/>
        <v/>
      </c>
      <c r="Q341" s="25" t="str">
        <f t="shared" si="281"/>
        <v/>
      </c>
      <c r="R341" s="25" t="str">
        <f t="shared" si="282"/>
        <v/>
      </c>
      <c r="S341" s="25" t="str">
        <f t="shared" si="283"/>
        <v/>
      </c>
      <c r="T341" s="26" t="str">
        <f t="shared" si="284"/>
        <v/>
      </c>
      <c r="X341" s="24" t="str">
        <f t="shared" si="285"/>
        <v/>
      </c>
      <c r="Y341" s="25" t="str">
        <f t="shared" si="286"/>
        <v/>
      </c>
      <c r="Z341" s="25" t="str">
        <f t="shared" si="287"/>
        <v/>
      </c>
      <c r="AA341" s="25" t="str">
        <f t="shared" si="288"/>
        <v/>
      </c>
      <c r="AB341" s="25" t="str">
        <f t="shared" si="289"/>
        <v/>
      </c>
      <c r="AC341" s="25" t="str">
        <f t="shared" si="290"/>
        <v/>
      </c>
      <c r="AD341" s="25" t="str">
        <f t="shared" si="291"/>
        <v/>
      </c>
      <c r="AE341" s="26" t="str">
        <f t="shared" si="292"/>
        <v/>
      </c>
      <c r="AF341" s="24" t="str">
        <f t="shared" si="293"/>
        <v/>
      </c>
      <c r="AG341" s="25" t="str">
        <f t="shared" si="294"/>
        <v/>
      </c>
      <c r="AH341" s="25" t="str">
        <f t="shared" si="295"/>
        <v/>
      </c>
      <c r="AI341" s="25" t="str">
        <f t="shared" si="296"/>
        <v/>
      </c>
      <c r="AJ341" s="25" t="str">
        <f t="shared" si="297"/>
        <v/>
      </c>
      <c r="AK341" s="25" t="str">
        <f t="shared" si="298"/>
        <v/>
      </c>
      <c r="AL341" s="25" t="str">
        <f t="shared" si="299"/>
        <v/>
      </c>
      <c r="AM341" s="26" t="str">
        <f t="shared" si="300"/>
        <v/>
      </c>
      <c r="AQ341" s="24" t="str">
        <f t="shared" si="301"/>
        <v/>
      </c>
      <c r="AR341" s="25" t="str">
        <f t="shared" si="302"/>
        <v/>
      </c>
      <c r="AS341" s="25" t="str">
        <f t="shared" si="303"/>
        <v/>
      </c>
      <c r="AT341" s="25" t="str">
        <f t="shared" si="304"/>
        <v/>
      </c>
      <c r="AU341" s="25" t="str">
        <f t="shared" si="305"/>
        <v/>
      </c>
      <c r="AV341" s="25" t="str">
        <f t="shared" si="306"/>
        <v/>
      </c>
      <c r="AW341" s="25" t="str">
        <f t="shared" si="307"/>
        <v/>
      </c>
      <c r="AX341" s="26" t="str">
        <f t="shared" si="308"/>
        <v/>
      </c>
    </row>
    <row r="342" spans="4:50" hidden="1" x14ac:dyDescent="0.25">
      <c r="D342" s="70">
        <v>40</v>
      </c>
      <c r="E342" s="24" t="str">
        <f t="shared" si="269"/>
        <v/>
      </c>
      <c r="F342" s="25" t="str">
        <f t="shared" si="270"/>
        <v/>
      </c>
      <c r="G342" s="25" t="str">
        <f t="shared" si="271"/>
        <v/>
      </c>
      <c r="H342" s="25" t="str">
        <f t="shared" si="272"/>
        <v/>
      </c>
      <c r="I342" s="25" t="str">
        <f t="shared" si="273"/>
        <v/>
      </c>
      <c r="J342" s="25" t="str">
        <f t="shared" si="274"/>
        <v/>
      </c>
      <c r="K342" s="25" t="str">
        <f t="shared" si="275"/>
        <v/>
      </c>
      <c r="L342" s="26" t="str">
        <f t="shared" si="276"/>
        <v/>
      </c>
      <c r="M342" s="24" t="str">
        <f t="shared" si="277"/>
        <v/>
      </c>
      <c r="N342" s="25" t="str">
        <f t="shared" si="278"/>
        <v/>
      </c>
      <c r="O342" s="25" t="str">
        <f t="shared" si="279"/>
        <v/>
      </c>
      <c r="P342" s="25" t="str">
        <f t="shared" si="280"/>
        <v/>
      </c>
      <c r="Q342" s="25" t="str">
        <f t="shared" si="281"/>
        <v/>
      </c>
      <c r="R342" s="25" t="str">
        <f t="shared" si="282"/>
        <v/>
      </c>
      <c r="S342" s="25" t="str">
        <f t="shared" si="283"/>
        <v/>
      </c>
      <c r="T342" s="26" t="str">
        <f t="shared" si="284"/>
        <v/>
      </c>
      <c r="X342" s="24" t="str">
        <f t="shared" si="285"/>
        <v/>
      </c>
      <c r="Y342" s="25" t="str">
        <f t="shared" si="286"/>
        <v/>
      </c>
      <c r="Z342" s="25" t="str">
        <f t="shared" si="287"/>
        <v/>
      </c>
      <c r="AA342" s="25" t="str">
        <f t="shared" si="288"/>
        <v/>
      </c>
      <c r="AB342" s="25" t="str">
        <f t="shared" si="289"/>
        <v/>
      </c>
      <c r="AC342" s="25" t="str">
        <f t="shared" si="290"/>
        <v/>
      </c>
      <c r="AD342" s="25" t="str">
        <f t="shared" si="291"/>
        <v/>
      </c>
      <c r="AE342" s="26" t="str">
        <f t="shared" si="292"/>
        <v/>
      </c>
      <c r="AF342" s="24" t="str">
        <f t="shared" si="293"/>
        <v/>
      </c>
      <c r="AG342" s="25" t="str">
        <f t="shared" si="294"/>
        <v/>
      </c>
      <c r="AH342" s="25" t="str">
        <f t="shared" si="295"/>
        <v/>
      </c>
      <c r="AI342" s="25" t="str">
        <f t="shared" si="296"/>
        <v/>
      </c>
      <c r="AJ342" s="25" t="str">
        <f t="shared" si="297"/>
        <v/>
      </c>
      <c r="AK342" s="25" t="str">
        <f t="shared" si="298"/>
        <v/>
      </c>
      <c r="AL342" s="25" t="str">
        <f t="shared" si="299"/>
        <v/>
      </c>
      <c r="AM342" s="26" t="str">
        <f t="shared" si="300"/>
        <v/>
      </c>
      <c r="AQ342" s="24" t="str">
        <f t="shared" si="301"/>
        <v/>
      </c>
      <c r="AR342" s="25" t="str">
        <f t="shared" si="302"/>
        <v/>
      </c>
      <c r="AS342" s="25" t="str">
        <f t="shared" si="303"/>
        <v/>
      </c>
      <c r="AT342" s="25" t="str">
        <f t="shared" si="304"/>
        <v/>
      </c>
      <c r="AU342" s="25" t="str">
        <f t="shared" si="305"/>
        <v/>
      </c>
      <c r="AV342" s="25" t="str">
        <f t="shared" si="306"/>
        <v/>
      </c>
      <c r="AW342" s="25" t="str">
        <f t="shared" si="307"/>
        <v/>
      </c>
      <c r="AX342" s="26" t="str">
        <f t="shared" si="308"/>
        <v/>
      </c>
    </row>
    <row r="343" spans="4:50" hidden="1" x14ac:dyDescent="0.25">
      <c r="D343" s="70">
        <v>41</v>
      </c>
      <c r="E343" s="24" t="str">
        <f t="shared" si="269"/>
        <v/>
      </c>
      <c r="F343" s="25" t="str">
        <f t="shared" si="270"/>
        <v/>
      </c>
      <c r="G343" s="25" t="str">
        <f t="shared" si="271"/>
        <v/>
      </c>
      <c r="H343" s="25" t="str">
        <f t="shared" si="272"/>
        <v/>
      </c>
      <c r="I343" s="25" t="str">
        <f t="shared" si="273"/>
        <v/>
      </c>
      <c r="J343" s="25" t="str">
        <f t="shared" si="274"/>
        <v/>
      </c>
      <c r="K343" s="25" t="str">
        <f t="shared" si="275"/>
        <v/>
      </c>
      <c r="L343" s="26" t="str">
        <f t="shared" si="276"/>
        <v/>
      </c>
      <c r="M343" s="24" t="str">
        <f t="shared" si="277"/>
        <v/>
      </c>
      <c r="N343" s="25" t="str">
        <f t="shared" si="278"/>
        <v/>
      </c>
      <c r="O343" s="25" t="str">
        <f t="shared" si="279"/>
        <v/>
      </c>
      <c r="P343" s="25" t="str">
        <f t="shared" si="280"/>
        <v/>
      </c>
      <c r="Q343" s="25" t="str">
        <f t="shared" si="281"/>
        <v/>
      </c>
      <c r="R343" s="25" t="str">
        <f t="shared" si="282"/>
        <v/>
      </c>
      <c r="S343" s="25" t="str">
        <f t="shared" si="283"/>
        <v/>
      </c>
      <c r="T343" s="26" t="str">
        <f t="shared" si="284"/>
        <v/>
      </c>
      <c r="X343" s="24" t="str">
        <f t="shared" si="285"/>
        <v/>
      </c>
      <c r="Y343" s="25" t="str">
        <f t="shared" si="286"/>
        <v/>
      </c>
      <c r="Z343" s="25" t="str">
        <f t="shared" si="287"/>
        <v/>
      </c>
      <c r="AA343" s="25" t="str">
        <f t="shared" si="288"/>
        <v/>
      </c>
      <c r="AB343" s="25" t="str">
        <f t="shared" si="289"/>
        <v/>
      </c>
      <c r="AC343" s="25" t="str">
        <f t="shared" si="290"/>
        <v/>
      </c>
      <c r="AD343" s="25" t="str">
        <f t="shared" si="291"/>
        <v/>
      </c>
      <c r="AE343" s="26" t="str">
        <f t="shared" si="292"/>
        <v/>
      </c>
      <c r="AF343" s="24" t="str">
        <f t="shared" si="293"/>
        <v/>
      </c>
      <c r="AG343" s="25" t="str">
        <f t="shared" si="294"/>
        <v/>
      </c>
      <c r="AH343" s="25" t="str">
        <f t="shared" si="295"/>
        <v/>
      </c>
      <c r="AI343" s="25" t="str">
        <f t="shared" si="296"/>
        <v/>
      </c>
      <c r="AJ343" s="25" t="str">
        <f t="shared" si="297"/>
        <v/>
      </c>
      <c r="AK343" s="25" t="str">
        <f t="shared" si="298"/>
        <v/>
      </c>
      <c r="AL343" s="25" t="str">
        <f t="shared" si="299"/>
        <v/>
      </c>
      <c r="AM343" s="26" t="str">
        <f t="shared" si="300"/>
        <v/>
      </c>
      <c r="AQ343" s="24" t="str">
        <f t="shared" si="301"/>
        <v/>
      </c>
      <c r="AR343" s="25" t="str">
        <f t="shared" si="302"/>
        <v/>
      </c>
      <c r="AS343" s="25" t="str">
        <f t="shared" si="303"/>
        <v/>
      </c>
      <c r="AT343" s="25" t="str">
        <f t="shared" si="304"/>
        <v/>
      </c>
      <c r="AU343" s="25" t="str">
        <f t="shared" si="305"/>
        <v/>
      </c>
      <c r="AV343" s="25" t="str">
        <f t="shared" si="306"/>
        <v/>
      </c>
      <c r="AW343" s="25" t="str">
        <f t="shared" si="307"/>
        <v/>
      </c>
      <c r="AX343" s="26" t="str">
        <f t="shared" si="308"/>
        <v/>
      </c>
    </row>
    <row r="344" spans="4:50" hidden="1" x14ac:dyDescent="0.25">
      <c r="D344" s="70">
        <v>42</v>
      </c>
      <c r="E344" s="24" t="str">
        <f t="shared" si="269"/>
        <v/>
      </c>
      <c r="F344" s="25" t="str">
        <f t="shared" si="270"/>
        <v/>
      </c>
      <c r="G344" s="25" t="str">
        <f t="shared" si="271"/>
        <v/>
      </c>
      <c r="H344" s="25" t="str">
        <f t="shared" si="272"/>
        <v/>
      </c>
      <c r="I344" s="25" t="str">
        <f t="shared" si="273"/>
        <v/>
      </c>
      <c r="J344" s="25" t="str">
        <f t="shared" si="274"/>
        <v/>
      </c>
      <c r="K344" s="25" t="str">
        <f t="shared" si="275"/>
        <v/>
      </c>
      <c r="L344" s="26" t="str">
        <f t="shared" si="276"/>
        <v/>
      </c>
      <c r="M344" s="24" t="str">
        <f t="shared" si="277"/>
        <v/>
      </c>
      <c r="N344" s="25" t="str">
        <f t="shared" si="278"/>
        <v/>
      </c>
      <c r="O344" s="25" t="str">
        <f t="shared" si="279"/>
        <v/>
      </c>
      <c r="P344" s="25" t="str">
        <f t="shared" si="280"/>
        <v/>
      </c>
      <c r="Q344" s="25" t="str">
        <f t="shared" si="281"/>
        <v/>
      </c>
      <c r="R344" s="25" t="str">
        <f t="shared" si="282"/>
        <v/>
      </c>
      <c r="S344" s="25" t="str">
        <f t="shared" si="283"/>
        <v/>
      </c>
      <c r="T344" s="26" t="str">
        <f t="shared" si="284"/>
        <v/>
      </c>
      <c r="X344" s="24" t="str">
        <f t="shared" si="285"/>
        <v/>
      </c>
      <c r="Y344" s="25" t="str">
        <f t="shared" si="286"/>
        <v/>
      </c>
      <c r="Z344" s="25" t="str">
        <f t="shared" si="287"/>
        <v/>
      </c>
      <c r="AA344" s="25" t="str">
        <f t="shared" si="288"/>
        <v/>
      </c>
      <c r="AB344" s="25" t="str">
        <f t="shared" si="289"/>
        <v/>
      </c>
      <c r="AC344" s="25" t="str">
        <f t="shared" si="290"/>
        <v/>
      </c>
      <c r="AD344" s="25" t="str">
        <f t="shared" si="291"/>
        <v/>
      </c>
      <c r="AE344" s="26" t="str">
        <f t="shared" si="292"/>
        <v/>
      </c>
      <c r="AF344" s="24" t="str">
        <f t="shared" si="293"/>
        <v/>
      </c>
      <c r="AG344" s="25" t="str">
        <f t="shared" si="294"/>
        <v/>
      </c>
      <c r="AH344" s="25" t="str">
        <f t="shared" si="295"/>
        <v/>
      </c>
      <c r="AI344" s="25" t="str">
        <f t="shared" si="296"/>
        <v/>
      </c>
      <c r="AJ344" s="25" t="str">
        <f t="shared" si="297"/>
        <v/>
      </c>
      <c r="AK344" s="25" t="str">
        <f t="shared" si="298"/>
        <v/>
      </c>
      <c r="AL344" s="25" t="str">
        <f t="shared" si="299"/>
        <v/>
      </c>
      <c r="AM344" s="26" t="str">
        <f t="shared" si="300"/>
        <v/>
      </c>
      <c r="AQ344" s="24" t="str">
        <f t="shared" si="301"/>
        <v/>
      </c>
      <c r="AR344" s="25" t="str">
        <f t="shared" si="302"/>
        <v/>
      </c>
      <c r="AS344" s="25" t="str">
        <f t="shared" si="303"/>
        <v/>
      </c>
      <c r="AT344" s="25" t="str">
        <f t="shared" si="304"/>
        <v/>
      </c>
      <c r="AU344" s="25" t="str">
        <f t="shared" si="305"/>
        <v/>
      </c>
      <c r="AV344" s="25" t="str">
        <f t="shared" si="306"/>
        <v/>
      </c>
      <c r="AW344" s="25" t="str">
        <f t="shared" si="307"/>
        <v/>
      </c>
      <c r="AX344" s="26" t="str">
        <f t="shared" si="308"/>
        <v/>
      </c>
    </row>
    <row r="345" spans="4:50" hidden="1" x14ac:dyDescent="0.25">
      <c r="D345" s="70">
        <v>43</v>
      </c>
      <c r="E345" s="24" t="str">
        <f t="shared" si="269"/>
        <v/>
      </c>
      <c r="F345" s="25" t="str">
        <f t="shared" si="270"/>
        <v/>
      </c>
      <c r="G345" s="25" t="str">
        <f t="shared" si="271"/>
        <v/>
      </c>
      <c r="H345" s="25" t="str">
        <f t="shared" si="272"/>
        <v/>
      </c>
      <c r="I345" s="25" t="str">
        <f t="shared" si="273"/>
        <v/>
      </c>
      <c r="J345" s="25" t="str">
        <f t="shared" si="274"/>
        <v/>
      </c>
      <c r="K345" s="25" t="str">
        <f t="shared" si="275"/>
        <v/>
      </c>
      <c r="L345" s="26" t="str">
        <f t="shared" si="276"/>
        <v/>
      </c>
      <c r="M345" s="24" t="str">
        <f t="shared" si="277"/>
        <v/>
      </c>
      <c r="N345" s="25" t="str">
        <f t="shared" si="278"/>
        <v/>
      </c>
      <c r="O345" s="25" t="str">
        <f t="shared" si="279"/>
        <v/>
      </c>
      <c r="P345" s="25" t="str">
        <f t="shared" si="280"/>
        <v/>
      </c>
      <c r="Q345" s="25" t="str">
        <f t="shared" si="281"/>
        <v/>
      </c>
      <c r="R345" s="25" t="str">
        <f t="shared" si="282"/>
        <v/>
      </c>
      <c r="S345" s="25" t="str">
        <f t="shared" si="283"/>
        <v/>
      </c>
      <c r="T345" s="26" t="str">
        <f t="shared" si="284"/>
        <v/>
      </c>
      <c r="X345" s="24" t="str">
        <f t="shared" si="285"/>
        <v/>
      </c>
      <c r="Y345" s="25" t="str">
        <f t="shared" si="286"/>
        <v/>
      </c>
      <c r="Z345" s="25" t="str">
        <f t="shared" si="287"/>
        <v/>
      </c>
      <c r="AA345" s="25" t="str">
        <f t="shared" si="288"/>
        <v/>
      </c>
      <c r="AB345" s="25" t="str">
        <f t="shared" si="289"/>
        <v/>
      </c>
      <c r="AC345" s="25" t="str">
        <f t="shared" si="290"/>
        <v/>
      </c>
      <c r="AD345" s="25" t="str">
        <f t="shared" si="291"/>
        <v/>
      </c>
      <c r="AE345" s="26" t="str">
        <f t="shared" si="292"/>
        <v/>
      </c>
      <c r="AF345" s="24" t="str">
        <f t="shared" si="293"/>
        <v/>
      </c>
      <c r="AG345" s="25" t="str">
        <f t="shared" si="294"/>
        <v/>
      </c>
      <c r="AH345" s="25" t="str">
        <f t="shared" si="295"/>
        <v/>
      </c>
      <c r="AI345" s="25" t="str">
        <f t="shared" si="296"/>
        <v/>
      </c>
      <c r="AJ345" s="25" t="str">
        <f t="shared" si="297"/>
        <v/>
      </c>
      <c r="AK345" s="25" t="str">
        <f t="shared" si="298"/>
        <v/>
      </c>
      <c r="AL345" s="25" t="str">
        <f t="shared" si="299"/>
        <v/>
      </c>
      <c r="AM345" s="26" t="str">
        <f t="shared" si="300"/>
        <v/>
      </c>
      <c r="AQ345" s="24" t="str">
        <f t="shared" si="301"/>
        <v/>
      </c>
      <c r="AR345" s="25" t="str">
        <f t="shared" si="302"/>
        <v/>
      </c>
      <c r="AS345" s="25" t="str">
        <f t="shared" si="303"/>
        <v/>
      </c>
      <c r="AT345" s="25" t="str">
        <f t="shared" si="304"/>
        <v/>
      </c>
      <c r="AU345" s="25" t="str">
        <f t="shared" si="305"/>
        <v/>
      </c>
      <c r="AV345" s="25" t="str">
        <f t="shared" si="306"/>
        <v/>
      </c>
      <c r="AW345" s="25" t="str">
        <f t="shared" si="307"/>
        <v/>
      </c>
      <c r="AX345" s="26" t="str">
        <f t="shared" si="308"/>
        <v/>
      </c>
    </row>
    <row r="346" spans="4:50" hidden="1" x14ac:dyDescent="0.25">
      <c r="D346" s="70">
        <v>44</v>
      </c>
      <c r="E346" s="24" t="str">
        <f t="shared" si="269"/>
        <v/>
      </c>
      <c r="F346" s="25" t="str">
        <f t="shared" si="270"/>
        <v/>
      </c>
      <c r="G346" s="25" t="str">
        <f t="shared" si="271"/>
        <v/>
      </c>
      <c r="H346" s="25" t="str">
        <f t="shared" si="272"/>
        <v/>
      </c>
      <c r="I346" s="25" t="str">
        <f t="shared" si="273"/>
        <v/>
      </c>
      <c r="J346" s="25" t="str">
        <f t="shared" si="274"/>
        <v/>
      </c>
      <c r="K346" s="25" t="str">
        <f t="shared" si="275"/>
        <v/>
      </c>
      <c r="L346" s="26" t="str">
        <f t="shared" si="276"/>
        <v/>
      </c>
      <c r="M346" s="24" t="str">
        <f t="shared" si="277"/>
        <v/>
      </c>
      <c r="N346" s="25" t="str">
        <f t="shared" si="278"/>
        <v/>
      </c>
      <c r="O346" s="25" t="str">
        <f t="shared" si="279"/>
        <v/>
      </c>
      <c r="P346" s="25" t="str">
        <f t="shared" si="280"/>
        <v/>
      </c>
      <c r="Q346" s="25" t="str">
        <f t="shared" si="281"/>
        <v/>
      </c>
      <c r="R346" s="25" t="str">
        <f t="shared" si="282"/>
        <v/>
      </c>
      <c r="S346" s="25" t="str">
        <f t="shared" si="283"/>
        <v/>
      </c>
      <c r="T346" s="26" t="str">
        <f t="shared" si="284"/>
        <v/>
      </c>
      <c r="X346" s="24" t="str">
        <f t="shared" si="285"/>
        <v/>
      </c>
      <c r="Y346" s="25" t="str">
        <f t="shared" si="286"/>
        <v/>
      </c>
      <c r="Z346" s="25" t="str">
        <f t="shared" si="287"/>
        <v/>
      </c>
      <c r="AA346" s="25" t="str">
        <f t="shared" si="288"/>
        <v/>
      </c>
      <c r="AB346" s="25" t="str">
        <f t="shared" si="289"/>
        <v/>
      </c>
      <c r="AC346" s="25" t="str">
        <f t="shared" si="290"/>
        <v/>
      </c>
      <c r="AD346" s="25" t="str">
        <f t="shared" si="291"/>
        <v/>
      </c>
      <c r="AE346" s="26" t="str">
        <f t="shared" si="292"/>
        <v/>
      </c>
      <c r="AF346" s="24" t="str">
        <f t="shared" si="293"/>
        <v/>
      </c>
      <c r="AG346" s="25" t="str">
        <f t="shared" si="294"/>
        <v/>
      </c>
      <c r="AH346" s="25" t="str">
        <f t="shared" si="295"/>
        <v/>
      </c>
      <c r="AI346" s="25" t="str">
        <f t="shared" si="296"/>
        <v/>
      </c>
      <c r="AJ346" s="25" t="str">
        <f t="shared" si="297"/>
        <v/>
      </c>
      <c r="AK346" s="25" t="str">
        <f t="shared" si="298"/>
        <v/>
      </c>
      <c r="AL346" s="25" t="str">
        <f t="shared" si="299"/>
        <v/>
      </c>
      <c r="AM346" s="26" t="str">
        <f t="shared" si="300"/>
        <v/>
      </c>
      <c r="AQ346" s="24" t="str">
        <f t="shared" si="301"/>
        <v/>
      </c>
      <c r="AR346" s="25" t="str">
        <f t="shared" si="302"/>
        <v/>
      </c>
      <c r="AS346" s="25" t="str">
        <f t="shared" si="303"/>
        <v/>
      </c>
      <c r="AT346" s="25" t="str">
        <f t="shared" si="304"/>
        <v/>
      </c>
      <c r="AU346" s="25" t="str">
        <f t="shared" si="305"/>
        <v/>
      </c>
      <c r="AV346" s="25" t="str">
        <f t="shared" si="306"/>
        <v/>
      </c>
      <c r="AW346" s="25" t="str">
        <f t="shared" si="307"/>
        <v/>
      </c>
      <c r="AX346" s="26" t="str">
        <f t="shared" si="308"/>
        <v/>
      </c>
    </row>
    <row r="347" spans="4:50" hidden="1" x14ac:dyDescent="0.25">
      <c r="D347" s="70">
        <v>45</v>
      </c>
      <c r="E347" s="24" t="str">
        <f t="shared" si="269"/>
        <v/>
      </c>
      <c r="F347" s="25" t="str">
        <f t="shared" si="270"/>
        <v/>
      </c>
      <c r="G347" s="25" t="str">
        <f t="shared" si="271"/>
        <v/>
      </c>
      <c r="H347" s="25" t="str">
        <f t="shared" si="272"/>
        <v/>
      </c>
      <c r="I347" s="25" t="str">
        <f t="shared" si="273"/>
        <v/>
      </c>
      <c r="J347" s="25" t="str">
        <f t="shared" si="274"/>
        <v/>
      </c>
      <c r="K347" s="25" t="str">
        <f t="shared" si="275"/>
        <v/>
      </c>
      <c r="L347" s="26" t="str">
        <f t="shared" si="276"/>
        <v/>
      </c>
      <c r="M347" s="24" t="str">
        <f t="shared" si="277"/>
        <v/>
      </c>
      <c r="N347" s="25" t="str">
        <f t="shared" si="278"/>
        <v/>
      </c>
      <c r="O347" s="25" t="str">
        <f t="shared" si="279"/>
        <v/>
      </c>
      <c r="P347" s="25" t="str">
        <f t="shared" si="280"/>
        <v/>
      </c>
      <c r="Q347" s="25" t="str">
        <f t="shared" si="281"/>
        <v/>
      </c>
      <c r="R347" s="25" t="str">
        <f t="shared" si="282"/>
        <v/>
      </c>
      <c r="S347" s="25" t="str">
        <f t="shared" si="283"/>
        <v/>
      </c>
      <c r="T347" s="26" t="str">
        <f t="shared" si="284"/>
        <v/>
      </c>
      <c r="X347" s="24" t="str">
        <f t="shared" si="285"/>
        <v/>
      </c>
      <c r="Y347" s="25" t="str">
        <f t="shared" si="286"/>
        <v/>
      </c>
      <c r="Z347" s="25" t="str">
        <f t="shared" si="287"/>
        <v/>
      </c>
      <c r="AA347" s="25" t="str">
        <f t="shared" si="288"/>
        <v/>
      </c>
      <c r="AB347" s="25" t="str">
        <f t="shared" si="289"/>
        <v/>
      </c>
      <c r="AC347" s="25" t="str">
        <f t="shared" si="290"/>
        <v/>
      </c>
      <c r="AD347" s="25" t="str">
        <f t="shared" si="291"/>
        <v/>
      </c>
      <c r="AE347" s="26" t="str">
        <f t="shared" si="292"/>
        <v/>
      </c>
      <c r="AF347" s="24" t="str">
        <f t="shared" si="293"/>
        <v/>
      </c>
      <c r="AG347" s="25" t="str">
        <f t="shared" si="294"/>
        <v/>
      </c>
      <c r="AH347" s="25" t="str">
        <f t="shared" si="295"/>
        <v/>
      </c>
      <c r="AI347" s="25" t="str">
        <f t="shared" si="296"/>
        <v/>
      </c>
      <c r="AJ347" s="25" t="str">
        <f t="shared" si="297"/>
        <v/>
      </c>
      <c r="AK347" s="25" t="str">
        <f t="shared" si="298"/>
        <v/>
      </c>
      <c r="AL347" s="25" t="str">
        <f t="shared" si="299"/>
        <v/>
      </c>
      <c r="AM347" s="26" t="str">
        <f t="shared" si="300"/>
        <v/>
      </c>
      <c r="AQ347" s="24" t="str">
        <f t="shared" si="301"/>
        <v/>
      </c>
      <c r="AR347" s="25" t="str">
        <f t="shared" si="302"/>
        <v/>
      </c>
      <c r="AS347" s="25" t="str">
        <f t="shared" si="303"/>
        <v/>
      </c>
      <c r="AT347" s="25" t="str">
        <f t="shared" si="304"/>
        <v/>
      </c>
      <c r="AU347" s="25" t="str">
        <f t="shared" si="305"/>
        <v/>
      </c>
      <c r="AV347" s="25" t="str">
        <f t="shared" si="306"/>
        <v/>
      </c>
      <c r="AW347" s="25" t="str">
        <f t="shared" si="307"/>
        <v/>
      </c>
      <c r="AX347" s="26" t="str">
        <f t="shared" si="308"/>
        <v/>
      </c>
    </row>
    <row r="348" spans="4:50" hidden="1" x14ac:dyDescent="0.25">
      <c r="D348" s="70">
        <v>46</v>
      </c>
      <c r="E348" s="24" t="str">
        <f t="shared" si="269"/>
        <v/>
      </c>
      <c r="F348" s="25" t="str">
        <f t="shared" si="270"/>
        <v/>
      </c>
      <c r="G348" s="25" t="str">
        <f t="shared" si="271"/>
        <v/>
      </c>
      <c r="H348" s="25" t="str">
        <f t="shared" si="272"/>
        <v/>
      </c>
      <c r="I348" s="25" t="str">
        <f t="shared" si="273"/>
        <v/>
      </c>
      <c r="J348" s="25" t="str">
        <f t="shared" si="274"/>
        <v/>
      </c>
      <c r="K348" s="25" t="str">
        <f t="shared" si="275"/>
        <v/>
      </c>
      <c r="L348" s="26" t="str">
        <f t="shared" si="276"/>
        <v/>
      </c>
      <c r="M348" s="24" t="str">
        <f t="shared" si="277"/>
        <v/>
      </c>
      <c r="N348" s="25" t="str">
        <f t="shared" si="278"/>
        <v/>
      </c>
      <c r="O348" s="25" t="str">
        <f t="shared" si="279"/>
        <v/>
      </c>
      <c r="P348" s="25" t="str">
        <f t="shared" si="280"/>
        <v/>
      </c>
      <c r="Q348" s="25" t="str">
        <f t="shared" si="281"/>
        <v/>
      </c>
      <c r="R348" s="25" t="str">
        <f t="shared" si="282"/>
        <v/>
      </c>
      <c r="S348" s="25" t="str">
        <f t="shared" si="283"/>
        <v/>
      </c>
      <c r="T348" s="26" t="str">
        <f t="shared" si="284"/>
        <v/>
      </c>
      <c r="X348" s="24" t="str">
        <f t="shared" si="285"/>
        <v/>
      </c>
      <c r="Y348" s="25" t="str">
        <f t="shared" si="286"/>
        <v/>
      </c>
      <c r="Z348" s="25" t="str">
        <f t="shared" si="287"/>
        <v/>
      </c>
      <c r="AA348" s="25" t="str">
        <f t="shared" si="288"/>
        <v/>
      </c>
      <c r="AB348" s="25" t="str">
        <f t="shared" si="289"/>
        <v/>
      </c>
      <c r="AC348" s="25" t="str">
        <f t="shared" si="290"/>
        <v/>
      </c>
      <c r="AD348" s="25" t="str">
        <f t="shared" si="291"/>
        <v/>
      </c>
      <c r="AE348" s="26" t="str">
        <f t="shared" si="292"/>
        <v/>
      </c>
      <c r="AF348" s="24" t="str">
        <f t="shared" si="293"/>
        <v/>
      </c>
      <c r="AG348" s="25" t="str">
        <f t="shared" si="294"/>
        <v/>
      </c>
      <c r="AH348" s="25" t="str">
        <f t="shared" si="295"/>
        <v/>
      </c>
      <c r="AI348" s="25" t="str">
        <f t="shared" si="296"/>
        <v/>
      </c>
      <c r="AJ348" s="25" t="str">
        <f t="shared" si="297"/>
        <v/>
      </c>
      <c r="AK348" s="25" t="str">
        <f t="shared" si="298"/>
        <v/>
      </c>
      <c r="AL348" s="25" t="str">
        <f t="shared" si="299"/>
        <v/>
      </c>
      <c r="AM348" s="26" t="str">
        <f t="shared" si="300"/>
        <v/>
      </c>
      <c r="AQ348" s="24" t="str">
        <f t="shared" si="301"/>
        <v/>
      </c>
      <c r="AR348" s="25" t="str">
        <f t="shared" si="302"/>
        <v/>
      </c>
      <c r="AS348" s="25" t="str">
        <f t="shared" si="303"/>
        <v/>
      </c>
      <c r="AT348" s="25" t="str">
        <f t="shared" si="304"/>
        <v/>
      </c>
      <c r="AU348" s="25" t="str">
        <f t="shared" si="305"/>
        <v/>
      </c>
      <c r="AV348" s="25" t="str">
        <f t="shared" si="306"/>
        <v/>
      </c>
      <c r="AW348" s="25" t="str">
        <f t="shared" si="307"/>
        <v/>
      </c>
      <c r="AX348" s="26" t="str">
        <f t="shared" si="308"/>
        <v/>
      </c>
    </row>
    <row r="349" spans="4:50" hidden="1" x14ac:dyDescent="0.25">
      <c r="D349" s="70">
        <v>47</v>
      </c>
      <c r="E349" s="24" t="str">
        <f t="shared" si="269"/>
        <v/>
      </c>
      <c r="F349" s="25" t="str">
        <f t="shared" si="270"/>
        <v/>
      </c>
      <c r="G349" s="25" t="str">
        <f t="shared" si="271"/>
        <v/>
      </c>
      <c r="H349" s="25" t="str">
        <f t="shared" si="272"/>
        <v/>
      </c>
      <c r="I349" s="25" t="str">
        <f t="shared" si="273"/>
        <v/>
      </c>
      <c r="J349" s="25" t="str">
        <f t="shared" si="274"/>
        <v/>
      </c>
      <c r="K349" s="25" t="str">
        <f t="shared" si="275"/>
        <v/>
      </c>
      <c r="L349" s="26" t="str">
        <f t="shared" si="276"/>
        <v/>
      </c>
      <c r="M349" s="24" t="str">
        <f t="shared" si="277"/>
        <v/>
      </c>
      <c r="N349" s="25" t="str">
        <f t="shared" si="278"/>
        <v/>
      </c>
      <c r="O349" s="25" t="str">
        <f t="shared" si="279"/>
        <v/>
      </c>
      <c r="P349" s="25" t="str">
        <f t="shared" si="280"/>
        <v/>
      </c>
      <c r="Q349" s="25" t="str">
        <f t="shared" si="281"/>
        <v/>
      </c>
      <c r="R349" s="25" t="str">
        <f t="shared" si="282"/>
        <v/>
      </c>
      <c r="S349" s="25" t="str">
        <f t="shared" si="283"/>
        <v/>
      </c>
      <c r="T349" s="26" t="str">
        <f t="shared" si="284"/>
        <v/>
      </c>
      <c r="X349" s="24" t="str">
        <f t="shared" si="285"/>
        <v/>
      </c>
      <c r="Y349" s="25" t="str">
        <f t="shared" si="286"/>
        <v/>
      </c>
      <c r="Z349" s="25" t="str">
        <f t="shared" si="287"/>
        <v/>
      </c>
      <c r="AA349" s="25" t="str">
        <f t="shared" si="288"/>
        <v/>
      </c>
      <c r="AB349" s="25" t="str">
        <f t="shared" si="289"/>
        <v/>
      </c>
      <c r="AC349" s="25" t="str">
        <f t="shared" si="290"/>
        <v/>
      </c>
      <c r="AD349" s="25" t="str">
        <f t="shared" si="291"/>
        <v/>
      </c>
      <c r="AE349" s="26" t="str">
        <f t="shared" si="292"/>
        <v/>
      </c>
      <c r="AF349" s="24" t="str">
        <f t="shared" si="293"/>
        <v/>
      </c>
      <c r="AG349" s="25" t="str">
        <f t="shared" si="294"/>
        <v/>
      </c>
      <c r="AH349" s="25" t="str">
        <f t="shared" si="295"/>
        <v/>
      </c>
      <c r="AI349" s="25" t="str">
        <f t="shared" si="296"/>
        <v/>
      </c>
      <c r="AJ349" s="25" t="str">
        <f t="shared" si="297"/>
        <v/>
      </c>
      <c r="AK349" s="25" t="str">
        <f t="shared" si="298"/>
        <v/>
      </c>
      <c r="AL349" s="25" t="str">
        <f t="shared" si="299"/>
        <v/>
      </c>
      <c r="AM349" s="26" t="str">
        <f t="shared" si="300"/>
        <v/>
      </c>
      <c r="AQ349" s="24" t="str">
        <f t="shared" si="301"/>
        <v/>
      </c>
      <c r="AR349" s="25" t="str">
        <f t="shared" si="302"/>
        <v/>
      </c>
      <c r="AS349" s="25" t="str">
        <f t="shared" si="303"/>
        <v/>
      </c>
      <c r="AT349" s="25" t="str">
        <f t="shared" si="304"/>
        <v/>
      </c>
      <c r="AU349" s="25" t="str">
        <f t="shared" si="305"/>
        <v/>
      </c>
      <c r="AV349" s="25" t="str">
        <f t="shared" si="306"/>
        <v/>
      </c>
      <c r="AW349" s="25" t="str">
        <f t="shared" si="307"/>
        <v/>
      </c>
      <c r="AX349" s="26" t="str">
        <f t="shared" si="308"/>
        <v/>
      </c>
    </row>
    <row r="350" spans="4:50" hidden="1" x14ac:dyDescent="0.25">
      <c r="D350" s="70">
        <v>48</v>
      </c>
      <c r="E350" s="24" t="str">
        <f t="shared" si="269"/>
        <v/>
      </c>
      <c r="F350" s="25" t="str">
        <f t="shared" si="270"/>
        <v/>
      </c>
      <c r="G350" s="25" t="str">
        <f t="shared" si="271"/>
        <v/>
      </c>
      <c r="H350" s="25" t="str">
        <f t="shared" si="272"/>
        <v/>
      </c>
      <c r="I350" s="25" t="str">
        <f t="shared" si="273"/>
        <v/>
      </c>
      <c r="J350" s="25" t="str">
        <f t="shared" si="274"/>
        <v/>
      </c>
      <c r="K350" s="25" t="str">
        <f t="shared" si="275"/>
        <v/>
      </c>
      <c r="L350" s="26" t="str">
        <f t="shared" si="276"/>
        <v/>
      </c>
      <c r="M350" s="24" t="str">
        <f t="shared" si="277"/>
        <v/>
      </c>
      <c r="N350" s="25" t="str">
        <f t="shared" si="278"/>
        <v/>
      </c>
      <c r="O350" s="25" t="str">
        <f t="shared" si="279"/>
        <v/>
      </c>
      <c r="P350" s="25" t="str">
        <f t="shared" si="280"/>
        <v/>
      </c>
      <c r="Q350" s="25" t="str">
        <f t="shared" si="281"/>
        <v/>
      </c>
      <c r="R350" s="25" t="str">
        <f t="shared" si="282"/>
        <v/>
      </c>
      <c r="S350" s="25" t="str">
        <f t="shared" si="283"/>
        <v/>
      </c>
      <c r="T350" s="26" t="str">
        <f t="shared" si="284"/>
        <v/>
      </c>
      <c r="X350" s="24" t="str">
        <f t="shared" si="285"/>
        <v/>
      </c>
      <c r="Y350" s="25" t="str">
        <f t="shared" si="286"/>
        <v/>
      </c>
      <c r="Z350" s="25" t="str">
        <f t="shared" si="287"/>
        <v/>
      </c>
      <c r="AA350" s="25" t="str">
        <f t="shared" si="288"/>
        <v/>
      </c>
      <c r="AB350" s="25" t="str">
        <f t="shared" si="289"/>
        <v/>
      </c>
      <c r="AC350" s="25" t="str">
        <f t="shared" si="290"/>
        <v/>
      </c>
      <c r="AD350" s="25" t="str">
        <f t="shared" si="291"/>
        <v/>
      </c>
      <c r="AE350" s="26" t="str">
        <f t="shared" si="292"/>
        <v/>
      </c>
      <c r="AF350" s="24" t="str">
        <f t="shared" si="293"/>
        <v/>
      </c>
      <c r="AG350" s="25" t="str">
        <f t="shared" si="294"/>
        <v/>
      </c>
      <c r="AH350" s="25" t="str">
        <f t="shared" si="295"/>
        <v/>
      </c>
      <c r="AI350" s="25" t="str">
        <f t="shared" si="296"/>
        <v/>
      </c>
      <c r="AJ350" s="25" t="str">
        <f t="shared" si="297"/>
        <v/>
      </c>
      <c r="AK350" s="25" t="str">
        <f t="shared" si="298"/>
        <v/>
      </c>
      <c r="AL350" s="25" t="str">
        <f t="shared" si="299"/>
        <v/>
      </c>
      <c r="AM350" s="26" t="str">
        <f t="shared" si="300"/>
        <v/>
      </c>
      <c r="AQ350" s="24" t="str">
        <f t="shared" si="301"/>
        <v/>
      </c>
      <c r="AR350" s="25" t="str">
        <f t="shared" si="302"/>
        <v/>
      </c>
      <c r="AS350" s="25" t="str">
        <f t="shared" si="303"/>
        <v/>
      </c>
      <c r="AT350" s="25" t="str">
        <f t="shared" si="304"/>
        <v/>
      </c>
      <c r="AU350" s="25" t="str">
        <f t="shared" si="305"/>
        <v/>
      </c>
      <c r="AV350" s="25" t="str">
        <f t="shared" si="306"/>
        <v/>
      </c>
      <c r="AW350" s="25" t="str">
        <f t="shared" si="307"/>
        <v/>
      </c>
      <c r="AX350" s="26" t="str">
        <f t="shared" si="308"/>
        <v/>
      </c>
    </row>
    <row r="351" spans="4:50" hidden="1" x14ac:dyDescent="0.25">
      <c r="D351" s="70">
        <v>49</v>
      </c>
      <c r="E351" s="24" t="str">
        <f t="shared" si="269"/>
        <v/>
      </c>
      <c r="F351" s="25" t="str">
        <f t="shared" si="270"/>
        <v/>
      </c>
      <c r="G351" s="25" t="str">
        <f t="shared" si="271"/>
        <v/>
      </c>
      <c r="H351" s="25" t="str">
        <f t="shared" si="272"/>
        <v/>
      </c>
      <c r="I351" s="25" t="str">
        <f t="shared" si="273"/>
        <v/>
      </c>
      <c r="J351" s="25" t="str">
        <f t="shared" si="274"/>
        <v/>
      </c>
      <c r="K351" s="25" t="str">
        <f t="shared" si="275"/>
        <v/>
      </c>
      <c r="L351" s="26" t="str">
        <f t="shared" si="276"/>
        <v/>
      </c>
      <c r="M351" s="24" t="str">
        <f t="shared" si="277"/>
        <v/>
      </c>
      <c r="N351" s="25" t="str">
        <f t="shared" si="278"/>
        <v/>
      </c>
      <c r="O351" s="25" t="str">
        <f t="shared" si="279"/>
        <v/>
      </c>
      <c r="P351" s="25" t="str">
        <f t="shared" si="280"/>
        <v/>
      </c>
      <c r="Q351" s="25" t="str">
        <f t="shared" si="281"/>
        <v/>
      </c>
      <c r="R351" s="25" t="str">
        <f t="shared" si="282"/>
        <v/>
      </c>
      <c r="S351" s="25" t="str">
        <f t="shared" si="283"/>
        <v/>
      </c>
      <c r="T351" s="26" t="str">
        <f t="shared" si="284"/>
        <v/>
      </c>
      <c r="X351" s="24" t="str">
        <f t="shared" si="285"/>
        <v/>
      </c>
      <c r="Y351" s="25" t="str">
        <f t="shared" si="286"/>
        <v/>
      </c>
      <c r="Z351" s="25" t="str">
        <f t="shared" si="287"/>
        <v/>
      </c>
      <c r="AA351" s="25" t="str">
        <f t="shared" si="288"/>
        <v/>
      </c>
      <c r="AB351" s="25" t="str">
        <f t="shared" si="289"/>
        <v/>
      </c>
      <c r="AC351" s="25" t="str">
        <f t="shared" si="290"/>
        <v/>
      </c>
      <c r="AD351" s="25" t="str">
        <f t="shared" si="291"/>
        <v/>
      </c>
      <c r="AE351" s="26" t="str">
        <f t="shared" si="292"/>
        <v/>
      </c>
      <c r="AF351" s="24" t="str">
        <f t="shared" si="293"/>
        <v/>
      </c>
      <c r="AG351" s="25" t="str">
        <f t="shared" si="294"/>
        <v/>
      </c>
      <c r="AH351" s="25" t="str">
        <f t="shared" si="295"/>
        <v/>
      </c>
      <c r="AI351" s="25" t="str">
        <f t="shared" si="296"/>
        <v/>
      </c>
      <c r="AJ351" s="25" t="str">
        <f t="shared" si="297"/>
        <v/>
      </c>
      <c r="AK351" s="25" t="str">
        <f t="shared" si="298"/>
        <v/>
      </c>
      <c r="AL351" s="25" t="str">
        <f t="shared" si="299"/>
        <v/>
      </c>
      <c r="AM351" s="26" t="str">
        <f t="shared" si="300"/>
        <v/>
      </c>
      <c r="AQ351" s="24" t="str">
        <f t="shared" si="301"/>
        <v/>
      </c>
      <c r="AR351" s="25" t="str">
        <f t="shared" si="302"/>
        <v/>
      </c>
      <c r="AS351" s="25" t="str">
        <f t="shared" si="303"/>
        <v/>
      </c>
      <c r="AT351" s="25" t="str">
        <f t="shared" si="304"/>
        <v/>
      </c>
      <c r="AU351" s="25" t="str">
        <f t="shared" si="305"/>
        <v/>
      </c>
      <c r="AV351" s="25" t="str">
        <f t="shared" si="306"/>
        <v/>
      </c>
      <c r="AW351" s="25" t="str">
        <f t="shared" si="307"/>
        <v/>
      </c>
      <c r="AX351" s="26" t="str">
        <f t="shared" si="308"/>
        <v/>
      </c>
    </row>
    <row r="352" spans="4:50" hidden="1" x14ac:dyDescent="0.25">
      <c r="D352" s="70">
        <v>50</v>
      </c>
      <c r="E352" s="24" t="str">
        <f t="shared" si="269"/>
        <v/>
      </c>
      <c r="F352" s="25" t="str">
        <f t="shared" si="270"/>
        <v/>
      </c>
      <c r="G352" s="25" t="str">
        <f t="shared" si="271"/>
        <v/>
      </c>
      <c r="H352" s="25" t="str">
        <f t="shared" si="272"/>
        <v/>
      </c>
      <c r="I352" s="25" t="str">
        <f t="shared" si="273"/>
        <v/>
      </c>
      <c r="J352" s="25" t="str">
        <f t="shared" si="274"/>
        <v/>
      </c>
      <c r="K352" s="25" t="str">
        <f t="shared" si="275"/>
        <v/>
      </c>
      <c r="L352" s="26" t="str">
        <f t="shared" si="276"/>
        <v/>
      </c>
      <c r="M352" s="24" t="str">
        <f t="shared" si="277"/>
        <v/>
      </c>
      <c r="N352" s="25" t="str">
        <f t="shared" si="278"/>
        <v/>
      </c>
      <c r="O352" s="25" t="str">
        <f t="shared" si="279"/>
        <v/>
      </c>
      <c r="P352" s="25" t="str">
        <f t="shared" si="280"/>
        <v/>
      </c>
      <c r="Q352" s="25" t="str">
        <f t="shared" si="281"/>
        <v/>
      </c>
      <c r="R352" s="25" t="str">
        <f t="shared" si="282"/>
        <v/>
      </c>
      <c r="S352" s="25" t="str">
        <f t="shared" si="283"/>
        <v/>
      </c>
      <c r="T352" s="26" t="str">
        <f t="shared" si="284"/>
        <v/>
      </c>
      <c r="X352" s="24" t="str">
        <f t="shared" si="285"/>
        <v/>
      </c>
      <c r="Y352" s="25" t="str">
        <f t="shared" si="286"/>
        <v/>
      </c>
      <c r="Z352" s="25" t="str">
        <f t="shared" si="287"/>
        <v/>
      </c>
      <c r="AA352" s="25" t="str">
        <f t="shared" si="288"/>
        <v/>
      </c>
      <c r="AB352" s="25" t="str">
        <f t="shared" si="289"/>
        <v/>
      </c>
      <c r="AC352" s="25" t="str">
        <f t="shared" si="290"/>
        <v/>
      </c>
      <c r="AD352" s="25" t="str">
        <f t="shared" si="291"/>
        <v/>
      </c>
      <c r="AE352" s="26" t="str">
        <f t="shared" si="292"/>
        <v/>
      </c>
      <c r="AF352" s="24" t="str">
        <f t="shared" si="293"/>
        <v/>
      </c>
      <c r="AG352" s="25" t="str">
        <f t="shared" si="294"/>
        <v/>
      </c>
      <c r="AH352" s="25" t="str">
        <f t="shared" si="295"/>
        <v/>
      </c>
      <c r="AI352" s="25" t="str">
        <f t="shared" si="296"/>
        <v/>
      </c>
      <c r="AJ352" s="25" t="str">
        <f t="shared" si="297"/>
        <v/>
      </c>
      <c r="AK352" s="25" t="str">
        <f t="shared" si="298"/>
        <v/>
      </c>
      <c r="AL352" s="25" t="str">
        <f t="shared" si="299"/>
        <v/>
      </c>
      <c r="AM352" s="26" t="str">
        <f t="shared" si="300"/>
        <v/>
      </c>
      <c r="AQ352" s="24" t="str">
        <f t="shared" si="301"/>
        <v/>
      </c>
      <c r="AR352" s="25" t="str">
        <f t="shared" si="302"/>
        <v/>
      </c>
      <c r="AS352" s="25" t="str">
        <f t="shared" si="303"/>
        <v/>
      </c>
      <c r="AT352" s="25" t="str">
        <f t="shared" si="304"/>
        <v/>
      </c>
      <c r="AU352" s="25" t="str">
        <f t="shared" si="305"/>
        <v/>
      </c>
      <c r="AV352" s="25" t="str">
        <f t="shared" si="306"/>
        <v/>
      </c>
      <c r="AW352" s="25" t="str">
        <f t="shared" si="307"/>
        <v/>
      </c>
      <c r="AX352" s="26" t="str">
        <f t="shared" si="308"/>
        <v/>
      </c>
    </row>
    <row r="353" spans="4:50" hidden="1" x14ac:dyDescent="0.25">
      <c r="D353" s="70">
        <v>51</v>
      </c>
      <c r="E353" s="24" t="str">
        <f t="shared" si="269"/>
        <v/>
      </c>
      <c r="F353" s="25" t="str">
        <f t="shared" si="270"/>
        <v/>
      </c>
      <c r="G353" s="25" t="str">
        <f t="shared" si="271"/>
        <v/>
      </c>
      <c r="H353" s="25" t="str">
        <f t="shared" si="272"/>
        <v/>
      </c>
      <c r="I353" s="25" t="str">
        <f t="shared" si="273"/>
        <v/>
      </c>
      <c r="J353" s="25" t="str">
        <f t="shared" si="274"/>
        <v/>
      </c>
      <c r="K353" s="25" t="str">
        <f t="shared" si="275"/>
        <v/>
      </c>
      <c r="L353" s="26" t="str">
        <f t="shared" si="276"/>
        <v/>
      </c>
      <c r="M353" s="24" t="str">
        <f t="shared" si="277"/>
        <v/>
      </c>
      <c r="N353" s="25" t="str">
        <f t="shared" si="278"/>
        <v/>
      </c>
      <c r="O353" s="25" t="str">
        <f t="shared" si="279"/>
        <v/>
      </c>
      <c r="P353" s="25" t="str">
        <f t="shared" si="280"/>
        <v/>
      </c>
      <c r="Q353" s="25" t="str">
        <f t="shared" si="281"/>
        <v/>
      </c>
      <c r="R353" s="25" t="str">
        <f t="shared" si="282"/>
        <v/>
      </c>
      <c r="S353" s="25" t="str">
        <f t="shared" si="283"/>
        <v/>
      </c>
      <c r="T353" s="26" t="str">
        <f t="shared" si="284"/>
        <v/>
      </c>
      <c r="X353" s="24" t="str">
        <f t="shared" si="285"/>
        <v/>
      </c>
      <c r="Y353" s="25" t="str">
        <f t="shared" si="286"/>
        <v/>
      </c>
      <c r="Z353" s="25" t="str">
        <f t="shared" si="287"/>
        <v/>
      </c>
      <c r="AA353" s="25" t="str">
        <f t="shared" si="288"/>
        <v/>
      </c>
      <c r="AB353" s="25" t="str">
        <f t="shared" si="289"/>
        <v/>
      </c>
      <c r="AC353" s="25" t="str">
        <f t="shared" si="290"/>
        <v/>
      </c>
      <c r="AD353" s="25" t="str">
        <f t="shared" si="291"/>
        <v/>
      </c>
      <c r="AE353" s="26" t="str">
        <f t="shared" si="292"/>
        <v/>
      </c>
      <c r="AF353" s="24" t="str">
        <f t="shared" si="293"/>
        <v/>
      </c>
      <c r="AG353" s="25" t="str">
        <f t="shared" si="294"/>
        <v/>
      </c>
      <c r="AH353" s="25" t="str">
        <f t="shared" si="295"/>
        <v/>
      </c>
      <c r="AI353" s="25" t="str">
        <f t="shared" si="296"/>
        <v/>
      </c>
      <c r="AJ353" s="25" t="str">
        <f t="shared" si="297"/>
        <v/>
      </c>
      <c r="AK353" s="25" t="str">
        <f t="shared" si="298"/>
        <v/>
      </c>
      <c r="AL353" s="25" t="str">
        <f t="shared" si="299"/>
        <v/>
      </c>
      <c r="AM353" s="26" t="str">
        <f t="shared" si="300"/>
        <v/>
      </c>
      <c r="AQ353" s="24" t="str">
        <f t="shared" si="301"/>
        <v/>
      </c>
      <c r="AR353" s="25" t="str">
        <f t="shared" si="302"/>
        <v/>
      </c>
      <c r="AS353" s="25" t="str">
        <f t="shared" si="303"/>
        <v/>
      </c>
      <c r="AT353" s="25" t="str">
        <f t="shared" si="304"/>
        <v/>
      </c>
      <c r="AU353" s="25" t="str">
        <f t="shared" si="305"/>
        <v/>
      </c>
      <c r="AV353" s="25" t="str">
        <f t="shared" si="306"/>
        <v/>
      </c>
      <c r="AW353" s="25" t="str">
        <f t="shared" si="307"/>
        <v/>
      </c>
      <c r="AX353" s="26" t="str">
        <f t="shared" si="308"/>
        <v/>
      </c>
    </row>
    <row r="354" spans="4:50" hidden="1" x14ac:dyDescent="0.25">
      <c r="D354" s="70">
        <v>52</v>
      </c>
      <c r="E354" s="24" t="str">
        <f t="shared" si="269"/>
        <v/>
      </c>
      <c r="F354" s="25" t="str">
        <f t="shared" si="270"/>
        <v/>
      </c>
      <c r="G354" s="25" t="str">
        <f t="shared" si="271"/>
        <v/>
      </c>
      <c r="H354" s="25" t="str">
        <f t="shared" si="272"/>
        <v/>
      </c>
      <c r="I354" s="25" t="str">
        <f t="shared" si="273"/>
        <v/>
      </c>
      <c r="J354" s="25" t="str">
        <f t="shared" si="274"/>
        <v/>
      </c>
      <c r="K354" s="25" t="str">
        <f t="shared" si="275"/>
        <v/>
      </c>
      <c r="L354" s="26" t="str">
        <f t="shared" si="276"/>
        <v/>
      </c>
      <c r="M354" s="24" t="str">
        <f t="shared" si="277"/>
        <v/>
      </c>
      <c r="N354" s="25" t="str">
        <f t="shared" si="278"/>
        <v/>
      </c>
      <c r="O354" s="25" t="str">
        <f t="shared" si="279"/>
        <v/>
      </c>
      <c r="P354" s="25" t="str">
        <f t="shared" si="280"/>
        <v/>
      </c>
      <c r="Q354" s="25" t="str">
        <f t="shared" si="281"/>
        <v/>
      </c>
      <c r="R354" s="25" t="str">
        <f t="shared" si="282"/>
        <v/>
      </c>
      <c r="S354" s="25" t="str">
        <f t="shared" si="283"/>
        <v/>
      </c>
      <c r="T354" s="26" t="str">
        <f t="shared" si="284"/>
        <v/>
      </c>
      <c r="X354" s="24" t="str">
        <f t="shared" si="285"/>
        <v/>
      </c>
      <c r="Y354" s="25" t="str">
        <f t="shared" si="286"/>
        <v/>
      </c>
      <c r="Z354" s="25" t="str">
        <f t="shared" si="287"/>
        <v/>
      </c>
      <c r="AA354" s="25" t="str">
        <f t="shared" si="288"/>
        <v/>
      </c>
      <c r="AB354" s="25" t="str">
        <f t="shared" si="289"/>
        <v/>
      </c>
      <c r="AC354" s="25" t="str">
        <f t="shared" si="290"/>
        <v/>
      </c>
      <c r="AD354" s="25" t="str">
        <f t="shared" si="291"/>
        <v/>
      </c>
      <c r="AE354" s="26" t="str">
        <f t="shared" si="292"/>
        <v/>
      </c>
      <c r="AF354" s="24" t="str">
        <f t="shared" si="293"/>
        <v/>
      </c>
      <c r="AG354" s="25" t="str">
        <f t="shared" si="294"/>
        <v/>
      </c>
      <c r="AH354" s="25" t="str">
        <f t="shared" si="295"/>
        <v/>
      </c>
      <c r="AI354" s="25" t="str">
        <f t="shared" si="296"/>
        <v/>
      </c>
      <c r="AJ354" s="25" t="str">
        <f t="shared" si="297"/>
        <v/>
      </c>
      <c r="AK354" s="25" t="str">
        <f t="shared" si="298"/>
        <v/>
      </c>
      <c r="AL354" s="25" t="str">
        <f t="shared" si="299"/>
        <v/>
      </c>
      <c r="AM354" s="26" t="str">
        <f t="shared" si="300"/>
        <v/>
      </c>
      <c r="AQ354" s="24" t="str">
        <f t="shared" si="301"/>
        <v/>
      </c>
      <c r="AR354" s="25" t="str">
        <f t="shared" si="302"/>
        <v/>
      </c>
      <c r="AS354" s="25" t="str">
        <f t="shared" si="303"/>
        <v/>
      </c>
      <c r="AT354" s="25" t="str">
        <f t="shared" si="304"/>
        <v/>
      </c>
      <c r="AU354" s="25" t="str">
        <f t="shared" si="305"/>
        <v/>
      </c>
      <c r="AV354" s="25" t="str">
        <f t="shared" si="306"/>
        <v/>
      </c>
      <c r="AW354" s="25" t="str">
        <f t="shared" si="307"/>
        <v/>
      </c>
      <c r="AX354" s="26" t="str">
        <f t="shared" si="308"/>
        <v/>
      </c>
    </row>
    <row r="355" spans="4:50" hidden="1" x14ac:dyDescent="0.25">
      <c r="D355" s="70">
        <v>53</v>
      </c>
      <c r="E355" s="24" t="str">
        <f t="shared" si="269"/>
        <v/>
      </c>
      <c r="F355" s="25" t="str">
        <f t="shared" si="270"/>
        <v/>
      </c>
      <c r="G355" s="25" t="str">
        <f t="shared" si="271"/>
        <v/>
      </c>
      <c r="H355" s="25" t="str">
        <f t="shared" si="272"/>
        <v/>
      </c>
      <c r="I355" s="25" t="str">
        <f t="shared" si="273"/>
        <v/>
      </c>
      <c r="J355" s="25" t="str">
        <f t="shared" si="274"/>
        <v/>
      </c>
      <c r="K355" s="25" t="str">
        <f t="shared" si="275"/>
        <v/>
      </c>
      <c r="L355" s="26" t="str">
        <f t="shared" si="276"/>
        <v/>
      </c>
      <c r="M355" s="24" t="str">
        <f t="shared" si="277"/>
        <v/>
      </c>
      <c r="N355" s="25" t="str">
        <f t="shared" si="278"/>
        <v/>
      </c>
      <c r="O355" s="25" t="str">
        <f t="shared" si="279"/>
        <v/>
      </c>
      <c r="P355" s="25" t="str">
        <f t="shared" si="280"/>
        <v/>
      </c>
      <c r="Q355" s="25" t="str">
        <f t="shared" si="281"/>
        <v/>
      </c>
      <c r="R355" s="25" t="str">
        <f t="shared" si="282"/>
        <v/>
      </c>
      <c r="S355" s="25" t="str">
        <f t="shared" si="283"/>
        <v/>
      </c>
      <c r="T355" s="26" t="str">
        <f t="shared" si="284"/>
        <v/>
      </c>
      <c r="X355" s="24" t="str">
        <f t="shared" si="285"/>
        <v/>
      </c>
      <c r="Y355" s="25" t="str">
        <f t="shared" si="286"/>
        <v/>
      </c>
      <c r="Z355" s="25" t="str">
        <f t="shared" si="287"/>
        <v/>
      </c>
      <c r="AA355" s="25" t="str">
        <f t="shared" si="288"/>
        <v/>
      </c>
      <c r="AB355" s="25" t="str">
        <f t="shared" si="289"/>
        <v/>
      </c>
      <c r="AC355" s="25" t="str">
        <f t="shared" si="290"/>
        <v/>
      </c>
      <c r="AD355" s="25" t="str">
        <f t="shared" si="291"/>
        <v/>
      </c>
      <c r="AE355" s="26" t="str">
        <f t="shared" si="292"/>
        <v/>
      </c>
      <c r="AF355" s="24" t="str">
        <f t="shared" si="293"/>
        <v/>
      </c>
      <c r="AG355" s="25" t="str">
        <f t="shared" si="294"/>
        <v/>
      </c>
      <c r="AH355" s="25" t="str">
        <f t="shared" si="295"/>
        <v/>
      </c>
      <c r="AI355" s="25" t="str">
        <f t="shared" si="296"/>
        <v/>
      </c>
      <c r="AJ355" s="25" t="str">
        <f t="shared" si="297"/>
        <v/>
      </c>
      <c r="AK355" s="25" t="str">
        <f t="shared" si="298"/>
        <v/>
      </c>
      <c r="AL355" s="25" t="str">
        <f t="shared" si="299"/>
        <v/>
      </c>
      <c r="AM355" s="26" t="str">
        <f t="shared" si="300"/>
        <v/>
      </c>
      <c r="AQ355" s="24" t="str">
        <f t="shared" si="301"/>
        <v/>
      </c>
      <c r="AR355" s="25" t="str">
        <f t="shared" si="302"/>
        <v/>
      </c>
      <c r="AS355" s="25" t="str">
        <f t="shared" si="303"/>
        <v/>
      </c>
      <c r="AT355" s="25" t="str">
        <f t="shared" si="304"/>
        <v/>
      </c>
      <c r="AU355" s="25" t="str">
        <f t="shared" si="305"/>
        <v/>
      </c>
      <c r="AV355" s="25" t="str">
        <f t="shared" si="306"/>
        <v/>
      </c>
      <c r="AW355" s="25" t="str">
        <f t="shared" si="307"/>
        <v/>
      </c>
      <c r="AX355" s="26" t="str">
        <f t="shared" si="308"/>
        <v/>
      </c>
    </row>
    <row r="356" spans="4:50" hidden="1" x14ac:dyDescent="0.25">
      <c r="D356" s="70">
        <v>54</v>
      </c>
      <c r="E356" s="24" t="str">
        <f t="shared" si="269"/>
        <v/>
      </c>
      <c r="F356" s="25" t="str">
        <f t="shared" si="270"/>
        <v/>
      </c>
      <c r="G356" s="25" t="str">
        <f t="shared" si="271"/>
        <v/>
      </c>
      <c r="H356" s="25" t="str">
        <f t="shared" si="272"/>
        <v/>
      </c>
      <c r="I356" s="25" t="str">
        <f t="shared" si="273"/>
        <v/>
      </c>
      <c r="J356" s="25" t="str">
        <f t="shared" si="274"/>
        <v/>
      </c>
      <c r="K356" s="25" t="str">
        <f t="shared" si="275"/>
        <v/>
      </c>
      <c r="L356" s="26" t="str">
        <f t="shared" si="276"/>
        <v/>
      </c>
      <c r="M356" s="24" t="str">
        <f t="shared" si="277"/>
        <v/>
      </c>
      <c r="N356" s="25" t="str">
        <f t="shared" si="278"/>
        <v/>
      </c>
      <c r="O356" s="25" t="str">
        <f t="shared" si="279"/>
        <v/>
      </c>
      <c r="P356" s="25" t="str">
        <f t="shared" si="280"/>
        <v/>
      </c>
      <c r="Q356" s="25" t="str">
        <f t="shared" si="281"/>
        <v/>
      </c>
      <c r="R356" s="25" t="str">
        <f t="shared" si="282"/>
        <v/>
      </c>
      <c r="S356" s="25" t="str">
        <f t="shared" si="283"/>
        <v/>
      </c>
      <c r="T356" s="26" t="str">
        <f t="shared" si="284"/>
        <v/>
      </c>
      <c r="X356" s="24" t="str">
        <f t="shared" si="285"/>
        <v/>
      </c>
      <c r="Y356" s="25" t="str">
        <f t="shared" si="286"/>
        <v/>
      </c>
      <c r="Z356" s="25" t="str">
        <f t="shared" si="287"/>
        <v/>
      </c>
      <c r="AA356" s="25" t="str">
        <f t="shared" si="288"/>
        <v/>
      </c>
      <c r="AB356" s="25" t="str">
        <f t="shared" si="289"/>
        <v/>
      </c>
      <c r="AC356" s="25" t="str">
        <f t="shared" si="290"/>
        <v/>
      </c>
      <c r="AD356" s="25" t="str">
        <f t="shared" si="291"/>
        <v/>
      </c>
      <c r="AE356" s="26" t="str">
        <f t="shared" si="292"/>
        <v/>
      </c>
      <c r="AF356" s="24" t="str">
        <f t="shared" si="293"/>
        <v/>
      </c>
      <c r="AG356" s="25" t="str">
        <f t="shared" si="294"/>
        <v/>
      </c>
      <c r="AH356" s="25" t="str">
        <f t="shared" si="295"/>
        <v/>
      </c>
      <c r="AI356" s="25" t="str">
        <f t="shared" si="296"/>
        <v/>
      </c>
      <c r="AJ356" s="25" t="str">
        <f t="shared" si="297"/>
        <v/>
      </c>
      <c r="AK356" s="25" t="str">
        <f t="shared" si="298"/>
        <v/>
      </c>
      <c r="AL356" s="25" t="str">
        <f t="shared" si="299"/>
        <v/>
      </c>
      <c r="AM356" s="26" t="str">
        <f t="shared" si="300"/>
        <v/>
      </c>
      <c r="AQ356" s="24" t="str">
        <f t="shared" si="301"/>
        <v/>
      </c>
      <c r="AR356" s="25" t="str">
        <f t="shared" si="302"/>
        <v/>
      </c>
      <c r="AS356" s="25" t="str">
        <f t="shared" si="303"/>
        <v/>
      </c>
      <c r="AT356" s="25" t="str">
        <f t="shared" si="304"/>
        <v/>
      </c>
      <c r="AU356" s="25" t="str">
        <f t="shared" si="305"/>
        <v/>
      </c>
      <c r="AV356" s="25" t="str">
        <f t="shared" si="306"/>
        <v/>
      </c>
      <c r="AW356" s="25" t="str">
        <f t="shared" si="307"/>
        <v/>
      </c>
      <c r="AX356" s="26" t="str">
        <f t="shared" si="308"/>
        <v/>
      </c>
    </row>
    <row r="357" spans="4:50" hidden="1" x14ac:dyDescent="0.25">
      <c r="D357" s="70">
        <v>55</v>
      </c>
      <c r="E357" s="24" t="str">
        <f t="shared" si="269"/>
        <v/>
      </c>
      <c r="F357" s="25" t="str">
        <f t="shared" si="270"/>
        <v/>
      </c>
      <c r="G357" s="25" t="str">
        <f t="shared" si="271"/>
        <v/>
      </c>
      <c r="H357" s="25" t="str">
        <f t="shared" si="272"/>
        <v/>
      </c>
      <c r="I357" s="25" t="str">
        <f t="shared" si="273"/>
        <v/>
      </c>
      <c r="J357" s="25" t="str">
        <f t="shared" si="274"/>
        <v/>
      </c>
      <c r="K357" s="25" t="str">
        <f t="shared" si="275"/>
        <v/>
      </c>
      <c r="L357" s="26" t="str">
        <f t="shared" si="276"/>
        <v/>
      </c>
      <c r="M357" s="24" t="str">
        <f t="shared" si="277"/>
        <v/>
      </c>
      <c r="N357" s="25" t="str">
        <f t="shared" si="278"/>
        <v/>
      </c>
      <c r="O357" s="25" t="str">
        <f t="shared" si="279"/>
        <v/>
      </c>
      <c r="P357" s="25" t="str">
        <f t="shared" si="280"/>
        <v/>
      </c>
      <c r="Q357" s="25" t="str">
        <f t="shared" si="281"/>
        <v/>
      </c>
      <c r="R357" s="25" t="str">
        <f t="shared" si="282"/>
        <v/>
      </c>
      <c r="S357" s="25" t="str">
        <f t="shared" si="283"/>
        <v/>
      </c>
      <c r="T357" s="26" t="str">
        <f t="shared" si="284"/>
        <v/>
      </c>
      <c r="X357" s="24" t="str">
        <f t="shared" si="285"/>
        <v/>
      </c>
      <c r="Y357" s="25" t="str">
        <f t="shared" si="286"/>
        <v/>
      </c>
      <c r="Z357" s="25" t="str">
        <f t="shared" si="287"/>
        <v/>
      </c>
      <c r="AA357" s="25" t="str">
        <f t="shared" si="288"/>
        <v/>
      </c>
      <c r="AB357" s="25" t="str">
        <f t="shared" si="289"/>
        <v/>
      </c>
      <c r="AC357" s="25" t="str">
        <f t="shared" si="290"/>
        <v/>
      </c>
      <c r="AD357" s="25" t="str">
        <f t="shared" si="291"/>
        <v/>
      </c>
      <c r="AE357" s="26" t="str">
        <f t="shared" si="292"/>
        <v/>
      </c>
      <c r="AF357" s="24" t="str">
        <f t="shared" si="293"/>
        <v/>
      </c>
      <c r="AG357" s="25" t="str">
        <f t="shared" si="294"/>
        <v/>
      </c>
      <c r="AH357" s="25" t="str">
        <f t="shared" si="295"/>
        <v/>
      </c>
      <c r="AI357" s="25" t="str">
        <f t="shared" si="296"/>
        <v/>
      </c>
      <c r="AJ357" s="25" t="str">
        <f t="shared" si="297"/>
        <v/>
      </c>
      <c r="AK357" s="25" t="str">
        <f t="shared" si="298"/>
        <v/>
      </c>
      <c r="AL357" s="25" t="str">
        <f t="shared" si="299"/>
        <v/>
      </c>
      <c r="AM357" s="26" t="str">
        <f t="shared" si="300"/>
        <v/>
      </c>
      <c r="AQ357" s="24" t="str">
        <f t="shared" si="301"/>
        <v/>
      </c>
      <c r="AR357" s="25" t="str">
        <f t="shared" si="302"/>
        <v/>
      </c>
      <c r="AS357" s="25" t="str">
        <f t="shared" si="303"/>
        <v/>
      </c>
      <c r="AT357" s="25" t="str">
        <f t="shared" si="304"/>
        <v/>
      </c>
      <c r="AU357" s="25" t="str">
        <f t="shared" si="305"/>
        <v/>
      </c>
      <c r="AV357" s="25" t="str">
        <f t="shared" si="306"/>
        <v/>
      </c>
      <c r="AW357" s="25" t="str">
        <f t="shared" si="307"/>
        <v/>
      </c>
      <c r="AX357" s="26" t="str">
        <f t="shared" si="308"/>
        <v/>
      </c>
    </row>
    <row r="358" spans="4:50" hidden="1" x14ac:dyDescent="0.25">
      <c r="D358" s="70">
        <v>56</v>
      </c>
      <c r="E358" s="24" t="str">
        <f t="shared" si="269"/>
        <v/>
      </c>
      <c r="F358" s="25" t="str">
        <f t="shared" si="270"/>
        <v/>
      </c>
      <c r="G358" s="25" t="str">
        <f t="shared" si="271"/>
        <v/>
      </c>
      <c r="H358" s="25" t="str">
        <f t="shared" si="272"/>
        <v/>
      </c>
      <c r="I358" s="25" t="str">
        <f t="shared" si="273"/>
        <v/>
      </c>
      <c r="J358" s="25" t="str">
        <f t="shared" si="274"/>
        <v/>
      </c>
      <c r="K358" s="25" t="str">
        <f t="shared" si="275"/>
        <v/>
      </c>
      <c r="L358" s="26" t="str">
        <f t="shared" si="276"/>
        <v/>
      </c>
      <c r="M358" s="24" t="str">
        <f t="shared" si="277"/>
        <v/>
      </c>
      <c r="N358" s="25" t="str">
        <f t="shared" si="278"/>
        <v/>
      </c>
      <c r="O358" s="25" t="str">
        <f t="shared" si="279"/>
        <v/>
      </c>
      <c r="P358" s="25" t="str">
        <f t="shared" si="280"/>
        <v/>
      </c>
      <c r="Q358" s="25" t="str">
        <f t="shared" si="281"/>
        <v/>
      </c>
      <c r="R358" s="25" t="str">
        <f t="shared" si="282"/>
        <v/>
      </c>
      <c r="S358" s="25" t="str">
        <f t="shared" si="283"/>
        <v/>
      </c>
      <c r="T358" s="26" t="str">
        <f t="shared" si="284"/>
        <v/>
      </c>
      <c r="X358" s="24" t="str">
        <f t="shared" si="285"/>
        <v/>
      </c>
      <c r="Y358" s="25" t="str">
        <f t="shared" si="286"/>
        <v/>
      </c>
      <c r="Z358" s="25" t="str">
        <f t="shared" si="287"/>
        <v/>
      </c>
      <c r="AA358" s="25" t="str">
        <f t="shared" si="288"/>
        <v/>
      </c>
      <c r="AB358" s="25" t="str">
        <f t="shared" si="289"/>
        <v/>
      </c>
      <c r="AC358" s="25" t="str">
        <f t="shared" si="290"/>
        <v/>
      </c>
      <c r="AD358" s="25" t="str">
        <f t="shared" si="291"/>
        <v/>
      </c>
      <c r="AE358" s="26" t="str">
        <f t="shared" si="292"/>
        <v/>
      </c>
      <c r="AF358" s="24" t="str">
        <f t="shared" si="293"/>
        <v/>
      </c>
      <c r="AG358" s="25" t="str">
        <f t="shared" si="294"/>
        <v/>
      </c>
      <c r="AH358" s="25" t="str">
        <f t="shared" si="295"/>
        <v/>
      </c>
      <c r="AI358" s="25" t="str">
        <f t="shared" si="296"/>
        <v/>
      </c>
      <c r="AJ358" s="25" t="str">
        <f t="shared" si="297"/>
        <v/>
      </c>
      <c r="AK358" s="25" t="str">
        <f t="shared" si="298"/>
        <v/>
      </c>
      <c r="AL358" s="25" t="str">
        <f t="shared" si="299"/>
        <v/>
      </c>
      <c r="AM358" s="26" t="str">
        <f t="shared" si="300"/>
        <v/>
      </c>
      <c r="AQ358" s="24" t="str">
        <f t="shared" si="301"/>
        <v/>
      </c>
      <c r="AR358" s="25" t="str">
        <f t="shared" si="302"/>
        <v/>
      </c>
      <c r="AS358" s="25" t="str">
        <f t="shared" si="303"/>
        <v/>
      </c>
      <c r="AT358" s="25" t="str">
        <f t="shared" si="304"/>
        <v/>
      </c>
      <c r="AU358" s="25" t="str">
        <f t="shared" si="305"/>
        <v/>
      </c>
      <c r="AV358" s="25" t="str">
        <f t="shared" si="306"/>
        <v/>
      </c>
      <c r="AW358" s="25" t="str">
        <f t="shared" si="307"/>
        <v/>
      </c>
      <c r="AX358" s="26" t="str">
        <f t="shared" si="308"/>
        <v/>
      </c>
    </row>
    <row r="359" spans="4:50" hidden="1" x14ac:dyDescent="0.25">
      <c r="D359" s="70">
        <v>57</v>
      </c>
      <c r="E359" s="24" t="str">
        <f t="shared" si="269"/>
        <v/>
      </c>
      <c r="F359" s="25" t="str">
        <f t="shared" si="270"/>
        <v/>
      </c>
      <c r="G359" s="25" t="str">
        <f t="shared" si="271"/>
        <v/>
      </c>
      <c r="H359" s="25" t="str">
        <f t="shared" si="272"/>
        <v/>
      </c>
      <c r="I359" s="25" t="str">
        <f t="shared" si="273"/>
        <v/>
      </c>
      <c r="J359" s="25" t="str">
        <f t="shared" si="274"/>
        <v/>
      </c>
      <c r="K359" s="25" t="str">
        <f t="shared" si="275"/>
        <v/>
      </c>
      <c r="L359" s="26" t="str">
        <f t="shared" si="276"/>
        <v/>
      </c>
      <c r="M359" s="24" t="str">
        <f t="shared" si="277"/>
        <v/>
      </c>
      <c r="N359" s="25" t="str">
        <f t="shared" si="278"/>
        <v/>
      </c>
      <c r="O359" s="25" t="str">
        <f t="shared" si="279"/>
        <v/>
      </c>
      <c r="P359" s="25" t="str">
        <f t="shared" si="280"/>
        <v/>
      </c>
      <c r="Q359" s="25" t="str">
        <f t="shared" si="281"/>
        <v/>
      </c>
      <c r="R359" s="25" t="str">
        <f t="shared" si="282"/>
        <v/>
      </c>
      <c r="S359" s="25" t="str">
        <f t="shared" si="283"/>
        <v/>
      </c>
      <c r="T359" s="26" t="str">
        <f t="shared" si="284"/>
        <v/>
      </c>
      <c r="X359" s="24" t="str">
        <f t="shared" si="285"/>
        <v/>
      </c>
      <c r="Y359" s="25" t="str">
        <f t="shared" si="286"/>
        <v/>
      </c>
      <c r="Z359" s="25" t="str">
        <f t="shared" si="287"/>
        <v/>
      </c>
      <c r="AA359" s="25" t="str">
        <f t="shared" si="288"/>
        <v/>
      </c>
      <c r="AB359" s="25" t="str">
        <f t="shared" si="289"/>
        <v/>
      </c>
      <c r="AC359" s="25" t="str">
        <f t="shared" si="290"/>
        <v/>
      </c>
      <c r="AD359" s="25" t="str">
        <f t="shared" si="291"/>
        <v/>
      </c>
      <c r="AE359" s="26" t="str">
        <f t="shared" si="292"/>
        <v/>
      </c>
      <c r="AF359" s="24" t="str">
        <f t="shared" si="293"/>
        <v/>
      </c>
      <c r="AG359" s="25" t="str">
        <f t="shared" si="294"/>
        <v/>
      </c>
      <c r="AH359" s="25" t="str">
        <f t="shared" si="295"/>
        <v/>
      </c>
      <c r="AI359" s="25" t="str">
        <f t="shared" si="296"/>
        <v/>
      </c>
      <c r="AJ359" s="25" t="str">
        <f t="shared" si="297"/>
        <v/>
      </c>
      <c r="AK359" s="25" t="str">
        <f t="shared" si="298"/>
        <v/>
      </c>
      <c r="AL359" s="25" t="str">
        <f t="shared" si="299"/>
        <v/>
      </c>
      <c r="AM359" s="26" t="str">
        <f t="shared" si="300"/>
        <v/>
      </c>
      <c r="AQ359" s="24" t="str">
        <f t="shared" si="301"/>
        <v/>
      </c>
      <c r="AR359" s="25" t="str">
        <f t="shared" si="302"/>
        <v/>
      </c>
      <c r="AS359" s="25" t="str">
        <f t="shared" si="303"/>
        <v/>
      </c>
      <c r="AT359" s="25" t="str">
        <f t="shared" si="304"/>
        <v/>
      </c>
      <c r="AU359" s="25" t="str">
        <f t="shared" si="305"/>
        <v/>
      </c>
      <c r="AV359" s="25" t="str">
        <f t="shared" si="306"/>
        <v/>
      </c>
      <c r="AW359" s="25" t="str">
        <f t="shared" si="307"/>
        <v/>
      </c>
      <c r="AX359" s="26" t="str">
        <f t="shared" si="308"/>
        <v/>
      </c>
    </row>
    <row r="360" spans="4:50" hidden="1" x14ac:dyDescent="0.25">
      <c r="D360" s="70">
        <v>58</v>
      </c>
      <c r="E360" s="24" t="str">
        <f t="shared" si="269"/>
        <v/>
      </c>
      <c r="F360" s="25" t="str">
        <f t="shared" si="270"/>
        <v/>
      </c>
      <c r="G360" s="25" t="str">
        <f t="shared" si="271"/>
        <v/>
      </c>
      <c r="H360" s="25" t="str">
        <f t="shared" si="272"/>
        <v/>
      </c>
      <c r="I360" s="25" t="str">
        <f t="shared" si="273"/>
        <v/>
      </c>
      <c r="J360" s="25" t="str">
        <f t="shared" si="274"/>
        <v/>
      </c>
      <c r="K360" s="25" t="str">
        <f t="shared" si="275"/>
        <v/>
      </c>
      <c r="L360" s="26" t="str">
        <f t="shared" si="276"/>
        <v/>
      </c>
      <c r="M360" s="24" t="str">
        <f t="shared" si="277"/>
        <v/>
      </c>
      <c r="N360" s="25" t="str">
        <f t="shared" si="278"/>
        <v/>
      </c>
      <c r="O360" s="25" t="str">
        <f t="shared" si="279"/>
        <v/>
      </c>
      <c r="P360" s="25" t="str">
        <f t="shared" si="280"/>
        <v/>
      </c>
      <c r="Q360" s="25" t="str">
        <f t="shared" si="281"/>
        <v/>
      </c>
      <c r="R360" s="25" t="str">
        <f t="shared" si="282"/>
        <v/>
      </c>
      <c r="S360" s="25" t="str">
        <f t="shared" si="283"/>
        <v/>
      </c>
      <c r="T360" s="26" t="str">
        <f t="shared" si="284"/>
        <v/>
      </c>
      <c r="X360" s="24" t="str">
        <f t="shared" si="285"/>
        <v/>
      </c>
      <c r="Y360" s="25" t="str">
        <f t="shared" si="286"/>
        <v/>
      </c>
      <c r="Z360" s="25" t="str">
        <f t="shared" si="287"/>
        <v/>
      </c>
      <c r="AA360" s="25" t="str">
        <f t="shared" si="288"/>
        <v/>
      </c>
      <c r="AB360" s="25" t="str">
        <f t="shared" si="289"/>
        <v/>
      </c>
      <c r="AC360" s="25" t="str">
        <f t="shared" si="290"/>
        <v/>
      </c>
      <c r="AD360" s="25" t="str">
        <f t="shared" si="291"/>
        <v/>
      </c>
      <c r="AE360" s="26" t="str">
        <f t="shared" si="292"/>
        <v/>
      </c>
      <c r="AF360" s="24" t="str">
        <f t="shared" si="293"/>
        <v/>
      </c>
      <c r="AG360" s="25" t="str">
        <f t="shared" si="294"/>
        <v/>
      </c>
      <c r="AH360" s="25" t="str">
        <f t="shared" si="295"/>
        <v/>
      </c>
      <c r="AI360" s="25" t="str">
        <f t="shared" si="296"/>
        <v/>
      </c>
      <c r="AJ360" s="25" t="str">
        <f t="shared" si="297"/>
        <v/>
      </c>
      <c r="AK360" s="25" t="str">
        <f t="shared" si="298"/>
        <v/>
      </c>
      <c r="AL360" s="25" t="str">
        <f t="shared" si="299"/>
        <v/>
      </c>
      <c r="AM360" s="26" t="str">
        <f t="shared" si="300"/>
        <v/>
      </c>
      <c r="AQ360" s="24" t="str">
        <f t="shared" si="301"/>
        <v/>
      </c>
      <c r="AR360" s="25" t="str">
        <f t="shared" si="302"/>
        <v/>
      </c>
      <c r="AS360" s="25" t="str">
        <f t="shared" si="303"/>
        <v/>
      </c>
      <c r="AT360" s="25" t="str">
        <f t="shared" si="304"/>
        <v/>
      </c>
      <c r="AU360" s="25" t="str">
        <f t="shared" si="305"/>
        <v/>
      </c>
      <c r="AV360" s="25" t="str">
        <f t="shared" si="306"/>
        <v/>
      </c>
      <c r="AW360" s="25" t="str">
        <f t="shared" si="307"/>
        <v/>
      </c>
      <c r="AX360" s="26" t="str">
        <f t="shared" si="308"/>
        <v/>
      </c>
    </row>
    <row r="361" spans="4:50" hidden="1" x14ac:dyDescent="0.25">
      <c r="D361" s="70">
        <v>59</v>
      </c>
      <c r="E361" s="24" t="str">
        <f t="shared" si="269"/>
        <v/>
      </c>
      <c r="F361" s="25" t="str">
        <f t="shared" si="270"/>
        <v/>
      </c>
      <c r="G361" s="25" t="str">
        <f t="shared" si="271"/>
        <v/>
      </c>
      <c r="H361" s="25" t="str">
        <f t="shared" si="272"/>
        <v/>
      </c>
      <c r="I361" s="25" t="str">
        <f t="shared" si="273"/>
        <v/>
      </c>
      <c r="J361" s="25" t="str">
        <f t="shared" si="274"/>
        <v/>
      </c>
      <c r="K361" s="25" t="str">
        <f t="shared" si="275"/>
        <v/>
      </c>
      <c r="L361" s="26" t="str">
        <f t="shared" si="276"/>
        <v/>
      </c>
      <c r="M361" s="24" t="str">
        <f t="shared" si="277"/>
        <v/>
      </c>
      <c r="N361" s="25" t="str">
        <f t="shared" si="278"/>
        <v/>
      </c>
      <c r="O361" s="25" t="str">
        <f t="shared" si="279"/>
        <v/>
      </c>
      <c r="P361" s="25" t="str">
        <f t="shared" si="280"/>
        <v/>
      </c>
      <c r="Q361" s="25" t="str">
        <f t="shared" si="281"/>
        <v/>
      </c>
      <c r="R361" s="25" t="str">
        <f t="shared" si="282"/>
        <v/>
      </c>
      <c r="S361" s="25" t="str">
        <f t="shared" si="283"/>
        <v/>
      </c>
      <c r="T361" s="26" t="str">
        <f t="shared" si="284"/>
        <v/>
      </c>
      <c r="X361" s="24" t="str">
        <f t="shared" si="285"/>
        <v/>
      </c>
      <c r="Y361" s="25" t="str">
        <f t="shared" si="286"/>
        <v/>
      </c>
      <c r="Z361" s="25" t="str">
        <f t="shared" si="287"/>
        <v/>
      </c>
      <c r="AA361" s="25" t="str">
        <f t="shared" si="288"/>
        <v/>
      </c>
      <c r="AB361" s="25" t="str">
        <f t="shared" si="289"/>
        <v/>
      </c>
      <c r="AC361" s="25" t="str">
        <f t="shared" si="290"/>
        <v/>
      </c>
      <c r="AD361" s="25" t="str">
        <f t="shared" si="291"/>
        <v/>
      </c>
      <c r="AE361" s="26" t="str">
        <f t="shared" si="292"/>
        <v/>
      </c>
      <c r="AF361" s="24" t="str">
        <f t="shared" si="293"/>
        <v/>
      </c>
      <c r="AG361" s="25" t="str">
        <f t="shared" si="294"/>
        <v/>
      </c>
      <c r="AH361" s="25" t="str">
        <f t="shared" si="295"/>
        <v/>
      </c>
      <c r="AI361" s="25" t="str">
        <f t="shared" si="296"/>
        <v/>
      </c>
      <c r="AJ361" s="25" t="str">
        <f t="shared" si="297"/>
        <v/>
      </c>
      <c r="AK361" s="25" t="str">
        <f t="shared" si="298"/>
        <v/>
      </c>
      <c r="AL361" s="25" t="str">
        <f t="shared" si="299"/>
        <v/>
      </c>
      <c r="AM361" s="26" t="str">
        <f t="shared" si="300"/>
        <v/>
      </c>
      <c r="AQ361" s="24" t="str">
        <f t="shared" si="301"/>
        <v/>
      </c>
      <c r="AR361" s="25" t="str">
        <f t="shared" si="302"/>
        <v/>
      </c>
      <c r="AS361" s="25" t="str">
        <f t="shared" si="303"/>
        <v/>
      </c>
      <c r="AT361" s="25" t="str">
        <f t="shared" si="304"/>
        <v/>
      </c>
      <c r="AU361" s="25" t="str">
        <f t="shared" si="305"/>
        <v/>
      </c>
      <c r="AV361" s="25" t="str">
        <f t="shared" si="306"/>
        <v/>
      </c>
      <c r="AW361" s="25" t="str">
        <f t="shared" si="307"/>
        <v/>
      </c>
      <c r="AX361" s="26" t="str">
        <f t="shared" si="308"/>
        <v/>
      </c>
    </row>
    <row r="362" spans="4:50" hidden="1" x14ac:dyDescent="0.25">
      <c r="D362" s="70">
        <v>60</v>
      </c>
      <c r="E362" s="24" t="str">
        <f t="shared" si="269"/>
        <v/>
      </c>
      <c r="F362" s="25" t="str">
        <f t="shared" si="270"/>
        <v/>
      </c>
      <c r="G362" s="25" t="str">
        <f t="shared" si="271"/>
        <v/>
      </c>
      <c r="H362" s="25" t="str">
        <f t="shared" si="272"/>
        <v/>
      </c>
      <c r="I362" s="25" t="str">
        <f t="shared" si="273"/>
        <v/>
      </c>
      <c r="J362" s="25" t="str">
        <f t="shared" si="274"/>
        <v/>
      </c>
      <c r="K362" s="25" t="str">
        <f t="shared" si="275"/>
        <v/>
      </c>
      <c r="L362" s="26" t="str">
        <f t="shared" si="276"/>
        <v/>
      </c>
      <c r="M362" s="24" t="str">
        <f t="shared" si="277"/>
        <v/>
      </c>
      <c r="N362" s="25" t="str">
        <f t="shared" si="278"/>
        <v/>
      </c>
      <c r="O362" s="25" t="str">
        <f t="shared" si="279"/>
        <v/>
      </c>
      <c r="P362" s="25" t="str">
        <f t="shared" si="280"/>
        <v/>
      </c>
      <c r="Q362" s="25" t="str">
        <f t="shared" si="281"/>
        <v/>
      </c>
      <c r="R362" s="25" t="str">
        <f t="shared" si="282"/>
        <v/>
      </c>
      <c r="S362" s="25" t="str">
        <f t="shared" si="283"/>
        <v/>
      </c>
      <c r="T362" s="26" t="str">
        <f t="shared" si="284"/>
        <v/>
      </c>
      <c r="X362" s="24" t="str">
        <f t="shared" si="285"/>
        <v/>
      </c>
      <c r="Y362" s="25" t="str">
        <f t="shared" si="286"/>
        <v/>
      </c>
      <c r="Z362" s="25" t="str">
        <f t="shared" si="287"/>
        <v/>
      </c>
      <c r="AA362" s="25" t="str">
        <f t="shared" si="288"/>
        <v/>
      </c>
      <c r="AB362" s="25" t="str">
        <f t="shared" si="289"/>
        <v/>
      </c>
      <c r="AC362" s="25" t="str">
        <f t="shared" si="290"/>
        <v/>
      </c>
      <c r="AD362" s="25" t="str">
        <f t="shared" si="291"/>
        <v/>
      </c>
      <c r="AE362" s="26" t="str">
        <f t="shared" si="292"/>
        <v/>
      </c>
      <c r="AF362" s="24" t="str">
        <f t="shared" si="293"/>
        <v/>
      </c>
      <c r="AG362" s="25" t="str">
        <f t="shared" si="294"/>
        <v/>
      </c>
      <c r="AH362" s="25" t="str">
        <f t="shared" si="295"/>
        <v/>
      </c>
      <c r="AI362" s="25" t="str">
        <f t="shared" si="296"/>
        <v/>
      </c>
      <c r="AJ362" s="25" t="str">
        <f t="shared" si="297"/>
        <v/>
      </c>
      <c r="AK362" s="25" t="str">
        <f t="shared" si="298"/>
        <v/>
      </c>
      <c r="AL362" s="25" t="str">
        <f t="shared" si="299"/>
        <v/>
      </c>
      <c r="AM362" s="26" t="str">
        <f t="shared" si="300"/>
        <v/>
      </c>
      <c r="AQ362" s="24" t="str">
        <f t="shared" si="301"/>
        <v/>
      </c>
      <c r="AR362" s="25" t="str">
        <f t="shared" si="302"/>
        <v/>
      </c>
      <c r="AS362" s="25" t="str">
        <f t="shared" si="303"/>
        <v/>
      </c>
      <c r="AT362" s="25" t="str">
        <f t="shared" si="304"/>
        <v/>
      </c>
      <c r="AU362" s="25" t="str">
        <f t="shared" si="305"/>
        <v/>
      </c>
      <c r="AV362" s="25" t="str">
        <f t="shared" si="306"/>
        <v/>
      </c>
      <c r="AW362" s="25" t="str">
        <f t="shared" si="307"/>
        <v/>
      </c>
      <c r="AX362" s="26" t="str">
        <f t="shared" si="308"/>
        <v/>
      </c>
    </row>
    <row r="363" spans="4:50" hidden="1" x14ac:dyDescent="0.25">
      <c r="D363" s="70">
        <v>61</v>
      </c>
      <c r="E363" s="24" t="str">
        <f t="shared" si="269"/>
        <v/>
      </c>
      <c r="F363" s="25" t="str">
        <f t="shared" si="270"/>
        <v/>
      </c>
      <c r="G363" s="25" t="str">
        <f t="shared" si="271"/>
        <v/>
      </c>
      <c r="H363" s="25" t="str">
        <f t="shared" si="272"/>
        <v/>
      </c>
      <c r="I363" s="25" t="str">
        <f t="shared" si="273"/>
        <v/>
      </c>
      <c r="J363" s="25" t="str">
        <f t="shared" si="274"/>
        <v/>
      </c>
      <c r="K363" s="25" t="str">
        <f t="shared" si="275"/>
        <v/>
      </c>
      <c r="L363" s="26" t="str">
        <f t="shared" si="276"/>
        <v/>
      </c>
      <c r="M363" s="24" t="str">
        <f t="shared" si="277"/>
        <v/>
      </c>
      <c r="N363" s="25" t="str">
        <f t="shared" si="278"/>
        <v/>
      </c>
      <c r="O363" s="25" t="str">
        <f t="shared" si="279"/>
        <v/>
      </c>
      <c r="P363" s="25" t="str">
        <f t="shared" si="280"/>
        <v/>
      </c>
      <c r="Q363" s="25" t="str">
        <f t="shared" si="281"/>
        <v/>
      </c>
      <c r="R363" s="25" t="str">
        <f t="shared" si="282"/>
        <v/>
      </c>
      <c r="S363" s="25" t="str">
        <f t="shared" si="283"/>
        <v/>
      </c>
      <c r="T363" s="26" t="str">
        <f t="shared" si="284"/>
        <v/>
      </c>
      <c r="X363" s="24" t="str">
        <f t="shared" si="285"/>
        <v/>
      </c>
      <c r="Y363" s="25" t="str">
        <f t="shared" si="286"/>
        <v/>
      </c>
      <c r="Z363" s="25" t="str">
        <f t="shared" si="287"/>
        <v/>
      </c>
      <c r="AA363" s="25" t="str">
        <f t="shared" si="288"/>
        <v/>
      </c>
      <c r="AB363" s="25" t="str">
        <f t="shared" si="289"/>
        <v/>
      </c>
      <c r="AC363" s="25" t="str">
        <f t="shared" si="290"/>
        <v/>
      </c>
      <c r="AD363" s="25" t="str">
        <f t="shared" si="291"/>
        <v/>
      </c>
      <c r="AE363" s="26" t="str">
        <f t="shared" si="292"/>
        <v/>
      </c>
      <c r="AF363" s="24" t="str">
        <f t="shared" si="293"/>
        <v/>
      </c>
      <c r="AG363" s="25" t="str">
        <f t="shared" si="294"/>
        <v/>
      </c>
      <c r="AH363" s="25" t="str">
        <f t="shared" si="295"/>
        <v/>
      </c>
      <c r="AI363" s="25" t="str">
        <f t="shared" si="296"/>
        <v/>
      </c>
      <c r="AJ363" s="25" t="str">
        <f t="shared" si="297"/>
        <v/>
      </c>
      <c r="AK363" s="25" t="str">
        <f t="shared" si="298"/>
        <v/>
      </c>
      <c r="AL363" s="25" t="str">
        <f t="shared" si="299"/>
        <v/>
      </c>
      <c r="AM363" s="26" t="str">
        <f t="shared" si="300"/>
        <v/>
      </c>
      <c r="AQ363" s="24" t="str">
        <f t="shared" si="301"/>
        <v/>
      </c>
      <c r="AR363" s="25" t="str">
        <f t="shared" si="302"/>
        <v/>
      </c>
      <c r="AS363" s="25" t="str">
        <f t="shared" si="303"/>
        <v/>
      </c>
      <c r="AT363" s="25" t="str">
        <f t="shared" si="304"/>
        <v/>
      </c>
      <c r="AU363" s="25" t="str">
        <f t="shared" si="305"/>
        <v/>
      </c>
      <c r="AV363" s="25" t="str">
        <f t="shared" si="306"/>
        <v/>
      </c>
      <c r="AW363" s="25" t="str">
        <f t="shared" si="307"/>
        <v/>
      </c>
      <c r="AX363" s="26" t="str">
        <f t="shared" si="308"/>
        <v/>
      </c>
    </row>
    <row r="364" spans="4:50" hidden="1" x14ac:dyDescent="0.25">
      <c r="D364" s="70">
        <v>62</v>
      </c>
      <c r="E364" s="24" t="str">
        <f t="shared" si="269"/>
        <v/>
      </c>
      <c r="F364" s="25" t="str">
        <f t="shared" si="270"/>
        <v/>
      </c>
      <c r="G364" s="25" t="str">
        <f t="shared" si="271"/>
        <v/>
      </c>
      <c r="H364" s="25" t="str">
        <f t="shared" si="272"/>
        <v/>
      </c>
      <c r="I364" s="25" t="str">
        <f t="shared" si="273"/>
        <v/>
      </c>
      <c r="J364" s="25" t="str">
        <f t="shared" si="274"/>
        <v/>
      </c>
      <c r="K364" s="25" t="str">
        <f t="shared" si="275"/>
        <v/>
      </c>
      <c r="L364" s="26" t="str">
        <f t="shared" si="276"/>
        <v/>
      </c>
      <c r="M364" s="24" t="str">
        <f t="shared" si="277"/>
        <v/>
      </c>
      <c r="N364" s="25" t="str">
        <f t="shared" si="278"/>
        <v/>
      </c>
      <c r="O364" s="25" t="str">
        <f t="shared" si="279"/>
        <v/>
      </c>
      <c r="P364" s="25" t="str">
        <f t="shared" si="280"/>
        <v/>
      </c>
      <c r="Q364" s="25" t="str">
        <f t="shared" si="281"/>
        <v/>
      </c>
      <c r="R364" s="25" t="str">
        <f t="shared" si="282"/>
        <v/>
      </c>
      <c r="S364" s="25" t="str">
        <f t="shared" si="283"/>
        <v/>
      </c>
      <c r="T364" s="26" t="str">
        <f t="shared" si="284"/>
        <v/>
      </c>
      <c r="X364" s="24" t="str">
        <f t="shared" si="285"/>
        <v/>
      </c>
      <c r="Y364" s="25" t="str">
        <f t="shared" si="286"/>
        <v/>
      </c>
      <c r="Z364" s="25" t="str">
        <f t="shared" si="287"/>
        <v/>
      </c>
      <c r="AA364" s="25" t="str">
        <f t="shared" si="288"/>
        <v/>
      </c>
      <c r="AB364" s="25" t="str">
        <f t="shared" si="289"/>
        <v/>
      </c>
      <c r="AC364" s="25" t="str">
        <f t="shared" si="290"/>
        <v/>
      </c>
      <c r="AD364" s="25" t="str">
        <f t="shared" si="291"/>
        <v/>
      </c>
      <c r="AE364" s="26" t="str">
        <f t="shared" si="292"/>
        <v/>
      </c>
      <c r="AF364" s="24" t="str">
        <f t="shared" si="293"/>
        <v/>
      </c>
      <c r="AG364" s="25" t="str">
        <f t="shared" si="294"/>
        <v/>
      </c>
      <c r="AH364" s="25" t="str">
        <f t="shared" si="295"/>
        <v/>
      </c>
      <c r="AI364" s="25" t="str">
        <f t="shared" si="296"/>
        <v/>
      </c>
      <c r="AJ364" s="25" t="str">
        <f t="shared" si="297"/>
        <v/>
      </c>
      <c r="AK364" s="25" t="str">
        <f t="shared" si="298"/>
        <v/>
      </c>
      <c r="AL364" s="25" t="str">
        <f t="shared" si="299"/>
        <v/>
      </c>
      <c r="AM364" s="26" t="str">
        <f t="shared" si="300"/>
        <v/>
      </c>
      <c r="AQ364" s="24" t="str">
        <f t="shared" si="301"/>
        <v/>
      </c>
      <c r="AR364" s="25" t="str">
        <f t="shared" si="302"/>
        <v/>
      </c>
      <c r="AS364" s="25" t="str">
        <f t="shared" si="303"/>
        <v/>
      </c>
      <c r="AT364" s="25" t="str">
        <f t="shared" si="304"/>
        <v/>
      </c>
      <c r="AU364" s="25" t="str">
        <f t="shared" si="305"/>
        <v/>
      </c>
      <c r="AV364" s="25" t="str">
        <f t="shared" si="306"/>
        <v/>
      </c>
      <c r="AW364" s="25" t="str">
        <f t="shared" si="307"/>
        <v/>
      </c>
      <c r="AX364" s="26" t="str">
        <f t="shared" si="308"/>
        <v/>
      </c>
    </row>
    <row r="365" spans="4:50" hidden="1" x14ac:dyDescent="0.25">
      <c r="D365" s="70">
        <v>63</v>
      </c>
      <c r="E365" s="24" t="str">
        <f t="shared" si="269"/>
        <v/>
      </c>
      <c r="F365" s="25" t="str">
        <f t="shared" si="270"/>
        <v/>
      </c>
      <c r="G365" s="25" t="str">
        <f t="shared" si="271"/>
        <v/>
      </c>
      <c r="H365" s="25" t="str">
        <f t="shared" si="272"/>
        <v/>
      </c>
      <c r="I365" s="25" t="str">
        <f t="shared" si="273"/>
        <v/>
      </c>
      <c r="J365" s="25" t="str">
        <f t="shared" si="274"/>
        <v/>
      </c>
      <c r="K365" s="25" t="str">
        <f t="shared" si="275"/>
        <v/>
      </c>
      <c r="L365" s="26" t="str">
        <f t="shared" si="276"/>
        <v/>
      </c>
      <c r="M365" s="24" t="str">
        <f t="shared" si="277"/>
        <v/>
      </c>
      <c r="N365" s="25" t="str">
        <f t="shared" si="278"/>
        <v/>
      </c>
      <c r="O365" s="25" t="str">
        <f t="shared" si="279"/>
        <v/>
      </c>
      <c r="P365" s="25" t="str">
        <f t="shared" si="280"/>
        <v/>
      </c>
      <c r="Q365" s="25" t="str">
        <f t="shared" si="281"/>
        <v/>
      </c>
      <c r="R365" s="25" t="str">
        <f t="shared" si="282"/>
        <v/>
      </c>
      <c r="S365" s="25" t="str">
        <f t="shared" si="283"/>
        <v/>
      </c>
      <c r="T365" s="26" t="str">
        <f t="shared" si="284"/>
        <v/>
      </c>
      <c r="X365" s="24" t="str">
        <f t="shared" si="285"/>
        <v/>
      </c>
      <c r="Y365" s="25" t="str">
        <f t="shared" si="286"/>
        <v/>
      </c>
      <c r="Z365" s="25" t="str">
        <f t="shared" si="287"/>
        <v/>
      </c>
      <c r="AA365" s="25" t="str">
        <f t="shared" si="288"/>
        <v/>
      </c>
      <c r="AB365" s="25" t="str">
        <f t="shared" si="289"/>
        <v/>
      </c>
      <c r="AC365" s="25" t="str">
        <f t="shared" si="290"/>
        <v/>
      </c>
      <c r="AD365" s="25" t="str">
        <f t="shared" si="291"/>
        <v/>
      </c>
      <c r="AE365" s="26" t="str">
        <f t="shared" si="292"/>
        <v/>
      </c>
      <c r="AF365" s="24" t="str">
        <f t="shared" si="293"/>
        <v/>
      </c>
      <c r="AG365" s="25" t="str">
        <f t="shared" si="294"/>
        <v/>
      </c>
      <c r="AH365" s="25" t="str">
        <f t="shared" si="295"/>
        <v/>
      </c>
      <c r="AI365" s="25" t="str">
        <f t="shared" si="296"/>
        <v/>
      </c>
      <c r="AJ365" s="25" t="str">
        <f t="shared" si="297"/>
        <v/>
      </c>
      <c r="AK365" s="25" t="str">
        <f t="shared" si="298"/>
        <v/>
      </c>
      <c r="AL365" s="25" t="str">
        <f t="shared" si="299"/>
        <v/>
      </c>
      <c r="AM365" s="26" t="str">
        <f t="shared" si="300"/>
        <v/>
      </c>
      <c r="AQ365" s="24" t="str">
        <f t="shared" si="301"/>
        <v/>
      </c>
      <c r="AR365" s="25" t="str">
        <f t="shared" si="302"/>
        <v/>
      </c>
      <c r="AS365" s="25" t="str">
        <f t="shared" si="303"/>
        <v/>
      </c>
      <c r="AT365" s="25" t="str">
        <f t="shared" si="304"/>
        <v/>
      </c>
      <c r="AU365" s="25" t="str">
        <f t="shared" si="305"/>
        <v/>
      </c>
      <c r="AV365" s="25" t="str">
        <f t="shared" si="306"/>
        <v/>
      </c>
      <c r="AW365" s="25" t="str">
        <f t="shared" si="307"/>
        <v/>
      </c>
      <c r="AX365" s="26" t="str">
        <f t="shared" si="308"/>
        <v/>
      </c>
    </row>
    <row r="366" spans="4:50" hidden="1" x14ac:dyDescent="0.25">
      <c r="D366" s="70">
        <v>64</v>
      </c>
      <c r="E366" s="24" t="str">
        <f t="shared" si="269"/>
        <v/>
      </c>
      <c r="F366" s="25" t="str">
        <f t="shared" si="270"/>
        <v/>
      </c>
      <c r="G366" s="25" t="str">
        <f t="shared" si="271"/>
        <v/>
      </c>
      <c r="H366" s="25" t="str">
        <f t="shared" si="272"/>
        <v/>
      </c>
      <c r="I366" s="25" t="str">
        <f t="shared" si="273"/>
        <v/>
      </c>
      <c r="J366" s="25" t="str">
        <f t="shared" si="274"/>
        <v/>
      </c>
      <c r="K366" s="25" t="str">
        <f t="shared" si="275"/>
        <v/>
      </c>
      <c r="L366" s="26" t="str">
        <f t="shared" si="276"/>
        <v/>
      </c>
      <c r="M366" s="24" t="str">
        <f t="shared" si="277"/>
        <v/>
      </c>
      <c r="N366" s="25" t="str">
        <f t="shared" si="278"/>
        <v/>
      </c>
      <c r="O366" s="25" t="str">
        <f t="shared" si="279"/>
        <v/>
      </c>
      <c r="P366" s="25" t="str">
        <f t="shared" si="280"/>
        <v/>
      </c>
      <c r="Q366" s="25" t="str">
        <f t="shared" si="281"/>
        <v/>
      </c>
      <c r="R366" s="25" t="str">
        <f t="shared" si="282"/>
        <v/>
      </c>
      <c r="S366" s="25" t="str">
        <f t="shared" si="283"/>
        <v/>
      </c>
      <c r="T366" s="26" t="str">
        <f t="shared" si="284"/>
        <v/>
      </c>
      <c r="X366" s="24" t="str">
        <f t="shared" si="285"/>
        <v/>
      </c>
      <c r="Y366" s="25" t="str">
        <f t="shared" si="286"/>
        <v/>
      </c>
      <c r="Z366" s="25" t="str">
        <f t="shared" si="287"/>
        <v/>
      </c>
      <c r="AA366" s="25" t="str">
        <f t="shared" si="288"/>
        <v/>
      </c>
      <c r="AB366" s="25" t="str">
        <f t="shared" si="289"/>
        <v/>
      </c>
      <c r="AC366" s="25" t="str">
        <f t="shared" si="290"/>
        <v/>
      </c>
      <c r="AD366" s="25" t="str">
        <f t="shared" si="291"/>
        <v/>
      </c>
      <c r="AE366" s="26" t="str">
        <f t="shared" si="292"/>
        <v/>
      </c>
      <c r="AF366" s="24" t="str">
        <f t="shared" si="293"/>
        <v/>
      </c>
      <c r="AG366" s="25" t="str">
        <f t="shared" si="294"/>
        <v/>
      </c>
      <c r="AH366" s="25" t="str">
        <f t="shared" si="295"/>
        <v/>
      </c>
      <c r="AI366" s="25" t="str">
        <f t="shared" si="296"/>
        <v/>
      </c>
      <c r="AJ366" s="25" t="str">
        <f t="shared" si="297"/>
        <v/>
      </c>
      <c r="AK366" s="25" t="str">
        <f t="shared" si="298"/>
        <v/>
      </c>
      <c r="AL366" s="25" t="str">
        <f t="shared" si="299"/>
        <v/>
      </c>
      <c r="AM366" s="26" t="str">
        <f t="shared" si="300"/>
        <v/>
      </c>
      <c r="AQ366" s="24" t="str">
        <f t="shared" si="301"/>
        <v/>
      </c>
      <c r="AR366" s="25" t="str">
        <f t="shared" si="302"/>
        <v/>
      </c>
      <c r="AS366" s="25" t="str">
        <f t="shared" si="303"/>
        <v/>
      </c>
      <c r="AT366" s="25" t="str">
        <f t="shared" si="304"/>
        <v/>
      </c>
      <c r="AU366" s="25" t="str">
        <f t="shared" si="305"/>
        <v/>
      </c>
      <c r="AV366" s="25" t="str">
        <f t="shared" si="306"/>
        <v/>
      </c>
      <c r="AW366" s="25" t="str">
        <f t="shared" si="307"/>
        <v/>
      </c>
      <c r="AX366" s="26" t="str">
        <f t="shared" si="308"/>
        <v/>
      </c>
    </row>
    <row r="367" spans="4:50" hidden="1" x14ac:dyDescent="0.25">
      <c r="D367" s="70">
        <v>65</v>
      </c>
      <c r="E367" s="24" t="str">
        <f t="shared" ref="E367:E398" si="309">IFERROR(VLOOKUP(SMALL($D$170:$D$297,$D367),$D$170:$AX$297,2,FALSE),"")</f>
        <v/>
      </c>
      <c r="F367" s="25" t="str">
        <f t="shared" ref="F367:F398" si="310">IFERROR(VLOOKUP(SMALL($D$170:$D$297,$D367),$D$170:$AX$297,3,FALSE),"")</f>
        <v/>
      </c>
      <c r="G367" s="25" t="str">
        <f t="shared" ref="G367:G398" si="311">IFERROR(VLOOKUP(SMALL($D$170:$D$297,$D367),$D$170:$AX$297,4,FALSE),"")</f>
        <v/>
      </c>
      <c r="H367" s="25" t="str">
        <f t="shared" ref="H367:H398" si="312">IFERROR(VLOOKUP(SMALL($D$170:$D$297,$D367),$D$170:$AX$297,5,FALSE),"")</f>
        <v/>
      </c>
      <c r="I367" s="25" t="str">
        <f t="shared" ref="I367:I398" si="313">IFERROR(VLOOKUP(SMALL($D$170:$D$297,$D367),$D$170:$AX$297,6,FALSE),"")</f>
        <v/>
      </c>
      <c r="J367" s="25" t="str">
        <f t="shared" ref="J367:J398" si="314">IFERROR(VLOOKUP(SMALL($D$170:$D$297,$D367),$D$170:$AX$297,7,FALSE),"")</f>
        <v/>
      </c>
      <c r="K367" s="25" t="str">
        <f t="shared" ref="K367:K398" si="315">IFERROR(VLOOKUP(SMALL($D$170:$D$297,$D367),$D$170:$AX$297,8,FALSE),"")</f>
        <v/>
      </c>
      <c r="L367" s="26" t="str">
        <f t="shared" ref="L367:L398" si="316">IFERROR(VLOOKUP(SMALL($D$170:$D$297,$D367),$D$170:$AX$297,9,FALSE),"")</f>
        <v/>
      </c>
      <c r="M367" s="24" t="str">
        <f t="shared" ref="M367:M398" si="317">IFERROR(VLOOKUP(SMALL($D$170:$D$297,$D367),$D$170:$AX$297,10,FALSE),"")</f>
        <v/>
      </c>
      <c r="N367" s="25" t="str">
        <f t="shared" ref="N367:N398" si="318">IFERROR(VLOOKUP(SMALL($D$170:$D$297,$D367),$D$170:$AX$297,11,FALSE),"")</f>
        <v/>
      </c>
      <c r="O367" s="25" t="str">
        <f t="shared" ref="O367:O398" si="319">IFERROR(VLOOKUP(SMALL($D$170:$D$297,$D367),$D$170:$AX$297,12,FALSE),"")</f>
        <v/>
      </c>
      <c r="P367" s="25" t="str">
        <f t="shared" ref="P367:P398" si="320">IFERROR(VLOOKUP(SMALL($D$170:$D$297,$D367),$D$170:$AX$297,13,FALSE),"")</f>
        <v/>
      </c>
      <c r="Q367" s="25" t="str">
        <f t="shared" ref="Q367:Q398" si="321">IFERROR(VLOOKUP(SMALL($D$170:$D$297,$D367),$D$170:$AX$297,14,FALSE),"")</f>
        <v/>
      </c>
      <c r="R367" s="25" t="str">
        <f t="shared" ref="R367:R398" si="322">IFERROR(VLOOKUP(SMALL($D$170:$D$297,$D367),$D$170:$AX$297,15,FALSE),"")</f>
        <v/>
      </c>
      <c r="S367" s="25" t="str">
        <f t="shared" ref="S367:S398" si="323">IFERROR(VLOOKUP(SMALL($D$170:$D$297,$D367),$D$170:$AX$297,16,FALSE),"")</f>
        <v/>
      </c>
      <c r="T367" s="26" t="str">
        <f t="shared" ref="T367:T398" si="324">IFERROR(VLOOKUP(SMALL($D$170:$D$297,$D367),$D$170:$AX$297,17,FALSE),"")</f>
        <v/>
      </c>
      <c r="X367" s="24" t="str">
        <f t="shared" ref="X367:X398" si="325">IFERROR(VLOOKUP(SMALL($D$170:$D$297,$D367),$D$170:$AX$297,21,FALSE),"")</f>
        <v/>
      </c>
      <c r="Y367" s="25" t="str">
        <f t="shared" ref="Y367:Y398" si="326">IFERROR(VLOOKUP(SMALL($D$170:$D$297,$D367),$D$170:$AX$297,22,FALSE),"")</f>
        <v/>
      </c>
      <c r="Z367" s="25" t="str">
        <f t="shared" ref="Z367:Z398" si="327">IFERROR(VLOOKUP(SMALL($D$170:$D$297,$D367),$D$170:$AX$297,23,FALSE),"")</f>
        <v/>
      </c>
      <c r="AA367" s="25" t="str">
        <f t="shared" ref="AA367:AA398" si="328">IFERROR(VLOOKUP(SMALL($D$170:$D$297,$D367),$D$170:$AX$297,24,FALSE),"")</f>
        <v/>
      </c>
      <c r="AB367" s="25" t="str">
        <f t="shared" ref="AB367:AB398" si="329">IFERROR(VLOOKUP(SMALL($D$170:$D$297,$D367),$D$170:$AX$297,25,FALSE),"")</f>
        <v/>
      </c>
      <c r="AC367" s="25" t="str">
        <f t="shared" ref="AC367:AC398" si="330">IFERROR(VLOOKUP(SMALL($D$170:$D$297,$D367),$D$170:$AX$297,26,FALSE),"")</f>
        <v/>
      </c>
      <c r="AD367" s="25" t="str">
        <f t="shared" ref="AD367:AD398" si="331">IFERROR(VLOOKUP(SMALL($D$170:$D$297,$D367),$D$170:$AX$297,27,FALSE),"")</f>
        <v/>
      </c>
      <c r="AE367" s="26" t="str">
        <f t="shared" ref="AE367:AE398" si="332">IFERROR(VLOOKUP(SMALL($D$170:$D$297,$D367),$D$170:$AX$297,28,FALSE),"")</f>
        <v/>
      </c>
      <c r="AF367" s="24" t="str">
        <f t="shared" ref="AF367:AF398" si="333">IFERROR(VLOOKUP(SMALL($D$170:$D$297,$D367),$D$170:$AX$297,29,FALSE),"")</f>
        <v/>
      </c>
      <c r="AG367" s="25" t="str">
        <f t="shared" ref="AG367:AG398" si="334">IFERROR(VLOOKUP(SMALL($D$170:$D$297,$D367),$D$170:$AX$297,30,FALSE),"")</f>
        <v/>
      </c>
      <c r="AH367" s="25" t="str">
        <f t="shared" ref="AH367:AH398" si="335">IFERROR(VLOOKUP(SMALL($D$170:$D$297,$D367),$D$170:$AX$297,31,FALSE),"")</f>
        <v/>
      </c>
      <c r="AI367" s="25" t="str">
        <f t="shared" ref="AI367:AI398" si="336">IFERROR(VLOOKUP(SMALL($D$170:$D$297,$D367),$D$170:$AX$297,32,FALSE),"")</f>
        <v/>
      </c>
      <c r="AJ367" s="25" t="str">
        <f t="shared" ref="AJ367:AJ398" si="337">IFERROR(VLOOKUP(SMALL($D$170:$D$297,$D367),$D$170:$AX$297,33,FALSE),"")</f>
        <v/>
      </c>
      <c r="AK367" s="25" t="str">
        <f t="shared" ref="AK367:AK398" si="338">IFERROR(VLOOKUP(SMALL($D$170:$D$297,$D367),$D$170:$AX$297,34,FALSE),"")</f>
        <v/>
      </c>
      <c r="AL367" s="25" t="str">
        <f t="shared" ref="AL367:AL398" si="339">IFERROR(VLOOKUP(SMALL($D$170:$D$297,$D367),$D$170:$AX$297,35,FALSE),"")</f>
        <v/>
      </c>
      <c r="AM367" s="26" t="str">
        <f t="shared" ref="AM367:AM398" si="340">IFERROR(VLOOKUP(SMALL($D$170:$D$297,$D367),$D$170:$AX$297,36,FALSE),"")</f>
        <v/>
      </c>
      <c r="AQ367" s="24" t="str">
        <f t="shared" ref="AQ367:AQ398" si="341">IFERROR(VLOOKUP(SMALL($D$170:$D$297,$D367),$D$170:$AX$297,40,FALSE),"")</f>
        <v/>
      </c>
      <c r="AR367" s="25" t="str">
        <f t="shared" ref="AR367:AR398" si="342">IFERROR(VLOOKUP(SMALL($D$170:$D$297,$D367),$D$170:$AX$297,41,FALSE),"")</f>
        <v/>
      </c>
      <c r="AS367" s="25" t="str">
        <f t="shared" ref="AS367:AS398" si="343">IFERROR(VLOOKUP(SMALL($D$170:$D$297,$D367),$D$170:$AX$297,42,FALSE),"")</f>
        <v/>
      </c>
      <c r="AT367" s="25" t="str">
        <f t="shared" ref="AT367:AT398" si="344">IFERROR(VLOOKUP(SMALL($D$170:$D$297,$D367),$D$170:$AX$297,43,FALSE),"")</f>
        <v/>
      </c>
      <c r="AU367" s="25" t="str">
        <f t="shared" ref="AU367:AU398" si="345">IFERROR(VLOOKUP(SMALL($D$170:$D$297,$D367),$D$170:$AX$297,44,FALSE),"")</f>
        <v/>
      </c>
      <c r="AV367" s="25" t="str">
        <f t="shared" ref="AV367:AV398" si="346">IFERROR(VLOOKUP(SMALL($D$170:$D$297,$D367),$D$170:$AX$297,45,FALSE),"")</f>
        <v/>
      </c>
      <c r="AW367" s="25" t="str">
        <f t="shared" ref="AW367:AW398" si="347">IFERROR(VLOOKUP(SMALL($D$170:$D$297,$D367),$D$170:$AX$297,46,FALSE),"")</f>
        <v/>
      </c>
      <c r="AX367" s="26" t="str">
        <f t="shared" ref="AX367:AX398" si="348">IFERROR(VLOOKUP(SMALL($D$170:$D$297,$D367),$D$170:$AX$297,47,FALSE),"")</f>
        <v/>
      </c>
    </row>
    <row r="368" spans="4:50" hidden="1" x14ac:dyDescent="0.25">
      <c r="D368" s="70">
        <v>66</v>
      </c>
      <c r="E368" s="24" t="str">
        <f t="shared" si="309"/>
        <v/>
      </c>
      <c r="F368" s="25" t="str">
        <f t="shared" si="310"/>
        <v/>
      </c>
      <c r="G368" s="25" t="str">
        <f t="shared" si="311"/>
        <v/>
      </c>
      <c r="H368" s="25" t="str">
        <f t="shared" si="312"/>
        <v/>
      </c>
      <c r="I368" s="25" t="str">
        <f t="shared" si="313"/>
        <v/>
      </c>
      <c r="J368" s="25" t="str">
        <f t="shared" si="314"/>
        <v/>
      </c>
      <c r="K368" s="25" t="str">
        <f t="shared" si="315"/>
        <v/>
      </c>
      <c r="L368" s="26" t="str">
        <f t="shared" si="316"/>
        <v/>
      </c>
      <c r="M368" s="24" t="str">
        <f t="shared" si="317"/>
        <v/>
      </c>
      <c r="N368" s="25" t="str">
        <f t="shared" si="318"/>
        <v/>
      </c>
      <c r="O368" s="25" t="str">
        <f t="shared" si="319"/>
        <v/>
      </c>
      <c r="P368" s="25" t="str">
        <f t="shared" si="320"/>
        <v/>
      </c>
      <c r="Q368" s="25" t="str">
        <f t="shared" si="321"/>
        <v/>
      </c>
      <c r="R368" s="25" t="str">
        <f t="shared" si="322"/>
        <v/>
      </c>
      <c r="S368" s="25" t="str">
        <f t="shared" si="323"/>
        <v/>
      </c>
      <c r="T368" s="26" t="str">
        <f t="shared" si="324"/>
        <v/>
      </c>
      <c r="X368" s="24" t="str">
        <f t="shared" si="325"/>
        <v/>
      </c>
      <c r="Y368" s="25" t="str">
        <f t="shared" si="326"/>
        <v/>
      </c>
      <c r="Z368" s="25" t="str">
        <f t="shared" si="327"/>
        <v/>
      </c>
      <c r="AA368" s="25" t="str">
        <f t="shared" si="328"/>
        <v/>
      </c>
      <c r="AB368" s="25" t="str">
        <f t="shared" si="329"/>
        <v/>
      </c>
      <c r="AC368" s="25" t="str">
        <f t="shared" si="330"/>
        <v/>
      </c>
      <c r="AD368" s="25" t="str">
        <f t="shared" si="331"/>
        <v/>
      </c>
      <c r="AE368" s="26" t="str">
        <f t="shared" si="332"/>
        <v/>
      </c>
      <c r="AF368" s="24" t="str">
        <f t="shared" si="333"/>
        <v/>
      </c>
      <c r="AG368" s="25" t="str">
        <f t="shared" si="334"/>
        <v/>
      </c>
      <c r="AH368" s="25" t="str">
        <f t="shared" si="335"/>
        <v/>
      </c>
      <c r="AI368" s="25" t="str">
        <f t="shared" si="336"/>
        <v/>
      </c>
      <c r="AJ368" s="25" t="str">
        <f t="shared" si="337"/>
        <v/>
      </c>
      <c r="AK368" s="25" t="str">
        <f t="shared" si="338"/>
        <v/>
      </c>
      <c r="AL368" s="25" t="str">
        <f t="shared" si="339"/>
        <v/>
      </c>
      <c r="AM368" s="26" t="str">
        <f t="shared" si="340"/>
        <v/>
      </c>
      <c r="AQ368" s="24" t="str">
        <f t="shared" si="341"/>
        <v/>
      </c>
      <c r="AR368" s="25" t="str">
        <f t="shared" si="342"/>
        <v/>
      </c>
      <c r="AS368" s="25" t="str">
        <f t="shared" si="343"/>
        <v/>
      </c>
      <c r="AT368" s="25" t="str">
        <f t="shared" si="344"/>
        <v/>
      </c>
      <c r="AU368" s="25" t="str">
        <f t="shared" si="345"/>
        <v/>
      </c>
      <c r="AV368" s="25" t="str">
        <f t="shared" si="346"/>
        <v/>
      </c>
      <c r="AW368" s="25" t="str">
        <f t="shared" si="347"/>
        <v/>
      </c>
      <c r="AX368" s="26" t="str">
        <f t="shared" si="348"/>
        <v/>
      </c>
    </row>
    <row r="369" spans="4:50" hidden="1" x14ac:dyDescent="0.25">
      <c r="D369" s="70">
        <v>67</v>
      </c>
      <c r="E369" s="24" t="str">
        <f t="shared" si="309"/>
        <v/>
      </c>
      <c r="F369" s="25" t="str">
        <f t="shared" si="310"/>
        <v/>
      </c>
      <c r="G369" s="25" t="str">
        <f t="shared" si="311"/>
        <v/>
      </c>
      <c r="H369" s="25" t="str">
        <f t="shared" si="312"/>
        <v/>
      </c>
      <c r="I369" s="25" t="str">
        <f t="shared" si="313"/>
        <v/>
      </c>
      <c r="J369" s="25" t="str">
        <f t="shared" si="314"/>
        <v/>
      </c>
      <c r="K369" s="25" t="str">
        <f t="shared" si="315"/>
        <v/>
      </c>
      <c r="L369" s="26" t="str">
        <f t="shared" si="316"/>
        <v/>
      </c>
      <c r="M369" s="24" t="str">
        <f t="shared" si="317"/>
        <v/>
      </c>
      <c r="N369" s="25" t="str">
        <f t="shared" si="318"/>
        <v/>
      </c>
      <c r="O369" s="25" t="str">
        <f t="shared" si="319"/>
        <v/>
      </c>
      <c r="P369" s="25" t="str">
        <f t="shared" si="320"/>
        <v/>
      </c>
      <c r="Q369" s="25" t="str">
        <f t="shared" si="321"/>
        <v/>
      </c>
      <c r="R369" s="25" t="str">
        <f t="shared" si="322"/>
        <v/>
      </c>
      <c r="S369" s="25" t="str">
        <f t="shared" si="323"/>
        <v/>
      </c>
      <c r="T369" s="26" t="str">
        <f t="shared" si="324"/>
        <v/>
      </c>
      <c r="X369" s="24" t="str">
        <f t="shared" si="325"/>
        <v/>
      </c>
      <c r="Y369" s="25" t="str">
        <f t="shared" si="326"/>
        <v/>
      </c>
      <c r="Z369" s="25" t="str">
        <f t="shared" si="327"/>
        <v/>
      </c>
      <c r="AA369" s="25" t="str">
        <f t="shared" si="328"/>
        <v/>
      </c>
      <c r="AB369" s="25" t="str">
        <f t="shared" si="329"/>
        <v/>
      </c>
      <c r="AC369" s="25" t="str">
        <f t="shared" si="330"/>
        <v/>
      </c>
      <c r="AD369" s="25" t="str">
        <f t="shared" si="331"/>
        <v/>
      </c>
      <c r="AE369" s="26" t="str">
        <f t="shared" si="332"/>
        <v/>
      </c>
      <c r="AF369" s="24" t="str">
        <f t="shared" si="333"/>
        <v/>
      </c>
      <c r="AG369" s="25" t="str">
        <f t="shared" si="334"/>
        <v/>
      </c>
      <c r="AH369" s="25" t="str">
        <f t="shared" si="335"/>
        <v/>
      </c>
      <c r="AI369" s="25" t="str">
        <f t="shared" si="336"/>
        <v/>
      </c>
      <c r="AJ369" s="25" t="str">
        <f t="shared" si="337"/>
        <v/>
      </c>
      <c r="AK369" s="25" t="str">
        <f t="shared" si="338"/>
        <v/>
      </c>
      <c r="AL369" s="25" t="str">
        <f t="shared" si="339"/>
        <v/>
      </c>
      <c r="AM369" s="26" t="str">
        <f t="shared" si="340"/>
        <v/>
      </c>
      <c r="AQ369" s="24" t="str">
        <f t="shared" si="341"/>
        <v/>
      </c>
      <c r="AR369" s="25" t="str">
        <f t="shared" si="342"/>
        <v/>
      </c>
      <c r="AS369" s="25" t="str">
        <f t="shared" si="343"/>
        <v/>
      </c>
      <c r="AT369" s="25" t="str">
        <f t="shared" si="344"/>
        <v/>
      </c>
      <c r="AU369" s="25" t="str">
        <f t="shared" si="345"/>
        <v/>
      </c>
      <c r="AV369" s="25" t="str">
        <f t="shared" si="346"/>
        <v/>
      </c>
      <c r="AW369" s="25" t="str">
        <f t="shared" si="347"/>
        <v/>
      </c>
      <c r="AX369" s="26" t="str">
        <f t="shared" si="348"/>
        <v/>
      </c>
    </row>
    <row r="370" spans="4:50" hidden="1" x14ac:dyDescent="0.25">
      <c r="D370" s="70">
        <v>68</v>
      </c>
      <c r="E370" s="24" t="str">
        <f t="shared" si="309"/>
        <v/>
      </c>
      <c r="F370" s="25" t="str">
        <f t="shared" si="310"/>
        <v/>
      </c>
      <c r="G370" s="25" t="str">
        <f t="shared" si="311"/>
        <v/>
      </c>
      <c r="H370" s="25" t="str">
        <f t="shared" si="312"/>
        <v/>
      </c>
      <c r="I370" s="25" t="str">
        <f t="shared" si="313"/>
        <v/>
      </c>
      <c r="J370" s="25" t="str">
        <f t="shared" si="314"/>
        <v/>
      </c>
      <c r="K370" s="25" t="str">
        <f t="shared" si="315"/>
        <v/>
      </c>
      <c r="L370" s="26" t="str">
        <f t="shared" si="316"/>
        <v/>
      </c>
      <c r="M370" s="24" t="str">
        <f t="shared" si="317"/>
        <v/>
      </c>
      <c r="N370" s="25" t="str">
        <f t="shared" si="318"/>
        <v/>
      </c>
      <c r="O370" s="25" t="str">
        <f t="shared" si="319"/>
        <v/>
      </c>
      <c r="P370" s="25" t="str">
        <f t="shared" si="320"/>
        <v/>
      </c>
      <c r="Q370" s="25" t="str">
        <f t="shared" si="321"/>
        <v/>
      </c>
      <c r="R370" s="25" t="str">
        <f t="shared" si="322"/>
        <v/>
      </c>
      <c r="S370" s="25" t="str">
        <f t="shared" si="323"/>
        <v/>
      </c>
      <c r="T370" s="26" t="str">
        <f t="shared" si="324"/>
        <v/>
      </c>
      <c r="X370" s="24" t="str">
        <f t="shared" si="325"/>
        <v/>
      </c>
      <c r="Y370" s="25" t="str">
        <f t="shared" si="326"/>
        <v/>
      </c>
      <c r="Z370" s="25" t="str">
        <f t="shared" si="327"/>
        <v/>
      </c>
      <c r="AA370" s="25" t="str">
        <f t="shared" si="328"/>
        <v/>
      </c>
      <c r="AB370" s="25" t="str">
        <f t="shared" si="329"/>
        <v/>
      </c>
      <c r="AC370" s="25" t="str">
        <f t="shared" si="330"/>
        <v/>
      </c>
      <c r="AD370" s="25" t="str">
        <f t="shared" si="331"/>
        <v/>
      </c>
      <c r="AE370" s="26" t="str">
        <f t="shared" si="332"/>
        <v/>
      </c>
      <c r="AF370" s="24" t="str">
        <f t="shared" si="333"/>
        <v/>
      </c>
      <c r="AG370" s="25" t="str">
        <f t="shared" si="334"/>
        <v/>
      </c>
      <c r="AH370" s="25" t="str">
        <f t="shared" si="335"/>
        <v/>
      </c>
      <c r="AI370" s="25" t="str">
        <f t="shared" si="336"/>
        <v/>
      </c>
      <c r="AJ370" s="25" t="str">
        <f t="shared" si="337"/>
        <v/>
      </c>
      <c r="AK370" s="25" t="str">
        <f t="shared" si="338"/>
        <v/>
      </c>
      <c r="AL370" s="25" t="str">
        <f t="shared" si="339"/>
        <v/>
      </c>
      <c r="AM370" s="26" t="str">
        <f t="shared" si="340"/>
        <v/>
      </c>
      <c r="AQ370" s="24" t="str">
        <f t="shared" si="341"/>
        <v/>
      </c>
      <c r="AR370" s="25" t="str">
        <f t="shared" si="342"/>
        <v/>
      </c>
      <c r="AS370" s="25" t="str">
        <f t="shared" si="343"/>
        <v/>
      </c>
      <c r="AT370" s="25" t="str">
        <f t="shared" si="344"/>
        <v/>
      </c>
      <c r="AU370" s="25" t="str">
        <f t="shared" si="345"/>
        <v/>
      </c>
      <c r="AV370" s="25" t="str">
        <f t="shared" si="346"/>
        <v/>
      </c>
      <c r="AW370" s="25" t="str">
        <f t="shared" si="347"/>
        <v/>
      </c>
      <c r="AX370" s="26" t="str">
        <f t="shared" si="348"/>
        <v/>
      </c>
    </row>
    <row r="371" spans="4:50" hidden="1" x14ac:dyDescent="0.25">
      <c r="D371" s="70">
        <v>69</v>
      </c>
      <c r="E371" s="24" t="str">
        <f t="shared" si="309"/>
        <v/>
      </c>
      <c r="F371" s="25" t="str">
        <f t="shared" si="310"/>
        <v/>
      </c>
      <c r="G371" s="25" t="str">
        <f t="shared" si="311"/>
        <v/>
      </c>
      <c r="H371" s="25" t="str">
        <f t="shared" si="312"/>
        <v/>
      </c>
      <c r="I371" s="25" t="str">
        <f t="shared" si="313"/>
        <v/>
      </c>
      <c r="J371" s="25" t="str">
        <f t="shared" si="314"/>
        <v/>
      </c>
      <c r="K371" s="25" t="str">
        <f t="shared" si="315"/>
        <v/>
      </c>
      <c r="L371" s="26" t="str">
        <f t="shared" si="316"/>
        <v/>
      </c>
      <c r="M371" s="24" t="str">
        <f t="shared" si="317"/>
        <v/>
      </c>
      <c r="N371" s="25" t="str">
        <f t="shared" si="318"/>
        <v/>
      </c>
      <c r="O371" s="25" t="str">
        <f t="shared" si="319"/>
        <v/>
      </c>
      <c r="P371" s="25" t="str">
        <f t="shared" si="320"/>
        <v/>
      </c>
      <c r="Q371" s="25" t="str">
        <f t="shared" si="321"/>
        <v/>
      </c>
      <c r="R371" s="25" t="str">
        <f t="shared" si="322"/>
        <v/>
      </c>
      <c r="S371" s="25" t="str">
        <f t="shared" si="323"/>
        <v/>
      </c>
      <c r="T371" s="26" t="str">
        <f t="shared" si="324"/>
        <v/>
      </c>
      <c r="X371" s="24" t="str">
        <f t="shared" si="325"/>
        <v/>
      </c>
      <c r="Y371" s="25" t="str">
        <f t="shared" si="326"/>
        <v/>
      </c>
      <c r="Z371" s="25" t="str">
        <f t="shared" si="327"/>
        <v/>
      </c>
      <c r="AA371" s="25" t="str">
        <f t="shared" si="328"/>
        <v/>
      </c>
      <c r="AB371" s="25" t="str">
        <f t="shared" si="329"/>
        <v/>
      </c>
      <c r="AC371" s="25" t="str">
        <f t="shared" si="330"/>
        <v/>
      </c>
      <c r="AD371" s="25" t="str">
        <f t="shared" si="331"/>
        <v/>
      </c>
      <c r="AE371" s="26" t="str">
        <f t="shared" si="332"/>
        <v/>
      </c>
      <c r="AF371" s="24" t="str">
        <f t="shared" si="333"/>
        <v/>
      </c>
      <c r="AG371" s="25" t="str">
        <f t="shared" si="334"/>
        <v/>
      </c>
      <c r="AH371" s="25" t="str">
        <f t="shared" si="335"/>
        <v/>
      </c>
      <c r="AI371" s="25" t="str">
        <f t="shared" si="336"/>
        <v/>
      </c>
      <c r="AJ371" s="25" t="str">
        <f t="shared" si="337"/>
        <v/>
      </c>
      <c r="AK371" s="25" t="str">
        <f t="shared" si="338"/>
        <v/>
      </c>
      <c r="AL371" s="25" t="str">
        <f t="shared" si="339"/>
        <v/>
      </c>
      <c r="AM371" s="26" t="str">
        <f t="shared" si="340"/>
        <v/>
      </c>
      <c r="AQ371" s="24" t="str">
        <f t="shared" si="341"/>
        <v/>
      </c>
      <c r="AR371" s="25" t="str">
        <f t="shared" si="342"/>
        <v/>
      </c>
      <c r="AS371" s="25" t="str">
        <f t="shared" si="343"/>
        <v/>
      </c>
      <c r="AT371" s="25" t="str">
        <f t="shared" si="344"/>
        <v/>
      </c>
      <c r="AU371" s="25" t="str">
        <f t="shared" si="345"/>
        <v/>
      </c>
      <c r="AV371" s="25" t="str">
        <f t="shared" si="346"/>
        <v/>
      </c>
      <c r="AW371" s="25" t="str">
        <f t="shared" si="347"/>
        <v/>
      </c>
      <c r="AX371" s="26" t="str">
        <f t="shared" si="348"/>
        <v/>
      </c>
    </row>
    <row r="372" spans="4:50" hidden="1" x14ac:dyDescent="0.25">
      <c r="D372" s="70">
        <v>70</v>
      </c>
      <c r="E372" s="24" t="str">
        <f t="shared" si="309"/>
        <v/>
      </c>
      <c r="F372" s="25" t="str">
        <f t="shared" si="310"/>
        <v/>
      </c>
      <c r="G372" s="25" t="str">
        <f t="shared" si="311"/>
        <v/>
      </c>
      <c r="H372" s="25" t="str">
        <f t="shared" si="312"/>
        <v/>
      </c>
      <c r="I372" s="25" t="str">
        <f t="shared" si="313"/>
        <v/>
      </c>
      <c r="J372" s="25" t="str">
        <f t="shared" si="314"/>
        <v/>
      </c>
      <c r="K372" s="25" t="str">
        <f t="shared" si="315"/>
        <v/>
      </c>
      <c r="L372" s="26" t="str">
        <f t="shared" si="316"/>
        <v/>
      </c>
      <c r="M372" s="24" t="str">
        <f t="shared" si="317"/>
        <v/>
      </c>
      <c r="N372" s="25" t="str">
        <f t="shared" si="318"/>
        <v/>
      </c>
      <c r="O372" s="25" t="str">
        <f t="shared" si="319"/>
        <v/>
      </c>
      <c r="P372" s="25" t="str">
        <f t="shared" si="320"/>
        <v/>
      </c>
      <c r="Q372" s="25" t="str">
        <f t="shared" si="321"/>
        <v/>
      </c>
      <c r="R372" s="25" t="str">
        <f t="shared" si="322"/>
        <v/>
      </c>
      <c r="S372" s="25" t="str">
        <f t="shared" si="323"/>
        <v/>
      </c>
      <c r="T372" s="26" t="str">
        <f t="shared" si="324"/>
        <v/>
      </c>
      <c r="X372" s="24" t="str">
        <f t="shared" si="325"/>
        <v/>
      </c>
      <c r="Y372" s="25" t="str">
        <f t="shared" si="326"/>
        <v/>
      </c>
      <c r="Z372" s="25" t="str">
        <f t="shared" si="327"/>
        <v/>
      </c>
      <c r="AA372" s="25" t="str">
        <f t="shared" si="328"/>
        <v/>
      </c>
      <c r="AB372" s="25" t="str">
        <f t="shared" si="329"/>
        <v/>
      </c>
      <c r="AC372" s="25" t="str">
        <f t="shared" si="330"/>
        <v/>
      </c>
      <c r="AD372" s="25" t="str">
        <f t="shared" si="331"/>
        <v/>
      </c>
      <c r="AE372" s="26" t="str">
        <f t="shared" si="332"/>
        <v/>
      </c>
      <c r="AF372" s="24" t="str">
        <f t="shared" si="333"/>
        <v/>
      </c>
      <c r="AG372" s="25" t="str">
        <f t="shared" si="334"/>
        <v/>
      </c>
      <c r="AH372" s="25" t="str">
        <f t="shared" si="335"/>
        <v/>
      </c>
      <c r="AI372" s="25" t="str">
        <f t="shared" si="336"/>
        <v/>
      </c>
      <c r="AJ372" s="25" t="str">
        <f t="shared" si="337"/>
        <v/>
      </c>
      <c r="AK372" s="25" t="str">
        <f t="shared" si="338"/>
        <v/>
      </c>
      <c r="AL372" s="25" t="str">
        <f t="shared" si="339"/>
        <v/>
      </c>
      <c r="AM372" s="26" t="str">
        <f t="shared" si="340"/>
        <v/>
      </c>
      <c r="AQ372" s="24" t="str">
        <f t="shared" si="341"/>
        <v/>
      </c>
      <c r="AR372" s="25" t="str">
        <f t="shared" si="342"/>
        <v/>
      </c>
      <c r="AS372" s="25" t="str">
        <f t="shared" si="343"/>
        <v/>
      </c>
      <c r="AT372" s="25" t="str">
        <f t="shared" si="344"/>
        <v/>
      </c>
      <c r="AU372" s="25" t="str">
        <f t="shared" si="345"/>
        <v/>
      </c>
      <c r="AV372" s="25" t="str">
        <f t="shared" si="346"/>
        <v/>
      </c>
      <c r="AW372" s="25" t="str">
        <f t="shared" si="347"/>
        <v/>
      </c>
      <c r="AX372" s="26" t="str">
        <f t="shared" si="348"/>
        <v/>
      </c>
    </row>
    <row r="373" spans="4:50" hidden="1" x14ac:dyDescent="0.25">
      <c r="D373" s="70">
        <v>71</v>
      </c>
      <c r="E373" s="24" t="str">
        <f t="shared" si="309"/>
        <v/>
      </c>
      <c r="F373" s="25" t="str">
        <f t="shared" si="310"/>
        <v/>
      </c>
      <c r="G373" s="25" t="str">
        <f t="shared" si="311"/>
        <v/>
      </c>
      <c r="H373" s="25" t="str">
        <f t="shared" si="312"/>
        <v/>
      </c>
      <c r="I373" s="25" t="str">
        <f t="shared" si="313"/>
        <v/>
      </c>
      <c r="J373" s="25" t="str">
        <f t="shared" si="314"/>
        <v/>
      </c>
      <c r="K373" s="25" t="str">
        <f t="shared" si="315"/>
        <v/>
      </c>
      <c r="L373" s="26" t="str">
        <f t="shared" si="316"/>
        <v/>
      </c>
      <c r="M373" s="24" t="str">
        <f t="shared" si="317"/>
        <v/>
      </c>
      <c r="N373" s="25" t="str">
        <f t="shared" si="318"/>
        <v/>
      </c>
      <c r="O373" s="25" t="str">
        <f t="shared" si="319"/>
        <v/>
      </c>
      <c r="P373" s="25" t="str">
        <f t="shared" si="320"/>
        <v/>
      </c>
      <c r="Q373" s="25" t="str">
        <f t="shared" si="321"/>
        <v/>
      </c>
      <c r="R373" s="25" t="str">
        <f t="shared" si="322"/>
        <v/>
      </c>
      <c r="S373" s="25" t="str">
        <f t="shared" si="323"/>
        <v/>
      </c>
      <c r="T373" s="26" t="str">
        <f t="shared" si="324"/>
        <v/>
      </c>
      <c r="X373" s="24" t="str">
        <f t="shared" si="325"/>
        <v/>
      </c>
      <c r="Y373" s="25" t="str">
        <f t="shared" si="326"/>
        <v/>
      </c>
      <c r="Z373" s="25" t="str">
        <f t="shared" si="327"/>
        <v/>
      </c>
      <c r="AA373" s="25" t="str">
        <f t="shared" si="328"/>
        <v/>
      </c>
      <c r="AB373" s="25" t="str">
        <f t="shared" si="329"/>
        <v/>
      </c>
      <c r="AC373" s="25" t="str">
        <f t="shared" si="330"/>
        <v/>
      </c>
      <c r="AD373" s="25" t="str">
        <f t="shared" si="331"/>
        <v/>
      </c>
      <c r="AE373" s="26" t="str">
        <f t="shared" si="332"/>
        <v/>
      </c>
      <c r="AF373" s="24" t="str">
        <f t="shared" si="333"/>
        <v/>
      </c>
      <c r="AG373" s="25" t="str">
        <f t="shared" si="334"/>
        <v/>
      </c>
      <c r="AH373" s="25" t="str">
        <f t="shared" si="335"/>
        <v/>
      </c>
      <c r="AI373" s="25" t="str">
        <f t="shared" si="336"/>
        <v/>
      </c>
      <c r="AJ373" s="25" t="str">
        <f t="shared" si="337"/>
        <v/>
      </c>
      <c r="AK373" s="25" t="str">
        <f t="shared" si="338"/>
        <v/>
      </c>
      <c r="AL373" s="25" t="str">
        <f t="shared" si="339"/>
        <v/>
      </c>
      <c r="AM373" s="26" t="str">
        <f t="shared" si="340"/>
        <v/>
      </c>
      <c r="AQ373" s="24" t="str">
        <f t="shared" si="341"/>
        <v/>
      </c>
      <c r="AR373" s="25" t="str">
        <f t="shared" si="342"/>
        <v/>
      </c>
      <c r="AS373" s="25" t="str">
        <f t="shared" si="343"/>
        <v/>
      </c>
      <c r="AT373" s="25" t="str">
        <f t="shared" si="344"/>
        <v/>
      </c>
      <c r="AU373" s="25" t="str">
        <f t="shared" si="345"/>
        <v/>
      </c>
      <c r="AV373" s="25" t="str">
        <f t="shared" si="346"/>
        <v/>
      </c>
      <c r="AW373" s="25" t="str">
        <f t="shared" si="347"/>
        <v/>
      </c>
      <c r="AX373" s="26" t="str">
        <f t="shared" si="348"/>
        <v/>
      </c>
    </row>
    <row r="374" spans="4:50" hidden="1" x14ac:dyDescent="0.25">
      <c r="D374" s="70">
        <v>72</v>
      </c>
      <c r="E374" s="24" t="str">
        <f t="shared" si="309"/>
        <v/>
      </c>
      <c r="F374" s="25" t="str">
        <f t="shared" si="310"/>
        <v/>
      </c>
      <c r="G374" s="25" t="str">
        <f t="shared" si="311"/>
        <v/>
      </c>
      <c r="H374" s="25" t="str">
        <f t="shared" si="312"/>
        <v/>
      </c>
      <c r="I374" s="25" t="str">
        <f t="shared" si="313"/>
        <v/>
      </c>
      <c r="J374" s="25" t="str">
        <f t="shared" si="314"/>
        <v/>
      </c>
      <c r="K374" s="25" t="str">
        <f t="shared" si="315"/>
        <v/>
      </c>
      <c r="L374" s="26" t="str">
        <f t="shared" si="316"/>
        <v/>
      </c>
      <c r="M374" s="24" t="str">
        <f t="shared" si="317"/>
        <v/>
      </c>
      <c r="N374" s="25" t="str">
        <f t="shared" si="318"/>
        <v/>
      </c>
      <c r="O374" s="25" t="str">
        <f t="shared" si="319"/>
        <v/>
      </c>
      <c r="P374" s="25" t="str">
        <f t="shared" si="320"/>
        <v/>
      </c>
      <c r="Q374" s="25" t="str">
        <f t="shared" si="321"/>
        <v/>
      </c>
      <c r="R374" s="25" t="str">
        <f t="shared" si="322"/>
        <v/>
      </c>
      <c r="S374" s="25" t="str">
        <f t="shared" si="323"/>
        <v/>
      </c>
      <c r="T374" s="26" t="str">
        <f t="shared" si="324"/>
        <v/>
      </c>
      <c r="X374" s="24" t="str">
        <f t="shared" si="325"/>
        <v/>
      </c>
      <c r="Y374" s="25" t="str">
        <f t="shared" si="326"/>
        <v/>
      </c>
      <c r="Z374" s="25" t="str">
        <f t="shared" si="327"/>
        <v/>
      </c>
      <c r="AA374" s="25" t="str">
        <f t="shared" si="328"/>
        <v/>
      </c>
      <c r="AB374" s="25" t="str">
        <f t="shared" si="329"/>
        <v/>
      </c>
      <c r="AC374" s="25" t="str">
        <f t="shared" si="330"/>
        <v/>
      </c>
      <c r="AD374" s="25" t="str">
        <f t="shared" si="331"/>
        <v/>
      </c>
      <c r="AE374" s="26" t="str">
        <f t="shared" si="332"/>
        <v/>
      </c>
      <c r="AF374" s="24" t="str">
        <f t="shared" si="333"/>
        <v/>
      </c>
      <c r="AG374" s="25" t="str">
        <f t="shared" si="334"/>
        <v/>
      </c>
      <c r="AH374" s="25" t="str">
        <f t="shared" si="335"/>
        <v/>
      </c>
      <c r="AI374" s="25" t="str">
        <f t="shared" si="336"/>
        <v/>
      </c>
      <c r="AJ374" s="25" t="str">
        <f t="shared" si="337"/>
        <v/>
      </c>
      <c r="AK374" s="25" t="str">
        <f t="shared" si="338"/>
        <v/>
      </c>
      <c r="AL374" s="25" t="str">
        <f t="shared" si="339"/>
        <v/>
      </c>
      <c r="AM374" s="26" t="str">
        <f t="shared" si="340"/>
        <v/>
      </c>
      <c r="AQ374" s="24" t="str">
        <f t="shared" si="341"/>
        <v/>
      </c>
      <c r="AR374" s="25" t="str">
        <f t="shared" si="342"/>
        <v/>
      </c>
      <c r="AS374" s="25" t="str">
        <f t="shared" si="343"/>
        <v/>
      </c>
      <c r="AT374" s="25" t="str">
        <f t="shared" si="344"/>
        <v/>
      </c>
      <c r="AU374" s="25" t="str">
        <f t="shared" si="345"/>
        <v/>
      </c>
      <c r="AV374" s="25" t="str">
        <f t="shared" si="346"/>
        <v/>
      </c>
      <c r="AW374" s="25" t="str">
        <f t="shared" si="347"/>
        <v/>
      </c>
      <c r="AX374" s="26" t="str">
        <f t="shared" si="348"/>
        <v/>
      </c>
    </row>
    <row r="375" spans="4:50" hidden="1" x14ac:dyDescent="0.25">
      <c r="D375" s="70">
        <v>73</v>
      </c>
      <c r="E375" s="24" t="str">
        <f t="shared" si="309"/>
        <v/>
      </c>
      <c r="F375" s="25" t="str">
        <f t="shared" si="310"/>
        <v/>
      </c>
      <c r="G375" s="25" t="str">
        <f t="shared" si="311"/>
        <v/>
      </c>
      <c r="H375" s="25" t="str">
        <f t="shared" si="312"/>
        <v/>
      </c>
      <c r="I375" s="25" t="str">
        <f t="shared" si="313"/>
        <v/>
      </c>
      <c r="J375" s="25" t="str">
        <f t="shared" si="314"/>
        <v/>
      </c>
      <c r="K375" s="25" t="str">
        <f t="shared" si="315"/>
        <v/>
      </c>
      <c r="L375" s="26" t="str">
        <f t="shared" si="316"/>
        <v/>
      </c>
      <c r="M375" s="24" t="str">
        <f t="shared" si="317"/>
        <v/>
      </c>
      <c r="N375" s="25" t="str">
        <f t="shared" si="318"/>
        <v/>
      </c>
      <c r="O375" s="25" t="str">
        <f t="shared" si="319"/>
        <v/>
      </c>
      <c r="P375" s="25" t="str">
        <f t="shared" si="320"/>
        <v/>
      </c>
      <c r="Q375" s="25" t="str">
        <f t="shared" si="321"/>
        <v/>
      </c>
      <c r="R375" s="25" t="str">
        <f t="shared" si="322"/>
        <v/>
      </c>
      <c r="S375" s="25" t="str">
        <f t="shared" si="323"/>
        <v/>
      </c>
      <c r="T375" s="26" t="str">
        <f t="shared" si="324"/>
        <v/>
      </c>
      <c r="X375" s="24" t="str">
        <f t="shared" si="325"/>
        <v/>
      </c>
      <c r="Y375" s="25" t="str">
        <f t="shared" si="326"/>
        <v/>
      </c>
      <c r="Z375" s="25" t="str">
        <f t="shared" si="327"/>
        <v/>
      </c>
      <c r="AA375" s="25" t="str">
        <f t="shared" si="328"/>
        <v/>
      </c>
      <c r="AB375" s="25" t="str">
        <f t="shared" si="329"/>
        <v/>
      </c>
      <c r="AC375" s="25" t="str">
        <f t="shared" si="330"/>
        <v/>
      </c>
      <c r="AD375" s="25" t="str">
        <f t="shared" si="331"/>
        <v/>
      </c>
      <c r="AE375" s="26" t="str">
        <f t="shared" si="332"/>
        <v/>
      </c>
      <c r="AF375" s="24" t="str">
        <f t="shared" si="333"/>
        <v/>
      </c>
      <c r="AG375" s="25" t="str">
        <f t="shared" si="334"/>
        <v/>
      </c>
      <c r="AH375" s="25" t="str">
        <f t="shared" si="335"/>
        <v/>
      </c>
      <c r="AI375" s="25" t="str">
        <f t="shared" si="336"/>
        <v/>
      </c>
      <c r="AJ375" s="25" t="str">
        <f t="shared" si="337"/>
        <v/>
      </c>
      <c r="AK375" s="25" t="str">
        <f t="shared" si="338"/>
        <v/>
      </c>
      <c r="AL375" s="25" t="str">
        <f t="shared" si="339"/>
        <v/>
      </c>
      <c r="AM375" s="26" t="str">
        <f t="shared" si="340"/>
        <v/>
      </c>
      <c r="AQ375" s="24" t="str">
        <f t="shared" si="341"/>
        <v/>
      </c>
      <c r="AR375" s="25" t="str">
        <f t="shared" si="342"/>
        <v/>
      </c>
      <c r="AS375" s="25" t="str">
        <f t="shared" si="343"/>
        <v/>
      </c>
      <c r="AT375" s="25" t="str">
        <f t="shared" si="344"/>
        <v/>
      </c>
      <c r="AU375" s="25" t="str">
        <f t="shared" si="345"/>
        <v/>
      </c>
      <c r="AV375" s="25" t="str">
        <f t="shared" si="346"/>
        <v/>
      </c>
      <c r="AW375" s="25" t="str">
        <f t="shared" si="347"/>
        <v/>
      </c>
      <c r="AX375" s="26" t="str">
        <f t="shared" si="348"/>
        <v/>
      </c>
    </row>
    <row r="376" spans="4:50" hidden="1" x14ac:dyDescent="0.25">
      <c r="D376" s="70">
        <v>74</v>
      </c>
      <c r="E376" s="24" t="str">
        <f t="shared" si="309"/>
        <v/>
      </c>
      <c r="F376" s="25" t="str">
        <f t="shared" si="310"/>
        <v/>
      </c>
      <c r="G376" s="25" t="str">
        <f t="shared" si="311"/>
        <v/>
      </c>
      <c r="H376" s="25" t="str">
        <f t="shared" si="312"/>
        <v/>
      </c>
      <c r="I376" s="25" t="str">
        <f t="shared" si="313"/>
        <v/>
      </c>
      <c r="J376" s="25" t="str">
        <f t="shared" si="314"/>
        <v/>
      </c>
      <c r="K376" s="25" t="str">
        <f t="shared" si="315"/>
        <v/>
      </c>
      <c r="L376" s="26" t="str">
        <f t="shared" si="316"/>
        <v/>
      </c>
      <c r="M376" s="24" t="str">
        <f t="shared" si="317"/>
        <v/>
      </c>
      <c r="N376" s="25" t="str">
        <f t="shared" si="318"/>
        <v/>
      </c>
      <c r="O376" s="25" t="str">
        <f t="shared" si="319"/>
        <v/>
      </c>
      <c r="P376" s="25" t="str">
        <f t="shared" si="320"/>
        <v/>
      </c>
      <c r="Q376" s="25" t="str">
        <f t="shared" si="321"/>
        <v/>
      </c>
      <c r="R376" s="25" t="str">
        <f t="shared" si="322"/>
        <v/>
      </c>
      <c r="S376" s="25" t="str">
        <f t="shared" si="323"/>
        <v/>
      </c>
      <c r="T376" s="26" t="str">
        <f t="shared" si="324"/>
        <v/>
      </c>
      <c r="X376" s="24" t="str">
        <f t="shared" si="325"/>
        <v/>
      </c>
      <c r="Y376" s="25" t="str">
        <f t="shared" si="326"/>
        <v/>
      </c>
      <c r="Z376" s="25" t="str">
        <f t="shared" si="327"/>
        <v/>
      </c>
      <c r="AA376" s="25" t="str">
        <f t="shared" si="328"/>
        <v/>
      </c>
      <c r="AB376" s="25" t="str">
        <f t="shared" si="329"/>
        <v/>
      </c>
      <c r="AC376" s="25" t="str">
        <f t="shared" si="330"/>
        <v/>
      </c>
      <c r="AD376" s="25" t="str">
        <f t="shared" si="331"/>
        <v/>
      </c>
      <c r="AE376" s="26" t="str">
        <f t="shared" si="332"/>
        <v/>
      </c>
      <c r="AF376" s="24" t="str">
        <f t="shared" si="333"/>
        <v/>
      </c>
      <c r="AG376" s="25" t="str">
        <f t="shared" si="334"/>
        <v/>
      </c>
      <c r="AH376" s="25" t="str">
        <f t="shared" si="335"/>
        <v/>
      </c>
      <c r="AI376" s="25" t="str">
        <f t="shared" si="336"/>
        <v/>
      </c>
      <c r="AJ376" s="25" t="str">
        <f t="shared" si="337"/>
        <v/>
      </c>
      <c r="AK376" s="25" t="str">
        <f t="shared" si="338"/>
        <v/>
      </c>
      <c r="AL376" s="25" t="str">
        <f t="shared" si="339"/>
        <v/>
      </c>
      <c r="AM376" s="26" t="str">
        <f t="shared" si="340"/>
        <v/>
      </c>
      <c r="AQ376" s="24" t="str">
        <f t="shared" si="341"/>
        <v/>
      </c>
      <c r="AR376" s="25" t="str">
        <f t="shared" si="342"/>
        <v/>
      </c>
      <c r="AS376" s="25" t="str">
        <f t="shared" si="343"/>
        <v/>
      </c>
      <c r="AT376" s="25" t="str">
        <f t="shared" si="344"/>
        <v/>
      </c>
      <c r="AU376" s="25" t="str">
        <f t="shared" si="345"/>
        <v/>
      </c>
      <c r="AV376" s="25" t="str">
        <f t="shared" si="346"/>
        <v/>
      </c>
      <c r="AW376" s="25" t="str">
        <f t="shared" si="347"/>
        <v/>
      </c>
      <c r="AX376" s="26" t="str">
        <f t="shared" si="348"/>
        <v/>
      </c>
    </row>
    <row r="377" spans="4:50" hidden="1" x14ac:dyDescent="0.25">
      <c r="D377" s="70">
        <v>75</v>
      </c>
      <c r="E377" s="24" t="str">
        <f t="shared" si="309"/>
        <v/>
      </c>
      <c r="F377" s="25" t="str">
        <f t="shared" si="310"/>
        <v/>
      </c>
      <c r="G377" s="25" t="str">
        <f t="shared" si="311"/>
        <v/>
      </c>
      <c r="H377" s="25" t="str">
        <f t="shared" si="312"/>
        <v/>
      </c>
      <c r="I377" s="25" t="str">
        <f t="shared" si="313"/>
        <v/>
      </c>
      <c r="J377" s="25" t="str">
        <f t="shared" si="314"/>
        <v/>
      </c>
      <c r="K377" s="25" t="str">
        <f t="shared" si="315"/>
        <v/>
      </c>
      <c r="L377" s="26" t="str">
        <f t="shared" si="316"/>
        <v/>
      </c>
      <c r="M377" s="24" t="str">
        <f t="shared" si="317"/>
        <v/>
      </c>
      <c r="N377" s="25" t="str">
        <f t="shared" si="318"/>
        <v/>
      </c>
      <c r="O377" s="25" t="str">
        <f t="shared" si="319"/>
        <v/>
      </c>
      <c r="P377" s="25" t="str">
        <f t="shared" si="320"/>
        <v/>
      </c>
      <c r="Q377" s="25" t="str">
        <f t="shared" si="321"/>
        <v/>
      </c>
      <c r="R377" s="25" t="str">
        <f t="shared" si="322"/>
        <v/>
      </c>
      <c r="S377" s="25" t="str">
        <f t="shared" si="323"/>
        <v/>
      </c>
      <c r="T377" s="26" t="str">
        <f t="shared" si="324"/>
        <v/>
      </c>
      <c r="X377" s="24" t="str">
        <f t="shared" si="325"/>
        <v/>
      </c>
      <c r="Y377" s="25" t="str">
        <f t="shared" si="326"/>
        <v/>
      </c>
      <c r="Z377" s="25" t="str">
        <f t="shared" si="327"/>
        <v/>
      </c>
      <c r="AA377" s="25" t="str">
        <f t="shared" si="328"/>
        <v/>
      </c>
      <c r="AB377" s="25" t="str">
        <f t="shared" si="329"/>
        <v/>
      </c>
      <c r="AC377" s="25" t="str">
        <f t="shared" si="330"/>
        <v/>
      </c>
      <c r="AD377" s="25" t="str">
        <f t="shared" si="331"/>
        <v/>
      </c>
      <c r="AE377" s="26" t="str">
        <f t="shared" si="332"/>
        <v/>
      </c>
      <c r="AF377" s="24" t="str">
        <f t="shared" si="333"/>
        <v/>
      </c>
      <c r="AG377" s="25" t="str">
        <f t="shared" si="334"/>
        <v/>
      </c>
      <c r="AH377" s="25" t="str">
        <f t="shared" si="335"/>
        <v/>
      </c>
      <c r="AI377" s="25" t="str">
        <f t="shared" si="336"/>
        <v/>
      </c>
      <c r="AJ377" s="25" t="str">
        <f t="shared" si="337"/>
        <v/>
      </c>
      <c r="AK377" s="25" t="str">
        <f t="shared" si="338"/>
        <v/>
      </c>
      <c r="AL377" s="25" t="str">
        <f t="shared" si="339"/>
        <v/>
      </c>
      <c r="AM377" s="26" t="str">
        <f t="shared" si="340"/>
        <v/>
      </c>
      <c r="AQ377" s="24" t="str">
        <f t="shared" si="341"/>
        <v/>
      </c>
      <c r="AR377" s="25" t="str">
        <f t="shared" si="342"/>
        <v/>
      </c>
      <c r="AS377" s="25" t="str">
        <f t="shared" si="343"/>
        <v/>
      </c>
      <c r="AT377" s="25" t="str">
        <f t="shared" si="344"/>
        <v/>
      </c>
      <c r="AU377" s="25" t="str">
        <f t="shared" si="345"/>
        <v/>
      </c>
      <c r="AV377" s="25" t="str">
        <f t="shared" si="346"/>
        <v/>
      </c>
      <c r="AW377" s="25" t="str">
        <f t="shared" si="347"/>
        <v/>
      </c>
      <c r="AX377" s="26" t="str">
        <f t="shared" si="348"/>
        <v/>
      </c>
    </row>
    <row r="378" spans="4:50" hidden="1" x14ac:dyDescent="0.25">
      <c r="D378" s="70">
        <v>76</v>
      </c>
      <c r="E378" s="24" t="str">
        <f t="shared" si="309"/>
        <v/>
      </c>
      <c r="F378" s="25" t="str">
        <f t="shared" si="310"/>
        <v/>
      </c>
      <c r="G378" s="25" t="str">
        <f t="shared" si="311"/>
        <v/>
      </c>
      <c r="H378" s="25" t="str">
        <f t="shared" si="312"/>
        <v/>
      </c>
      <c r="I378" s="25" t="str">
        <f t="shared" si="313"/>
        <v/>
      </c>
      <c r="J378" s="25" t="str">
        <f t="shared" si="314"/>
        <v/>
      </c>
      <c r="K378" s="25" t="str">
        <f t="shared" si="315"/>
        <v/>
      </c>
      <c r="L378" s="26" t="str">
        <f t="shared" si="316"/>
        <v/>
      </c>
      <c r="M378" s="24" t="str">
        <f t="shared" si="317"/>
        <v/>
      </c>
      <c r="N378" s="25" t="str">
        <f t="shared" si="318"/>
        <v/>
      </c>
      <c r="O378" s="25" t="str">
        <f t="shared" si="319"/>
        <v/>
      </c>
      <c r="P378" s="25" t="str">
        <f t="shared" si="320"/>
        <v/>
      </c>
      <c r="Q378" s="25" t="str">
        <f t="shared" si="321"/>
        <v/>
      </c>
      <c r="R378" s="25" t="str">
        <f t="shared" si="322"/>
        <v/>
      </c>
      <c r="S378" s="25" t="str">
        <f t="shared" si="323"/>
        <v/>
      </c>
      <c r="T378" s="26" t="str">
        <f t="shared" si="324"/>
        <v/>
      </c>
      <c r="X378" s="24" t="str">
        <f t="shared" si="325"/>
        <v/>
      </c>
      <c r="Y378" s="25" t="str">
        <f t="shared" si="326"/>
        <v/>
      </c>
      <c r="Z378" s="25" t="str">
        <f t="shared" si="327"/>
        <v/>
      </c>
      <c r="AA378" s="25" t="str">
        <f t="shared" si="328"/>
        <v/>
      </c>
      <c r="AB378" s="25" t="str">
        <f t="shared" si="329"/>
        <v/>
      </c>
      <c r="AC378" s="25" t="str">
        <f t="shared" si="330"/>
        <v/>
      </c>
      <c r="AD378" s="25" t="str">
        <f t="shared" si="331"/>
        <v/>
      </c>
      <c r="AE378" s="26" t="str">
        <f t="shared" si="332"/>
        <v/>
      </c>
      <c r="AF378" s="24" t="str">
        <f t="shared" si="333"/>
        <v/>
      </c>
      <c r="AG378" s="25" t="str">
        <f t="shared" si="334"/>
        <v/>
      </c>
      <c r="AH378" s="25" t="str">
        <f t="shared" si="335"/>
        <v/>
      </c>
      <c r="AI378" s="25" t="str">
        <f t="shared" si="336"/>
        <v/>
      </c>
      <c r="AJ378" s="25" t="str">
        <f t="shared" si="337"/>
        <v/>
      </c>
      <c r="AK378" s="25" t="str">
        <f t="shared" si="338"/>
        <v/>
      </c>
      <c r="AL378" s="25" t="str">
        <f t="shared" si="339"/>
        <v/>
      </c>
      <c r="AM378" s="26" t="str">
        <f t="shared" si="340"/>
        <v/>
      </c>
      <c r="AQ378" s="24" t="str">
        <f t="shared" si="341"/>
        <v/>
      </c>
      <c r="AR378" s="25" t="str">
        <f t="shared" si="342"/>
        <v/>
      </c>
      <c r="AS378" s="25" t="str">
        <f t="shared" si="343"/>
        <v/>
      </c>
      <c r="AT378" s="25" t="str">
        <f t="shared" si="344"/>
        <v/>
      </c>
      <c r="AU378" s="25" t="str">
        <f t="shared" si="345"/>
        <v/>
      </c>
      <c r="AV378" s="25" t="str">
        <f t="shared" si="346"/>
        <v/>
      </c>
      <c r="AW378" s="25" t="str">
        <f t="shared" si="347"/>
        <v/>
      </c>
      <c r="AX378" s="26" t="str">
        <f t="shared" si="348"/>
        <v/>
      </c>
    </row>
    <row r="379" spans="4:50" hidden="1" x14ac:dyDescent="0.25">
      <c r="D379" s="70">
        <v>77</v>
      </c>
      <c r="E379" s="24" t="str">
        <f t="shared" si="309"/>
        <v/>
      </c>
      <c r="F379" s="25" t="str">
        <f t="shared" si="310"/>
        <v/>
      </c>
      <c r="G379" s="25" t="str">
        <f t="shared" si="311"/>
        <v/>
      </c>
      <c r="H379" s="25" t="str">
        <f t="shared" si="312"/>
        <v/>
      </c>
      <c r="I379" s="25" t="str">
        <f t="shared" si="313"/>
        <v/>
      </c>
      <c r="J379" s="25" t="str">
        <f t="shared" si="314"/>
        <v/>
      </c>
      <c r="K379" s="25" t="str">
        <f t="shared" si="315"/>
        <v/>
      </c>
      <c r="L379" s="26" t="str">
        <f t="shared" si="316"/>
        <v/>
      </c>
      <c r="M379" s="24" t="str">
        <f t="shared" si="317"/>
        <v/>
      </c>
      <c r="N379" s="25" t="str">
        <f t="shared" si="318"/>
        <v/>
      </c>
      <c r="O379" s="25" t="str">
        <f t="shared" si="319"/>
        <v/>
      </c>
      <c r="P379" s="25" t="str">
        <f t="shared" si="320"/>
        <v/>
      </c>
      <c r="Q379" s="25" t="str">
        <f t="shared" si="321"/>
        <v/>
      </c>
      <c r="R379" s="25" t="str">
        <f t="shared" si="322"/>
        <v/>
      </c>
      <c r="S379" s="25" t="str">
        <f t="shared" si="323"/>
        <v/>
      </c>
      <c r="T379" s="26" t="str">
        <f t="shared" si="324"/>
        <v/>
      </c>
      <c r="X379" s="24" t="str">
        <f t="shared" si="325"/>
        <v/>
      </c>
      <c r="Y379" s="25" t="str">
        <f t="shared" si="326"/>
        <v/>
      </c>
      <c r="Z379" s="25" t="str">
        <f t="shared" si="327"/>
        <v/>
      </c>
      <c r="AA379" s="25" t="str">
        <f t="shared" si="328"/>
        <v/>
      </c>
      <c r="AB379" s="25" t="str">
        <f t="shared" si="329"/>
        <v/>
      </c>
      <c r="AC379" s="25" t="str">
        <f t="shared" si="330"/>
        <v/>
      </c>
      <c r="AD379" s="25" t="str">
        <f t="shared" si="331"/>
        <v/>
      </c>
      <c r="AE379" s="26" t="str">
        <f t="shared" si="332"/>
        <v/>
      </c>
      <c r="AF379" s="24" t="str">
        <f t="shared" si="333"/>
        <v/>
      </c>
      <c r="AG379" s="25" t="str">
        <f t="shared" si="334"/>
        <v/>
      </c>
      <c r="AH379" s="25" t="str">
        <f t="shared" si="335"/>
        <v/>
      </c>
      <c r="AI379" s="25" t="str">
        <f t="shared" si="336"/>
        <v/>
      </c>
      <c r="AJ379" s="25" t="str">
        <f t="shared" si="337"/>
        <v/>
      </c>
      <c r="AK379" s="25" t="str">
        <f t="shared" si="338"/>
        <v/>
      </c>
      <c r="AL379" s="25" t="str">
        <f t="shared" si="339"/>
        <v/>
      </c>
      <c r="AM379" s="26" t="str">
        <f t="shared" si="340"/>
        <v/>
      </c>
      <c r="AQ379" s="24" t="str">
        <f t="shared" si="341"/>
        <v/>
      </c>
      <c r="AR379" s="25" t="str">
        <f t="shared" si="342"/>
        <v/>
      </c>
      <c r="AS379" s="25" t="str">
        <f t="shared" si="343"/>
        <v/>
      </c>
      <c r="AT379" s="25" t="str">
        <f t="shared" si="344"/>
        <v/>
      </c>
      <c r="AU379" s="25" t="str">
        <f t="shared" si="345"/>
        <v/>
      </c>
      <c r="AV379" s="25" t="str">
        <f t="shared" si="346"/>
        <v/>
      </c>
      <c r="AW379" s="25" t="str">
        <f t="shared" si="347"/>
        <v/>
      </c>
      <c r="AX379" s="26" t="str">
        <f t="shared" si="348"/>
        <v/>
      </c>
    </row>
    <row r="380" spans="4:50" hidden="1" x14ac:dyDescent="0.25">
      <c r="D380" s="70">
        <v>78</v>
      </c>
      <c r="E380" s="24" t="str">
        <f t="shared" si="309"/>
        <v/>
      </c>
      <c r="F380" s="25" t="str">
        <f t="shared" si="310"/>
        <v/>
      </c>
      <c r="G380" s="25" t="str">
        <f t="shared" si="311"/>
        <v/>
      </c>
      <c r="H380" s="25" t="str">
        <f t="shared" si="312"/>
        <v/>
      </c>
      <c r="I380" s="25" t="str">
        <f t="shared" si="313"/>
        <v/>
      </c>
      <c r="J380" s="25" t="str">
        <f t="shared" si="314"/>
        <v/>
      </c>
      <c r="K380" s="25" t="str">
        <f t="shared" si="315"/>
        <v/>
      </c>
      <c r="L380" s="26" t="str">
        <f t="shared" si="316"/>
        <v/>
      </c>
      <c r="M380" s="24" t="str">
        <f t="shared" si="317"/>
        <v/>
      </c>
      <c r="N380" s="25" t="str">
        <f t="shared" si="318"/>
        <v/>
      </c>
      <c r="O380" s="25" t="str">
        <f t="shared" si="319"/>
        <v/>
      </c>
      <c r="P380" s="25" t="str">
        <f t="shared" si="320"/>
        <v/>
      </c>
      <c r="Q380" s="25" t="str">
        <f t="shared" si="321"/>
        <v/>
      </c>
      <c r="R380" s="25" t="str">
        <f t="shared" si="322"/>
        <v/>
      </c>
      <c r="S380" s="25" t="str">
        <f t="shared" si="323"/>
        <v/>
      </c>
      <c r="T380" s="26" t="str">
        <f t="shared" si="324"/>
        <v/>
      </c>
      <c r="X380" s="24" t="str">
        <f t="shared" si="325"/>
        <v/>
      </c>
      <c r="Y380" s="25" t="str">
        <f t="shared" si="326"/>
        <v/>
      </c>
      <c r="Z380" s="25" t="str">
        <f t="shared" si="327"/>
        <v/>
      </c>
      <c r="AA380" s="25" t="str">
        <f t="shared" si="328"/>
        <v/>
      </c>
      <c r="AB380" s="25" t="str">
        <f t="shared" si="329"/>
        <v/>
      </c>
      <c r="AC380" s="25" t="str">
        <f t="shared" si="330"/>
        <v/>
      </c>
      <c r="AD380" s="25" t="str">
        <f t="shared" si="331"/>
        <v/>
      </c>
      <c r="AE380" s="26" t="str">
        <f t="shared" si="332"/>
        <v/>
      </c>
      <c r="AF380" s="24" t="str">
        <f t="shared" si="333"/>
        <v/>
      </c>
      <c r="AG380" s="25" t="str">
        <f t="shared" si="334"/>
        <v/>
      </c>
      <c r="AH380" s="25" t="str">
        <f t="shared" si="335"/>
        <v/>
      </c>
      <c r="AI380" s="25" t="str">
        <f t="shared" si="336"/>
        <v/>
      </c>
      <c r="AJ380" s="25" t="str">
        <f t="shared" si="337"/>
        <v/>
      </c>
      <c r="AK380" s="25" t="str">
        <f t="shared" si="338"/>
        <v/>
      </c>
      <c r="AL380" s="25" t="str">
        <f t="shared" si="339"/>
        <v/>
      </c>
      <c r="AM380" s="26" t="str">
        <f t="shared" si="340"/>
        <v/>
      </c>
      <c r="AQ380" s="24" t="str">
        <f t="shared" si="341"/>
        <v/>
      </c>
      <c r="AR380" s="25" t="str">
        <f t="shared" si="342"/>
        <v/>
      </c>
      <c r="AS380" s="25" t="str">
        <f t="shared" si="343"/>
        <v/>
      </c>
      <c r="AT380" s="25" t="str">
        <f t="shared" si="344"/>
        <v/>
      </c>
      <c r="AU380" s="25" t="str">
        <f t="shared" si="345"/>
        <v/>
      </c>
      <c r="AV380" s="25" t="str">
        <f t="shared" si="346"/>
        <v/>
      </c>
      <c r="AW380" s="25" t="str">
        <f t="shared" si="347"/>
        <v/>
      </c>
      <c r="AX380" s="26" t="str">
        <f t="shared" si="348"/>
        <v/>
      </c>
    </row>
    <row r="381" spans="4:50" hidden="1" x14ac:dyDescent="0.25">
      <c r="D381" s="70">
        <v>79</v>
      </c>
      <c r="E381" s="24" t="str">
        <f t="shared" si="309"/>
        <v/>
      </c>
      <c r="F381" s="25" t="str">
        <f t="shared" si="310"/>
        <v/>
      </c>
      <c r="G381" s="25" t="str">
        <f t="shared" si="311"/>
        <v/>
      </c>
      <c r="H381" s="25" t="str">
        <f t="shared" si="312"/>
        <v/>
      </c>
      <c r="I381" s="25" t="str">
        <f t="shared" si="313"/>
        <v/>
      </c>
      <c r="J381" s="25" t="str">
        <f t="shared" si="314"/>
        <v/>
      </c>
      <c r="K381" s="25" t="str">
        <f t="shared" si="315"/>
        <v/>
      </c>
      <c r="L381" s="26" t="str">
        <f t="shared" si="316"/>
        <v/>
      </c>
      <c r="M381" s="24" t="str">
        <f t="shared" si="317"/>
        <v/>
      </c>
      <c r="N381" s="25" t="str">
        <f t="shared" si="318"/>
        <v/>
      </c>
      <c r="O381" s="25" t="str">
        <f t="shared" si="319"/>
        <v/>
      </c>
      <c r="P381" s="25" t="str">
        <f t="shared" si="320"/>
        <v/>
      </c>
      <c r="Q381" s="25" t="str">
        <f t="shared" si="321"/>
        <v/>
      </c>
      <c r="R381" s="25" t="str">
        <f t="shared" si="322"/>
        <v/>
      </c>
      <c r="S381" s="25" t="str">
        <f t="shared" si="323"/>
        <v/>
      </c>
      <c r="T381" s="26" t="str">
        <f t="shared" si="324"/>
        <v/>
      </c>
      <c r="X381" s="24" t="str">
        <f t="shared" si="325"/>
        <v/>
      </c>
      <c r="Y381" s="25" t="str">
        <f t="shared" si="326"/>
        <v/>
      </c>
      <c r="Z381" s="25" t="str">
        <f t="shared" si="327"/>
        <v/>
      </c>
      <c r="AA381" s="25" t="str">
        <f t="shared" si="328"/>
        <v/>
      </c>
      <c r="AB381" s="25" t="str">
        <f t="shared" si="329"/>
        <v/>
      </c>
      <c r="AC381" s="25" t="str">
        <f t="shared" si="330"/>
        <v/>
      </c>
      <c r="AD381" s="25" t="str">
        <f t="shared" si="331"/>
        <v/>
      </c>
      <c r="AE381" s="26" t="str">
        <f t="shared" si="332"/>
        <v/>
      </c>
      <c r="AF381" s="24" t="str">
        <f t="shared" si="333"/>
        <v/>
      </c>
      <c r="AG381" s="25" t="str">
        <f t="shared" si="334"/>
        <v/>
      </c>
      <c r="AH381" s="25" t="str">
        <f t="shared" si="335"/>
        <v/>
      </c>
      <c r="AI381" s="25" t="str">
        <f t="shared" si="336"/>
        <v/>
      </c>
      <c r="AJ381" s="25" t="str">
        <f t="shared" si="337"/>
        <v/>
      </c>
      <c r="AK381" s="25" t="str">
        <f t="shared" si="338"/>
        <v/>
      </c>
      <c r="AL381" s="25" t="str">
        <f t="shared" si="339"/>
        <v/>
      </c>
      <c r="AM381" s="26" t="str">
        <f t="shared" si="340"/>
        <v/>
      </c>
      <c r="AQ381" s="24" t="str">
        <f t="shared" si="341"/>
        <v/>
      </c>
      <c r="AR381" s="25" t="str">
        <f t="shared" si="342"/>
        <v/>
      </c>
      <c r="AS381" s="25" t="str">
        <f t="shared" si="343"/>
        <v/>
      </c>
      <c r="AT381" s="25" t="str">
        <f t="shared" si="344"/>
        <v/>
      </c>
      <c r="AU381" s="25" t="str">
        <f t="shared" si="345"/>
        <v/>
      </c>
      <c r="AV381" s="25" t="str">
        <f t="shared" si="346"/>
        <v/>
      </c>
      <c r="AW381" s="25" t="str">
        <f t="shared" si="347"/>
        <v/>
      </c>
      <c r="AX381" s="26" t="str">
        <f t="shared" si="348"/>
        <v/>
      </c>
    </row>
    <row r="382" spans="4:50" hidden="1" x14ac:dyDescent="0.25">
      <c r="D382" s="70">
        <v>80</v>
      </c>
      <c r="E382" s="24" t="str">
        <f t="shared" si="309"/>
        <v/>
      </c>
      <c r="F382" s="25" t="str">
        <f t="shared" si="310"/>
        <v/>
      </c>
      <c r="G382" s="25" t="str">
        <f t="shared" si="311"/>
        <v/>
      </c>
      <c r="H382" s="25" t="str">
        <f t="shared" si="312"/>
        <v/>
      </c>
      <c r="I382" s="25" t="str">
        <f t="shared" si="313"/>
        <v/>
      </c>
      <c r="J382" s="25" t="str">
        <f t="shared" si="314"/>
        <v/>
      </c>
      <c r="K382" s="25" t="str">
        <f t="shared" si="315"/>
        <v/>
      </c>
      <c r="L382" s="26" t="str">
        <f t="shared" si="316"/>
        <v/>
      </c>
      <c r="M382" s="24" t="str">
        <f t="shared" si="317"/>
        <v/>
      </c>
      <c r="N382" s="25" t="str">
        <f t="shared" si="318"/>
        <v/>
      </c>
      <c r="O382" s="25" t="str">
        <f t="shared" si="319"/>
        <v/>
      </c>
      <c r="P382" s="25" t="str">
        <f t="shared" si="320"/>
        <v/>
      </c>
      <c r="Q382" s="25" t="str">
        <f t="shared" si="321"/>
        <v/>
      </c>
      <c r="R382" s="25" t="str">
        <f t="shared" si="322"/>
        <v/>
      </c>
      <c r="S382" s="25" t="str">
        <f t="shared" si="323"/>
        <v/>
      </c>
      <c r="T382" s="26" t="str">
        <f t="shared" si="324"/>
        <v/>
      </c>
      <c r="X382" s="24" t="str">
        <f t="shared" si="325"/>
        <v/>
      </c>
      <c r="Y382" s="25" t="str">
        <f t="shared" si="326"/>
        <v/>
      </c>
      <c r="Z382" s="25" t="str">
        <f t="shared" si="327"/>
        <v/>
      </c>
      <c r="AA382" s="25" t="str">
        <f t="shared" si="328"/>
        <v/>
      </c>
      <c r="AB382" s="25" t="str">
        <f t="shared" si="329"/>
        <v/>
      </c>
      <c r="AC382" s="25" t="str">
        <f t="shared" si="330"/>
        <v/>
      </c>
      <c r="AD382" s="25" t="str">
        <f t="shared" si="331"/>
        <v/>
      </c>
      <c r="AE382" s="26" t="str">
        <f t="shared" si="332"/>
        <v/>
      </c>
      <c r="AF382" s="24" t="str">
        <f t="shared" si="333"/>
        <v/>
      </c>
      <c r="AG382" s="25" t="str">
        <f t="shared" si="334"/>
        <v/>
      </c>
      <c r="AH382" s="25" t="str">
        <f t="shared" si="335"/>
        <v/>
      </c>
      <c r="AI382" s="25" t="str">
        <f t="shared" si="336"/>
        <v/>
      </c>
      <c r="AJ382" s="25" t="str">
        <f t="shared" si="337"/>
        <v/>
      </c>
      <c r="AK382" s="25" t="str">
        <f t="shared" si="338"/>
        <v/>
      </c>
      <c r="AL382" s="25" t="str">
        <f t="shared" si="339"/>
        <v/>
      </c>
      <c r="AM382" s="26" t="str">
        <f t="shared" si="340"/>
        <v/>
      </c>
      <c r="AQ382" s="24" t="str">
        <f t="shared" si="341"/>
        <v/>
      </c>
      <c r="AR382" s="25" t="str">
        <f t="shared" si="342"/>
        <v/>
      </c>
      <c r="AS382" s="25" t="str">
        <f t="shared" si="343"/>
        <v/>
      </c>
      <c r="AT382" s="25" t="str">
        <f t="shared" si="344"/>
        <v/>
      </c>
      <c r="AU382" s="25" t="str">
        <f t="shared" si="345"/>
        <v/>
      </c>
      <c r="AV382" s="25" t="str">
        <f t="shared" si="346"/>
        <v/>
      </c>
      <c r="AW382" s="25" t="str">
        <f t="shared" si="347"/>
        <v/>
      </c>
      <c r="AX382" s="26" t="str">
        <f t="shared" si="348"/>
        <v/>
      </c>
    </row>
    <row r="383" spans="4:50" hidden="1" x14ac:dyDescent="0.25">
      <c r="D383" s="70">
        <v>81</v>
      </c>
      <c r="E383" s="24" t="str">
        <f t="shared" si="309"/>
        <v/>
      </c>
      <c r="F383" s="25" t="str">
        <f t="shared" si="310"/>
        <v/>
      </c>
      <c r="G383" s="25" t="str">
        <f t="shared" si="311"/>
        <v/>
      </c>
      <c r="H383" s="25" t="str">
        <f t="shared" si="312"/>
        <v/>
      </c>
      <c r="I383" s="25" t="str">
        <f t="shared" si="313"/>
        <v/>
      </c>
      <c r="J383" s="25" t="str">
        <f t="shared" si="314"/>
        <v/>
      </c>
      <c r="K383" s="25" t="str">
        <f t="shared" si="315"/>
        <v/>
      </c>
      <c r="L383" s="26" t="str">
        <f t="shared" si="316"/>
        <v/>
      </c>
      <c r="M383" s="24" t="str">
        <f t="shared" si="317"/>
        <v/>
      </c>
      <c r="N383" s="25" t="str">
        <f t="shared" si="318"/>
        <v/>
      </c>
      <c r="O383" s="25" t="str">
        <f t="shared" si="319"/>
        <v/>
      </c>
      <c r="P383" s="25" t="str">
        <f t="shared" si="320"/>
        <v/>
      </c>
      <c r="Q383" s="25" t="str">
        <f t="shared" si="321"/>
        <v/>
      </c>
      <c r="R383" s="25" t="str">
        <f t="shared" si="322"/>
        <v/>
      </c>
      <c r="S383" s="25" t="str">
        <f t="shared" si="323"/>
        <v/>
      </c>
      <c r="T383" s="26" t="str">
        <f t="shared" si="324"/>
        <v/>
      </c>
      <c r="X383" s="24" t="str">
        <f t="shared" si="325"/>
        <v/>
      </c>
      <c r="Y383" s="25" t="str">
        <f t="shared" si="326"/>
        <v/>
      </c>
      <c r="Z383" s="25" t="str">
        <f t="shared" si="327"/>
        <v/>
      </c>
      <c r="AA383" s="25" t="str">
        <f t="shared" si="328"/>
        <v/>
      </c>
      <c r="AB383" s="25" t="str">
        <f t="shared" si="329"/>
        <v/>
      </c>
      <c r="AC383" s="25" t="str">
        <f t="shared" si="330"/>
        <v/>
      </c>
      <c r="AD383" s="25" t="str">
        <f t="shared" si="331"/>
        <v/>
      </c>
      <c r="AE383" s="26" t="str">
        <f t="shared" si="332"/>
        <v/>
      </c>
      <c r="AF383" s="24" t="str">
        <f t="shared" si="333"/>
        <v/>
      </c>
      <c r="AG383" s="25" t="str">
        <f t="shared" si="334"/>
        <v/>
      </c>
      <c r="AH383" s="25" t="str">
        <f t="shared" si="335"/>
        <v/>
      </c>
      <c r="AI383" s="25" t="str">
        <f t="shared" si="336"/>
        <v/>
      </c>
      <c r="AJ383" s="25" t="str">
        <f t="shared" si="337"/>
        <v/>
      </c>
      <c r="AK383" s="25" t="str">
        <f t="shared" si="338"/>
        <v/>
      </c>
      <c r="AL383" s="25" t="str">
        <f t="shared" si="339"/>
        <v/>
      </c>
      <c r="AM383" s="26" t="str">
        <f t="shared" si="340"/>
        <v/>
      </c>
      <c r="AQ383" s="24" t="str">
        <f t="shared" si="341"/>
        <v/>
      </c>
      <c r="AR383" s="25" t="str">
        <f t="shared" si="342"/>
        <v/>
      </c>
      <c r="AS383" s="25" t="str">
        <f t="shared" si="343"/>
        <v/>
      </c>
      <c r="AT383" s="25" t="str">
        <f t="shared" si="344"/>
        <v/>
      </c>
      <c r="AU383" s="25" t="str">
        <f t="shared" si="345"/>
        <v/>
      </c>
      <c r="AV383" s="25" t="str">
        <f t="shared" si="346"/>
        <v/>
      </c>
      <c r="AW383" s="25" t="str">
        <f t="shared" si="347"/>
        <v/>
      </c>
      <c r="AX383" s="26" t="str">
        <f t="shared" si="348"/>
        <v/>
      </c>
    </row>
    <row r="384" spans="4:50" hidden="1" x14ac:dyDescent="0.25">
      <c r="D384" s="70">
        <v>82</v>
      </c>
      <c r="E384" s="24" t="str">
        <f t="shared" si="309"/>
        <v/>
      </c>
      <c r="F384" s="25" t="str">
        <f t="shared" si="310"/>
        <v/>
      </c>
      <c r="G384" s="25" t="str">
        <f t="shared" si="311"/>
        <v/>
      </c>
      <c r="H384" s="25" t="str">
        <f t="shared" si="312"/>
        <v/>
      </c>
      <c r="I384" s="25" t="str">
        <f t="shared" si="313"/>
        <v/>
      </c>
      <c r="J384" s="25" t="str">
        <f t="shared" si="314"/>
        <v/>
      </c>
      <c r="K384" s="25" t="str">
        <f t="shared" si="315"/>
        <v/>
      </c>
      <c r="L384" s="26" t="str">
        <f t="shared" si="316"/>
        <v/>
      </c>
      <c r="M384" s="24" t="str">
        <f t="shared" si="317"/>
        <v/>
      </c>
      <c r="N384" s="25" t="str">
        <f t="shared" si="318"/>
        <v/>
      </c>
      <c r="O384" s="25" t="str">
        <f t="shared" si="319"/>
        <v/>
      </c>
      <c r="P384" s="25" t="str">
        <f t="shared" si="320"/>
        <v/>
      </c>
      <c r="Q384" s="25" t="str">
        <f t="shared" si="321"/>
        <v/>
      </c>
      <c r="R384" s="25" t="str">
        <f t="shared" si="322"/>
        <v/>
      </c>
      <c r="S384" s="25" t="str">
        <f t="shared" si="323"/>
        <v/>
      </c>
      <c r="T384" s="26" t="str">
        <f t="shared" si="324"/>
        <v/>
      </c>
      <c r="X384" s="24" t="str">
        <f t="shared" si="325"/>
        <v/>
      </c>
      <c r="Y384" s="25" t="str">
        <f t="shared" si="326"/>
        <v/>
      </c>
      <c r="Z384" s="25" t="str">
        <f t="shared" si="327"/>
        <v/>
      </c>
      <c r="AA384" s="25" t="str">
        <f t="shared" si="328"/>
        <v/>
      </c>
      <c r="AB384" s="25" t="str">
        <f t="shared" si="329"/>
        <v/>
      </c>
      <c r="AC384" s="25" t="str">
        <f t="shared" si="330"/>
        <v/>
      </c>
      <c r="AD384" s="25" t="str">
        <f t="shared" si="331"/>
        <v/>
      </c>
      <c r="AE384" s="26" t="str">
        <f t="shared" si="332"/>
        <v/>
      </c>
      <c r="AF384" s="24" t="str">
        <f t="shared" si="333"/>
        <v/>
      </c>
      <c r="AG384" s="25" t="str">
        <f t="shared" si="334"/>
        <v/>
      </c>
      <c r="AH384" s="25" t="str">
        <f t="shared" si="335"/>
        <v/>
      </c>
      <c r="AI384" s="25" t="str">
        <f t="shared" si="336"/>
        <v/>
      </c>
      <c r="AJ384" s="25" t="str">
        <f t="shared" si="337"/>
        <v/>
      </c>
      <c r="AK384" s="25" t="str">
        <f t="shared" si="338"/>
        <v/>
      </c>
      <c r="AL384" s="25" t="str">
        <f t="shared" si="339"/>
        <v/>
      </c>
      <c r="AM384" s="26" t="str">
        <f t="shared" si="340"/>
        <v/>
      </c>
      <c r="AQ384" s="24" t="str">
        <f t="shared" si="341"/>
        <v/>
      </c>
      <c r="AR384" s="25" t="str">
        <f t="shared" si="342"/>
        <v/>
      </c>
      <c r="AS384" s="25" t="str">
        <f t="shared" si="343"/>
        <v/>
      </c>
      <c r="AT384" s="25" t="str">
        <f t="shared" si="344"/>
        <v/>
      </c>
      <c r="AU384" s="25" t="str">
        <f t="shared" si="345"/>
        <v/>
      </c>
      <c r="AV384" s="25" t="str">
        <f t="shared" si="346"/>
        <v/>
      </c>
      <c r="AW384" s="25" t="str">
        <f t="shared" si="347"/>
        <v/>
      </c>
      <c r="AX384" s="26" t="str">
        <f t="shared" si="348"/>
        <v/>
      </c>
    </row>
    <row r="385" spans="4:50" hidden="1" x14ac:dyDescent="0.25">
      <c r="D385" s="70">
        <v>83</v>
      </c>
      <c r="E385" s="24" t="str">
        <f t="shared" si="309"/>
        <v/>
      </c>
      <c r="F385" s="25" t="str">
        <f t="shared" si="310"/>
        <v/>
      </c>
      <c r="G385" s="25" t="str">
        <f t="shared" si="311"/>
        <v/>
      </c>
      <c r="H385" s="25" t="str">
        <f t="shared" si="312"/>
        <v/>
      </c>
      <c r="I385" s="25" t="str">
        <f t="shared" si="313"/>
        <v/>
      </c>
      <c r="J385" s="25" t="str">
        <f t="shared" si="314"/>
        <v/>
      </c>
      <c r="K385" s="25" t="str">
        <f t="shared" si="315"/>
        <v/>
      </c>
      <c r="L385" s="26" t="str">
        <f t="shared" si="316"/>
        <v/>
      </c>
      <c r="M385" s="24" t="str">
        <f t="shared" si="317"/>
        <v/>
      </c>
      <c r="N385" s="25" t="str">
        <f t="shared" si="318"/>
        <v/>
      </c>
      <c r="O385" s="25" t="str">
        <f t="shared" si="319"/>
        <v/>
      </c>
      <c r="P385" s="25" t="str">
        <f t="shared" si="320"/>
        <v/>
      </c>
      <c r="Q385" s="25" t="str">
        <f t="shared" si="321"/>
        <v/>
      </c>
      <c r="R385" s="25" t="str">
        <f t="shared" si="322"/>
        <v/>
      </c>
      <c r="S385" s="25" t="str">
        <f t="shared" si="323"/>
        <v/>
      </c>
      <c r="T385" s="26" t="str">
        <f t="shared" si="324"/>
        <v/>
      </c>
      <c r="X385" s="24" t="str">
        <f t="shared" si="325"/>
        <v/>
      </c>
      <c r="Y385" s="25" t="str">
        <f t="shared" si="326"/>
        <v/>
      </c>
      <c r="Z385" s="25" t="str">
        <f t="shared" si="327"/>
        <v/>
      </c>
      <c r="AA385" s="25" t="str">
        <f t="shared" si="328"/>
        <v/>
      </c>
      <c r="AB385" s="25" t="str">
        <f t="shared" si="329"/>
        <v/>
      </c>
      <c r="AC385" s="25" t="str">
        <f t="shared" si="330"/>
        <v/>
      </c>
      <c r="AD385" s="25" t="str">
        <f t="shared" si="331"/>
        <v/>
      </c>
      <c r="AE385" s="26" t="str">
        <f t="shared" si="332"/>
        <v/>
      </c>
      <c r="AF385" s="24" t="str">
        <f t="shared" si="333"/>
        <v/>
      </c>
      <c r="AG385" s="25" t="str">
        <f t="shared" si="334"/>
        <v/>
      </c>
      <c r="AH385" s="25" t="str">
        <f t="shared" si="335"/>
        <v/>
      </c>
      <c r="AI385" s="25" t="str">
        <f t="shared" si="336"/>
        <v/>
      </c>
      <c r="AJ385" s="25" t="str">
        <f t="shared" si="337"/>
        <v/>
      </c>
      <c r="AK385" s="25" t="str">
        <f t="shared" si="338"/>
        <v/>
      </c>
      <c r="AL385" s="25" t="str">
        <f t="shared" si="339"/>
        <v/>
      </c>
      <c r="AM385" s="26" t="str">
        <f t="shared" si="340"/>
        <v/>
      </c>
      <c r="AQ385" s="24" t="str">
        <f t="shared" si="341"/>
        <v/>
      </c>
      <c r="AR385" s="25" t="str">
        <f t="shared" si="342"/>
        <v/>
      </c>
      <c r="AS385" s="25" t="str">
        <f t="shared" si="343"/>
        <v/>
      </c>
      <c r="AT385" s="25" t="str">
        <f t="shared" si="344"/>
        <v/>
      </c>
      <c r="AU385" s="25" t="str">
        <f t="shared" si="345"/>
        <v/>
      </c>
      <c r="AV385" s="25" t="str">
        <f t="shared" si="346"/>
        <v/>
      </c>
      <c r="AW385" s="25" t="str">
        <f t="shared" si="347"/>
        <v/>
      </c>
      <c r="AX385" s="26" t="str">
        <f t="shared" si="348"/>
        <v/>
      </c>
    </row>
    <row r="386" spans="4:50" hidden="1" x14ac:dyDescent="0.25">
      <c r="D386" s="70">
        <v>84</v>
      </c>
      <c r="E386" s="24" t="str">
        <f t="shared" si="309"/>
        <v/>
      </c>
      <c r="F386" s="25" t="str">
        <f t="shared" si="310"/>
        <v/>
      </c>
      <c r="G386" s="25" t="str">
        <f t="shared" si="311"/>
        <v/>
      </c>
      <c r="H386" s="25" t="str">
        <f t="shared" si="312"/>
        <v/>
      </c>
      <c r="I386" s="25" t="str">
        <f t="shared" si="313"/>
        <v/>
      </c>
      <c r="J386" s="25" t="str">
        <f t="shared" si="314"/>
        <v/>
      </c>
      <c r="K386" s="25" t="str">
        <f t="shared" si="315"/>
        <v/>
      </c>
      <c r="L386" s="26" t="str">
        <f t="shared" si="316"/>
        <v/>
      </c>
      <c r="M386" s="24" t="str">
        <f t="shared" si="317"/>
        <v/>
      </c>
      <c r="N386" s="25" t="str">
        <f t="shared" si="318"/>
        <v/>
      </c>
      <c r="O386" s="25" t="str">
        <f t="shared" si="319"/>
        <v/>
      </c>
      <c r="P386" s="25" t="str">
        <f t="shared" si="320"/>
        <v/>
      </c>
      <c r="Q386" s="25" t="str">
        <f t="shared" si="321"/>
        <v/>
      </c>
      <c r="R386" s="25" t="str">
        <f t="shared" si="322"/>
        <v/>
      </c>
      <c r="S386" s="25" t="str">
        <f t="shared" si="323"/>
        <v/>
      </c>
      <c r="T386" s="26" t="str">
        <f t="shared" si="324"/>
        <v/>
      </c>
      <c r="X386" s="24" t="str">
        <f t="shared" si="325"/>
        <v/>
      </c>
      <c r="Y386" s="25" t="str">
        <f t="shared" si="326"/>
        <v/>
      </c>
      <c r="Z386" s="25" t="str">
        <f t="shared" si="327"/>
        <v/>
      </c>
      <c r="AA386" s="25" t="str">
        <f t="shared" si="328"/>
        <v/>
      </c>
      <c r="AB386" s="25" t="str">
        <f t="shared" si="329"/>
        <v/>
      </c>
      <c r="AC386" s="25" t="str">
        <f t="shared" si="330"/>
        <v/>
      </c>
      <c r="AD386" s="25" t="str">
        <f t="shared" si="331"/>
        <v/>
      </c>
      <c r="AE386" s="26" t="str">
        <f t="shared" si="332"/>
        <v/>
      </c>
      <c r="AF386" s="24" t="str">
        <f t="shared" si="333"/>
        <v/>
      </c>
      <c r="AG386" s="25" t="str">
        <f t="shared" si="334"/>
        <v/>
      </c>
      <c r="AH386" s="25" t="str">
        <f t="shared" si="335"/>
        <v/>
      </c>
      <c r="AI386" s="25" t="str">
        <f t="shared" si="336"/>
        <v/>
      </c>
      <c r="AJ386" s="25" t="str">
        <f t="shared" si="337"/>
        <v/>
      </c>
      <c r="AK386" s="25" t="str">
        <f t="shared" si="338"/>
        <v/>
      </c>
      <c r="AL386" s="25" t="str">
        <f t="shared" si="339"/>
        <v/>
      </c>
      <c r="AM386" s="26" t="str">
        <f t="shared" si="340"/>
        <v/>
      </c>
      <c r="AQ386" s="24" t="str">
        <f t="shared" si="341"/>
        <v/>
      </c>
      <c r="AR386" s="25" t="str">
        <f t="shared" si="342"/>
        <v/>
      </c>
      <c r="AS386" s="25" t="str">
        <f t="shared" si="343"/>
        <v/>
      </c>
      <c r="AT386" s="25" t="str">
        <f t="shared" si="344"/>
        <v/>
      </c>
      <c r="AU386" s="25" t="str">
        <f t="shared" si="345"/>
        <v/>
      </c>
      <c r="AV386" s="25" t="str">
        <f t="shared" si="346"/>
        <v/>
      </c>
      <c r="AW386" s="25" t="str">
        <f t="shared" si="347"/>
        <v/>
      </c>
      <c r="AX386" s="26" t="str">
        <f t="shared" si="348"/>
        <v/>
      </c>
    </row>
    <row r="387" spans="4:50" hidden="1" x14ac:dyDescent="0.25">
      <c r="D387" s="70">
        <v>85</v>
      </c>
      <c r="E387" s="24" t="str">
        <f t="shared" si="309"/>
        <v/>
      </c>
      <c r="F387" s="25" t="str">
        <f t="shared" si="310"/>
        <v/>
      </c>
      <c r="G387" s="25" t="str">
        <f t="shared" si="311"/>
        <v/>
      </c>
      <c r="H387" s="25" t="str">
        <f t="shared" si="312"/>
        <v/>
      </c>
      <c r="I387" s="25" t="str">
        <f t="shared" si="313"/>
        <v/>
      </c>
      <c r="J387" s="25" t="str">
        <f t="shared" si="314"/>
        <v/>
      </c>
      <c r="K387" s="25" t="str">
        <f t="shared" si="315"/>
        <v/>
      </c>
      <c r="L387" s="26" t="str">
        <f t="shared" si="316"/>
        <v/>
      </c>
      <c r="M387" s="24" t="str">
        <f t="shared" si="317"/>
        <v/>
      </c>
      <c r="N387" s="25" t="str">
        <f t="shared" si="318"/>
        <v/>
      </c>
      <c r="O387" s="25" t="str">
        <f t="shared" si="319"/>
        <v/>
      </c>
      <c r="P387" s="25" t="str">
        <f t="shared" si="320"/>
        <v/>
      </c>
      <c r="Q387" s="25" t="str">
        <f t="shared" si="321"/>
        <v/>
      </c>
      <c r="R387" s="25" t="str">
        <f t="shared" si="322"/>
        <v/>
      </c>
      <c r="S387" s="25" t="str">
        <f t="shared" si="323"/>
        <v/>
      </c>
      <c r="T387" s="26" t="str">
        <f t="shared" si="324"/>
        <v/>
      </c>
      <c r="X387" s="24" t="str">
        <f t="shared" si="325"/>
        <v/>
      </c>
      <c r="Y387" s="25" t="str">
        <f t="shared" si="326"/>
        <v/>
      </c>
      <c r="Z387" s="25" t="str">
        <f t="shared" si="327"/>
        <v/>
      </c>
      <c r="AA387" s="25" t="str">
        <f t="shared" si="328"/>
        <v/>
      </c>
      <c r="AB387" s="25" t="str">
        <f t="shared" si="329"/>
        <v/>
      </c>
      <c r="AC387" s="25" t="str">
        <f t="shared" si="330"/>
        <v/>
      </c>
      <c r="AD387" s="25" t="str">
        <f t="shared" si="331"/>
        <v/>
      </c>
      <c r="AE387" s="26" t="str">
        <f t="shared" si="332"/>
        <v/>
      </c>
      <c r="AF387" s="24" t="str">
        <f t="shared" si="333"/>
        <v/>
      </c>
      <c r="AG387" s="25" t="str">
        <f t="shared" si="334"/>
        <v/>
      </c>
      <c r="AH387" s="25" t="str">
        <f t="shared" si="335"/>
        <v/>
      </c>
      <c r="AI387" s="25" t="str">
        <f t="shared" si="336"/>
        <v/>
      </c>
      <c r="AJ387" s="25" t="str">
        <f t="shared" si="337"/>
        <v/>
      </c>
      <c r="AK387" s="25" t="str">
        <f t="shared" si="338"/>
        <v/>
      </c>
      <c r="AL387" s="25" t="str">
        <f t="shared" si="339"/>
        <v/>
      </c>
      <c r="AM387" s="26" t="str">
        <f t="shared" si="340"/>
        <v/>
      </c>
      <c r="AQ387" s="24" t="str">
        <f t="shared" si="341"/>
        <v/>
      </c>
      <c r="AR387" s="25" t="str">
        <f t="shared" si="342"/>
        <v/>
      </c>
      <c r="AS387" s="25" t="str">
        <f t="shared" si="343"/>
        <v/>
      </c>
      <c r="AT387" s="25" t="str">
        <f t="shared" si="344"/>
        <v/>
      </c>
      <c r="AU387" s="25" t="str">
        <f t="shared" si="345"/>
        <v/>
      </c>
      <c r="AV387" s="25" t="str">
        <f t="shared" si="346"/>
        <v/>
      </c>
      <c r="AW387" s="25" t="str">
        <f t="shared" si="347"/>
        <v/>
      </c>
      <c r="AX387" s="26" t="str">
        <f t="shared" si="348"/>
        <v/>
      </c>
    </row>
    <row r="388" spans="4:50" hidden="1" x14ac:dyDescent="0.25">
      <c r="D388" s="70">
        <v>86</v>
      </c>
      <c r="E388" s="24" t="str">
        <f t="shared" si="309"/>
        <v/>
      </c>
      <c r="F388" s="25" t="str">
        <f t="shared" si="310"/>
        <v/>
      </c>
      <c r="G388" s="25" t="str">
        <f t="shared" si="311"/>
        <v/>
      </c>
      <c r="H388" s="25" t="str">
        <f t="shared" si="312"/>
        <v/>
      </c>
      <c r="I388" s="25" t="str">
        <f t="shared" si="313"/>
        <v/>
      </c>
      <c r="J388" s="25" t="str">
        <f t="shared" si="314"/>
        <v/>
      </c>
      <c r="K388" s="25" t="str">
        <f t="shared" si="315"/>
        <v/>
      </c>
      <c r="L388" s="26" t="str">
        <f t="shared" si="316"/>
        <v/>
      </c>
      <c r="M388" s="24" t="str">
        <f t="shared" si="317"/>
        <v/>
      </c>
      <c r="N388" s="25" t="str">
        <f t="shared" si="318"/>
        <v/>
      </c>
      <c r="O388" s="25" t="str">
        <f t="shared" si="319"/>
        <v/>
      </c>
      <c r="P388" s="25" t="str">
        <f t="shared" si="320"/>
        <v/>
      </c>
      <c r="Q388" s="25" t="str">
        <f t="shared" si="321"/>
        <v/>
      </c>
      <c r="R388" s="25" t="str">
        <f t="shared" si="322"/>
        <v/>
      </c>
      <c r="S388" s="25" t="str">
        <f t="shared" si="323"/>
        <v/>
      </c>
      <c r="T388" s="26" t="str">
        <f t="shared" si="324"/>
        <v/>
      </c>
      <c r="X388" s="24" t="str">
        <f t="shared" si="325"/>
        <v/>
      </c>
      <c r="Y388" s="25" t="str">
        <f t="shared" si="326"/>
        <v/>
      </c>
      <c r="Z388" s="25" t="str">
        <f t="shared" si="327"/>
        <v/>
      </c>
      <c r="AA388" s="25" t="str">
        <f t="shared" si="328"/>
        <v/>
      </c>
      <c r="AB388" s="25" t="str">
        <f t="shared" si="329"/>
        <v/>
      </c>
      <c r="AC388" s="25" t="str">
        <f t="shared" si="330"/>
        <v/>
      </c>
      <c r="AD388" s="25" t="str">
        <f t="shared" si="331"/>
        <v/>
      </c>
      <c r="AE388" s="26" t="str">
        <f t="shared" si="332"/>
        <v/>
      </c>
      <c r="AF388" s="24" t="str">
        <f t="shared" si="333"/>
        <v/>
      </c>
      <c r="AG388" s="25" t="str">
        <f t="shared" si="334"/>
        <v/>
      </c>
      <c r="AH388" s="25" t="str">
        <f t="shared" si="335"/>
        <v/>
      </c>
      <c r="AI388" s="25" t="str">
        <f t="shared" si="336"/>
        <v/>
      </c>
      <c r="AJ388" s="25" t="str">
        <f t="shared" si="337"/>
        <v/>
      </c>
      <c r="AK388" s="25" t="str">
        <f t="shared" si="338"/>
        <v/>
      </c>
      <c r="AL388" s="25" t="str">
        <f t="shared" si="339"/>
        <v/>
      </c>
      <c r="AM388" s="26" t="str">
        <f t="shared" si="340"/>
        <v/>
      </c>
      <c r="AQ388" s="24" t="str">
        <f t="shared" si="341"/>
        <v/>
      </c>
      <c r="AR388" s="25" t="str">
        <f t="shared" si="342"/>
        <v/>
      </c>
      <c r="AS388" s="25" t="str">
        <f t="shared" si="343"/>
        <v/>
      </c>
      <c r="AT388" s="25" t="str">
        <f t="shared" si="344"/>
        <v/>
      </c>
      <c r="AU388" s="25" t="str">
        <f t="shared" si="345"/>
        <v/>
      </c>
      <c r="AV388" s="25" t="str">
        <f t="shared" si="346"/>
        <v/>
      </c>
      <c r="AW388" s="25" t="str">
        <f t="shared" si="347"/>
        <v/>
      </c>
      <c r="AX388" s="26" t="str">
        <f t="shared" si="348"/>
        <v/>
      </c>
    </row>
    <row r="389" spans="4:50" hidden="1" x14ac:dyDescent="0.25">
      <c r="D389" s="70">
        <v>87</v>
      </c>
      <c r="E389" s="24" t="str">
        <f t="shared" si="309"/>
        <v/>
      </c>
      <c r="F389" s="25" t="str">
        <f t="shared" si="310"/>
        <v/>
      </c>
      <c r="G389" s="25" t="str">
        <f t="shared" si="311"/>
        <v/>
      </c>
      <c r="H389" s="25" t="str">
        <f t="shared" si="312"/>
        <v/>
      </c>
      <c r="I389" s="25" t="str">
        <f t="shared" si="313"/>
        <v/>
      </c>
      <c r="J389" s="25" t="str">
        <f t="shared" si="314"/>
        <v/>
      </c>
      <c r="K389" s="25" t="str">
        <f t="shared" si="315"/>
        <v/>
      </c>
      <c r="L389" s="26" t="str">
        <f t="shared" si="316"/>
        <v/>
      </c>
      <c r="M389" s="24" t="str">
        <f t="shared" si="317"/>
        <v/>
      </c>
      <c r="N389" s="25" t="str">
        <f t="shared" si="318"/>
        <v/>
      </c>
      <c r="O389" s="25" t="str">
        <f t="shared" si="319"/>
        <v/>
      </c>
      <c r="P389" s="25" t="str">
        <f t="shared" si="320"/>
        <v/>
      </c>
      <c r="Q389" s="25" t="str">
        <f t="shared" si="321"/>
        <v/>
      </c>
      <c r="R389" s="25" t="str">
        <f t="shared" si="322"/>
        <v/>
      </c>
      <c r="S389" s="25" t="str">
        <f t="shared" si="323"/>
        <v/>
      </c>
      <c r="T389" s="26" t="str">
        <f t="shared" si="324"/>
        <v/>
      </c>
      <c r="X389" s="24" t="str">
        <f t="shared" si="325"/>
        <v/>
      </c>
      <c r="Y389" s="25" t="str">
        <f t="shared" si="326"/>
        <v/>
      </c>
      <c r="Z389" s="25" t="str">
        <f t="shared" si="327"/>
        <v/>
      </c>
      <c r="AA389" s="25" t="str">
        <f t="shared" si="328"/>
        <v/>
      </c>
      <c r="AB389" s="25" t="str">
        <f t="shared" si="329"/>
        <v/>
      </c>
      <c r="AC389" s="25" t="str">
        <f t="shared" si="330"/>
        <v/>
      </c>
      <c r="AD389" s="25" t="str">
        <f t="shared" si="331"/>
        <v/>
      </c>
      <c r="AE389" s="26" t="str">
        <f t="shared" si="332"/>
        <v/>
      </c>
      <c r="AF389" s="24" t="str">
        <f t="shared" si="333"/>
        <v/>
      </c>
      <c r="AG389" s="25" t="str">
        <f t="shared" si="334"/>
        <v/>
      </c>
      <c r="AH389" s="25" t="str">
        <f t="shared" si="335"/>
        <v/>
      </c>
      <c r="AI389" s="25" t="str">
        <f t="shared" si="336"/>
        <v/>
      </c>
      <c r="AJ389" s="25" t="str">
        <f t="shared" si="337"/>
        <v/>
      </c>
      <c r="AK389" s="25" t="str">
        <f t="shared" si="338"/>
        <v/>
      </c>
      <c r="AL389" s="25" t="str">
        <f t="shared" si="339"/>
        <v/>
      </c>
      <c r="AM389" s="26" t="str">
        <f t="shared" si="340"/>
        <v/>
      </c>
      <c r="AQ389" s="24" t="str">
        <f t="shared" si="341"/>
        <v/>
      </c>
      <c r="AR389" s="25" t="str">
        <f t="shared" si="342"/>
        <v/>
      </c>
      <c r="AS389" s="25" t="str">
        <f t="shared" si="343"/>
        <v/>
      </c>
      <c r="AT389" s="25" t="str">
        <f t="shared" si="344"/>
        <v/>
      </c>
      <c r="AU389" s="25" t="str">
        <f t="shared" si="345"/>
        <v/>
      </c>
      <c r="AV389" s="25" t="str">
        <f t="shared" si="346"/>
        <v/>
      </c>
      <c r="AW389" s="25" t="str">
        <f t="shared" si="347"/>
        <v/>
      </c>
      <c r="AX389" s="26" t="str">
        <f t="shared" si="348"/>
        <v/>
      </c>
    </row>
    <row r="390" spans="4:50" hidden="1" x14ac:dyDescent="0.25">
      <c r="D390" s="70">
        <v>88</v>
      </c>
      <c r="E390" s="24" t="str">
        <f t="shared" si="309"/>
        <v/>
      </c>
      <c r="F390" s="25" t="str">
        <f t="shared" si="310"/>
        <v/>
      </c>
      <c r="G390" s="25" t="str">
        <f t="shared" si="311"/>
        <v/>
      </c>
      <c r="H390" s="25" t="str">
        <f t="shared" si="312"/>
        <v/>
      </c>
      <c r="I390" s="25" t="str">
        <f t="shared" si="313"/>
        <v/>
      </c>
      <c r="J390" s="25" t="str">
        <f t="shared" si="314"/>
        <v/>
      </c>
      <c r="K390" s="25" t="str">
        <f t="shared" si="315"/>
        <v/>
      </c>
      <c r="L390" s="26" t="str">
        <f t="shared" si="316"/>
        <v/>
      </c>
      <c r="M390" s="24" t="str">
        <f t="shared" si="317"/>
        <v/>
      </c>
      <c r="N390" s="25" t="str">
        <f t="shared" si="318"/>
        <v/>
      </c>
      <c r="O390" s="25" t="str">
        <f t="shared" si="319"/>
        <v/>
      </c>
      <c r="P390" s="25" t="str">
        <f t="shared" si="320"/>
        <v/>
      </c>
      <c r="Q390" s="25" t="str">
        <f t="shared" si="321"/>
        <v/>
      </c>
      <c r="R390" s="25" t="str">
        <f t="shared" si="322"/>
        <v/>
      </c>
      <c r="S390" s="25" t="str">
        <f t="shared" si="323"/>
        <v/>
      </c>
      <c r="T390" s="26" t="str">
        <f t="shared" si="324"/>
        <v/>
      </c>
      <c r="X390" s="24" t="str">
        <f t="shared" si="325"/>
        <v/>
      </c>
      <c r="Y390" s="25" t="str">
        <f t="shared" si="326"/>
        <v/>
      </c>
      <c r="Z390" s="25" t="str">
        <f t="shared" si="327"/>
        <v/>
      </c>
      <c r="AA390" s="25" t="str">
        <f t="shared" si="328"/>
        <v/>
      </c>
      <c r="AB390" s="25" t="str">
        <f t="shared" si="329"/>
        <v/>
      </c>
      <c r="AC390" s="25" t="str">
        <f t="shared" si="330"/>
        <v/>
      </c>
      <c r="AD390" s="25" t="str">
        <f t="shared" si="331"/>
        <v/>
      </c>
      <c r="AE390" s="26" t="str">
        <f t="shared" si="332"/>
        <v/>
      </c>
      <c r="AF390" s="24" t="str">
        <f t="shared" si="333"/>
        <v/>
      </c>
      <c r="AG390" s="25" t="str">
        <f t="shared" si="334"/>
        <v/>
      </c>
      <c r="AH390" s="25" t="str">
        <f t="shared" si="335"/>
        <v/>
      </c>
      <c r="AI390" s="25" t="str">
        <f t="shared" si="336"/>
        <v/>
      </c>
      <c r="AJ390" s="25" t="str">
        <f t="shared" si="337"/>
        <v/>
      </c>
      <c r="AK390" s="25" t="str">
        <f t="shared" si="338"/>
        <v/>
      </c>
      <c r="AL390" s="25" t="str">
        <f t="shared" si="339"/>
        <v/>
      </c>
      <c r="AM390" s="26" t="str">
        <f t="shared" si="340"/>
        <v/>
      </c>
      <c r="AQ390" s="24" t="str">
        <f t="shared" si="341"/>
        <v/>
      </c>
      <c r="AR390" s="25" t="str">
        <f t="shared" si="342"/>
        <v/>
      </c>
      <c r="AS390" s="25" t="str">
        <f t="shared" si="343"/>
        <v/>
      </c>
      <c r="AT390" s="25" t="str">
        <f t="shared" si="344"/>
        <v/>
      </c>
      <c r="AU390" s="25" t="str">
        <f t="shared" si="345"/>
        <v/>
      </c>
      <c r="AV390" s="25" t="str">
        <f t="shared" si="346"/>
        <v/>
      </c>
      <c r="AW390" s="25" t="str">
        <f t="shared" si="347"/>
        <v/>
      </c>
      <c r="AX390" s="26" t="str">
        <f t="shared" si="348"/>
        <v/>
      </c>
    </row>
    <row r="391" spans="4:50" hidden="1" x14ac:dyDescent="0.25">
      <c r="D391" s="70">
        <v>89</v>
      </c>
      <c r="E391" s="24" t="str">
        <f t="shared" si="309"/>
        <v/>
      </c>
      <c r="F391" s="25" t="str">
        <f t="shared" si="310"/>
        <v/>
      </c>
      <c r="G391" s="25" t="str">
        <f t="shared" si="311"/>
        <v/>
      </c>
      <c r="H391" s="25" t="str">
        <f t="shared" si="312"/>
        <v/>
      </c>
      <c r="I391" s="25" t="str">
        <f t="shared" si="313"/>
        <v/>
      </c>
      <c r="J391" s="25" t="str">
        <f t="shared" si="314"/>
        <v/>
      </c>
      <c r="K391" s="25" t="str">
        <f t="shared" si="315"/>
        <v/>
      </c>
      <c r="L391" s="26" t="str">
        <f t="shared" si="316"/>
        <v/>
      </c>
      <c r="M391" s="24" t="str">
        <f t="shared" si="317"/>
        <v/>
      </c>
      <c r="N391" s="25" t="str">
        <f t="shared" si="318"/>
        <v/>
      </c>
      <c r="O391" s="25" t="str">
        <f t="shared" si="319"/>
        <v/>
      </c>
      <c r="P391" s="25" t="str">
        <f t="shared" si="320"/>
        <v/>
      </c>
      <c r="Q391" s="25" t="str">
        <f t="shared" si="321"/>
        <v/>
      </c>
      <c r="R391" s="25" t="str">
        <f t="shared" si="322"/>
        <v/>
      </c>
      <c r="S391" s="25" t="str">
        <f t="shared" si="323"/>
        <v/>
      </c>
      <c r="T391" s="26" t="str">
        <f t="shared" si="324"/>
        <v/>
      </c>
      <c r="X391" s="24" t="str">
        <f t="shared" si="325"/>
        <v/>
      </c>
      <c r="Y391" s="25" t="str">
        <f t="shared" si="326"/>
        <v/>
      </c>
      <c r="Z391" s="25" t="str">
        <f t="shared" si="327"/>
        <v/>
      </c>
      <c r="AA391" s="25" t="str">
        <f t="shared" si="328"/>
        <v/>
      </c>
      <c r="AB391" s="25" t="str">
        <f t="shared" si="329"/>
        <v/>
      </c>
      <c r="AC391" s="25" t="str">
        <f t="shared" si="330"/>
        <v/>
      </c>
      <c r="AD391" s="25" t="str">
        <f t="shared" si="331"/>
        <v/>
      </c>
      <c r="AE391" s="26" t="str">
        <f t="shared" si="332"/>
        <v/>
      </c>
      <c r="AF391" s="24" t="str">
        <f t="shared" si="333"/>
        <v/>
      </c>
      <c r="AG391" s="25" t="str">
        <f t="shared" si="334"/>
        <v/>
      </c>
      <c r="AH391" s="25" t="str">
        <f t="shared" si="335"/>
        <v/>
      </c>
      <c r="AI391" s="25" t="str">
        <f t="shared" si="336"/>
        <v/>
      </c>
      <c r="AJ391" s="25" t="str">
        <f t="shared" si="337"/>
        <v/>
      </c>
      <c r="AK391" s="25" t="str">
        <f t="shared" si="338"/>
        <v/>
      </c>
      <c r="AL391" s="25" t="str">
        <f t="shared" si="339"/>
        <v/>
      </c>
      <c r="AM391" s="26" t="str">
        <f t="shared" si="340"/>
        <v/>
      </c>
      <c r="AQ391" s="24" t="str">
        <f t="shared" si="341"/>
        <v/>
      </c>
      <c r="AR391" s="25" t="str">
        <f t="shared" si="342"/>
        <v/>
      </c>
      <c r="AS391" s="25" t="str">
        <f t="shared" si="343"/>
        <v/>
      </c>
      <c r="AT391" s="25" t="str">
        <f t="shared" si="344"/>
        <v/>
      </c>
      <c r="AU391" s="25" t="str">
        <f t="shared" si="345"/>
        <v/>
      </c>
      <c r="AV391" s="25" t="str">
        <f t="shared" si="346"/>
        <v/>
      </c>
      <c r="AW391" s="25" t="str">
        <f t="shared" si="347"/>
        <v/>
      </c>
      <c r="AX391" s="26" t="str">
        <f t="shared" si="348"/>
        <v/>
      </c>
    </row>
    <row r="392" spans="4:50" hidden="1" x14ac:dyDescent="0.25">
      <c r="D392" s="70">
        <v>90</v>
      </c>
      <c r="E392" s="24" t="str">
        <f t="shared" si="309"/>
        <v/>
      </c>
      <c r="F392" s="25" t="str">
        <f t="shared" si="310"/>
        <v/>
      </c>
      <c r="G392" s="25" t="str">
        <f t="shared" si="311"/>
        <v/>
      </c>
      <c r="H392" s="25" t="str">
        <f t="shared" si="312"/>
        <v/>
      </c>
      <c r="I392" s="25" t="str">
        <f t="shared" si="313"/>
        <v/>
      </c>
      <c r="J392" s="25" t="str">
        <f t="shared" si="314"/>
        <v/>
      </c>
      <c r="K392" s="25" t="str">
        <f t="shared" si="315"/>
        <v/>
      </c>
      <c r="L392" s="26" t="str">
        <f t="shared" si="316"/>
        <v/>
      </c>
      <c r="M392" s="24" t="str">
        <f t="shared" si="317"/>
        <v/>
      </c>
      <c r="N392" s="25" t="str">
        <f t="shared" si="318"/>
        <v/>
      </c>
      <c r="O392" s="25" t="str">
        <f t="shared" si="319"/>
        <v/>
      </c>
      <c r="P392" s="25" t="str">
        <f t="shared" si="320"/>
        <v/>
      </c>
      <c r="Q392" s="25" t="str">
        <f t="shared" si="321"/>
        <v/>
      </c>
      <c r="R392" s="25" t="str">
        <f t="shared" si="322"/>
        <v/>
      </c>
      <c r="S392" s="25" t="str">
        <f t="shared" si="323"/>
        <v/>
      </c>
      <c r="T392" s="26" t="str">
        <f t="shared" si="324"/>
        <v/>
      </c>
      <c r="X392" s="24" t="str">
        <f t="shared" si="325"/>
        <v/>
      </c>
      <c r="Y392" s="25" t="str">
        <f t="shared" si="326"/>
        <v/>
      </c>
      <c r="Z392" s="25" t="str">
        <f t="shared" si="327"/>
        <v/>
      </c>
      <c r="AA392" s="25" t="str">
        <f t="shared" si="328"/>
        <v/>
      </c>
      <c r="AB392" s="25" t="str">
        <f t="shared" si="329"/>
        <v/>
      </c>
      <c r="AC392" s="25" t="str">
        <f t="shared" si="330"/>
        <v/>
      </c>
      <c r="AD392" s="25" t="str">
        <f t="shared" si="331"/>
        <v/>
      </c>
      <c r="AE392" s="26" t="str">
        <f t="shared" si="332"/>
        <v/>
      </c>
      <c r="AF392" s="24" t="str">
        <f t="shared" si="333"/>
        <v/>
      </c>
      <c r="AG392" s="25" t="str">
        <f t="shared" si="334"/>
        <v/>
      </c>
      <c r="AH392" s="25" t="str">
        <f t="shared" si="335"/>
        <v/>
      </c>
      <c r="AI392" s="25" t="str">
        <f t="shared" si="336"/>
        <v/>
      </c>
      <c r="AJ392" s="25" t="str">
        <f t="shared" si="337"/>
        <v/>
      </c>
      <c r="AK392" s="25" t="str">
        <f t="shared" si="338"/>
        <v/>
      </c>
      <c r="AL392" s="25" t="str">
        <f t="shared" si="339"/>
        <v/>
      </c>
      <c r="AM392" s="26" t="str">
        <f t="shared" si="340"/>
        <v/>
      </c>
      <c r="AQ392" s="24" t="str">
        <f t="shared" si="341"/>
        <v/>
      </c>
      <c r="AR392" s="25" t="str">
        <f t="shared" si="342"/>
        <v/>
      </c>
      <c r="AS392" s="25" t="str">
        <f t="shared" si="343"/>
        <v/>
      </c>
      <c r="AT392" s="25" t="str">
        <f t="shared" si="344"/>
        <v/>
      </c>
      <c r="AU392" s="25" t="str">
        <f t="shared" si="345"/>
        <v/>
      </c>
      <c r="AV392" s="25" t="str">
        <f t="shared" si="346"/>
        <v/>
      </c>
      <c r="AW392" s="25" t="str">
        <f t="shared" si="347"/>
        <v/>
      </c>
      <c r="AX392" s="26" t="str">
        <f t="shared" si="348"/>
        <v/>
      </c>
    </row>
    <row r="393" spans="4:50" hidden="1" x14ac:dyDescent="0.25">
      <c r="D393" s="70">
        <v>91</v>
      </c>
      <c r="E393" s="24" t="str">
        <f t="shared" si="309"/>
        <v/>
      </c>
      <c r="F393" s="25" t="str">
        <f t="shared" si="310"/>
        <v/>
      </c>
      <c r="G393" s="25" t="str">
        <f t="shared" si="311"/>
        <v/>
      </c>
      <c r="H393" s="25" t="str">
        <f t="shared" si="312"/>
        <v/>
      </c>
      <c r="I393" s="25" t="str">
        <f t="shared" si="313"/>
        <v/>
      </c>
      <c r="J393" s="25" t="str">
        <f t="shared" si="314"/>
        <v/>
      </c>
      <c r="K393" s="25" t="str">
        <f t="shared" si="315"/>
        <v/>
      </c>
      <c r="L393" s="26" t="str">
        <f t="shared" si="316"/>
        <v/>
      </c>
      <c r="M393" s="24" t="str">
        <f t="shared" si="317"/>
        <v/>
      </c>
      <c r="N393" s="25" t="str">
        <f t="shared" si="318"/>
        <v/>
      </c>
      <c r="O393" s="25" t="str">
        <f t="shared" si="319"/>
        <v/>
      </c>
      <c r="P393" s="25" t="str">
        <f t="shared" si="320"/>
        <v/>
      </c>
      <c r="Q393" s="25" t="str">
        <f t="shared" si="321"/>
        <v/>
      </c>
      <c r="R393" s="25" t="str">
        <f t="shared" si="322"/>
        <v/>
      </c>
      <c r="S393" s="25" t="str">
        <f t="shared" si="323"/>
        <v/>
      </c>
      <c r="T393" s="26" t="str">
        <f t="shared" si="324"/>
        <v/>
      </c>
      <c r="X393" s="24" t="str">
        <f t="shared" si="325"/>
        <v/>
      </c>
      <c r="Y393" s="25" t="str">
        <f t="shared" si="326"/>
        <v/>
      </c>
      <c r="Z393" s="25" t="str">
        <f t="shared" si="327"/>
        <v/>
      </c>
      <c r="AA393" s="25" t="str">
        <f t="shared" si="328"/>
        <v/>
      </c>
      <c r="AB393" s="25" t="str">
        <f t="shared" si="329"/>
        <v/>
      </c>
      <c r="AC393" s="25" t="str">
        <f t="shared" si="330"/>
        <v/>
      </c>
      <c r="AD393" s="25" t="str">
        <f t="shared" si="331"/>
        <v/>
      </c>
      <c r="AE393" s="26" t="str">
        <f t="shared" si="332"/>
        <v/>
      </c>
      <c r="AF393" s="24" t="str">
        <f t="shared" si="333"/>
        <v/>
      </c>
      <c r="AG393" s="25" t="str">
        <f t="shared" si="334"/>
        <v/>
      </c>
      <c r="AH393" s="25" t="str">
        <f t="shared" si="335"/>
        <v/>
      </c>
      <c r="AI393" s="25" t="str">
        <f t="shared" si="336"/>
        <v/>
      </c>
      <c r="AJ393" s="25" t="str">
        <f t="shared" si="337"/>
        <v/>
      </c>
      <c r="AK393" s="25" t="str">
        <f t="shared" si="338"/>
        <v/>
      </c>
      <c r="AL393" s="25" t="str">
        <f t="shared" si="339"/>
        <v/>
      </c>
      <c r="AM393" s="26" t="str">
        <f t="shared" si="340"/>
        <v/>
      </c>
      <c r="AQ393" s="24" t="str">
        <f t="shared" si="341"/>
        <v/>
      </c>
      <c r="AR393" s="25" t="str">
        <f t="shared" si="342"/>
        <v/>
      </c>
      <c r="AS393" s="25" t="str">
        <f t="shared" si="343"/>
        <v/>
      </c>
      <c r="AT393" s="25" t="str">
        <f t="shared" si="344"/>
        <v/>
      </c>
      <c r="AU393" s="25" t="str">
        <f t="shared" si="345"/>
        <v/>
      </c>
      <c r="AV393" s="25" t="str">
        <f t="shared" si="346"/>
        <v/>
      </c>
      <c r="AW393" s="25" t="str">
        <f t="shared" si="347"/>
        <v/>
      </c>
      <c r="AX393" s="26" t="str">
        <f t="shared" si="348"/>
        <v/>
      </c>
    </row>
    <row r="394" spans="4:50" hidden="1" x14ac:dyDescent="0.25">
      <c r="D394" s="70">
        <v>92</v>
      </c>
      <c r="E394" s="24" t="str">
        <f t="shared" si="309"/>
        <v/>
      </c>
      <c r="F394" s="25" t="str">
        <f t="shared" si="310"/>
        <v/>
      </c>
      <c r="G394" s="25" t="str">
        <f t="shared" si="311"/>
        <v/>
      </c>
      <c r="H394" s="25" t="str">
        <f t="shared" si="312"/>
        <v/>
      </c>
      <c r="I394" s="25" t="str">
        <f t="shared" si="313"/>
        <v/>
      </c>
      <c r="J394" s="25" t="str">
        <f t="shared" si="314"/>
        <v/>
      </c>
      <c r="K394" s="25" t="str">
        <f t="shared" si="315"/>
        <v/>
      </c>
      <c r="L394" s="26" t="str">
        <f t="shared" si="316"/>
        <v/>
      </c>
      <c r="M394" s="24" t="str">
        <f t="shared" si="317"/>
        <v/>
      </c>
      <c r="N394" s="25" t="str">
        <f t="shared" si="318"/>
        <v/>
      </c>
      <c r="O394" s="25" t="str">
        <f t="shared" si="319"/>
        <v/>
      </c>
      <c r="P394" s="25" t="str">
        <f t="shared" si="320"/>
        <v/>
      </c>
      <c r="Q394" s="25" t="str">
        <f t="shared" si="321"/>
        <v/>
      </c>
      <c r="R394" s="25" t="str">
        <f t="shared" si="322"/>
        <v/>
      </c>
      <c r="S394" s="25" t="str">
        <f t="shared" si="323"/>
        <v/>
      </c>
      <c r="T394" s="26" t="str">
        <f t="shared" si="324"/>
        <v/>
      </c>
      <c r="X394" s="24" t="str">
        <f t="shared" si="325"/>
        <v/>
      </c>
      <c r="Y394" s="25" t="str">
        <f t="shared" si="326"/>
        <v/>
      </c>
      <c r="Z394" s="25" t="str">
        <f t="shared" si="327"/>
        <v/>
      </c>
      <c r="AA394" s="25" t="str">
        <f t="shared" si="328"/>
        <v/>
      </c>
      <c r="AB394" s="25" t="str">
        <f t="shared" si="329"/>
        <v/>
      </c>
      <c r="AC394" s="25" t="str">
        <f t="shared" si="330"/>
        <v/>
      </c>
      <c r="AD394" s="25" t="str">
        <f t="shared" si="331"/>
        <v/>
      </c>
      <c r="AE394" s="26" t="str">
        <f t="shared" si="332"/>
        <v/>
      </c>
      <c r="AF394" s="24" t="str">
        <f t="shared" si="333"/>
        <v/>
      </c>
      <c r="AG394" s="25" t="str">
        <f t="shared" si="334"/>
        <v/>
      </c>
      <c r="AH394" s="25" t="str">
        <f t="shared" si="335"/>
        <v/>
      </c>
      <c r="AI394" s="25" t="str">
        <f t="shared" si="336"/>
        <v/>
      </c>
      <c r="AJ394" s="25" t="str">
        <f t="shared" si="337"/>
        <v/>
      </c>
      <c r="AK394" s="25" t="str">
        <f t="shared" si="338"/>
        <v/>
      </c>
      <c r="AL394" s="25" t="str">
        <f t="shared" si="339"/>
        <v/>
      </c>
      <c r="AM394" s="26" t="str">
        <f t="shared" si="340"/>
        <v/>
      </c>
      <c r="AQ394" s="24" t="str">
        <f t="shared" si="341"/>
        <v/>
      </c>
      <c r="AR394" s="25" t="str">
        <f t="shared" si="342"/>
        <v/>
      </c>
      <c r="AS394" s="25" t="str">
        <f t="shared" si="343"/>
        <v/>
      </c>
      <c r="AT394" s="25" t="str">
        <f t="shared" si="344"/>
        <v/>
      </c>
      <c r="AU394" s="25" t="str">
        <f t="shared" si="345"/>
        <v/>
      </c>
      <c r="AV394" s="25" t="str">
        <f t="shared" si="346"/>
        <v/>
      </c>
      <c r="AW394" s="25" t="str">
        <f t="shared" si="347"/>
        <v/>
      </c>
      <c r="AX394" s="26" t="str">
        <f t="shared" si="348"/>
        <v/>
      </c>
    </row>
    <row r="395" spans="4:50" hidden="1" x14ac:dyDescent="0.25">
      <c r="D395" s="70">
        <v>93</v>
      </c>
      <c r="E395" s="24" t="str">
        <f t="shared" si="309"/>
        <v/>
      </c>
      <c r="F395" s="25" t="str">
        <f t="shared" si="310"/>
        <v/>
      </c>
      <c r="G395" s="25" t="str">
        <f t="shared" si="311"/>
        <v/>
      </c>
      <c r="H395" s="25" t="str">
        <f t="shared" si="312"/>
        <v/>
      </c>
      <c r="I395" s="25" t="str">
        <f t="shared" si="313"/>
        <v/>
      </c>
      <c r="J395" s="25" t="str">
        <f t="shared" si="314"/>
        <v/>
      </c>
      <c r="K395" s="25" t="str">
        <f t="shared" si="315"/>
        <v/>
      </c>
      <c r="L395" s="26" t="str">
        <f t="shared" si="316"/>
        <v/>
      </c>
      <c r="M395" s="24" t="str">
        <f t="shared" si="317"/>
        <v/>
      </c>
      <c r="N395" s="25" t="str">
        <f t="shared" si="318"/>
        <v/>
      </c>
      <c r="O395" s="25" t="str">
        <f t="shared" si="319"/>
        <v/>
      </c>
      <c r="P395" s="25" t="str">
        <f t="shared" si="320"/>
        <v/>
      </c>
      <c r="Q395" s="25" t="str">
        <f t="shared" si="321"/>
        <v/>
      </c>
      <c r="R395" s="25" t="str">
        <f t="shared" si="322"/>
        <v/>
      </c>
      <c r="S395" s="25" t="str">
        <f t="shared" si="323"/>
        <v/>
      </c>
      <c r="T395" s="26" t="str">
        <f t="shared" si="324"/>
        <v/>
      </c>
      <c r="X395" s="24" t="str">
        <f t="shared" si="325"/>
        <v/>
      </c>
      <c r="Y395" s="25" t="str">
        <f t="shared" si="326"/>
        <v/>
      </c>
      <c r="Z395" s="25" t="str">
        <f t="shared" si="327"/>
        <v/>
      </c>
      <c r="AA395" s="25" t="str">
        <f t="shared" si="328"/>
        <v/>
      </c>
      <c r="AB395" s="25" t="str">
        <f t="shared" si="329"/>
        <v/>
      </c>
      <c r="AC395" s="25" t="str">
        <f t="shared" si="330"/>
        <v/>
      </c>
      <c r="AD395" s="25" t="str">
        <f t="shared" si="331"/>
        <v/>
      </c>
      <c r="AE395" s="26" t="str">
        <f t="shared" si="332"/>
        <v/>
      </c>
      <c r="AF395" s="24" t="str">
        <f t="shared" si="333"/>
        <v/>
      </c>
      <c r="AG395" s="25" t="str">
        <f t="shared" si="334"/>
        <v/>
      </c>
      <c r="AH395" s="25" t="str">
        <f t="shared" si="335"/>
        <v/>
      </c>
      <c r="AI395" s="25" t="str">
        <f t="shared" si="336"/>
        <v/>
      </c>
      <c r="AJ395" s="25" t="str">
        <f t="shared" si="337"/>
        <v/>
      </c>
      <c r="AK395" s="25" t="str">
        <f t="shared" si="338"/>
        <v/>
      </c>
      <c r="AL395" s="25" t="str">
        <f t="shared" si="339"/>
        <v/>
      </c>
      <c r="AM395" s="26" t="str">
        <f t="shared" si="340"/>
        <v/>
      </c>
      <c r="AQ395" s="24" t="str">
        <f t="shared" si="341"/>
        <v/>
      </c>
      <c r="AR395" s="25" t="str">
        <f t="shared" si="342"/>
        <v/>
      </c>
      <c r="AS395" s="25" t="str">
        <f t="shared" si="343"/>
        <v/>
      </c>
      <c r="AT395" s="25" t="str">
        <f t="shared" si="344"/>
        <v/>
      </c>
      <c r="AU395" s="25" t="str">
        <f t="shared" si="345"/>
        <v/>
      </c>
      <c r="AV395" s="25" t="str">
        <f t="shared" si="346"/>
        <v/>
      </c>
      <c r="AW395" s="25" t="str">
        <f t="shared" si="347"/>
        <v/>
      </c>
      <c r="AX395" s="26" t="str">
        <f t="shared" si="348"/>
        <v/>
      </c>
    </row>
    <row r="396" spans="4:50" hidden="1" x14ac:dyDescent="0.25">
      <c r="D396" s="70">
        <v>94</v>
      </c>
      <c r="E396" s="24" t="str">
        <f t="shared" si="309"/>
        <v/>
      </c>
      <c r="F396" s="25" t="str">
        <f t="shared" si="310"/>
        <v/>
      </c>
      <c r="G396" s="25" t="str">
        <f t="shared" si="311"/>
        <v/>
      </c>
      <c r="H396" s="25" t="str">
        <f t="shared" si="312"/>
        <v/>
      </c>
      <c r="I396" s="25" t="str">
        <f t="shared" si="313"/>
        <v/>
      </c>
      <c r="J396" s="25" t="str">
        <f t="shared" si="314"/>
        <v/>
      </c>
      <c r="K396" s="25" t="str">
        <f t="shared" si="315"/>
        <v/>
      </c>
      <c r="L396" s="26" t="str">
        <f t="shared" si="316"/>
        <v/>
      </c>
      <c r="M396" s="24" t="str">
        <f t="shared" si="317"/>
        <v/>
      </c>
      <c r="N396" s="25" t="str">
        <f t="shared" si="318"/>
        <v/>
      </c>
      <c r="O396" s="25" t="str">
        <f t="shared" si="319"/>
        <v/>
      </c>
      <c r="P396" s="25" t="str">
        <f t="shared" si="320"/>
        <v/>
      </c>
      <c r="Q396" s="25" t="str">
        <f t="shared" si="321"/>
        <v/>
      </c>
      <c r="R396" s="25" t="str">
        <f t="shared" si="322"/>
        <v/>
      </c>
      <c r="S396" s="25" t="str">
        <f t="shared" si="323"/>
        <v/>
      </c>
      <c r="T396" s="26" t="str">
        <f t="shared" si="324"/>
        <v/>
      </c>
      <c r="X396" s="24" t="str">
        <f t="shared" si="325"/>
        <v/>
      </c>
      <c r="Y396" s="25" t="str">
        <f t="shared" si="326"/>
        <v/>
      </c>
      <c r="Z396" s="25" t="str">
        <f t="shared" si="327"/>
        <v/>
      </c>
      <c r="AA396" s="25" t="str">
        <f t="shared" si="328"/>
        <v/>
      </c>
      <c r="AB396" s="25" t="str">
        <f t="shared" si="329"/>
        <v/>
      </c>
      <c r="AC396" s="25" t="str">
        <f t="shared" si="330"/>
        <v/>
      </c>
      <c r="AD396" s="25" t="str">
        <f t="shared" si="331"/>
        <v/>
      </c>
      <c r="AE396" s="26" t="str">
        <f t="shared" si="332"/>
        <v/>
      </c>
      <c r="AF396" s="24" t="str">
        <f t="shared" si="333"/>
        <v/>
      </c>
      <c r="AG396" s="25" t="str">
        <f t="shared" si="334"/>
        <v/>
      </c>
      <c r="AH396" s="25" t="str">
        <f t="shared" si="335"/>
        <v/>
      </c>
      <c r="AI396" s="25" t="str">
        <f t="shared" si="336"/>
        <v/>
      </c>
      <c r="AJ396" s="25" t="str">
        <f t="shared" si="337"/>
        <v/>
      </c>
      <c r="AK396" s="25" t="str">
        <f t="shared" si="338"/>
        <v/>
      </c>
      <c r="AL396" s="25" t="str">
        <f t="shared" si="339"/>
        <v/>
      </c>
      <c r="AM396" s="26" t="str">
        <f t="shared" si="340"/>
        <v/>
      </c>
      <c r="AQ396" s="24" t="str">
        <f t="shared" si="341"/>
        <v/>
      </c>
      <c r="AR396" s="25" t="str">
        <f t="shared" si="342"/>
        <v/>
      </c>
      <c r="AS396" s="25" t="str">
        <f t="shared" si="343"/>
        <v/>
      </c>
      <c r="AT396" s="25" t="str">
        <f t="shared" si="344"/>
        <v/>
      </c>
      <c r="AU396" s="25" t="str">
        <f t="shared" si="345"/>
        <v/>
      </c>
      <c r="AV396" s="25" t="str">
        <f t="shared" si="346"/>
        <v/>
      </c>
      <c r="AW396" s="25" t="str">
        <f t="shared" si="347"/>
        <v/>
      </c>
      <c r="AX396" s="26" t="str">
        <f t="shared" si="348"/>
        <v/>
      </c>
    </row>
    <row r="397" spans="4:50" hidden="1" x14ac:dyDescent="0.25">
      <c r="D397" s="70">
        <v>95</v>
      </c>
      <c r="E397" s="24" t="str">
        <f t="shared" si="309"/>
        <v/>
      </c>
      <c r="F397" s="25" t="str">
        <f t="shared" si="310"/>
        <v/>
      </c>
      <c r="G397" s="25" t="str">
        <f t="shared" si="311"/>
        <v/>
      </c>
      <c r="H397" s="25" t="str">
        <f t="shared" si="312"/>
        <v/>
      </c>
      <c r="I397" s="25" t="str">
        <f t="shared" si="313"/>
        <v/>
      </c>
      <c r="J397" s="25" t="str">
        <f t="shared" si="314"/>
        <v/>
      </c>
      <c r="K397" s="25" t="str">
        <f t="shared" si="315"/>
        <v/>
      </c>
      <c r="L397" s="26" t="str">
        <f t="shared" si="316"/>
        <v/>
      </c>
      <c r="M397" s="24" t="str">
        <f t="shared" si="317"/>
        <v/>
      </c>
      <c r="N397" s="25" t="str">
        <f t="shared" si="318"/>
        <v/>
      </c>
      <c r="O397" s="25" t="str">
        <f t="shared" si="319"/>
        <v/>
      </c>
      <c r="P397" s="25" t="str">
        <f t="shared" si="320"/>
        <v/>
      </c>
      <c r="Q397" s="25" t="str">
        <f t="shared" si="321"/>
        <v/>
      </c>
      <c r="R397" s="25" t="str">
        <f t="shared" si="322"/>
        <v/>
      </c>
      <c r="S397" s="25" t="str">
        <f t="shared" si="323"/>
        <v/>
      </c>
      <c r="T397" s="26" t="str">
        <f t="shared" si="324"/>
        <v/>
      </c>
      <c r="X397" s="24" t="str">
        <f t="shared" si="325"/>
        <v/>
      </c>
      <c r="Y397" s="25" t="str">
        <f t="shared" si="326"/>
        <v/>
      </c>
      <c r="Z397" s="25" t="str">
        <f t="shared" si="327"/>
        <v/>
      </c>
      <c r="AA397" s="25" t="str">
        <f t="shared" si="328"/>
        <v/>
      </c>
      <c r="AB397" s="25" t="str">
        <f t="shared" si="329"/>
        <v/>
      </c>
      <c r="AC397" s="25" t="str">
        <f t="shared" si="330"/>
        <v/>
      </c>
      <c r="AD397" s="25" t="str">
        <f t="shared" si="331"/>
        <v/>
      </c>
      <c r="AE397" s="26" t="str">
        <f t="shared" si="332"/>
        <v/>
      </c>
      <c r="AF397" s="24" t="str">
        <f t="shared" si="333"/>
        <v/>
      </c>
      <c r="AG397" s="25" t="str">
        <f t="shared" si="334"/>
        <v/>
      </c>
      <c r="AH397" s="25" t="str">
        <f t="shared" si="335"/>
        <v/>
      </c>
      <c r="AI397" s="25" t="str">
        <f t="shared" si="336"/>
        <v/>
      </c>
      <c r="AJ397" s="25" t="str">
        <f t="shared" si="337"/>
        <v/>
      </c>
      <c r="AK397" s="25" t="str">
        <f t="shared" si="338"/>
        <v/>
      </c>
      <c r="AL397" s="25" t="str">
        <f t="shared" si="339"/>
        <v/>
      </c>
      <c r="AM397" s="26" t="str">
        <f t="shared" si="340"/>
        <v/>
      </c>
      <c r="AQ397" s="24" t="str">
        <f t="shared" si="341"/>
        <v/>
      </c>
      <c r="AR397" s="25" t="str">
        <f t="shared" si="342"/>
        <v/>
      </c>
      <c r="AS397" s="25" t="str">
        <f t="shared" si="343"/>
        <v/>
      </c>
      <c r="AT397" s="25" t="str">
        <f t="shared" si="344"/>
        <v/>
      </c>
      <c r="AU397" s="25" t="str">
        <f t="shared" si="345"/>
        <v/>
      </c>
      <c r="AV397" s="25" t="str">
        <f t="shared" si="346"/>
        <v/>
      </c>
      <c r="AW397" s="25" t="str">
        <f t="shared" si="347"/>
        <v/>
      </c>
      <c r="AX397" s="26" t="str">
        <f t="shared" si="348"/>
        <v/>
      </c>
    </row>
    <row r="398" spans="4:50" hidden="1" x14ac:dyDescent="0.25">
      <c r="D398" s="70">
        <v>96</v>
      </c>
      <c r="E398" s="24" t="str">
        <f t="shared" si="309"/>
        <v/>
      </c>
      <c r="F398" s="25" t="str">
        <f t="shared" si="310"/>
        <v/>
      </c>
      <c r="G398" s="25" t="str">
        <f t="shared" si="311"/>
        <v/>
      </c>
      <c r="H398" s="25" t="str">
        <f t="shared" si="312"/>
        <v/>
      </c>
      <c r="I398" s="25" t="str">
        <f t="shared" si="313"/>
        <v/>
      </c>
      <c r="J398" s="25" t="str">
        <f t="shared" si="314"/>
        <v/>
      </c>
      <c r="K398" s="25" t="str">
        <f t="shared" si="315"/>
        <v/>
      </c>
      <c r="L398" s="26" t="str">
        <f t="shared" si="316"/>
        <v/>
      </c>
      <c r="M398" s="24" t="str">
        <f t="shared" si="317"/>
        <v/>
      </c>
      <c r="N398" s="25" t="str">
        <f t="shared" si="318"/>
        <v/>
      </c>
      <c r="O398" s="25" t="str">
        <f t="shared" si="319"/>
        <v/>
      </c>
      <c r="P398" s="25" t="str">
        <f t="shared" si="320"/>
        <v/>
      </c>
      <c r="Q398" s="25" t="str">
        <f t="shared" si="321"/>
        <v/>
      </c>
      <c r="R398" s="25" t="str">
        <f t="shared" si="322"/>
        <v/>
      </c>
      <c r="S398" s="25" t="str">
        <f t="shared" si="323"/>
        <v/>
      </c>
      <c r="T398" s="26" t="str">
        <f t="shared" si="324"/>
        <v/>
      </c>
      <c r="X398" s="24" t="str">
        <f t="shared" si="325"/>
        <v/>
      </c>
      <c r="Y398" s="25" t="str">
        <f t="shared" si="326"/>
        <v/>
      </c>
      <c r="Z398" s="25" t="str">
        <f t="shared" si="327"/>
        <v/>
      </c>
      <c r="AA398" s="25" t="str">
        <f t="shared" si="328"/>
        <v/>
      </c>
      <c r="AB398" s="25" t="str">
        <f t="shared" si="329"/>
        <v/>
      </c>
      <c r="AC398" s="25" t="str">
        <f t="shared" si="330"/>
        <v/>
      </c>
      <c r="AD398" s="25" t="str">
        <f t="shared" si="331"/>
        <v/>
      </c>
      <c r="AE398" s="26" t="str">
        <f t="shared" si="332"/>
        <v/>
      </c>
      <c r="AF398" s="24" t="str">
        <f t="shared" si="333"/>
        <v/>
      </c>
      <c r="AG398" s="25" t="str">
        <f t="shared" si="334"/>
        <v/>
      </c>
      <c r="AH398" s="25" t="str">
        <f t="shared" si="335"/>
        <v/>
      </c>
      <c r="AI398" s="25" t="str">
        <f t="shared" si="336"/>
        <v/>
      </c>
      <c r="AJ398" s="25" t="str">
        <f t="shared" si="337"/>
        <v/>
      </c>
      <c r="AK398" s="25" t="str">
        <f t="shared" si="338"/>
        <v/>
      </c>
      <c r="AL398" s="25" t="str">
        <f t="shared" si="339"/>
        <v/>
      </c>
      <c r="AM398" s="26" t="str">
        <f t="shared" si="340"/>
        <v/>
      </c>
      <c r="AQ398" s="24" t="str">
        <f t="shared" si="341"/>
        <v/>
      </c>
      <c r="AR398" s="25" t="str">
        <f t="shared" si="342"/>
        <v/>
      </c>
      <c r="AS398" s="25" t="str">
        <f t="shared" si="343"/>
        <v/>
      </c>
      <c r="AT398" s="25" t="str">
        <f t="shared" si="344"/>
        <v/>
      </c>
      <c r="AU398" s="25" t="str">
        <f t="shared" si="345"/>
        <v/>
      </c>
      <c r="AV398" s="25" t="str">
        <f t="shared" si="346"/>
        <v/>
      </c>
      <c r="AW398" s="25" t="str">
        <f t="shared" si="347"/>
        <v/>
      </c>
      <c r="AX398" s="26" t="str">
        <f t="shared" si="348"/>
        <v/>
      </c>
    </row>
    <row r="399" spans="4:50" hidden="1" x14ac:dyDescent="0.25">
      <c r="D399" s="70">
        <v>97</v>
      </c>
      <c r="E399" s="24" t="str">
        <f t="shared" ref="E399:E430" si="349">IFERROR(VLOOKUP(SMALL($D$170:$D$297,$D399),$D$170:$AX$297,2,FALSE),"")</f>
        <v/>
      </c>
      <c r="F399" s="25" t="str">
        <f t="shared" ref="F399:F430" si="350">IFERROR(VLOOKUP(SMALL($D$170:$D$297,$D399),$D$170:$AX$297,3,FALSE),"")</f>
        <v/>
      </c>
      <c r="G399" s="25" t="str">
        <f t="shared" ref="G399:G430" si="351">IFERROR(VLOOKUP(SMALL($D$170:$D$297,$D399),$D$170:$AX$297,4,FALSE),"")</f>
        <v/>
      </c>
      <c r="H399" s="25" t="str">
        <f t="shared" ref="H399:H430" si="352">IFERROR(VLOOKUP(SMALL($D$170:$D$297,$D399),$D$170:$AX$297,5,FALSE),"")</f>
        <v/>
      </c>
      <c r="I399" s="25" t="str">
        <f t="shared" ref="I399:I430" si="353">IFERROR(VLOOKUP(SMALL($D$170:$D$297,$D399),$D$170:$AX$297,6,FALSE),"")</f>
        <v/>
      </c>
      <c r="J399" s="25" t="str">
        <f t="shared" ref="J399:J430" si="354">IFERROR(VLOOKUP(SMALL($D$170:$D$297,$D399),$D$170:$AX$297,7,FALSE),"")</f>
        <v/>
      </c>
      <c r="K399" s="25" t="str">
        <f t="shared" ref="K399:K430" si="355">IFERROR(VLOOKUP(SMALL($D$170:$D$297,$D399),$D$170:$AX$297,8,FALSE),"")</f>
        <v/>
      </c>
      <c r="L399" s="26" t="str">
        <f t="shared" ref="L399:L430" si="356">IFERROR(VLOOKUP(SMALL($D$170:$D$297,$D399),$D$170:$AX$297,9,FALSE),"")</f>
        <v/>
      </c>
      <c r="M399" s="24" t="str">
        <f t="shared" ref="M399:M430" si="357">IFERROR(VLOOKUP(SMALL($D$170:$D$297,$D399),$D$170:$AX$297,10,FALSE),"")</f>
        <v/>
      </c>
      <c r="N399" s="25" t="str">
        <f t="shared" ref="N399:N430" si="358">IFERROR(VLOOKUP(SMALL($D$170:$D$297,$D399),$D$170:$AX$297,11,FALSE),"")</f>
        <v/>
      </c>
      <c r="O399" s="25" t="str">
        <f t="shared" ref="O399:O430" si="359">IFERROR(VLOOKUP(SMALL($D$170:$D$297,$D399),$D$170:$AX$297,12,FALSE),"")</f>
        <v/>
      </c>
      <c r="P399" s="25" t="str">
        <f t="shared" ref="P399:P430" si="360">IFERROR(VLOOKUP(SMALL($D$170:$D$297,$D399),$D$170:$AX$297,13,FALSE),"")</f>
        <v/>
      </c>
      <c r="Q399" s="25" t="str">
        <f t="shared" ref="Q399:Q430" si="361">IFERROR(VLOOKUP(SMALL($D$170:$D$297,$D399),$D$170:$AX$297,14,FALSE),"")</f>
        <v/>
      </c>
      <c r="R399" s="25" t="str">
        <f t="shared" ref="R399:R430" si="362">IFERROR(VLOOKUP(SMALL($D$170:$D$297,$D399),$D$170:$AX$297,15,FALSE),"")</f>
        <v/>
      </c>
      <c r="S399" s="25" t="str">
        <f t="shared" ref="S399:S430" si="363">IFERROR(VLOOKUP(SMALL($D$170:$D$297,$D399),$D$170:$AX$297,16,FALSE),"")</f>
        <v/>
      </c>
      <c r="T399" s="26" t="str">
        <f t="shared" ref="T399:T430" si="364">IFERROR(VLOOKUP(SMALL($D$170:$D$297,$D399),$D$170:$AX$297,17,FALSE),"")</f>
        <v/>
      </c>
      <c r="X399" s="24" t="str">
        <f t="shared" ref="X399:X430" si="365">IFERROR(VLOOKUP(SMALL($D$170:$D$297,$D399),$D$170:$AX$297,21,FALSE),"")</f>
        <v/>
      </c>
      <c r="Y399" s="25" t="str">
        <f t="shared" ref="Y399:Y430" si="366">IFERROR(VLOOKUP(SMALL($D$170:$D$297,$D399),$D$170:$AX$297,22,FALSE),"")</f>
        <v/>
      </c>
      <c r="Z399" s="25" t="str">
        <f t="shared" ref="Z399:Z430" si="367">IFERROR(VLOOKUP(SMALL($D$170:$D$297,$D399),$D$170:$AX$297,23,FALSE),"")</f>
        <v/>
      </c>
      <c r="AA399" s="25" t="str">
        <f t="shared" ref="AA399:AA430" si="368">IFERROR(VLOOKUP(SMALL($D$170:$D$297,$D399),$D$170:$AX$297,24,FALSE),"")</f>
        <v/>
      </c>
      <c r="AB399" s="25" t="str">
        <f t="shared" ref="AB399:AB430" si="369">IFERROR(VLOOKUP(SMALL($D$170:$D$297,$D399),$D$170:$AX$297,25,FALSE),"")</f>
        <v/>
      </c>
      <c r="AC399" s="25" t="str">
        <f t="shared" ref="AC399:AC430" si="370">IFERROR(VLOOKUP(SMALL($D$170:$D$297,$D399),$D$170:$AX$297,26,FALSE),"")</f>
        <v/>
      </c>
      <c r="AD399" s="25" t="str">
        <f t="shared" ref="AD399:AD430" si="371">IFERROR(VLOOKUP(SMALL($D$170:$D$297,$D399),$D$170:$AX$297,27,FALSE),"")</f>
        <v/>
      </c>
      <c r="AE399" s="26" t="str">
        <f t="shared" ref="AE399:AE430" si="372">IFERROR(VLOOKUP(SMALL($D$170:$D$297,$D399),$D$170:$AX$297,28,FALSE),"")</f>
        <v/>
      </c>
      <c r="AF399" s="24" t="str">
        <f t="shared" ref="AF399:AF430" si="373">IFERROR(VLOOKUP(SMALL($D$170:$D$297,$D399),$D$170:$AX$297,29,FALSE),"")</f>
        <v/>
      </c>
      <c r="AG399" s="25" t="str">
        <f t="shared" ref="AG399:AG430" si="374">IFERROR(VLOOKUP(SMALL($D$170:$D$297,$D399),$D$170:$AX$297,30,FALSE),"")</f>
        <v/>
      </c>
      <c r="AH399" s="25" t="str">
        <f t="shared" ref="AH399:AH430" si="375">IFERROR(VLOOKUP(SMALL($D$170:$D$297,$D399),$D$170:$AX$297,31,FALSE),"")</f>
        <v/>
      </c>
      <c r="AI399" s="25" t="str">
        <f t="shared" ref="AI399:AI430" si="376">IFERROR(VLOOKUP(SMALL($D$170:$D$297,$D399),$D$170:$AX$297,32,FALSE),"")</f>
        <v/>
      </c>
      <c r="AJ399" s="25" t="str">
        <f t="shared" ref="AJ399:AJ430" si="377">IFERROR(VLOOKUP(SMALL($D$170:$D$297,$D399),$D$170:$AX$297,33,FALSE),"")</f>
        <v/>
      </c>
      <c r="AK399" s="25" t="str">
        <f t="shared" ref="AK399:AK430" si="378">IFERROR(VLOOKUP(SMALL($D$170:$D$297,$D399),$D$170:$AX$297,34,FALSE),"")</f>
        <v/>
      </c>
      <c r="AL399" s="25" t="str">
        <f t="shared" ref="AL399:AL430" si="379">IFERROR(VLOOKUP(SMALL($D$170:$D$297,$D399),$D$170:$AX$297,35,FALSE),"")</f>
        <v/>
      </c>
      <c r="AM399" s="26" t="str">
        <f t="shared" ref="AM399:AM430" si="380">IFERROR(VLOOKUP(SMALL($D$170:$D$297,$D399),$D$170:$AX$297,36,FALSE),"")</f>
        <v/>
      </c>
      <c r="AQ399" s="24" t="str">
        <f t="shared" ref="AQ399:AQ430" si="381">IFERROR(VLOOKUP(SMALL($D$170:$D$297,$D399),$D$170:$AX$297,40,FALSE),"")</f>
        <v/>
      </c>
      <c r="AR399" s="25" t="str">
        <f t="shared" ref="AR399:AR430" si="382">IFERROR(VLOOKUP(SMALL($D$170:$D$297,$D399),$D$170:$AX$297,41,FALSE),"")</f>
        <v/>
      </c>
      <c r="AS399" s="25" t="str">
        <f t="shared" ref="AS399:AS430" si="383">IFERROR(VLOOKUP(SMALL($D$170:$D$297,$D399),$D$170:$AX$297,42,FALSE),"")</f>
        <v/>
      </c>
      <c r="AT399" s="25" t="str">
        <f t="shared" ref="AT399:AT430" si="384">IFERROR(VLOOKUP(SMALL($D$170:$D$297,$D399),$D$170:$AX$297,43,FALSE),"")</f>
        <v/>
      </c>
      <c r="AU399" s="25" t="str">
        <f t="shared" ref="AU399:AU430" si="385">IFERROR(VLOOKUP(SMALL($D$170:$D$297,$D399),$D$170:$AX$297,44,FALSE),"")</f>
        <v/>
      </c>
      <c r="AV399" s="25" t="str">
        <f t="shared" ref="AV399:AV430" si="386">IFERROR(VLOOKUP(SMALL($D$170:$D$297,$D399),$D$170:$AX$297,45,FALSE),"")</f>
        <v/>
      </c>
      <c r="AW399" s="25" t="str">
        <f t="shared" ref="AW399:AW430" si="387">IFERROR(VLOOKUP(SMALL($D$170:$D$297,$D399),$D$170:$AX$297,46,FALSE),"")</f>
        <v/>
      </c>
      <c r="AX399" s="26" t="str">
        <f t="shared" ref="AX399:AX430" si="388">IFERROR(VLOOKUP(SMALL($D$170:$D$297,$D399),$D$170:$AX$297,47,FALSE),"")</f>
        <v/>
      </c>
    </row>
    <row r="400" spans="4:50" hidden="1" x14ac:dyDescent="0.25">
      <c r="D400" s="70">
        <v>98</v>
      </c>
      <c r="E400" s="24" t="str">
        <f t="shared" si="349"/>
        <v/>
      </c>
      <c r="F400" s="25" t="str">
        <f t="shared" si="350"/>
        <v/>
      </c>
      <c r="G400" s="25" t="str">
        <f t="shared" si="351"/>
        <v/>
      </c>
      <c r="H400" s="25" t="str">
        <f t="shared" si="352"/>
        <v/>
      </c>
      <c r="I400" s="25" t="str">
        <f t="shared" si="353"/>
        <v/>
      </c>
      <c r="J400" s="25" t="str">
        <f t="shared" si="354"/>
        <v/>
      </c>
      <c r="K400" s="25" t="str">
        <f t="shared" si="355"/>
        <v/>
      </c>
      <c r="L400" s="26" t="str">
        <f t="shared" si="356"/>
        <v/>
      </c>
      <c r="M400" s="24" t="str">
        <f t="shared" si="357"/>
        <v/>
      </c>
      <c r="N400" s="25" t="str">
        <f t="shared" si="358"/>
        <v/>
      </c>
      <c r="O400" s="25" t="str">
        <f t="shared" si="359"/>
        <v/>
      </c>
      <c r="P400" s="25" t="str">
        <f t="shared" si="360"/>
        <v/>
      </c>
      <c r="Q400" s="25" t="str">
        <f t="shared" si="361"/>
        <v/>
      </c>
      <c r="R400" s="25" t="str">
        <f t="shared" si="362"/>
        <v/>
      </c>
      <c r="S400" s="25" t="str">
        <f t="shared" si="363"/>
        <v/>
      </c>
      <c r="T400" s="26" t="str">
        <f t="shared" si="364"/>
        <v/>
      </c>
      <c r="X400" s="24" t="str">
        <f t="shared" si="365"/>
        <v/>
      </c>
      <c r="Y400" s="25" t="str">
        <f t="shared" si="366"/>
        <v/>
      </c>
      <c r="Z400" s="25" t="str">
        <f t="shared" si="367"/>
        <v/>
      </c>
      <c r="AA400" s="25" t="str">
        <f t="shared" si="368"/>
        <v/>
      </c>
      <c r="AB400" s="25" t="str">
        <f t="shared" si="369"/>
        <v/>
      </c>
      <c r="AC400" s="25" t="str">
        <f t="shared" si="370"/>
        <v/>
      </c>
      <c r="AD400" s="25" t="str">
        <f t="shared" si="371"/>
        <v/>
      </c>
      <c r="AE400" s="26" t="str">
        <f t="shared" si="372"/>
        <v/>
      </c>
      <c r="AF400" s="24" t="str">
        <f t="shared" si="373"/>
        <v/>
      </c>
      <c r="AG400" s="25" t="str">
        <f t="shared" si="374"/>
        <v/>
      </c>
      <c r="AH400" s="25" t="str">
        <f t="shared" si="375"/>
        <v/>
      </c>
      <c r="AI400" s="25" t="str">
        <f t="shared" si="376"/>
        <v/>
      </c>
      <c r="AJ400" s="25" t="str">
        <f t="shared" si="377"/>
        <v/>
      </c>
      <c r="AK400" s="25" t="str">
        <f t="shared" si="378"/>
        <v/>
      </c>
      <c r="AL400" s="25" t="str">
        <f t="shared" si="379"/>
        <v/>
      </c>
      <c r="AM400" s="26" t="str">
        <f t="shared" si="380"/>
        <v/>
      </c>
      <c r="AQ400" s="24" t="str">
        <f t="shared" si="381"/>
        <v/>
      </c>
      <c r="AR400" s="25" t="str">
        <f t="shared" si="382"/>
        <v/>
      </c>
      <c r="AS400" s="25" t="str">
        <f t="shared" si="383"/>
        <v/>
      </c>
      <c r="AT400" s="25" t="str">
        <f t="shared" si="384"/>
        <v/>
      </c>
      <c r="AU400" s="25" t="str">
        <f t="shared" si="385"/>
        <v/>
      </c>
      <c r="AV400" s="25" t="str">
        <f t="shared" si="386"/>
        <v/>
      </c>
      <c r="AW400" s="25" t="str">
        <f t="shared" si="387"/>
        <v/>
      </c>
      <c r="AX400" s="26" t="str">
        <f t="shared" si="388"/>
        <v/>
      </c>
    </row>
    <row r="401" spans="4:50" hidden="1" x14ac:dyDescent="0.25">
      <c r="D401" s="70">
        <v>99</v>
      </c>
      <c r="E401" s="24" t="str">
        <f t="shared" si="349"/>
        <v/>
      </c>
      <c r="F401" s="25" t="str">
        <f t="shared" si="350"/>
        <v/>
      </c>
      <c r="G401" s="25" t="str">
        <f t="shared" si="351"/>
        <v/>
      </c>
      <c r="H401" s="25" t="str">
        <f t="shared" si="352"/>
        <v/>
      </c>
      <c r="I401" s="25" t="str">
        <f t="shared" si="353"/>
        <v/>
      </c>
      <c r="J401" s="25" t="str">
        <f t="shared" si="354"/>
        <v/>
      </c>
      <c r="K401" s="25" t="str">
        <f t="shared" si="355"/>
        <v/>
      </c>
      <c r="L401" s="26" t="str">
        <f t="shared" si="356"/>
        <v/>
      </c>
      <c r="M401" s="24" t="str">
        <f t="shared" si="357"/>
        <v/>
      </c>
      <c r="N401" s="25" t="str">
        <f t="shared" si="358"/>
        <v/>
      </c>
      <c r="O401" s="25" t="str">
        <f t="shared" si="359"/>
        <v/>
      </c>
      <c r="P401" s="25" t="str">
        <f t="shared" si="360"/>
        <v/>
      </c>
      <c r="Q401" s="25" t="str">
        <f t="shared" si="361"/>
        <v/>
      </c>
      <c r="R401" s="25" t="str">
        <f t="shared" si="362"/>
        <v/>
      </c>
      <c r="S401" s="25" t="str">
        <f t="shared" si="363"/>
        <v/>
      </c>
      <c r="T401" s="26" t="str">
        <f t="shared" si="364"/>
        <v/>
      </c>
      <c r="X401" s="24" t="str">
        <f t="shared" si="365"/>
        <v/>
      </c>
      <c r="Y401" s="25" t="str">
        <f t="shared" si="366"/>
        <v/>
      </c>
      <c r="Z401" s="25" t="str">
        <f t="shared" si="367"/>
        <v/>
      </c>
      <c r="AA401" s="25" t="str">
        <f t="shared" si="368"/>
        <v/>
      </c>
      <c r="AB401" s="25" t="str">
        <f t="shared" si="369"/>
        <v/>
      </c>
      <c r="AC401" s="25" t="str">
        <f t="shared" si="370"/>
        <v/>
      </c>
      <c r="AD401" s="25" t="str">
        <f t="shared" si="371"/>
        <v/>
      </c>
      <c r="AE401" s="26" t="str">
        <f t="shared" si="372"/>
        <v/>
      </c>
      <c r="AF401" s="24" t="str">
        <f t="shared" si="373"/>
        <v/>
      </c>
      <c r="AG401" s="25" t="str">
        <f t="shared" si="374"/>
        <v/>
      </c>
      <c r="AH401" s="25" t="str">
        <f t="shared" si="375"/>
        <v/>
      </c>
      <c r="AI401" s="25" t="str">
        <f t="shared" si="376"/>
        <v/>
      </c>
      <c r="AJ401" s="25" t="str">
        <f t="shared" si="377"/>
        <v/>
      </c>
      <c r="AK401" s="25" t="str">
        <f t="shared" si="378"/>
        <v/>
      </c>
      <c r="AL401" s="25" t="str">
        <f t="shared" si="379"/>
        <v/>
      </c>
      <c r="AM401" s="26" t="str">
        <f t="shared" si="380"/>
        <v/>
      </c>
      <c r="AQ401" s="24" t="str">
        <f t="shared" si="381"/>
        <v/>
      </c>
      <c r="AR401" s="25" t="str">
        <f t="shared" si="382"/>
        <v/>
      </c>
      <c r="AS401" s="25" t="str">
        <f t="shared" si="383"/>
        <v/>
      </c>
      <c r="AT401" s="25" t="str">
        <f t="shared" si="384"/>
        <v/>
      </c>
      <c r="AU401" s="25" t="str">
        <f t="shared" si="385"/>
        <v/>
      </c>
      <c r="AV401" s="25" t="str">
        <f t="shared" si="386"/>
        <v/>
      </c>
      <c r="AW401" s="25" t="str">
        <f t="shared" si="387"/>
        <v/>
      </c>
      <c r="AX401" s="26" t="str">
        <f t="shared" si="388"/>
        <v/>
      </c>
    </row>
    <row r="402" spans="4:50" hidden="1" x14ac:dyDescent="0.25">
      <c r="D402" s="70">
        <v>100</v>
      </c>
      <c r="E402" s="24" t="str">
        <f t="shared" si="349"/>
        <v/>
      </c>
      <c r="F402" s="25" t="str">
        <f t="shared" si="350"/>
        <v/>
      </c>
      <c r="G402" s="25" t="str">
        <f t="shared" si="351"/>
        <v/>
      </c>
      <c r="H402" s="25" t="str">
        <f t="shared" si="352"/>
        <v/>
      </c>
      <c r="I402" s="25" t="str">
        <f t="shared" si="353"/>
        <v/>
      </c>
      <c r="J402" s="25" t="str">
        <f t="shared" si="354"/>
        <v/>
      </c>
      <c r="K402" s="25" t="str">
        <f t="shared" si="355"/>
        <v/>
      </c>
      <c r="L402" s="26" t="str">
        <f t="shared" si="356"/>
        <v/>
      </c>
      <c r="M402" s="24" t="str">
        <f t="shared" si="357"/>
        <v/>
      </c>
      <c r="N402" s="25" t="str">
        <f t="shared" si="358"/>
        <v/>
      </c>
      <c r="O402" s="25" t="str">
        <f t="shared" si="359"/>
        <v/>
      </c>
      <c r="P402" s="25" t="str">
        <f t="shared" si="360"/>
        <v/>
      </c>
      <c r="Q402" s="25" t="str">
        <f t="shared" si="361"/>
        <v/>
      </c>
      <c r="R402" s="25" t="str">
        <f t="shared" si="362"/>
        <v/>
      </c>
      <c r="S402" s="25" t="str">
        <f t="shared" si="363"/>
        <v/>
      </c>
      <c r="T402" s="26" t="str">
        <f t="shared" si="364"/>
        <v/>
      </c>
      <c r="X402" s="24" t="str">
        <f t="shared" si="365"/>
        <v/>
      </c>
      <c r="Y402" s="25" t="str">
        <f t="shared" si="366"/>
        <v/>
      </c>
      <c r="Z402" s="25" t="str">
        <f t="shared" si="367"/>
        <v/>
      </c>
      <c r="AA402" s="25" t="str">
        <f t="shared" si="368"/>
        <v/>
      </c>
      <c r="AB402" s="25" t="str">
        <f t="shared" si="369"/>
        <v/>
      </c>
      <c r="AC402" s="25" t="str">
        <f t="shared" si="370"/>
        <v/>
      </c>
      <c r="AD402" s="25" t="str">
        <f t="shared" si="371"/>
        <v/>
      </c>
      <c r="AE402" s="26" t="str">
        <f t="shared" si="372"/>
        <v/>
      </c>
      <c r="AF402" s="24" t="str">
        <f t="shared" si="373"/>
        <v/>
      </c>
      <c r="AG402" s="25" t="str">
        <f t="shared" si="374"/>
        <v/>
      </c>
      <c r="AH402" s="25" t="str">
        <f t="shared" si="375"/>
        <v/>
      </c>
      <c r="AI402" s="25" t="str">
        <f t="shared" si="376"/>
        <v/>
      </c>
      <c r="AJ402" s="25" t="str">
        <f t="shared" si="377"/>
        <v/>
      </c>
      <c r="AK402" s="25" t="str">
        <f t="shared" si="378"/>
        <v/>
      </c>
      <c r="AL402" s="25" t="str">
        <f t="shared" si="379"/>
        <v/>
      </c>
      <c r="AM402" s="26" t="str">
        <f t="shared" si="380"/>
        <v/>
      </c>
      <c r="AQ402" s="24" t="str">
        <f t="shared" si="381"/>
        <v/>
      </c>
      <c r="AR402" s="25" t="str">
        <f t="shared" si="382"/>
        <v/>
      </c>
      <c r="AS402" s="25" t="str">
        <f t="shared" si="383"/>
        <v/>
      </c>
      <c r="AT402" s="25" t="str">
        <f t="shared" si="384"/>
        <v/>
      </c>
      <c r="AU402" s="25" t="str">
        <f t="shared" si="385"/>
        <v/>
      </c>
      <c r="AV402" s="25" t="str">
        <f t="shared" si="386"/>
        <v/>
      </c>
      <c r="AW402" s="25" t="str">
        <f t="shared" si="387"/>
        <v/>
      </c>
      <c r="AX402" s="26" t="str">
        <f t="shared" si="388"/>
        <v/>
      </c>
    </row>
    <row r="403" spans="4:50" hidden="1" x14ac:dyDescent="0.25">
      <c r="D403" s="70">
        <v>101</v>
      </c>
      <c r="E403" s="24" t="str">
        <f t="shared" si="349"/>
        <v/>
      </c>
      <c r="F403" s="25" t="str">
        <f t="shared" si="350"/>
        <v/>
      </c>
      <c r="G403" s="25" t="str">
        <f t="shared" si="351"/>
        <v/>
      </c>
      <c r="H403" s="25" t="str">
        <f t="shared" si="352"/>
        <v/>
      </c>
      <c r="I403" s="25" t="str">
        <f t="shared" si="353"/>
        <v/>
      </c>
      <c r="J403" s="25" t="str">
        <f t="shared" si="354"/>
        <v/>
      </c>
      <c r="K403" s="25" t="str">
        <f t="shared" si="355"/>
        <v/>
      </c>
      <c r="L403" s="26" t="str">
        <f t="shared" si="356"/>
        <v/>
      </c>
      <c r="M403" s="24" t="str">
        <f t="shared" si="357"/>
        <v/>
      </c>
      <c r="N403" s="25" t="str">
        <f t="shared" si="358"/>
        <v/>
      </c>
      <c r="O403" s="25" t="str">
        <f t="shared" si="359"/>
        <v/>
      </c>
      <c r="P403" s="25" t="str">
        <f t="shared" si="360"/>
        <v/>
      </c>
      <c r="Q403" s="25" t="str">
        <f t="shared" si="361"/>
        <v/>
      </c>
      <c r="R403" s="25" t="str">
        <f t="shared" si="362"/>
        <v/>
      </c>
      <c r="S403" s="25" t="str">
        <f t="shared" si="363"/>
        <v/>
      </c>
      <c r="T403" s="26" t="str">
        <f t="shared" si="364"/>
        <v/>
      </c>
      <c r="X403" s="24" t="str">
        <f t="shared" si="365"/>
        <v/>
      </c>
      <c r="Y403" s="25" t="str">
        <f t="shared" si="366"/>
        <v/>
      </c>
      <c r="Z403" s="25" t="str">
        <f t="shared" si="367"/>
        <v/>
      </c>
      <c r="AA403" s="25" t="str">
        <f t="shared" si="368"/>
        <v/>
      </c>
      <c r="AB403" s="25" t="str">
        <f t="shared" si="369"/>
        <v/>
      </c>
      <c r="AC403" s="25" t="str">
        <f t="shared" si="370"/>
        <v/>
      </c>
      <c r="AD403" s="25" t="str">
        <f t="shared" si="371"/>
        <v/>
      </c>
      <c r="AE403" s="26" t="str">
        <f t="shared" si="372"/>
        <v/>
      </c>
      <c r="AF403" s="24" t="str">
        <f t="shared" si="373"/>
        <v/>
      </c>
      <c r="AG403" s="25" t="str">
        <f t="shared" si="374"/>
        <v/>
      </c>
      <c r="AH403" s="25" t="str">
        <f t="shared" si="375"/>
        <v/>
      </c>
      <c r="AI403" s="25" t="str">
        <f t="shared" si="376"/>
        <v/>
      </c>
      <c r="AJ403" s="25" t="str">
        <f t="shared" si="377"/>
        <v/>
      </c>
      <c r="AK403" s="25" t="str">
        <f t="shared" si="378"/>
        <v/>
      </c>
      <c r="AL403" s="25" t="str">
        <f t="shared" si="379"/>
        <v/>
      </c>
      <c r="AM403" s="26" t="str">
        <f t="shared" si="380"/>
        <v/>
      </c>
      <c r="AQ403" s="24" t="str">
        <f t="shared" si="381"/>
        <v/>
      </c>
      <c r="AR403" s="25" t="str">
        <f t="shared" si="382"/>
        <v/>
      </c>
      <c r="AS403" s="25" t="str">
        <f t="shared" si="383"/>
        <v/>
      </c>
      <c r="AT403" s="25" t="str">
        <f t="shared" si="384"/>
        <v/>
      </c>
      <c r="AU403" s="25" t="str">
        <f t="shared" si="385"/>
        <v/>
      </c>
      <c r="AV403" s="25" t="str">
        <f t="shared" si="386"/>
        <v/>
      </c>
      <c r="AW403" s="25" t="str">
        <f t="shared" si="387"/>
        <v/>
      </c>
      <c r="AX403" s="26" t="str">
        <f t="shared" si="388"/>
        <v/>
      </c>
    </row>
    <row r="404" spans="4:50" hidden="1" x14ac:dyDescent="0.25">
      <c r="D404" s="70">
        <v>102</v>
      </c>
      <c r="E404" s="24" t="str">
        <f t="shared" si="349"/>
        <v/>
      </c>
      <c r="F404" s="25" t="str">
        <f t="shared" si="350"/>
        <v/>
      </c>
      <c r="G404" s="25" t="str">
        <f t="shared" si="351"/>
        <v/>
      </c>
      <c r="H404" s="25" t="str">
        <f t="shared" si="352"/>
        <v/>
      </c>
      <c r="I404" s="25" t="str">
        <f t="shared" si="353"/>
        <v/>
      </c>
      <c r="J404" s="25" t="str">
        <f t="shared" si="354"/>
        <v/>
      </c>
      <c r="K404" s="25" t="str">
        <f t="shared" si="355"/>
        <v/>
      </c>
      <c r="L404" s="26" t="str">
        <f t="shared" si="356"/>
        <v/>
      </c>
      <c r="M404" s="24" t="str">
        <f t="shared" si="357"/>
        <v/>
      </c>
      <c r="N404" s="25" t="str">
        <f t="shared" si="358"/>
        <v/>
      </c>
      <c r="O404" s="25" t="str">
        <f t="shared" si="359"/>
        <v/>
      </c>
      <c r="P404" s="25" t="str">
        <f t="shared" si="360"/>
        <v/>
      </c>
      <c r="Q404" s="25" t="str">
        <f t="shared" si="361"/>
        <v/>
      </c>
      <c r="R404" s="25" t="str">
        <f t="shared" si="362"/>
        <v/>
      </c>
      <c r="S404" s="25" t="str">
        <f t="shared" si="363"/>
        <v/>
      </c>
      <c r="T404" s="26" t="str">
        <f t="shared" si="364"/>
        <v/>
      </c>
      <c r="X404" s="24" t="str">
        <f t="shared" si="365"/>
        <v/>
      </c>
      <c r="Y404" s="25" t="str">
        <f t="shared" si="366"/>
        <v/>
      </c>
      <c r="Z404" s="25" t="str">
        <f t="shared" si="367"/>
        <v/>
      </c>
      <c r="AA404" s="25" t="str">
        <f t="shared" si="368"/>
        <v/>
      </c>
      <c r="AB404" s="25" t="str">
        <f t="shared" si="369"/>
        <v/>
      </c>
      <c r="AC404" s="25" t="str">
        <f t="shared" si="370"/>
        <v/>
      </c>
      <c r="AD404" s="25" t="str">
        <f t="shared" si="371"/>
        <v/>
      </c>
      <c r="AE404" s="26" t="str">
        <f t="shared" si="372"/>
        <v/>
      </c>
      <c r="AF404" s="24" t="str">
        <f t="shared" si="373"/>
        <v/>
      </c>
      <c r="AG404" s="25" t="str">
        <f t="shared" si="374"/>
        <v/>
      </c>
      <c r="AH404" s="25" t="str">
        <f t="shared" si="375"/>
        <v/>
      </c>
      <c r="AI404" s="25" t="str">
        <f t="shared" si="376"/>
        <v/>
      </c>
      <c r="AJ404" s="25" t="str">
        <f t="shared" si="377"/>
        <v/>
      </c>
      <c r="AK404" s="25" t="str">
        <f t="shared" si="378"/>
        <v/>
      </c>
      <c r="AL404" s="25" t="str">
        <f t="shared" si="379"/>
        <v/>
      </c>
      <c r="AM404" s="26" t="str">
        <f t="shared" si="380"/>
        <v/>
      </c>
      <c r="AQ404" s="24" t="str">
        <f t="shared" si="381"/>
        <v/>
      </c>
      <c r="AR404" s="25" t="str">
        <f t="shared" si="382"/>
        <v/>
      </c>
      <c r="AS404" s="25" t="str">
        <f t="shared" si="383"/>
        <v/>
      </c>
      <c r="AT404" s="25" t="str">
        <f t="shared" si="384"/>
        <v/>
      </c>
      <c r="AU404" s="25" t="str">
        <f t="shared" si="385"/>
        <v/>
      </c>
      <c r="AV404" s="25" t="str">
        <f t="shared" si="386"/>
        <v/>
      </c>
      <c r="AW404" s="25" t="str">
        <f t="shared" si="387"/>
        <v/>
      </c>
      <c r="AX404" s="26" t="str">
        <f t="shared" si="388"/>
        <v/>
      </c>
    </row>
    <row r="405" spans="4:50" hidden="1" x14ac:dyDescent="0.25">
      <c r="D405" s="70">
        <v>103</v>
      </c>
      <c r="E405" s="24" t="str">
        <f t="shared" si="349"/>
        <v/>
      </c>
      <c r="F405" s="25" t="str">
        <f t="shared" si="350"/>
        <v/>
      </c>
      <c r="G405" s="25" t="str">
        <f t="shared" si="351"/>
        <v/>
      </c>
      <c r="H405" s="25" t="str">
        <f t="shared" si="352"/>
        <v/>
      </c>
      <c r="I405" s="25" t="str">
        <f t="shared" si="353"/>
        <v/>
      </c>
      <c r="J405" s="25" t="str">
        <f t="shared" si="354"/>
        <v/>
      </c>
      <c r="K405" s="25" t="str">
        <f t="shared" si="355"/>
        <v/>
      </c>
      <c r="L405" s="26" t="str">
        <f t="shared" si="356"/>
        <v/>
      </c>
      <c r="M405" s="24" t="str">
        <f t="shared" si="357"/>
        <v/>
      </c>
      <c r="N405" s="25" t="str">
        <f t="shared" si="358"/>
        <v/>
      </c>
      <c r="O405" s="25" t="str">
        <f t="shared" si="359"/>
        <v/>
      </c>
      <c r="P405" s="25" t="str">
        <f t="shared" si="360"/>
        <v/>
      </c>
      <c r="Q405" s="25" t="str">
        <f t="shared" si="361"/>
        <v/>
      </c>
      <c r="R405" s="25" t="str">
        <f t="shared" si="362"/>
        <v/>
      </c>
      <c r="S405" s="25" t="str">
        <f t="shared" si="363"/>
        <v/>
      </c>
      <c r="T405" s="26" t="str">
        <f t="shared" si="364"/>
        <v/>
      </c>
      <c r="X405" s="24" t="str">
        <f t="shared" si="365"/>
        <v/>
      </c>
      <c r="Y405" s="25" t="str">
        <f t="shared" si="366"/>
        <v/>
      </c>
      <c r="Z405" s="25" t="str">
        <f t="shared" si="367"/>
        <v/>
      </c>
      <c r="AA405" s="25" t="str">
        <f t="shared" si="368"/>
        <v/>
      </c>
      <c r="AB405" s="25" t="str">
        <f t="shared" si="369"/>
        <v/>
      </c>
      <c r="AC405" s="25" t="str">
        <f t="shared" si="370"/>
        <v/>
      </c>
      <c r="AD405" s="25" t="str">
        <f t="shared" si="371"/>
        <v/>
      </c>
      <c r="AE405" s="26" t="str">
        <f t="shared" si="372"/>
        <v/>
      </c>
      <c r="AF405" s="24" t="str">
        <f t="shared" si="373"/>
        <v/>
      </c>
      <c r="AG405" s="25" t="str">
        <f t="shared" si="374"/>
        <v/>
      </c>
      <c r="AH405" s="25" t="str">
        <f t="shared" si="375"/>
        <v/>
      </c>
      <c r="AI405" s="25" t="str">
        <f t="shared" si="376"/>
        <v/>
      </c>
      <c r="AJ405" s="25" t="str">
        <f t="shared" si="377"/>
        <v/>
      </c>
      <c r="AK405" s="25" t="str">
        <f t="shared" si="378"/>
        <v/>
      </c>
      <c r="AL405" s="25" t="str">
        <f t="shared" si="379"/>
        <v/>
      </c>
      <c r="AM405" s="26" t="str">
        <f t="shared" si="380"/>
        <v/>
      </c>
      <c r="AQ405" s="24" t="str">
        <f t="shared" si="381"/>
        <v/>
      </c>
      <c r="AR405" s="25" t="str">
        <f t="shared" si="382"/>
        <v/>
      </c>
      <c r="AS405" s="25" t="str">
        <f t="shared" si="383"/>
        <v/>
      </c>
      <c r="AT405" s="25" t="str">
        <f t="shared" si="384"/>
        <v/>
      </c>
      <c r="AU405" s="25" t="str">
        <f t="shared" si="385"/>
        <v/>
      </c>
      <c r="AV405" s="25" t="str">
        <f t="shared" si="386"/>
        <v/>
      </c>
      <c r="AW405" s="25" t="str">
        <f t="shared" si="387"/>
        <v/>
      </c>
      <c r="AX405" s="26" t="str">
        <f t="shared" si="388"/>
        <v/>
      </c>
    </row>
    <row r="406" spans="4:50" hidden="1" x14ac:dyDescent="0.25">
      <c r="D406" s="70">
        <v>104</v>
      </c>
      <c r="E406" s="24" t="str">
        <f t="shared" si="349"/>
        <v/>
      </c>
      <c r="F406" s="25" t="str">
        <f t="shared" si="350"/>
        <v/>
      </c>
      <c r="G406" s="25" t="str">
        <f t="shared" si="351"/>
        <v/>
      </c>
      <c r="H406" s="25" t="str">
        <f t="shared" si="352"/>
        <v/>
      </c>
      <c r="I406" s="25" t="str">
        <f t="shared" si="353"/>
        <v/>
      </c>
      <c r="J406" s="25" t="str">
        <f t="shared" si="354"/>
        <v/>
      </c>
      <c r="K406" s="25" t="str">
        <f t="shared" si="355"/>
        <v/>
      </c>
      <c r="L406" s="26" t="str">
        <f t="shared" si="356"/>
        <v/>
      </c>
      <c r="M406" s="24" t="str">
        <f t="shared" si="357"/>
        <v/>
      </c>
      <c r="N406" s="25" t="str">
        <f t="shared" si="358"/>
        <v/>
      </c>
      <c r="O406" s="25" t="str">
        <f t="shared" si="359"/>
        <v/>
      </c>
      <c r="P406" s="25" t="str">
        <f t="shared" si="360"/>
        <v/>
      </c>
      <c r="Q406" s="25" t="str">
        <f t="shared" si="361"/>
        <v/>
      </c>
      <c r="R406" s="25" t="str">
        <f t="shared" si="362"/>
        <v/>
      </c>
      <c r="S406" s="25" t="str">
        <f t="shared" si="363"/>
        <v/>
      </c>
      <c r="T406" s="26" t="str">
        <f t="shared" si="364"/>
        <v/>
      </c>
      <c r="X406" s="24" t="str">
        <f t="shared" si="365"/>
        <v/>
      </c>
      <c r="Y406" s="25" t="str">
        <f t="shared" si="366"/>
        <v/>
      </c>
      <c r="Z406" s="25" t="str">
        <f t="shared" si="367"/>
        <v/>
      </c>
      <c r="AA406" s="25" t="str">
        <f t="shared" si="368"/>
        <v/>
      </c>
      <c r="AB406" s="25" t="str">
        <f t="shared" si="369"/>
        <v/>
      </c>
      <c r="AC406" s="25" t="str">
        <f t="shared" si="370"/>
        <v/>
      </c>
      <c r="AD406" s="25" t="str">
        <f t="shared" si="371"/>
        <v/>
      </c>
      <c r="AE406" s="26" t="str">
        <f t="shared" si="372"/>
        <v/>
      </c>
      <c r="AF406" s="24" t="str">
        <f t="shared" si="373"/>
        <v/>
      </c>
      <c r="AG406" s="25" t="str">
        <f t="shared" si="374"/>
        <v/>
      </c>
      <c r="AH406" s="25" t="str">
        <f t="shared" si="375"/>
        <v/>
      </c>
      <c r="AI406" s="25" t="str">
        <f t="shared" si="376"/>
        <v/>
      </c>
      <c r="AJ406" s="25" t="str">
        <f t="shared" si="377"/>
        <v/>
      </c>
      <c r="AK406" s="25" t="str">
        <f t="shared" si="378"/>
        <v/>
      </c>
      <c r="AL406" s="25" t="str">
        <f t="shared" si="379"/>
        <v/>
      </c>
      <c r="AM406" s="26" t="str">
        <f t="shared" si="380"/>
        <v/>
      </c>
      <c r="AQ406" s="24" t="str">
        <f t="shared" si="381"/>
        <v/>
      </c>
      <c r="AR406" s="25" t="str">
        <f t="shared" si="382"/>
        <v/>
      </c>
      <c r="AS406" s="25" t="str">
        <f t="shared" si="383"/>
        <v/>
      </c>
      <c r="AT406" s="25" t="str">
        <f t="shared" si="384"/>
        <v/>
      </c>
      <c r="AU406" s="25" t="str">
        <f t="shared" si="385"/>
        <v/>
      </c>
      <c r="AV406" s="25" t="str">
        <f t="shared" si="386"/>
        <v/>
      </c>
      <c r="AW406" s="25" t="str">
        <f t="shared" si="387"/>
        <v/>
      </c>
      <c r="AX406" s="26" t="str">
        <f t="shared" si="388"/>
        <v/>
      </c>
    </row>
    <row r="407" spans="4:50" hidden="1" x14ac:dyDescent="0.25">
      <c r="D407" s="70">
        <v>105</v>
      </c>
      <c r="E407" s="24" t="str">
        <f t="shared" si="349"/>
        <v/>
      </c>
      <c r="F407" s="25" t="str">
        <f t="shared" si="350"/>
        <v/>
      </c>
      <c r="G407" s="25" t="str">
        <f t="shared" si="351"/>
        <v/>
      </c>
      <c r="H407" s="25" t="str">
        <f t="shared" si="352"/>
        <v/>
      </c>
      <c r="I407" s="25" t="str">
        <f t="shared" si="353"/>
        <v/>
      </c>
      <c r="J407" s="25" t="str">
        <f t="shared" si="354"/>
        <v/>
      </c>
      <c r="K407" s="25" t="str">
        <f t="shared" si="355"/>
        <v/>
      </c>
      <c r="L407" s="26" t="str">
        <f t="shared" si="356"/>
        <v/>
      </c>
      <c r="M407" s="24" t="str">
        <f t="shared" si="357"/>
        <v/>
      </c>
      <c r="N407" s="25" t="str">
        <f t="shared" si="358"/>
        <v/>
      </c>
      <c r="O407" s="25" t="str">
        <f t="shared" si="359"/>
        <v/>
      </c>
      <c r="P407" s="25" t="str">
        <f t="shared" si="360"/>
        <v/>
      </c>
      <c r="Q407" s="25" t="str">
        <f t="shared" si="361"/>
        <v/>
      </c>
      <c r="R407" s="25" t="str">
        <f t="shared" si="362"/>
        <v/>
      </c>
      <c r="S407" s="25" t="str">
        <f t="shared" si="363"/>
        <v/>
      </c>
      <c r="T407" s="26" t="str">
        <f t="shared" si="364"/>
        <v/>
      </c>
      <c r="X407" s="24" t="str">
        <f t="shared" si="365"/>
        <v/>
      </c>
      <c r="Y407" s="25" t="str">
        <f t="shared" si="366"/>
        <v/>
      </c>
      <c r="Z407" s="25" t="str">
        <f t="shared" si="367"/>
        <v/>
      </c>
      <c r="AA407" s="25" t="str">
        <f t="shared" si="368"/>
        <v/>
      </c>
      <c r="AB407" s="25" t="str">
        <f t="shared" si="369"/>
        <v/>
      </c>
      <c r="AC407" s="25" t="str">
        <f t="shared" si="370"/>
        <v/>
      </c>
      <c r="AD407" s="25" t="str">
        <f t="shared" si="371"/>
        <v/>
      </c>
      <c r="AE407" s="26" t="str">
        <f t="shared" si="372"/>
        <v/>
      </c>
      <c r="AF407" s="24" t="str">
        <f t="shared" si="373"/>
        <v/>
      </c>
      <c r="AG407" s="25" t="str">
        <f t="shared" si="374"/>
        <v/>
      </c>
      <c r="AH407" s="25" t="str">
        <f t="shared" si="375"/>
        <v/>
      </c>
      <c r="AI407" s="25" t="str">
        <f t="shared" si="376"/>
        <v/>
      </c>
      <c r="AJ407" s="25" t="str">
        <f t="shared" si="377"/>
        <v/>
      </c>
      <c r="AK407" s="25" t="str">
        <f t="shared" si="378"/>
        <v/>
      </c>
      <c r="AL407" s="25" t="str">
        <f t="shared" si="379"/>
        <v/>
      </c>
      <c r="AM407" s="26" t="str">
        <f t="shared" si="380"/>
        <v/>
      </c>
      <c r="AQ407" s="24" t="str">
        <f t="shared" si="381"/>
        <v/>
      </c>
      <c r="AR407" s="25" t="str">
        <f t="shared" si="382"/>
        <v/>
      </c>
      <c r="AS407" s="25" t="str">
        <f t="shared" si="383"/>
        <v/>
      </c>
      <c r="AT407" s="25" t="str">
        <f t="shared" si="384"/>
        <v/>
      </c>
      <c r="AU407" s="25" t="str">
        <f t="shared" si="385"/>
        <v/>
      </c>
      <c r="AV407" s="25" t="str">
        <f t="shared" si="386"/>
        <v/>
      </c>
      <c r="AW407" s="25" t="str">
        <f t="shared" si="387"/>
        <v/>
      </c>
      <c r="AX407" s="26" t="str">
        <f t="shared" si="388"/>
        <v/>
      </c>
    </row>
    <row r="408" spans="4:50" hidden="1" x14ac:dyDescent="0.25">
      <c r="D408" s="70">
        <v>106</v>
      </c>
      <c r="E408" s="24" t="str">
        <f t="shared" si="349"/>
        <v/>
      </c>
      <c r="F408" s="25" t="str">
        <f t="shared" si="350"/>
        <v/>
      </c>
      <c r="G408" s="25" t="str">
        <f t="shared" si="351"/>
        <v/>
      </c>
      <c r="H408" s="25" t="str">
        <f t="shared" si="352"/>
        <v/>
      </c>
      <c r="I408" s="25" t="str">
        <f t="shared" si="353"/>
        <v/>
      </c>
      <c r="J408" s="25" t="str">
        <f t="shared" si="354"/>
        <v/>
      </c>
      <c r="K408" s="25" t="str">
        <f t="shared" si="355"/>
        <v/>
      </c>
      <c r="L408" s="26" t="str">
        <f t="shared" si="356"/>
        <v/>
      </c>
      <c r="M408" s="24" t="str">
        <f t="shared" si="357"/>
        <v/>
      </c>
      <c r="N408" s="25" t="str">
        <f t="shared" si="358"/>
        <v/>
      </c>
      <c r="O408" s="25" t="str">
        <f t="shared" si="359"/>
        <v/>
      </c>
      <c r="P408" s="25" t="str">
        <f t="shared" si="360"/>
        <v/>
      </c>
      <c r="Q408" s="25" t="str">
        <f t="shared" si="361"/>
        <v/>
      </c>
      <c r="R408" s="25" t="str">
        <f t="shared" si="362"/>
        <v/>
      </c>
      <c r="S408" s="25" t="str">
        <f t="shared" si="363"/>
        <v/>
      </c>
      <c r="T408" s="26" t="str">
        <f t="shared" si="364"/>
        <v/>
      </c>
      <c r="X408" s="24" t="str">
        <f t="shared" si="365"/>
        <v/>
      </c>
      <c r="Y408" s="25" t="str">
        <f t="shared" si="366"/>
        <v/>
      </c>
      <c r="Z408" s="25" t="str">
        <f t="shared" si="367"/>
        <v/>
      </c>
      <c r="AA408" s="25" t="str">
        <f t="shared" si="368"/>
        <v/>
      </c>
      <c r="AB408" s="25" t="str">
        <f t="shared" si="369"/>
        <v/>
      </c>
      <c r="AC408" s="25" t="str">
        <f t="shared" si="370"/>
        <v/>
      </c>
      <c r="AD408" s="25" t="str">
        <f t="shared" si="371"/>
        <v/>
      </c>
      <c r="AE408" s="26" t="str">
        <f t="shared" si="372"/>
        <v/>
      </c>
      <c r="AF408" s="24" t="str">
        <f t="shared" si="373"/>
        <v/>
      </c>
      <c r="AG408" s="25" t="str">
        <f t="shared" si="374"/>
        <v/>
      </c>
      <c r="AH408" s="25" t="str">
        <f t="shared" si="375"/>
        <v/>
      </c>
      <c r="AI408" s="25" t="str">
        <f t="shared" si="376"/>
        <v/>
      </c>
      <c r="AJ408" s="25" t="str">
        <f t="shared" si="377"/>
        <v/>
      </c>
      <c r="AK408" s="25" t="str">
        <f t="shared" si="378"/>
        <v/>
      </c>
      <c r="AL408" s="25" t="str">
        <f t="shared" si="379"/>
        <v/>
      </c>
      <c r="AM408" s="26" t="str">
        <f t="shared" si="380"/>
        <v/>
      </c>
      <c r="AQ408" s="24" t="str">
        <f t="shared" si="381"/>
        <v/>
      </c>
      <c r="AR408" s="25" t="str">
        <f t="shared" si="382"/>
        <v/>
      </c>
      <c r="AS408" s="25" t="str">
        <f t="shared" si="383"/>
        <v/>
      </c>
      <c r="AT408" s="25" t="str">
        <f t="shared" si="384"/>
        <v/>
      </c>
      <c r="AU408" s="25" t="str">
        <f t="shared" si="385"/>
        <v/>
      </c>
      <c r="AV408" s="25" t="str">
        <f t="shared" si="386"/>
        <v/>
      </c>
      <c r="AW408" s="25" t="str">
        <f t="shared" si="387"/>
        <v/>
      </c>
      <c r="AX408" s="26" t="str">
        <f t="shared" si="388"/>
        <v/>
      </c>
    </row>
    <row r="409" spans="4:50" hidden="1" x14ac:dyDescent="0.25">
      <c r="D409" s="70">
        <v>107</v>
      </c>
      <c r="E409" s="24" t="str">
        <f t="shared" si="349"/>
        <v/>
      </c>
      <c r="F409" s="25" t="str">
        <f t="shared" si="350"/>
        <v/>
      </c>
      <c r="G409" s="25" t="str">
        <f t="shared" si="351"/>
        <v/>
      </c>
      <c r="H409" s="25" t="str">
        <f t="shared" si="352"/>
        <v/>
      </c>
      <c r="I409" s="25" t="str">
        <f t="shared" si="353"/>
        <v/>
      </c>
      <c r="J409" s="25" t="str">
        <f t="shared" si="354"/>
        <v/>
      </c>
      <c r="K409" s="25" t="str">
        <f t="shared" si="355"/>
        <v/>
      </c>
      <c r="L409" s="26" t="str">
        <f t="shared" si="356"/>
        <v/>
      </c>
      <c r="M409" s="24" t="str">
        <f t="shared" si="357"/>
        <v/>
      </c>
      <c r="N409" s="25" t="str">
        <f t="shared" si="358"/>
        <v/>
      </c>
      <c r="O409" s="25" t="str">
        <f t="shared" si="359"/>
        <v/>
      </c>
      <c r="P409" s="25" t="str">
        <f t="shared" si="360"/>
        <v/>
      </c>
      <c r="Q409" s="25" t="str">
        <f t="shared" si="361"/>
        <v/>
      </c>
      <c r="R409" s="25" t="str">
        <f t="shared" si="362"/>
        <v/>
      </c>
      <c r="S409" s="25" t="str">
        <f t="shared" si="363"/>
        <v/>
      </c>
      <c r="T409" s="26" t="str">
        <f t="shared" si="364"/>
        <v/>
      </c>
      <c r="X409" s="24" t="str">
        <f t="shared" si="365"/>
        <v/>
      </c>
      <c r="Y409" s="25" t="str">
        <f t="shared" si="366"/>
        <v/>
      </c>
      <c r="Z409" s="25" t="str">
        <f t="shared" si="367"/>
        <v/>
      </c>
      <c r="AA409" s="25" t="str">
        <f t="shared" si="368"/>
        <v/>
      </c>
      <c r="AB409" s="25" t="str">
        <f t="shared" si="369"/>
        <v/>
      </c>
      <c r="AC409" s="25" t="str">
        <f t="shared" si="370"/>
        <v/>
      </c>
      <c r="AD409" s="25" t="str">
        <f t="shared" si="371"/>
        <v/>
      </c>
      <c r="AE409" s="26" t="str">
        <f t="shared" si="372"/>
        <v/>
      </c>
      <c r="AF409" s="24" t="str">
        <f t="shared" si="373"/>
        <v/>
      </c>
      <c r="AG409" s="25" t="str">
        <f t="shared" si="374"/>
        <v/>
      </c>
      <c r="AH409" s="25" t="str">
        <f t="shared" si="375"/>
        <v/>
      </c>
      <c r="AI409" s="25" t="str">
        <f t="shared" si="376"/>
        <v/>
      </c>
      <c r="AJ409" s="25" t="str">
        <f t="shared" si="377"/>
        <v/>
      </c>
      <c r="AK409" s="25" t="str">
        <f t="shared" si="378"/>
        <v/>
      </c>
      <c r="AL409" s="25" t="str">
        <f t="shared" si="379"/>
        <v/>
      </c>
      <c r="AM409" s="26" t="str">
        <f t="shared" si="380"/>
        <v/>
      </c>
      <c r="AQ409" s="24" t="str">
        <f t="shared" si="381"/>
        <v/>
      </c>
      <c r="AR409" s="25" t="str">
        <f t="shared" si="382"/>
        <v/>
      </c>
      <c r="AS409" s="25" t="str">
        <f t="shared" si="383"/>
        <v/>
      </c>
      <c r="AT409" s="25" t="str">
        <f t="shared" si="384"/>
        <v/>
      </c>
      <c r="AU409" s="25" t="str">
        <f t="shared" si="385"/>
        <v/>
      </c>
      <c r="AV409" s="25" t="str">
        <f t="shared" si="386"/>
        <v/>
      </c>
      <c r="AW409" s="25" t="str">
        <f t="shared" si="387"/>
        <v/>
      </c>
      <c r="AX409" s="26" t="str">
        <f t="shared" si="388"/>
        <v/>
      </c>
    </row>
    <row r="410" spans="4:50" hidden="1" x14ac:dyDescent="0.25">
      <c r="D410" s="70">
        <v>108</v>
      </c>
      <c r="E410" s="24" t="str">
        <f t="shared" si="349"/>
        <v/>
      </c>
      <c r="F410" s="25" t="str">
        <f t="shared" si="350"/>
        <v/>
      </c>
      <c r="G410" s="25" t="str">
        <f t="shared" si="351"/>
        <v/>
      </c>
      <c r="H410" s="25" t="str">
        <f t="shared" si="352"/>
        <v/>
      </c>
      <c r="I410" s="25" t="str">
        <f t="shared" si="353"/>
        <v/>
      </c>
      <c r="J410" s="25" t="str">
        <f t="shared" si="354"/>
        <v/>
      </c>
      <c r="K410" s="25" t="str">
        <f t="shared" si="355"/>
        <v/>
      </c>
      <c r="L410" s="26" t="str">
        <f t="shared" si="356"/>
        <v/>
      </c>
      <c r="M410" s="24" t="str">
        <f t="shared" si="357"/>
        <v/>
      </c>
      <c r="N410" s="25" t="str">
        <f t="shared" si="358"/>
        <v/>
      </c>
      <c r="O410" s="25" t="str">
        <f t="shared" si="359"/>
        <v/>
      </c>
      <c r="P410" s="25" t="str">
        <f t="shared" si="360"/>
        <v/>
      </c>
      <c r="Q410" s="25" t="str">
        <f t="shared" si="361"/>
        <v/>
      </c>
      <c r="R410" s="25" t="str">
        <f t="shared" si="362"/>
        <v/>
      </c>
      <c r="S410" s="25" t="str">
        <f t="shared" si="363"/>
        <v/>
      </c>
      <c r="T410" s="26" t="str">
        <f t="shared" si="364"/>
        <v/>
      </c>
      <c r="X410" s="24" t="str">
        <f t="shared" si="365"/>
        <v/>
      </c>
      <c r="Y410" s="25" t="str">
        <f t="shared" si="366"/>
        <v/>
      </c>
      <c r="Z410" s="25" t="str">
        <f t="shared" si="367"/>
        <v/>
      </c>
      <c r="AA410" s="25" t="str">
        <f t="shared" si="368"/>
        <v/>
      </c>
      <c r="AB410" s="25" t="str">
        <f t="shared" si="369"/>
        <v/>
      </c>
      <c r="AC410" s="25" t="str">
        <f t="shared" si="370"/>
        <v/>
      </c>
      <c r="AD410" s="25" t="str">
        <f t="shared" si="371"/>
        <v/>
      </c>
      <c r="AE410" s="26" t="str">
        <f t="shared" si="372"/>
        <v/>
      </c>
      <c r="AF410" s="24" t="str">
        <f t="shared" si="373"/>
        <v/>
      </c>
      <c r="AG410" s="25" t="str">
        <f t="shared" si="374"/>
        <v/>
      </c>
      <c r="AH410" s="25" t="str">
        <f t="shared" si="375"/>
        <v/>
      </c>
      <c r="AI410" s="25" t="str">
        <f t="shared" si="376"/>
        <v/>
      </c>
      <c r="AJ410" s="25" t="str">
        <f t="shared" si="377"/>
        <v/>
      </c>
      <c r="AK410" s="25" t="str">
        <f t="shared" si="378"/>
        <v/>
      </c>
      <c r="AL410" s="25" t="str">
        <f t="shared" si="379"/>
        <v/>
      </c>
      <c r="AM410" s="26" t="str">
        <f t="shared" si="380"/>
        <v/>
      </c>
      <c r="AQ410" s="24" t="str">
        <f t="shared" si="381"/>
        <v/>
      </c>
      <c r="AR410" s="25" t="str">
        <f t="shared" si="382"/>
        <v/>
      </c>
      <c r="AS410" s="25" t="str">
        <f t="shared" si="383"/>
        <v/>
      </c>
      <c r="AT410" s="25" t="str">
        <f t="shared" si="384"/>
        <v/>
      </c>
      <c r="AU410" s="25" t="str">
        <f t="shared" si="385"/>
        <v/>
      </c>
      <c r="AV410" s="25" t="str">
        <f t="shared" si="386"/>
        <v/>
      </c>
      <c r="AW410" s="25" t="str">
        <f t="shared" si="387"/>
        <v/>
      </c>
      <c r="AX410" s="26" t="str">
        <f t="shared" si="388"/>
        <v/>
      </c>
    </row>
    <row r="411" spans="4:50" hidden="1" x14ac:dyDescent="0.25">
      <c r="D411" s="70">
        <v>109</v>
      </c>
      <c r="E411" s="24" t="str">
        <f t="shared" si="349"/>
        <v/>
      </c>
      <c r="F411" s="25" t="str">
        <f t="shared" si="350"/>
        <v/>
      </c>
      <c r="G411" s="25" t="str">
        <f t="shared" si="351"/>
        <v/>
      </c>
      <c r="H411" s="25" t="str">
        <f t="shared" si="352"/>
        <v/>
      </c>
      <c r="I411" s="25" t="str">
        <f t="shared" si="353"/>
        <v/>
      </c>
      <c r="J411" s="25" t="str">
        <f t="shared" si="354"/>
        <v/>
      </c>
      <c r="K411" s="25" t="str">
        <f t="shared" si="355"/>
        <v/>
      </c>
      <c r="L411" s="26" t="str">
        <f t="shared" si="356"/>
        <v/>
      </c>
      <c r="M411" s="24" t="str">
        <f t="shared" si="357"/>
        <v/>
      </c>
      <c r="N411" s="25" t="str">
        <f t="shared" si="358"/>
        <v/>
      </c>
      <c r="O411" s="25" t="str">
        <f t="shared" si="359"/>
        <v/>
      </c>
      <c r="P411" s="25" t="str">
        <f t="shared" si="360"/>
        <v/>
      </c>
      <c r="Q411" s="25" t="str">
        <f t="shared" si="361"/>
        <v/>
      </c>
      <c r="R411" s="25" t="str">
        <f t="shared" si="362"/>
        <v/>
      </c>
      <c r="S411" s="25" t="str">
        <f t="shared" si="363"/>
        <v/>
      </c>
      <c r="T411" s="26" t="str">
        <f t="shared" si="364"/>
        <v/>
      </c>
      <c r="X411" s="24" t="str">
        <f t="shared" si="365"/>
        <v/>
      </c>
      <c r="Y411" s="25" t="str">
        <f t="shared" si="366"/>
        <v/>
      </c>
      <c r="Z411" s="25" t="str">
        <f t="shared" si="367"/>
        <v/>
      </c>
      <c r="AA411" s="25" t="str">
        <f t="shared" si="368"/>
        <v/>
      </c>
      <c r="AB411" s="25" t="str">
        <f t="shared" si="369"/>
        <v/>
      </c>
      <c r="AC411" s="25" t="str">
        <f t="shared" si="370"/>
        <v/>
      </c>
      <c r="AD411" s="25" t="str">
        <f t="shared" si="371"/>
        <v/>
      </c>
      <c r="AE411" s="26" t="str">
        <f t="shared" si="372"/>
        <v/>
      </c>
      <c r="AF411" s="24" t="str">
        <f t="shared" si="373"/>
        <v/>
      </c>
      <c r="AG411" s="25" t="str">
        <f t="shared" si="374"/>
        <v/>
      </c>
      <c r="AH411" s="25" t="str">
        <f t="shared" si="375"/>
        <v/>
      </c>
      <c r="AI411" s="25" t="str">
        <f t="shared" si="376"/>
        <v/>
      </c>
      <c r="AJ411" s="25" t="str">
        <f t="shared" si="377"/>
        <v/>
      </c>
      <c r="AK411" s="25" t="str">
        <f t="shared" si="378"/>
        <v/>
      </c>
      <c r="AL411" s="25" t="str">
        <f t="shared" si="379"/>
        <v/>
      </c>
      <c r="AM411" s="26" t="str">
        <f t="shared" si="380"/>
        <v/>
      </c>
      <c r="AQ411" s="24" t="str">
        <f t="shared" si="381"/>
        <v/>
      </c>
      <c r="AR411" s="25" t="str">
        <f t="shared" si="382"/>
        <v/>
      </c>
      <c r="AS411" s="25" t="str">
        <f t="shared" si="383"/>
        <v/>
      </c>
      <c r="AT411" s="25" t="str">
        <f t="shared" si="384"/>
        <v/>
      </c>
      <c r="AU411" s="25" t="str">
        <f t="shared" si="385"/>
        <v/>
      </c>
      <c r="AV411" s="25" t="str">
        <f t="shared" si="386"/>
        <v/>
      </c>
      <c r="AW411" s="25" t="str">
        <f t="shared" si="387"/>
        <v/>
      </c>
      <c r="AX411" s="26" t="str">
        <f t="shared" si="388"/>
        <v/>
      </c>
    </row>
    <row r="412" spans="4:50" hidden="1" x14ac:dyDescent="0.25">
      <c r="D412" s="70">
        <v>110</v>
      </c>
      <c r="E412" s="24" t="str">
        <f t="shared" si="349"/>
        <v/>
      </c>
      <c r="F412" s="25" t="str">
        <f t="shared" si="350"/>
        <v/>
      </c>
      <c r="G412" s="25" t="str">
        <f t="shared" si="351"/>
        <v/>
      </c>
      <c r="H412" s="25" t="str">
        <f t="shared" si="352"/>
        <v/>
      </c>
      <c r="I412" s="25" t="str">
        <f t="shared" si="353"/>
        <v/>
      </c>
      <c r="J412" s="25" t="str">
        <f t="shared" si="354"/>
        <v/>
      </c>
      <c r="K412" s="25" t="str">
        <f t="shared" si="355"/>
        <v/>
      </c>
      <c r="L412" s="26" t="str">
        <f t="shared" si="356"/>
        <v/>
      </c>
      <c r="M412" s="24" t="str">
        <f t="shared" si="357"/>
        <v/>
      </c>
      <c r="N412" s="25" t="str">
        <f t="shared" si="358"/>
        <v/>
      </c>
      <c r="O412" s="25" t="str">
        <f t="shared" si="359"/>
        <v/>
      </c>
      <c r="P412" s="25" t="str">
        <f t="shared" si="360"/>
        <v/>
      </c>
      <c r="Q412" s="25" t="str">
        <f t="shared" si="361"/>
        <v/>
      </c>
      <c r="R412" s="25" t="str">
        <f t="shared" si="362"/>
        <v/>
      </c>
      <c r="S412" s="25" t="str">
        <f t="shared" si="363"/>
        <v/>
      </c>
      <c r="T412" s="26" t="str">
        <f t="shared" si="364"/>
        <v/>
      </c>
      <c r="X412" s="24" t="str">
        <f t="shared" si="365"/>
        <v/>
      </c>
      <c r="Y412" s="25" t="str">
        <f t="shared" si="366"/>
        <v/>
      </c>
      <c r="Z412" s="25" t="str">
        <f t="shared" si="367"/>
        <v/>
      </c>
      <c r="AA412" s="25" t="str">
        <f t="shared" si="368"/>
        <v/>
      </c>
      <c r="AB412" s="25" t="str">
        <f t="shared" si="369"/>
        <v/>
      </c>
      <c r="AC412" s="25" t="str">
        <f t="shared" si="370"/>
        <v/>
      </c>
      <c r="AD412" s="25" t="str">
        <f t="shared" si="371"/>
        <v/>
      </c>
      <c r="AE412" s="26" t="str">
        <f t="shared" si="372"/>
        <v/>
      </c>
      <c r="AF412" s="24" t="str">
        <f t="shared" si="373"/>
        <v/>
      </c>
      <c r="AG412" s="25" t="str">
        <f t="shared" si="374"/>
        <v/>
      </c>
      <c r="AH412" s="25" t="str">
        <f t="shared" si="375"/>
        <v/>
      </c>
      <c r="AI412" s="25" t="str">
        <f t="shared" si="376"/>
        <v/>
      </c>
      <c r="AJ412" s="25" t="str">
        <f t="shared" si="377"/>
        <v/>
      </c>
      <c r="AK412" s="25" t="str">
        <f t="shared" si="378"/>
        <v/>
      </c>
      <c r="AL412" s="25" t="str">
        <f t="shared" si="379"/>
        <v/>
      </c>
      <c r="AM412" s="26" t="str">
        <f t="shared" si="380"/>
        <v/>
      </c>
      <c r="AQ412" s="24" t="str">
        <f t="shared" si="381"/>
        <v/>
      </c>
      <c r="AR412" s="25" t="str">
        <f t="shared" si="382"/>
        <v/>
      </c>
      <c r="AS412" s="25" t="str">
        <f t="shared" si="383"/>
        <v/>
      </c>
      <c r="AT412" s="25" t="str">
        <f t="shared" si="384"/>
        <v/>
      </c>
      <c r="AU412" s="25" t="str">
        <f t="shared" si="385"/>
        <v/>
      </c>
      <c r="AV412" s="25" t="str">
        <f t="shared" si="386"/>
        <v/>
      </c>
      <c r="AW412" s="25" t="str">
        <f t="shared" si="387"/>
        <v/>
      </c>
      <c r="AX412" s="26" t="str">
        <f t="shared" si="388"/>
        <v/>
      </c>
    </row>
    <row r="413" spans="4:50" hidden="1" x14ac:dyDescent="0.25">
      <c r="D413" s="70">
        <v>111</v>
      </c>
      <c r="E413" s="24" t="str">
        <f t="shared" si="349"/>
        <v/>
      </c>
      <c r="F413" s="25" t="str">
        <f t="shared" si="350"/>
        <v/>
      </c>
      <c r="G413" s="25" t="str">
        <f t="shared" si="351"/>
        <v/>
      </c>
      <c r="H413" s="25" t="str">
        <f t="shared" si="352"/>
        <v/>
      </c>
      <c r="I413" s="25" t="str">
        <f t="shared" si="353"/>
        <v/>
      </c>
      <c r="J413" s="25" t="str">
        <f t="shared" si="354"/>
        <v/>
      </c>
      <c r="K413" s="25" t="str">
        <f t="shared" si="355"/>
        <v/>
      </c>
      <c r="L413" s="26" t="str">
        <f t="shared" si="356"/>
        <v/>
      </c>
      <c r="M413" s="24" t="str">
        <f t="shared" si="357"/>
        <v/>
      </c>
      <c r="N413" s="25" t="str">
        <f t="shared" si="358"/>
        <v/>
      </c>
      <c r="O413" s="25" t="str">
        <f t="shared" si="359"/>
        <v/>
      </c>
      <c r="P413" s="25" t="str">
        <f t="shared" si="360"/>
        <v/>
      </c>
      <c r="Q413" s="25" t="str">
        <f t="shared" si="361"/>
        <v/>
      </c>
      <c r="R413" s="25" t="str">
        <f t="shared" si="362"/>
        <v/>
      </c>
      <c r="S413" s="25" t="str">
        <f t="shared" si="363"/>
        <v/>
      </c>
      <c r="T413" s="26" t="str">
        <f t="shared" si="364"/>
        <v/>
      </c>
      <c r="X413" s="24" t="str">
        <f t="shared" si="365"/>
        <v/>
      </c>
      <c r="Y413" s="25" t="str">
        <f t="shared" si="366"/>
        <v/>
      </c>
      <c r="Z413" s="25" t="str">
        <f t="shared" si="367"/>
        <v/>
      </c>
      <c r="AA413" s="25" t="str">
        <f t="shared" si="368"/>
        <v/>
      </c>
      <c r="AB413" s="25" t="str">
        <f t="shared" si="369"/>
        <v/>
      </c>
      <c r="AC413" s="25" t="str">
        <f t="shared" si="370"/>
        <v/>
      </c>
      <c r="AD413" s="25" t="str">
        <f t="shared" si="371"/>
        <v/>
      </c>
      <c r="AE413" s="26" t="str">
        <f t="shared" si="372"/>
        <v/>
      </c>
      <c r="AF413" s="24" t="str">
        <f t="shared" si="373"/>
        <v/>
      </c>
      <c r="AG413" s="25" t="str">
        <f t="shared" si="374"/>
        <v/>
      </c>
      <c r="AH413" s="25" t="str">
        <f t="shared" si="375"/>
        <v/>
      </c>
      <c r="AI413" s="25" t="str">
        <f t="shared" si="376"/>
        <v/>
      </c>
      <c r="AJ413" s="25" t="str">
        <f t="shared" si="377"/>
        <v/>
      </c>
      <c r="AK413" s="25" t="str">
        <f t="shared" si="378"/>
        <v/>
      </c>
      <c r="AL413" s="25" t="str">
        <f t="shared" si="379"/>
        <v/>
      </c>
      <c r="AM413" s="26" t="str">
        <f t="shared" si="380"/>
        <v/>
      </c>
      <c r="AQ413" s="24" t="str">
        <f t="shared" si="381"/>
        <v/>
      </c>
      <c r="AR413" s="25" t="str">
        <f t="shared" si="382"/>
        <v/>
      </c>
      <c r="AS413" s="25" t="str">
        <f t="shared" si="383"/>
        <v/>
      </c>
      <c r="AT413" s="25" t="str">
        <f t="shared" si="384"/>
        <v/>
      </c>
      <c r="AU413" s="25" t="str">
        <f t="shared" si="385"/>
        <v/>
      </c>
      <c r="AV413" s="25" t="str">
        <f t="shared" si="386"/>
        <v/>
      </c>
      <c r="AW413" s="25" t="str">
        <f t="shared" si="387"/>
        <v/>
      </c>
      <c r="AX413" s="26" t="str">
        <f t="shared" si="388"/>
        <v/>
      </c>
    </row>
    <row r="414" spans="4:50" hidden="1" x14ac:dyDescent="0.25">
      <c r="D414" s="70">
        <v>112</v>
      </c>
      <c r="E414" s="24" t="str">
        <f t="shared" si="349"/>
        <v/>
      </c>
      <c r="F414" s="25" t="str">
        <f t="shared" si="350"/>
        <v/>
      </c>
      <c r="G414" s="25" t="str">
        <f t="shared" si="351"/>
        <v/>
      </c>
      <c r="H414" s="25" t="str">
        <f t="shared" si="352"/>
        <v/>
      </c>
      <c r="I414" s="25" t="str">
        <f t="shared" si="353"/>
        <v/>
      </c>
      <c r="J414" s="25" t="str">
        <f t="shared" si="354"/>
        <v/>
      </c>
      <c r="K414" s="25" t="str">
        <f t="shared" si="355"/>
        <v/>
      </c>
      <c r="L414" s="26" t="str">
        <f t="shared" si="356"/>
        <v/>
      </c>
      <c r="M414" s="24" t="str">
        <f t="shared" si="357"/>
        <v/>
      </c>
      <c r="N414" s="25" t="str">
        <f t="shared" si="358"/>
        <v/>
      </c>
      <c r="O414" s="25" t="str">
        <f t="shared" si="359"/>
        <v/>
      </c>
      <c r="P414" s="25" t="str">
        <f t="shared" si="360"/>
        <v/>
      </c>
      <c r="Q414" s="25" t="str">
        <f t="shared" si="361"/>
        <v/>
      </c>
      <c r="R414" s="25" t="str">
        <f t="shared" si="362"/>
        <v/>
      </c>
      <c r="S414" s="25" t="str">
        <f t="shared" si="363"/>
        <v/>
      </c>
      <c r="T414" s="26" t="str">
        <f t="shared" si="364"/>
        <v/>
      </c>
      <c r="X414" s="24" t="str">
        <f t="shared" si="365"/>
        <v/>
      </c>
      <c r="Y414" s="25" t="str">
        <f t="shared" si="366"/>
        <v/>
      </c>
      <c r="Z414" s="25" t="str">
        <f t="shared" si="367"/>
        <v/>
      </c>
      <c r="AA414" s="25" t="str">
        <f t="shared" si="368"/>
        <v/>
      </c>
      <c r="AB414" s="25" t="str">
        <f t="shared" si="369"/>
        <v/>
      </c>
      <c r="AC414" s="25" t="str">
        <f t="shared" si="370"/>
        <v/>
      </c>
      <c r="AD414" s="25" t="str">
        <f t="shared" si="371"/>
        <v/>
      </c>
      <c r="AE414" s="26" t="str">
        <f t="shared" si="372"/>
        <v/>
      </c>
      <c r="AF414" s="24" t="str">
        <f t="shared" si="373"/>
        <v/>
      </c>
      <c r="AG414" s="25" t="str">
        <f t="shared" si="374"/>
        <v/>
      </c>
      <c r="AH414" s="25" t="str">
        <f t="shared" si="375"/>
        <v/>
      </c>
      <c r="AI414" s="25" t="str">
        <f t="shared" si="376"/>
        <v/>
      </c>
      <c r="AJ414" s="25" t="str">
        <f t="shared" si="377"/>
        <v/>
      </c>
      <c r="AK414" s="25" t="str">
        <f t="shared" si="378"/>
        <v/>
      </c>
      <c r="AL414" s="25" t="str">
        <f t="shared" si="379"/>
        <v/>
      </c>
      <c r="AM414" s="26" t="str">
        <f t="shared" si="380"/>
        <v/>
      </c>
      <c r="AQ414" s="24" t="str">
        <f t="shared" si="381"/>
        <v/>
      </c>
      <c r="AR414" s="25" t="str">
        <f t="shared" si="382"/>
        <v/>
      </c>
      <c r="AS414" s="25" t="str">
        <f t="shared" si="383"/>
        <v/>
      </c>
      <c r="AT414" s="25" t="str">
        <f t="shared" si="384"/>
        <v/>
      </c>
      <c r="AU414" s="25" t="str">
        <f t="shared" si="385"/>
        <v/>
      </c>
      <c r="AV414" s="25" t="str">
        <f t="shared" si="386"/>
        <v/>
      </c>
      <c r="AW414" s="25" t="str">
        <f t="shared" si="387"/>
        <v/>
      </c>
      <c r="AX414" s="26" t="str">
        <f t="shared" si="388"/>
        <v/>
      </c>
    </row>
    <row r="415" spans="4:50" hidden="1" x14ac:dyDescent="0.25">
      <c r="D415" s="70">
        <v>113</v>
      </c>
      <c r="E415" s="24" t="str">
        <f t="shared" si="349"/>
        <v/>
      </c>
      <c r="F415" s="25" t="str">
        <f t="shared" si="350"/>
        <v/>
      </c>
      <c r="G415" s="25" t="str">
        <f t="shared" si="351"/>
        <v/>
      </c>
      <c r="H415" s="25" t="str">
        <f t="shared" si="352"/>
        <v/>
      </c>
      <c r="I415" s="25" t="str">
        <f t="shared" si="353"/>
        <v/>
      </c>
      <c r="J415" s="25" t="str">
        <f t="shared" si="354"/>
        <v/>
      </c>
      <c r="K415" s="25" t="str">
        <f t="shared" si="355"/>
        <v/>
      </c>
      <c r="L415" s="26" t="str">
        <f t="shared" si="356"/>
        <v/>
      </c>
      <c r="M415" s="24" t="str">
        <f t="shared" si="357"/>
        <v/>
      </c>
      <c r="N415" s="25" t="str">
        <f t="shared" si="358"/>
        <v/>
      </c>
      <c r="O415" s="25" t="str">
        <f t="shared" si="359"/>
        <v/>
      </c>
      <c r="P415" s="25" t="str">
        <f t="shared" si="360"/>
        <v/>
      </c>
      <c r="Q415" s="25" t="str">
        <f t="shared" si="361"/>
        <v/>
      </c>
      <c r="R415" s="25" t="str">
        <f t="shared" si="362"/>
        <v/>
      </c>
      <c r="S415" s="25" t="str">
        <f t="shared" si="363"/>
        <v/>
      </c>
      <c r="T415" s="26" t="str">
        <f t="shared" si="364"/>
        <v/>
      </c>
      <c r="X415" s="24" t="str">
        <f t="shared" si="365"/>
        <v/>
      </c>
      <c r="Y415" s="25" t="str">
        <f t="shared" si="366"/>
        <v/>
      </c>
      <c r="Z415" s="25" t="str">
        <f t="shared" si="367"/>
        <v/>
      </c>
      <c r="AA415" s="25" t="str">
        <f t="shared" si="368"/>
        <v/>
      </c>
      <c r="AB415" s="25" t="str">
        <f t="shared" si="369"/>
        <v/>
      </c>
      <c r="AC415" s="25" t="str">
        <f t="shared" si="370"/>
        <v/>
      </c>
      <c r="AD415" s="25" t="str">
        <f t="shared" si="371"/>
        <v/>
      </c>
      <c r="AE415" s="26" t="str">
        <f t="shared" si="372"/>
        <v/>
      </c>
      <c r="AF415" s="24" t="str">
        <f t="shared" si="373"/>
        <v/>
      </c>
      <c r="AG415" s="25" t="str">
        <f t="shared" si="374"/>
        <v/>
      </c>
      <c r="AH415" s="25" t="str">
        <f t="shared" si="375"/>
        <v/>
      </c>
      <c r="AI415" s="25" t="str">
        <f t="shared" si="376"/>
        <v/>
      </c>
      <c r="AJ415" s="25" t="str">
        <f t="shared" si="377"/>
        <v/>
      </c>
      <c r="AK415" s="25" t="str">
        <f t="shared" si="378"/>
        <v/>
      </c>
      <c r="AL415" s="25" t="str">
        <f t="shared" si="379"/>
        <v/>
      </c>
      <c r="AM415" s="26" t="str">
        <f t="shared" si="380"/>
        <v/>
      </c>
      <c r="AQ415" s="24" t="str">
        <f t="shared" si="381"/>
        <v/>
      </c>
      <c r="AR415" s="25" t="str">
        <f t="shared" si="382"/>
        <v/>
      </c>
      <c r="AS415" s="25" t="str">
        <f t="shared" si="383"/>
        <v/>
      </c>
      <c r="AT415" s="25" t="str">
        <f t="shared" si="384"/>
        <v/>
      </c>
      <c r="AU415" s="25" t="str">
        <f t="shared" si="385"/>
        <v/>
      </c>
      <c r="AV415" s="25" t="str">
        <f t="shared" si="386"/>
        <v/>
      </c>
      <c r="AW415" s="25" t="str">
        <f t="shared" si="387"/>
        <v/>
      </c>
      <c r="AX415" s="26" t="str">
        <f t="shared" si="388"/>
        <v/>
      </c>
    </row>
    <row r="416" spans="4:50" hidden="1" x14ac:dyDescent="0.25">
      <c r="D416" s="70">
        <v>114</v>
      </c>
      <c r="E416" s="24" t="str">
        <f t="shared" si="349"/>
        <v/>
      </c>
      <c r="F416" s="25" t="str">
        <f t="shared" si="350"/>
        <v/>
      </c>
      <c r="G416" s="25" t="str">
        <f t="shared" si="351"/>
        <v/>
      </c>
      <c r="H416" s="25" t="str">
        <f t="shared" si="352"/>
        <v/>
      </c>
      <c r="I416" s="25" t="str">
        <f t="shared" si="353"/>
        <v/>
      </c>
      <c r="J416" s="25" t="str">
        <f t="shared" si="354"/>
        <v/>
      </c>
      <c r="K416" s="25" t="str">
        <f t="shared" si="355"/>
        <v/>
      </c>
      <c r="L416" s="26" t="str">
        <f t="shared" si="356"/>
        <v/>
      </c>
      <c r="M416" s="24" t="str">
        <f t="shared" si="357"/>
        <v/>
      </c>
      <c r="N416" s="25" t="str">
        <f t="shared" si="358"/>
        <v/>
      </c>
      <c r="O416" s="25" t="str">
        <f t="shared" si="359"/>
        <v/>
      </c>
      <c r="P416" s="25" t="str">
        <f t="shared" si="360"/>
        <v/>
      </c>
      <c r="Q416" s="25" t="str">
        <f t="shared" si="361"/>
        <v/>
      </c>
      <c r="R416" s="25" t="str">
        <f t="shared" si="362"/>
        <v/>
      </c>
      <c r="S416" s="25" t="str">
        <f t="shared" si="363"/>
        <v/>
      </c>
      <c r="T416" s="26" t="str">
        <f t="shared" si="364"/>
        <v/>
      </c>
      <c r="X416" s="24" t="str">
        <f t="shared" si="365"/>
        <v/>
      </c>
      <c r="Y416" s="25" t="str">
        <f t="shared" si="366"/>
        <v/>
      </c>
      <c r="Z416" s="25" t="str">
        <f t="shared" si="367"/>
        <v/>
      </c>
      <c r="AA416" s="25" t="str">
        <f t="shared" si="368"/>
        <v/>
      </c>
      <c r="AB416" s="25" t="str">
        <f t="shared" si="369"/>
        <v/>
      </c>
      <c r="AC416" s="25" t="str">
        <f t="shared" si="370"/>
        <v/>
      </c>
      <c r="AD416" s="25" t="str">
        <f t="shared" si="371"/>
        <v/>
      </c>
      <c r="AE416" s="26" t="str">
        <f t="shared" si="372"/>
        <v/>
      </c>
      <c r="AF416" s="24" t="str">
        <f t="shared" si="373"/>
        <v/>
      </c>
      <c r="AG416" s="25" t="str">
        <f t="shared" si="374"/>
        <v/>
      </c>
      <c r="AH416" s="25" t="str">
        <f t="shared" si="375"/>
        <v/>
      </c>
      <c r="AI416" s="25" t="str">
        <f t="shared" si="376"/>
        <v/>
      </c>
      <c r="AJ416" s="25" t="str">
        <f t="shared" si="377"/>
        <v/>
      </c>
      <c r="AK416" s="25" t="str">
        <f t="shared" si="378"/>
        <v/>
      </c>
      <c r="AL416" s="25" t="str">
        <f t="shared" si="379"/>
        <v/>
      </c>
      <c r="AM416" s="26" t="str">
        <f t="shared" si="380"/>
        <v/>
      </c>
      <c r="AQ416" s="24" t="str">
        <f t="shared" si="381"/>
        <v/>
      </c>
      <c r="AR416" s="25" t="str">
        <f t="shared" si="382"/>
        <v/>
      </c>
      <c r="AS416" s="25" t="str">
        <f t="shared" si="383"/>
        <v/>
      </c>
      <c r="AT416" s="25" t="str">
        <f t="shared" si="384"/>
        <v/>
      </c>
      <c r="AU416" s="25" t="str">
        <f t="shared" si="385"/>
        <v/>
      </c>
      <c r="AV416" s="25" t="str">
        <f t="shared" si="386"/>
        <v/>
      </c>
      <c r="AW416" s="25" t="str">
        <f t="shared" si="387"/>
        <v/>
      </c>
      <c r="AX416" s="26" t="str">
        <f t="shared" si="388"/>
        <v/>
      </c>
    </row>
    <row r="417" spans="4:50" hidden="1" x14ac:dyDescent="0.25">
      <c r="D417" s="70">
        <v>115</v>
      </c>
      <c r="E417" s="24" t="str">
        <f t="shared" si="349"/>
        <v/>
      </c>
      <c r="F417" s="25" t="str">
        <f t="shared" si="350"/>
        <v/>
      </c>
      <c r="G417" s="25" t="str">
        <f t="shared" si="351"/>
        <v/>
      </c>
      <c r="H417" s="25" t="str">
        <f t="shared" si="352"/>
        <v/>
      </c>
      <c r="I417" s="25" t="str">
        <f t="shared" si="353"/>
        <v/>
      </c>
      <c r="J417" s="25" t="str">
        <f t="shared" si="354"/>
        <v/>
      </c>
      <c r="K417" s="25" t="str">
        <f t="shared" si="355"/>
        <v/>
      </c>
      <c r="L417" s="26" t="str">
        <f t="shared" si="356"/>
        <v/>
      </c>
      <c r="M417" s="24" t="str">
        <f t="shared" si="357"/>
        <v/>
      </c>
      <c r="N417" s="25" t="str">
        <f t="shared" si="358"/>
        <v/>
      </c>
      <c r="O417" s="25" t="str">
        <f t="shared" si="359"/>
        <v/>
      </c>
      <c r="P417" s="25" t="str">
        <f t="shared" si="360"/>
        <v/>
      </c>
      <c r="Q417" s="25" t="str">
        <f t="shared" si="361"/>
        <v/>
      </c>
      <c r="R417" s="25" t="str">
        <f t="shared" si="362"/>
        <v/>
      </c>
      <c r="S417" s="25" t="str">
        <f t="shared" si="363"/>
        <v/>
      </c>
      <c r="T417" s="26" t="str">
        <f t="shared" si="364"/>
        <v/>
      </c>
      <c r="X417" s="24" t="str">
        <f t="shared" si="365"/>
        <v/>
      </c>
      <c r="Y417" s="25" t="str">
        <f t="shared" si="366"/>
        <v/>
      </c>
      <c r="Z417" s="25" t="str">
        <f t="shared" si="367"/>
        <v/>
      </c>
      <c r="AA417" s="25" t="str">
        <f t="shared" si="368"/>
        <v/>
      </c>
      <c r="AB417" s="25" t="str">
        <f t="shared" si="369"/>
        <v/>
      </c>
      <c r="AC417" s="25" t="str">
        <f t="shared" si="370"/>
        <v/>
      </c>
      <c r="AD417" s="25" t="str">
        <f t="shared" si="371"/>
        <v/>
      </c>
      <c r="AE417" s="26" t="str">
        <f t="shared" si="372"/>
        <v/>
      </c>
      <c r="AF417" s="24" t="str">
        <f t="shared" si="373"/>
        <v/>
      </c>
      <c r="AG417" s="25" t="str">
        <f t="shared" si="374"/>
        <v/>
      </c>
      <c r="AH417" s="25" t="str">
        <f t="shared" si="375"/>
        <v/>
      </c>
      <c r="AI417" s="25" t="str">
        <f t="shared" si="376"/>
        <v/>
      </c>
      <c r="AJ417" s="25" t="str">
        <f t="shared" si="377"/>
        <v/>
      </c>
      <c r="AK417" s="25" t="str">
        <f t="shared" si="378"/>
        <v/>
      </c>
      <c r="AL417" s="25" t="str">
        <f t="shared" si="379"/>
        <v/>
      </c>
      <c r="AM417" s="26" t="str">
        <f t="shared" si="380"/>
        <v/>
      </c>
      <c r="AQ417" s="24" t="str">
        <f t="shared" si="381"/>
        <v/>
      </c>
      <c r="AR417" s="25" t="str">
        <f t="shared" si="382"/>
        <v/>
      </c>
      <c r="AS417" s="25" t="str">
        <f t="shared" si="383"/>
        <v/>
      </c>
      <c r="AT417" s="25" t="str">
        <f t="shared" si="384"/>
        <v/>
      </c>
      <c r="AU417" s="25" t="str">
        <f t="shared" si="385"/>
        <v/>
      </c>
      <c r="AV417" s="25" t="str">
        <f t="shared" si="386"/>
        <v/>
      </c>
      <c r="AW417" s="25" t="str">
        <f t="shared" si="387"/>
        <v/>
      </c>
      <c r="AX417" s="26" t="str">
        <f t="shared" si="388"/>
        <v/>
      </c>
    </row>
    <row r="418" spans="4:50" hidden="1" x14ac:dyDescent="0.25">
      <c r="D418" s="70">
        <v>116</v>
      </c>
      <c r="E418" s="24" t="str">
        <f t="shared" si="349"/>
        <v/>
      </c>
      <c r="F418" s="25" t="str">
        <f t="shared" si="350"/>
        <v/>
      </c>
      <c r="G418" s="25" t="str">
        <f t="shared" si="351"/>
        <v/>
      </c>
      <c r="H418" s="25" t="str">
        <f t="shared" si="352"/>
        <v/>
      </c>
      <c r="I418" s="25" t="str">
        <f t="shared" si="353"/>
        <v/>
      </c>
      <c r="J418" s="25" t="str">
        <f t="shared" si="354"/>
        <v/>
      </c>
      <c r="K418" s="25" t="str">
        <f t="shared" si="355"/>
        <v/>
      </c>
      <c r="L418" s="26" t="str">
        <f t="shared" si="356"/>
        <v/>
      </c>
      <c r="M418" s="24" t="str">
        <f t="shared" si="357"/>
        <v/>
      </c>
      <c r="N418" s="25" t="str">
        <f t="shared" si="358"/>
        <v/>
      </c>
      <c r="O418" s="25" t="str">
        <f t="shared" si="359"/>
        <v/>
      </c>
      <c r="P418" s="25" t="str">
        <f t="shared" si="360"/>
        <v/>
      </c>
      <c r="Q418" s="25" t="str">
        <f t="shared" si="361"/>
        <v/>
      </c>
      <c r="R418" s="25" t="str">
        <f t="shared" si="362"/>
        <v/>
      </c>
      <c r="S418" s="25" t="str">
        <f t="shared" si="363"/>
        <v/>
      </c>
      <c r="T418" s="26" t="str">
        <f t="shared" si="364"/>
        <v/>
      </c>
      <c r="X418" s="24" t="str">
        <f t="shared" si="365"/>
        <v/>
      </c>
      <c r="Y418" s="25" t="str">
        <f t="shared" si="366"/>
        <v/>
      </c>
      <c r="Z418" s="25" t="str">
        <f t="shared" si="367"/>
        <v/>
      </c>
      <c r="AA418" s="25" t="str">
        <f t="shared" si="368"/>
        <v/>
      </c>
      <c r="AB418" s="25" t="str">
        <f t="shared" si="369"/>
        <v/>
      </c>
      <c r="AC418" s="25" t="str">
        <f t="shared" si="370"/>
        <v/>
      </c>
      <c r="AD418" s="25" t="str">
        <f t="shared" si="371"/>
        <v/>
      </c>
      <c r="AE418" s="26" t="str">
        <f t="shared" si="372"/>
        <v/>
      </c>
      <c r="AF418" s="24" t="str">
        <f t="shared" si="373"/>
        <v/>
      </c>
      <c r="AG418" s="25" t="str">
        <f t="shared" si="374"/>
        <v/>
      </c>
      <c r="AH418" s="25" t="str">
        <f t="shared" si="375"/>
        <v/>
      </c>
      <c r="AI418" s="25" t="str">
        <f t="shared" si="376"/>
        <v/>
      </c>
      <c r="AJ418" s="25" t="str">
        <f t="shared" si="377"/>
        <v/>
      </c>
      <c r="AK418" s="25" t="str">
        <f t="shared" si="378"/>
        <v/>
      </c>
      <c r="AL418" s="25" t="str">
        <f t="shared" si="379"/>
        <v/>
      </c>
      <c r="AM418" s="26" t="str">
        <f t="shared" si="380"/>
        <v/>
      </c>
      <c r="AQ418" s="24" t="str">
        <f t="shared" si="381"/>
        <v/>
      </c>
      <c r="AR418" s="25" t="str">
        <f t="shared" si="382"/>
        <v/>
      </c>
      <c r="AS418" s="25" t="str">
        <f t="shared" si="383"/>
        <v/>
      </c>
      <c r="AT418" s="25" t="str">
        <f t="shared" si="384"/>
        <v/>
      </c>
      <c r="AU418" s="25" t="str">
        <f t="shared" si="385"/>
        <v/>
      </c>
      <c r="AV418" s="25" t="str">
        <f t="shared" si="386"/>
        <v/>
      </c>
      <c r="AW418" s="25" t="str">
        <f t="shared" si="387"/>
        <v/>
      </c>
      <c r="AX418" s="26" t="str">
        <f t="shared" si="388"/>
        <v/>
      </c>
    </row>
    <row r="419" spans="4:50" hidden="1" x14ac:dyDescent="0.25">
      <c r="D419" s="70">
        <v>117</v>
      </c>
      <c r="E419" s="24" t="str">
        <f t="shared" si="349"/>
        <v/>
      </c>
      <c r="F419" s="25" t="str">
        <f t="shared" si="350"/>
        <v/>
      </c>
      <c r="G419" s="25" t="str">
        <f t="shared" si="351"/>
        <v/>
      </c>
      <c r="H419" s="25" t="str">
        <f t="shared" si="352"/>
        <v/>
      </c>
      <c r="I419" s="25" t="str">
        <f t="shared" si="353"/>
        <v/>
      </c>
      <c r="J419" s="25" t="str">
        <f t="shared" si="354"/>
        <v/>
      </c>
      <c r="K419" s="25" t="str">
        <f t="shared" si="355"/>
        <v/>
      </c>
      <c r="L419" s="26" t="str">
        <f t="shared" si="356"/>
        <v/>
      </c>
      <c r="M419" s="24" t="str">
        <f t="shared" si="357"/>
        <v/>
      </c>
      <c r="N419" s="25" t="str">
        <f t="shared" si="358"/>
        <v/>
      </c>
      <c r="O419" s="25" t="str">
        <f t="shared" si="359"/>
        <v/>
      </c>
      <c r="P419" s="25" t="str">
        <f t="shared" si="360"/>
        <v/>
      </c>
      <c r="Q419" s="25" t="str">
        <f t="shared" si="361"/>
        <v/>
      </c>
      <c r="R419" s="25" t="str">
        <f t="shared" si="362"/>
        <v/>
      </c>
      <c r="S419" s="25" t="str">
        <f t="shared" si="363"/>
        <v/>
      </c>
      <c r="T419" s="26" t="str">
        <f t="shared" si="364"/>
        <v/>
      </c>
      <c r="X419" s="24" t="str">
        <f t="shared" si="365"/>
        <v/>
      </c>
      <c r="Y419" s="25" t="str">
        <f t="shared" si="366"/>
        <v/>
      </c>
      <c r="Z419" s="25" t="str">
        <f t="shared" si="367"/>
        <v/>
      </c>
      <c r="AA419" s="25" t="str">
        <f t="shared" si="368"/>
        <v/>
      </c>
      <c r="AB419" s="25" t="str">
        <f t="shared" si="369"/>
        <v/>
      </c>
      <c r="AC419" s="25" t="str">
        <f t="shared" si="370"/>
        <v/>
      </c>
      <c r="AD419" s="25" t="str">
        <f t="shared" si="371"/>
        <v/>
      </c>
      <c r="AE419" s="26" t="str">
        <f t="shared" si="372"/>
        <v/>
      </c>
      <c r="AF419" s="24" t="str">
        <f t="shared" si="373"/>
        <v/>
      </c>
      <c r="AG419" s="25" t="str">
        <f t="shared" si="374"/>
        <v/>
      </c>
      <c r="AH419" s="25" t="str">
        <f t="shared" si="375"/>
        <v/>
      </c>
      <c r="AI419" s="25" t="str">
        <f t="shared" si="376"/>
        <v/>
      </c>
      <c r="AJ419" s="25" t="str">
        <f t="shared" si="377"/>
        <v/>
      </c>
      <c r="AK419" s="25" t="str">
        <f t="shared" si="378"/>
        <v/>
      </c>
      <c r="AL419" s="25" t="str">
        <f t="shared" si="379"/>
        <v/>
      </c>
      <c r="AM419" s="26" t="str">
        <f t="shared" si="380"/>
        <v/>
      </c>
      <c r="AQ419" s="24" t="str">
        <f t="shared" si="381"/>
        <v/>
      </c>
      <c r="AR419" s="25" t="str">
        <f t="shared" si="382"/>
        <v/>
      </c>
      <c r="AS419" s="25" t="str">
        <f t="shared" si="383"/>
        <v/>
      </c>
      <c r="AT419" s="25" t="str">
        <f t="shared" si="384"/>
        <v/>
      </c>
      <c r="AU419" s="25" t="str">
        <f t="shared" si="385"/>
        <v/>
      </c>
      <c r="AV419" s="25" t="str">
        <f t="shared" si="386"/>
        <v/>
      </c>
      <c r="AW419" s="25" t="str">
        <f t="shared" si="387"/>
        <v/>
      </c>
      <c r="AX419" s="26" t="str">
        <f t="shared" si="388"/>
        <v/>
      </c>
    </row>
    <row r="420" spans="4:50" hidden="1" x14ac:dyDescent="0.25">
      <c r="D420" s="70">
        <v>118</v>
      </c>
      <c r="E420" s="24" t="str">
        <f t="shared" si="349"/>
        <v/>
      </c>
      <c r="F420" s="25" t="str">
        <f t="shared" si="350"/>
        <v/>
      </c>
      <c r="G420" s="25" t="str">
        <f t="shared" si="351"/>
        <v/>
      </c>
      <c r="H420" s="25" t="str">
        <f t="shared" si="352"/>
        <v/>
      </c>
      <c r="I420" s="25" t="str">
        <f t="shared" si="353"/>
        <v/>
      </c>
      <c r="J420" s="25" t="str">
        <f t="shared" si="354"/>
        <v/>
      </c>
      <c r="K420" s="25" t="str">
        <f t="shared" si="355"/>
        <v/>
      </c>
      <c r="L420" s="26" t="str">
        <f t="shared" si="356"/>
        <v/>
      </c>
      <c r="M420" s="24" t="str">
        <f t="shared" si="357"/>
        <v/>
      </c>
      <c r="N420" s="25" t="str">
        <f t="shared" si="358"/>
        <v/>
      </c>
      <c r="O420" s="25" t="str">
        <f t="shared" si="359"/>
        <v/>
      </c>
      <c r="P420" s="25" t="str">
        <f t="shared" si="360"/>
        <v/>
      </c>
      <c r="Q420" s="25" t="str">
        <f t="shared" si="361"/>
        <v/>
      </c>
      <c r="R420" s="25" t="str">
        <f t="shared" si="362"/>
        <v/>
      </c>
      <c r="S420" s="25" t="str">
        <f t="shared" si="363"/>
        <v/>
      </c>
      <c r="T420" s="26" t="str">
        <f t="shared" si="364"/>
        <v/>
      </c>
      <c r="X420" s="24" t="str">
        <f t="shared" si="365"/>
        <v/>
      </c>
      <c r="Y420" s="25" t="str">
        <f t="shared" si="366"/>
        <v/>
      </c>
      <c r="Z420" s="25" t="str">
        <f t="shared" si="367"/>
        <v/>
      </c>
      <c r="AA420" s="25" t="str">
        <f t="shared" si="368"/>
        <v/>
      </c>
      <c r="AB420" s="25" t="str">
        <f t="shared" si="369"/>
        <v/>
      </c>
      <c r="AC420" s="25" t="str">
        <f t="shared" si="370"/>
        <v/>
      </c>
      <c r="AD420" s="25" t="str">
        <f t="shared" si="371"/>
        <v/>
      </c>
      <c r="AE420" s="26" t="str">
        <f t="shared" si="372"/>
        <v/>
      </c>
      <c r="AF420" s="24" t="str">
        <f t="shared" si="373"/>
        <v/>
      </c>
      <c r="AG420" s="25" t="str">
        <f t="shared" si="374"/>
        <v/>
      </c>
      <c r="AH420" s="25" t="str">
        <f t="shared" si="375"/>
        <v/>
      </c>
      <c r="AI420" s="25" t="str">
        <f t="shared" si="376"/>
        <v/>
      </c>
      <c r="AJ420" s="25" t="str">
        <f t="shared" si="377"/>
        <v/>
      </c>
      <c r="AK420" s="25" t="str">
        <f t="shared" si="378"/>
        <v/>
      </c>
      <c r="AL420" s="25" t="str">
        <f t="shared" si="379"/>
        <v/>
      </c>
      <c r="AM420" s="26" t="str">
        <f t="shared" si="380"/>
        <v/>
      </c>
      <c r="AQ420" s="24" t="str">
        <f t="shared" si="381"/>
        <v/>
      </c>
      <c r="AR420" s="25" t="str">
        <f t="shared" si="382"/>
        <v/>
      </c>
      <c r="AS420" s="25" t="str">
        <f t="shared" si="383"/>
        <v/>
      </c>
      <c r="AT420" s="25" t="str">
        <f t="shared" si="384"/>
        <v/>
      </c>
      <c r="AU420" s="25" t="str">
        <f t="shared" si="385"/>
        <v/>
      </c>
      <c r="AV420" s="25" t="str">
        <f t="shared" si="386"/>
        <v/>
      </c>
      <c r="AW420" s="25" t="str">
        <f t="shared" si="387"/>
        <v/>
      </c>
      <c r="AX420" s="26" t="str">
        <f t="shared" si="388"/>
        <v/>
      </c>
    </row>
    <row r="421" spans="4:50" hidden="1" x14ac:dyDescent="0.25">
      <c r="D421" s="70">
        <v>119</v>
      </c>
      <c r="E421" s="24" t="str">
        <f t="shared" si="349"/>
        <v/>
      </c>
      <c r="F421" s="25" t="str">
        <f t="shared" si="350"/>
        <v/>
      </c>
      <c r="G421" s="25" t="str">
        <f t="shared" si="351"/>
        <v/>
      </c>
      <c r="H421" s="25" t="str">
        <f t="shared" si="352"/>
        <v/>
      </c>
      <c r="I421" s="25" t="str">
        <f t="shared" si="353"/>
        <v/>
      </c>
      <c r="J421" s="25" t="str">
        <f t="shared" si="354"/>
        <v/>
      </c>
      <c r="K421" s="25" t="str">
        <f t="shared" si="355"/>
        <v/>
      </c>
      <c r="L421" s="26" t="str">
        <f t="shared" si="356"/>
        <v/>
      </c>
      <c r="M421" s="24" t="str">
        <f t="shared" si="357"/>
        <v/>
      </c>
      <c r="N421" s="25" t="str">
        <f t="shared" si="358"/>
        <v/>
      </c>
      <c r="O421" s="25" t="str">
        <f t="shared" si="359"/>
        <v/>
      </c>
      <c r="P421" s="25" t="str">
        <f t="shared" si="360"/>
        <v/>
      </c>
      <c r="Q421" s="25" t="str">
        <f t="shared" si="361"/>
        <v/>
      </c>
      <c r="R421" s="25" t="str">
        <f t="shared" si="362"/>
        <v/>
      </c>
      <c r="S421" s="25" t="str">
        <f t="shared" si="363"/>
        <v/>
      </c>
      <c r="T421" s="26" t="str">
        <f t="shared" si="364"/>
        <v/>
      </c>
      <c r="X421" s="24" t="str">
        <f t="shared" si="365"/>
        <v/>
      </c>
      <c r="Y421" s="25" t="str">
        <f t="shared" si="366"/>
        <v/>
      </c>
      <c r="Z421" s="25" t="str">
        <f t="shared" si="367"/>
        <v/>
      </c>
      <c r="AA421" s="25" t="str">
        <f t="shared" si="368"/>
        <v/>
      </c>
      <c r="AB421" s="25" t="str">
        <f t="shared" si="369"/>
        <v/>
      </c>
      <c r="AC421" s="25" t="str">
        <f t="shared" si="370"/>
        <v/>
      </c>
      <c r="AD421" s="25" t="str">
        <f t="shared" si="371"/>
        <v/>
      </c>
      <c r="AE421" s="26" t="str">
        <f t="shared" si="372"/>
        <v/>
      </c>
      <c r="AF421" s="24" t="str">
        <f t="shared" si="373"/>
        <v/>
      </c>
      <c r="AG421" s="25" t="str">
        <f t="shared" si="374"/>
        <v/>
      </c>
      <c r="AH421" s="25" t="str">
        <f t="shared" si="375"/>
        <v/>
      </c>
      <c r="AI421" s="25" t="str">
        <f t="shared" si="376"/>
        <v/>
      </c>
      <c r="AJ421" s="25" t="str">
        <f t="shared" si="377"/>
        <v/>
      </c>
      <c r="AK421" s="25" t="str">
        <f t="shared" si="378"/>
        <v/>
      </c>
      <c r="AL421" s="25" t="str">
        <f t="shared" si="379"/>
        <v/>
      </c>
      <c r="AM421" s="26" t="str">
        <f t="shared" si="380"/>
        <v/>
      </c>
      <c r="AQ421" s="24" t="str">
        <f t="shared" si="381"/>
        <v/>
      </c>
      <c r="AR421" s="25" t="str">
        <f t="shared" si="382"/>
        <v/>
      </c>
      <c r="AS421" s="25" t="str">
        <f t="shared" si="383"/>
        <v/>
      </c>
      <c r="AT421" s="25" t="str">
        <f t="shared" si="384"/>
        <v/>
      </c>
      <c r="AU421" s="25" t="str">
        <f t="shared" si="385"/>
        <v/>
      </c>
      <c r="AV421" s="25" t="str">
        <f t="shared" si="386"/>
        <v/>
      </c>
      <c r="AW421" s="25" t="str">
        <f t="shared" si="387"/>
        <v/>
      </c>
      <c r="AX421" s="26" t="str">
        <f t="shared" si="388"/>
        <v/>
      </c>
    </row>
    <row r="422" spans="4:50" hidden="1" x14ac:dyDescent="0.25">
      <c r="D422" s="70">
        <v>120</v>
      </c>
      <c r="E422" s="24" t="str">
        <f t="shared" si="349"/>
        <v/>
      </c>
      <c r="F422" s="25" t="str">
        <f t="shared" si="350"/>
        <v/>
      </c>
      <c r="G422" s="25" t="str">
        <f t="shared" si="351"/>
        <v/>
      </c>
      <c r="H422" s="25" t="str">
        <f t="shared" si="352"/>
        <v/>
      </c>
      <c r="I422" s="25" t="str">
        <f t="shared" si="353"/>
        <v/>
      </c>
      <c r="J422" s="25" t="str">
        <f t="shared" si="354"/>
        <v/>
      </c>
      <c r="K422" s="25" t="str">
        <f t="shared" si="355"/>
        <v/>
      </c>
      <c r="L422" s="26" t="str">
        <f t="shared" si="356"/>
        <v/>
      </c>
      <c r="M422" s="24" t="str">
        <f t="shared" si="357"/>
        <v/>
      </c>
      <c r="N422" s="25" t="str">
        <f t="shared" si="358"/>
        <v/>
      </c>
      <c r="O422" s="25" t="str">
        <f t="shared" si="359"/>
        <v/>
      </c>
      <c r="P422" s="25" t="str">
        <f t="shared" si="360"/>
        <v/>
      </c>
      <c r="Q422" s="25" t="str">
        <f t="shared" si="361"/>
        <v/>
      </c>
      <c r="R422" s="25" t="str">
        <f t="shared" si="362"/>
        <v/>
      </c>
      <c r="S422" s="25" t="str">
        <f t="shared" si="363"/>
        <v/>
      </c>
      <c r="T422" s="26" t="str">
        <f t="shared" si="364"/>
        <v/>
      </c>
      <c r="X422" s="24" t="str">
        <f t="shared" si="365"/>
        <v/>
      </c>
      <c r="Y422" s="25" t="str">
        <f t="shared" si="366"/>
        <v/>
      </c>
      <c r="Z422" s="25" t="str">
        <f t="shared" si="367"/>
        <v/>
      </c>
      <c r="AA422" s="25" t="str">
        <f t="shared" si="368"/>
        <v/>
      </c>
      <c r="AB422" s="25" t="str">
        <f t="shared" si="369"/>
        <v/>
      </c>
      <c r="AC422" s="25" t="str">
        <f t="shared" si="370"/>
        <v/>
      </c>
      <c r="AD422" s="25" t="str">
        <f t="shared" si="371"/>
        <v/>
      </c>
      <c r="AE422" s="26" t="str">
        <f t="shared" si="372"/>
        <v/>
      </c>
      <c r="AF422" s="24" t="str">
        <f t="shared" si="373"/>
        <v/>
      </c>
      <c r="AG422" s="25" t="str">
        <f t="shared" si="374"/>
        <v/>
      </c>
      <c r="AH422" s="25" t="str">
        <f t="shared" si="375"/>
        <v/>
      </c>
      <c r="AI422" s="25" t="str">
        <f t="shared" si="376"/>
        <v/>
      </c>
      <c r="AJ422" s="25" t="str">
        <f t="shared" si="377"/>
        <v/>
      </c>
      <c r="AK422" s="25" t="str">
        <f t="shared" si="378"/>
        <v/>
      </c>
      <c r="AL422" s="25" t="str">
        <f t="shared" si="379"/>
        <v/>
      </c>
      <c r="AM422" s="26" t="str">
        <f t="shared" si="380"/>
        <v/>
      </c>
      <c r="AQ422" s="24" t="str">
        <f t="shared" si="381"/>
        <v/>
      </c>
      <c r="AR422" s="25" t="str">
        <f t="shared" si="382"/>
        <v/>
      </c>
      <c r="AS422" s="25" t="str">
        <f t="shared" si="383"/>
        <v/>
      </c>
      <c r="AT422" s="25" t="str">
        <f t="shared" si="384"/>
        <v/>
      </c>
      <c r="AU422" s="25" t="str">
        <f t="shared" si="385"/>
        <v/>
      </c>
      <c r="AV422" s="25" t="str">
        <f t="shared" si="386"/>
        <v/>
      </c>
      <c r="AW422" s="25" t="str">
        <f t="shared" si="387"/>
        <v/>
      </c>
      <c r="AX422" s="26" t="str">
        <f t="shared" si="388"/>
        <v/>
      </c>
    </row>
    <row r="423" spans="4:50" hidden="1" x14ac:dyDescent="0.25">
      <c r="D423" s="70">
        <v>121</v>
      </c>
      <c r="E423" s="24" t="str">
        <f t="shared" si="349"/>
        <v/>
      </c>
      <c r="F423" s="25" t="str">
        <f t="shared" si="350"/>
        <v/>
      </c>
      <c r="G423" s="25" t="str">
        <f t="shared" si="351"/>
        <v/>
      </c>
      <c r="H423" s="25" t="str">
        <f t="shared" si="352"/>
        <v/>
      </c>
      <c r="I423" s="25" t="str">
        <f t="shared" si="353"/>
        <v/>
      </c>
      <c r="J423" s="25" t="str">
        <f t="shared" si="354"/>
        <v/>
      </c>
      <c r="K423" s="25" t="str">
        <f t="shared" si="355"/>
        <v/>
      </c>
      <c r="L423" s="26" t="str">
        <f t="shared" si="356"/>
        <v/>
      </c>
      <c r="M423" s="24" t="str">
        <f t="shared" si="357"/>
        <v/>
      </c>
      <c r="N423" s="25" t="str">
        <f t="shared" si="358"/>
        <v/>
      </c>
      <c r="O423" s="25" t="str">
        <f t="shared" si="359"/>
        <v/>
      </c>
      <c r="P423" s="25" t="str">
        <f t="shared" si="360"/>
        <v/>
      </c>
      <c r="Q423" s="25" t="str">
        <f t="shared" si="361"/>
        <v/>
      </c>
      <c r="R423" s="25" t="str">
        <f t="shared" si="362"/>
        <v/>
      </c>
      <c r="S423" s="25" t="str">
        <f t="shared" si="363"/>
        <v/>
      </c>
      <c r="T423" s="26" t="str">
        <f t="shared" si="364"/>
        <v/>
      </c>
      <c r="X423" s="24" t="str">
        <f t="shared" si="365"/>
        <v/>
      </c>
      <c r="Y423" s="25" t="str">
        <f t="shared" si="366"/>
        <v/>
      </c>
      <c r="Z423" s="25" t="str">
        <f t="shared" si="367"/>
        <v/>
      </c>
      <c r="AA423" s="25" t="str">
        <f t="shared" si="368"/>
        <v/>
      </c>
      <c r="AB423" s="25" t="str">
        <f t="shared" si="369"/>
        <v/>
      </c>
      <c r="AC423" s="25" t="str">
        <f t="shared" si="370"/>
        <v/>
      </c>
      <c r="AD423" s="25" t="str">
        <f t="shared" si="371"/>
        <v/>
      </c>
      <c r="AE423" s="26" t="str">
        <f t="shared" si="372"/>
        <v/>
      </c>
      <c r="AF423" s="24" t="str">
        <f t="shared" si="373"/>
        <v/>
      </c>
      <c r="AG423" s="25" t="str">
        <f t="shared" si="374"/>
        <v/>
      </c>
      <c r="AH423" s="25" t="str">
        <f t="shared" si="375"/>
        <v/>
      </c>
      <c r="AI423" s="25" t="str">
        <f t="shared" si="376"/>
        <v/>
      </c>
      <c r="AJ423" s="25" t="str">
        <f t="shared" si="377"/>
        <v/>
      </c>
      <c r="AK423" s="25" t="str">
        <f t="shared" si="378"/>
        <v/>
      </c>
      <c r="AL423" s="25" t="str">
        <f t="shared" si="379"/>
        <v/>
      </c>
      <c r="AM423" s="26" t="str">
        <f t="shared" si="380"/>
        <v/>
      </c>
      <c r="AQ423" s="24" t="str">
        <f t="shared" si="381"/>
        <v/>
      </c>
      <c r="AR423" s="25" t="str">
        <f t="shared" si="382"/>
        <v/>
      </c>
      <c r="AS423" s="25" t="str">
        <f t="shared" si="383"/>
        <v/>
      </c>
      <c r="AT423" s="25" t="str">
        <f t="shared" si="384"/>
        <v/>
      </c>
      <c r="AU423" s="25" t="str">
        <f t="shared" si="385"/>
        <v/>
      </c>
      <c r="AV423" s="25" t="str">
        <f t="shared" si="386"/>
        <v/>
      </c>
      <c r="AW423" s="25" t="str">
        <f t="shared" si="387"/>
        <v/>
      </c>
      <c r="AX423" s="26" t="str">
        <f t="shared" si="388"/>
        <v/>
      </c>
    </row>
    <row r="424" spans="4:50" hidden="1" x14ac:dyDescent="0.25">
      <c r="D424" s="70">
        <v>122</v>
      </c>
      <c r="E424" s="24" t="str">
        <f t="shared" si="349"/>
        <v/>
      </c>
      <c r="F424" s="25" t="str">
        <f t="shared" si="350"/>
        <v/>
      </c>
      <c r="G424" s="25" t="str">
        <f t="shared" si="351"/>
        <v/>
      </c>
      <c r="H424" s="25" t="str">
        <f t="shared" si="352"/>
        <v/>
      </c>
      <c r="I424" s="25" t="str">
        <f t="shared" si="353"/>
        <v/>
      </c>
      <c r="J424" s="25" t="str">
        <f t="shared" si="354"/>
        <v/>
      </c>
      <c r="K424" s="25" t="str">
        <f t="shared" si="355"/>
        <v/>
      </c>
      <c r="L424" s="26" t="str">
        <f t="shared" si="356"/>
        <v/>
      </c>
      <c r="M424" s="24" t="str">
        <f t="shared" si="357"/>
        <v/>
      </c>
      <c r="N424" s="25" t="str">
        <f t="shared" si="358"/>
        <v/>
      </c>
      <c r="O424" s="25" t="str">
        <f t="shared" si="359"/>
        <v/>
      </c>
      <c r="P424" s="25" t="str">
        <f t="shared" si="360"/>
        <v/>
      </c>
      <c r="Q424" s="25" t="str">
        <f t="shared" si="361"/>
        <v/>
      </c>
      <c r="R424" s="25" t="str">
        <f t="shared" si="362"/>
        <v/>
      </c>
      <c r="S424" s="25" t="str">
        <f t="shared" si="363"/>
        <v/>
      </c>
      <c r="T424" s="26" t="str">
        <f t="shared" si="364"/>
        <v/>
      </c>
      <c r="X424" s="24" t="str">
        <f t="shared" si="365"/>
        <v/>
      </c>
      <c r="Y424" s="25" t="str">
        <f t="shared" si="366"/>
        <v/>
      </c>
      <c r="Z424" s="25" t="str">
        <f t="shared" si="367"/>
        <v/>
      </c>
      <c r="AA424" s="25" t="str">
        <f t="shared" si="368"/>
        <v/>
      </c>
      <c r="AB424" s="25" t="str">
        <f t="shared" si="369"/>
        <v/>
      </c>
      <c r="AC424" s="25" t="str">
        <f t="shared" si="370"/>
        <v/>
      </c>
      <c r="AD424" s="25" t="str">
        <f t="shared" si="371"/>
        <v/>
      </c>
      <c r="AE424" s="26" t="str">
        <f t="shared" si="372"/>
        <v/>
      </c>
      <c r="AF424" s="24" t="str">
        <f t="shared" si="373"/>
        <v/>
      </c>
      <c r="AG424" s="25" t="str">
        <f t="shared" si="374"/>
        <v/>
      </c>
      <c r="AH424" s="25" t="str">
        <f t="shared" si="375"/>
        <v/>
      </c>
      <c r="AI424" s="25" t="str">
        <f t="shared" si="376"/>
        <v/>
      </c>
      <c r="AJ424" s="25" t="str">
        <f t="shared" si="377"/>
        <v/>
      </c>
      <c r="AK424" s="25" t="str">
        <f t="shared" si="378"/>
        <v/>
      </c>
      <c r="AL424" s="25" t="str">
        <f t="shared" si="379"/>
        <v/>
      </c>
      <c r="AM424" s="26" t="str">
        <f t="shared" si="380"/>
        <v/>
      </c>
      <c r="AQ424" s="24" t="str">
        <f t="shared" si="381"/>
        <v/>
      </c>
      <c r="AR424" s="25" t="str">
        <f t="shared" si="382"/>
        <v/>
      </c>
      <c r="AS424" s="25" t="str">
        <f t="shared" si="383"/>
        <v/>
      </c>
      <c r="AT424" s="25" t="str">
        <f t="shared" si="384"/>
        <v/>
      </c>
      <c r="AU424" s="25" t="str">
        <f t="shared" si="385"/>
        <v/>
      </c>
      <c r="AV424" s="25" t="str">
        <f t="shared" si="386"/>
        <v/>
      </c>
      <c r="AW424" s="25" t="str">
        <f t="shared" si="387"/>
        <v/>
      </c>
      <c r="AX424" s="26" t="str">
        <f t="shared" si="388"/>
        <v/>
      </c>
    </row>
    <row r="425" spans="4:50" hidden="1" x14ac:dyDescent="0.25">
      <c r="D425" s="70">
        <v>123</v>
      </c>
      <c r="E425" s="24" t="str">
        <f t="shared" si="349"/>
        <v/>
      </c>
      <c r="F425" s="25" t="str">
        <f t="shared" si="350"/>
        <v/>
      </c>
      <c r="G425" s="25" t="str">
        <f t="shared" si="351"/>
        <v/>
      </c>
      <c r="H425" s="25" t="str">
        <f t="shared" si="352"/>
        <v/>
      </c>
      <c r="I425" s="25" t="str">
        <f t="shared" si="353"/>
        <v/>
      </c>
      <c r="J425" s="25" t="str">
        <f t="shared" si="354"/>
        <v/>
      </c>
      <c r="K425" s="25" t="str">
        <f t="shared" si="355"/>
        <v/>
      </c>
      <c r="L425" s="26" t="str">
        <f t="shared" si="356"/>
        <v/>
      </c>
      <c r="M425" s="24" t="str">
        <f t="shared" si="357"/>
        <v/>
      </c>
      <c r="N425" s="25" t="str">
        <f t="shared" si="358"/>
        <v/>
      </c>
      <c r="O425" s="25" t="str">
        <f t="shared" si="359"/>
        <v/>
      </c>
      <c r="P425" s="25" t="str">
        <f t="shared" si="360"/>
        <v/>
      </c>
      <c r="Q425" s="25" t="str">
        <f t="shared" si="361"/>
        <v/>
      </c>
      <c r="R425" s="25" t="str">
        <f t="shared" si="362"/>
        <v/>
      </c>
      <c r="S425" s="25" t="str">
        <f t="shared" si="363"/>
        <v/>
      </c>
      <c r="T425" s="26" t="str">
        <f t="shared" si="364"/>
        <v/>
      </c>
      <c r="X425" s="24" t="str">
        <f t="shared" si="365"/>
        <v/>
      </c>
      <c r="Y425" s="25" t="str">
        <f t="shared" si="366"/>
        <v/>
      </c>
      <c r="Z425" s="25" t="str">
        <f t="shared" si="367"/>
        <v/>
      </c>
      <c r="AA425" s="25" t="str">
        <f t="shared" si="368"/>
        <v/>
      </c>
      <c r="AB425" s="25" t="str">
        <f t="shared" si="369"/>
        <v/>
      </c>
      <c r="AC425" s="25" t="str">
        <f t="shared" si="370"/>
        <v/>
      </c>
      <c r="AD425" s="25" t="str">
        <f t="shared" si="371"/>
        <v/>
      </c>
      <c r="AE425" s="26" t="str">
        <f t="shared" si="372"/>
        <v/>
      </c>
      <c r="AF425" s="24" t="str">
        <f t="shared" si="373"/>
        <v/>
      </c>
      <c r="AG425" s="25" t="str">
        <f t="shared" si="374"/>
        <v/>
      </c>
      <c r="AH425" s="25" t="str">
        <f t="shared" si="375"/>
        <v/>
      </c>
      <c r="AI425" s="25" t="str">
        <f t="shared" si="376"/>
        <v/>
      </c>
      <c r="AJ425" s="25" t="str">
        <f t="shared" si="377"/>
        <v/>
      </c>
      <c r="AK425" s="25" t="str">
        <f t="shared" si="378"/>
        <v/>
      </c>
      <c r="AL425" s="25" t="str">
        <f t="shared" si="379"/>
        <v/>
      </c>
      <c r="AM425" s="26" t="str">
        <f t="shared" si="380"/>
        <v/>
      </c>
      <c r="AQ425" s="24" t="str">
        <f t="shared" si="381"/>
        <v/>
      </c>
      <c r="AR425" s="25" t="str">
        <f t="shared" si="382"/>
        <v/>
      </c>
      <c r="AS425" s="25" t="str">
        <f t="shared" si="383"/>
        <v/>
      </c>
      <c r="AT425" s="25" t="str">
        <f t="shared" si="384"/>
        <v/>
      </c>
      <c r="AU425" s="25" t="str">
        <f t="shared" si="385"/>
        <v/>
      </c>
      <c r="AV425" s="25" t="str">
        <f t="shared" si="386"/>
        <v/>
      </c>
      <c r="AW425" s="25" t="str">
        <f t="shared" si="387"/>
        <v/>
      </c>
      <c r="AX425" s="26" t="str">
        <f t="shared" si="388"/>
        <v/>
      </c>
    </row>
    <row r="426" spans="4:50" hidden="1" x14ac:dyDescent="0.25">
      <c r="D426" s="70">
        <v>124</v>
      </c>
      <c r="E426" s="24" t="str">
        <f t="shared" si="349"/>
        <v/>
      </c>
      <c r="F426" s="25" t="str">
        <f t="shared" si="350"/>
        <v/>
      </c>
      <c r="G426" s="25" t="str">
        <f t="shared" si="351"/>
        <v/>
      </c>
      <c r="H426" s="25" t="str">
        <f t="shared" si="352"/>
        <v/>
      </c>
      <c r="I426" s="25" t="str">
        <f t="shared" si="353"/>
        <v/>
      </c>
      <c r="J426" s="25" t="str">
        <f t="shared" si="354"/>
        <v/>
      </c>
      <c r="K426" s="25" t="str">
        <f t="shared" si="355"/>
        <v/>
      </c>
      <c r="L426" s="26" t="str">
        <f t="shared" si="356"/>
        <v/>
      </c>
      <c r="M426" s="24" t="str">
        <f t="shared" si="357"/>
        <v/>
      </c>
      <c r="N426" s="25" t="str">
        <f t="shared" si="358"/>
        <v/>
      </c>
      <c r="O426" s="25" t="str">
        <f t="shared" si="359"/>
        <v/>
      </c>
      <c r="P426" s="25" t="str">
        <f t="shared" si="360"/>
        <v/>
      </c>
      <c r="Q426" s="25" t="str">
        <f t="shared" si="361"/>
        <v/>
      </c>
      <c r="R426" s="25" t="str">
        <f t="shared" si="362"/>
        <v/>
      </c>
      <c r="S426" s="25" t="str">
        <f t="shared" si="363"/>
        <v/>
      </c>
      <c r="T426" s="26" t="str">
        <f t="shared" si="364"/>
        <v/>
      </c>
      <c r="X426" s="24" t="str">
        <f t="shared" si="365"/>
        <v/>
      </c>
      <c r="Y426" s="25" t="str">
        <f t="shared" si="366"/>
        <v/>
      </c>
      <c r="Z426" s="25" t="str">
        <f t="shared" si="367"/>
        <v/>
      </c>
      <c r="AA426" s="25" t="str">
        <f t="shared" si="368"/>
        <v/>
      </c>
      <c r="AB426" s="25" t="str">
        <f t="shared" si="369"/>
        <v/>
      </c>
      <c r="AC426" s="25" t="str">
        <f t="shared" si="370"/>
        <v/>
      </c>
      <c r="AD426" s="25" t="str">
        <f t="shared" si="371"/>
        <v/>
      </c>
      <c r="AE426" s="26" t="str">
        <f t="shared" si="372"/>
        <v/>
      </c>
      <c r="AF426" s="24" t="str">
        <f t="shared" si="373"/>
        <v/>
      </c>
      <c r="AG426" s="25" t="str">
        <f t="shared" si="374"/>
        <v/>
      </c>
      <c r="AH426" s="25" t="str">
        <f t="shared" si="375"/>
        <v/>
      </c>
      <c r="AI426" s="25" t="str">
        <f t="shared" si="376"/>
        <v/>
      </c>
      <c r="AJ426" s="25" t="str">
        <f t="shared" si="377"/>
        <v/>
      </c>
      <c r="AK426" s="25" t="str">
        <f t="shared" si="378"/>
        <v/>
      </c>
      <c r="AL426" s="25" t="str">
        <f t="shared" si="379"/>
        <v/>
      </c>
      <c r="AM426" s="26" t="str">
        <f t="shared" si="380"/>
        <v/>
      </c>
      <c r="AQ426" s="24" t="str">
        <f t="shared" si="381"/>
        <v/>
      </c>
      <c r="AR426" s="25" t="str">
        <f t="shared" si="382"/>
        <v/>
      </c>
      <c r="AS426" s="25" t="str">
        <f t="shared" si="383"/>
        <v/>
      </c>
      <c r="AT426" s="25" t="str">
        <f t="shared" si="384"/>
        <v/>
      </c>
      <c r="AU426" s="25" t="str">
        <f t="shared" si="385"/>
        <v/>
      </c>
      <c r="AV426" s="25" t="str">
        <f t="shared" si="386"/>
        <v/>
      </c>
      <c r="AW426" s="25" t="str">
        <f t="shared" si="387"/>
        <v/>
      </c>
      <c r="AX426" s="26" t="str">
        <f t="shared" si="388"/>
        <v/>
      </c>
    </row>
    <row r="427" spans="4:50" hidden="1" x14ac:dyDescent="0.25">
      <c r="D427" s="70">
        <v>125</v>
      </c>
      <c r="E427" s="24" t="str">
        <f t="shared" si="349"/>
        <v/>
      </c>
      <c r="F427" s="25" t="str">
        <f t="shared" si="350"/>
        <v/>
      </c>
      <c r="G427" s="25" t="str">
        <f t="shared" si="351"/>
        <v/>
      </c>
      <c r="H427" s="25" t="str">
        <f t="shared" si="352"/>
        <v/>
      </c>
      <c r="I427" s="25" t="str">
        <f t="shared" si="353"/>
        <v/>
      </c>
      <c r="J427" s="25" t="str">
        <f t="shared" si="354"/>
        <v/>
      </c>
      <c r="K427" s="25" t="str">
        <f t="shared" si="355"/>
        <v/>
      </c>
      <c r="L427" s="26" t="str">
        <f t="shared" si="356"/>
        <v/>
      </c>
      <c r="M427" s="24" t="str">
        <f t="shared" si="357"/>
        <v/>
      </c>
      <c r="N427" s="25" t="str">
        <f t="shared" si="358"/>
        <v/>
      </c>
      <c r="O427" s="25" t="str">
        <f t="shared" si="359"/>
        <v/>
      </c>
      <c r="P427" s="25" t="str">
        <f t="shared" si="360"/>
        <v/>
      </c>
      <c r="Q427" s="25" t="str">
        <f t="shared" si="361"/>
        <v/>
      </c>
      <c r="R427" s="25" t="str">
        <f t="shared" si="362"/>
        <v/>
      </c>
      <c r="S427" s="25" t="str">
        <f t="shared" si="363"/>
        <v/>
      </c>
      <c r="T427" s="26" t="str">
        <f t="shared" si="364"/>
        <v/>
      </c>
      <c r="X427" s="24" t="str">
        <f t="shared" si="365"/>
        <v/>
      </c>
      <c r="Y427" s="25" t="str">
        <f t="shared" si="366"/>
        <v/>
      </c>
      <c r="Z427" s="25" t="str">
        <f t="shared" si="367"/>
        <v/>
      </c>
      <c r="AA427" s="25" t="str">
        <f t="shared" si="368"/>
        <v/>
      </c>
      <c r="AB427" s="25" t="str">
        <f t="shared" si="369"/>
        <v/>
      </c>
      <c r="AC427" s="25" t="str">
        <f t="shared" si="370"/>
        <v/>
      </c>
      <c r="AD427" s="25" t="str">
        <f t="shared" si="371"/>
        <v/>
      </c>
      <c r="AE427" s="26" t="str">
        <f t="shared" si="372"/>
        <v/>
      </c>
      <c r="AF427" s="24" t="str">
        <f t="shared" si="373"/>
        <v/>
      </c>
      <c r="AG427" s="25" t="str">
        <f t="shared" si="374"/>
        <v/>
      </c>
      <c r="AH427" s="25" t="str">
        <f t="shared" si="375"/>
        <v/>
      </c>
      <c r="AI427" s="25" t="str">
        <f t="shared" si="376"/>
        <v/>
      </c>
      <c r="AJ427" s="25" t="str">
        <f t="shared" si="377"/>
        <v/>
      </c>
      <c r="AK427" s="25" t="str">
        <f t="shared" si="378"/>
        <v/>
      </c>
      <c r="AL427" s="25" t="str">
        <f t="shared" si="379"/>
        <v/>
      </c>
      <c r="AM427" s="26" t="str">
        <f t="shared" si="380"/>
        <v/>
      </c>
      <c r="AQ427" s="24" t="str">
        <f t="shared" si="381"/>
        <v/>
      </c>
      <c r="AR427" s="25" t="str">
        <f t="shared" si="382"/>
        <v/>
      </c>
      <c r="AS427" s="25" t="str">
        <f t="shared" si="383"/>
        <v/>
      </c>
      <c r="AT427" s="25" t="str">
        <f t="shared" si="384"/>
        <v/>
      </c>
      <c r="AU427" s="25" t="str">
        <f t="shared" si="385"/>
        <v/>
      </c>
      <c r="AV427" s="25" t="str">
        <f t="shared" si="386"/>
        <v/>
      </c>
      <c r="AW427" s="25" t="str">
        <f t="shared" si="387"/>
        <v/>
      </c>
      <c r="AX427" s="26" t="str">
        <f t="shared" si="388"/>
        <v/>
      </c>
    </row>
    <row r="428" spans="4:50" hidden="1" x14ac:dyDescent="0.25">
      <c r="D428" s="70">
        <v>126</v>
      </c>
      <c r="E428" s="24" t="str">
        <f t="shared" si="349"/>
        <v/>
      </c>
      <c r="F428" s="25" t="str">
        <f t="shared" si="350"/>
        <v/>
      </c>
      <c r="G428" s="25" t="str">
        <f t="shared" si="351"/>
        <v/>
      </c>
      <c r="H428" s="25" t="str">
        <f t="shared" si="352"/>
        <v/>
      </c>
      <c r="I428" s="25" t="str">
        <f t="shared" si="353"/>
        <v/>
      </c>
      <c r="J428" s="25" t="str">
        <f t="shared" si="354"/>
        <v/>
      </c>
      <c r="K428" s="25" t="str">
        <f t="shared" si="355"/>
        <v/>
      </c>
      <c r="L428" s="26" t="str">
        <f t="shared" si="356"/>
        <v/>
      </c>
      <c r="M428" s="24" t="str">
        <f t="shared" si="357"/>
        <v/>
      </c>
      <c r="N428" s="25" t="str">
        <f t="shared" si="358"/>
        <v/>
      </c>
      <c r="O428" s="25" t="str">
        <f t="shared" si="359"/>
        <v/>
      </c>
      <c r="P428" s="25" t="str">
        <f t="shared" si="360"/>
        <v/>
      </c>
      <c r="Q428" s="25" t="str">
        <f t="shared" si="361"/>
        <v/>
      </c>
      <c r="R428" s="25" t="str">
        <f t="shared" si="362"/>
        <v/>
      </c>
      <c r="S428" s="25" t="str">
        <f t="shared" si="363"/>
        <v/>
      </c>
      <c r="T428" s="26" t="str">
        <f t="shared" si="364"/>
        <v/>
      </c>
      <c r="X428" s="24" t="str">
        <f t="shared" si="365"/>
        <v/>
      </c>
      <c r="Y428" s="25" t="str">
        <f t="shared" si="366"/>
        <v/>
      </c>
      <c r="Z428" s="25" t="str">
        <f t="shared" si="367"/>
        <v/>
      </c>
      <c r="AA428" s="25" t="str">
        <f t="shared" si="368"/>
        <v/>
      </c>
      <c r="AB428" s="25" t="str">
        <f t="shared" si="369"/>
        <v/>
      </c>
      <c r="AC428" s="25" t="str">
        <f t="shared" si="370"/>
        <v/>
      </c>
      <c r="AD428" s="25" t="str">
        <f t="shared" si="371"/>
        <v/>
      </c>
      <c r="AE428" s="26" t="str">
        <f t="shared" si="372"/>
        <v/>
      </c>
      <c r="AF428" s="24" t="str">
        <f t="shared" si="373"/>
        <v/>
      </c>
      <c r="AG428" s="25" t="str">
        <f t="shared" si="374"/>
        <v/>
      </c>
      <c r="AH428" s="25" t="str">
        <f t="shared" si="375"/>
        <v/>
      </c>
      <c r="AI428" s="25" t="str">
        <f t="shared" si="376"/>
        <v/>
      </c>
      <c r="AJ428" s="25" t="str">
        <f t="shared" si="377"/>
        <v/>
      </c>
      <c r="AK428" s="25" t="str">
        <f t="shared" si="378"/>
        <v/>
      </c>
      <c r="AL428" s="25" t="str">
        <f t="shared" si="379"/>
        <v/>
      </c>
      <c r="AM428" s="26" t="str">
        <f t="shared" si="380"/>
        <v/>
      </c>
      <c r="AQ428" s="24" t="str">
        <f t="shared" si="381"/>
        <v/>
      </c>
      <c r="AR428" s="25" t="str">
        <f t="shared" si="382"/>
        <v/>
      </c>
      <c r="AS428" s="25" t="str">
        <f t="shared" si="383"/>
        <v/>
      </c>
      <c r="AT428" s="25" t="str">
        <f t="shared" si="384"/>
        <v/>
      </c>
      <c r="AU428" s="25" t="str">
        <f t="shared" si="385"/>
        <v/>
      </c>
      <c r="AV428" s="25" t="str">
        <f t="shared" si="386"/>
        <v/>
      </c>
      <c r="AW428" s="25" t="str">
        <f t="shared" si="387"/>
        <v/>
      </c>
      <c r="AX428" s="26" t="str">
        <f t="shared" si="388"/>
        <v/>
      </c>
    </row>
    <row r="429" spans="4:50" hidden="1" x14ac:dyDescent="0.25">
      <c r="D429" s="70">
        <v>127</v>
      </c>
      <c r="E429" s="24" t="str">
        <f t="shared" si="349"/>
        <v/>
      </c>
      <c r="F429" s="25" t="str">
        <f t="shared" si="350"/>
        <v/>
      </c>
      <c r="G429" s="25" t="str">
        <f t="shared" si="351"/>
        <v/>
      </c>
      <c r="H429" s="25" t="str">
        <f t="shared" si="352"/>
        <v/>
      </c>
      <c r="I429" s="25" t="str">
        <f t="shared" si="353"/>
        <v/>
      </c>
      <c r="J429" s="25" t="str">
        <f t="shared" si="354"/>
        <v/>
      </c>
      <c r="K429" s="25" t="str">
        <f t="shared" si="355"/>
        <v/>
      </c>
      <c r="L429" s="26" t="str">
        <f t="shared" si="356"/>
        <v/>
      </c>
      <c r="M429" s="24" t="str">
        <f t="shared" si="357"/>
        <v/>
      </c>
      <c r="N429" s="25" t="str">
        <f t="shared" si="358"/>
        <v/>
      </c>
      <c r="O429" s="25" t="str">
        <f t="shared" si="359"/>
        <v/>
      </c>
      <c r="P429" s="25" t="str">
        <f t="shared" si="360"/>
        <v/>
      </c>
      <c r="Q429" s="25" t="str">
        <f t="shared" si="361"/>
        <v/>
      </c>
      <c r="R429" s="25" t="str">
        <f t="shared" si="362"/>
        <v/>
      </c>
      <c r="S429" s="25" t="str">
        <f t="shared" si="363"/>
        <v/>
      </c>
      <c r="T429" s="26" t="str">
        <f t="shared" si="364"/>
        <v/>
      </c>
      <c r="X429" s="24" t="str">
        <f t="shared" si="365"/>
        <v/>
      </c>
      <c r="Y429" s="25" t="str">
        <f t="shared" si="366"/>
        <v/>
      </c>
      <c r="Z429" s="25" t="str">
        <f t="shared" si="367"/>
        <v/>
      </c>
      <c r="AA429" s="25" t="str">
        <f t="shared" si="368"/>
        <v/>
      </c>
      <c r="AB429" s="25" t="str">
        <f t="shared" si="369"/>
        <v/>
      </c>
      <c r="AC429" s="25" t="str">
        <f t="shared" si="370"/>
        <v/>
      </c>
      <c r="AD429" s="25" t="str">
        <f t="shared" si="371"/>
        <v/>
      </c>
      <c r="AE429" s="26" t="str">
        <f t="shared" si="372"/>
        <v/>
      </c>
      <c r="AF429" s="24" t="str">
        <f t="shared" si="373"/>
        <v/>
      </c>
      <c r="AG429" s="25" t="str">
        <f t="shared" si="374"/>
        <v/>
      </c>
      <c r="AH429" s="25" t="str">
        <f t="shared" si="375"/>
        <v/>
      </c>
      <c r="AI429" s="25" t="str">
        <f t="shared" si="376"/>
        <v/>
      </c>
      <c r="AJ429" s="25" t="str">
        <f t="shared" si="377"/>
        <v/>
      </c>
      <c r="AK429" s="25" t="str">
        <f t="shared" si="378"/>
        <v/>
      </c>
      <c r="AL429" s="25" t="str">
        <f t="shared" si="379"/>
        <v/>
      </c>
      <c r="AM429" s="26" t="str">
        <f t="shared" si="380"/>
        <v/>
      </c>
      <c r="AQ429" s="24" t="str">
        <f t="shared" si="381"/>
        <v/>
      </c>
      <c r="AR429" s="25" t="str">
        <f t="shared" si="382"/>
        <v/>
      </c>
      <c r="AS429" s="25" t="str">
        <f t="shared" si="383"/>
        <v/>
      </c>
      <c r="AT429" s="25" t="str">
        <f t="shared" si="384"/>
        <v/>
      </c>
      <c r="AU429" s="25" t="str">
        <f t="shared" si="385"/>
        <v/>
      </c>
      <c r="AV429" s="25" t="str">
        <f t="shared" si="386"/>
        <v/>
      </c>
      <c r="AW429" s="25" t="str">
        <f t="shared" si="387"/>
        <v/>
      </c>
      <c r="AX429" s="26" t="str">
        <f t="shared" si="388"/>
        <v/>
      </c>
    </row>
    <row r="430" spans="4:50" hidden="1" x14ac:dyDescent="0.25">
      <c r="D430" s="70">
        <v>128</v>
      </c>
      <c r="E430" s="24" t="str">
        <f t="shared" si="349"/>
        <v/>
      </c>
      <c r="F430" s="25" t="str">
        <f t="shared" si="350"/>
        <v/>
      </c>
      <c r="G430" s="25" t="str">
        <f t="shared" si="351"/>
        <v/>
      </c>
      <c r="H430" s="25" t="str">
        <f t="shared" si="352"/>
        <v/>
      </c>
      <c r="I430" s="25" t="str">
        <f t="shared" si="353"/>
        <v/>
      </c>
      <c r="J430" s="25" t="str">
        <f t="shared" si="354"/>
        <v/>
      </c>
      <c r="K430" s="25" t="str">
        <f t="shared" si="355"/>
        <v/>
      </c>
      <c r="L430" s="26" t="str">
        <f t="shared" si="356"/>
        <v/>
      </c>
      <c r="M430" s="24" t="str">
        <f t="shared" si="357"/>
        <v/>
      </c>
      <c r="N430" s="25" t="str">
        <f t="shared" si="358"/>
        <v/>
      </c>
      <c r="O430" s="25" t="str">
        <f t="shared" si="359"/>
        <v/>
      </c>
      <c r="P430" s="25" t="str">
        <f t="shared" si="360"/>
        <v/>
      </c>
      <c r="Q430" s="25" t="str">
        <f t="shared" si="361"/>
        <v/>
      </c>
      <c r="R430" s="25" t="str">
        <f t="shared" si="362"/>
        <v/>
      </c>
      <c r="S430" s="25" t="str">
        <f t="shared" si="363"/>
        <v/>
      </c>
      <c r="T430" s="26" t="str">
        <f t="shared" si="364"/>
        <v/>
      </c>
      <c r="X430" s="24" t="str">
        <f t="shared" si="365"/>
        <v/>
      </c>
      <c r="Y430" s="25" t="str">
        <f t="shared" si="366"/>
        <v/>
      </c>
      <c r="Z430" s="25" t="str">
        <f t="shared" si="367"/>
        <v/>
      </c>
      <c r="AA430" s="25" t="str">
        <f t="shared" si="368"/>
        <v/>
      </c>
      <c r="AB430" s="25" t="str">
        <f t="shared" si="369"/>
        <v/>
      </c>
      <c r="AC430" s="25" t="str">
        <f t="shared" si="370"/>
        <v/>
      </c>
      <c r="AD430" s="25" t="str">
        <f t="shared" si="371"/>
        <v/>
      </c>
      <c r="AE430" s="26" t="str">
        <f t="shared" si="372"/>
        <v/>
      </c>
      <c r="AF430" s="24" t="str">
        <f t="shared" si="373"/>
        <v/>
      </c>
      <c r="AG430" s="25" t="str">
        <f t="shared" si="374"/>
        <v/>
      </c>
      <c r="AH430" s="25" t="str">
        <f t="shared" si="375"/>
        <v/>
      </c>
      <c r="AI430" s="25" t="str">
        <f t="shared" si="376"/>
        <v/>
      </c>
      <c r="AJ430" s="25" t="str">
        <f t="shared" si="377"/>
        <v/>
      </c>
      <c r="AK430" s="25" t="str">
        <f t="shared" si="378"/>
        <v/>
      </c>
      <c r="AL430" s="25" t="str">
        <f t="shared" si="379"/>
        <v/>
      </c>
      <c r="AM430" s="26" t="str">
        <f t="shared" si="380"/>
        <v/>
      </c>
      <c r="AN430" s="30"/>
      <c r="AO430" s="30"/>
      <c r="AP430" s="30"/>
      <c r="AQ430" s="24" t="str">
        <f t="shared" si="381"/>
        <v/>
      </c>
      <c r="AR430" s="25" t="str">
        <f t="shared" si="382"/>
        <v/>
      </c>
      <c r="AS430" s="25" t="str">
        <f t="shared" si="383"/>
        <v/>
      </c>
      <c r="AT430" s="25" t="str">
        <f t="shared" si="384"/>
        <v/>
      </c>
      <c r="AU430" s="25" t="str">
        <f t="shared" si="385"/>
        <v/>
      </c>
      <c r="AV430" s="25" t="str">
        <f t="shared" si="386"/>
        <v/>
      </c>
      <c r="AW430" s="25" t="str">
        <f t="shared" si="387"/>
        <v/>
      </c>
      <c r="AX430" s="26" t="str">
        <f t="shared" si="388"/>
        <v/>
      </c>
    </row>
    <row r="431" spans="4:50" hidden="1" x14ac:dyDescent="0.25">
      <c r="D431" s="20" t="s">
        <v>511</v>
      </c>
      <c r="E431" s="71">
        <f t="shared" ref="E431:T431" si="389">ABS(SUM(E303:E430))</f>
        <v>0</v>
      </c>
      <c r="F431" s="72">
        <f t="shared" si="389"/>
        <v>0</v>
      </c>
      <c r="G431" s="72">
        <f t="shared" si="389"/>
        <v>0</v>
      </c>
      <c r="H431" s="72">
        <f t="shared" si="389"/>
        <v>0</v>
      </c>
      <c r="I431" s="72">
        <f t="shared" si="389"/>
        <v>0</v>
      </c>
      <c r="J431" s="72">
        <f t="shared" si="389"/>
        <v>0</v>
      </c>
      <c r="K431" s="72">
        <f t="shared" si="389"/>
        <v>0</v>
      </c>
      <c r="L431" s="73">
        <f t="shared" si="389"/>
        <v>0</v>
      </c>
      <c r="M431" s="71">
        <f t="shared" si="389"/>
        <v>0</v>
      </c>
      <c r="N431" s="72">
        <f t="shared" si="389"/>
        <v>0</v>
      </c>
      <c r="O431" s="72">
        <f t="shared" si="389"/>
        <v>0</v>
      </c>
      <c r="P431" s="72">
        <f t="shared" si="389"/>
        <v>0</v>
      </c>
      <c r="Q431" s="72">
        <f t="shared" si="389"/>
        <v>0</v>
      </c>
      <c r="R431" s="72">
        <f t="shared" si="389"/>
        <v>0</v>
      </c>
      <c r="S431" s="72">
        <f t="shared" si="389"/>
        <v>0</v>
      </c>
      <c r="T431" s="73">
        <f t="shared" si="389"/>
        <v>0</v>
      </c>
      <c r="U431" s="20"/>
      <c r="X431" s="71">
        <f t="shared" ref="X431:AM431" si="390">ABS(SUM(X303:X430))</f>
        <v>0</v>
      </c>
      <c r="Y431" s="72">
        <f t="shared" si="390"/>
        <v>0</v>
      </c>
      <c r="Z431" s="72">
        <f t="shared" si="390"/>
        <v>0</v>
      </c>
      <c r="AA431" s="72">
        <f t="shared" si="390"/>
        <v>0</v>
      </c>
      <c r="AB431" s="72">
        <f t="shared" si="390"/>
        <v>0</v>
      </c>
      <c r="AC431" s="72">
        <f t="shared" si="390"/>
        <v>0</v>
      </c>
      <c r="AD431" s="72">
        <f t="shared" si="390"/>
        <v>0</v>
      </c>
      <c r="AE431" s="73">
        <f t="shared" si="390"/>
        <v>0</v>
      </c>
      <c r="AF431" s="71">
        <f t="shared" si="390"/>
        <v>0</v>
      </c>
      <c r="AG431" s="72">
        <f t="shared" si="390"/>
        <v>0</v>
      </c>
      <c r="AH431" s="72">
        <f t="shared" si="390"/>
        <v>0</v>
      </c>
      <c r="AI431" s="72">
        <f t="shared" si="390"/>
        <v>0</v>
      </c>
      <c r="AJ431" s="72">
        <f t="shared" si="390"/>
        <v>0</v>
      </c>
      <c r="AK431" s="72">
        <f t="shared" si="390"/>
        <v>0</v>
      </c>
      <c r="AL431" s="72">
        <f t="shared" si="390"/>
        <v>0</v>
      </c>
      <c r="AM431" s="73">
        <f t="shared" si="390"/>
        <v>0</v>
      </c>
      <c r="AN431" s="72"/>
      <c r="AO431" s="72"/>
      <c r="AP431" s="72"/>
      <c r="AQ431" s="71">
        <f t="shared" ref="AQ431:AX431" si="391">ABS(SUM(AQ303:AQ430))</f>
        <v>0</v>
      </c>
      <c r="AR431" s="72">
        <f t="shared" si="391"/>
        <v>0</v>
      </c>
      <c r="AS431" s="72">
        <f t="shared" si="391"/>
        <v>0</v>
      </c>
      <c r="AT431" s="72">
        <f t="shared" si="391"/>
        <v>0</v>
      </c>
      <c r="AU431" s="72">
        <f t="shared" si="391"/>
        <v>0</v>
      </c>
      <c r="AV431" s="72">
        <f t="shared" si="391"/>
        <v>0</v>
      </c>
      <c r="AW431" s="72">
        <f t="shared" si="391"/>
        <v>0</v>
      </c>
      <c r="AX431" s="73">
        <f t="shared" si="391"/>
        <v>0</v>
      </c>
    </row>
    <row r="434" spans="5:46" ht="42" customHeight="1" x14ac:dyDescent="0.25">
      <c r="E434" s="74" t="s">
        <v>505</v>
      </c>
      <c r="F434" s="74" t="s">
        <v>506</v>
      </c>
      <c r="G434" s="74" t="s">
        <v>507</v>
      </c>
      <c r="H434" s="74" t="s">
        <v>508</v>
      </c>
      <c r="M434" s="66" t="s">
        <v>505</v>
      </c>
      <c r="N434" s="66" t="s">
        <v>506</v>
      </c>
      <c r="O434" s="66" t="s">
        <v>507</v>
      </c>
      <c r="P434" s="66" t="s">
        <v>508</v>
      </c>
      <c r="X434" s="67" t="s">
        <v>505</v>
      </c>
      <c r="Y434" s="67" t="s">
        <v>506</v>
      </c>
      <c r="Z434" s="67" t="s">
        <v>507</v>
      </c>
      <c r="AA434" s="67" t="s">
        <v>508</v>
      </c>
      <c r="AF434" s="68" t="s">
        <v>505</v>
      </c>
      <c r="AG434" s="68" t="s">
        <v>506</v>
      </c>
      <c r="AH434" s="68" t="s">
        <v>507</v>
      </c>
      <c r="AI434" s="68" t="s">
        <v>508</v>
      </c>
      <c r="AQ434" s="69" t="s">
        <v>505</v>
      </c>
      <c r="AR434" s="69" t="s">
        <v>506</v>
      </c>
      <c r="AS434" s="69" t="s">
        <v>507</v>
      </c>
      <c r="AT434" s="69" t="s">
        <v>508</v>
      </c>
    </row>
    <row r="435" spans="5:46" x14ac:dyDescent="0.25">
      <c r="E435" s="24" t="str">
        <f t="shared" ref="E435:E466" si="392">IF($E$431&gt;$F$431,$E303,$F303)</f>
        <v/>
      </c>
      <c r="F435" s="25" t="str">
        <f t="shared" ref="F435:F466" si="393">IF($G$431&gt;$H$431,$G303,$H303)</f>
        <v/>
      </c>
      <c r="G435" s="25" t="str">
        <f t="shared" ref="G435:G466" si="394">IF($I$431&gt;$J$431,$I303,$J303)</f>
        <v/>
      </c>
      <c r="H435" s="26" t="str">
        <f t="shared" ref="H435:H466" si="395">IF($K$431&gt;$L$431,$K303,$L303)</f>
        <v/>
      </c>
      <c r="M435" s="24" t="str">
        <f t="shared" ref="M435:M466" si="396">IF($M$431&gt;$N$431,$M303,$N303)</f>
        <v/>
      </c>
      <c r="N435" s="25" t="str">
        <f t="shared" ref="N435:N466" si="397">IF($O$431&gt;$P$431,$O303,$P303)</f>
        <v/>
      </c>
      <c r="O435" s="25" t="str">
        <f t="shared" ref="O435:O466" si="398">IF($Q$431&gt;$R$431,$Q303,$R303)</f>
        <v/>
      </c>
      <c r="P435" s="26" t="str">
        <f t="shared" ref="P435:P466" si="399">IF($S$431&gt;$T$431,$S303,$T303)</f>
        <v/>
      </c>
      <c r="X435" s="24" t="str">
        <f t="shared" ref="X435:X466" si="400">IF($X$431&gt;$Y$431,$X303,$Y303)</f>
        <v/>
      </c>
      <c r="Y435" s="25" t="str">
        <f t="shared" ref="Y435:Y466" si="401">IF($Z$431&gt;$AA$431,$Z303,$AA303)</f>
        <v/>
      </c>
      <c r="Z435" s="25" t="str">
        <f t="shared" ref="Z435:Z466" si="402">IF($AB$431&gt;$AC$431,$AB303,$AC303)</f>
        <v/>
      </c>
      <c r="AA435" s="26" t="str">
        <f t="shared" ref="AA435:AA466" si="403">IF($AD$431&gt;$AE$431,$AD303,$AE303)</f>
        <v/>
      </c>
      <c r="AF435" s="24" t="str">
        <f t="shared" ref="AF435:AF466" si="404">IF($AF$431&gt;$AG$431,$AF303,$AG303)</f>
        <v/>
      </c>
      <c r="AG435" s="25" t="str">
        <f t="shared" ref="AG435:AG466" si="405">IF($AH$431&gt;$AI$431,$AH303,$AI303)</f>
        <v/>
      </c>
      <c r="AH435" s="25" t="str">
        <f t="shared" ref="AH435:AH466" si="406">IF($AJ$431&gt;$AK$431,$AJ303,$AK303)</f>
        <v/>
      </c>
      <c r="AI435" s="26" t="str">
        <f t="shared" ref="AI435:AI466" si="407">IF($AL$431&gt;$AM$431,$AL303,$AM303)</f>
        <v/>
      </c>
      <c r="AQ435" s="27" t="str">
        <f t="shared" ref="AQ435:AQ466" si="408">IF($AQ$431&gt;$AR$431,$AQ303,$AR303)</f>
        <v/>
      </c>
      <c r="AR435" t="str">
        <f t="shared" ref="AR435:AR466" si="409">IF($AS$431&gt;$AT$431,$AS303,$AT303)</f>
        <v/>
      </c>
      <c r="AS435" t="str">
        <f t="shared" ref="AS435:AS466" si="410">IF($AU$431&gt;$AV$431,$AU303,$AV303)</f>
        <v/>
      </c>
      <c r="AT435" s="28" t="str">
        <f t="shared" ref="AT435:AT466" si="411">IF($AW$431&gt;$AX$431,$AW303,$AX303)</f>
        <v/>
      </c>
    </row>
    <row r="436" spans="5:46" x14ac:dyDescent="0.25">
      <c r="E436" s="24" t="str">
        <f t="shared" si="392"/>
        <v/>
      </c>
      <c r="F436" s="25" t="str">
        <f t="shared" si="393"/>
        <v/>
      </c>
      <c r="G436" s="25" t="str">
        <f t="shared" si="394"/>
        <v/>
      </c>
      <c r="H436" s="26" t="str">
        <f t="shared" si="395"/>
        <v/>
      </c>
      <c r="M436" s="24" t="str">
        <f t="shared" si="396"/>
        <v/>
      </c>
      <c r="N436" s="25" t="str">
        <f t="shared" si="397"/>
        <v/>
      </c>
      <c r="O436" s="25" t="str">
        <f t="shared" si="398"/>
        <v/>
      </c>
      <c r="P436" s="26" t="str">
        <f t="shared" si="399"/>
        <v/>
      </c>
      <c r="X436" s="24" t="str">
        <f t="shared" si="400"/>
        <v/>
      </c>
      <c r="Y436" s="25" t="str">
        <f t="shared" si="401"/>
        <v/>
      </c>
      <c r="Z436" s="25" t="str">
        <f t="shared" si="402"/>
        <v/>
      </c>
      <c r="AA436" s="26" t="str">
        <f t="shared" si="403"/>
        <v/>
      </c>
      <c r="AF436" s="24" t="str">
        <f t="shared" si="404"/>
        <v/>
      </c>
      <c r="AG436" s="25" t="str">
        <f t="shared" si="405"/>
        <v/>
      </c>
      <c r="AH436" s="25" t="str">
        <f t="shared" si="406"/>
        <v/>
      </c>
      <c r="AI436" s="26" t="str">
        <f t="shared" si="407"/>
        <v/>
      </c>
      <c r="AQ436" s="27" t="str">
        <f t="shared" si="408"/>
        <v/>
      </c>
      <c r="AR436" t="str">
        <f t="shared" si="409"/>
        <v/>
      </c>
      <c r="AS436" t="str">
        <f t="shared" si="410"/>
        <v/>
      </c>
      <c r="AT436" s="28" t="str">
        <f t="shared" si="411"/>
        <v/>
      </c>
    </row>
    <row r="437" spans="5:46" x14ac:dyDescent="0.25">
      <c r="E437" s="24" t="str">
        <f t="shared" si="392"/>
        <v/>
      </c>
      <c r="F437" s="25" t="str">
        <f t="shared" si="393"/>
        <v/>
      </c>
      <c r="G437" s="25" t="str">
        <f t="shared" si="394"/>
        <v/>
      </c>
      <c r="H437" s="26" t="str">
        <f t="shared" si="395"/>
        <v/>
      </c>
      <c r="M437" s="24" t="str">
        <f t="shared" si="396"/>
        <v/>
      </c>
      <c r="N437" s="25" t="str">
        <f t="shared" si="397"/>
        <v/>
      </c>
      <c r="O437" s="25" t="str">
        <f t="shared" si="398"/>
        <v/>
      </c>
      <c r="P437" s="26" t="str">
        <f t="shared" si="399"/>
        <v/>
      </c>
      <c r="X437" s="24" t="str">
        <f t="shared" si="400"/>
        <v/>
      </c>
      <c r="Y437" s="25" t="str">
        <f t="shared" si="401"/>
        <v/>
      </c>
      <c r="Z437" s="25" t="str">
        <f t="shared" si="402"/>
        <v/>
      </c>
      <c r="AA437" s="26" t="str">
        <f t="shared" si="403"/>
        <v/>
      </c>
      <c r="AF437" s="24" t="str">
        <f t="shared" si="404"/>
        <v/>
      </c>
      <c r="AG437" s="25" t="str">
        <f t="shared" si="405"/>
        <v/>
      </c>
      <c r="AH437" s="25" t="str">
        <f t="shared" si="406"/>
        <v/>
      </c>
      <c r="AI437" s="26" t="str">
        <f t="shared" si="407"/>
        <v/>
      </c>
      <c r="AQ437" s="27" t="str">
        <f t="shared" si="408"/>
        <v/>
      </c>
      <c r="AR437" t="str">
        <f t="shared" si="409"/>
        <v/>
      </c>
      <c r="AS437" t="str">
        <f t="shared" si="410"/>
        <v/>
      </c>
      <c r="AT437" s="28" t="str">
        <f t="shared" si="411"/>
        <v/>
      </c>
    </row>
    <row r="438" spans="5:46" ht="12" customHeight="1" x14ac:dyDescent="0.25">
      <c r="E438" s="24" t="str">
        <f t="shared" si="392"/>
        <v/>
      </c>
      <c r="F438" s="25" t="str">
        <f t="shared" si="393"/>
        <v/>
      </c>
      <c r="G438" s="25" t="str">
        <f t="shared" si="394"/>
        <v/>
      </c>
      <c r="H438" s="26" t="str">
        <f t="shared" si="395"/>
        <v/>
      </c>
      <c r="M438" s="24" t="str">
        <f t="shared" si="396"/>
        <v/>
      </c>
      <c r="N438" s="25" t="str">
        <f t="shared" si="397"/>
        <v/>
      </c>
      <c r="O438" s="25" t="str">
        <f t="shared" si="398"/>
        <v/>
      </c>
      <c r="P438" s="26" t="str">
        <f t="shared" si="399"/>
        <v/>
      </c>
      <c r="X438" s="24" t="str">
        <f t="shared" si="400"/>
        <v/>
      </c>
      <c r="Y438" s="25" t="str">
        <f t="shared" si="401"/>
        <v/>
      </c>
      <c r="Z438" s="25" t="str">
        <f t="shared" si="402"/>
        <v/>
      </c>
      <c r="AA438" s="26" t="str">
        <f t="shared" si="403"/>
        <v/>
      </c>
      <c r="AF438" s="24" t="str">
        <f t="shared" si="404"/>
        <v/>
      </c>
      <c r="AG438" s="25" t="str">
        <f t="shared" si="405"/>
        <v/>
      </c>
      <c r="AH438" s="25" t="str">
        <f t="shared" si="406"/>
        <v/>
      </c>
      <c r="AI438" s="26" t="str">
        <f t="shared" si="407"/>
        <v/>
      </c>
      <c r="AQ438" s="27" t="str">
        <f t="shared" si="408"/>
        <v/>
      </c>
      <c r="AR438" t="str">
        <f t="shared" si="409"/>
        <v/>
      </c>
      <c r="AS438" t="str">
        <f t="shared" si="410"/>
        <v/>
      </c>
      <c r="AT438" s="28" t="str">
        <f t="shared" si="411"/>
        <v/>
      </c>
    </row>
    <row r="439" spans="5:46" x14ac:dyDescent="0.25">
      <c r="E439" s="24" t="str">
        <f t="shared" si="392"/>
        <v/>
      </c>
      <c r="F439" s="25" t="str">
        <f t="shared" si="393"/>
        <v/>
      </c>
      <c r="G439" s="25" t="str">
        <f t="shared" si="394"/>
        <v/>
      </c>
      <c r="H439" s="26" t="str">
        <f t="shared" si="395"/>
        <v/>
      </c>
      <c r="M439" s="24" t="str">
        <f t="shared" si="396"/>
        <v/>
      </c>
      <c r="N439" s="25" t="str">
        <f t="shared" si="397"/>
        <v/>
      </c>
      <c r="O439" s="25" t="str">
        <f t="shared" si="398"/>
        <v/>
      </c>
      <c r="P439" s="26" t="str">
        <f t="shared" si="399"/>
        <v/>
      </c>
      <c r="X439" s="24" t="str">
        <f t="shared" si="400"/>
        <v/>
      </c>
      <c r="Y439" s="25" t="str">
        <f t="shared" si="401"/>
        <v/>
      </c>
      <c r="Z439" s="25" t="str">
        <f t="shared" si="402"/>
        <v/>
      </c>
      <c r="AA439" s="26" t="str">
        <f t="shared" si="403"/>
        <v/>
      </c>
      <c r="AF439" s="24" t="str">
        <f t="shared" si="404"/>
        <v/>
      </c>
      <c r="AG439" s="25" t="str">
        <f t="shared" si="405"/>
        <v/>
      </c>
      <c r="AH439" s="25" t="str">
        <f t="shared" si="406"/>
        <v/>
      </c>
      <c r="AI439" s="26" t="str">
        <f t="shared" si="407"/>
        <v/>
      </c>
      <c r="AQ439" s="27" t="str">
        <f t="shared" si="408"/>
        <v/>
      </c>
      <c r="AR439" t="str">
        <f t="shared" si="409"/>
        <v/>
      </c>
      <c r="AS439" t="str">
        <f t="shared" si="410"/>
        <v/>
      </c>
      <c r="AT439" s="28" t="str">
        <f t="shared" si="411"/>
        <v/>
      </c>
    </row>
    <row r="440" spans="5:46" x14ac:dyDescent="0.25">
      <c r="E440" s="24" t="str">
        <f t="shared" si="392"/>
        <v/>
      </c>
      <c r="F440" s="25" t="str">
        <f t="shared" si="393"/>
        <v/>
      </c>
      <c r="G440" s="25" t="str">
        <f t="shared" si="394"/>
        <v/>
      </c>
      <c r="H440" s="26" t="str">
        <f t="shared" si="395"/>
        <v/>
      </c>
      <c r="M440" s="24" t="str">
        <f t="shared" si="396"/>
        <v/>
      </c>
      <c r="N440" s="25" t="str">
        <f t="shared" si="397"/>
        <v/>
      </c>
      <c r="O440" s="25" t="str">
        <f t="shared" si="398"/>
        <v/>
      </c>
      <c r="P440" s="26" t="str">
        <f t="shared" si="399"/>
        <v/>
      </c>
      <c r="X440" s="24" t="str">
        <f t="shared" si="400"/>
        <v/>
      </c>
      <c r="Y440" s="25" t="str">
        <f t="shared" si="401"/>
        <v/>
      </c>
      <c r="Z440" s="25" t="str">
        <f t="shared" si="402"/>
        <v/>
      </c>
      <c r="AA440" s="26" t="str">
        <f t="shared" si="403"/>
        <v/>
      </c>
      <c r="AF440" s="24" t="str">
        <f t="shared" si="404"/>
        <v/>
      </c>
      <c r="AG440" s="25" t="str">
        <f t="shared" si="405"/>
        <v/>
      </c>
      <c r="AH440" s="25" t="str">
        <f t="shared" si="406"/>
        <v/>
      </c>
      <c r="AI440" s="26" t="str">
        <f t="shared" si="407"/>
        <v/>
      </c>
      <c r="AQ440" s="27" t="str">
        <f t="shared" si="408"/>
        <v/>
      </c>
      <c r="AR440" t="str">
        <f t="shared" si="409"/>
        <v/>
      </c>
      <c r="AS440" t="str">
        <f t="shared" si="410"/>
        <v/>
      </c>
      <c r="AT440" s="28" t="str">
        <f t="shared" si="411"/>
        <v/>
      </c>
    </row>
    <row r="441" spans="5:46" x14ac:dyDescent="0.25">
      <c r="E441" s="24" t="str">
        <f t="shared" si="392"/>
        <v/>
      </c>
      <c r="F441" s="25" t="str">
        <f t="shared" si="393"/>
        <v/>
      </c>
      <c r="G441" s="25" t="str">
        <f t="shared" si="394"/>
        <v/>
      </c>
      <c r="H441" s="26" t="str">
        <f t="shared" si="395"/>
        <v/>
      </c>
      <c r="M441" s="24" t="str">
        <f t="shared" si="396"/>
        <v/>
      </c>
      <c r="N441" s="25" t="str">
        <f t="shared" si="397"/>
        <v/>
      </c>
      <c r="O441" s="25" t="str">
        <f t="shared" si="398"/>
        <v/>
      </c>
      <c r="P441" s="26" t="str">
        <f t="shared" si="399"/>
        <v/>
      </c>
      <c r="X441" s="24" t="str">
        <f t="shared" si="400"/>
        <v/>
      </c>
      <c r="Y441" s="25" t="str">
        <f t="shared" si="401"/>
        <v/>
      </c>
      <c r="Z441" s="25" t="str">
        <f t="shared" si="402"/>
        <v/>
      </c>
      <c r="AA441" s="26" t="str">
        <f t="shared" si="403"/>
        <v/>
      </c>
      <c r="AF441" s="24" t="str">
        <f t="shared" si="404"/>
        <v/>
      </c>
      <c r="AG441" s="25" t="str">
        <f t="shared" si="405"/>
        <v/>
      </c>
      <c r="AH441" s="25" t="str">
        <f t="shared" si="406"/>
        <v/>
      </c>
      <c r="AI441" s="26" t="str">
        <f t="shared" si="407"/>
        <v/>
      </c>
      <c r="AQ441" s="27" t="str">
        <f t="shared" si="408"/>
        <v/>
      </c>
      <c r="AR441" t="str">
        <f t="shared" si="409"/>
        <v/>
      </c>
      <c r="AS441" t="str">
        <f t="shared" si="410"/>
        <v/>
      </c>
      <c r="AT441" s="28" t="str">
        <f t="shared" si="411"/>
        <v/>
      </c>
    </row>
    <row r="442" spans="5:46" x14ac:dyDescent="0.25">
      <c r="E442" s="24" t="str">
        <f t="shared" si="392"/>
        <v/>
      </c>
      <c r="F442" s="25" t="str">
        <f t="shared" si="393"/>
        <v/>
      </c>
      <c r="G442" s="25" t="str">
        <f t="shared" si="394"/>
        <v/>
      </c>
      <c r="H442" s="26" t="str">
        <f t="shared" si="395"/>
        <v/>
      </c>
      <c r="M442" s="24" t="str">
        <f t="shared" si="396"/>
        <v/>
      </c>
      <c r="N442" s="25" t="str">
        <f t="shared" si="397"/>
        <v/>
      </c>
      <c r="O442" s="25" t="str">
        <f t="shared" si="398"/>
        <v/>
      </c>
      <c r="P442" s="26" t="str">
        <f t="shared" si="399"/>
        <v/>
      </c>
      <c r="X442" s="24" t="str">
        <f t="shared" si="400"/>
        <v/>
      </c>
      <c r="Y442" s="25" t="str">
        <f t="shared" si="401"/>
        <v/>
      </c>
      <c r="Z442" s="25" t="str">
        <f t="shared" si="402"/>
        <v/>
      </c>
      <c r="AA442" s="26" t="str">
        <f t="shared" si="403"/>
        <v/>
      </c>
      <c r="AF442" s="24" t="str">
        <f t="shared" si="404"/>
        <v/>
      </c>
      <c r="AG442" s="25" t="str">
        <f t="shared" si="405"/>
        <v/>
      </c>
      <c r="AH442" s="25" t="str">
        <f t="shared" si="406"/>
        <v/>
      </c>
      <c r="AI442" s="26" t="str">
        <f t="shared" si="407"/>
        <v/>
      </c>
      <c r="AQ442" s="27" t="str">
        <f t="shared" si="408"/>
        <v/>
      </c>
      <c r="AR442" t="str">
        <f t="shared" si="409"/>
        <v/>
      </c>
      <c r="AS442" t="str">
        <f t="shared" si="410"/>
        <v/>
      </c>
      <c r="AT442" s="28" t="str">
        <f t="shared" si="411"/>
        <v/>
      </c>
    </row>
    <row r="443" spans="5:46" x14ac:dyDescent="0.25">
      <c r="E443" s="24" t="str">
        <f t="shared" si="392"/>
        <v/>
      </c>
      <c r="F443" s="25" t="str">
        <f t="shared" si="393"/>
        <v/>
      </c>
      <c r="G443" s="25" t="str">
        <f t="shared" si="394"/>
        <v/>
      </c>
      <c r="H443" s="26" t="str">
        <f t="shared" si="395"/>
        <v/>
      </c>
      <c r="M443" s="24" t="str">
        <f t="shared" si="396"/>
        <v/>
      </c>
      <c r="N443" s="25" t="str">
        <f t="shared" si="397"/>
        <v/>
      </c>
      <c r="O443" s="25" t="str">
        <f t="shared" si="398"/>
        <v/>
      </c>
      <c r="P443" s="26" t="str">
        <f t="shared" si="399"/>
        <v/>
      </c>
      <c r="X443" s="24" t="str">
        <f t="shared" si="400"/>
        <v/>
      </c>
      <c r="Y443" s="25" t="str">
        <f t="shared" si="401"/>
        <v/>
      </c>
      <c r="Z443" s="25" t="str">
        <f t="shared" si="402"/>
        <v/>
      </c>
      <c r="AA443" s="26" t="str">
        <f t="shared" si="403"/>
        <v/>
      </c>
      <c r="AF443" s="24" t="str">
        <f t="shared" si="404"/>
        <v/>
      </c>
      <c r="AG443" s="25" t="str">
        <f t="shared" si="405"/>
        <v/>
      </c>
      <c r="AH443" s="25" t="str">
        <f t="shared" si="406"/>
        <v/>
      </c>
      <c r="AI443" s="26" t="str">
        <f t="shared" si="407"/>
        <v/>
      </c>
      <c r="AQ443" s="27" t="str">
        <f t="shared" si="408"/>
        <v/>
      </c>
      <c r="AR443" t="str">
        <f t="shared" si="409"/>
        <v/>
      </c>
      <c r="AS443" t="str">
        <f t="shared" si="410"/>
        <v/>
      </c>
      <c r="AT443" s="28" t="str">
        <f t="shared" si="411"/>
        <v/>
      </c>
    </row>
    <row r="444" spans="5:46" x14ac:dyDescent="0.25">
      <c r="E444" s="24" t="str">
        <f t="shared" si="392"/>
        <v/>
      </c>
      <c r="F444" s="25" t="str">
        <f t="shared" si="393"/>
        <v/>
      </c>
      <c r="G444" s="25" t="str">
        <f t="shared" si="394"/>
        <v/>
      </c>
      <c r="H444" s="26" t="str">
        <f t="shared" si="395"/>
        <v/>
      </c>
      <c r="M444" s="24" t="str">
        <f t="shared" si="396"/>
        <v/>
      </c>
      <c r="N444" s="25" t="str">
        <f t="shared" si="397"/>
        <v/>
      </c>
      <c r="O444" s="25" t="str">
        <f t="shared" si="398"/>
        <v/>
      </c>
      <c r="P444" s="26" t="str">
        <f t="shared" si="399"/>
        <v/>
      </c>
      <c r="X444" s="24" t="str">
        <f t="shared" si="400"/>
        <v/>
      </c>
      <c r="Y444" s="25" t="str">
        <f t="shared" si="401"/>
        <v/>
      </c>
      <c r="Z444" s="25" t="str">
        <f t="shared" si="402"/>
        <v/>
      </c>
      <c r="AA444" s="26" t="str">
        <f t="shared" si="403"/>
        <v/>
      </c>
      <c r="AF444" s="24" t="str">
        <f t="shared" si="404"/>
        <v/>
      </c>
      <c r="AG444" s="25" t="str">
        <f t="shared" si="405"/>
        <v/>
      </c>
      <c r="AH444" s="25" t="str">
        <f t="shared" si="406"/>
        <v/>
      </c>
      <c r="AI444" s="26" t="str">
        <f t="shared" si="407"/>
        <v/>
      </c>
      <c r="AQ444" s="27" t="str">
        <f t="shared" si="408"/>
        <v/>
      </c>
      <c r="AR444" t="str">
        <f t="shared" si="409"/>
        <v/>
      </c>
      <c r="AS444" t="str">
        <f t="shared" si="410"/>
        <v/>
      </c>
      <c r="AT444" s="28" t="str">
        <f t="shared" si="411"/>
        <v/>
      </c>
    </row>
    <row r="445" spans="5:46" x14ac:dyDescent="0.25">
      <c r="E445" s="24" t="str">
        <f t="shared" si="392"/>
        <v/>
      </c>
      <c r="F445" s="25" t="str">
        <f t="shared" si="393"/>
        <v/>
      </c>
      <c r="G445" s="25" t="str">
        <f t="shared" si="394"/>
        <v/>
      </c>
      <c r="H445" s="26" t="str">
        <f t="shared" si="395"/>
        <v/>
      </c>
      <c r="M445" s="24" t="str">
        <f t="shared" si="396"/>
        <v/>
      </c>
      <c r="N445" s="25" t="str">
        <f t="shared" si="397"/>
        <v/>
      </c>
      <c r="O445" s="25" t="str">
        <f t="shared" si="398"/>
        <v/>
      </c>
      <c r="P445" s="26" t="str">
        <f t="shared" si="399"/>
        <v/>
      </c>
      <c r="X445" s="24" t="str">
        <f t="shared" si="400"/>
        <v/>
      </c>
      <c r="Y445" s="25" t="str">
        <f t="shared" si="401"/>
        <v/>
      </c>
      <c r="Z445" s="25" t="str">
        <f t="shared" si="402"/>
        <v/>
      </c>
      <c r="AA445" s="26" t="str">
        <f t="shared" si="403"/>
        <v/>
      </c>
      <c r="AF445" s="24" t="str">
        <f t="shared" si="404"/>
        <v/>
      </c>
      <c r="AG445" s="25" t="str">
        <f t="shared" si="405"/>
        <v/>
      </c>
      <c r="AH445" s="25" t="str">
        <f t="shared" si="406"/>
        <v/>
      </c>
      <c r="AI445" s="26" t="str">
        <f t="shared" si="407"/>
        <v/>
      </c>
      <c r="AQ445" s="27" t="str">
        <f t="shared" si="408"/>
        <v/>
      </c>
      <c r="AR445" t="str">
        <f t="shared" si="409"/>
        <v/>
      </c>
      <c r="AS445" t="str">
        <f t="shared" si="410"/>
        <v/>
      </c>
      <c r="AT445" s="28" t="str">
        <f t="shared" si="411"/>
        <v/>
      </c>
    </row>
    <row r="446" spans="5:46" x14ac:dyDescent="0.25">
      <c r="E446" s="24" t="str">
        <f t="shared" si="392"/>
        <v/>
      </c>
      <c r="F446" s="25" t="str">
        <f t="shared" si="393"/>
        <v/>
      </c>
      <c r="G446" s="25" t="str">
        <f t="shared" si="394"/>
        <v/>
      </c>
      <c r="H446" s="26" t="str">
        <f t="shared" si="395"/>
        <v/>
      </c>
      <c r="M446" s="24" t="str">
        <f t="shared" si="396"/>
        <v/>
      </c>
      <c r="N446" s="25" t="str">
        <f t="shared" si="397"/>
        <v/>
      </c>
      <c r="O446" s="25" t="str">
        <f t="shared" si="398"/>
        <v/>
      </c>
      <c r="P446" s="26" t="str">
        <f t="shared" si="399"/>
        <v/>
      </c>
      <c r="X446" s="24" t="str">
        <f t="shared" si="400"/>
        <v/>
      </c>
      <c r="Y446" s="25" t="str">
        <f t="shared" si="401"/>
        <v/>
      </c>
      <c r="Z446" s="25" t="str">
        <f t="shared" si="402"/>
        <v/>
      </c>
      <c r="AA446" s="26" t="str">
        <f t="shared" si="403"/>
        <v/>
      </c>
      <c r="AF446" s="24" t="str">
        <f t="shared" si="404"/>
        <v/>
      </c>
      <c r="AG446" s="25" t="str">
        <f t="shared" si="405"/>
        <v/>
      </c>
      <c r="AH446" s="25" t="str">
        <f t="shared" si="406"/>
        <v/>
      </c>
      <c r="AI446" s="26" t="str">
        <f t="shared" si="407"/>
        <v/>
      </c>
      <c r="AQ446" s="27" t="str">
        <f t="shared" si="408"/>
        <v/>
      </c>
      <c r="AR446" t="str">
        <f t="shared" si="409"/>
        <v/>
      </c>
      <c r="AS446" t="str">
        <f t="shared" si="410"/>
        <v/>
      </c>
      <c r="AT446" s="28" t="str">
        <f t="shared" si="411"/>
        <v/>
      </c>
    </row>
    <row r="447" spans="5:46" x14ac:dyDescent="0.25">
      <c r="E447" s="24" t="str">
        <f t="shared" si="392"/>
        <v/>
      </c>
      <c r="F447" s="25" t="str">
        <f t="shared" si="393"/>
        <v/>
      </c>
      <c r="G447" s="25" t="str">
        <f t="shared" si="394"/>
        <v/>
      </c>
      <c r="H447" s="26" t="str">
        <f t="shared" si="395"/>
        <v/>
      </c>
      <c r="M447" s="24" t="str">
        <f t="shared" si="396"/>
        <v/>
      </c>
      <c r="N447" s="25" t="str">
        <f t="shared" si="397"/>
        <v/>
      </c>
      <c r="O447" s="25" t="str">
        <f t="shared" si="398"/>
        <v/>
      </c>
      <c r="P447" s="26" t="str">
        <f t="shared" si="399"/>
        <v/>
      </c>
      <c r="X447" s="24" t="str">
        <f t="shared" si="400"/>
        <v/>
      </c>
      <c r="Y447" s="25" t="str">
        <f t="shared" si="401"/>
        <v/>
      </c>
      <c r="Z447" s="25" t="str">
        <f t="shared" si="402"/>
        <v/>
      </c>
      <c r="AA447" s="26" t="str">
        <f t="shared" si="403"/>
        <v/>
      </c>
      <c r="AF447" s="24" t="str">
        <f t="shared" si="404"/>
        <v/>
      </c>
      <c r="AG447" s="25" t="str">
        <f t="shared" si="405"/>
        <v/>
      </c>
      <c r="AH447" s="25" t="str">
        <f t="shared" si="406"/>
        <v/>
      </c>
      <c r="AI447" s="26" t="str">
        <f t="shared" si="407"/>
        <v/>
      </c>
      <c r="AQ447" s="27" t="str">
        <f t="shared" si="408"/>
        <v/>
      </c>
      <c r="AR447" t="str">
        <f t="shared" si="409"/>
        <v/>
      </c>
      <c r="AS447" t="str">
        <f t="shared" si="410"/>
        <v/>
      </c>
      <c r="AT447" s="28" t="str">
        <f t="shared" si="411"/>
        <v/>
      </c>
    </row>
    <row r="448" spans="5:46" x14ac:dyDescent="0.25">
      <c r="E448" s="24" t="str">
        <f t="shared" si="392"/>
        <v/>
      </c>
      <c r="F448" s="25" t="str">
        <f t="shared" si="393"/>
        <v/>
      </c>
      <c r="G448" s="25" t="str">
        <f t="shared" si="394"/>
        <v/>
      </c>
      <c r="H448" s="26" t="str">
        <f t="shared" si="395"/>
        <v/>
      </c>
      <c r="M448" s="24" t="str">
        <f t="shared" si="396"/>
        <v/>
      </c>
      <c r="N448" s="25" t="str">
        <f t="shared" si="397"/>
        <v/>
      </c>
      <c r="O448" s="25" t="str">
        <f t="shared" si="398"/>
        <v/>
      </c>
      <c r="P448" s="26" t="str">
        <f t="shared" si="399"/>
        <v/>
      </c>
      <c r="X448" s="24" t="str">
        <f t="shared" si="400"/>
        <v/>
      </c>
      <c r="Y448" s="25" t="str">
        <f t="shared" si="401"/>
        <v/>
      </c>
      <c r="Z448" s="25" t="str">
        <f t="shared" si="402"/>
        <v/>
      </c>
      <c r="AA448" s="26" t="str">
        <f t="shared" si="403"/>
        <v/>
      </c>
      <c r="AF448" s="24" t="str">
        <f t="shared" si="404"/>
        <v/>
      </c>
      <c r="AG448" s="25" t="str">
        <f t="shared" si="405"/>
        <v/>
      </c>
      <c r="AH448" s="25" t="str">
        <f t="shared" si="406"/>
        <v/>
      </c>
      <c r="AI448" s="26" t="str">
        <f t="shared" si="407"/>
        <v/>
      </c>
      <c r="AQ448" s="27" t="str">
        <f t="shared" si="408"/>
        <v/>
      </c>
      <c r="AR448" t="str">
        <f t="shared" si="409"/>
        <v/>
      </c>
      <c r="AS448" t="str">
        <f t="shared" si="410"/>
        <v/>
      </c>
      <c r="AT448" s="28" t="str">
        <f t="shared" si="411"/>
        <v/>
      </c>
    </row>
    <row r="449" spans="5:46" x14ac:dyDescent="0.25">
      <c r="E449" s="24" t="str">
        <f t="shared" si="392"/>
        <v/>
      </c>
      <c r="F449" s="25" t="str">
        <f t="shared" si="393"/>
        <v/>
      </c>
      <c r="G449" s="25" t="str">
        <f t="shared" si="394"/>
        <v/>
      </c>
      <c r="H449" s="26" t="str">
        <f t="shared" si="395"/>
        <v/>
      </c>
      <c r="M449" s="24" t="str">
        <f t="shared" si="396"/>
        <v/>
      </c>
      <c r="N449" s="25" t="str">
        <f t="shared" si="397"/>
        <v/>
      </c>
      <c r="O449" s="25" t="str">
        <f t="shared" si="398"/>
        <v/>
      </c>
      <c r="P449" s="26" t="str">
        <f t="shared" si="399"/>
        <v/>
      </c>
      <c r="X449" s="24" t="str">
        <f t="shared" si="400"/>
        <v/>
      </c>
      <c r="Y449" s="25" t="str">
        <f t="shared" si="401"/>
        <v/>
      </c>
      <c r="Z449" s="25" t="str">
        <f t="shared" si="402"/>
        <v/>
      </c>
      <c r="AA449" s="26" t="str">
        <f t="shared" si="403"/>
        <v/>
      </c>
      <c r="AF449" s="24" t="str">
        <f t="shared" si="404"/>
        <v/>
      </c>
      <c r="AG449" s="25" t="str">
        <f t="shared" si="405"/>
        <v/>
      </c>
      <c r="AH449" s="25" t="str">
        <f t="shared" si="406"/>
        <v/>
      </c>
      <c r="AI449" s="26" t="str">
        <f t="shared" si="407"/>
        <v/>
      </c>
      <c r="AQ449" s="27" t="str">
        <f t="shared" si="408"/>
        <v/>
      </c>
      <c r="AR449" t="str">
        <f t="shared" si="409"/>
        <v/>
      </c>
      <c r="AS449" t="str">
        <f t="shared" si="410"/>
        <v/>
      </c>
      <c r="AT449" s="28" t="str">
        <f t="shared" si="411"/>
        <v/>
      </c>
    </row>
    <row r="450" spans="5:46" x14ac:dyDescent="0.25">
      <c r="E450" s="24" t="str">
        <f t="shared" si="392"/>
        <v/>
      </c>
      <c r="F450" s="25" t="str">
        <f t="shared" si="393"/>
        <v/>
      </c>
      <c r="G450" s="25" t="str">
        <f t="shared" si="394"/>
        <v/>
      </c>
      <c r="H450" s="26" t="str">
        <f t="shared" si="395"/>
        <v/>
      </c>
      <c r="M450" s="24" t="str">
        <f t="shared" si="396"/>
        <v/>
      </c>
      <c r="N450" s="25" t="str">
        <f t="shared" si="397"/>
        <v/>
      </c>
      <c r="O450" s="25" t="str">
        <f t="shared" si="398"/>
        <v/>
      </c>
      <c r="P450" s="26" t="str">
        <f t="shared" si="399"/>
        <v/>
      </c>
      <c r="X450" s="24" t="str">
        <f t="shared" si="400"/>
        <v/>
      </c>
      <c r="Y450" s="25" t="str">
        <f t="shared" si="401"/>
        <v/>
      </c>
      <c r="Z450" s="25" t="str">
        <f t="shared" si="402"/>
        <v/>
      </c>
      <c r="AA450" s="26" t="str">
        <f t="shared" si="403"/>
        <v/>
      </c>
      <c r="AF450" s="24" t="str">
        <f t="shared" si="404"/>
        <v/>
      </c>
      <c r="AG450" s="25" t="str">
        <f t="shared" si="405"/>
        <v/>
      </c>
      <c r="AH450" s="25" t="str">
        <f t="shared" si="406"/>
        <v/>
      </c>
      <c r="AI450" s="26" t="str">
        <f t="shared" si="407"/>
        <v/>
      </c>
      <c r="AQ450" s="27" t="str">
        <f t="shared" si="408"/>
        <v/>
      </c>
      <c r="AR450" t="str">
        <f t="shared" si="409"/>
        <v/>
      </c>
      <c r="AS450" t="str">
        <f t="shared" si="410"/>
        <v/>
      </c>
      <c r="AT450" s="28" t="str">
        <f t="shared" si="411"/>
        <v/>
      </c>
    </row>
    <row r="451" spans="5:46" x14ac:dyDescent="0.25">
      <c r="E451" s="24" t="str">
        <f t="shared" si="392"/>
        <v/>
      </c>
      <c r="F451" s="25" t="str">
        <f t="shared" si="393"/>
        <v/>
      </c>
      <c r="G451" s="25" t="str">
        <f t="shared" si="394"/>
        <v/>
      </c>
      <c r="H451" s="26" t="str">
        <f t="shared" si="395"/>
        <v/>
      </c>
      <c r="M451" s="24" t="str">
        <f t="shared" si="396"/>
        <v/>
      </c>
      <c r="N451" s="25" t="str">
        <f t="shared" si="397"/>
        <v/>
      </c>
      <c r="O451" s="25" t="str">
        <f t="shared" si="398"/>
        <v/>
      </c>
      <c r="P451" s="26" t="str">
        <f t="shared" si="399"/>
        <v/>
      </c>
      <c r="X451" s="24" t="str">
        <f t="shared" si="400"/>
        <v/>
      </c>
      <c r="Y451" s="25" t="str">
        <f t="shared" si="401"/>
        <v/>
      </c>
      <c r="Z451" s="25" t="str">
        <f t="shared" si="402"/>
        <v/>
      </c>
      <c r="AA451" s="26" t="str">
        <f t="shared" si="403"/>
        <v/>
      </c>
      <c r="AF451" s="24" t="str">
        <f t="shared" si="404"/>
        <v/>
      </c>
      <c r="AG451" s="25" t="str">
        <f t="shared" si="405"/>
        <v/>
      </c>
      <c r="AH451" s="25" t="str">
        <f t="shared" si="406"/>
        <v/>
      </c>
      <c r="AI451" s="26" t="str">
        <f t="shared" si="407"/>
        <v/>
      </c>
      <c r="AQ451" s="27" t="str">
        <f t="shared" si="408"/>
        <v/>
      </c>
      <c r="AR451" t="str">
        <f t="shared" si="409"/>
        <v/>
      </c>
      <c r="AS451" t="str">
        <f t="shared" si="410"/>
        <v/>
      </c>
      <c r="AT451" s="28" t="str">
        <f t="shared" si="411"/>
        <v/>
      </c>
    </row>
    <row r="452" spans="5:46" x14ac:dyDescent="0.25">
      <c r="E452" s="24" t="str">
        <f t="shared" si="392"/>
        <v/>
      </c>
      <c r="F452" s="25" t="str">
        <f t="shared" si="393"/>
        <v/>
      </c>
      <c r="G452" s="25" t="str">
        <f t="shared" si="394"/>
        <v/>
      </c>
      <c r="H452" s="26" t="str">
        <f t="shared" si="395"/>
        <v/>
      </c>
      <c r="M452" s="24" t="str">
        <f t="shared" si="396"/>
        <v/>
      </c>
      <c r="N452" s="25" t="str">
        <f t="shared" si="397"/>
        <v/>
      </c>
      <c r="O452" s="25" t="str">
        <f t="shared" si="398"/>
        <v/>
      </c>
      <c r="P452" s="26" t="str">
        <f t="shared" si="399"/>
        <v/>
      </c>
      <c r="X452" s="24" t="str">
        <f t="shared" si="400"/>
        <v/>
      </c>
      <c r="Y452" s="25" t="str">
        <f t="shared" si="401"/>
        <v/>
      </c>
      <c r="Z452" s="25" t="str">
        <f t="shared" si="402"/>
        <v/>
      </c>
      <c r="AA452" s="26" t="str">
        <f t="shared" si="403"/>
        <v/>
      </c>
      <c r="AF452" s="24" t="str">
        <f t="shared" si="404"/>
        <v/>
      </c>
      <c r="AG452" s="25" t="str">
        <f t="shared" si="405"/>
        <v/>
      </c>
      <c r="AH452" s="25" t="str">
        <f t="shared" si="406"/>
        <v/>
      </c>
      <c r="AI452" s="26" t="str">
        <f t="shared" si="407"/>
        <v/>
      </c>
      <c r="AQ452" s="27" t="str">
        <f t="shared" si="408"/>
        <v/>
      </c>
      <c r="AR452" t="str">
        <f t="shared" si="409"/>
        <v/>
      </c>
      <c r="AS452" t="str">
        <f t="shared" si="410"/>
        <v/>
      </c>
      <c r="AT452" s="28" t="str">
        <f t="shared" si="411"/>
        <v/>
      </c>
    </row>
    <row r="453" spans="5:46" x14ac:dyDescent="0.25">
      <c r="E453" s="24" t="str">
        <f t="shared" si="392"/>
        <v/>
      </c>
      <c r="F453" s="25" t="str">
        <f t="shared" si="393"/>
        <v/>
      </c>
      <c r="G453" s="25" t="str">
        <f t="shared" si="394"/>
        <v/>
      </c>
      <c r="H453" s="26" t="str">
        <f t="shared" si="395"/>
        <v/>
      </c>
      <c r="M453" s="24" t="str">
        <f t="shared" si="396"/>
        <v/>
      </c>
      <c r="N453" s="25" t="str">
        <f t="shared" si="397"/>
        <v/>
      </c>
      <c r="O453" s="25" t="str">
        <f t="shared" si="398"/>
        <v/>
      </c>
      <c r="P453" s="26" t="str">
        <f t="shared" si="399"/>
        <v/>
      </c>
      <c r="X453" s="24" t="str">
        <f t="shared" si="400"/>
        <v/>
      </c>
      <c r="Y453" s="25" t="str">
        <f t="shared" si="401"/>
        <v/>
      </c>
      <c r="Z453" s="25" t="str">
        <f t="shared" si="402"/>
        <v/>
      </c>
      <c r="AA453" s="26" t="str">
        <f t="shared" si="403"/>
        <v/>
      </c>
      <c r="AF453" s="24" t="str">
        <f t="shared" si="404"/>
        <v/>
      </c>
      <c r="AG453" s="25" t="str">
        <f t="shared" si="405"/>
        <v/>
      </c>
      <c r="AH453" s="25" t="str">
        <f t="shared" si="406"/>
        <v/>
      </c>
      <c r="AI453" s="26" t="str">
        <f t="shared" si="407"/>
        <v/>
      </c>
      <c r="AQ453" s="27" t="str">
        <f t="shared" si="408"/>
        <v/>
      </c>
      <c r="AR453" t="str">
        <f t="shared" si="409"/>
        <v/>
      </c>
      <c r="AS453" t="str">
        <f t="shared" si="410"/>
        <v/>
      </c>
      <c r="AT453" s="28" t="str">
        <f t="shared" si="411"/>
        <v/>
      </c>
    </row>
    <row r="454" spans="5:46" x14ac:dyDescent="0.25">
      <c r="E454" s="24" t="str">
        <f t="shared" si="392"/>
        <v/>
      </c>
      <c r="F454" s="25" t="str">
        <f t="shared" si="393"/>
        <v/>
      </c>
      <c r="G454" s="25" t="str">
        <f t="shared" si="394"/>
        <v/>
      </c>
      <c r="H454" s="26" t="str">
        <f t="shared" si="395"/>
        <v/>
      </c>
      <c r="M454" s="24" t="str">
        <f t="shared" si="396"/>
        <v/>
      </c>
      <c r="N454" s="25" t="str">
        <f t="shared" si="397"/>
        <v/>
      </c>
      <c r="O454" s="25" t="str">
        <f t="shared" si="398"/>
        <v/>
      </c>
      <c r="P454" s="26" t="str">
        <f t="shared" si="399"/>
        <v/>
      </c>
      <c r="X454" s="24" t="str">
        <f t="shared" si="400"/>
        <v/>
      </c>
      <c r="Y454" s="25" t="str">
        <f t="shared" si="401"/>
        <v/>
      </c>
      <c r="Z454" s="25" t="str">
        <f t="shared" si="402"/>
        <v/>
      </c>
      <c r="AA454" s="26" t="str">
        <f t="shared" si="403"/>
        <v/>
      </c>
      <c r="AF454" s="24" t="str">
        <f t="shared" si="404"/>
        <v/>
      </c>
      <c r="AG454" s="25" t="str">
        <f t="shared" si="405"/>
        <v/>
      </c>
      <c r="AH454" s="25" t="str">
        <f t="shared" si="406"/>
        <v/>
      </c>
      <c r="AI454" s="26" t="str">
        <f t="shared" si="407"/>
        <v/>
      </c>
      <c r="AQ454" s="27" t="str">
        <f t="shared" si="408"/>
        <v/>
      </c>
      <c r="AR454" t="str">
        <f t="shared" si="409"/>
        <v/>
      </c>
      <c r="AS454" t="str">
        <f t="shared" si="410"/>
        <v/>
      </c>
      <c r="AT454" s="28" t="str">
        <f t="shared" si="411"/>
        <v/>
      </c>
    </row>
    <row r="455" spans="5:46" x14ac:dyDescent="0.25">
      <c r="E455" s="24" t="str">
        <f t="shared" si="392"/>
        <v/>
      </c>
      <c r="F455" s="25" t="str">
        <f t="shared" si="393"/>
        <v/>
      </c>
      <c r="G455" s="25" t="str">
        <f t="shared" si="394"/>
        <v/>
      </c>
      <c r="H455" s="26" t="str">
        <f t="shared" si="395"/>
        <v/>
      </c>
      <c r="M455" s="24" t="str">
        <f t="shared" si="396"/>
        <v/>
      </c>
      <c r="N455" s="25" t="str">
        <f t="shared" si="397"/>
        <v/>
      </c>
      <c r="O455" s="25" t="str">
        <f t="shared" si="398"/>
        <v/>
      </c>
      <c r="P455" s="26" t="str">
        <f t="shared" si="399"/>
        <v/>
      </c>
      <c r="X455" s="24" t="str">
        <f t="shared" si="400"/>
        <v/>
      </c>
      <c r="Y455" s="25" t="str">
        <f t="shared" si="401"/>
        <v/>
      </c>
      <c r="Z455" s="25" t="str">
        <f t="shared" si="402"/>
        <v/>
      </c>
      <c r="AA455" s="26" t="str">
        <f t="shared" si="403"/>
        <v/>
      </c>
      <c r="AF455" s="24" t="str">
        <f t="shared" si="404"/>
        <v/>
      </c>
      <c r="AG455" s="25" t="str">
        <f t="shared" si="405"/>
        <v/>
      </c>
      <c r="AH455" s="25" t="str">
        <f t="shared" si="406"/>
        <v/>
      </c>
      <c r="AI455" s="26" t="str">
        <f t="shared" si="407"/>
        <v/>
      </c>
      <c r="AQ455" s="27" t="str">
        <f t="shared" si="408"/>
        <v/>
      </c>
      <c r="AR455" t="str">
        <f t="shared" si="409"/>
        <v/>
      </c>
      <c r="AS455" t="str">
        <f t="shared" si="410"/>
        <v/>
      </c>
      <c r="AT455" s="28" t="str">
        <f t="shared" si="411"/>
        <v/>
      </c>
    </row>
    <row r="456" spans="5:46" x14ac:dyDescent="0.25">
      <c r="E456" s="24" t="str">
        <f t="shared" si="392"/>
        <v/>
      </c>
      <c r="F456" s="25" t="str">
        <f t="shared" si="393"/>
        <v/>
      </c>
      <c r="G456" s="25" t="str">
        <f t="shared" si="394"/>
        <v/>
      </c>
      <c r="H456" s="26" t="str">
        <f t="shared" si="395"/>
        <v/>
      </c>
      <c r="M456" s="24" t="str">
        <f t="shared" si="396"/>
        <v/>
      </c>
      <c r="N456" s="25" t="str">
        <f t="shared" si="397"/>
        <v/>
      </c>
      <c r="O456" s="25" t="str">
        <f t="shared" si="398"/>
        <v/>
      </c>
      <c r="P456" s="26" t="str">
        <f t="shared" si="399"/>
        <v/>
      </c>
      <c r="X456" s="24" t="str">
        <f t="shared" si="400"/>
        <v/>
      </c>
      <c r="Y456" s="25" t="str">
        <f t="shared" si="401"/>
        <v/>
      </c>
      <c r="Z456" s="25" t="str">
        <f t="shared" si="402"/>
        <v/>
      </c>
      <c r="AA456" s="26" t="str">
        <f t="shared" si="403"/>
        <v/>
      </c>
      <c r="AF456" s="24" t="str">
        <f t="shared" si="404"/>
        <v/>
      </c>
      <c r="AG456" s="25" t="str">
        <f t="shared" si="405"/>
        <v/>
      </c>
      <c r="AH456" s="25" t="str">
        <f t="shared" si="406"/>
        <v/>
      </c>
      <c r="AI456" s="26" t="str">
        <f t="shared" si="407"/>
        <v/>
      </c>
      <c r="AQ456" s="27" t="str">
        <f t="shared" si="408"/>
        <v/>
      </c>
      <c r="AR456" t="str">
        <f t="shared" si="409"/>
        <v/>
      </c>
      <c r="AS456" t="str">
        <f t="shared" si="410"/>
        <v/>
      </c>
      <c r="AT456" s="28" t="str">
        <f t="shared" si="411"/>
        <v/>
      </c>
    </row>
    <row r="457" spans="5:46" x14ac:dyDescent="0.25">
      <c r="E457" s="24" t="str">
        <f t="shared" si="392"/>
        <v/>
      </c>
      <c r="F457" s="25" t="str">
        <f t="shared" si="393"/>
        <v/>
      </c>
      <c r="G457" s="25" t="str">
        <f t="shared" si="394"/>
        <v/>
      </c>
      <c r="H457" s="26" t="str">
        <f t="shared" si="395"/>
        <v/>
      </c>
      <c r="M457" s="24" t="str">
        <f t="shared" si="396"/>
        <v/>
      </c>
      <c r="N457" s="25" t="str">
        <f t="shared" si="397"/>
        <v/>
      </c>
      <c r="O457" s="25" t="str">
        <f t="shared" si="398"/>
        <v/>
      </c>
      <c r="P457" s="26" t="str">
        <f t="shared" si="399"/>
        <v/>
      </c>
      <c r="X457" s="24" t="str">
        <f t="shared" si="400"/>
        <v/>
      </c>
      <c r="Y457" s="25" t="str">
        <f t="shared" si="401"/>
        <v/>
      </c>
      <c r="Z457" s="25" t="str">
        <f t="shared" si="402"/>
        <v/>
      </c>
      <c r="AA457" s="26" t="str">
        <f t="shared" si="403"/>
        <v/>
      </c>
      <c r="AF457" s="24" t="str">
        <f t="shared" si="404"/>
        <v/>
      </c>
      <c r="AG457" s="25" t="str">
        <f t="shared" si="405"/>
        <v/>
      </c>
      <c r="AH457" s="25" t="str">
        <f t="shared" si="406"/>
        <v/>
      </c>
      <c r="AI457" s="26" t="str">
        <f t="shared" si="407"/>
        <v/>
      </c>
      <c r="AQ457" s="27" t="str">
        <f t="shared" si="408"/>
        <v/>
      </c>
      <c r="AR457" t="str">
        <f t="shared" si="409"/>
        <v/>
      </c>
      <c r="AS457" t="str">
        <f t="shared" si="410"/>
        <v/>
      </c>
      <c r="AT457" s="28" t="str">
        <f t="shared" si="411"/>
        <v/>
      </c>
    </row>
    <row r="458" spans="5:46" x14ac:dyDescent="0.25">
      <c r="E458" s="24" t="str">
        <f t="shared" si="392"/>
        <v/>
      </c>
      <c r="F458" s="25" t="str">
        <f t="shared" si="393"/>
        <v/>
      </c>
      <c r="G458" s="25" t="str">
        <f t="shared" si="394"/>
        <v/>
      </c>
      <c r="H458" s="26" t="str">
        <f t="shared" si="395"/>
        <v/>
      </c>
      <c r="M458" s="24" t="str">
        <f t="shared" si="396"/>
        <v/>
      </c>
      <c r="N458" s="25" t="str">
        <f t="shared" si="397"/>
        <v/>
      </c>
      <c r="O458" s="25" t="str">
        <f t="shared" si="398"/>
        <v/>
      </c>
      <c r="P458" s="26" t="str">
        <f t="shared" si="399"/>
        <v/>
      </c>
      <c r="X458" s="24" t="str">
        <f t="shared" si="400"/>
        <v/>
      </c>
      <c r="Y458" s="25" t="str">
        <f t="shared" si="401"/>
        <v/>
      </c>
      <c r="Z458" s="25" t="str">
        <f t="shared" si="402"/>
        <v/>
      </c>
      <c r="AA458" s="26" t="str">
        <f t="shared" si="403"/>
        <v/>
      </c>
      <c r="AF458" s="24" t="str">
        <f t="shared" si="404"/>
        <v/>
      </c>
      <c r="AG458" s="25" t="str">
        <f t="shared" si="405"/>
        <v/>
      </c>
      <c r="AH458" s="25" t="str">
        <f t="shared" si="406"/>
        <v/>
      </c>
      <c r="AI458" s="26" t="str">
        <f t="shared" si="407"/>
        <v/>
      </c>
      <c r="AQ458" s="27" t="str">
        <f t="shared" si="408"/>
        <v/>
      </c>
      <c r="AR458" t="str">
        <f t="shared" si="409"/>
        <v/>
      </c>
      <c r="AS458" t="str">
        <f t="shared" si="410"/>
        <v/>
      </c>
      <c r="AT458" s="28" t="str">
        <f t="shared" si="411"/>
        <v/>
      </c>
    </row>
    <row r="459" spans="5:46" x14ac:dyDescent="0.25">
      <c r="E459" s="24" t="str">
        <f t="shared" si="392"/>
        <v/>
      </c>
      <c r="F459" s="25" t="str">
        <f t="shared" si="393"/>
        <v/>
      </c>
      <c r="G459" s="25" t="str">
        <f t="shared" si="394"/>
        <v/>
      </c>
      <c r="H459" s="26" t="str">
        <f t="shared" si="395"/>
        <v/>
      </c>
      <c r="M459" s="24" t="str">
        <f t="shared" si="396"/>
        <v/>
      </c>
      <c r="N459" s="25" t="str">
        <f t="shared" si="397"/>
        <v/>
      </c>
      <c r="O459" s="25" t="str">
        <f t="shared" si="398"/>
        <v/>
      </c>
      <c r="P459" s="26" t="str">
        <f t="shared" si="399"/>
        <v/>
      </c>
      <c r="X459" s="24" t="str">
        <f t="shared" si="400"/>
        <v/>
      </c>
      <c r="Y459" s="25" t="str">
        <f t="shared" si="401"/>
        <v/>
      </c>
      <c r="Z459" s="25" t="str">
        <f t="shared" si="402"/>
        <v/>
      </c>
      <c r="AA459" s="26" t="str">
        <f t="shared" si="403"/>
        <v/>
      </c>
      <c r="AF459" s="24" t="str">
        <f t="shared" si="404"/>
        <v/>
      </c>
      <c r="AG459" s="25" t="str">
        <f t="shared" si="405"/>
        <v/>
      </c>
      <c r="AH459" s="25" t="str">
        <f t="shared" si="406"/>
        <v/>
      </c>
      <c r="AI459" s="26" t="str">
        <f t="shared" si="407"/>
        <v/>
      </c>
      <c r="AQ459" s="27" t="str">
        <f t="shared" si="408"/>
        <v/>
      </c>
      <c r="AR459" t="str">
        <f t="shared" si="409"/>
        <v/>
      </c>
      <c r="AS459" t="str">
        <f t="shared" si="410"/>
        <v/>
      </c>
      <c r="AT459" s="28" t="str">
        <f t="shared" si="411"/>
        <v/>
      </c>
    </row>
    <row r="460" spans="5:46" x14ac:dyDescent="0.25">
      <c r="E460" s="24" t="str">
        <f t="shared" si="392"/>
        <v/>
      </c>
      <c r="F460" s="25" t="str">
        <f t="shared" si="393"/>
        <v/>
      </c>
      <c r="G460" s="25" t="str">
        <f t="shared" si="394"/>
        <v/>
      </c>
      <c r="H460" s="26" t="str">
        <f t="shared" si="395"/>
        <v/>
      </c>
      <c r="M460" s="24" t="str">
        <f t="shared" si="396"/>
        <v/>
      </c>
      <c r="N460" s="25" t="str">
        <f t="shared" si="397"/>
        <v/>
      </c>
      <c r="O460" s="25" t="str">
        <f t="shared" si="398"/>
        <v/>
      </c>
      <c r="P460" s="26" t="str">
        <f t="shared" si="399"/>
        <v/>
      </c>
      <c r="X460" s="24" t="str">
        <f t="shared" si="400"/>
        <v/>
      </c>
      <c r="Y460" s="25" t="str">
        <f t="shared" si="401"/>
        <v/>
      </c>
      <c r="Z460" s="25" t="str">
        <f t="shared" si="402"/>
        <v/>
      </c>
      <c r="AA460" s="26" t="str">
        <f t="shared" si="403"/>
        <v/>
      </c>
      <c r="AF460" s="24" t="str">
        <f t="shared" si="404"/>
        <v/>
      </c>
      <c r="AG460" s="25" t="str">
        <f t="shared" si="405"/>
        <v/>
      </c>
      <c r="AH460" s="25" t="str">
        <f t="shared" si="406"/>
        <v/>
      </c>
      <c r="AI460" s="26" t="str">
        <f t="shared" si="407"/>
        <v/>
      </c>
      <c r="AQ460" s="27" t="str">
        <f t="shared" si="408"/>
        <v/>
      </c>
      <c r="AR460" t="str">
        <f t="shared" si="409"/>
        <v/>
      </c>
      <c r="AS460" t="str">
        <f t="shared" si="410"/>
        <v/>
      </c>
      <c r="AT460" s="28" t="str">
        <f t="shared" si="411"/>
        <v/>
      </c>
    </row>
    <row r="461" spans="5:46" x14ac:dyDescent="0.25">
      <c r="E461" s="24" t="str">
        <f t="shared" si="392"/>
        <v/>
      </c>
      <c r="F461" s="25" t="str">
        <f t="shared" si="393"/>
        <v/>
      </c>
      <c r="G461" s="25" t="str">
        <f t="shared" si="394"/>
        <v/>
      </c>
      <c r="H461" s="26" t="str">
        <f t="shared" si="395"/>
        <v/>
      </c>
      <c r="M461" s="24" t="str">
        <f t="shared" si="396"/>
        <v/>
      </c>
      <c r="N461" s="25" t="str">
        <f t="shared" si="397"/>
        <v/>
      </c>
      <c r="O461" s="25" t="str">
        <f t="shared" si="398"/>
        <v/>
      </c>
      <c r="P461" s="26" t="str">
        <f t="shared" si="399"/>
        <v/>
      </c>
      <c r="X461" s="24" t="str">
        <f t="shared" si="400"/>
        <v/>
      </c>
      <c r="Y461" s="25" t="str">
        <f t="shared" si="401"/>
        <v/>
      </c>
      <c r="Z461" s="25" t="str">
        <f t="shared" si="402"/>
        <v/>
      </c>
      <c r="AA461" s="26" t="str">
        <f t="shared" si="403"/>
        <v/>
      </c>
      <c r="AF461" s="24" t="str">
        <f t="shared" si="404"/>
        <v/>
      </c>
      <c r="AG461" s="25" t="str">
        <f t="shared" si="405"/>
        <v/>
      </c>
      <c r="AH461" s="25" t="str">
        <f t="shared" si="406"/>
        <v/>
      </c>
      <c r="AI461" s="26" t="str">
        <f t="shared" si="407"/>
        <v/>
      </c>
      <c r="AQ461" s="27" t="str">
        <f t="shared" si="408"/>
        <v/>
      </c>
      <c r="AR461" t="str">
        <f t="shared" si="409"/>
        <v/>
      </c>
      <c r="AS461" t="str">
        <f t="shared" si="410"/>
        <v/>
      </c>
      <c r="AT461" s="28" t="str">
        <f t="shared" si="411"/>
        <v/>
      </c>
    </row>
    <row r="462" spans="5:46" x14ac:dyDescent="0.25">
      <c r="E462" s="24" t="str">
        <f t="shared" si="392"/>
        <v/>
      </c>
      <c r="F462" s="25" t="str">
        <f t="shared" si="393"/>
        <v/>
      </c>
      <c r="G462" s="25" t="str">
        <f t="shared" si="394"/>
        <v/>
      </c>
      <c r="H462" s="26" t="str">
        <f t="shared" si="395"/>
        <v/>
      </c>
      <c r="M462" s="24" t="str">
        <f t="shared" si="396"/>
        <v/>
      </c>
      <c r="N462" s="25" t="str">
        <f t="shared" si="397"/>
        <v/>
      </c>
      <c r="O462" s="25" t="str">
        <f t="shared" si="398"/>
        <v/>
      </c>
      <c r="P462" s="26" t="str">
        <f t="shared" si="399"/>
        <v/>
      </c>
      <c r="X462" s="24" t="str">
        <f t="shared" si="400"/>
        <v/>
      </c>
      <c r="Y462" s="25" t="str">
        <f t="shared" si="401"/>
        <v/>
      </c>
      <c r="Z462" s="25" t="str">
        <f t="shared" si="402"/>
        <v/>
      </c>
      <c r="AA462" s="26" t="str">
        <f t="shared" si="403"/>
        <v/>
      </c>
      <c r="AF462" s="24" t="str">
        <f t="shared" si="404"/>
        <v/>
      </c>
      <c r="AG462" s="25" t="str">
        <f t="shared" si="405"/>
        <v/>
      </c>
      <c r="AH462" s="25" t="str">
        <f t="shared" si="406"/>
        <v/>
      </c>
      <c r="AI462" s="26" t="str">
        <f t="shared" si="407"/>
        <v/>
      </c>
      <c r="AQ462" s="27" t="str">
        <f t="shared" si="408"/>
        <v/>
      </c>
      <c r="AR462" t="str">
        <f t="shared" si="409"/>
        <v/>
      </c>
      <c r="AS462" t="str">
        <f t="shared" si="410"/>
        <v/>
      </c>
      <c r="AT462" s="28" t="str">
        <f t="shared" si="411"/>
        <v/>
      </c>
    </row>
    <row r="463" spans="5:46" x14ac:dyDescent="0.25">
      <c r="E463" s="24" t="str">
        <f t="shared" si="392"/>
        <v/>
      </c>
      <c r="F463" s="25" t="str">
        <f t="shared" si="393"/>
        <v/>
      </c>
      <c r="G463" s="25" t="str">
        <f t="shared" si="394"/>
        <v/>
      </c>
      <c r="H463" s="26" t="str">
        <f t="shared" si="395"/>
        <v/>
      </c>
      <c r="M463" s="24" t="str">
        <f t="shared" si="396"/>
        <v/>
      </c>
      <c r="N463" s="25" t="str">
        <f t="shared" si="397"/>
        <v/>
      </c>
      <c r="O463" s="25" t="str">
        <f t="shared" si="398"/>
        <v/>
      </c>
      <c r="P463" s="26" t="str">
        <f t="shared" si="399"/>
        <v/>
      </c>
      <c r="X463" s="24" t="str">
        <f t="shared" si="400"/>
        <v/>
      </c>
      <c r="Y463" s="25" t="str">
        <f t="shared" si="401"/>
        <v/>
      </c>
      <c r="Z463" s="25" t="str">
        <f t="shared" si="402"/>
        <v/>
      </c>
      <c r="AA463" s="26" t="str">
        <f t="shared" si="403"/>
        <v/>
      </c>
      <c r="AF463" s="24" t="str">
        <f t="shared" si="404"/>
        <v/>
      </c>
      <c r="AG463" s="25" t="str">
        <f t="shared" si="405"/>
        <v/>
      </c>
      <c r="AH463" s="25" t="str">
        <f t="shared" si="406"/>
        <v/>
      </c>
      <c r="AI463" s="26" t="str">
        <f t="shared" si="407"/>
        <v/>
      </c>
      <c r="AQ463" s="27" t="str">
        <f t="shared" si="408"/>
        <v/>
      </c>
      <c r="AR463" t="str">
        <f t="shared" si="409"/>
        <v/>
      </c>
      <c r="AS463" t="str">
        <f t="shared" si="410"/>
        <v/>
      </c>
      <c r="AT463" s="28" t="str">
        <f t="shared" si="411"/>
        <v/>
      </c>
    </row>
    <row r="464" spans="5:46" x14ac:dyDescent="0.25">
      <c r="E464" s="24" t="str">
        <f t="shared" si="392"/>
        <v/>
      </c>
      <c r="F464" s="25" t="str">
        <f t="shared" si="393"/>
        <v/>
      </c>
      <c r="G464" s="25" t="str">
        <f t="shared" si="394"/>
        <v/>
      </c>
      <c r="H464" s="26" t="str">
        <f t="shared" si="395"/>
        <v/>
      </c>
      <c r="M464" s="24" t="str">
        <f t="shared" si="396"/>
        <v/>
      </c>
      <c r="N464" s="25" t="str">
        <f t="shared" si="397"/>
        <v/>
      </c>
      <c r="O464" s="25" t="str">
        <f t="shared" si="398"/>
        <v/>
      </c>
      <c r="P464" s="26" t="str">
        <f t="shared" si="399"/>
        <v/>
      </c>
      <c r="X464" s="24" t="str">
        <f t="shared" si="400"/>
        <v/>
      </c>
      <c r="Y464" s="25" t="str">
        <f t="shared" si="401"/>
        <v/>
      </c>
      <c r="Z464" s="25" t="str">
        <f t="shared" si="402"/>
        <v/>
      </c>
      <c r="AA464" s="26" t="str">
        <f t="shared" si="403"/>
        <v/>
      </c>
      <c r="AF464" s="24" t="str">
        <f t="shared" si="404"/>
        <v/>
      </c>
      <c r="AG464" s="25" t="str">
        <f t="shared" si="405"/>
        <v/>
      </c>
      <c r="AH464" s="25" t="str">
        <f t="shared" si="406"/>
        <v/>
      </c>
      <c r="AI464" s="26" t="str">
        <f t="shared" si="407"/>
        <v/>
      </c>
      <c r="AQ464" s="27" t="str">
        <f t="shared" si="408"/>
        <v/>
      </c>
      <c r="AR464" t="str">
        <f t="shared" si="409"/>
        <v/>
      </c>
      <c r="AS464" t="str">
        <f t="shared" si="410"/>
        <v/>
      </c>
      <c r="AT464" s="28" t="str">
        <f t="shared" si="411"/>
        <v/>
      </c>
    </row>
    <row r="465" spans="5:46" x14ac:dyDescent="0.25">
      <c r="E465" s="24" t="str">
        <f t="shared" si="392"/>
        <v/>
      </c>
      <c r="F465" s="25" t="str">
        <f t="shared" si="393"/>
        <v/>
      </c>
      <c r="G465" s="25" t="str">
        <f t="shared" si="394"/>
        <v/>
      </c>
      <c r="H465" s="26" t="str">
        <f t="shared" si="395"/>
        <v/>
      </c>
      <c r="M465" s="24" t="str">
        <f t="shared" si="396"/>
        <v/>
      </c>
      <c r="N465" s="25" t="str">
        <f t="shared" si="397"/>
        <v/>
      </c>
      <c r="O465" s="25" t="str">
        <f t="shared" si="398"/>
        <v/>
      </c>
      <c r="P465" s="26" t="str">
        <f t="shared" si="399"/>
        <v/>
      </c>
      <c r="X465" s="24" t="str">
        <f t="shared" si="400"/>
        <v/>
      </c>
      <c r="Y465" s="25" t="str">
        <f t="shared" si="401"/>
        <v/>
      </c>
      <c r="Z465" s="25" t="str">
        <f t="shared" si="402"/>
        <v/>
      </c>
      <c r="AA465" s="26" t="str">
        <f t="shared" si="403"/>
        <v/>
      </c>
      <c r="AF465" s="24" t="str">
        <f t="shared" si="404"/>
        <v/>
      </c>
      <c r="AG465" s="25" t="str">
        <f t="shared" si="405"/>
        <v/>
      </c>
      <c r="AH465" s="25" t="str">
        <f t="shared" si="406"/>
        <v/>
      </c>
      <c r="AI465" s="26" t="str">
        <f t="shared" si="407"/>
        <v/>
      </c>
      <c r="AQ465" s="27" t="str">
        <f t="shared" si="408"/>
        <v/>
      </c>
      <c r="AR465" t="str">
        <f t="shared" si="409"/>
        <v/>
      </c>
      <c r="AS465" t="str">
        <f t="shared" si="410"/>
        <v/>
      </c>
      <c r="AT465" s="28" t="str">
        <f t="shared" si="411"/>
        <v/>
      </c>
    </row>
    <row r="466" spans="5:46" x14ac:dyDescent="0.25">
      <c r="E466" s="24" t="str">
        <f t="shared" si="392"/>
        <v/>
      </c>
      <c r="F466" s="25" t="str">
        <f t="shared" si="393"/>
        <v/>
      </c>
      <c r="G466" s="25" t="str">
        <f t="shared" si="394"/>
        <v/>
      </c>
      <c r="H466" s="26" t="str">
        <f t="shared" si="395"/>
        <v/>
      </c>
      <c r="M466" s="24" t="str">
        <f t="shared" si="396"/>
        <v/>
      </c>
      <c r="N466" s="25" t="str">
        <f t="shared" si="397"/>
        <v/>
      </c>
      <c r="O466" s="25" t="str">
        <f t="shared" si="398"/>
        <v/>
      </c>
      <c r="P466" s="26" t="str">
        <f t="shared" si="399"/>
        <v/>
      </c>
      <c r="X466" s="24" t="str">
        <f t="shared" si="400"/>
        <v/>
      </c>
      <c r="Y466" s="25" t="str">
        <f t="shared" si="401"/>
        <v/>
      </c>
      <c r="Z466" s="25" t="str">
        <f t="shared" si="402"/>
        <v/>
      </c>
      <c r="AA466" s="26" t="str">
        <f t="shared" si="403"/>
        <v/>
      </c>
      <c r="AF466" s="24" t="str">
        <f t="shared" si="404"/>
        <v/>
      </c>
      <c r="AG466" s="25" t="str">
        <f t="shared" si="405"/>
        <v/>
      </c>
      <c r="AH466" s="25" t="str">
        <f t="shared" si="406"/>
        <v/>
      </c>
      <c r="AI466" s="26" t="str">
        <f t="shared" si="407"/>
        <v/>
      </c>
      <c r="AQ466" s="27" t="str">
        <f t="shared" si="408"/>
        <v/>
      </c>
      <c r="AR466" t="str">
        <f t="shared" si="409"/>
        <v/>
      </c>
      <c r="AS466" t="str">
        <f t="shared" si="410"/>
        <v/>
      </c>
      <c r="AT466" s="28" t="str">
        <f t="shared" si="411"/>
        <v/>
      </c>
    </row>
    <row r="467" spans="5:46" x14ac:dyDescent="0.25">
      <c r="E467" s="24" t="str">
        <f t="shared" ref="E467:E498" si="412">IF($E$431&gt;$F$431,$E335,$F335)</f>
        <v/>
      </c>
      <c r="F467" s="25" t="str">
        <f t="shared" ref="F467:F498" si="413">IF($G$431&gt;$H$431,$G335,$H335)</f>
        <v/>
      </c>
      <c r="G467" s="25" t="str">
        <f t="shared" ref="G467:G498" si="414">IF($I$431&gt;$J$431,$I335,$J335)</f>
        <v/>
      </c>
      <c r="H467" s="26" t="str">
        <f t="shared" ref="H467:H498" si="415">IF($K$431&gt;$L$431,$K335,$L335)</f>
        <v/>
      </c>
      <c r="M467" s="24" t="str">
        <f t="shared" ref="M467:M498" si="416">IF($M$431&gt;$N$431,$M335,$N335)</f>
        <v/>
      </c>
      <c r="N467" s="25" t="str">
        <f t="shared" ref="N467:N498" si="417">IF($O$431&gt;$P$431,$O335,$P335)</f>
        <v/>
      </c>
      <c r="O467" s="25" t="str">
        <f t="shared" ref="O467:O498" si="418">IF($Q$431&gt;$R$431,$Q335,$R335)</f>
        <v/>
      </c>
      <c r="P467" s="26" t="str">
        <f t="shared" ref="P467:P498" si="419">IF($S$431&gt;$T$431,$S335,$T335)</f>
        <v/>
      </c>
      <c r="X467" s="24" t="str">
        <f t="shared" ref="X467:X498" si="420">IF($X$431&gt;$Y$431,$X335,$Y335)</f>
        <v/>
      </c>
      <c r="Y467" s="25" t="str">
        <f t="shared" ref="Y467:Y498" si="421">IF($Z$431&gt;$AA$431,$Z335,$AA335)</f>
        <v/>
      </c>
      <c r="Z467" s="25" t="str">
        <f t="shared" ref="Z467:Z498" si="422">IF($AB$431&gt;$AC$431,$AB335,$AC335)</f>
        <v/>
      </c>
      <c r="AA467" s="26" t="str">
        <f t="shared" ref="AA467:AA498" si="423">IF($AD$431&gt;$AE$431,$AD335,$AE335)</f>
        <v/>
      </c>
      <c r="AF467" s="24" t="str">
        <f t="shared" ref="AF467:AF498" si="424">IF($AF$431&gt;$AG$431,$AF335,$AG335)</f>
        <v/>
      </c>
      <c r="AG467" s="25" t="str">
        <f t="shared" ref="AG467:AG498" si="425">IF($AH$431&gt;$AI$431,$AH335,$AI335)</f>
        <v/>
      </c>
      <c r="AH467" s="25" t="str">
        <f t="shared" ref="AH467:AH498" si="426">IF($AJ$431&gt;$AK$431,$AJ335,$AK335)</f>
        <v/>
      </c>
      <c r="AI467" s="26" t="str">
        <f t="shared" ref="AI467:AI498" si="427">IF($AL$431&gt;$AM$431,$AL335,$AM335)</f>
        <v/>
      </c>
      <c r="AQ467" s="27" t="str">
        <f t="shared" ref="AQ467:AQ498" si="428">IF($AQ$431&gt;$AR$431,$AQ335,$AR335)</f>
        <v/>
      </c>
      <c r="AR467" t="str">
        <f t="shared" ref="AR467:AR498" si="429">IF($AS$431&gt;$AT$431,$AS335,$AT335)</f>
        <v/>
      </c>
      <c r="AS467" t="str">
        <f t="shared" ref="AS467:AS498" si="430">IF($AU$431&gt;$AV$431,$AU335,$AV335)</f>
        <v/>
      </c>
      <c r="AT467" s="28" t="str">
        <f t="shared" ref="AT467:AT498" si="431">IF($AW$431&gt;$AX$431,$AW335,$AX335)</f>
        <v/>
      </c>
    </row>
    <row r="468" spans="5:46" x14ac:dyDescent="0.25">
      <c r="E468" s="24" t="str">
        <f t="shared" si="412"/>
        <v/>
      </c>
      <c r="F468" s="25" t="str">
        <f t="shared" si="413"/>
        <v/>
      </c>
      <c r="G468" s="25" t="str">
        <f t="shared" si="414"/>
        <v/>
      </c>
      <c r="H468" s="26" t="str">
        <f t="shared" si="415"/>
        <v/>
      </c>
      <c r="M468" s="24" t="str">
        <f t="shared" si="416"/>
        <v/>
      </c>
      <c r="N468" s="25" t="str">
        <f t="shared" si="417"/>
        <v/>
      </c>
      <c r="O468" s="25" t="str">
        <f t="shared" si="418"/>
        <v/>
      </c>
      <c r="P468" s="26" t="str">
        <f t="shared" si="419"/>
        <v/>
      </c>
      <c r="X468" s="24" t="str">
        <f t="shared" si="420"/>
        <v/>
      </c>
      <c r="Y468" s="25" t="str">
        <f t="shared" si="421"/>
        <v/>
      </c>
      <c r="Z468" s="25" t="str">
        <f t="shared" si="422"/>
        <v/>
      </c>
      <c r="AA468" s="26" t="str">
        <f t="shared" si="423"/>
        <v/>
      </c>
      <c r="AF468" s="24" t="str">
        <f t="shared" si="424"/>
        <v/>
      </c>
      <c r="AG468" s="25" t="str">
        <f t="shared" si="425"/>
        <v/>
      </c>
      <c r="AH468" s="25" t="str">
        <f t="shared" si="426"/>
        <v/>
      </c>
      <c r="AI468" s="26" t="str">
        <f t="shared" si="427"/>
        <v/>
      </c>
      <c r="AQ468" s="27" t="str">
        <f t="shared" si="428"/>
        <v/>
      </c>
      <c r="AR468" t="str">
        <f t="shared" si="429"/>
        <v/>
      </c>
      <c r="AS468" t="str">
        <f t="shared" si="430"/>
        <v/>
      </c>
      <c r="AT468" s="28" t="str">
        <f t="shared" si="431"/>
        <v/>
      </c>
    </row>
    <row r="469" spans="5:46" x14ac:dyDescent="0.25">
      <c r="E469" s="24" t="str">
        <f t="shared" si="412"/>
        <v/>
      </c>
      <c r="F469" s="25" t="str">
        <f t="shared" si="413"/>
        <v/>
      </c>
      <c r="G469" s="25" t="str">
        <f t="shared" si="414"/>
        <v/>
      </c>
      <c r="H469" s="26" t="str">
        <f t="shared" si="415"/>
        <v/>
      </c>
      <c r="M469" s="24" t="str">
        <f t="shared" si="416"/>
        <v/>
      </c>
      <c r="N469" s="25" t="str">
        <f t="shared" si="417"/>
        <v/>
      </c>
      <c r="O469" s="25" t="str">
        <f t="shared" si="418"/>
        <v/>
      </c>
      <c r="P469" s="26" t="str">
        <f t="shared" si="419"/>
        <v/>
      </c>
      <c r="X469" s="24" t="str">
        <f t="shared" si="420"/>
        <v/>
      </c>
      <c r="Y469" s="25" t="str">
        <f t="shared" si="421"/>
        <v/>
      </c>
      <c r="Z469" s="25" t="str">
        <f t="shared" si="422"/>
        <v/>
      </c>
      <c r="AA469" s="26" t="str">
        <f t="shared" si="423"/>
        <v/>
      </c>
      <c r="AF469" s="24" t="str">
        <f t="shared" si="424"/>
        <v/>
      </c>
      <c r="AG469" s="25" t="str">
        <f t="shared" si="425"/>
        <v/>
      </c>
      <c r="AH469" s="25" t="str">
        <f t="shared" si="426"/>
        <v/>
      </c>
      <c r="AI469" s="26" t="str">
        <f t="shared" si="427"/>
        <v/>
      </c>
      <c r="AQ469" s="27" t="str">
        <f t="shared" si="428"/>
        <v/>
      </c>
      <c r="AR469" t="str">
        <f t="shared" si="429"/>
        <v/>
      </c>
      <c r="AS469" t="str">
        <f t="shared" si="430"/>
        <v/>
      </c>
      <c r="AT469" s="28" t="str">
        <f t="shared" si="431"/>
        <v/>
      </c>
    </row>
    <row r="470" spans="5:46" x14ac:dyDescent="0.25">
      <c r="E470" s="24" t="str">
        <f t="shared" si="412"/>
        <v/>
      </c>
      <c r="F470" s="25" t="str">
        <f t="shared" si="413"/>
        <v/>
      </c>
      <c r="G470" s="25" t="str">
        <f t="shared" si="414"/>
        <v/>
      </c>
      <c r="H470" s="26" t="str">
        <f t="shared" si="415"/>
        <v/>
      </c>
      <c r="M470" s="24" t="str">
        <f t="shared" si="416"/>
        <v/>
      </c>
      <c r="N470" s="25" t="str">
        <f t="shared" si="417"/>
        <v/>
      </c>
      <c r="O470" s="25" t="str">
        <f t="shared" si="418"/>
        <v/>
      </c>
      <c r="P470" s="26" t="str">
        <f t="shared" si="419"/>
        <v/>
      </c>
      <c r="X470" s="24" t="str">
        <f t="shared" si="420"/>
        <v/>
      </c>
      <c r="Y470" s="25" t="str">
        <f t="shared" si="421"/>
        <v/>
      </c>
      <c r="Z470" s="25" t="str">
        <f t="shared" si="422"/>
        <v/>
      </c>
      <c r="AA470" s="26" t="str">
        <f t="shared" si="423"/>
        <v/>
      </c>
      <c r="AF470" s="24" t="str">
        <f t="shared" si="424"/>
        <v/>
      </c>
      <c r="AG470" s="25" t="str">
        <f t="shared" si="425"/>
        <v/>
      </c>
      <c r="AH470" s="25" t="str">
        <f t="shared" si="426"/>
        <v/>
      </c>
      <c r="AI470" s="26" t="str">
        <f t="shared" si="427"/>
        <v/>
      </c>
      <c r="AQ470" s="27" t="str">
        <f t="shared" si="428"/>
        <v/>
      </c>
      <c r="AR470" t="str">
        <f t="shared" si="429"/>
        <v/>
      </c>
      <c r="AS470" t="str">
        <f t="shared" si="430"/>
        <v/>
      </c>
      <c r="AT470" s="28" t="str">
        <f t="shared" si="431"/>
        <v/>
      </c>
    </row>
    <row r="471" spans="5:46" x14ac:dyDescent="0.25">
      <c r="E471" s="24" t="str">
        <f t="shared" si="412"/>
        <v/>
      </c>
      <c r="F471" s="25" t="str">
        <f t="shared" si="413"/>
        <v/>
      </c>
      <c r="G471" s="25" t="str">
        <f t="shared" si="414"/>
        <v/>
      </c>
      <c r="H471" s="26" t="str">
        <f t="shared" si="415"/>
        <v/>
      </c>
      <c r="M471" s="24" t="str">
        <f t="shared" si="416"/>
        <v/>
      </c>
      <c r="N471" s="25" t="str">
        <f t="shared" si="417"/>
        <v/>
      </c>
      <c r="O471" s="25" t="str">
        <f t="shared" si="418"/>
        <v/>
      </c>
      <c r="P471" s="26" t="str">
        <f t="shared" si="419"/>
        <v/>
      </c>
      <c r="X471" s="24" t="str">
        <f t="shared" si="420"/>
        <v/>
      </c>
      <c r="Y471" s="25" t="str">
        <f t="shared" si="421"/>
        <v/>
      </c>
      <c r="Z471" s="25" t="str">
        <f t="shared" si="422"/>
        <v/>
      </c>
      <c r="AA471" s="26" t="str">
        <f t="shared" si="423"/>
        <v/>
      </c>
      <c r="AF471" s="24" t="str">
        <f t="shared" si="424"/>
        <v/>
      </c>
      <c r="AG471" s="25" t="str">
        <f t="shared" si="425"/>
        <v/>
      </c>
      <c r="AH471" s="25" t="str">
        <f t="shared" si="426"/>
        <v/>
      </c>
      <c r="AI471" s="26" t="str">
        <f t="shared" si="427"/>
        <v/>
      </c>
      <c r="AQ471" s="27" t="str">
        <f t="shared" si="428"/>
        <v/>
      </c>
      <c r="AR471" t="str">
        <f t="shared" si="429"/>
        <v/>
      </c>
      <c r="AS471" t="str">
        <f t="shared" si="430"/>
        <v/>
      </c>
      <c r="AT471" s="28" t="str">
        <f t="shared" si="431"/>
        <v/>
      </c>
    </row>
    <row r="472" spans="5:46" x14ac:dyDescent="0.25">
      <c r="E472" s="24" t="str">
        <f t="shared" si="412"/>
        <v/>
      </c>
      <c r="F472" s="25" t="str">
        <f t="shared" si="413"/>
        <v/>
      </c>
      <c r="G472" s="25" t="str">
        <f t="shared" si="414"/>
        <v/>
      </c>
      <c r="H472" s="26" t="str">
        <f t="shared" si="415"/>
        <v/>
      </c>
      <c r="M472" s="24" t="str">
        <f t="shared" si="416"/>
        <v/>
      </c>
      <c r="N472" s="25" t="str">
        <f t="shared" si="417"/>
        <v/>
      </c>
      <c r="O472" s="25" t="str">
        <f t="shared" si="418"/>
        <v/>
      </c>
      <c r="P472" s="26" t="str">
        <f t="shared" si="419"/>
        <v/>
      </c>
      <c r="X472" s="24" t="str">
        <f t="shared" si="420"/>
        <v/>
      </c>
      <c r="Y472" s="25" t="str">
        <f t="shared" si="421"/>
        <v/>
      </c>
      <c r="Z472" s="25" t="str">
        <f t="shared" si="422"/>
        <v/>
      </c>
      <c r="AA472" s="26" t="str">
        <f t="shared" si="423"/>
        <v/>
      </c>
      <c r="AF472" s="24" t="str">
        <f t="shared" si="424"/>
        <v/>
      </c>
      <c r="AG472" s="25" t="str">
        <f t="shared" si="425"/>
        <v/>
      </c>
      <c r="AH472" s="25" t="str">
        <f t="shared" si="426"/>
        <v/>
      </c>
      <c r="AI472" s="26" t="str">
        <f t="shared" si="427"/>
        <v/>
      </c>
      <c r="AQ472" s="27" t="str">
        <f t="shared" si="428"/>
        <v/>
      </c>
      <c r="AR472" t="str">
        <f t="shared" si="429"/>
        <v/>
      </c>
      <c r="AS472" t="str">
        <f t="shared" si="430"/>
        <v/>
      </c>
      <c r="AT472" s="28" t="str">
        <f t="shared" si="431"/>
        <v/>
      </c>
    </row>
    <row r="473" spans="5:46" x14ac:dyDescent="0.25">
      <c r="E473" s="24" t="str">
        <f t="shared" si="412"/>
        <v/>
      </c>
      <c r="F473" s="25" t="str">
        <f t="shared" si="413"/>
        <v/>
      </c>
      <c r="G473" s="25" t="str">
        <f t="shared" si="414"/>
        <v/>
      </c>
      <c r="H473" s="26" t="str">
        <f t="shared" si="415"/>
        <v/>
      </c>
      <c r="M473" s="24" t="str">
        <f t="shared" si="416"/>
        <v/>
      </c>
      <c r="N473" s="25" t="str">
        <f t="shared" si="417"/>
        <v/>
      </c>
      <c r="O473" s="25" t="str">
        <f t="shared" si="418"/>
        <v/>
      </c>
      <c r="P473" s="26" t="str">
        <f t="shared" si="419"/>
        <v/>
      </c>
      <c r="X473" s="24" t="str">
        <f t="shared" si="420"/>
        <v/>
      </c>
      <c r="Y473" s="25" t="str">
        <f t="shared" si="421"/>
        <v/>
      </c>
      <c r="Z473" s="25" t="str">
        <f t="shared" si="422"/>
        <v/>
      </c>
      <c r="AA473" s="26" t="str">
        <f t="shared" si="423"/>
        <v/>
      </c>
      <c r="AF473" s="24" t="str">
        <f t="shared" si="424"/>
        <v/>
      </c>
      <c r="AG473" s="25" t="str">
        <f t="shared" si="425"/>
        <v/>
      </c>
      <c r="AH473" s="25" t="str">
        <f t="shared" si="426"/>
        <v/>
      </c>
      <c r="AI473" s="26" t="str">
        <f t="shared" si="427"/>
        <v/>
      </c>
      <c r="AQ473" s="27" t="str">
        <f t="shared" si="428"/>
        <v/>
      </c>
      <c r="AR473" t="str">
        <f t="shared" si="429"/>
        <v/>
      </c>
      <c r="AS473" t="str">
        <f t="shared" si="430"/>
        <v/>
      </c>
      <c r="AT473" s="28" t="str">
        <f t="shared" si="431"/>
        <v/>
      </c>
    </row>
    <row r="474" spans="5:46" x14ac:dyDescent="0.25">
      <c r="E474" s="24" t="str">
        <f t="shared" si="412"/>
        <v/>
      </c>
      <c r="F474" s="25" t="str">
        <f t="shared" si="413"/>
        <v/>
      </c>
      <c r="G474" s="25" t="str">
        <f t="shared" si="414"/>
        <v/>
      </c>
      <c r="H474" s="26" t="str">
        <f t="shared" si="415"/>
        <v/>
      </c>
      <c r="M474" s="24" t="str">
        <f t="shared" si="416"/>
        <v/>
      </c>
      <c r="N474" s="25" t="str">
        <f t="shared" si="417"/>
        <v/>
      </c>
      <c r="O474" s="25" t="str">
        <f t="shared" si="418"/>
        <v/>
      </c>
      <c r="P474" s="26" t="str">
        <f t="shared" si="419"/>
        <v/>
      </c>
      <c r="X474" s="24" t="str">
        <f t="shared" si="420"/>
        <v/>
      </c>
      <c r="Y474" s="25" t="str">
        <f t="shared" si="421"/>
        <v/>
      </c>
      <c r="Z474" s="25" t="str">
        <f t="shared" si="422"/>
        <v/>
      </c>
      <c r="AA474" s="26" t="str">
        <f t="shared" si="423"/>
        <v/>
      </c>
      <c r="AF474" s="24" t="str">
        <f t="shared" si="424"/>
        <v/>
      </c>
      <c r="AG474" s="25" t="str">
        <f t="shared" si="425"/>
        <v/>
      </c>
      <c r="AH474" s="25" t="str">
        <f t="shared" si="426"/>
        <v/>
      </c>
      <c r="AI474" s="26" t="str">
        <f t="shared" si="427"/>
        <v/>
      </c>
      <c r="AQ474" s="27" t="str">
        <f t="shared" si="428"/>
        <v/>
      </c>
      <c r="AR474" t="str">
        <f t="shared" si="429"/>
        <v/>
      </c>
      <c r="AS474" t="str">
        <f t="shared" si="430"/>
        <v/>
      </c>
      <c r="AT474" s="28" t="str">
        <f t="shared" si="431"/>
        <v/>
      </c>
    </row>
    <row r="475" spans="5:46" x14ac:dyDescent="0.25">
      <c r="E475" s="24" t="str">
        <f t="shared" si="412"/>
        <v/>
      </c>
      <c r="F475" s="25" t="str">
        <f t="shared" si="413"/>
        <v/>
      </c>
      <c r="G475" s="25" t="str">
        <f t="shared" si="414"/>
        <v/>
      </c>
      <c r="H475" s="26" t="str">
        <f t="shared" si="415"/>
        <v/>
      </c>
      <c r="M475" s="24" t="str">
        <f t="shared" si="416"/>
        <v/>
      </c>
      <c r="N475" s="25" t="str">
        <f t="shared" si="417"/>
        <v/>
      </c>
      <c r="O475" s="25" t="str">
        <f t="shared" si="418"/>
        <v/>
      </c>
      <c r="P475" s="26" t="str">
        <f t="shared" si="419"/>
        <v/>
      </c>
      <c r="X475" s="24" t="str">
        <f t="shared" si="420"/>
        <v/>
      </c>
      <c r="Y475" s="25" t="str">
        <f t="shared" si="421"/>
        <v/>
      </c>
      <c r="Z475" s="25" t="str">
        <f t="shared" si="422"/>
        <v/>
      </c>
      <c r="AA475" s="26" t="str">
        <f t="shared" si="423"/>
        <v/>
      </c>
      <c r="AF475" s="24" t="str">
        <f t="shared" si="424"/>
        <v/>
      </c>
      <c r="AG475" s="25" t="str">
        <f t="shared" si="425"/>
        <v/>
      </c>
      <c r="AH475" s="25" t="str">
        <f t="shared" si="426"/>
        <v/>
      </c>
      <c r="AI475" s="26" t="str">
        <f t="shared" si="427"/>
        <v/>
      </c>
      <c r="AQ475" s="27" t="str">
        <f t="shared" si="428"/>
        <v/>
      </c>
      <c r="AR475" t="str">
        <f t="shared" si="429"/>
        <v/>
      </c>
      <c r="AS475" t="str">
        <f t="shared" si="430"/>
        <v/>
      </c>
      <c r="AT475" s="28" t="str">
        <f t="shared" si="431"/>
        <v/>
      </c>
    </row>
    <row r="476" spans="5:46" x14ac:dyDescent="0.25">
      <c r="E476" s="24" t="str">
        <f t="shared" si="412"/>
        <v/>
      </c>
      <c r="F476" s="25" t="str">
        <f t="shared" si="413"/>
        <v/>
      </c>
      <c r="G476" s="25" t="str">
        <f t="shared" si="414"/>
        <v/>
      </c>
      <c r="H476" s="26" t="str">
        <f t="shared" si="415"/>
        <v/>
      </c>
      <c r="M476" s="24" t="str">
        <f t="shared" si="416"/>
        <v/>
      </c>
      <c r="N476" s="25" t="str">
        <f t="shared" si="417"/>
        <v/>
      </c>
      <c r="O476" s="25" t="str">
        <f t="shared" si="418"/>
        <v/>
      </c>
      <c r="P476" s="26" t="str">
        <f t="shared" si="419"/>
        <v/>
      </c>
      <c r="X476" s="24" t="str">
        <f t="shared" si="420"/>
        <v/>
      </c>
      <c r="Y476" s="25" t="str">
        <f t="shared" si="421"/>
        <v/>
      </c>
      <c r="Z476" s="25" t="str">
        <f t="shared" si="422"/>
        <v/>
      </c>
      <c r="AA476" s="26" t="str">
        <f t="shared" si="423"/>
        <v/>
      </c>
      <c r="AF476" s="24" t="str">
        <f t="shared" si="424"/>
        <v/>
      </c>
      <c r="AG476" s="25" t="str">
        <f t="shared" si="425"/>
        <v/>
      </c>
      <c r="AH476" s="25" t="str">
        <f t="shared" si="426"/>
        <v/>
      </c>
      <c r="AI476" s="26" t="str">
        <f t="shared" si="427"/>
        <v/>
      </c>
      <c r="AQ476" s="27" t="str">
        <f t="shared" si="428"/>
        <v/>
      </c>
      <c r="AR476" t="str">
        <f t="shared" si="429"/>
        <v/>
      </c>
      <c r="AS476" t="str">
        <f t="shared" si="430"/>
        <v/>
      </c>
      <c r="AT476" s="28" t="str">
        <f t="shared" si="431"/>
        <v/>
      </c>
    </row>
    <row r="477" spans="5:46" x14ac:dyDescent="0.25">
      <c r="E477" s="24" t="str">
        <f t="shared" si="412"/>
        <v/>
      </c>
      <c r="F477" s="25" t="str">
        <f t="shared" si="413"/>
        <v/>
      </c>
      <c r="G477" s="25" t="str">
        <f t="shared" si="414"/>
        <v/>
      </c>
      <c r="H477" s="26" t="str">
        <f t="shared" si="415"/>
        <v/>
      </c>
      <c r="M477" s="24" t="str">
        <f t="shared" si="416"/>
        <v/>
      </c>
      <c r="N477" s="25" t="str">
        <f t="shared" si="417"/>
        <v/>
      </c>
      <c r="O477" s="25" t="str">
        <f t="shared" si="418"/>
        <v/>
      </c>
      <c r="P477" s="26" t="str">
        <f t="shared" si="419"/>
        <v/>
      </c>
      <c r="X477" s="24" t="str">
        <f t="shared" si="420"/>
        <v/>
      </c>
      <c r="Y477" s="25" t="str">
        <f t="shared" si="421"/>
        <v/>
      </c>
      <c r="Z477" s="25" t="str">
        <f t="shared" si="422"/>
        <v/>
      </c>
      <c r="AA477" s="26" t="str">
        <f t="shared" si="423"/>
        <v/>
      </c>
      <c r="AF477" s="24" t="str">
        <f t="shared" si="424"/>
        <v/>
      </c>
      <c r="AG477" s="25" t="str">
        <f t="shared" si="425"/>
        <v/>
      </c>
      <c r="AH477" s="25" t="str">
        <f t="shared" si="426"/>
        <v/>
      </c>
      <c r="AI477" s="26" t="str">
        <f t="shared" si="427"/>
        <v/>
      </c>
      <c r="AQ477" s="27" t="str">
        <f t="shared" si="428"/>
        <v/>
      </c>
      <c r="AR477" t="str">
        <f t="shared" si="429"/>
        <v/>
      </c>
      <c r="AS477" t="str">
        <f t="shared" si="430"/>
        <v/>
      </c>
      <c r="AT477" s="28" t="str">
        <f t="shared" si="431"/>
        <v/>
      </c>
    </row>
    <row r="478" spans="5:46" x14ac:dyDescent="0.25">
      <c r="E478" s="24" t="str">
        <f t="shared" si="412"/>
        <v/>
      </c>
      <c r="F478" s="25" t="str">
        <f t="shared" si="413"/>
        <v/>
      </c>
      <c r="G478" s="25" t="str">
        <f t="shared" si="414"/>
        <v/>
      </c>
      <c r="H478" s="26" t="str">
        <f t="shared" si="415"/>
        <v/>
      </c>
      <c r="M478" s="24" t="str">
        <f t="shared" si="416"/>
        <v/>
      </c>
      <c r="N478" s="25" t="str">
        <f t="shared" si="417"/>
        <v/>
      </c>
      <c r="O478" s="25" t="str">
        <f t="shared" si="418"/>
        <v/>
      </c>
      <c r="P478" s="26" t="str">
        <f t="shared" si="419"/>
        <v/>
      </c>
      <c r="X478" s="24" t="str">
        <f t="shared" si="420"/>
        <v/>
      </c>
      <c r="Y478" s="25" t="str">
        <f t="shared" si="421"/>
        <v/>
      </c>
      <c r="Z478" s="25" t="str">
        <f t="shared" si="422"/>
        <v/>
      </c>
      <c r="AA478" s="26" t="str">
        <f t="shared" si="423"/>
        <v/>
      </c>
      <c r="AF478" s="24" t="str">
        <f t="shared" si="424"/>
        <v/>
      </c>
      <c r="AG478" s="25" t="str">
        <f t="shared" si="425"/>
        <v/>
      </c>
      <c r="AH478" s="25" t="str">
        <f t="shared" si="426"/>
        <v/>
      </c>
      <c r="AI478" s="26" t="str">
        <f t="shared" si="427"/>
        <v/>
      </c>
      <c r="AQ478" s="27" t="str">
        <f t="shared" si="428"/>
        <v/>
      </c>
      <c r="AR478" t="str">
        <f t="shared" si="429"/>
        <v/>
      </c>
      <c r="AS478" t="str">
        <f t="shared" si="430"/>
        <v/>
      </c>
      <c r="AT478" s="28" t="str">
        <f t="shared" si="431"/>
        <v/>
      </c>
    </row>
    <row r="479" spans="5:46" x14ac:dyDescent="0.25">
      <c r="E479" s="24" t="str">
        <f t="shared" si="412"/>
        <v/>
      </c>
      <c r="F479" s="25" t="str">
        <f t="shared" si="413"/>
        <v/>
      </c>
      <c r="G479" s="25" t="str">
        <f t="shared" si="414"/>
        <v/>
      </c>
      <c r="H479" s="26" t="str">
        <f t="shared" si="415"/>
        <v/>
      </c>
      <c r="M479" s="24" t="str">
        <f t="shared" si="416"/>
        <v/>
      </c>
      <c r="N479" s="25" t="str">
        <f t="shared" si="417"/>
        <v/>
      </c>
      <c r="O479" s="25" t="str">
        <f t="shared" si="418"/>
        <v/>
      </c>
      <c r="P479" s="26" t="str">
        <f t="shared" si="419"/>
        <v/>
      </c>
      <c r="X479" s="24" t="str">
        <f t="shared" si="420"/>
        <v/>
      </c>
      <c r="Y479" s="25" t="str">
        <f t="shared" si="421"/>
        <v/>
      </c>
      <c r="Z479" s="25" t="str">
        <f t="shared" si="422"/>
        <v/>
      </c>
      <c r="AA479" s="26" t="str">
        <f t="shared" si="423"/>
        <v/>
      </c>
      <c r="AF479" s="24" t="str">
        <f t="shared" si="424"/>
        <v/>
      </c>
      <c r="AG479" s="25" t="str">
        <f t="shared" si="425"/>
        <v/>
      </c>
      <c r="AH479" s="25" t="str">
        <f t="shared" si="426"/>
        <v/>
      </c>
      <c r="AI479" s="26" t="str">
        <f t="shared" si="427"/>
        <v/>
      </c>
      <c r="AQ479" s="27" t="str">
        <f t="shared" si="428"/>
        <v/>
      </c>
      <c r="AR479" t="str">
        <f t="shared" si="429"/>
        <v/>
      </c>
      <c r="AS479" t="str">
        <f t="shared" si="430"/>
        <v/>
      </c>
      <c r="AT479" s="28" t="str">
        <f t="shared" si="431"/>
        <v/>
      </c>
    </row>
    <row r="480" spans="5:46" x14ac:dyDescent="0.25">
      <c r="E480" s="24" t="str">
        <f t="shared" si="412"/>
        <v/>
      </c>
      <c r="F480" s="25" t="str">
        <f t="shared" si="413"/>
        <v/>
      </c>
      <c r="G480" s="25" t="str">
        <f t="shared" si="414"/>
        <v/>
      </c>
      <c r="H480" s="26" t="str">
        <f t="shared" si="415"/>
        <v/>
      </c>
      <c r="M480" s="24" t="str">
        <f t="shared" si="416"/>
        <v/>
      </c>
      <c r="N480" s="25" t="str">
        <f t="shared" si="417"/>
        <v/>
      </c>
      <c r="O480" s="25" t="str">
        <f t="shared" si="418"/>
        <v/>
      </c>
      <c r="P480" s="26" t="str">
        <f t="shared" si="419"/>
        <v/>
      </c>
      <c r="X480" s="24" t="str">
        <f t="shared" si="420"/>
        <v/>
      </c>
      <c r="Y480" s="25" t="str">
        <f t="shared" si="421"/>
        <v/>
      </c>
      <c r="Z480" s="25" t="str">
        <f t="shared" si="422"/>
        <v/>
      </c>
      <c r="AA480" s="26" t="str">
        <f t="shared" si="423"/>
        <v/>
      </c>
      <c r="AF480" s="24" t="str">
        <f t="shared" si="424"/>
        <v/>
      </c>
      <c r="AG480" s="25" t="str">
        <f t="shared" si="425"/>
        <v/>
      </c>
      <c r="AH480" s="25" t="str">
        <f t="shared" si="426"/>
        <v/>
      </c>
      <c r="AI480" s="26" t="str">
        <f t="shared" si="427"/>
        <v/>
      </c>
      <c r="AQ480" s="27" t="str">
        <f t="shared" si="428"/>
        <v/>
      </c>
      <c r="AR480" t="str">
        <f t="shared" si="429"/>
        <v/>
      </c>
      <c r="AS480" t="str">
        <f t="shared" si="430"/>
        <v/>
      </c>
      <c r="AT480" s="28" t="str">
        <f t="shared" si="431"/>
        <v/>
      </c>
    </row>
    <row r="481" spans="5:46" x14ac:dyDescent="0.25">
      <c r="E481" s="24" t="str">
        <f t="shared" si="412"/>
        <v/>
      </c>
      <c r="F481" s="25" t="str">
        <f t="shared" si="413"/>
        <v/>
      </c>
      <c r="G481" s="25" t="str">
        <f t="shared" si="414"/>
        <v/>
      </c>
      <c r="H481" s="26" t="str">
        <f t="shared" si="415"/>
        <v/>
      </c>
      <c r="M481" s="24" t="str">
        <f t="shared" si="416"/>
        <v/>
      </c>
      <c r="N481" s="25" t="str">
        <f t="shared" si="417"/>
        <v/>
      </c>
      <c r="O481" s="25" t="str">
        <f t="shared" si="418"/>
        <v/>
      </c>
      <c r="P481" s="26" t="str">
        <f t="shared" si="419"/>
        <v/>
      </c>
      <c r="X481" s="24" t="str">
        <f t="shared" si="420"/>
        <v/>
      </c>
      <c r="Y481" s="25" t="str">
        <f t="shared" si="421"/>
        <v/>
      </c>
      <c r="Z481" s="25" t="str">
        <f t="shared" si="422"/>
        <v/>
      </c>
      <c r="AA481" s="26" t="str">
        <f t="shared" si="423"/>
        <v/>
      </c>
      <c r="AF481" s="24" t="str">
        <f t="shared" si="424"/>
        <v/>
      </c>
      <c r="AG481" s="25" t="str">
        <f t="shared" si="425"/>
        <v/>
      </c>
      <c r="AH481" s="25" t="str">
        <f t="shared" si="426"/>
        <v/>
      </c>
      <c r="AI481" s="26" t="str">
        <f t="shared" si="427"/>
        <v/>
      </c>
      <c r="AQ481" s="27" t="str">
        <f t="shared" si="428"/>
        <v/>
      </c>
      <c r="AR481" t="str">
        <f t="shared" si="429"/>
        <v/>
      </c>
      <c r="AS481" t="str">
        <f t="shared" si="430"/>
        <v/>
      </c>
      <c r="AT481" s="28" t="str">
        <f t="shared" si="431"/>
        <v/>
      </c>
    </row>
    <row r="482" spans="5:46" x14ac:dyDescent="0.25">
      <c r="E482" s="24" t="str">
        <f t="shared" si="412"/>
        <v/>
      </c>
      <c r="F482" s="25" t="str">
        <f t="shared" si="413"/>
        <v/>
      </c>
      <c r="G482" s="25" t="str">
        <f t="shared" si="414"/>
        <v/>
      </c>
      <c r="H482" s="26" t="str">
        <f t="shared" si="415"/>
        <v/>
      </c>
      <c r="M482" s="24" t="str">
        <f t="shared" si="416"/>
        <v/>
      </c>
      <c r="N482" s="25" t="str">
        <f t="shared" si="417"/>
        <v/>
      </c>
      <c r="O482" s="25" t="str">
        <f t="shared" si="418"/>
        <v/>
      </c>
      <c r="P482" s="26" t="str">
        <f t="shared" si="419"/>
        <v/>
      </c>
      <c r="X482" s="24" t="str">
        <f t="shared" si="420"/>
        <v/>
      </c>
      <c r="Y482" s="25" t="str">
        <f t="shared" si="421"/>
        <v/>
      </c>
      <c r="Z482" s="25" t="str">
        <f t="shared" si="422"/>
        <v/>
      </c>
      <c r="AA482" s="26" t="str">
        <f t="shared" si="423"/>
        <v/>
      </c>
      <c r="AF482" s="24" t="str">
        <f t="shared" si="424"/>
        <v/>
      </c>
      <c r="AG482" s="25" t="str">
        <f t="shared" si="425"/>
        <v/>
      </c>
      <c r="AH482" s="25" t="str">
        <f t="shared" si="426"/>
        <v/>
      </c>
      <c r="AI482" s="26" t="str">
        <f t="shared" si="427"/>
        <v/>
      </c>
      <c r="AQ482" s="27" t="str">
        <f t="shared" si="428"/>
        <v/>
      </c>
      <c r="AR482" t="str">
        <f t="shared" si="429"/>
        <v/>
      </c>
      <c r="AS482" t="str">
        <f t="shared" si="430"/>
        <v/>
      </c>
      <c r="AT482" s="28" t="str">
        <f t="shared" si="431"/>
        <v/>
      </c>
    </row>
    <row r="483" spans="5:46" x14ac:dyDescent="0.25">
      <c r="E483" s="24" t="str">
        <f t="shared" si="412"/>
        <v/>
      </c>
      <c r="F483" s="25" t="str">
        <f t="shared" si="413"/>
        <v/>
      </c>
      <c r="G483" s="25" t="str">
        <f t="shared" si="414"/>
        <v/>
      </c>
      <c r="H483" s="26" t="str">
        <f t="shared" si="415"/>
        <v/>
      </c>
      <c r="M483" s="24" t="str">
        <f t="shared" si="416"/>
        <v/>
      </c>
      <c r="N483" s="25" t="str">
        <f t="shared" si="417"/>
        <v/>
      </c>
      <c r="O483" s="25" t="str">
        <f t="shared" si="418"/>
        <v/>
      </c>
      <c r="P483" s="26" t="str">
        <f t="shared" si="419"/>
        <v/>
      </c>
      <c r="X483" s="24" t="str">
        <f t="shared" si="420"/>
        <v/>
      </c>
      <c r="Y483" s="25" t="str">
        <f t="shared" si="421"/>
        <v/>
      </c>
      <c r="Z483" s="25" t="str">
        <f t="shared" si="422"/>
        <v/>
      </c>
      <c r="AA483" s="26" t="str">
        <f t="shared" si="423"/>
        <v/>
      </c>
      <c r="AF483" s="24" t="str">
        <f t="shared" si="424"/>
        <v/>
      </c>
      <c r="AG483" s="25" t="str">
        <f t="shared" si="425"/>
        <v/>
      </c>
      <c r="AH483" s="25" t="str">
        <f t="shared" si="426"/>
        <v/>
      </c>
      <c r="AI483" s="26" t="str">
        <f t="shared" si="427"/>
        <v/>
      </c>
      <c r="AQ483" s="27" t="str">
        <f t="shared" si="428"/>
        <v/>
      </c>
      <c r="AR483" t="str">
        <f t="shared" si="429"/>
        <v/>
      </c>
      <c r="AS483" t="str">
        <f t="shared" si="430"/>
        <v/>
      </c>
      <c r="AT483" s="28" t="str">
        <f t="shared" si="431"/>
        <v/>
      </c>
    </row>
    <row r="484" spans="5:46" x14ac:dyDescent="0.25">
      <c r="E484" s="24" t="str">
        <f t="shared" si="412"/>
        <v/>
      </c>
      <c r="F484" s="25" t="str">
        <f t="shared" si="413"/>
        <v/>
      </c>
      <c r="G484" s="25" t="str">
        <f t="shared" si="414"/>
        <v/>
      </c>
      <c r="H484" s="26" t="str">
        <f t="shared" si="415"/>
        <v/>
      </c>
      <c r="M484" s="24" t="str">
        <f t="shared" si="416"/>
        <v/>
      </c>
      <c r="N484" s="25" t="str">
        <f t="shared" si="417"/>
        <v/>
      </c>
      <c r="O484" s="25" t="str">
        <f t="shared" si="418"/>
        <v/>
      </c>
      <c r="P484" s="26" t="str">
        <f t="shared" si="419"/>
        <v/>
      </c>
      <c r="X484" s="24" t="str">
        <f t="shared" si="420"/>
        <v/>
      </c>
      <c r="Y484" s="25" t="str">
        <f t="shared" si="421"/>
        <v/>
      </c>
      <c r="Z484" s="25" t="str">
        <f t="shared" si="422"/>
        <v/>
      </c>
      <c r="AA484" s="26" t="str">
        <f t="shared" si="423"/>
        <v/>
      </c>
      <c r="AF484" s="24" t="str">
        <f t="shared" si="424"/>
        <v/>
      </c>
      <c r="AG484" s="25" t="str">
        <f t="shared" si="425"/>
        <v/>
      </c>
      <c r="AH484" s="25" t="str">
        <f t="shared" si="426"/>
        <v/>
      </c>
      <c r="AI484" s="26" t="str">
        <f t="shared" si="427"/>
        <v/>
      </c>
      <c r="AQ484" s="27" t="str">
        <f t="shared" si="428"/>
        <v/>
      </c>
      <c r="AR484" t="str">
        <f t="shared" si="429"/>
        <v/>
      </c>
      <c r="AS484" t="str">
        <f t="shared" si="430"/>
        <v/>
      </c>
      <c r="AT484" s="28" t="str">
        <f t="shared" si="431"/>
        <v/>
      </c>
    </row>
    <row r="485" spans="5:46" x14ac:dyDescent="0.25">
      <c r="E485" s="24" t="str">
        <f t="shared" si="412"/>
        <v/>
      </c>
      <c r="F485" s="25" t="str">
        <f t="shared" si="413"/>
        <v/>
      </c>
      <c r="G485" s="25" t="str">
        <f t="shared" si="414"/>
        <v/>
      </c>
      <c r="H485" s="26" t="str">
        <f t="shared" si="415"/>
        <v/>
      </c>
      <c r="M485" s="24" t="str">
        <f t="shared" si="416"/>
        <v/>
      </c>
      <c r="N485" s="25" t="str">
        <f t="shared" si="417"/>
        <v/>
      </c>
      <c r="O485" s="25" t="str">
        <f t="shared" si="418"/>
        <v/>
      </c>
      <c r="P485" s="26" t="str">
        <f t="shared" si="419"/>
        <v/>
      </c>
      <c r="X485" s="24" t="str">
        <f t="shared" si="420"/>
        <v/>
      </c>
      <c r="Y485" s="25" t="str">
        <f t="shared" si="421"/>
        <v/>
      </c>
      <c r="Z485" s="25" t="str">
        <f t="shared" si="422"/>
        <v/>
      </c>
      <c r="AA485" s="26" t="str">
        <f t="shared" si="423"/>
        <v/>
      </c>
      <c r="AF485" s="24" t="str">
        <f t="shared" si="424"/>
        <v/>
      </c>
      <c r="AG485" s="25" t="str">
        <f t="shared" si="425"/>
        <v/>
      </c>
      <c r="AH485" s="25" t="str">
        <f t="shared" si="426"/>
        <v/>
      </c>
      <c r="AI485" s="26" t="str">
        <f t="shared" si="427"/>
        <v/>
      </c>
      <c r="AQ485" s="27" t="str">
        <f t="shared" si="428"/>
        <v/>
      </c>
      <c r="AR485" t="str">
        <f t="shared" si="429"/>
        <v/>
      </c>
      <c r="AS485" t="str">
        <f t="shared" si="430"/>
        <v/>
      </c>
      <c r="AT485" s="28" t="str">
        <f t="shared" si="431"/>
        <v/>
      </c>
    </row>
    <row r="486" spans="5:46" x14ac:dyDescent="0.25">
      <c r="E486" s="24" t="str">
        <f t="shared" si="412"/>
        <v/>
      </c>
      <c r="F486" s="25" t="str">
        <f t="shared" si="413"/>
        <v/>
      </c>
      <c r="G486" s="25" t="str">
        <f t="shared" si="414"/>
        <v/>
      </c>
      <c r="H486" s="26" t="str">
        <f t="shared" si="415"/>
        <v/>
      </c>
      <c r="M486" s="24" t="str">
        <f t="shared" si="416"/>
        <v/>
      </c>
      <c r="N486" s="25" t="str">
        <f t="shared" si="417"/>
        <v/>
      </c>
      <c r="O486" s="25" t="str">
        <f t="shared" si="418"/>
        <v/>
      </c>
      <c r="P486" s="26" t="str">
        <f t="shared" si="419"/>
        <v/>
      </c>
      <c r="X486" s="24" t="str">
        <f t="shared" si="420"/>
        <v/>
      </c>
      <c r="Y486" s="25" t="str">
        <f t="shared" si="421"/>
        <v/>
      </c>
      <c r="Z486" s="25" t="str">
        <f t="shared" si="422"/>
        <v/>
      </c>
      <c r="AA486" s="26" t="str">
        <f t="shared" si="423"/>
        <v/>
      </c>
      <c r="AF486" s="24" t="str">
        <f t="shared" si="424"/>
        <v/>
      </c>
      <c r="AG486" s="25" t="str">
        <f t="shared" si="425"/>
        <v/>
      </c>
      <c r="AH486" s="25" t="str">
        <f t="shared" si="426"/>
        <v/>
      </c>
      <c r="AI486" s="26" t="str">
        <f t="shared" si="427"/>
        <v/>
      </c>
      <c r="AQ486" s="27" t="str">
        <f t="shared" si="428"/>
        <v/>
      </c>
      <c r="AR486" t="str">
        <f t="shared" si="429"/>
        <v/>
      </c>
      <c r="AS486" t="str">
        <f t="shared" si="430"/>
        <v/>
      </c>
      <c r="AT486" s="28" t="str">
        <f t="shared" si="431"/>
        <v/>
      </c>
    </row>
    <row r="487" spans="5:46" x14ac:dyDescent="0.25">
      <c r="E487" s="24" t="str">
        <f t="shared" si="412"/>
        <v/>
      </c>
      <c r="F487" s="25" t="str">
        <f t="shared" si="413"/>
        <v/>
      </c>
      <c r="G487" s="25" t="str">
        <f t="shared" si="414"/>
        <v/>
      </c>
      <c r="H487" s="26" t="str">
        <f t="shared" si="415"/>
        <v/>
      </c>
      <c r="M487" s="24" t="str">
        <f t="shared" si="416"/>
        <v/>
      </c>
      <c r="N487" s="25" t="str">
        <f t="shared" si="417"/>
        <v/>
      </c>
      <c r="O487" s="25" t="str">
        <f t="shared" si="418"/>
        <v/>
      </c>
      <c r="P487" s="26" t="str">
        <f t="shared" si="419"/>
        <v/>
      </c>
      <c r="X487" s="24" t="str">
        <f t="shared" si="420"/>
        <v/>
      </c>
      <c r="Y487" s="25" t="str">
        <f t="shared" si="421"/>
        <v/>
      </c>
      <c r="Z487" s="25" t="str">
        <f t="shared" si="422"/>
        <v/>
      </c>
      <c r="AA487" s="26" t="str">
        <f t="shared" si="423"/>
        <v/>
      </c>
      <c r="AF487" s="24" t="str">
        <f t="shared" si="424"/>
        <v/>
      </c>
      <c r="AG487" s="25" t="str">
        <f t="shared" si="425"/>
        <v/>
      </c>
      <c r="AH487" s="25" t="str">
        <f t="shared" si="426"/>
        <v/>
      </c>
      <c r="AI487" s="26" t="str">
        <f t="shared" si="427"/>
        <v/>
      </c>
      <c r="AQ487" s="27" t="str">
        <f t="shared" si="428"/>
        <v/>
      </c>
      <c r="AR487" t="str">
        <f t="shared" si="429"/>
        <v/>
      </c>
      <c r="AS487" t="str">
        <f t="shared" si="430"/>
        <v/>
      </c>
      <c r="AT487" s="28" t="str">
        <f t="shared" si="431"/>
        <v/>
      </c>
    </row>
    <row r="488" spans="5:46" x14ac:dyDescent="0.25">
      <c r="E488" s="24" t="str">
        <f t="shared" si="412"/>
        <v/>
      </c>
      <c r="F488" s="25" t="str">
        <f t="shared" si="413"/>
        <v/>
      </c>
      <c r="G488" s="25" t="str">
        <f t="shared" si="414"/>
        <v/>
      </c>
      <c r="H488" s="26" t="str">
        <f t="shared" si="415"/>
        <v/>
      </c>
      <c r="M488" s="24" t="str">
        <f t="shared" si="416"/>
        <v/>
      </c>
      <c r="N488" s="25" t="str">
        <f t="shared" si="417"/>
        <v/>
      </c>
      <c r="O488" s="25" t="str">
        <f t="shared" si="418"/>
        <v/>
      </c>
      <c r="P488" s="26" t="str">
        <f t="shared" si="419"/>
        <v/>
      </c>
      <c r="X488" s="24" t="str">
        <f t="shared" si="420"/>
        <v/>
      </c>
      <c r="Y488" s="25" t="str">
        <f t="shared" si="421"/>
        <v/>
      </c>
      <c r="Z488" s="25" t="str">
        <f t="shared" si="422"/>
        <v/>
      </c>
      <c r="AA488" s="26" t="str">
        <f t="shared" si="423"/>
        <v/>
      </c>
      <c r="AF488" s="24" t="str">
        <f t="shared" si="424"/>
        <v/>
      </c>
      <c r="AG488" s="25" t="str">
        <f t="shared" si="425"/>
        <v/>
      </c>
      <c r="AH488" s="25" t="str">
        <f t="shared" si="426"/>
        <v/>
      </c>
      <c r="AI488" s="26" t="str">
        <f t="shared" si="427"/>
        <v/>
      </c>
      <c r="AQ488" s="27" t="str">
        <f t="shared" si="428"/>
        <v/>
      </c>
      <c r="AR488" t="str">
        <f t="shared" si="429"/>
        <v/>
      </c>
      <c r="AS488" t="str">
        <f t="shared" si="430"/>
        <v/>
      </c>
      <c r="AT488" s="28" t="str">
        <f t="shared" si="431"/>
        <v/>
      </c>
    </row>
    <row r="489" spans="5:46" x14ac:dyDescent="0.25">
      <c r="E489" s="24" t="str">
        <f t="shared" si="412"/>
        <v/>
      </c>
      <c r="F489" s="25" t="str">
        <f t="shared" si="413"/>
        <v/>
      </c>
      <c r="G489" s="25" t="str">
        <f t="shared" si="414"/>
        <v/>
      </c>
      <c r="H489" s="26" t="str">
        <f t="shared" si="415"/>
        <v/>
      </c>
      <c r="M489" s="24" t="str">
        <f t="shared" si="416"/>
        <v/>
      </c>
      <c r="N489" s="25" t="str">
        <f t="shared" si="417"/>
        <v/>
      </c>
      <c r="O489" s="25" t="str">
        <f t="shared" si="418"/>
        <v/>
      </c>
      <c r="P489" s="26" t="str">
        <f t="shared" si="419"/>
        <v/>
      </c>
      <c r="X489" s="24" t="str">
        <f t="shared" si="420"/>
        <v/>
      </c>
      <c r="Y489" s="25" t="str">
        <f t="shared" si="421"/>
        <v/>
      </c>
      <c r="Z489" s="25" t="str">
        <f t="shared" si="422"/>
        <v/>
      </c>
      <c r="AA489" s="26" t="str">
        <f t="shared" si="423"/>
        <v/>
      </c>
      <c r="AF489" s="24" t="str">
        <f t="shared" si="424"/>
        <v/>
      </c>
      <c r="AG489" s="25" t="str">
        <f t="shared" si="425"/>
        <v/>
      </c>
      <c r="AH489" s="25" t="str">
        <f t="shared" si="426"/>
        <v/>
      </c>
      <c r="AI489" s="26" t="str">
        <f t="shared" si="427"/>
        <v/>
      </c>
      <c r="AQ489" s="27" t="str">
        <f t="shared" si="428"/>
        <v/>
      </c>
      <c r="AR489" t="str">
        <f t="shared" si="429"/>
        <v/>
      </c>
      <c r="AS489" t="str">
        <f t="shared" si="430"/>
        <v/>
      </c>
      <c r="AT489" s="28" t="str">
        <f t="shared" si="431"/>
        <v/>
      </c>
    </row>
    <row r="490" spans="5:46" x14ac:dyDescent="0.25">
      <c r="E490" s="24" t="str">
        <f t="shared" si="412"/>
        <v/>
      </c>
      <c r="F490" s="25" t="str">
        <f t="shared" si="413"/>
        <v/>
      </c>
      <c r="G490" s="25" t="str">
        <f t="shared" si="414"/>
        <v/>
      </c>
      <c r="H490" s="26" t="str">
        <f t="shared" si="415"/>
        <v/>
      </c>
      <c r="M490" s="24" t="str">
        <f t="shared" si="416"/>
        <v/>
      </c>
      <c r="N490" s="25" t="str">
        <f t="shared" si="417"/>
        <v/>
      </c>
      <c r="O490" s="25" t="str">
        <f t="shared" si="418"/>
        <v/>
      </c>
      <c r="P490" s="26" t="str">
        <f t="shared" si="419"/>
        <v/>
      </c>
      <c r="X490" s="24" t="str">
        <f t="shared" si="420"/>
        <v/>
      </c>
      <c r="Y490" s="25" t="str">
        <f t="shared" si="421"/>
        <v/>
      </c>
      <c r="Z490" s="25" t="str">
        <f t="shared" si="422"/>
        <v/>
      </c>
      <c r="AA490" s="26" t="str">
        <f t="shared" si="423"/>
        <v/>
      </c>
      <c r="AF490" s="24" t="str">
        <f t="shared" si="424"/>
        <v/>
      </c>
      <c r="AG490" s="25" t="str">
        <f t="shared" si="425"/>
        <v/>
      </c>
      <c r="AH490" s="25" t="str">
        <f t="shared" si="426"/>
        <v/>
      </c>
      <c r="AI490" s="26" t="str">
        <f t="shared" si="427"/>
        <v/>
      </c>
      <c r="AQ490" s="27" t="str">
        <f t="shared" si="428"/>
        <v/>
      </c>
      <c r="AR490" t="str">
        <f t="shared" si="429"/>
        <v/>
      </c>
      <c r="AS490" t="str">
        <f t="shared" si="430"/>
        <v/>
      </c>
      <c r="AT490" s="28" t="str">
        <f t="shared" si="431"/>
        <v/>
      </c>
    </row>
    <row r="491" spans="5:46" x14ac:dyDescent="0.25">
      <c r="E491" s="24" t="str">
        <f t="shared" si="412"/>
        <v/>
      </c>
      <c r="F491" s="25" t="str">
        <f t="shared" si="413"/>
        <v/>
      </c>
      <c r="G491" s="25" t="str">
        <f t="shared" si="414"/>
        <v/>
      </c>
      <c r="H491" s="26" t="str">
        <f t="shared" si="415"/>
        <v/>
      </c>
      <c r="M491" s="24" t="str">
        <f t="shared" si="416"/>
        <v/>
      </c>
      <c r="N491" s="25" t="str">
        <f t="shared" si="417"/>
        <v/>
      </c>
      <c r="O491" s="25" t="str">
        <f t="shared" si="418"/>
        <v/>
      </c>
      <c r="P491" s="26" t="str">
        <f t="shared" si="419"/>
        <v/>
      </c>
      <c r="X491" s="24" t="str">
        <f t="shared" si="420"/>
        <v/>
      </c>
      <c r="Y491" s="25" t="str">
        <f t="shared" si="421"/>
        <v/>
      </c>
      <c r="Z491" s="25" t="str">
        <f t="shared" si="422"/>
        <v/>
      </c>
      <c r="AA491" s="26" t="str">
        <f t="shared" si="423"/>
        <v/>
      </c>
      <c r="AF491" s="24" t="str">
        <f t="shared" si="424"/>
        <v/>
      </c>
      <c r="AG491" s="25" t="str">
        <f t="shared" si="425"/>
        <v/>
      </c>
      <c r="AH491" s="25" t="str">
        <f t="shared" si="426"/>
        <v/>
      </c>
      <c r="AI491" s="26" t="str">
        <f t="shared" si="427"/>
        <v/>
      </c>
      <c r="AQ491" s="27" t="str">
        <f t="shared" si="428"/>
        <v/>
      </c>
      <c r="AR491" t="str">
        <f t="shared" si="429"/>
        <v/>
      </c>
      <c r="AS491" t="str">
        <f t="shared" si="430"/>
        <v/>
      </c>
      <c r="AT491" s="28" t="str">
        <f t="shared" si="431"/>
        <v/>
      </c>
    </row>
    <row r="492" spans="5:46" x14ac:dyDescent="0.25">
      <c r="E492" s="24" t="str">
        <f t="shared" si="412"/>
        <v/>
      </c>
      <c r="F492" s="25" t="str">
        <f t="shared" si="413"/>
        <v/>
      </c>
      <c r="G492" s="25" t="str">
        <f t="shared" si="414"/>
        <v/>
      </c>
      <c r="H492" s="26" t="str">
        <f t="shared" si="415"/>
        <v/>
      </c>
      <c r="M492" s="24" t="str">
        <f t="shared" si="416"/>
        <v/>
      </c>
      <c r="N492" s="25" t="str">
        <f t="shared" si="417"/>
        <v/>
      </c>
      <c r="O492" s="25" t="str">
        <f t="shared" si="418"/>
        <v/>
      </c>
      <c r="P492" s="26" t="str">
        <f t="shared" si="419"/>
        <v/>
      </c>
      <c r="X492" s="24" t="str">
        <f t="shared" si="420"/>
        <v/>
      </c>
      <c r="Y492" s="25" t="str">
        <f t="shared" si="421"/>
        <v/>
      </c>
      <c r="Z492" s="25" t="str">
        <f t="shared" si="422"/>
        <v/>
      </c>
      <c r="AA492" s="26" t="str">
        <f t="shared" si="423"/>
        <v/>
      </c>
      <c r="AF492" s="24" t="str">
        <f t="shared" si="424"/>
        <v/>
      </c>
      <c r="AG492" s="25" t="str">
        <f t="shared" si="425"/>
        <v/>
      </c>
      <c r="AH492" s="25" t="str">
        <f t="shared" si="426"/>
        <v/>
      </c>
      <c r="AI492" s="26" t="str">
        <f t="shared" si="427"/>
        <v/>
      </c>
      <c r="AQ492" s="27" t="str">
        <f t="shared" si="428"/>
        <v/>
      </c>
      <c r="AR492" t="str">
        <f t="shared" si="429"/>
        <v/>
      </c>
      <c r="AS492" t="str">
        <f t="shared" si="430"/>
        <v/>
      </c>
      <c r="AT492" s="28" t="str">
        <f t="shared" si="431"/>
        <v/>
      </c>
    </row>
    <row r="493" spans="5:46" x14ac:dyDescent="0.25">
      <c r="E493" s="24" t="str">
        <f t="shared" si="412"/>
        <v/>
      </c>
      <c r="F493" s="25" t="str">
        <f t="shared" si="413"/>
        <v/>
      </c>
      <c r="G493" s="25" t="str">
        <f t="shared" si="414"/>
        <v/>
      </c>
      <c r="H493" s="26" t="str">
        <f t="shared" si="415"/>
        <v/>
      </c>
      <c r="M493" s="24" t="str">
        <f t="shared" si="416"/>
        <v/>
      </c>
      <c r="N493" s="25" t="str">
        <f t="shared" si="417"/>
        <v/>
      </c>
      <c r="O493" s="25" t="str">
        <f t="shared" si="418"/>
        <v/>
      </c>
      <c r="P493" s="26" t="str">
        <f t="shared" si="419"/>
        <v/>
      </c>
      <c r="X493" s="24" t="str">
        <f t="shared" si="420"/>
        <v/>
      </c>
      <c r="Y493" s="25" t="str">
        <f t="shared" si="421"/>
        <v/>
      </c>
      <c r="Z493" s="25" t="str">
        <f t="shared" si="422"/>
        <v/>
      </c>
      <c r="AA493" s="26" t="str">
        <f t="shared" si="423"/>
        <v/>
      </c>
      <c r="AF493" s="24" t="str">
        <f t="shared" si="424"/>
        <v/>
      </c>
      <c r="AG493" s="25" t="str">
        <f t="shared" si="425"/>
        <v/>
      </c>
      <c r="AH493" s="25" t="str">
        <f t="shared" si="426"/>
        <v/>
      </c>
      <c r="AI493" s="26" t="str">
        <f t="shared" si="427"/>
        <v/>
      </c>
      <c r="AQ493" s="27" t="str">
        <f t="shared" si="428"/>
        <v/>
      </c>
      <c r="AR493" t="str">
        <f t="shared" si="429"/>
        <v/>
      </c>
      <c r="AS493" t="str">
        <f t="shared" si="430"/>
        <v/>
      </c>
      <c r="AT493" s="28" t="str">
        <f t="shared" si="431"/>
        <v/>
      </c>
    </row>
    <row r="494" spans="5:46" x14ac:dyDescent="0.25">
      <c r="E494" s="24" t="str">
        <f t="shared" si="412"/>
        <v/>
      </c>
      <c r="F494" s="25" t="str">
        <f t="shared" si="413"/>
        <v/>
      </c>
      <c r="G494" s="25" t="str">
        <f t="shared" si="414"/>
        <v/>
      </c>
      <c r="H494" s="26" t="str">
        <f t="shared" si="415"/>
        <v/>
      </c>
      <c r="M494" s="24" t="str">
        <f t="shared" si="416"/>
        <v/>
      </c>
      <c r="N494" s="25" t="str">
        <f t="shared" si="417"/>
        <v/>
      </c>
      <c r="O494" s="25" t="str">
        <f t="shared" si="418"/>
        <v/>
      </c>
      <c r="P494" s="26" t="str">
        <f t="shared" si="419"/>
        <v/>
      </c>
      <c r="X494" s="24" t="str">
        <f t="shared" si="420"/>
        <v/>
      </c>
      <c r="Y494" s="25" t="str">
        <f t="shared" si="421"/>
        <v/>
      </c>
      <c r="Z494" s="25" t="str">
        <f t="shared" si="422"/>
        <v/>
      </c>
      <c r="AA494" s="26" t="str">
        <f t="shared" si="423"/>
        <v/>
      </c>
      <c r="AF494" s="24" t="str">
        <f t="shared" si="424"/>
        <v/>
      </c>
      <c r="AG494" s="25" t="str">
        <f t="shared" si="425"/>
        <v/>
      </c>
      <c r="AH494" s="25" t="str">
        <f t="shared" si="426"/>
        <v/>
      </c>
      <c r="AI494" s="26" t="str">
        <f t="shared" si="427"/>
        <v/>
      </c>
      <c r="AQ494" s="27" t="str">
        <f t="shared" si="428"/>
        <v/>
      </c>
      <c r="AR494" t="str">
        <f t="shared" si="429"/>
        <v/>
      </c>
      <c r="AS494" t="str">
        <f t="shared" si="430"/>
        <v/>
      </c>
      <c r="AT494" s="28" t="str">
        <f t="shared" si="431"/>
        <v/>
      </c>
    </row>
    <row r="495" spans="5:46" x14ac:dyDescent="0.25">
      <c r="E495" s="24" t="str">
        <f t="shared" si="412"/>
        <v/>
      </c>
      <c r="F495" s="25" t="str">
        <f t="shared" si="413"/>
        <v/>
      </c>
      <c r="G495" s="25" t="str">
        <f t="shared" si="414"/>
        <v/>
      </c>
      <c r="H495" s="26" t="str">
        <f t="shared" si="415"/>
        <v/>
      </c>
      <c r="M495" s="24" t="str">
        <f t="shared" si="416"/>
        <v/>
      </c>
      <c r="N495" s="25" t="str">
        <f t="shared" si="417"/>
        <v/>
      </c>
      <c r="O495" s="25" t="str">
        <f t="shared" si="418"/>
        <v/>
      </c>
      <c r="P495" s="26" t="str">
        <f t="shared" si="419"/>
        <v/>
      </c>
      <c r="X495" s="24" t="str">
        <f t="shared" si="420"/>
        <v/>
      </c>
      <c r="Y495" s="25" t="str">
        <f t="shared" si="421"/>
        <v/>
      </c>
      <c r="Z495" s="25" t="str">
        <f t="shared" si="422"/>
        <v/>
      </c>
      <c r="AA495" s="26" t="str">
        <f t="shared" si="423"/>
        <v/>
      </c>
      <c r="AF495" s="24" t="str">
        <f t="shared" si="424"/>
        <v/>
      </c>
      <c r="AG495" s="25" t="str">
        <f t="shared" si="425"/>
        <v/>
      </c>
      <c r="AH495" s="25" t="str">
        <f t="shared" si="426"/>
        <v/>
      </c>
      <c r="AI495" s="26" t="str">
        <f t="shared" si="427"/>
        <v/>
      </c>
      <c r="AQ495" s="27" t="str">
        <f t="shared" si="428"/>
        <v/>
      </c>
      <c r="AR495" t="str">
        <f t="shared" si="429"/>
        <v/>
      </c>
      <c r="AS495" t="str">
        <f t="shared" si="430"/>
        <v/>
      </c>
      <c r="AT495" s="28" t="str">
        <f t="shared" si="431"/>
        <v/>
      </c>
    </row>
    <row r="496" spans="5:46" x14ac:dyDescent="0.25">
      <c r="E496" s="24" t="str">
        <f t="shared" si="412"/>
        <v/>
      </c>
      <c r="F496" s="25" t="str">
        <f t="shared" si="413"/>
        <v/>
      </c>
      <c r="G496" s="25" t="str">
        <f t="shared" si="414"/>
        <v/>
      </c>
      <c r="H496" s="26" t="str">
        <f t="shared" si="415"/>
        <v/>
      </c>
      <c r="M496" s="24" t="str">
        <f t="shared" si="416"/>
        <v/>
      </c>
      <c r="N496" s="25" t="str">
        <f t="shared" si="417"/>
        <v/>
      </c>
      <c r="O496" s="25" t="str">
        <f t="shared" si="418"/>
        <v/>
      </c>
      <c r="P496" s="26" t="str">
        <f t="shared" si="419"/>
        <v/>
      </c>
      <c r="X496" s="24" t="str">
        <f t="shared" si="420"/>
        <v/>
      </c>
      <c r="Y496" s="25" t="str">
        <f t="shared" si="421"/>
        <v/>
      </c>
      <c r="Z496" s="25" t="str">
        <f t="shared" si="422"/>
        <v/>
      </c>
      <c r="AA496" s="26" t="str">
        <f t="shared" si="423"/>
        <v/>
      </c>
      <c r="AF496" s="24" t="str">
        <f t="shared" si="424"/>
        <v/>
      </c>
      <c r="AG496" s="25" t="str">
        <f t="shared" si="425"/>
        <v/>
      </c>
      <c r="AH496" s="25" t="str">
        <f t="shared" si="426"/>
        <v/>
      </c>
      <c r="AI496" s="26" t="str">
        <f t="shared" si="427"/>
        <v/>
      </c>
      <c r="AQ496" s="27" t="str">
        <f t="shared" si="428"/>
        <v/>
      </c>
      <c r="AR496" t="str">
        <f t="shared" si="429"/>
        <v/>
      </c>
      <c r="AS496" t="str">
        <f t="shared" si="430"/>
        <v/>
      </c>
      <c r="AT496" s="28" t="str">
        <f t="shared" si="431"/>
        <v/>
      </c>
    </row>
    <row r="497" spans="5:46" x14ac:dyDescent="0.25">
      <c r="E497" s="24" t="str">
        <f t="shared" si="412"/>
        <v/>
      </c>
      <c r="F497" s="25" t="str">
        <f t="shared" si="413"/>
        <v/>
      </c>
      <c r="G497" s="25" t="str">
        <f t="shared" si="414"/>
        <v/>
      </c>
      <c r="H497" s="26" t="str">
        <f t="shared" si="415"/>
        <v/>
      </c>
      <c r="M497" s="24" t="str">
        <f t="shared" si="416"/>
        <v/>
      </c>
      <c r="N497" s="25" t="str">
        <f t="shared" si="417"/>
        <v/>
      </c>
      <c r="O497" s="25" t="str">
        <f t="shared" si="418"/>
        <v/>
      </c>
      <c r="P497" s="26" t="str">
        <f t="shared" si="419"/>
        <v/>
      </c>
      <c r="X497" s="24" t="str">
        <f t="shared" si="420"/>
        <v/>
      </c>
      <c r="Y497" s="25" t="str">
        <f t="shared" si="421"/>
        <v/>
      </c>
      <c r="Z497" s="25" t="str">
        <f t="shared" si="422"/>
        <v/>
      </c>
      <c r="AA497" s="26" t="str">
        <f t="shared" si="423"/>
        <v/>
      </c>
      <c r="AF497" s="24" t="str">
        <f t="shared" si="424"/>
        <v/>
      </c>
      <c r="AG497" s="25" t="str">
        <f t="shared" si="425"/>
        <v/>
      </c>
      <c r="AH497" s="25" t="str">
        <f t="shared" si="426"/>
        <v/>
      </c>
      <c r="AI497" s="26" t="str">
        <f t="shared" si="427"/>
        <v/>
      </c>
      <c r="AQ497" s="27" t="str">
        <f t="shared" si="428"/>
        <v/>
      </c>
      <c r="AR497" t="str">
        <f t="shared" si="429"/>
        <v/>
      </c>
      <c r="AS497" t="str">
        <f t="shared" si="430"/>
        <v/>
      </c>
      <c r="AT497" s="28" t="str">
        <f t="shared" si="431"/>
        <v/>
      </c>
    </row>
    <row r="498" spans="5:46" x14ac:dyDescent="0.25">
      <c r="E498" s="24" t="str">
        <f t="shared" si="412"/>
        <v/>
      </c>
      <c r="F498" s="25" t="str">
        <f t="shared" si="413"/>
        <v/>
      </c>
      <c r="G498" s="25" t="str">
        <f t="shared" si="414"/>
        <v/>
      </c>
      <c r="H498" s="26" t="str">
        <f t="shared" si="415"/>
        <v/>
      </c>
      <c r="M498" s="24" t="str">
        <f t="shared" si="416"/>
        <v/>
      </c>
      <c r="N498" s="25" t="str">
        <f t="shared" si="417"/>
        <v/>
      </c>
      <c r="O498" s="25" t="str">
        <f t="shared" si="418"/>
        <v/>
      </c>
      <c r="P498" s="26" t="str">
        <f t="shared" si="419"/>
        <v/>
      </c>
      <c r="X498" s="24" t="str">
        <f t="shared" si="420"/>
        <v/>
      </c>
      <c r="Y498" s="25" t="str">
        <f t="shared" si="421"/>
        <v/>
      </c>
      <c r="Z498" s="25" t="str">
        <f t="shared" si="422"/>
        <v/>
      </c>
      <c r="AA498" s="26" t="str">
        <f t="shared" si="423"/>
        <v/>
      </c>
      <c r="AF498" s="24" t="str">
        <f t="shared" si="424"/>
        <v/>
      </c>
      <c r="AG498" s="25" t="str">
        <f t="shared" si="425"/>
        <v/>
      </c>
      <c r="AH498" s="25" t="str">
        <f t="shared" si="426"/>
        <v/>
      </c>
      <c r="AI498" s="26" t="str">
        <f t="shared" si="427"/>
        <v/>
      </c>
      <c r="AQ498" s="27" t="str">
        <f t="shared" si="428"/>
        <v/>
      </c>
      <c r="AR498" t="str">
        <f t="shared" si="429"/>
        <v/>
      </c>
      <c r="AS498" t="str">
        <f t="shared" si="430"/>
        <v/>
      </c>
      <c r="AT498" s="28" t="str">
        <f t="shared" si="431"/>
        <v/>
      </c>
    </row>
    <row r="499" spans="5:46" x14ac:dyDescent="0.25">
      <c r="E499" s="24" t="str">
        <f t="shared" ref="E499:E530" si="432">IF($E$431&gt;$F$431,$E367,$F367)</f>
        <v/>
      </c>
      <c r="F499" s="25" t="str">
        <f t="shared" ref="F499:F530" si="433">IF($G$431&gt;$H$431,$G367,$H367)</f>
        <v/>
      </c>
      <c r="G499" s="25" t="str">
        <f t="shared" ref="G499:G530" si="434">IF($I$431&gt;$J$431,$I367,$J367)</f>
        <v/>
      </c>
      <c r="H499" s="26" t="str">
        <f t="shared" ref="H499:H530" si="435">IF($K$431&gt;$L$431,$K367,$L367)</f>
        <v/>
      </c>
      <c r="M499" s="24" t="str">
        <f t="shared" ref="M499:M530" si="436">IF($M$431&gt;$N$431,$M367,$N367)</f>
        <v/>
      </c>
      <c r="N499" s="25" t="str">
        <f t="shared" ref="N499:N530" si="437">IF($O$431&gt;$P$431,$O367,$P367)</f>
        <v/>
      </c>
      <c r="O499" s="25" t="str">
        <f t="shared" ref="O499:O530" si="438">IF($Q$431&gt;$R$431,$Q367,$R367)</f>
        <v/>
      </c>
      <c r="P499" s="26" t="str">
        <f t="shared" ref="P499:P530" si="439">IF($S$431&gt;$T$431,$S367,$T367)</f>
        <v/>
      </c>
      <c r="X499" s="24" t="str">
        <f t="shared" ref="X499:X530" si="440">IF($X$431&gt;$Y$431,$X367,$Y367)</f>
        <v/>
      </c>
      <c r="Y499" s="25" t="str">
        <f t="shared" ref="Y499:Y530" si="441">IF($Z$431&gt;$AA$431,$Z367,$AA367)</f>
        <v/>
      </c>
      <c r="Z499" s="25" t="str">
        <f t="shared" ref="Z499:Z530" si="442">IF($AB$431&gt;$AC$431,$AB367,$AC367)</f>
        <v/>
      </c>
      <c r="AA499" s="26" t="str">
        <f t="shared" ref="AA499:AA530" si="443">IF($AD$431&gt;$AE$431,$AD367,$AE367)</f>
        <v/>
      </c>
      <c r="AF499" s="24" t="str">
        <f t="shared" ref="AF499:AF530" si="444">IF($AF$431&gt;$AG$431,$AF367,$AG367)</f>
        <v/>
      </c>
      <c r="AG499" s="25" t="str">
        <f t="shared" ref="AG499:AG530" si="445">IF($AH$431&gt;$AI$431,$AH367,$AI367)</f>
        <v/>
      </c>
      <c r="AH499" s="25" t="str">
        <f t="shared" ref="AH499:AH530" si="446">IF($AJ$431&gt;$AK$431,$AJ367,$AK367)</f>
        <v/>
      </c>
      <c r="AI499" s="26" t="str">
        <f t="shared" ref="AI499:AI530" si="447">IF($AL$431&gt;$AM$431,$AL367,$AM367)</f>
        <v/>
      </c>
      <c r="AQ499" s="27" t="str">
        <f t="shared" ref="AQ499:AQ530" si="448">IF($AQ$431&gt;$AR$431,$AQ367,$AR367)</f>
        <v/>
      </c>
      <c r="AR499" t="str">
        <f t="shared" ref="AR499:AR530" si="449">IF($AS$431&gt;$AT$431,$AS367,$AT367)</f>
        <v/>
      </c>
      <c r="AS499" t="str">
        <f t="shared" ref="AS499:AS530" si="450">IF($AU$431&gt;$AV$431,$AU367,$AV367)</f>
        <v/>
      </c>
      <c r="AT499" s="28" t="str">
        <f t="shared" ref="AT499:AT530" si="451">IF($AW$431&gt;$AX$431,$AW367,$AX367)</f>
        <v/>
      </c>
    </row>
    <row r="500" spans="5:46" x14ac:dyDescent="0.25">
      <c r="E500" s="24" t="str">
        <f t="shared" si="432"/>
        <v/>
      </c>
      <c r="F500" s="25" t="str">
        <f t="shared" si="433"/>
        <v/>
      </c>
      <c r="G500" s="25" t="str">
        <f t="shared" si="434"/>
        <v/>
      </c>
      <c r="H500" s="26" t="str">
        <f t="shared" si="435"/>
        <v/>
      </c>
      <c r="M500" s="24" t="str">
        <f t="shared" si="436"/>
        <v/>
      </c>
      <c r="N500" s="25" t="str">
        <f t="shared" si="437"/>
        <v/>
      </c>
      <c r="O500" s="25" t="str">
        <f t="shared" si="438"/>
        <v/>
      </c>
      <c r="P500" s="26" t="str">
        <f t="shared" si="439"/>
        <v/>
      </c>
      <c r="X500" s="24" t="str">
        <f t="shared" si="440"/>
        <v/>
      </c>
      <c r="Y500" s="25" t="str">
        <f t="shared" si="441"/>
        <v/>
      </c>
      <c r="Z500" s="25" t="str">
        <f t="shared" si="442"/>
        <v/>
      </c>
      <c r="AA500" s="26" t="str">
        <f t="shared" si="443"/>
        <v/>
      </c>
      <c r="AF500" s="24" t="str">
        <f t="shared" si="444"/>
        <v/>
      </c>
      <c r="AG500" s="25" t="str">
        <f t="shared" si="445"/>
        <v/>
      </c>
      <c r="AH500" s="25" t="str">
        <f t="shared" si="446"/>
        <v/>
      </c>
      <c r="AI500" s="26" t="str">
        <f t="shared" si="447"/>
        <v/>
      </c>
      <c r="AQ500" s="27" t="str">
        <f t="shared" si="448"/>
        <v/>
      </c>
      <c r="AR500" t="str">
        <f t="shared" si="449"/>
        <v/>
      </c>
      <c r="AS500" t="str">
        <f t="shared" si="450"/>
        <v/>
      </c>
      <c r="AT500" s="28" t="str">
        <f t="shared" si="451"/>
        <v/>
      </c>
    </row>
    <row r="501" spans="5:46" x14ac:dyDescent="0.25">
      <c r="E501" s="24" t="str">
        <f t="shared" si="432"/>
        <v/>
      </c>
      <c r="F501" s="25" t="str">
        <f t="shared" si="433"/>
        <v/>
      </c>
      <c r="G501" s="25" t="str">
        <f t="shared" si="434"/>
        <v/>
      </c>
      <c r="H501" s="26" t="str">
        <f t="shared" si="435"/>
        <v/>
      </c>
      <c r="M501" s="24" t="str">
        <f t="shared" si="436"/>
        <v/>
      </c>
      <c r="N501" s="25" t="str">
        <f t="shared" si="437"/>
        <v/>
      </c>
      <c r="O501" s="25" t="str">
        <f t="shared" si="438"/>
        <v/>
      </c>
      <c r="P501" s="26" t="str">
        <f t="shared" si="439"/>
        <v/>
      </c>
      <c r="X501" s="24" t="str">
        <f t="shared" si="440"/>
        <v/>
      </c>
      <c r="Y501" s="25" t="str">
        <f t="shared" si="441"/>
        <v/>
      </c>
      <c r="Z501" s="25" t="str">
        <f t="shared" si="442"/>
        <v/>
      </c>
      <c r="AA501" s="26" t="str">
        <f t="shared" si="443"/>
        <v/>
      </c>
      <c r="AF501" s="24" t="str">
        <f t="shared" si="444"/>
        <v/>
      </c>
      <c r="AG501" s="25" t="str">
        <f t="shared" si="445"/>
        <v/>
      </c>
      <c r="AH501" s="25" t="str">
        <f t="shared" si="446"/>
        <v/>
      </c>
      <c r="AI501" s="26" t="str">
        <f t="shared" si="447"/>
        <v/>
      </c>
      <c r="AQ501" s="27" t="str">
        <f t="shared" si="448"/>
        <v/>
      </c>
      <c r="AR501" t="str">
        <f t="shared" si="449"/>
        <v/>
      </c>
      <c r="AS501" t="str">
        <f t="shared" si="450"/>
        <v/>
      </c>
      <c r="AT501" s="28" t="str">
        <f t="shared" si="451"/>
        <v/>
      </c>
    </row>
    <row r="502" spans="5:46" x14ac:dyDescent="0.25">
      <c r="E502" s="24" t="str">
        <f t="shared" si="432"/>
        <v/>
      </c>
      <c r="F502" s="25" t="str">
        <f t="shared" si="433"/>
        <v/>
      </c>
      <c r="G502" s="25" t="str">
        <f t="shared" si="434"/>
        <v/>
      </c>
      <c r="H502" s="26" t="str">
        <f t="shared" si="435"/>
        <v/>
      </c>
      <c r="M502" s="24" t="str">
        <f t="shared" si="436"/>
        <v/>
      </c>
      <c r="N502" s="25" t="str">
        <f t="shared" si="437"/>
        <v/>
      </c>
      <c r="O502" s="25" t="str">
        <f t="shared" si="438"/>
        <v/>
      </c>
      <c r="P502" s="26" t="str">
        <f t="shared" si="439"/>
        <v/>
      </c>
      <c r="X502" s="24" t="str">
        <f t="shared" si="440"/>
        <v/>
      </c>
      <c r="Y502" s="25" t="str">
        <f t="shared" si="441"/>
        <v/>
      </c>
      <c r="Z502" s="25" t="str">
        <f t="shared" si="442"/>
        <v/>
      </c>
      <c r="AA502" s="26" t="str">
        <f t="shared" si="443"/>
        <v/>
      </c>
      <c r="AF502" s="24" t="str">
        <f t="shared" si="444"/>
        <v/>
      </c>
      <c r="AG502" s="25" t="str">
        <f t="shared" si="445"/>
        <v/>
      </c>
      <c r="AH502" s="25" t="str">
        <f t="shared" si="446"/>
        <v/>
      </c>
      <c r="AI502" s="26" t="str">
        <f t="shared" si="447"/>
        <v/>
      </c>
      <c r="AQ502" s="27" t="str">
        <f t="shared" si="448"/>
        <v/>
      </c>
      <c r="AR502" t="str">
        <f t="shared" si="449"/>
        <v/>
      </c>
      <c r="AS502" t="str">
        <f t="shared" si="450"/>
        <v/>
      </c>
      <c r="AT502" s="28" t="str">
        <f t="shared" si="451"/>
        <v/>
      </c>
    </row>
    <row r="503" spans="5:46" x14ac:dyDescent="0.25">
      <c r="E503" s="24" t="str">
        <f t="shared" si="432"/>
        <v/>
      </c>
      <c r="F503" s="25" t="str">
        <f t="shared" si="433"/>
        <v/>
      </c>
      <c r="G503" s="25" t="str">
        <f t="shared" si="434"/>
        <v/>
      </c>
      <c r="H503" s="26" t="str">
        <f t="shared" si="435"/>
        <v/>
      </c>
      <c r="M503" s="24" t="str">
        <f t="shared" si="436"/>
        <v/>
      </c>
      <c r="N503" s="25" t="str">
        <f t="shared" si="437"/>
        <v/>
      </c>
      <c r="O503" s="25" t="str">
        <f t="shared" si="438"/>
        <v/>
      </c>
      <c r="P503" s="26" t="str">
        <f t="shared" si="439"/>
        <v/>
      </c>
      <c r="X503" s="24" t="str">
        <f t="shared" si="440"/>
        <v/>
      </c>
      <c r="Y503" s="25" t="str">
        <f t="shared" si="441"/>
        <v/>
      </c>
      <c r="Z503" s="25" t="str">
        <f t="shared" si="442"/>
        <v/>
      </c>
      <c r="AA503" s="26" t="str">
        <f t="shared" si="443"/>
        <v/>
      </c>
      <c r="AF503" s="24" t="str">
        <f t="shared" si="444"/>
        <v/>
      </c>
      <c r="AG503" s="25" t="str">
        <f t="shared" si="445"/>
        <v/>
      </c>
      <c r="AH503" s="25" t="str">
        <f t="shared" si="446"/>
        <v/>
      </c>
      <c r="AI503" s="26" t="str">
        <f t="shared" si="447"/>
        <v/>
      </c>
      <c r="AQ503" s="27" t="str">
        <f t="shared" si="448"/>
        <v/>
      </c>
      <c r="AR503" t="str">
        <f t="shared" si="449"/>
        <v/>
      </c>
      <c r="AS503" t="str">
        <f t="shared" si="450"/>
        <v/>
      </c>
      <c r="AT503" s="28" t="str">
        <f t="shared" si="451"/>
        <v/>
      </c>
    </row>
    <row r="504" spans="5:46" x14ac:dyDescent="0.25">
      <c r="E504" s="24" t="str">
        <f t="shared" si="432"/>
        <v/>
      </c>
      <c r="F504" s="25" t="str">
        <f t="shared" si="433"/>
        <v/>
      </c>
      <c r="G504" s="25" t="str">
        <f t="shared" si="434"/>
        <v/>
      </c>
      <c r="H504" s="26" t="str">
        <f t="shared" si="435"/>
        <v/>
      </c>
      <c r="M504" s="24" t="str">
        <f t="shared" si="436"/>
        <v/>
      </c>
      <c r="N504" s="25" t="str">
        <f t="shared" si="437"/>
        <v/>
      </c>
      <c r="O504" s="25" t="str">
        <f t="shared" si="438"/>
        <v/>
      </c>
      <c r="P504" s="26" t="str">
        <f t="shared" si="439"/>
        <v/>
      </c>
      <c r="X504" s="24" t="str">
        <f t="shared" si="440"/>
        <v/>
      </c>
      <c r="Y504" s="25" t="str">
        <f t="shared" si="441"/>
        <v/>
      </c>
      <c r="Z504" s="25" t="str">
        <f t="shared" si="442"/>
        <v/>
      </c>
      <c r="AA504" s="26" t="str">
        <f t="shared" si="443"/>
        <v/>
      </c>
      <c r="AF504" s="24" t="str">
        <f t="shared" si="444"/>
        <v/>
      </c>
      <c r="AG504" s="25" t="str">
        <f t="shared" si="445"/>
        <v/>
      </c>
      <c r="AH504" s="25" t="str">
        <f t="shared" si="446"/>
        <v/>
      </c>
      <c r="AI504" s="26" t="str">
        <f t="shared" si="447"/>
        <v/>
      </c>
      <c r="AQ504" s="27" t="str">
        <f t="shared" si="448"/>
        <v/>
      </c>
      <c r="AR504" t="str">
        <f t="shared" si="449"/>
        <v/>
      </c>
      <c r="AS504" t="str">
        <f t="shared" si="450"/>
        <v/>
      </c>
      <c r="AT504" s="28" t="str">
        <f t="shared" si="451"/>
        <v/>
      </c>
    </row>
    <row r="505" spans="5:46" x14ac:dyDescent="0.25">
      <c r="E505" s="24" t="str">
        <f t="shared" si="432"/>
        <v/>
      </c>
      <c r="F505" s="25" t="str">
        <f t="shared" si="433"/>
        <v/>
      </c>
      <c r="G505" s="25" t="str">
        <f t="shared" si="434"/>
        <v/>
      </c>
      <c r="H505" s="26" t="str">
        <f t="shared" si="435"/>
        <v/>
      </c>
      <c r="M505" s="24" t="str">
        <f t="shared" si="436"/>
        <v/>
      </c>
      <c r="N505" s="25" t="str">
        <f t="shared" si="437"/>
        <v/>
      </c>
      <c r="O505" s="25" t="str">
        <f t="shared" si="438"/>
        <v/>
      </c>
      <c r="P505" s="26" t="str">
        <f t="shared" si="439"/>
        <v/>
      </c>
      <c r="X505" s="24" t="str">
        <f t="shared" si="440"/>
        <v/>
      </c>
      <c r="Y505" s="25" t="str">
        <f t="shared" si="441"/>
        <v/>
      </c>
      <c r="Z505" s="25" t="str">
        <f t="shared" si="442"/>
        <v/>
      </c>
      <c r="AA505" s="26" t="str">
        <f t="shared" si="443"/>
        <v/>
      </c>
      <c r="AF505" s="24" t="str">
        <f t="shared" si="444"/>
        <v/>
      </c>
      <c r="AG505" s="25" t="str">
        <f t="shared" si="445"/>
        <v/>
      </c>
      <c r="AH505" s="25" t="str">
        <f t="shared" si="446"/>
        <v/>
      </c>
      <c r="AI505" s="26" t="str">
        <f t="shared" si="447"/>
        <v/>
      </c>
      <c r="AQ505" s="27" t="str">
        <f t="shared" si="448"/>
        <v/>
      </c>
      <c r="AR505" t="str">
        <f t="shared" si="449"/>
        <v/>
      </c>
      <c r="AS505" t="str">
        <f t="shared" si="450"/>
        <v/>
      </c>
      <c r="AT505" s="28" t="str">
        <f t="shared" si="451"/>
        <v/>
      </c>
    </row>
    <row r="506" spans="5:46" x14ac:dyDescent="0.25">
      <c r="E506" s="24" t="str">
        <f t="shared" si="432"/>
        <v/>
      </c>
      <c r="F506" s="25" t="str">
        <f t="shared" si="433"/>
        <v/>
      </c>
      <c r="G506" s="25" t="str">
        <f t="shared" si="434"/>
        <v/>
      </c>
      <c r="H506" s="26" t="str">
        <f t="shared" si="435"/>
        <v/>
      </c>
      <c r="M506" s="24" t="str">
        <f t="shared" si="436"/>
        <v/>
      </c>
      <c r="N506" s="25" t="str">
        <f t="shared" si="437"/>
        <v/>
      </c>
      <c r="O506" s="25" t="str">
        <f t="shared" si="438"/>
        <v/>
      </c>
      <c r="P506" s="26" t="str">
        <f t="shared" si="439"/>
        <v/>
      </c>
      <c r="X506" s="24" t="str">
        <f t="shared" si="440"/>
        <v/>
      </c>
      <c r="Y506" s="25" t="str">
        <f t="shared" si="441"/>
        <v/>
      </c>
      <c r="Z506" s="25" t="str">
        <f t="shared" si="442"/>
        <v/>
      </c>
      <c r="AA506" s="26" t="str">
        <f t="shared" si="443"/>
        <v/>
      </c>
      <c r="AF506" s="24" t="str">
        <f t="shared" si="444"/>
        <v/>
      </c>
      <c r="AG506" s="25" t="str">
        <f t="shared" si="445"/>
        <v/>
      </c>
      <c r="AH506" s="25" t="str">
        <f t="shared" si="446"/>
        <v/>
      </c>
      <c r="AI506" s="26" t="str">
        <f t="shared" si="447"/>
        <v/>
      </c>
      <c r="AQ506" s="27" t="str">
        <f t="shared" si="448"/>
        <v/>
      </c>
      <c r="AR506" t="str">
        <f t="shared" si="449"/>
        <v/>
      </c>
      <c r="AS506" t="str">
        <f t="shared" si="450"/>
        <v/>
      </c>
      <c r="AT506" s="28" t="str">
        <f t="shared" si="451"/>
        <v/>
      </c>
    </row>
    <row r="507" spans="5:46" x14ac:dyDescent="0.25">
      <c r="E507" s="24" t="str">
        <f t="shared" si="432"/>
        <v/>
      </c>
      <c r="F507" s="25" t="str">
        <f t="shared" si="433"/>
        <v/>
      </c>
      <c r="G507" s="25" t="str">
        <f t="shared" si="434"/>
        <v/>
      </c>
      <c r="H507" s="26" t="str">
        <f t="shared" si="435"/>
        <v/>
      </c>
      <c r="M507" s="24" t="str">
        <f t="shared" si="436"/>
        <v/>
      </c>
      <c r="N507" s="25" t="str">
        <f t="shared" si="437"/>
        <v/>
      </c>
      <c r="O507" s="25" t="str">
        <f t="shared" si="438"/>
        <v/>
      </c>
      <c r="P507" s="26" t="str">
        <f t="shared" si="439"/>
        <v/>
      </c>
      <c r="X507" s="24" t="str">
        <f t="shared" si="440"/>
        <v/>
      </c>
      <c r="Y507" s="25" t="str">
        <f t="shared" si="441"/>
        <v/>
      </c>
      <c r="Z507" s="25" t="str">
        <f t="shared" si="442"/>
        <v/>
      </c>
      <c r="AA507" s="26" t="str">
        <f t="shared" si="443"/>
        <v/>
      </c>
      <c r="AF507" s="24" t="str">
        <f t="shared" si="444"/>
        <v/>
      </c>
      <c r="AG507" s="25" t="str">
        <f t="shared" si="445"/>
        <v/>
      </c>
      <c r="AH507" s="25" t="str">
        <f t="shared" si="446"/>
        <v/>
      </c>
      <c r="AI507" s="26" t="str">
        <f t="shared" si="447"/>
        <v/>
      </c>
      <c r="AQ507" s="27" t="str">
        <f t="shared" si="448"/>
        <v/>
      </c>
      <c r="AR507" t="str">
        <f t="shared" si="449"/>
        <v/>
      </c>
      <c r="AS507" t="str">
        <f t="shared" si="450"/>
        <v/>
      </c>
      <c r="AT507" s="28" t="str">
        <f t="shared" si="451"/>
        <v/>
      </c>
    </row>
    <row r="508" spans="5:46" x14ac:dyDescent="0.25">
      <c r="E508" s="24" t="str">
        <f t="shared" si="432"/>
        <v/>
      </c>
      <c r="F508" s="25" t="str">
        <f t="shared" si="433"/>
        <v/>
      </c>
      <c r="G508" s="25" t="str">
        <f t="shared" si="434"/>
        <v/>
      </c>
      <c r="H508" s="26" t="str">
        <f t="shared" si="435"/>
        <v/>
      </c>
      <c r="M508" s="24" t="str">
        <f t="shared" si="436"/>
        <v/>
      </c>
      <c r="N508" s="25" t="str">
        <f t="shared" si="437"/>
        <v/>
      </c>
      <c r="O508" s="25" t="str">
        <f t="shared" si="438"/>
        <v/>
      </c>
      <c r="P508" s="26" t="str">
        <f t="shared" si="439"/>
        <v/>
      </c>
      <c r="X508" s="24" t="str">
        <f t="shared" si="440"/>
        <v/>
      </c>
      <c r="Y508" s="25" t="str">
        <f t="shared" si="441"/>
        <v/>
      </c>
      <c r="Z508" s="25" t="str">
        <f t="shared" si="442"/>
        <v/>
      </c>
      <c r="AA508" s="26" t="str">
        <f t="shared" si="443"/>
        <v/>
      </c>
      <c r="AF508" s="24" t="str">
        <f t="shared" si="444"/>
        <v/>
      </c>
      <c r="AG508" s="25" t="str">
        <f t="shared" si="445"/>
        <v/>
      </c>
      <c r="AH508" s="25" t="str">
        <f t="shared" si="446"/>
        <v/>
      </c>
      <c r="AI508" s="26" t="str">
        <f t="shared" si="447"/>
        <v/>
      </c>
      <c r="AQ508" s="27" t="str">
        <f t="shared" si="448"/>
        <v/>
      </c>
      <c r="AR508" t="str">
        <f t="shared" si="449"/>
        <v/>
      </c>
      <c r="AS508" t="str">
        <f t="shared" si="450"/>
        <v/>
      </c>
      <c r="AT508" s="28" t="str">
        <f t="shared" si="451"/>
        <v/>
      </c>
    </row>
    <row r="509" spans="5:46" x14ac:dyDescent="0.25">
      <c r="E509" s="24" t="str">
        <f t="shared" si="432"/>
        <v/>
      </c>
      <c r="F509" s="25" t="str">
        <f t="shared" si="433"/>
        <v/>
      </c>
      <c r="G509" s="25" t="str">
        <f t="shared" si="434"/>
        <v/>
      </c>
      <c r="H509" s="26" t="str">
        <f t="shared" si="435"/>
        <v/>
      </c>
      <c r="M509" s="24" t="str">
        <f t="shared" si="436"/>
        <v/>
      </c>
      <c r="N509" s="25" t="str">
        <f t="shared" si="437"/>
        <v/>
      </c>
      <c r="O509" s="25" t="str">
        <f t="shared" si="438"/>
        <v/>
      </c>
      <c r="P509" s="26" t="str">
        <f t="shared" si="439"/>
        <v/>
      </c>
      <c r="X509" s="24" t="str">
        <f t="shared" si="440"/>
        <v/>
      </c>
      <c r="Y509" s="25" t="str">
        <f t="shared" si="441"/>
        <v/>
      </c>
      <c r="Z509" s="25" t="str">
        <f t="shared" si="442"/>
        <v/>
      </c>
      <c r="AA509" s="26" t="str">
        <f t="shared" si="443"/>
        <v/>
      </c>
      <c r="AF509" s="24" t="str">
        <f t="shared" si="444"/>
        <v/>
      </c>
      <c r="AG509" s="25" t="str">
        <f t="shared" si="445"/>
        <v/>
      </c>
      <c r="AH509" s="25" t="str">
        <f t="shared" si="446"/>
        <v/>
      </c>
      <c r="AI509" s="26" t="str">
        <f t="shared" si="447"/>
        <v/>
      </c>
      <c r="AQ509" s="27" t="str">
        <f t="shared" si="448"/>
        <v/>
      </c>
      <c r="AR509" t="str">
        <f t="shared" si="449"/>
        <v/>
      </c>
      <c r="AS509" t="str">
        <f t="shared" si="450"/>
        <v/>
      </c>
      <c r="AT509" s="28" t="str">
        <f t="shared" si="451"/>
        <v/>
      </c>
    </row>
    <row r="510" spans="5:46" x14ac:dyDescent="0.25">
      <c r="E510" s="24" t="str">
        <f t="shared" si="432"/>
        <v/>
      </c>
      <c r="F510" s="25" t="str">
        <f t="shared" si="433"/>
        <v/>
      </c>
      <c r="G510" s="25" t="str">
        <f t="shared" si="434"/>
        <v/>
      </c>
      <c r="H510" s="26" t="str">
        <f t="shared" si="435"/>
        <v/>
      </c>
      <c r="M510" s="24" t="str">
        <f t="shared" si="436"/>
        <v/>
      </c>
      <c r="N510" s="25" t="str">
        <f t="shared" si="437"/>
        <v/>
      </c>
      <c r="O510" s="25" t="str">
        <f t="shared" si="438"/>
        <v/>
      </c>
      <c r="P510" s="26" t="str">
        <f t="shared" si="439"/>
        <v/>
      </c>
      <c r="X510" s="24" t="str">
        <f t="shared" si="440"/>
        <v/>
      </c>
      <c r="Y510" s="25" t="str">
        <f t="shared" si="441"/>
        <v/>
      </c>
      <c r="Z510" s="25" t="str">
        <f t="shared" si="442"/>
        <v/>
      </c>
      <c r="AA510" s="26" t="str">
        <f t="shared" si="443"/>
        <v/>
      </c>
      <c r="AF510" s="24" t="str">
        <f t="shared" si="444"/>
        <v/>
      </c>
      <c r="AG510" s="25" t="str">
        <f t="shared" si="445"/>
        <v/>
      </c>
      <c r="AH510" s="25" t="str">
        <f t="shared" si="446"/>
        <v/>
      </c>
      <c r="AI510" s="26" t="str">
        <f t="shared" si="447"/>
        <v/>
      </c>
      <c r="AQ510" s="27" t="str">
        <f t="shared" si="448"/>
        <v/>
      </c>
      <c r="AR510" t="str">
        <f t="shared" si="449"/>
        <v/>
      </c>
      <c r="AS510" t="str">
        <f t="shared" si="450"/>
        <v/>
      </c>
      <c r="AT510" s="28" t="str">
        <f t="shared" si="451"/>
        <v/>
      </c>
    </row>
    <row r="511" spans="5:46" x14ac:dyDescent="0.25">
      <c r="E511" s="24" t="str">
        <f t="shared" si="432"/>
        <v/>
      </c>
      <c r="F511" s="25" t="str">
        <f t="shared" si="433"/>
        <v/>
      </c>
      <c r="G511" s="25" t="str">
        <f t="shared" si="434"/>
        <v/>
      </c>
      <c r="H511" s="26" t="str">
        <f t="shared" si="435"/>
        <v/>
      </c>
      <c r="M511" s="24" t="str">
        <f t="shared" si="436"/>
        <v/>
      </c>
      <c r="N511" s="25" t="str">
        <f t="shared" si="437"/>
        <v/>
      </c>
      <c r="O511" s="25" t="str">
        <f t="shared" si="438"/>
        <v/>
      </c>
      <c r="P511" s="26" t="str">
        <f t="shared" si="439"/>
        <v/>
      </c>
      <c r="X511" s="24" t="str">
        <f t="shared" si="440"/>
        <v/>
      </c>
      <c r="Y511" s="25" t="str">
        <f t="shared" si="441"/>
        <v/>
      </c>
      <c r="Z511" s="25" t="str">
        <f t="shared" si="442"/>
        <v/>
      </c>
      <c r="AA511" s="26" t="str">
        <f t="shared" si="443"/>
        <v/>
      </c>
      <c r="AF511" s="24" t="str">
        <f t="shared" si="444"/>
        <v/>
      </c>
      <c r="AG511" s="25" t="str">
        <f t="shared" si="445"/>
        <v/>
      </c>
      <c r="AH511" s="25" t="str">
        <f t="shared" si="446"/>
        <v/>
      </c>
      <c r="AI511" s="26" t="str">
        <f t="shared" si="447"/>
        <v/>
      </c>
      <c r="AQ511" s="27" t="str">
        <f t="shared" si="448"/>
        <v/>
      </c>
      <c r="AR511" t="str">
        <f t="shared" si="449"/>
        <v/>
      </c>
      <c r="AS511" t="str">
        <f t="shared" si="450"/>
        <v/>
      </c>
      <c r="AT511" s="28" t="str">
        <f t="shared" si="451"/>
        <v/>
      </c>
    </row>
    <row r="512" spans="5:46" x14ac:dyDescent="0.25">
      <c r="E512" s="24" t="str">
        <f t="shared" si="432"/>
        <v/>
      </c>
      <c r="F512" s="25" t="str">
        <f t="shared" si="433"/>
        <v/>
      </c>
      <c r="G512" s="25" t="str">
        <f t="shared" si="434"/>
        <v/>
      </c>
      <c r="H512" s="26" t="str">
        <f t="shared" si="435"/>
        <v/>
      </c>
      <c r="M512" s="24" t="str">
        <f t="shared" si="436"/>
        <v/>
      </c>
      <c r="N512" s="25" t="str">
        <f t="shared" si="437"/>
        <v/>
      </c>
      <c r="O512" s="25" t="str">
        <f t="shared" si="438"/>
        <v/>
      </c>
      <c r="P512" s="26" t="str">
        <f t="shared" si="439"/>
        <v/>
      </c>
      <c r="X512" s="24" t="str">
        <f t="shared" si="440"/>
        <v/>
      </c>
      <c r="Y512" s="25" t="str">
        <f t="shared" si="441"/>
        <v/>
      </c>
      <c r="Z512" s="25" t="str">
        <f t="shared" si="442"/>
        <v/>
      </c>
      <c r="AA512" s="26" t="str">
        <f t="shared" si="443"/>
        <v/>
      </c>
      <c r="AF512" s="24" t="str">
        <f t="shared" si="444"/>
        <v/>
      </c>
      <c r="AG512" s="25" t="str">
        <f t="shared" si="445"/>
        <v/>
      </c>
      <c r="AH512" s="25" t="str">
        <f t="shared" si="446"/>
        <v/>
      </c>
      <c r="AI512" s="26" t="str">
        <f t="shared" si="447"/>
        <v/>
      </c>
      <c r="AQ512" s="27" t="str">
        <f t="shared" si="448"/>
        <v/>
      </c>
      <c r="AR512" t="str">
        <f t="shared" si="449"/>
        <v/>
      </c>
      <c r="AS512" t="str">
        <f t="shared" si="450"/>
        <v/>
      </c>
      <c r="AT512" s="28" t="str">
        <f t="shared" si="451"/>
        <v/>
      </c>
    </row>
    <row r="513" spans="5:46" x14ac:dyDescent="0.25">
      <c r="E513" s="24" t="str">
        <f t="shared" si="432"/>
        <v/>
      </c>
      <c r="F513" s="25" t="str">
        <f t="shared" si="433"/>
        <v/>
      </c>
      <c r="G513" s="25" t="str">
        <f t="shared" si="434"/>
        <v/>
      </c>
      <c r="H513" s="26" t="str">
        <f t="shared" si="435"/>
        <v/>
      </c>
      <c r="M513" s="24" t="str">
        <f t="shared" si="436"/>
        <v/>
      </c>
      <c r="N513" s="25" t="str">
        <f t="shared" si="437"/>
        <v/>
      </c>
      <c r="O513" s="25" t="str">
        <f t="shared" si="438"/>
        <v/>
      </c>
      <c r="P513" s="26" t="str">
        <f t="shared" si="439"/>
        <v/>
      </c>
      <c r="X513" s="24" t="str">
        <f t="shared" si="440"/>
        <v/>
      </c>
      <c r="Y513" s="25" t="str">
        <f t="shared" si="441"/>
        <v/>
      </c>
      <c r="Z513" s="25" t="str">
        <f t="shared" si="442"/>
        <v/>
      </c>
      <c r="AA513" s="26" t="str">
        <f t="shared" si="443"/>
        <v/>
      </c>
      <c r="AF513" s="24" t="str">
        <f t="shared" si="444"/>
        <v/>
      </c>
      <c r="AG513" s="25" t="str">
        <f t="shared" si="445"/>
        <v/>
      </c>
      <c r="AH513" s="25" t="str">
        <f t="shared" si="446"/>
        <v/>
      </c>
      <c r="AI513" s="26" t="str">
        <f t="shared" si="447"/>
        <v/>
      </c>
      <c r="AQ513" s="27" t="str">
        <f t="shared" si="448"/>
        <v/>
      </c>
      <c r="AR513" t="str">
        <f t="shared" si="449"/>
        <v/>
      </c>
      <c r="AS513" t="str">
        <f t="shared" si="450"/>
        <v/>
      </c>
      <c r="AT513" s="28" t="str">
        <f t="shared" si="451"/>
        <v/>
      </c>
    </row>
    <row r="514" spans="5:46" x14ac:dyDescent="0.25">
      <c r="E514" s="24" t="str">
        <f t="shared" si="432"/>
        <v/>
      </c>
      <c r="F514" s="25" t="str">
        <f t="shared" si="433"/>
        <v/>
      </c>
      <c r="G514" s="25" t="str">
        <f t="shared" si="434"/>
        <v/>
      </c>
      <c r="H514" s="26" t="str">
        <f t="shared" si="435"/>
        <v/>
      </c>
      <c r="M514" s="24" t="str">
        <f t="shared" si="436"/>
        <v/>
      </c>
      <c r="N514" s="25" t="str">
        <f t="shared" si="437"/>
        <v/>
      </c>
      <c r="O514" s="25" t="str">
        <f t="shared" si="438"/>
        <v/>
      </c>
      <c r="P514" s="26" t="str">
        <f t="shared" si="439"/>
        <v/>
      </c>
      <c r="X514" s="24" t="str">
        <f t="shared" si="440"/>
        <v/>
      </c>
      <c r="Y514" s="25" t="str">
        <f t="shared" si="441"/>
        <v/>
      </c>
      <c r="Z514" s="25" t="str">
        <f t="shared" si="442"/>
        <v/>
      </c>
      <c r="AA514" s="26" t="str">
        <f t="shared" si="443"/>
        <v/>
      </c>
      <c r="AF514" s="24" t="str">
        <f t="shared" si="444"/>
        <v/>
      </c>
      <c r="AG514" s="25" t="str">
        <f t="shared" si="445"/>
        <v/>
      </c>
      <c r="AH514" s="25" t="str">
        <f t="shared" si="446"/>
        <v/>
      </c>
      <c r="AI514" s="26" t="str">
        <f t="shared" si="447"/>
        <v/>
      </c>
      <c r="AQ514" s="27" t="str">
        <f t="shared" si="448"/>
        <v/>
      </c>
      <c r="AR514" t="str">
        <f t="shared" si="449"/>
        <v/>
      </c>
      <c r="AS514" t="str">
        <f t="shared" si="450"/>
        <v/>
      </c>
      <c r="AT514" s="28" t="str">
        <f t="shared" si="451"/>
        <v/>
      </c>
    </row>
    <row r="515" spans="5:46" x14ac:dyDescent="0.25">
      <c r="E515" s="24" t="str">
        <f t="shared" si="432"/>
        <v/>
      </c>
      <c r="F515" s="25" t="str">
        <f t="shared" si="433"/>
        <v/>
      </c>
      <c r="G515" s="25" t="str">
        <f t="shared" si="434"/>
        <v/>
      </c>
      <c r="H515" s="26" t="str">
        <f t="shared" si="435"/>
        <v/>
      </c>
      <c r="M515" s="24" t="str">
        <f t="shared" si="436"/>
        <v/>
      </c>
      <c r="N515" s="25" t="str">
        <f t="shared" si="437"/>
        <v/>
      </c>
      <c r="O515" s="25" t="str">
        <f t="shared" si="438"/>
        <v/>
      </c>
      <c r="P515" s="26" t="str">
        <f t="shared" si="439"/>
        <v/>
      </c>
      <c r="X515" s="24" t="str">
        <f t="shared" si="440"/>
        <v/>
      </c>
      <c r="Y515" s="25" t="str">
        <f t="shared" si="441"/>
        <v/>
      </c>
      <c r="Z515" s="25" t="str">
        <f t="shared" si="442"/>
        <v/>
      </c>
      <c r="AA515" s="26" t="str">
        <f t="shared" si="443"/>
        <v/>
      </c>
      <c r="AF515" s="24" t="str">
        <f t="shared" si="444"/>
        <v/>
      </c>
      <c r="AG515" s="25" t="str">
        <f t="shared" si="445"/>
        <v/>
      </c>
      <c r="AH515" s="25" t="str">
        <f t="shared" si="446"/>
        <v/>
      </c>
      <c r="AI515" s="26" t="str">
        <f t="shared" si="447"/>
        <v/>
      </c>
      <c r="AQ515" s="27" t="str">
        <f t="shared" si="448"/>
        <v/>
      </c>
      <c r="AR515" t="str">
        <f t="shared" si="449"/>
        <v/>
      </c>
      <c r="AS515" t="str">
        <f t="shared" si="450"/>
        <v/>
      </c>
      <c r="AT515" s="28" t="str">
        <f t="shared" si="451"/>
        <v/>
      </c>
    </row>
    <row r="516" spans="5:46" x14ac:dyDescent="0.25">
      <c r="E516" s="24" t="str">
        <f t="shared" si="432"/>
        <v/>
      </c>
      <c r="F516" s="25" t="str">
        <f t="shared" si="433"/>
        <v/>
      </c>
      <c r="G516" s="25" t="str">
        <f t="shared" si="434"/>
        <v/>
      </c>
      <c r="H516" s="26" t="str">
        <f t="shared" si="435"/>
        <v/>
      </c>
      <c r="M516" s="24" t="str">
        <f t="shared" si="436"/>
        <v/>
      </c>
      <c r="N516" s="25" t="str">
        <f t="shared" si="437"/>
        <v/>
      </c>
      <c r="O516" s="25" t="str">
        <f t="shared" si="438"/>
        <v/>
      </c>
      <c r="P516" s="26" t="str">
        <f t="shared" si="439"/>
        <v/>
      </c>
      <c r="X516" s="24" t="str">
        <f t="shared" si="440"/>
        <v/>
      </c>
      <c r="Y516" s="25" t="str">
        <f t="shared" si="441"/>
        <v/>
      </c>
      <c r="Z516" s="25" t="str">
        <f t="shared" si="442"/>
        <v/>
      </c>
      <c r="AA516" s="26" t="str">
        <f t="shared" si="443"/>
        <v/>
      </c>
      <c r="AF516" s="24" t="str">
        <f t="shared" si="444"/>
        <v/>
      </c>
      <c r="AG516" s="25" t="str">
        <f t="shared" si="445"/>
        <v/>
      </c>
      <c r="AH516" s="25" t="str">
        <f t="shared" si="446"/>
        <v/>
      </c>
      <c r="AI516" s="26" t="str">
        <f t="shared" si="447"/>
        <v/>
      </c>
      <c r="AQ516" s="27" t="str">
        <f t="shared" si="448"/>
        <v/>
      </c>
      <c r="AR516" t="str">
        <f t="shared" si="449"/>
        <v/>
      </c>
      <c r="AS516" t="str">
        <f t="shared" si="450"/>
        <v/>
      </c>
      <c r="AT516" s="28" t="str">
        <f t="shared" si="451"/>
        <v/>
      </c>
    </row>
    <row r="517" spans="5:46" x14ac:dyDescent="0.25">
      <c r="E517" s="24" t="str">
        <f t="shared" si="432"/>
        <v/>
      </c>
      <c r="F517" s="25" t="str">
        <f t="shared" si="433"/>
        <v/>
      </c>
      <c r="G517" s="25" t="str">
        <f t="shared" si="434"/>
        <v/>
      </c>
      <c r="H517" s="26" t="str">
        <f t="shared" si="435"/>
        <v/>
      </c>
      <c r="M517" s="24" t="str">
        <f t="shared" si="436"/>
        <v/>
      </c>
      <c r="N517" s="25" t="str">
        <f t="shared" si="437"/>
        <v/>
      </c>
      <c r="O517" s="25" t="str">
        <f t="shared" si="438"/>
        <v/>
      </c>
      <c r="P517" s="26" t="str">
        <f t="shared" si="439"/>
        <v/>
      </c>
      <c r="X517" s="24" t="str">
        <f t="shared" si="440"/>
        <v/>
      </c>
      <c r="Y517" s="25" t="str">
        <f t="shared" si="441"/>
        <v/>
      </c>
      <c r="Z517" s="25" t="str">
        <f t="shared" si="442"/>
        <v/>
      </c>
      <c r="AA517" s="26" t="str">
        <f t="shared" si="443"/>
        <v/>
      </c>
      <c r="AF517" s="24" t="str">
        <f t="shared" si="444"/>
        <v/>
      </c>
      <c r="AG517" s="25" t="str">
        <f t="shared" si="445"/>
        <v/>
      </c>
      <c r="AH517" s="25" t="str">
        <f t="shared" si="446"/>
        <v/>
      </c>
      <c r="AI517" s="26" t="str">
        <f t="shared" si="447"/>
        <v/>
      </c>
      <c r="AQ517" s="27" t="str">
        <f t="shared" si="448"/>
        <v/>
      </c>
      <c r="AR517" t="str">
        <f t="shared" si="449"/>
        <v/>
      </c>
      <c r="AS517" t="str">
        <f t="shared" si="450"/>
        <v/>
      </c>
      <c r="AT517" s="28" t="str">
        <f t="shared" si="451"/>
        <v/>
      </c>
    </row>
    <row r="518" spans="5:46" x14ac:dyDescent="0.25">
      <c r="E518" s="24" t="str">
        <f t="shared" si="432"/>
        <v/>
      </c>
      <c r="F518" s="25" t="str">
        <f t="shared" si="433"/>
        <v/>
      </c>
      <c r="G518" s="25" t="str">
        <f t="shared" si="434"/>
        <v/>
      </c>
      <c r="H518" s="26" t="str">
        <f t="shared" si="435"/>
        <v/>
      </c>
      <c r="M518" s="24" t="str">
        <f t="shared" si="436"/>
        <v/>
      </c>
      <c r="N518" s="25" t="str">
        <f t="shared" si="437"/>
        <v/>
      </c>
      <c r="O518" s="25" t="str">
        <f t="shared" si="438"/>
        <v/>
      </c>
      <c r="P518" s="26" t="str">
        <f t="shared" si="439"/>
        <v/>
      </c>
      <c r="X518" s="24" t="str">
        <f t="shared" si="440"/>
        <v/>
      </c>
      <c r="Y518" s="25" t="str">
        <f t="shared" si="441"/>
        <v/>
      </c>
      <c r="Z518" s="25" t="str">
        <f t="shared" si="442"/>
        <v/>
      </c>
      <c r="AA518" s="26" t="str">
        <f t="shared" si="443"/>
        <v/>
      </c>
      <c r="AF518" s="24" t="str">
        <f t="shared" si="444"/>
        <v/>
      </c>
      <c r="AG518" s="25" t="str">
        <f t="shared" si="445"/>
        <v/>
      </c>
      <c r="AH518" s="25" t="str">
        <f t="shared" si="446"/>
        <v/>
      </c>
      <c r="AI518" s="26" t="str">
        <f t="shared" si="447"/>
        <v/>
      </c>
      <c r="AQ518" s="27" t="str">
        <f t="shared" si="448"/>
        <v/>
      </c>
      <c r="AR518" t="str">
        <f t="shared" si="449"/>
        <v/>
      </c>
      <c r="AS518" t="str">
        <f t="shared" si="450"/>
        <v/>
      </c>
      <c r="AT518" s="28" t="str">
        <f t="shared" si="451"/>
        <v/>
      </c>
    </row>
    <row r="519" spans="5:46" x14ac:dyDescent="0.25">
      <c r="E519" s="24" t="str">
        <f t="shared" si="432"/>
        <v/>
      </c>
      <c r="F519" s="25" t="str">
        <f t="shared" si="433"/>
        <v/>
      </c>
      <c r="G519" s="25" t="str">
        <f t="shared" si="434"/>
        <v/>
      </c>
      <c r="H519" s="26" t="str">
        <f t="shared" si="435"/>
        <v/>
      </c>
      <c r="M519" s="24" t="str">
        <f t="shared" si="436"/>
        <v/>
      </c>
      <c r="N519" s="25" t="str">
        <f t="shared" si="437"/>
        <v/>
      </c>
      <c r="O519" s="25" t="str">
        <f t="shared" si="438"/>
        <v/>
      </c>
      <c r="P519" s="26" t="str">
        <f t="shared" si="439"/>
        <v/>
      </c>
      <c r="X519" s="24" t="str">
        <f t="shared" si="440"/>
        <v/>
      </c>
      <c r="Y519" s="25" t="str">
        <f t="shared" si="441"/>
        <v/>
      </c>
      <c r="Z519" s="25" t="str">
        <f t="shared" si="442"/>
        <v/>
      </c>
      <c r="AA519" s="26" t="str">
        <f t="shared" si="443"/>
        <v/>
      </c>
      <c r="AF519" s="24" t="str">
        <f t="shared" si="444"/>
        <v/>
      </c>
      <c r="AG519" s="25" t="str">
        <f t="shared" si="445"/>
        <v/>
      </c>
      <c r="AH519" s="25" t="str">
        <f t="shared" si="446"/>
        <v/>
      </c>
      <c r="AI519" s="26" t="str">
        <f t="shared" si="447"/>
        <v/>
      </c>
      <c r="AQ519" s="27" t="str">
        <f t="shared" si="448"/>
        <v/>
      </c>
      <c r="AR519" t="str">
        <f t="shared" si="449"/>
        <v/>
      </c>
      <c r="AS519" t="str">
        <f t="shared" si="450"/>
        <v/>
      </c>
      <c r="AT519" s="28" t="str">
        <f t="shared" si="451"/>
        <v/>
      </c>
    </row>
    <row r="520" spans="5:46" x14ac:dyDescent="0.25">
      <c r="E520" s="24" t="str">
        <f t="shared" si="432"/>
        <v/>
      </c>
      <c r="F520" s="25" t="str">
        <f t="shared" si="433"/>
        <v/>
      </c>
      <c r="G520" s="25" t="str">
        <f t="shared" si="434"/>
        <v/>
      </c>
      <c r="H520" s="26" t="str">
        <f t="shared" si="435"/>
        <v/>
      </c>
      <c r="M520" s="24" t="str">
        <f t="shared" si="436"/>
        <v/>
      </c>
      <c r="N520" s="25" t="str">
        <f t="shared" si="437"/>
        <v/>
      </c>
      <c r="O520" s="25" t="str">
        <f t="shared" si="438"/>
        <v/>
      </c>
      <c r="P520" s="26" t="str">
        <f t="shared" si="439"/>
        <v/>
      </c>
      <c r="X520" s="24" t="str">
        <f t="shared" si="440"/>
        <v/>
      </c>
      <c r="Y520" s="25" t="str">
        <f t="shared" si="441"/>
        <v/>
      </c>
      <c r="Z520" s="25" t="str">
        <f t="shared" si="442"/>
        <v/>
      </c>
      <c r="AA520" s="26" t="str">
        <f t="shared" si="443"/>
        <v/>
      </c>
      <c r="AF520" s="24" t="str">
        <f t="shared" si="444"/>
        <v/>
      </c>
      <c r="AG520" s="25" t="str">
        <f t="shared" si="445"/>
        <v/>
      </c>
      <c r="AH520" s="25" t="str">
        <f t="shared" si="446"/>
        <v/>
      </c>
      <c r="AI520" s="26" t="str">
        <f t="shared" si="447"/>
        <v/>
      </c>
      <c r="AQ520" s="27" t="str">
        <f t="shared" si="448"/>
        <v/>
      </c>
      <c r="AR520" t="str">
        <f t="shared" si="449"/>
        <v/>
      </c>
      <c r="AS520" t="str">
        <f t="shared" si="450"/>
        <v/>
      </c>
      <c r="AT520" s="28" t="str">
        <f t="shared" si="451"/>
        <v/>
      </c>
    </row>
    <row r="521" spans="5:46" x14ac:dyDescent="0.25">
      <c r="E521" s="24" t="str">
        <f t="shared" si="432"/>
        <v/>
      </c>
      <c r="F521" s="25" t="str">
        <f t="shared" si="433"/>
        <v/>
      </c>
      <c r="G521" s="25" t="str">
        <f t="shared" si="434"/>
        <v/>
      </c>
      <c r="H521" s="26" t="str">
        <f t="shared" si="435"/>
        <v/>
      </c>
      <c r="M521" s="24" t="str">
        <f t="shared" si="436"/>
        <v/>
      </c>
      <c r="N521" s="25" t="str">
        <f t="shared" si="437"/>
        <v/>
      </c>
      <c r="O521" s="25" t="str">
        <f t="shared" si="438"/>
        <v/>
      </c>
      <c r="P521" s="26" t="str">
        <f t="shared" si="439"/>
        <v/>
      </c>
      <c r="X521" s="24" t="str">
        <f t="shared" si="440"/>
        <v/>
      </c>
      <c r="Y521" s="25" t="str">
        <f t="shared" si="441"/>
        <v/>
      </c>
      <c r="Z521" s="25" t="str">
        <f t="shared" si="442"/>
        <v/>
      </c>
      <c r="AA521" s="26" t="str">
        <f t="shared" si="443"/>
        <v/>
      </c>
      <c r="AF521" s="24" t="str">
        <f t="shared" si="444"/>
        <v/>
      </c>
      <c r="AG521" s="25" t="str">
        <f t="shared" si="445"/>
        <v/>
      </c>
      <c r="AH521" s="25" t="str">
        <f t="shared" si="446"/>
        <v/>
      </c>
      <c r="AI521" s="26" t="str">
        <f t="shared" si="447"/>
        <v/>
      </c>
      <c r="AQ521" s="27" t="str">
        <f t="shared" si="448"/>
        <v/>
      </c>
      <c r="AR521" t="str">
        <f t="shared" si="449"/>
        <v/>
      </c>
      <c r="AS521" t="str">
        <f t="shared" si="450"/>
        <v/>
      </c>
      <c r="AT521" s="28" t="str">
        <f t="shared" si="451"/>
        <v/>
      </c>
    </row>
    <row r="522" spans="5:46" x14ac:dyDescent="0.25">
      <c r="E522" s="24" t="str">
        <f t="shared" si="432"/>
        <v/>
      </c>
      <c r="F522" s="25" t="str">
        <f t="shared" si="433"/>
        <v/>
      </c>
      <c r="G522" s="25" t="str">
        <f t="shared" si="434"/>
        <v/>
      </c>
      <c r="H522" s="26" t="str">
        <f t="shared" si="435"/>
        <v/>
      </c>
      <c r="M522" s="24" t="str">
        <f t="shared" si="436"/>
        <v/>
      </c>
      <c r="N522" s="25" t="str">
        <f t="shared" si="437"/>
        <v/>
      </c>
      <c r="O522" s="25" t="str">
        <f t="shared" si="438"/>
        <v/>
      </c>
      <c r="P522" s="26" t="str">
        <f t="shared" si="439"/>
        <v/>
      </c>
      <c r="X522" s="24" t="str">
        <f t="shared" si="440"/>
        <v/>
      </c>
      <c r="Y522" s="25" t="str">
        <f t="shared" si="441"/>
        <v/>
      </c>
      <c r="Z522" s="25" t="str">
        <f t="shared" si="442"/>
        <v/>
      </c>
      <c r="AA522" s="26" t="str">
        <f t="shared" si="443"/>
        <v/>
      </c>
      <c r="AF522" s="24" t="str">
        <f t="shared" si="444"/>
        <v/>
      </c>
      <c r="AG522" s="25" t="str">
        <f t="shared" si="445"/>
        <v/>
      </c>
      <c r="AH522" s="25" t="str">
        <f t="shared" si="446"/>
        <v/>
      </c>
      <c r="AI522" s="26" t="str">
        <f t="shared" si="447"/>
        <v/>
      </c>
      <c r="AQ522" s="27" t="str">
        <f t="shared" si="448"/>
        <v/>
      </c>
      <c r="AR522" t="str">
        <f t="shared" si="449"/>
        <v/>
      </c>
      <c r="AS522" t="str">
        <f t="shared" si="450"/>
        <v/>
      </c>
      <c r="AT522" s="28" t="str">
        <f t="shared" si="451"/>
        <v/>
      </c>
    </row>
    <row r="523" spans="5:46" x14ac:dyDescent="0.25">
      <c r="E523" s="24" t="str">
        <f t="shared" si="432"/>
        <v/>
      </c>
      <c r="F523" s="25" t="str">
        <f t="shared" si="433"/>
        <v/>
      </c>
      <c r="G523" s="25" t="str">
        <f t="shared" si="434"/>
        <v/>
      </c>
      <c r="H523" s="26" t="str">
        <f t="shared" si="435"/>
        <v/>
      </c>
      <c r="M523" s="24" t="str">
        <f t="shared" si="436"/>
        <v/>
      </c>
      <c r="N523" s="25" t="str">
        <f t="shared" si="437"/>
        <v/>
      </c>
      <c r="O523" s="25" t="str">
        <f t="shared" si="438"/>
        <v/>
      </c>
      <c r="P523" s="26" t="str">
        <f t="shared" si="439"/>
        <v/>
      </c>
      <c r="X523" s="24" t="str">
        <f t="shared" si="440"/>
        <v/>
      </c>
      <c r="Y523" s="25" t="str">
        <f t="shared" si="441"/>
        <v/>
      </c>
      <c r="Z523" s="25" t="str">
        <f t="shared" si="442"/>
        <v/>
      </c>
      <c r="AA523" s="26" t="str">
        <f t="shared" si="443"/>
        <v/>
      </c>
      <c r="AF523" s="24" t="str">
        <f t="shared" si="444"/>
        <v/>
      </c>
      <c r="AG523" s="25" t="str">
        <f t="shared" si="445"/>
        <v/>
      </c>
      <c r="AH523" s="25" t="str">
        <f t="shared" si="446"/>
        <v/>
      </c>
      <c r="AI523" s="26" t="str">
        <f t="shared" si="447"/>
        <v/>
      </c>
      <c r="AQ523" s="27" t="str">
        <f t="shared" si="448"/>
        <v/>
      </c>
      <c r="AR523" t="str">
        <f t="shared" si="449"/>
        <v/>
      </c>
      <c r="AS523" t="str">
        <f t="shared" si="450"/>
        <v/>
      </c>
      <c r="AT523" s="28" t="str">
        <f t="shared" si="451"/>
        <v/>
      </c>
    </row>
    <row r="524" spans="5:46" x14ac:dyDescent="0.25">
      <c r="E524" s="24" t="str">
        <f t="shared" si="432"/>
        <v/>
      </c>
      <c r="F524" s="25" t="str">
        <f t="shared" si="433"/>
        <v/>
      </c>
      <c r="G524" s="25" t="str">
        <f t="shared" si="434"/>
        <v/>
      </c>
      <c r="H524" s="26" t="str">
        <f t="shared" si="435"/>
        <v/>
      </c>
      <c r="M524" s="24" t="str">
        <f t="shared" si="436"/>
        <v/>
      </c>
      <c r="N524" s="25" t="str">
        <f t="shared" si="437"/>
        <v/>
      </c>
      <c r="O524" s="25" t="str">
        <f t="shared" si="438"/>
        <v/>
      </c>
      <c r="P524" s="26" t="str">
        <f t="shared" si="439"/>
        <v/>
      </c>
      <c r="X524" s="24" t="str">
        <f t="shared" si="440"/>
        <v/>
      </c>
      <c r="Y524" s="25" t="str">
        <f t="shared" si="441"/>
        <v/>
      </c>
      <c r="Z524" s="25" t="str">
        <f t="shared" si="442"/>
        <v/>
      </c>
      <c r="AA524" s="26" t="str">
        <f t="shared" si="443"/>
        <v/>
      </c>
      <c r="AF524" s="24" t="str">
        <f t="shared" si="444"/>
        <v/>
      </c>
      <c r="AG524" s="25" t="str">
        <f t="shared" si="445"/>
        <v/>
      </c>
      <c r="AH524" s="25" t="str">
        <f t="shared" si="446"/>
        <v/>
      </c>
      <c r="AI524" s="26" t="str">
        <f t="shared" si="447"/>
        <v/>
      </c>
      <c r="AQ524" s="27" t="str">
        <f t="shared" si="448"/>
        <v/>
      </c>
      <c r="AR524" t="str">
        <f t="shared" si="449"/>
        <v/>
      </c>
      <c r="AS524" t="str">
        <f t="shared" si="450"/>
        <v/>
      </c>
      <c r="AT524" s="28" t="str">
        <f t="shared" si="451"/>
        <v/>
      </c>
    </row>
    <row r="525" spans="5:46" x14ac:dyDescent="0.25">
      <c r="E525" s="24" t="str">
        <f t="shared" si="432"/>
        <v/>
      </c>
      <c r="F525" s="25" t="str">
        <f t="shared" si="433"/>
        <v/>
      </c>
      <c r="G525" s="25" t="str">
        <f t="shared" si="434"/>
        <v/>
      </c>
      <c r="H525" s="26" t="str">
        <f t="shared" si="435"/>
        <v/>
      </c>
      <c r="M525" s="24" t="str">
        <f t="shared" si="436"/>
        <v/>
      </c>
      <c r="N525" s="25" t="str">
        <f t="shared" si="437"/>
        <v/>
      </c>
      <c r="O525" s="25" t="str">
        <f t="shared" si="438"/>
        <v/>
      </c>
      <c r="P525" s="26" t="str">
        <f t="shared" si="439"/>
        <v/>
      </c>
      <c r="X525" s="24" t="str">
        <f t="shared" si="440"/>
        <v/>
      </c>
      <c r="Y525" s="25" t="str">
        <f t="shared" si="441"/>
        <v/>
      </c>
      <c r="Z525" s="25" t="str">
        <f t="shared" si="442"/>
        <v/>
      </c>
      <c r="AA525" s="26" t="str">
        <f t="shared" si="443"/>
        <v/>
      </c>
      <c r="AF525" s="24" t="str">
        <f t="shared" si="444"/>
        <v/>
      </c>
      <c r="AG525" s="25" t="str">
        <f t="shared" si="445"/>
        <v/>
      </c>
      <c r="AH525" s="25" t="str">
        <f t="shared" si="446"/>
        <v/>
      </c>
      <c r="AI525" s="26" t="str">
        <f t="shared" si="447"/>
        <v/>
      </c>
      <c r="AQ525" s="27" t="str">
        <f t="shared" si="448"/>
        <v/>
      </c>
      <c r="AR525" t="str">
        <f t="shared" si="449"/>
        <v/>
      </c>
      <c r="AS525" t="str">
        <f t="shared" si="450"/>
        <v/>
      </c>
      <c r="AT525" s="28" t="str">
        <f t="shared" si="451"/>
        <v/>
      </c>
    </row>
    <row r="526" spans="5:46" x14ac:dyDescent="0.25">
      <c r="E526" s="24" t="str">
        <f t="shared" si="432"/>
        <v/>
      </c>
      <c r="F526" s="25" t="str">
        <f t="shared" si="433"/>
        <v/>
      </c>
      <c r="G526" s="25" t="str">
        <f t="shared" si="434"/>
        <v/>
      </c>
      <c r="H526" s="26" t="str">
        <f t="shared" si="435"/>
        <v/>
      </c>
      <c r="M526" s="24" t="str">
        <f t="shared" si="436"/>
        <v/>
      </c>
      <c r="N526" s="25" t="str">
        <f t="shared" si="437"/>
        <v/>
      </c>
      <c r="O526" s="25" t="str">
        <f t="shared" si="438"/>
        <v/>
      </c>
      <c r="P526" s="26" t="str">
        <f t="shared" si="439"/>
        <v/>
      </c>
      <c r="X526" s="24" t="str">
        <f t="shared" si="440"/>
        <v/>
      </c>
      <c r="Y526" s="25" t="str">
        <f t="shared" si="441"/>
        <v/>
      </c>
      <c r="Z526" s="25" t="str">
        <f t="shared" si="442"/>
        <v/>
      </c>
      <c r="AA526" s="26" t="str">
        <f t="shared" si="443"/>
        <v/>
      </c>
      <c r="AF526" s="24" t="str">
        <f t="shared" si="444"/>
        <v/>
      </c>
      <c r="AG526" s="25" t="str">
        <f t="shared" si="445"/>
        <v/>
      </c>
      <c r="AH526" s="25" t="str">
        <f t="shared" si="446"/>
        <v/>
      </c>
      <c r="AI526" s="26" t="str">
        <f t="shared" si="447"/>
        <v/>
      </c>
      <c r="AQ526" s="27" t="str">
        <f t="shared" si="448"/>
        <v/>
      </c>
      <c r="AR526" t="str">
        <f t="shared" si="449"/>
        <v/>
      </c>
      <c r="AS526" t="str">
        <f t="shared" si="450"/>
        <v/>
      </c>
      <c r="AT526" s="28" t="str">
        <f t="shared" si="451"/>
        <v/>
      </c>
    </row>
    <row r="527" spans="5:46" x14ac:dyDescent="0.25">
      <c r="E527" s="24" t="str">
        <f t="shared" si="432"/>
        <v/>
      </c>
      <c r="F527" s="25" t="str">
        <f t="shared" si="433"/>
        <v/>
      </c>
      <c r="G527" s="25" t="str">
        <f t="shared" si="434"/>
        <v/>
      </c>
      <c r="H527" s="26" t="str">
        <f t="shared" si="435"/>
        <v/>
      </c>
      <c r="M527" s="24" t="str">
        <f t="shared" si="436"/>
        <v/>
      </c>
      <c r="N527" s="25" t="str">
        <f t="shared" si="437"/>
        <v/>
      </c>
      <c r="O527" s="25" t="str">
        <f t="shared" si="438"/>
        <v/>
      </c>
      <c r="P527" s="26" t="str">
        <f t="shared" si="439"/>
        <v/>
      </c>
      <c r="X527" s="24" t="str">
        <f t="shared" si="440"/>
        <v/>
      </c>
      <c r="Y527" s="25" t="str">
        <f t="shared" si="441"/>
        <v/>
      </c>
      <c r="Z527" s="25" t="str">
        <f t="shared" si="442"/>
        <v/>
      </c>
      <c r="AA527" s="26" t="str">
        <f t="shared" si="443"/>
        <v/>
      </c>
      <c r="AF527" s="24" t="str">
        <f t="shared" si="444"/>
        <v/>
      </c>
      <c r="AG527" s="25" t="str">
        <f t="shared" si="445"/>
        <v/>
      </c>
      <c r="AH527" s="25" t="str">
        <f t="shared" si="446"/>
        <v/>
      </c>
      <c r="AI527" s="26" t="str">
        <f t="shared" si="447"/>
        <v/>
      </c>
      <c r="AQ527" s="27" t="str">
        <f t="shared" si="448"/>
        <v/>
      </c>
      <c r="AR527" t="str">
        <f t="shared" si="449"/>
        <v/>
      </c>
      <c r="AS527" t="str">
        <f t="shared" si="450"/>
        <v/>
      </c>
      <c r="AT527" s="28" t="str">
        <f t="shared" si="451"/>
        <v/>
      </c>
    </row>
    <row r="528" spans="5:46" x14ac:dyDescent="0.25">
      <c r="E528" s="24" t="str">
        <f t="shared" si="432"/>
        <v/>
      </c>
      <c r="F528" s="25" t="str">
        <f t="shared" si="433"/>
        <v/>
      </c>
      <c r="G528" s="25" t="str">
        <f t="shared" si="434"/>
        <v/>
      </c>
      <c r="H528" s="26" t="str">
        <f t="shared" si="435"/>
        <v/>
      </c>
      <c r="M528" s="24" t="str">
        <f t="shared" si="436"/>
        <v/>
      </c>
      <c r="N528" s="25" t="str">
        <f t="shared" si="437"/>
        <v/>
      </c>
      <c r="O528" s="25" t="str">
        <f t="shared" si="438"/>
        <v/>
      </c>
      <c r="P528" s="26" t="str">
        <f t="shared" si="439"/>
        <v/>
      </c>
      <c r="X528" s="24" t="str">
        <f t="shared" si="440"/>
        <v/>
      </c>
      <c r="Y528" s="25" t="str">
        <f t="shared" si="441"/>
        <v/>
      </c>
      <c r="Z528" s="25" t="str">
        <f t="shared" si="442"/>
        <v/>
      </c>
      <c r="AA528" s="26" t="str">
        <f t="shared" si="443"/>
        <v/>
      </c>
      <c r="AF528" s="24" t="str">
        <f t="shared" si="444"/>
        <v/>
      </c>
      <c r="AG528" s="25" t="str">
        <f t="shared" si="445"/>
        <v/>
      </c>
      <c r="AH528" s="25" t="str">
        <f t="shared" si="446"/>
        <v/>
      </c>
      <c r="AI528" s="26" t="str">
        <f t="shared" si="447"/>
        <v/>
      </c>
      <c r="AQ528" s="27" t="str">
        <f t="shared" si="448"/>
        <v/>
      </c>
      <c r="AR528" t="str">
        <f t="shared" si="449"/>
        <v/>
      </c>
      <c r="AS528" t="str">
        <f t="shared" si="450"/>
        <v/>
      </c>
      <c r="AT528" s="28" t="str">
        <f t="shared" si="451"/>
        <v/>
      </c>
    </row>
    <row r="529" spans="5:46" x14ac:dyDescent="0.25">
      <c r="E529" s="24" t="str">
        <f t="shared" si="432"/>
        <v/>
      </c>
      <c r="F529" s="25" t="str">
        <f t="shared" si="433"/>
        <v/>
      </c>
      <c r="G529" s="25" t="str">
        <f t="shared" si="434"/>
        <v/>
      </c>
      <c r="H529" s="26" t="str">
        <f t="shared" si="435"/>
        <v/>
      </c>
      <c r="M529" s="24" t="str">
        <f t="shared" si="436"/>
        <v/>
      </c>
      <c r="N529" s="25" t="str">
        <f t="shared" si="437"/>
        <v/>
      </c>
      <c r="O529" s="25" t="str">
        <f t="shared" si="438"/>
        <v/>
      </c>
      <c r="P529" s="26" t="str">
        <f t="shared" si="439"/>
        <v/>
      </c>
      <c r="X529" s="24" t="str">
        <f t="shared" si="440"/>
        <v/>
      </c>
      <c r="Y529" s="25" t="str">
        <f t="shared" si="441"/>
        <v/>
      </c>
      <c r="Z529" s="25" t="str">
        <f t="shared" si="442"/>
        <v/>
      </c>
      <c r="AA529" s="26" t="str">
        <f t="shared" si="443"/>
        <v/>
      </c>
      <c r="AF529" s="24" t="str">
        <f t="shared" si="444"/>
        <v/>
      </c>
      <c r="AG529" s="25" t="str">
        <f t="shared" si="445"/>
        <v/>
      </c>
      <c r="AH529" s="25" t="str">
        <f t="shared" si="446"/>
        <v/>
      </c>
      <c r="AI529" s="26" t="str">
        <f t="shared" si="447"/>
        <v/>
      </c>
      <c r="AQ529" s="27" t="str">
        <f t="shared" si="448"/>
        <v/>
      </c>
      <c r="AR529" t="str">
        <f t="shared" si="449"/>
        <v/>
      </c>
      <c r="AS529" t="str">
        <f t="shared" si="450"/>
        <v/>
      </c>
      <c r="AT529" s="28" t="str">
        <f t="shared" si="451"/>
        <v/>
      </c>
    </row>
    <row r="530" spans="5:46" x14ac:dyDescent="0.25">
      <c r="E530" s="24" t="str">
        <f t="shared" si="432"/>
        <v/>
      </c>
      <c r="F530" s="25" t="str">
        <f t="shared" si="433"/>
        <v/>
      </c>
      <c r="G530" s="25" t="str">
        <f t="shared" si="434"/>
        <v/>
      </c>
      <c r="H530" s="26" t="str">
        <f t="shared" si="435"/>
        <v/>
      </c>
      <c r="M530" s="24" t="str">
        <f t="shared" si="436"/>
        <v/>
      </c>
      <c r="N530" s="25" t="str">
        <f t="shared" si="437"/>
        <v/>
      </c>
      <c r="O530" s="25" t="str">
        <f t="shared" si="438"/>
        <v/>
      </c>
      <c r="P530" s="26" t="str">
        <f t="shared" si="439"/>
        <v/>
      </c>
      <c r="X530" s="24" t="str">
        <f t="shared" si="440"/>
        <v/>
      </c>
      <c r="Y530" s="25" t="str">
        <f t="shared" si="441"/>
        <v/>
      </c>
      <c r="Z530" s="25" t="str">
        <f t="shared" si="442"/>
        <v/>
      </c>
      <c r="AA530" s="26" t="str">
        <f t="shared" si="443"/>
        <v/>
      </c>
      <c r="AF530" s="24" t="str">
        <f t="shared" si="444"/>
        <v/>
      </c>
      <c r="AG530" s="25" t="str">
        <f t="shared" si="445"/>
        <v/>
      </c>
      <c r="AH530" s="25" t="str">
        <f t="shared" si="446"/>
        <v/>
      </c>
      <c r="AI530" s="26" t="str">
        <f t="shared" si="447"/>
        <v/>
      </c>
      <c r="AQ530" s="27" t="str">
        <f t="shared" si="448"/>
        <v/>
      </c>
      <c r="AR530" t="str">
        <f t="shared" si="449"/>
        <v/>
      </c>
      <c r="AS530" t="str">
        <f t="shared" si="450"/>
        <v/>
      </c>
      <c r="AT530" s="28" t="str">
        <f t="shared" si="451"/>
        <v/>
      </c>
    </row>
    <row r="531" spans="5:46" x14ac:dyDescent="0.25">
      <c r="E531" s="24" t="str">
        <f t="shared" ref="E531:E562" si="452">IF($E$431&gt;$F$431,$E399,$F399)</f>
        <v/>
      </c>
      <c r="F531" s="25" t="str">
        <f t="shared" ref="F531:F562" si="453">IF($G$431&gt;$H$431,$G399,$H399)</f>
        <v/>
      </c>
      <c r="G531" s="25" t="str">
        <f t="shared" ref="G531:G562" si="454">IF($I$431&gt;$J$431,$I399,$J399)</f>
        <v/>
      </c>
      <c r="H531" s="26" t="str">
        <f t="shared" ref="H531:H562" si="455">IF($K$431&gt;$L$431,$K399,$L399)</f>
        <v/>
      </c>
      <c r="M531" s="24" t="str">
        <f t="shared" ref="M531:M562" si="456">IF($M$431&gt;$N$431,$M399,$N399)</f>
        <v/>
      </c>
      <c r="N531" s="25" t="str">
        <f t="shared" ref="N531:N562" si="457">IF($O$431&gt;$P$431,$O399,$P399)</f>
        <v/>
      </c>
      <c r="O531" s="25" t="str">
        <f t="shared" ref="O531:O562" si="458">IF($Q$431&gt;$R$431,$Q399,$R399)</f>
        <v/>
      </c>
      <c r="P531" s="26" t="str">
        <f t="shared" ref="P531:P562" si="459">IF($S$431&gt;$T$431,$S399,$T399)</f>
        <v/>
      </c>
      <c r="X531" s="24" t="str">
        <f t="shared" ref="X531:X562" si="460">IF($X$431&gt;$Y$431,$X399,$Y399)</f>
        <v/>
      </c>
      <c r="Y531" s="25" t="str">
        <f t="shared" ref="Y531:Y562" si="461">IF($Z$431&gt;$AA$431,$Z399,$AA399)</f>
        <v/>
      </c>
      <c r="Z531" s="25" t="str">
        <f t="shared" ref="Z531:Z562" si="462">IF($AB$431&gt;$AC$431,$AB399,$AC399)</f>
        <v/>
      </c>
      <c r="AA531" s="26" t="str">
        <f t="shared" ref="AA531:AA562" si="463">IF($AD$431&gt;$AE$431,$AD399,$AE399)</f>
        <v/>
      </c>
      <c r="AF531" s="24" t="str">
        <f t="shared" ref="AF531:AF562" si="464">IF($AF$431&gt;$AG$431,$AF399,$AG399)</f>
        <v/>
      </c>
      <c r="AG531" s="25" t="str">
        <f t="shared" ref="AG531:AG562" si="465">IF($AH$431&gt;$AI$431,$AH399,$AI399)</f>
        <v/>
      </c>
      <c r="AH531" s="25" t="str">
        <f t="shared" ref="AH531:AH562" si="466">IF($AJ$431&gt;$AK$431,$AJ399,$AK399)</f>
        <v/>
      </c>
      <c r="AI531" s="26" t="str">
        <f t="shared" ref="AI531:AI562" si="467">IF($AL$431&gt;$AM$431,$AL399,$AM399)</f>
        <v/>
      </c>
      <c r="AQ531" s="27" t="str">
        <f t="shared" ref="AQ531:AQ562" si="468">IF($AQ$431&gt;$AR$431,$AQ399,$AR399)</f>
        <v/>
      </c>
      <c r="AR531" t="str">
        <f t="shared" ref="AR531:AR562" si="469">IF($AS$431&gt;$AT$431,$AS399,$AT399)</f>
        <v/>
      </c>
      <c r="AS531" t="str">
        <f t="shared" ref="AS531:AS562" si="470">IF($AU$431&gt;$AV$431,$AU399,$AV399)</f>
        <v/>
      </c>
      <c r="AT531" s="28" t="str">
        <f t="shared" ref="AT531:AT562" si="471">IF($AW$431&gt;$AX$431,$AW399,$AX399)</f>
        <v/>
      </c>
    </row>
    <row r="532" spans="5:46" x14ac:dyDescent="0.25">
      <c r="E532" s="24" t="str">
        <f t="shared" si="452"/>
        <v/>
      </c>
      <c r="F532" s="25" t="str">
        <f t="shared" si="453"/>
        <v/>
      </c>
      <c r="G532" s="25" t="str">
        <f t="shared" si="454"/>
        <v/>
      </c>
      <c r="H532" s="26" t="str">
        <f t="shared" si="455"/>
        <v/>
      </c>
      <c r="M532" s="24" t="str">
        <f t="shared" si="456"/>
        <v/>
      </c>
      <c r="N532" s="25" t="str">
        <f t="shared" si="457"/>
        <v/>
      </c>
      <c r="O532" s="25" t="str">
        <f t="shared" si="458"/>
        <v/>
      </c>
      <c r="P532" s="26" t="str">
        <f t="shared" si="459"/>
        <v/>
      </c>
      <c r="X532" s="24" t="str">
        <f t="shared" si="460"/>
        <v/>
      </c>
      <c r="Y532" s="25" t="str">
        <f t="shared" si="461"/>
        <v/>
      </c>
      <c r="Z532" s="25" t="str">
        <f t="shared" si="462"/>
        <v/>
      </c>
      <c r="AA532" s="26" t="str">
        <f t="shared" si="463"/>
        <v/>
      </c>
      <c r="AF532" s="24" t="str">
        <f t="shared" si="464"/>
        <v/>
      </c>
      <c r="AG532" s="25" t="str">
        <f t="shared" si="465"/>
        <v/>
      </c>
      <c r="AH532" s="25" t="str">
        <f t="shared" si="466"/>
        <v/>
      </c>
      <c r="AI532" s="26" t="str">
        <f t="shared" si="467"/>
        <v/>
      </c>
      <c r="AQ532" s="27" t="str">
        <f t="shared" si="468"/>
        <v/>
      </c>
      <c r="AR532" t="str">
        <f t="shared" si="469"/>
        <v/>
      </c>
      <c r="AS532" t="str">
        <f t="shared" si="470"/>
        <v/>
      </c>
      <c r="AT532" s="28" t="str">
        <f t="shared" si="471"/>
        <v/>
      </c>
    </row>
    <row r="533" spans="5:46" x14ac:dyDescent="0.25">
      <c r="E533" s="24" t="str">
        <f t="shared" si="452"/>
        <v/>
      </c>
      <c r="F533" s="25" t="str">
        <f t="shared" si="453"/>
        <v/>
      </c>
      <c r="G533" s="25" t="str">
        <f t="shared" si="454"/>
        <v/>
      </c>
      <c r="H533" s="26" t="str">
        <f t="shared" si="455"/>
        <v/>
      </c>
      <c r="M533" s="24" t="str">
        <f t="shared" si="456"/>
        <v/>
      </c>
      <c r="N533" s="25" t="str">
        <f t="shared" si="457"/>
        <v/>
      </c>
      <c r="O533" s="25" t="str">
        <f t="shared" si="458"/>
        <v/>
      </c>
      <c r="P533" s="26" t="str">
        <f t="shared" si="459"/>
        <v/>
      </c>
      <c r="X533" s="24" t="str">
        <f t="shared" si="460"/>
        <v/>
      </c>
      <c r="Y533" s="25" t="str">
        <f t="shared" si="461"/>
        <v/>
      </c>
      <c r="Z533" s="25" t="str">
        <f t="shared" si="462"/>
        <v/>
      </c>
      <c r="AA533" s="26" t="str">
        <f t="shared" si="463"/>
        <v/>
      </c>
      <c r="AF533" s="24" t="str">
        <f t="shared" si="464"/>
        <v/>
      </c>
      <c r="AG533" s="25" t="str">
        <f t="shared" si="465"/>
        <v/>
      </c>
      <c r="AH533" s="25" t="str">
        <f t="shared" si="466"/>
        <v/>
      </c>
      <c r="AI533" s="26" t="str">
        <f t="shared" si="467"/>
        <v/>
      </c>
      <c r="AQ533" s="27" t="str">
        <f t="shared" si="468"/>
        <v/>
      </c>
      <c r="AR533" t="str">
        <f t="shared" si="469"/>
        <v/>
      </c>
      <c r="AS533" t="str">
        <f t="shared" si="470"/>
        <v/>
      </c>
      <c r="AT533" s="28" t="str">
        <f t="shared" si="471"/>
        <v/>
      </c>
    </row>
    <row r="534" spans="5:46" x14ac:dyDescent="0.25">
      <c r="E534" s="24" t="str">
        <f t="shared" si="452"/>
        <v/>
      </c>
      <c r="F534" s="25" t="str">
        <f t="shared" si="453"/>
        <v/>
      </c>
      <c r="G534" s="25" t="str">
        <f t="shared" si="454"/>
        <v/>
      </c>
      <c r="H534" s="26" t="str">
        <f t="shared" si="455"/>
        <v/>
      </c>
      <c r="M534" s="24" t="str">
        <f t="shared" si="456"/>
        <v/>
      </c>
      <c r="N534" s="25" t="str">
        <f t="shared" si="457"/>
        <v/>
      </c>
      <c r="O534" s="25" t="str">
        <f t="shared" si="458"/>
        <v/>
      </c>
      <c r="P534" s="26" t="str">
        <f t="shared" si="459"/>
        <v/>
      </c>
      <c r="X534" s="24" t="str">
        <f t="shared" si="460"/>
        <v/>
      </c>
      <c r="Y534" s="25" t="str">
        <f t="shared" si="461"/>
        <v/>
      </c>
      <c r="Z534" s="25" t="str">
        <f t="shared" si="462"/>
        <v/>
      </c>
      <c r="AA534" s="26" t="str">
        <f t="shared" si="463"/>
        <v/>
      </c>
      <c r="AF534" s="24" t="str">
        <f t="shared" si="464"/>
        <v/>
      </c>
      <c r="AG534" s="25" t="str">
        <f t="shared" si="465"/>
        <v/>
      </c>
      <c r="AH534" s="25" t="str">
        <f t="shared" si="466"/>
        <v/>
      </c>
      <c r="AI534" s="26" t="str">
        <f t="shared" si="467"/>
        <v/>
      </c>
      <c r="AQ534" s="27" t="str">
        <f t="shared" si="468"/>
        <v/>
      </c>
      <c r="AR534" t="str">
        <f t="shared" si="469"/>
        <v/>
      </c>
      <c r="AS534" t="str">
        <f t="shared" si="470"/>
        <v/>
      </c>
      <c r="AT534" s="28" t="str">
        <f t="shared" si="471"/>
        <v/>
      </c>
    </row>
    <row r="535" spans="5:46" x14ac:dyDescent="0.25">
      <c r="E535" s="24" t="str">
        <f t="shared" si="452"/>
        <v/>
      </c>
      <c r="F535" s="25" t="str">
        <f t="shared" si="453"/>
        <v/>
      </c>
      <c r="G535" s="25" t="str">
        <f t="shared" si="454"/>
        <v/>
      </c>
      <c r="H535" s="26" t="str">
        <f t="shared" si="455"/>
        <v/>
      </c>
      <c r="M535" s="24" t="str">
        <f t="shared" si="456"/>
        <v/>
      </c>
      <c r="N535" s="25" t="str">
        <f t="shared" si="457"/>
        <v/>
      </c>
      <c r="O535" s="25" t="str">
        <f t="shared" si="458"/>
        <v/>
      </c>
      <c r="P535" s="26" t="str">
        <f t="shared" si="459"/>
        <v/>
      </c>
      <c r="X535" s="24" t="str">
        <f t="shared" si="460"/>
        <v/>
      </c>
      <c r="Y535" s="25" t="str">
        <f t="shared" si="461"/>
        <v/>
      </c>
      <c r="Z535" s="25" t="str">
        <f t="shared" si="462"/>
        <v/>
      </c>
      <c r="AA535" s="26" t="str">
        <f t="shared" si="463"/>
        <v/>
      </c>
      <c r="AF535" s="24" t="str">
        <f t="shared" si="464"/>
        <v/>
      </c>
      <c r="AG535" s="25" t="str">
        <f t="shared" si="465"/>
        <v/>
      </c>
      <c r="AH535" s="25" t="str">
        <f t="shared" si="466"/>
        <v/>
      </c>
      <c r="AI535" s="26" t="str">
        <f t="shared" si="467"/>
        <v/>
      </c>
      <c r="AQ535" s="27" t="str">
        <f t="shared" si="468"/>
        <v/>
      </c>
      <c r="AR535" t="str">
        <f t="shared" si="469"/>
        <v/>
      </c>
      <c r="AS535" t="str">
        <f t="shared" si="470"/>
        <v/>
      </c>
      <c r="AT535" s="28" t="str">
        <f t="shared" si="471"/>
        <v/>
      </c>
    </row>
    <row r="536" spans="5:46" x14ac:dyDescent="0.25">
      <c r="E536" s="24" t="str">
        <f t="shared" si="452"/>
        <v/>
      </c>
      <c r="F536" s="25" t="str">
        <f t="shared" si="453"/>
        <v/>
      </c>
      <c r="G536" s="25" t="str">
        <f t="shared" si="454"/>
        <v/>
      </c>
      <c r="H536" s="26" t="str">
        <f t="shared" si="455"/>
        <v/>
      </c>
      <c r="M536" s="24" t="str">
        <f t="shared" si="456"/>
        <v/>
      </c>
      <c r="N536" s="25" t="str">
        <f t="shared" si="457"/>
        <v/>
      </c>
      <c r="O536" s="25" t="str">
        <f t="shared" si="458"/>
        <v/>
      </c>
      <c r="P536" s="26" t="str">
        <f t="shared" si="459"/>
        <v/>
      </c>
      <c r="X536" s="24" t="str">
        <f t="shared" si="460"/>
        <v/>
      </c>
      <c r="Y536" s="25" t="str">
        <f t="shared" si="461"/>
        <v/>
      </c>
      <c r="Z536" s="25" t="str">
        <f t="shared" si="462"/>
        <v/>
      </c>
      <c r="AA536" s="26" t="str">
        <f t="shared" si="463"/>
        <v/>
      </c>
      <c r="AF536" s="24" t="str">
        <f t="shared" si="464"/>
        <v/>
      </c>
      <c r="AG536" s="25" t="str">
        <f t="shared" si="465"/>
        <v/>
      </c>
      <c r="AH536" s="25" t="str">
        <f t="shared" si="466"/>
        <v/>
      </c>
      <c r="AI536" s="26" t="str">
        <f t="shared" si="467"/>
        <v/>
      </c>
      <c r="AQ536" s="27" t="str">
        <f t="shared" si="468"/>
        <v/>
      </c>
      <c r="AR536" t="str">
        <f t="shared" si="469"/>
        <v/>
      </c>
      <c r="AS536" t="str">
        <f t="shared" si="470"/>
        <v/>
      </c>
      <c r="AT536" s="28" t="str">
        <f t="shared" si="471"/>
        <v/>
      </c>
    </row>
    <row r="537" spans="5:46" x14ac:dyDescent="0.25">
      <c r="E537" s="24" t="str">
        <f t="shared" si="452"/>
        <v/>
      </c>
      <c r="F537" s="25" t="str">
        <f t="shared" si="453"/>
        <v/>
      </c>
      <c r="G537" s="25" t="str">
        <f t="shared" si="454"/>
        <v/>
      </c>
      <c r="H537" s="26" t="str">
        <f t="shared" si="455"/>
        <v/>
      </c>
      <c r="M537" s="24" t="str">
        <f t="shared" si="456"/>
        <v/>
      </c>
      <c r="N537" s="25" t="str">
        <f t="shared" si="457"/>
        <v/>
      </c>
      <c r="O537" s="25" t="str">
        <f t="shared" si="458"/>
        <v/>
      </c>
      <c r="P537" s="26" t="str">
        <f t="shared" si="459"/>
        <v/>
      </c>
      <c r="X537" s="24" t="str">
        <f t="shared" si="460"/>
        <v/>
      </c>
      <c r="Y537" s="25" t="str">
        <f t="shared" si="461"/>
        <v/>
      </c>
      <c r="Z537" s="25" t="str">
        <f t="shared" si="462"/>
        <v/>
      </c>
      <c r="AA537" s="26" t="str">
        <f t="shared" si="463"/>
        <v/>
      </c>
      <c r="AF537" s="24" t="str">
        <f t="shared" si="464"/>
        <v/>
      </c>
      <c r="AG537" s="25" t="str">
        <f t="shared" si="465"/>
        <v/>
      </c>
      <c r="AH537" s="25" t="str">
        <f t="shared" si="466"/>
        <v/>
      </c>
      <c r="AI537" s="26" t="str">
        <f t="shared" si="467"/>
        <v/>
      </c>
      <c r="AQ537" s="27" t="str">
        <f t="shared" si="468"/>
        <v/>
      </c>
      <c r="AR537" t="str">
        <f t="shared" si="469"/>
        <v/>
      </c>
      <c r="AS537" t="str">
        <f t="shared" si="470"/>
        <v/>
      </c>
      <c r="AT537" s="28" t="str">
        <f t="shared" si="471"/>
        <v/>
      </c>
    </row>
    <row r="538" spans="5:46" x14ac:dyDescent="0.25">
      <c r="E538" s="24" t="str">
        <f t="shared" si="452"/>
        <v/>
      </c>
      <c r="F538" s="25" t="str">
        <f t="shared" si="453"/>
        <v/>
      </c>
      <c r="G538" s="25" t="str">
        <f t="shared" si="454"/>
        <v/>
      </c>
      <c r="H538" s="26" t="str">
        <f t="shared" si="455"/>
        <v/>
      </c>
      <c r="M538" s="24" t="str">
        <f t="shared" si="456"/>
        <v/>
      </c>
      <c r="N538" s="25" t="str">
        <f t="shared" si="457"/>
        <v/>
      </c>
      <c r="O538" s="25" t="str">
        <f t="shared" si="458"/>
        <v/>
      </c>
      <c r="P538" s="26" t="str">
        <f t="shared" si="459"/>
        <v/>
      </c>
      <c r="X538" s="24" t="str">
        <f t="shared" si="460"/>
        <v/>
      </c>
      <c r="Y538" s="25" t="str">
        <f t="shared" si="461"/>
        <v/>
      </c>
      <c r="Z538" s="25" t="str">
        <f t="shared" si="462"/>
        <v/>
      </c>
      <c r="AA538" s="26" t="str">
        <f t="shared" si="463"/>
        <v/>
      </c>
      <c r="AF538" s="24" t="str">
        <f t="shared" si="464"/>
        <v/>
      </c>
      <c r="AG538" s="25" t="str">
        <f t="shared" si="465"/>
        <v/>
      </c>
      <c r="AH538" s="25" t="str">
        <f t="shared" si="466"/>
        <v/>
      </c>
      <c r="AI538" s="26" t="str">
        <f t="shared" si="467"/>
        <v/>
      </c>
      <c r="AQ538" s="27" t="str">
        <f t="shared" si="468"/>
        <v/>
      </c>
      <c r="AR538" t="str">
        <f t="shared" si="469"/>
        <v/>
      </c>
      <c r="AS538" t="str">
        <f t="shared" si="470"/>
        <v/>
      </c>
      <c r="AT538" s="28" t="str">
        <f t="shared" si="471"/>
        <v/>
      </c>
    </row>
    <row r="539" spans="5:46" x14ac:dyDescent="0.25">
      <c r="E539" s="24" t="str">
        <f t="shared" si="452"/>
        <v/>
      </c>
      <c r="F539" s="25" t="str">
        <f t="shared" si="453"/>
        <v/>
      </c>
      <c r="G539" s="25" t="str">
        <f t="shared" si="454"/>
        <v/>
      </c>
      <c r="H539" s="26" t="str">
        <f t="shared" si="455"/>
        <v/>
      </c>
      <c r="M539" s="24" t="str">
        <f t="shared" si="456"/>
        <v/>
      </c>
      <c r="N539" s="25" t="str">
        <f t="shared" si="457"/>
        <v/>
      </c>
      <c r="O539" s="25" t="str">
        <f t="shared" si="458"/>
        <v/>
      </c>
      <c r="P539" s="26" t="str">
        <f t="shared" si="459"/>
        <v/>
      </c>
      <c r="X539" s="24" t="str">
        <f t="shared" si="460"/>
        <v/>
      </c>
      <c r="Y539" s="25" t="str">
        <f t="shared" si="461"/>
        <v/>
      </c>
      <c r="Z539" s="25" t="str">
        <f t="shared" si="462"/>
        <v/>
      </c>
      <c r="AA539" s="26" t="str">
        <f t="shared" si="463"/>
        <v/>
      </c>
      <c r="AF539" s="24" t="str">
        <f t="shared" si="464"/>
        <v/>
      </c>
      <c r="AG539" s="25" t="str">
        <f t="shared" si="465"/>
        <v/>
      </c>
      <c r="AH539" s="25" t="str">
        <f t="shared" si="466"/>
        <v/>
      </c>
      <c r="AI539" s="26" t="str">
        <f t="shared" si="467"/>
        <v/>
      </c>
      <c r="AQ539" s="27" t="str">
        <f t="shared" si="468"/>
        <v/>
      </c>
      <c r="AR539" t="str">
        <f t="shared" si="469"/>
        <v/>
      </c>
      <c r="AS539" t="str">
        <f t="shared" si="470"/>
        <v/>
      </c>
      <c r="AT539" s="28" t="str">
        <f t="shared" si="471"/>
        <v/>
      </c>
    </row>
    <row r="540" spans="5:46" x14ac:dyDescent="0.25">
      <c r="E540" s="24" t="str">
        <f t="shared" si="452"/>
        <v/>
      </c>
      <c r="F540" s="25" t="str">
        <f t="shared" si="453"/>
        <v/>
      </c>
      <c r="G540" s="25" t="str">
        <f t="shared" si="454"/>
        <v/>
      </c>
      <c r="H540" s="26" t="str">
        <f t="shared" si="455"/>
        <v/>
      </c>
      <c r="M540" s="24" t="str">
        <f t="shared" si="456"/>
        <v/>
      </c>
      <c r="N540" s="25" t="str">
        <f t="shared" si="457"/>
        <v/>
      </c>
      <c r="O540" s="25" t="str">
        <f t="shared" si="458"/>
        <v/>
      </c>
      <c r="P540" s="26" t="str">
        <f t="shared" si="459"/>
        <v/>
      </c>
      <c r="X540" s="24" t="str">
        <f t="shared" si="460"/>
        <v/>
      </c>
      <c r="Y540" s="25" t="str">
        <f t="shared" si="461"/>
        <v/>
      </c>
      <c r="Z540" s="25" t="str">
        <f t="shared" si="462"/>
        <v/>
      </c>
      <c r="AA540" s="26" t="str">
        <f t="shared" si="463"/>
        <v/>
      </c>
      <c r="AF540" s="24" t="str">
        <f t="shared" si="464"/>
        <v/>
      </c>
      <c r="AG540" s="25" t="str">
        <f t="shared" si="465"/>
        <v/>
      </c>
      <c r="AH540" s="25" t="str">
        <f t="shared" si="466"/>
        <v/>
      </c>
      <c r="AI540" s="26" t="str">
        <f t="shared" si="467"/>
        <v/>
      </c>
      <c r="AQ540" s="27" t="str">
        <f t="shared" si="468"/>
        <v/>
      </c>
      <c r="AR540" t="str">
        <f t="shared" si="469"/>
        <v/>
      </c>
      <c r="AS540" t="str">
        <f t="shared" si="470"/>
        <v/>
      </c>
      <c r="AT540" s="28" t="str">
        <f t="shared" si="471"/>
        <v/>
      </c>
    </row>
    <row r="541" spans="5:46" x14ac:dyDescent="0.25">
      <c r="E541" s="24" t="str">
        <f t="shared" si="452"/>
        <v/>
      </c>
      <c r="F541" s="25" t="str">
        <f t="shared" si="453"/>
        <v/>
      </c>
      <c r="G541" s="25" t="str">
        <f t="shared" si="454"/>
        <v/>
      </c>
      <c r="H541" s="26" t="str">
        <f t="shared" si="455"/>
        <v/>
      </c>
      <c r="M541" s="24" t="str">
        <f t="shared" si="456"/>
        <v/>
      </c>
      <c r="N541" s="25" t="str">
        <f t="shared" si="457"/>
        <v/>
      </c>
      <c r="O541" s="25" t="str">
        <f t="shared" si="458"/>
        <v/>
      </c>
      <c r="P541" s="26" t="str">
        <f t="shared" si="459"/>
        <v/>
      </c>
      <c r="X541" s="24" t="str">
        <f t="shared" si="460"/>
        <v/>
      </c>
      <c r="Y541" s="25" t="str">
        <f t="shared" si="461"/>
        <v/>
      </c>
      <c r="Z541" s="25" t="str">
        <f t="shared" si="462"/>
        <v/>
      </c>
      <c r="AA541" s="26" t="str">
        <f t="shared" si="463"/>
        <v/>
      </c>
      <c r="AF541" s="24" t="str">
        <f t="shared" si="464"/>
        <v/>
      </c>
      <c r="AG541" s="25" t="str">
        <f t="shared" si="465"/>
        <v/>
      </c>
      <c r="AH541" s="25" t="str">
        <f t="shared" si="466"/>
        <v/>
      </c>
      <c r="AI541" s="26" t="str">
        <f t="shared" si="467"/>
        <v/>
      </c>
      <c r="AQ541" s="27" t="str">
        <f t="shared" si="468"/>
        <v/>
      </c>
      <c r="AR541" t="str">
        <f t="shared" si="469"/>
        <v/>
      </c>
      <c r="AS541" t="str">
        <f t="shared" si="470"/>
        <v/>
      </c>
      <c r="AT541" s="28" t="str">
        <f t="shared" si="471"/>
        <v/>
      </c>
    </row>
    <row r="542" spans="5:46" x14ac:dyDescent="0.25">
      <c r="E542" s="24" t="str">
        <f t="shared" si="452"/>
        <v/>
      </c>
      <c r="F542" s="25" t="str">
        <f t="shared" si="453"/>
        <v/>
      </c>
      <c r="G542" s="25" t="str">
        <f t="shared" si="454"/>
        <v/>
      </c>
      <c r="H542" s="26" t="str">
        <f t="shared" si="455"/>
        <v/>
      </c>
      <c r="M542" s="24" t="str">
        <f t="shared" si="456"/>
        <v/>
      </c>
      <c r="N542" s="25" t="str">
        <f t="shared" si="457"/>
        <v/>
      </c>
      <c r="O542" s="25" t="str">
        <f t="shared" si="458"/>
        <v/>
      </c>
      <c r="P542" s="26" t="str">
        <f t="shared" si="459"/>
        <v/>
      </c>
      <c r="X542" s="24" t="str">
        <f t="shared" si="460"/>
        <v/>
      </c>
      <c r="Y542" s="25" t="str">
        <f t="shared" si="461"/>
        <v/>
      </c>
      <c r="Z542" s="25" t="str">
        <f t="shared" si="462"/>
        <v/>
      </c>
      <c r="AA542" s="26" t="str">
        <f t="shared" si="463"/>
        <v/>
      </c>
      <c r="AF542" s="24" t="str">
        <f t="shared" si="464"/>
        <v/>
      </c>
      <c r="AG542" s="25" t="str">
        <f t="shared" si="465"/>
        <v/>
      </c>
      <c r="AH542" s="25" t="str">
        <f t="shared" si="466"/>
        <v/>
      </c>
      <c r="AI542" s="26" t="str">
        <f t="shared" si="467"/>
        <v/>
      </c>
      <c r="AQ542" s="27" t="str">
        <f t="shared" si="468"/>
        <v/>
      </c>
      <c r="AR542" t="str">
        <f t="shared" si="469"/>
        <v/>
      </c>
      <c r="AS542" t="str">
        <f t="shared" si="470"/>
        <v/>
      </c>
      <c r="AT542" s="28" t="str">
        <f t="shared" si="471"/>
        <v/>
      </c>
    </row>
    <row r="543" spans="5:46" x14ac:dyDescent="0.25">
      <c r="E543" s="24" t="str">
        <f t="shared" si="452"/>
        <v/>
      </c>
      <c r="F543" s="25" t="str">
        <f t="shared" si="453"/>
        <v/>
      </c>
      <c r="G543" s="25" t="str">
        <f t="shared" si="454"/>
        <v/>
      </c>
      <c r="H543" s="26" t="str">
        <f t="shared" si="455"/>
        <v/>
      </c>
      <c r="M543" s="24" t="str">
        <f t="shared" si="456"/>
        <v/>
      </c>
      <c r="N543" s="25" t="str">
        <f t="shared" si="457"/>
        <v/>
      </c>
      <c r="O543" s="25" t="str">
        <f t="shared" si="458"/>
        <v/>
      </c>
      <c r="P543" s="26" t="str">
        <f t="shared" si="459"/>
        <v/>
      </c>
      <c r="X543" s="24" t="str">
        <f t="shared" si="460"/>
        <v/>
      </c>
      <c r="Y543" s="25" t="str">
        <f t="shared" si="461"/>
        <v/>
      </c>
      <c r="Z543" s="25" t="str">
        <f t="shared" si="462"/>
        <v/>
      </c>
      <c r="AA543" s="26" t="str">
        <f t="shared" si="463"/>
        <v/>
      </c>
      <c r="AF543" s="24" t="str">
        <f t="shared" si="464"/>
        <v/>
      </c>
      <c r="AG543" s="25" t="str">
        <f t="shared" si="465"/>
        <v/>
      </c>
      <c r="AH543" s="25" t="str">
        <f t="shared" si="466"/>
        <v/>
      </c>
      <c r="AI543" s="26" t="str">
        <f t="shared" si="467"/>
        <v/>
      </c>
      <c r="AQ543" s="27" t="str">
        <f t="shared" si="468"/>
        <v/>
      </c>
      <c r="AR543" t="str">
        <f t="shared" si="469"/>
        <v/>
      </c>
      <c r="AS543" t="str">
        <f t="shared" si="470"/>
        <v/>
      </c>
      <c r="AT543" s="28" t="str">
        <f t="shared" si="471"/>
        <v/>
      </c>
    </row>
    <row r="544" spans="5:46" x14ac:dyDescent="0.25">
      <c r="E544" s="24" t="str">
        <f t="shared" si="452"/>
        <v/>
      </c>
      <c r="F544" s="25" t="str">
        <f t="shared" si="453"/>
        <v/>
      </c>
      <c r="G544" s="25" t="str">
        <f t="shared" si="454"/>
        <v/>
      </c>
      <c r="H544" s="26" t="str">
        <f t="shared" si="455"/>
        <v/>
      </c>
      <c r="M544" s="24" t="str">
        <f t="shared" si="456"/>
        <v/>
      </c>
      <c r="N544" s="25" t="str">
        <f t="shared" si="457"/>
        <v/>
      </c>
      <c r="O544" s="25" t="str">
        <f t="shared" si="458"/>
        <v/>
      </c>
      <c r="P544" s="26" t="str">
        <f t="shared" si="459"/>
        <v/>
      </c>
      <c r="X544" s="24" t="str">
        <f t="shared" si="460"/>
        <v/>
      </c>
      <c r="Y544" s="25" t="str">
        <f t="shared" si="461"/>
        <v/>
      </c>
      <c r="Z544" s="25" t="str">
        <f t="shared" si="462"/>
        <v/>
      </c>
      <c r="AA544" s="26" t="str">
        <f t="shared" si="463"/>
        <v/>
      </c>
      <c r="AF544" s="24" t="str">
        <f t="shared" si="464"/>
        <v/>
      </c>
      <c r="AG544" s="25" t="str">
        <f t="shared" si="465"/>
        <v/>
      </c>
      <c r="AH544" s="25" t="str">
        <f t="shared" si="466"/>
        <v/>
      </c>
      <c r="AI544" s="26" t="str">
        <f t="shared" si="467"/>
        <v/>
      </c>
      <c r="AQ544" s="27" t="str">
        <f t="shared" si="468"/>
        <v/>
      </c>
      <c r="AR544" t="str">
        <f t="shared" si="469"/>
        <v/>
      </c>
      <c r="AS544" t="str">
        <f t="shared" si="470"/>
        <v/>
      </c>
      <c r="AT544" s="28" t="str">
        <f t="shared" si="471"/>
        <v/>
      </c>
    </row>
    <row r="545" spans="5:46" x14ac:dyDescent="0.25">
      <c r="E545" s="24" t="str">
        <f t="shared" si="452"/>
        <v/>
      </c>
      <c r="F545" s="25" t="str">
        <f t="shared" si="453"/>
        <v/>
      </c>
      <c r="G545" s="25" t="str">
        <f t="shared" si="454"/>
        <v/>
      </c>
      <c r="H545" s="26" t="str">
        <f t="shared" si="455"/>
        <v/>
      </c>
      <c r="M545" s="24" t="str">
        <f t="shared" si="456"/>
        <v/>
      </c>
      <c r="N545" s="25" t="str">
        <f t="shared" si="457"/>
        <v/>
      </c>
      <c r="O545" s="25" t="str">
        <f t="shared" si="458"/>
        <v/>
      </c>
      <c r="P545" s="26" t="str">
        <f t="shared" si="459"/>
        <v/>
      </c>
      <c r="X545" s="24" t="str">
        <f t="shared" si="460"/>
        <v/>
      </c>
      <c r="Y545" s="25" t="str">
        <f t="shared" si="461"/>
        <v/>
      </c>
      <c r="Z545" s="25" t="str">
        <f t="shared" si="462"/>
        <v/>
      </c>
      <c r="AA545" s="26" t="str">
        <f t="shared" si="463"/>
        <v/>
      </c>
      <c r="AF545" s="24" t="str">
        <f t="shared" si="464"/>
        <v/>
      </c>
      <c r="AG545" s="25" t="str">
        <f t="shared" si="465"/>
        <v/>
      </c>
      <c r="AH545" s="25" t="str">
        <f t="shared" si="466"/>
        <v/>
      </c>
      <c r="AI545" s="26" t="str">
        <f t="shared" si="467"/>
        <v/>
      </c>
      <c r="AQ545" s="27" t="str">
        <f t="shared" si="468"/>
        <v/>
      </c>
      <c r="AR545" t="str">
        <f t="shared" si="469"/>
        <v/>
      </c>
      <c r="AS545" t="str">
        <f t="shared" si="470"/>
        <v/>
      </c>
      <c r="AT545" s="28" t="str">
        <f t="shared" si="471"/>
        <v/>
      </c>
    </row>
    <row r="546" spans="5:46" x14ac:dyDescent="0.25">
      <c r="E546" s="24" t="str">
        <f t="shared" si="452"/>
        <v/>
      </c>
      <c r="F546" s="25" t="str">
        <f t="shared" si="453"/>
        <v/>
      </c>
      <c r="G546" s="25" t="str">
        <f t="shared" si="454"/>
        <v/>
      </c>
      <c r="H546" s="26" t="str">
        <f t="shared" si="455"/>
        <v/>
      </c>
      <c r="M546" s="24" t="str">
        <f t="shared" si="456"/>
        <v/>
      </c>
      <c r="N546" s="25" t="str">
        <f t="shared" si="457"/>
        <v/>
      </c>
      <c r="O546" s="25" t="str">
        <f t="shared" si="458"/>
        <v/>
      </c>
      <c r="P546" s="26" t="str">
        <f t="shared" si="459"/>
        <v/>
      </c>
      <c r="X546" s="24" t="str">
        <f t="shared" si="460"/>
        <v/>
      </c>
      <c r="Y546" s="25" t="str">
        <f t="shared" si="461"/>
        <v/>
      </c>
      <c r="Z546" s="25" t="str">
        <f t="shared" si="462"/>
        <v/>
      </c>
      <c r="AA546" s="26" t="str">
        <f t="shared" si="463"/>
        <v/>
      </c>
      <c r="AF546" s="24" t="str">
        <f t="shared" si="464"/>
        <v/>
      </c>
      <c r="AG546" s="25" t="str">
        <f t="shared" si="465"/>
        <v/>
      </c>
      <c r="AH546" s="25" t="str">
        <f t="shared" si="466"/>
        <v/>
      </c>
      <c r="AI546" s="26" t="str">
        <f t="shared" si="467"/>
        <v/>
      </c>
      <c r="AQ546" s="27" t="str">
        <f t="shared" si="468"/>
        <v/>
      </c>
      <c r="AR546" t="str">
        <f t="shared" si="469"/>
        <v/>
      </c>
      <c r="AS546" t="str">
        <f t="shared" si="470"/>
        <v/>
      </c>
      <c r="AT546" s="28" t="str">
        <f t="shared" si="471"/>
        <v/>
      </c>
    </row>
    <row r="547" spans="5:46" x14ac:dyDescent="0.25">
      <c r="E547" s="24" t="str">
        <f t="shared" si="452"/>
        <v/>
      </c>
      <c r="F547" s="25" t="str">
        <f t="shared" si="453"/>
        <v/>
      </c>
      <c r="G547" s="25" t="str">
        <f t="shared" si="454"/>
        <v/>
      </c>
      <c r="H547" s="26" t="str">
        <f t="shared" si="455"/>
        <v/>
      </c>
      <c r="M547" s="24" t="str">
        <f t="shared" si="456"/>
        <v/>
      </c>
      <c r="N547" s="25" t="str">
        <f t="shared" si="457"/>
        <v/>
      </c>
      <c r="O547" s="25" t="str">
        <f t="shared" si="458"/>
        <v/>
      </c>
      <c r="P547" s="26" t="str">
        <f t="shared" si="459"/>
        <v/>
      </c>
      <c r="X547" s="24" t="str">
        <f t="shared" si="460"/>
        <v/>
      </c>
      <c r="Y547" s="25" t="str">
        <f t="shared" si="461"/>
        <v/>
      </c>
      <c r="Z547" s="25" t="str">
        <f t="shared" si="462"/>
        <v/>
      </c>
      <c r="AA547" s="26" t="str">
        <f t="shared" si="463"/>
        <v/>
      </c>
      <c r="AF547" s="24" t="str">
        <f t="shared" si="464"/>
        <v/>
      </c>
      <c r="AG547" s="25" t="str">
        <f t="shared" si="465"/>
        <v/>
      </c>
      <c r="AH547" s="25" t="str">
        <f t="shared" si="466"/>
        <v/>
      </c>
      <c r="AI547" s="26" t="str">
        <f t="shared" si="467"/>
        <v/>
      </c>
      <c r="AQ547" s="27" t="str">
        <f t="shared" si="468"/>
        <v/>
      </c>
      <c r="AR547" t="str">
        <f t="shared" si="469"/>
        <v/>
      </c>
      <c r="AS547" t="str">
        <f t="shared" si="470"/>
        <v/>
      </c>
      <c r="AT547" s="28" t="str">
        <f t="shared" si="471"/>
        <v/>
      </c>
    </row>
    <row r="548" spans="5:46" x14ac:dyDescent="0.25">
      <c r="E548" s="24" t="str">
        <f t="shared" si="452"/>
        <v/>
      </c>
      <c r="F548" s="25" t="str">
        <f t="shared" si="453"/>
        <v/>
      </c>
      <c r="G548" s="25" t="str">
        <f t="shared" si="454"/>
        <v/>
      </c>
      <c r="H548" s="26" t="str">
        <f t="shared" si="455"/>
        <v/>
      </c>
      <c r="M548" s="24" t="str">
        <f t="shared" si="456"/>
        <v/>
      </c>
      <c r="N548" s="25" t="str">
        <f t="shared" si="457"/>
        <v/>
      </c>
      <c r="O548" s="25" t="str">
        <f t="shared" si="458"/>
        <v/>
      </c>
      <c r="P548" s="26" t="str">
        <f t="shared" si="459"/>
        <v/>
      </c>
      <c r="X548" s="24" t="str">
        <f t="shared" si="460"/>
        <v/>
      </c>
      <c r="Y548" s="25" t="str">
        <f t="shared" si="461"/>
        <v/>
      </c>
      <c r="Z548" s="25" t="str">
        <f t="shared" si="462"/>
        <v/>
      </c>
      <c r="AA548" s="26" t="str">
        <f t="shared" si="463"/>
        <v/>
      </c>
      <c r="AF548" s="24" t="str">
        <f t="shared" si="464"/>
        <v/>
      </c>
      <c r="AG548" s="25" t="str">
        <f t="shared" si="465"/>
        <v/>
      </c>
      <c r="AH548" s="25" t="str">
        <f t="shared" si="466"/>
        <v/>
      </c>
      <c r="AI548" s="26" t="str">
        <f t="shared" si="467"/>
        <v/>
      </c>
      <c r="AQ548" s="27" t="str">
        <f t="shared" si="468"/>
        <v/>
      </c>
      <c r="AR548" t="str">
        <f t="shared" si="469"/>
        <v/>
      </c>
      <c r="AS548" t="str">
        <f t="shared" si="470"/>
        <v/>
      </c>
      <c r="AT548" s="28" t="str">
        <f t="shared" si="471"/>
        <v/>
      </c>
    </row>
    <row r="549" spans="5:46" x14ac:dyDescent="0.25">
      <c r="E549" s="24" t="str">
        <f t="shared" si="452"/>
        <v/>
      </c>
      <c r="F549" s="25" t="str">
        <f t="shared" si="453"/>
        <v/>
      </c>
      <c r="G549" s="25" t="str">
        <f t="shared" si="454"/>
        <v/>
      </c>
      <c r="H549" s="26" t="str">
        <f t="shared" si="455"/>
        <v/>
      </c>
      <c r="M549" s="24" t="str">
        <f t="shared" si="456"/>
        <v/>
      </c>
      <c r="N549" s="25" t="str">
        <f t="shared" si="457"/>
        <v/>
      </c>
      <c r="O549" s="25" t="str">
        <f t="shared" si="458"/>
        <v/>
      </c>
      <c r="P549" s="26" t="str">
        <f t="shared" si="459"/>
        <v/>
      </c>
      <c r="X549" s="24" t="str">
        <f t="shared" si="460"/>
        <v/>
      </c>
      <c r="Y549" s="25" t="str">
        <f t="shared" si="461"/>
        <v/>
      </c>
      <c r="Z549" s="25" t="str">
        <f t="shared" si="462"/>
        <v/>
      </c>
      <c r="AA549" s="26" t="str">
        <f t="shared" si="463"/>
        <v/>
      </c>
      <c r="AF549" s="24" t="str">
        <f t="shared" si="464"/>
        <v/>
      </c>
      <c r="AG549" s="25" t="str">
        <f t="shared" si="465"/>
        <v/>
      </c>
      <c r="AH549" s="25" t="str">
        <f t="shared" si="466"/>
        <v/>
      </c>
      <c r="AI549" s="26" t="str">
        <f t="shared" si="467"/>
        <v/>
      </c>
      <c r="AQ549" s="27" t="str">
        <f t="shared" si="468"/>
        <v/>
      </c>
      <c r="AR549" t="str">
        <f t="shared" si="469"/>
        <v/>
      </c>
      <c r="AS549" t="str">
        <f t="shared" si="470"/>
        <v/>
      </c>
      <c r="AT549" s="28" t="str">
        <f t="shared" si="471"/>
        <v/>
      </c>
    </row>
    <row r="550" spans="5:46" x14ac:dyDescent="0.25">
      <c r="E550" s="24" t="str">
        <f t="shared" si="452"/>
        <v/>
      </c>
      <c r="F550" s="25" t="str">
        <f t="shared" si="453"/>
        <v/>
      </c>
      <c r="G550" s="25" t="str">
        <f t="shared" si="454"/>
        <v/>
      </c>
      <c r="H550" s="26" t="str">
        <f t="shared" si="455"/>
        <v/>
      </c>
      <c r="M550" s="24" t="str">
        <f t="shared" si="456"/>
        <v/>
      </c>
      <c r="N550" s="25" t="str">
        <f t="shared" si="457"/>
        <v/>
      </c>
      <c r="O550" s="25" t="str">
        <f t="shared" si="458"/>
        <v/>
      </c>
      <c r="P550" s="26" t="str">
        <f t="shared" si="459"/>
        <v/>
      </c>
      <c r="X550" s="24" t="str">
        <f t="shared" si="460"/>
        <v/>
      </c>
      <c r="Y550" s="25" t="str">
        <f t="shared" si="461"/>
        <v/>
      </c>
      <c r="Z550" s="25" t="str">
        <f t="shared" si="462"/>
        <v/>
      </c>
      <c r="AA550" s="26" t="str">
        <f t="shared" si="463"/>
        <v/>
      </c>
      <c r="AF550" s="24" t="str">
        <f t="shared" si="464"/>
        <v/>
      </c>
      <c r="AG550" s="25" t="str">
        <f t="shared" si="465"/>
        <v/>
      </c>
      <c r="AH550" s="25" t="str">
        <f t="shared" si="466"/>
        <v/>
      </c>
      <c r="AI550" s="26" t="str">
        <f t="shared" si="467"/>
        <v/>
      </c>
      <c r="AQ550" s="27" t="str">
        <f t="shared" si="468"/>
        <v/>
      </c>
      <c r="AR550" t="str">
        <f t="shared" si="469"/>
        <v/>
      </c>
      <c r="AS550" t="str">
        <f t="shared" si="470"/>
        <v/>
      </c>
      <c r="AT550" s="28" t="str">
        <f t="shared" si="471"/>
        <v/>
      </c>
    </row>
    <row r="551" spans="5:46" x14ac:dyDescent="0.25">
      <c r="E551" s="24" t="str">
        <f t="shared" si="452"/>
        <v/>
      </c>
      <c r="F551" s="25" t="str">
        <f t="shared" si="453"/>
        <v/>
      </c>
      <c r="G551" s="25" t="str">
        <f t="shared" si="454"/>
        <v/>
      </c>
      <c r="H551" s="26" t="str">
        <f t="shared" si="455"/>
        <v/>
      </c>
      <c r="M551" s="24" t="str">
        <f t="shared" si="456"/>
        <v/>
      </c>
      <c r="N551" s="25" t="str">
        <f t="shared" si="457"/>
        <v/>
      </c>
      <c r="O551" s="25" t="str">
        <f t="shared" si="458"/>
        <v/>
      </c>
      <c r="P551" s="26" t="str">
        <f t="shared" si="459"/>
        <v/>
      </c>
      <c r="X551" s="24" t="str">
        <f t="shared" si="460"/>
        <v/>
      </c>
      <c r="Y551" s="25" t="str">
        <f t="shared" si="461"/>
        <v/>
      </c>
      <c r="Z551" s="25" t="str">
        <f t="shared" si="462"/>
        <v/>
      </c>
      <c r="AA551" s="26" t="str">
        <f t="shared" si="463"/>
        <v/>
      </c>
      <c r="AF551" s="24" t="str">
        <f t="shared" si="464"/>
        <v/>
      </c>
      <c r="AG551" s="25" t="str">
        <f t="shared" si="465"/>
        <v/>
      </c>
      <c r="AH551" s="25" t="str">
        <f t="shared" si="466"/>
        <v/>
      </c>
      <c r="AI551" s="26" t="str">
        <f t="shared" si="467"/>
        <v/>
      </c>
      <c r="AQ551" s="27" t="str">
        <f t="shared" si="468"/>
        <v/>
      </c>
      <c r="AR551" t="str">
        <f t="shared" si="469"/>
        <v/>
      </c>
      <c r="AS551" t="str">
        <f t="shared" si="470"/>
        <v/>
      </c>
      <c r="AT551" s="28" t="str">
        <f t="shared" si="471"/>
        <v/>
      </c>
    </row>
    <row r="552" spans="5:46" x14ac:dyDescent="0.25">
      <c r="E552" s="24" t="str">
        <f t="shared" si="452"/>
        <v/>
      </c>
      <c r="F552" s="25" t="str">
        <f t="shared" si="453"/>
        <v/>
      </c>
      <c r="G552" s="25" t="str">
        <f t="shared" si="454"/>
        <v/>
      </c>
      <c r="H552" s="26" t="str">
        <f t="shared" si="455"/>
        <v/>
      </c>
      <c r="M552" s="24" t="str">
        <f t="shared" si="456"/>
        <v/>
      </c>
      <c r="N552" s="25" t="str">
        <f t="shared" si="457"/>
        <v/>
      </c>
      <c r="O552" s="25" t="str">
        <f t="shared" si="458"/>
        <v/>
      </c>
      <c r="P552" s="26" t="str">
        <f t="shared" si="459"/>
        <v/>
      </c>
      <c r="X552" s="24" t="str">
        <f t="shared" si="460"/>
        <v/>
      </c>
      <c r="Y552" s="25" t="str">
        <f t="shared" si="461"/>
        <v/>
      </c>
      <c r="Z552" s="25" t="str">
        <f t="shared" si="462"/>
        <v/>
      </c>
      <c r="AA552" s="26" t="str">
        <f t="shared" si="463"/>
        <v/>
      </c>
      <c r="AF552" s="24" t="str">
        <f t="shared" si="464"/>
        <v/>
      </c>
      <c r="AG552" s="25" t="str">
        <f t="shared" si="465"/>
        <v/>
      </c>
      <c r="AH552" s="25" t="str">
        <f t="shared" si="466"/>
        <v/>
      </c>
      <c r="AI552" s="26" t="str">
        <f t="shared" si="467"/>
        <v/>
      </c>
      <c r="AQ552" s="27" t="str">
        <f t="shared" si="468"/>
        <v/>
      </c>
      <c r="AR552" t="str">
        <f t="shared" si="469"/>
        <v/>
      </c>
      <c r="AS552" t="str">
        <f t="shared" si="470"/>
        <v/>
      </c>
      <c r="AT552" s="28" t="str">
        <f t="shared" si="471"/>
        <v/>
      </c>
    </row>
    <row r="553" spans="5:46" x14ac:dyDescent="0.25">
      <c r="E553" s="24" t="str">
        <f t="shared" si="452"/>
        <v/>
      </c>
      <c r="F553" s="25" t="str">
        <f t="shared" si="453"/>
        <v/>
      </c>
      <c r="G553" s="25" t="str">
        <f t="shared" si="454"/>
        <v/>
      </c>
      <c r="H553" s="26" t="str">
        <f t="shared" si="455"/>
        <v/>
      </c>
      <c r="M553" s="24" t="str">
        <f t="shared" si="456"/>
        <v/>
      </c>
      <c r="N553" s="25" t="str">
        <f t="shared" si="457"/>
        <v/>
      </c>
      <c r="O553" s="25" t="str">
        <f t="shared" si="458"/>
        <v/>
      </c>
      <c r="P553" s="26" t="str">
        <f t="shared" si="459"/>
        <v/>
      </c>
      <c r="X553" s="24" t="str">
        <f t="shared" si="460"/>
        <v/>
      </c>
      <c r="Y553" s="25" t="str">
        <f t="shared" si="461"/>
        <v/>
      </c>
      <c r="Z553" s="25" t="str">
        <f t="shared" si="462"/>
        <v/>
      </c>
      <c r="AA553" s="26" t="str">
        <f t="shared" si="463"/>
        <v/>
      </c>
      <c r="AF553" s="24" t="str">
        <f t="shared" si="464"/>
        <v/>
      </c>
      <c r="AG553" s="25" t="str">
        <f t="shared" si="465"/>
        <v/>
      </c>
      <c r="AH553" s="25" t="str">
        <f t="shared" si="466"/>
        <v/>
      </c>
      <c r="AI553" s="26" t="str">
        <f t="shared" si="467"/>
        <v/>
      </c>
      <c r="AQ553" s="27" t="str">
        <f t="shared" si="468"/>
        <v/>
      </c>
      <c r="AR553" t="str">
        <f t="shared" si="469"/>
        <v/>
      </c>
      <c r="AS553" t="str">
        <f t="shared" si="470"/>
        <v/>
      </c>
      <c r="AT553" s="28" t="str">
        <f t="shared" si="471"/>
        <v/>
      </c>
    </row>
    <row r="554" spans="5:46" x14ac:dyDescent="0.25">
      <c r="E554" s="24" t="str">
        <f t="shared" si="452"/>
        <v/>
      </c>
      <c r="F554" s="25" t="str">
        <f t="shared" si="453"/>
        <v/>
      </c>
      <c r="G554" s="25" t="str">
        <f t="shared" si="454"/>
        <v/>
      </c>
      <c r="H554" s="26" t="str">
        <f t="shared" si="455"/>
        <v/>
      </c>
      <c r="M554" s="24" t="str">
        <f t="shared" si="456"/>
        <v/>
      </c>
      <c r="N554" s="25" t="str">
        <f t="shared" si="457"/>
        <v/>
      </c>
      <c r="O554" s="25" t="str">
        <f t="shared" si="458"/>
        <v/>
      </c>
      <c r="P554" s="26" t="str">
        <f t="shared" si="459"/>
        <v/>
      </c>
      <c r="X554" s="24" t="str">
        <f t="shared" si="460"/>
        <v/>
      </c>
      <c r="Y554" s="25" t="str">
        <f t="shared" si="461"/>
        <v/>
      </c>
      <c r="Z554" s="25" t="str">
        <f t="shared" si="462"/>
        <v/>
      </c>
      <c r="AA554" s="26" t="str">
        <f t="shared" si="463"/>
        <v/>
      </c>
      <c r="AF554" s="24" t="str">
        <f t="shared" si="464"/>
        <v/>
      </c>
      <c r="AG554" s="25" t="str">
        <f t="shared" si="465"/>
        <v/>
      </c>
      <c r="AH554" s="25" t="str">
        <f t="shared" si="466"/>
        <v/>
      </c>
      <c r="AI554" s="26" t="str">
        <f t="shared" si="467"/>
        <v/>
      </c>
      <c r="AQ554" s="27" t="str">
        <f t="shared" si="468"/>
        <v/>
      </c>
      <c r="AR554" t="str">
        <f t="shared" si="469"/>
        <v/>
      </c>
      <c r="AS554" t="str">
        <f t="shared" si="470"/>
        <v/>
      </c>
      <c r="AT554" s="28" t="str">
        <f t="shared" si="471"/>
        <v/>
      </c>
    </row>
    <row r="555" spans="5:46" x14ac:dyDescent="0.25">
      <c r="E555" s="24" t="str">
        <f t="shared" si="452"/>
        <v/>
      </c>
      <c r="F555" s="25" t="str">
        <f t="shared" si="453"/>
        <v/>
      </c>
      <c r="G555" s="25" t="str">
        <f t="shared" si="454"/>
        <v/>
      </c>
      <c r="H555" s="26" t="str">
        <f t="shared" si="455"/>
        <v/>
      </c>
      <c r="M555" s="24" t="str">
        <f t="shared" si="456"/>
        <v/>
      </c>
      <c r="N555" s="25" t="str">
        <f t="shared" si="457"/>
        <v/>
      </c>
      <c r="O555" s="25" t="str">
        <f t="shared" si="458"/>
        <v/>
      </c>
      <c r="P555" s="26" t="str">
        <f t="shared" si="459"/>
        <v/>
      </c>
      <c r="X555" s="24" t="str">
        <f t="shared" si="460"/>
        <v/>
      </c>
      <c r="Y555" s="25" t="str">
        <f t="shared" si="461"/>
        <v/>
      </c>
      <c r="Z555" s="25" t="str">
        <f t="shared" si="462"/>
        <v/>
      </c>
      <c r="AA555" s="26" t="str">
        <f t="shared" si="463"/>
        <v/>
      </c>
      <c r="AF555" s="24" t="str">
        <f t="shared" si="464"/>
        <v/>
      </c>
      <c r="AG555" s="25" t="str">
        <f t="shared" si="465"/>
        <v/>
      </c>
      <c r="AH555" s="25" t="str">
        <f t="shared" si="466"/>
        <v/>
      </c>
      <c r="AI555" s="26" t="str">
        <f t="shared" si="467"/>
        <v/>
      </c>
      <c r="AQ555" s="27" t="str">
        <f t="shared" si="468"/>
        <v/>
      </c>
      <c r="AR555" t="str">
        <f t="shared" si="469"/>
        <v/>
      </c>
      <c r="AS555" t="str">
        <f t="shared" si="470"/>
        <v/>
      </c>
      <c r="AT555" s="28" t="str">
        <f t="shared" si="471"/>
        <v/>
      </c>
    </row>
    <row r="556" spans="5:46" x14ac:dyDescent="0.25">
      <c r="E556" s="24" t="str">
        <f t="shared" si="452"/>
        <v/>
      </c>
      <c r="F556" s="25" t="str">
        <f t="shared" si="453"/>
        <v/>
      </c>
      <c r="G556" s="25" t="str">
        <f t="shared" si="454"/>
        <v/>
      </c>
      <c r="H556" s="26" t="str">
        <f t="shared" si="455"/>
        <v/>
      </c>
      <c r="M556" s="24" t="str">
        <f t="shared" si="456"/>
        <v/>
      </c>
      <c r="N556" s="25" t="str">
        <f t="shared" si="457"/>
        <v/>
      </c>
      <c r="O556" s="25" t="str">
        <f t="shared" si="458"/>
        <v/>
      </c>
      <c r="P556" s="26" t="str">
        <f t="shared" si="459"/>
        <v/>
      </c>
      <c r="X556" s="24" t="str">
        <f t="shared" si="460"/>
        <v/>
      </c>
      <c r="Y556" s="25" t="str">
        <f t="shared" si="461"/>
        <v/>
      </c>
      <c r="Z556" s="25" t="str">
        <f t="shared" si="462"/>
        <v/>
      </c>
      <c r="AA556" s="26" t="str">
        <f t="shared" si="463"/>
        <v/>
      </c>
      <c r="AF556" s="24" t="str">
        <f t="shared" si="464"/>
        <v/>
      </c>
      <c r="AG556" s="25" t="str">
        <f t="shared" si="465"/>
        <v/>
      </c>
      <c r="AH556" s="25" t="str">
        <f t="shared" si="466"/>
        <v/>
      </c>
      <c r="AI556" s="26" t="str">
        <f t="shared" si="467"/>
        <v/>
      </c>
      <c r="AQ556" s="27" t="str">
        <f t="shared" si="468"/>
        <v/>
      </c>
      <c r="AR556" t="str">
        <f t="shared" si="469"/>
        <v/>
      </c>
      <c r="AS556" t="str">
        <f t="shared" si="470"/>
        <v/>
      </c>
      <c r="AT556" s="28" t="str">
        <f t="shared" si="471"/>
        <v/>
      </c>
    </row>
    <row r="557" spans="5:46" x14ac:dyDescent="0.25">
      <c r="E557" s="24" t="str">
        <f t="shared" si="452"/>
        <v/>
      </c>
      <c r="F557" s="25" t="str">
        <f t="shared" si="453"/>
        <v/>
      </c>
      <c r="G557" s="25" t="str">
        <f t="shared" si="454"/>
        <v/>
      </c>
      <c r="H557" s="26" t="str">
        <f t="shared" si="455"/>
        <v/>
      </c>
      <c r="M557" s="24" t="str">
        <f t="shared" si="456"/>
        <v/>
      </c>
      <c r="N557" s="25" t="str">
        <f t="shared" si="457"/>
        <v/>
      </c>
      <c r="O557" s="25" t="str">
        <f t="shared" si="458"/>
        <v/>
      </c>
      <c r="P557" s="26" t="str">
        <f t="shared" si="459"/>
        <v/>
      </c>
      <c r="X557" s="24" t="str">
        <f t="shared" si="460"/>
        <v/>
      </c>
      <c r="Y557" s="25" t="str">
        <f t="shared" si="461"/>
        <v/>
      </c>
      <c r="Z557" s="25" t="str">
        <f t="shared" si="462"/>
        <v/>
      </c>
      <c r="AA557" s="26" t="str">
        <f t="shared" si="463"/>
        <v/>
      </c>
      <c r="AF557" s="24" t="str">
        <f t="shared" si="464"/>
        <v/>
      </c>
      <c r="AG557" s="25" t="str">
        <f t="shared" si="465"/>
        <v/>
      </c>
      <c r="AH557" s="25" t="str">
        <f t="shared" si="466"/>
        <v/>
      </c>
      <c r="AI557" s="26" t="str">
        <f t="shared" si="467"/>
        <v/>
      </c>
      <c r="AQ557" s="27" t="str">
        <f t="shared" si="468"/>
        <v/>
      </c>
      <c r="AR557" t="str">
        <f t="shared" si="469"/>
        <v/>
      </c>
      <c r="AS557" t="str">
        <f t="shared" si="470"/>
        <v/>
      </c>
      <c r="AT557" s="28" t="str">
        <f t="shared" si="471"/>
        <v/>
      </c>
    </row>
    <row r="558" spans="5:46" x14ac:dyDescent="0.25">
      <c r="E558" s="24" t="str">
        <f t="shared" si="452"/>
        <v/>
      </c>
      <c r="F558" s="25" t="str">
        <f t="shared" si="453"/>
        <v/>
      </c>
      <c r="G558" s="25" t="str">
        <f t="shared" si="454"/>
        <v/>
      </c>
      <c r="H558" s="26" t="str">
        <f t="shared" si="455"/>
        <v/>
      </c>
      <c r="M558" s="24" t="str">
        <f t="shared" si="456"/>
        <v/>
      </c>
      <c r="N558" s="25" t="str">
        <f t="shared" si="457"/>
        <v/>
      </c>
      <c r="O558" s="25" t="str">
        <f t="shared" si="458"/>
        <v/>
      </c>
      <c r="P558" s="26" t="str">
        <f t="shared" si="459"/>
        <v/>
      </c>
      <c r="X558" s="24" t="str">
        <f t="shared" si="460"/>
        <v/>
      </c>
      <c r="Y558" s="25" t="str">
        <f t="shared" si="461"/>
        <v/>
      </c>
      <c r="Z558" s="25" t="str">
        <f t="shared" si="462"/>
        <v/>
      </c>
      <c r="AA558" s="26" t="str">
        <f t="shared" si="463"/>
        <v/>
      </c>
      <c r="AF558" s="24" t="str">
        <f t="shared" si="464"/>
        <v/>
      </c>
      <c r="AG558" s="25" t="str">
        <f t="shared" si="465"/>
        <v/>
      </c>
      <c r="AH558" s="25" t="str">
        <f t="shared" si="466"/>
        <v/>
      </c>
      <c r="AI558" s="26" t="str">
        <f t="shared" si="467"/>
        <v/>
      </c>
      <c r="AQ558" s="27" t="str">
        <f t="shared" si="468"/>
        <v/>
      </c>
      <c r="AR558" t="str">
        <f t="shared" si="469"/>
        <v/>
      </c>
      <c r="AS558" t="str">
        <f t="shared" si="470"/>
        <v/>
      </c>
      <c r="AT558" s="28" t="str">
        <f t="shared" si="471"/>
        <v/>
      </c>
    </row>
    <row r="559" spans="5:46" x14ac:dyDescent="0.25">
      <c r="E559" s="24" t="str">
        <f t="shared" si="452"/>
        <v/>
      </c>
      <c r="F559" s="25" t="str">
        <f t="shared" si="453"/>
        <v/>
      </c>
      <c r="G559" s="25" t="str">
        <f t="shared" si="454"/>
        <v/>
      </c>
      <c r="H559" s="26" t="str">
        <f t="shared" si="455"/>
        <v/>
      </c>
      <c r="M559" s="24" t="str">
        <f t="shared" si="456"/>
        <v/>
      </c>
      <c r="N559" s="25" t="str">
        <f t="shared" si="457"/>
        <v/>
      </c>
      <c r="O559" s="25" t="str">
        <f t="shared" si="458"/>
        <v/>
      </c>
      <c r="P559" s="26" t="str">
        <f t="shared" si="459"/>
        <v/>
      </c>
      <c r="X559" s="24" t="str">
        <f t="shared" si="460"/>
        <v/>
      </c>
      <c r="Y559" s="25" t="str">
        <f t="shared" si="461"/>
        <v/>
      </c>
      <c r="Z559" s="25" t="str">
        <f t="shared" si="462"/>
        <v/>
      </c>
      <c r="AA559" s="26" t="str">
        <f t="shared" si="463"/>
        <v/>
      </c>
      <c r="AF559" s="24" t="str">
        <f t="shared" si="464"/>
        <v/>
      </c>
      <c r="AG559" s="25" t="str">
        <f t="shared" si="465"/>
        <v/>
      </c>
      <c r="AH559" s="25" t="str">
        <f t="shared" si="466"/>
        <v/>
      </c>
      <c r="AI559" s="26" t="str">
        <f t="shared" si="467"/>
        <v/>
      </c>
      <c r="AQ559" s="27" t="str">
        <f t="shared" si="468"/>
        <v/>
      </c>
      <c r="AR559" t="str">
        <f t="shared" si="469"/>
        <v/>
      </c>
      <c r="AS559" t="str">
        <f t="shared" si="470"/>
        <v/>
      </c>
      <c r="AT559" s="28" t="str">
        <f t="shared" si="471"/>
        <v/>
      </c>
    </row>
    <row r="560" spans="5:46" x14ac:dyDescent="0.25">
      <c r="E560" s="24" t="str">
        <f t="shared" si="452"/>
        <v/>
      </c>
      <c r="F560" s="25" t="str">
        <f t="shared" si="453"/>
        <v/>
      </c>
      <c r="G560" s="25" t="str">
        <f t="shared" si="454"/>
        <v/>
      </c>
      <c r="H560" s="26" t="str">
        <f t="shared" si="455"/>
        <v/>
      </c>
      <c r="M560" s="24" t="str">
        <f t="shared" si="456"/>
        <v/>
      </c>
      <c r="N560" s="25" t="str">
        <f t="shared" si="457"/>
        <v/>
      </c>
      <c r="O560" s="25" t="str">
        <f t="shared" si="458"/>
        <v/>
      </c>
      <c r="P560" s="26" t="str">
        <f t="shared" si="459"/>
        <v/>
      </c>
      <c r="X560" s="24" t="str">
        <f t="shared" si="460"/>
        <v/>
      </c>
      <c r="Y560" s="25" t="str">
        <f t="shared" si="461"/>
        <v/>
      </c>
      <c r="Z560" s="25" t="str">
        <f t="shared" si="462"/>
        <v/>
      </c>
      <c r="AA560" s="26" t="str">
        <f t="shared" si="463"/>
        <v/>
      </c>
      <c r="AF560" s="24" t="str">
        <f t="shared" si="464"/>
        <v/>
      </c>
      <c r="AG560" s="25" t="str">
        <f t="shared" si="465"/>
        <v/>
      </c>
      <c r="AH560" s="25" t="str">
        <f t="shared" si="466"/>
        <v/>
      </c>
      <c r="AI560" s="26" t="str">
        <f t="shared" si="467"/>
        <v/>
      </c>
      <c r="AQ560" s="27" t="str">
        <f t="shared" si="468"/>
        <v/>
      </c>
      <c r="AR560" t="str">
        <f t="shared" si="469"/>
        <v/>
      </c>
      <c r="AS560" t="str">
        <f t="shared" si="470"/>
        <v/>
      </c>
      <c r="AT560" s="28" t="str">
        <f t="shared" si="471"/>
        <v/>
      </c>
    </row>
    <row r="561" spans="5:46" x14ac:dyDescent="0.25">
      <c r="E561" s="24" t="str">
        <f t="shared" si="452"/>
        <v/>
      </c>
      <c r="F561" s="25" t="str">
        <f t="shared" si="453"/>
        <v/>
      </c>
      <c r="G561" s="25" t="str">
        <f t="shared" si="454"/>
        <v/>
      </c>
      <c r="H561" s="26" t="str">
        <f t="shared" si="455"/>
        <v/>
      </c>
      <c r="M561" s="24" t="str">
        <f t="shared" si="456"/>
        <v/>
      </c>
      <c r="N561" s="25" t="str">
        <f t="shared" si="457"/>
        <v/>
      </c>
      <c r="O561" s="25" t="str">
        <f t="shared" si="458"/>
        <v/>
      </c>
      <c r="P561" s="26" t="str">
        <f t="shared" si="459"/>
        <v/>
      </c>
      <c r="X561" s="24" t="str">
        <f t="shared" si="460"/>
        <v/>
      </c>
      <c r="Y561" s="25" t="str">
        <f t="shared" si="461"/>
        <v/>
      </c>
      <c r="Z561" s="25" t="str">
        <f t="shared" si="462"/>
        <v/>
      </c>
      <c r="AA561" s="26" t="str">
        <f t="shared" si="463"/>
        <v/>
      </c>
      <c r="AF561" s="24" t="str">
        <f t="shared" si="464"/>
        <v/>
      </c>
      <c r="AG561" s="25" t="str">
        <f t="shared" si="465"/>
        <v/>
      </c>
      <c r="AH561" s="25" t="str">
        <f t="shared" si="466"/>
        <v/>
      </c>
      <c r="AI561" s="26" t="str">
        <f t="shared" si="467"/>
        <v/>
      </c>
      <c r="AQ561" s="27" t="str">
        <f t="shared" si="468"/>
        <v/>
      </c>
      <c r="AR561" t="str">
        <f t="shared" si="469"/>
        <v/>
      </c>
      <c r="AS561" t="str">
        <f t="shared" si="470"/>
        <v/>
      </c>
      <c r="AT561" s="28" t="str">
        <f t="shared" si="471"/>
        <v/>
      </c>
    </row>
    <row r="562" spans="5:46" x14ac:dyDescent="0.25">
      <c r="E562" s="141" t="str">
        <f t="shared" si="452"/>
        <v/>
      </c>
      <c r="F562" s="142" t="str">
        <f t="shared" si="453"/>
        <v/>
      </c>
      <c r="G562" s="142" t="str">
        <f t="shared" si="454"/>
        <v/>
      </c>
      <c r="H562" s="143" t="str">
        <f t="shared" si="455"/>
        <v/>
      </c>
      <c r="M562" s="141" t="str">
        <f t="shared" si="456"/>
        <v/>
      </c>
      <c r="N562" s="142" t="str">
        <f t="shared" si="457"/>
        <v/>
      </c>
      <c r="O562" s="142" t="str">
        <f t="shared" si="458"/>
        <v/>
      </c>
      <c r="P562" s="143" t="str">
        <f t="shared" si="459"/>
        <v/>
      </c>
      <c r="X562" s="141" t="str">
        <f t="shared" si="460"/>
        <v/>
      </c>
      <c r="Y562" s="142" t="str">
        <f t="shared" si="461"/>
        <v/>
      </c>
      <c r="Z562" s="142" t="str">
        <f t="shared" si="462"/>
        <v/>
      </c>
      <c r="AA562" s="143" t="str">
        <f t="shared" si="463"/>
        <v/>
      </c>
      <c r="AF562" s="141" t="str">
        <f t="shared" si="464"/>
        <v/>
      </c>
      <c r="AG562" s="142" t="str">
        <f t="shared" si="465"/>
        <v/>
      </c>
      <c r="AH562" s="142" t="str">
        <f t="shared" si="466"/>
        <v/>
      </c>
      <c r="AI562" s="143" t="str">
        <f t="shared" si="467"/>
        <v/>
      </c>
      <c r="AQ562" s="27" t="str">
        <f t="shared" si="468"/>
        <v/>
      </c>
      <c r="AR562" t="str">
        <f t="shared" si="469"/>
        <v/>
      </c>
      <c r="AS562" t="str">
        <f t="shared" si="470"/>
        <v/>
      </c>
      <c r="AT562" s="28" t="str">
        <f t="shared" si="471"/>
        <v/>
      </c>
    </row>
  </sheetData>
  <mergeCells count="294">
    <mergeCell ref="W2:AM2"/>
    <mergeCell ref="CA4:CA5"/>
    <mergeCell ref="AJ301:AK301"/>
    <mergeCell ref="CB24:CB26"/>
    <mergeCell ref="D71:D74"/>
    <mergeCell ref="CM63:CM65"/>
    <mergeCell ref="BO9:BO11"/>
    <mergeCell ref="W12:W15"/>
    <mergeCell ref="BO39:BO41"/>
    <mergeCell ref="CX21:CX23"/>
    <mergeCell ref="AV3:BK3"/>
    <mergeCell ref="M301:N301"/>
    <mergeCell ref="CB54:CB56"/>
    <mergeCell ref="CL6:CL11"/>
    <mergeCell ref="W67:W70"/>
    <mergeCell ref="BO36:BO38"/>
    <mergeCell ref="BM3:BU3"/>
    <mergeCell ref="AR45:BH45"/>
    <mergeCell ref="D83:D86"/>
    <mergeCell ref="CM9:CM11"/>
    <mergeCell ref="AU301:AV301"/>
    <mergeCell ref="CL30:CL35"/>
    <mergeCell ref="X90:Y90"/>
    <mergeCell ref="AR51:AR54"/>
    <mergeCell ref="Z90:AA90"/>
    <mergeCell ref="X301:Y301"/>
    <mergeCell ref="I90:J90"/>
    <mergeCell ref="AH301:AI301"/>
    <mergeCell ref="S90:T90"/>
    <mergeCell ref="CK4:CK5"/>
    <mergeCell ref="S301:T301"/>
    <mergeCell ref="CL54:CL65"/>
    <mergeCell ref="CB39:CB41"/>
    <mergeCell ref="CM4:CM5"/>
    <mergeCell ref="CX60:CX62"/>
    <mergeCell ref="CL18:CL23"/>
    <mergeCell ref="CX9:CX11"/>
    <mergeCell ref="BO24:BO26"/>
    <mergeCell ref="CA6:CA11"/>
    <mergeCell ref="W36:W39"/>
    <mergeCell ref="CO4:CS4"/>
    <mergeCell ref="CM27:CM29"/>
    <mergeCell ref="BQ4:BU4"/>
    <mergeCell ref="W51:W54"/>
    <mergeCell ref="AR4:AR7"/>
    <mergeCell ref="AL168:AM168"/>
    <mergeCell ref="CM24:CM26"/>
    <mergeCell ref="CB6:CB8"/>
    <mergeCell ref="CL42:CL47"/>
    <mergeCell ref="BO63:BO65"/>
    <mergeCell ref="AR75:AR78"/>
    <mergeCell ref="O90:P90"/>
    <mergeCell ref="CX57:CX59"/>
    <mergeCell ref="CM12:CM14"/>
    <mergeCell ref="AW90:AX90"/>
    <mergeCell ref="BO45:BO47"/>
    <mergeCell ref="CM21:CM23"/>
    <mergeCell ref="AJ168:AK168"/>
    <mergeCell ref="CM51:CM53"/>
    <mergeCell ref="CA42:CA47"/>
    <mergeCell ref="AR59:AR62"/>
    <mergeCell ref="CM36:CM38"/>
    <mergeCell ref="CB15:CB17"/>
    <mergeCell ref="CM33:CM35"/>
    <mergeCell ref="BN30:BN35"/>
    <mergeCell ref="O168:P168"/>
    <mergeCell ref="AR24:AR27"/>
    <mergeCell ref="CX33:CX35"/>
    <mergeCell ref="CD4:CH4"/>
    <mergeCell ref="W8:W11"/>
    <mergeCell ref="B20:B23"/>
    <mergeCell ref="BO48:BO50"/>
    <mergeCell ref="CB18:CB20"/>
    <mergeCell ref="CV3:DD3"/>
    <mergeCell ref="W4:W7"/>
    <mergeCell ref="D20:D23"/>
    <mergeCell ref="C4:C23"/>
    <mergeCell ref="B12:B15"/>
    <mergeCell ref="AA3:AP3"/>
    <mergeCell ref="D4:D7"/>
    <mergeCell ref="B40:B43"/>
    <mergeCell ref="CV4:CV5"/>
    <mergeCell ref="W20:W23"/>
    <mergeCell ref="D40:D43"/>
    <mergeCell ref="CX15:CX17"/>
    <mergeCell ref="CB48:CB50"/>
    <mergeCell ref="CM18:CM20"/>
    <mergeCell ref="B8:B11"/>
    <mergeCell ref="W75:W78"/>
    <mergeCell ref="AQ301:AR301"/>
    <mergeCell ref="X4:X23"/>
    <mergeCell ref="D16:D19"/>
    <mergeCell ref="AB90:AC90"/>
    <mergeCell ref="AB301:AC301"/>
    <mergeCell ref="AD90:AE90"/>
    <mergeCell ref="CX45:CX47"/>
    <mergeCell ref="W59:W62"/>
    <mergeCell ref="AR63:AR66"/>
    <mergeCell ref="CX54:CX56"/>
    <mergeCell ref="CX63:CX65"/>
    <mergeCell ref="M168:N168"/>
    <mergeCell ref="AR40:AR43"/>
    <mergeCell ref="CM45:CM47"/>
    <mergeCell ref="W47:W50"/>
    <mergeCell ref="AR83:AR86"/>
    <mergeCell ref="CL4:CL5"/>
    <mergeCell ref="X168:Y168"/>
    <mergeCell ref="CN4:CN5"/>
    <mergeCell ref="BO60:BO62"/>
    <mergeCell ref="BO30:BO32"/>
    <mergeCell ref="CX42:CX44"/>
    <mergeCell ref="CK6:CK65"/>
    <mergeCell ref="CW66:DD66"/>
    <mergeCell ref="B55:B58"/>
    <mergeCell ref="CW4:CW5"/>
    <mergeCell ref="AS4:AS23"/>
    <mergeCell ref="B4:B7"/>
    <mergeCell ref="D55:D58"/>
    <mergeCell ref="G90:H90"/>
    <mergeCell ref="BN54:BN65"/>
    <mergeCell ref="AQ90:AR90"/>
    <mergeCell ref="CB12:CB14"/>
    <mergeCell ref="CB21:CB23"/>
    <mergeCell ref="X67:X86"/>
    <mergeCell ref="B32:B35"/>
    <mergeCell ref="CA67:CH67"/>
    <mergeCell ref="W28:W31"/>
    <mergeCell ref="BO57:BO59"/>
    <mergeCell ref="BN18:BN23"/>
    <mergeCell ref="AL301:AM301"/>
    <mergeCell ref="AR36:AR39"/>
    <mergeCell ref="B83:B86"/>
    <mergeCell ref="D12:D15"/>
    <mergeCell ref="CX18:CX20"/>
    <mergeCell ref="BM6:BM65"/>
    <mergeCell ref="BO15:BO17"/>
    <mergeCell ref="AR20:AR23"/>
    <mergeCell ref="BO51:BO53"/>
    <mergeCell ref="E301:F301"/>
    <mergeCell ref="G301:H301"/>
    <mergeCell ref="CA30:CA35"/>
    <mergeCell ref="CW67:DD67"/>
    <mergeCell ref="B47:B50"/>
    <mergeCell ref="AA46:AP46"/>
    <mergeCell ref="BO18:BO20"/>
    <mergeCell ref="AB168:AC168"/>
    <mergeCell ref="W83:W86"/>
    <mergeCell ref="AF168:AG168"/>
    <mergeCell ref="CM60:CM62"/>
    <mergeCell ref="CX30:CX32"/>
    <mergeCell ref="BO33:BO35"/>
    <mergeCell ref="B71:B74"/>
    <mergeCell ref="AS168:AT168"/>
    <mergeCell ref="CZ4:DD4"/>
    <mergeCell ref="AL90:AM90"/>
    <mergeCell ref="AJ90:AK90"/>
    <mergeCell ref="AR8:AR11"/>
    <mergeCell ref="CB51:CB53"/>
    <mergeCell ref="CX24:CX26"/>
    <mergeCell ref="CM6:CM8"/>
    <mergeCell ref="D36:D39"/>
    <mergeCell ref="CV6:CV65"/>
    <mergeCell ref="CB63:CB65"/>
    <mergeCell ref="CA54:CA65"/>
    <mergeCell ref="W79:W82"/>
    <mergeCell ref="CL66:CS66"/>
    <mergeCell ref="CM39:CM41"/>
    <mergeCell ref="CM48:CM50"/>
    <mergeCell ref="CM30:CM32"/>
    <mergeCell ref="AR16:AR19"/>
    <mergeCell ref="D75:D78"/>
    <mergeCell ref="D28:D31"/>
    <mergeCell ref="CW6:CW11"/>
    <mergeCell ref="CB27:CB29"/>
    <mergeCell ref="CC4:CC5"/>
    <mergeCell ref="AV46:BK46"/>
    <mergeCell ref="CB36:CB38"/>
    <mergeCell ref="AD301:AE301"/>
    <mergeCell ref="CX4:CX5"/>
    <mergeCell ref="AH90:AI90"/>
    <mergeCell ref="AR47:AR50"/>
    <mergeCell ref="B63:B66"/>
    <mergeCell ref="CW18:CW23"/>
    <mergeCell ref="AR2:BH2"/>
    <mergeCell ref="B16:B19"/>
    <mergeCell ref="D63:D66"/>
    <mergeCell ref="BN6:BN11"/>
    <mergeCell ref="K168:L168"/>
    <mergeCell ref="B51:B54"/>
    <mergeCell ref="AR71:AR74"/>
    <mergeCell ref="D51:D54"/>
    <mergeCell ref="AU168:AV168"/>
    <mergeCell ref="Q301:R301"/>
    <mergeCell ref="X47:X66"/>
    <mergeCell ref="AQ168:AR168"/>
    <mergeCell ref="S168:T168"/>
    <mergeCell ref="C67:C86"/>
    <mergeCell ref="B28:B31"/>
    <mergeCell ref="Z301:AA301"/>
    <mergeCell ref="E90:F90"/>
    <mergeCell ref="W71:W74"/>
    <mergeCell ref="CK3:CS3"/>
    <mergeCell ref="AS47:AS66"/>
    <mergeCell ref="AD168:AE168"/>
    <mergeCell ref="D47:D50"/>
    <mergeCell ref="AF301:AG301"/>
    <mergeCell ref="CM57:CM59"/>
    <mergeCell ref="O301:P301"/>
    <mergeCell ref="CW30:CW35"/>
    <mergeCell ref="CA66:CH66"/>
    <mergeCell ref="Q90:R90"/>
    <mergeCell ref="BN42:BN47"/>
    <mergeCell ref="AR55:AR58"/>
    <mergeCell ref="AR12:AR15"/>
    <mergeCell ref="AS24:AS43"/>
    <mergeCell ref="CM54:CM56"/>
    <mergeCell ref="AW301:AX301"/>
    <mergeCell ref="D24:D27"/>
    <mergeCell ref="E168:F168"/>
    <mergeCell ref="G168:H168"/>
    <mergeCell ref="BO27:BO29"/>
    <mergeCell ref="AR79:AR82"/>
    <mergeCell ref="AR32:AR35"/>
    <mergeCell ref="D8:D11"/>
    <mergeCell ref="D79:D82"/>
    <mergeCell ref="CY4:CY5"/>
    <mergeCell ref="AR28:AR31"/>
    <mergeCell ref="CB60:CB62"/>
    <mergeCell ref="CX36:CX38"/>
    <mergeCell ref="CB9:CB11"/>
    <mergeCell ref="W45:AM45"/>
    <mergeCell ref="K90:L90"/>
    <mergeCell ref="I301:J301"/>
    <mergeCell ref="AS90:AT90"/>
    <mergeCell ref="M90:N90"/>
    <mergeCell ref="K301:L301"/>
    <mergeCell ref="AS301:AT301"/>
    <mergeCell ref="W16:W19"/>
    <mergeCell ref="CX51:CX53"/>
    <mergeCell ref="AU90:AV90"/>
    <mergeCell ref="CB30:CB32"/>
    <mergeCell ref="AW168:AX168"/>
    <mergeCell ref="CM15:CM17"/>
    <mergeCell ref="BO54:BO56"/>
    <mergeCell ref="BN4:BN5"/>
    <mergeCell ref="BZ4:BZ5"/>
    <mergeCell ref="CB4:CB5"/>
    <mergeCell ref="CB45:CB47"/>
    <mergeCell ref="CX12:CX14"/>
    <mergeCell ref="BZ3:CH3"/>
    <mergeCell ref="BO12:BO14"/>
    <mergeCell ref="C47:C66"/>
    <mergeCell ref="BO21:BO23"/>
    <mergeCell ref="W55:W58"/>
    <mergeCell ref="B59:B62"/>
    <mergeCell ref="W24:W27"/>
    <mergeCell ref="D59:D62"/>
    <mergeCell ref="X24:X43"/>
    <mergeCell ref="W32:W35"/>
    <mergeCell ref="W63:W66"/>
    <mergeCell ref="D32:D35"/>
    <mergeCell ref="C24:C43"/>
    <mergeCell ref="B24:B27"/>
    <mergeCell ref="BP4:BP5"/>
    <mergeCell ref="BO42:BO44"/>
    <mergeCell ref="BM4:BM5"/>
    <mergeCell ref="BO6:BO8"/>
    <mergeCell ref="BO4:BO5"/>
    <mergeCell ref="B36:B39"/>
    <mergeCell ref="CB57:CB59"/>
    <mergeCell ref="BZ6:BZ65"/>
    <mergeCell ref="CB33:CB35"/>
    <mergeCell ref="CX48:CX50"/>
    <mergeCell ref="CA18:CA23"/>
    <mergeCell ref="CB42:CB44"/>
    <mergeCell ref="CW54:CW65"/>
    <mergeCell ref="B75:B78"/>
    <mergeCell ref="W40:W43"/>
    <mergeCell ref="I168:J168"/>
    <mergeCell ref="Z168:AA168"/>
    <mergeCell ref="CW42:CW47"/>
    <mergeCell ref="AR67:AR70"/>
    <mergeCell ref="CL67:CS67"/>
    <mergeCell ref="B67:B70"/>
    <mergeCell ref="AS67:AS86"/>
    <mergeCell ref="CX27:CX29"/>
    <mergeCell ref="B79:B82"/>
    <mergeCell ref="CX39:CX41"/>
    <mergeCell ref="AH168:AI168"/>
    <mergeCell ref="Q168:R168"/>
    <mergeCell ref="AF90:AG90"/>
    <mergeCell ref="CX6:CX8"/>
    <mergeCell ref="CM42:CM44"/>
    <mergeCell ref="D67:D70"/>
  </mergeCells>
  <conditionalFormatting sqref="BQ6:BU65">
    <cfRule type="colorScale" priority="46">
      <colorScale>
        <cfvo type="num" val="1"/>
        <cfvo type="max"/>
        <color theme="0"/>
        <color rgb="FF00B050"/>
      </colorScale>
    </cfRule>
  </conditionalFormatting>
  <conditionalFormatting sqref="CD6:CH65">
    <cfRule type="colorScale" priority="45">
      <colorScale>
        <cfvo type="num" val="1"/>
        <cfvo type="max"/>
        <color theme="0"/>
        <color rgb="FF00B050"/>
      </colorScale>
    </cfRule>
  </conditionalFormatting>
  <conditionalFormatting sqref="CO6:CS65">
    <cfRule type="colorScale" priority="44">
      <colorScale>
        <cfvo type="num" val="1"/>
        <cfvo type="max"/>
        <color theme="0"/>
        <color rgb="FF00B050"/>
      </colorScale>
    </cfRule>
  </conditionalFormatting>
  <conditionalFormatting sqref="CZ6:DD65">
    <cfRule type="colorScale" priority="43">
      <colorScale>
        <cfvo type="num" val="1"/>
        <cfvo type="max"/>
        <color theme="0"/>
        <color rgb="FF00B050"/>
      </colorScale>
    </cfRule>
  </conditionalFormatting>
  <conditionalFormatting sqref="Q47:U86">
    <cfRule type="colorScale" priority="7">
      <colorScale>
        <cfvo type="num" val="-4"/>
        <cfvo type="num" val="0"/>
        <cfvo type="num" val="4"/>
        <color indexed="10"/>
        <color indexed="9"/>
        <color indexed="40"/>
      </colorScale>
    </cfRule>
    <cfRule type="colorScale" priority="8">
      <colorScale>
        <cfvo type="num" val="-4"/>
        <cfvo type="num" val="0"/>
        <cfvo type="num" val="4"/>
        <color indexed="10"/>
        <color indexed="9"/>
        <color indexed="40"/>
      </colorScale>
    </cfRule>
  </conditionalFormatting>
  <conditionalFormatting sqref="Q4:U43">
    <cfRule type="colorScale" priority="5">
      <colorScale>
        <cfvo type="num" val="-4"/>
        <cfvo type="num" val="0"/>
        <cfvo type="num" val="4"/>
        <color indexed="10"/>
        <color indexed="9"/>
        <color indexed="40"/>
      </colorScale>
    </cfRule>
    <cfRule type="colorScale" priority="6">
      <colorScale>
        <cfvo type="num" val="-4"/>
        <cfvo type="num" val="0"/>
        <cfvo type="num" val="4"/>
        <color indexed="10"/>
        <color indexed="9"/>
        <color indexed="40"/>
      </colorScale>
    </cfRule>
  </conditionalFormatting>
  <conditionalFormatting sqref="F4:P43">
    <cfRule type="colorScale" priority="3">
      <colorScale>
        <cfvo type="num" val="-4"/>
        <cfvo type="num" val="0"/>
        <cfvo type="num" val="4"/>
        <color indexed="10"/>
        <color indexed="9"/>
        <color indexed="40"/>
      </colorScale>
    </cfRule>
    <cfRule type="colorScale" priority="4">
      <colorScale>
        <cfvo type="num" val="-4"/>
        <cfvo type="num" val="0"/>
        <cfvo type="num" val="4"/>
        <color indexed="10"/>
        <color indexed="9"/>
        <color indexed="40"/>
      </colorScale>
    </cfRule>
  </conditionalFormatting>
  <conditionalFormatting sqref="F47:P86">
    <cfRule type="colorScale" priority="1">
      <colorScale>
        <cfvo type="num" val="-4"/>
        <cfvo type="num" val="0"/>
        <cfvo type="num" val="4"/>
        <color indexed="10"/>
        <color indexed="9"/>
        <color indexed="40"/>
      </colorScale>
    </cfRule>
    <cfRule type="colorScale" priority="2">
      <colorScale>
        <cfvo type="num" val="-4"/>
        <cfvo type="num" val="0"/>
        <cfvo type="num" val="4"/>
        <color indexed="10"/>
        <color indexed="9"/>
        <color indexed="40"/>
      </colorScale>
    </cfRule>
  </conditionalFormatting>
  <pageMargins left="0.7" right="0.7" top="0.75" bottom="0.75" header="0.3" footer="0.3"/>
  <pageSetup scale="41"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2:R136"/>
  <sheetViews>
    <sheetView workbookViewId="0">
      <selection activeCell="E16" sqref="E16"/>
    </sheetView>
  </sheetViews>
  <sheetFormatPr defaultRowHeight="15" x14ac:dyDescent="0.25"/>
  <cols>
    <col min="2" max="4" width="15.7109375" customWidth="1"/>
    <col min="7" max="8" width="12.5703125" customWidth="1"/>
  </cols>
  <sheetData>
    <row r="2" spans="1:11" x14ac:dyDescent="0.25">
      <c r="A2" t="str">
        <f>"Tilt ="&amp;Inputs!B33</f>
        <v>Tilt =XX</v>
      </c>
      <c r="B2" s="651" t="s">
        <v>554</v>
      </c>
      <c r="C2" s="565"/>
      <c r="D2" s="556"/>
      <c r="F2" s="651" t="s">
        <v>555</v>
      </c>
      <c r="G2" s="565"/>
      <c r="H2" s="556"/>
    </row>
    <row r="3" spans="1:11" x14ac:dyDescent="0.25">
      <c r="B3" s="23" t="s">
        <v>9</v>
      </c>
      <c r="C3" s="23" t="s">
        <v>6</v>
      </c>
      <c r="D3" s="23" t="s">
        <v>7</v>
      </c>
      <c r="F3" s="23" t="s">
        <v>9</v>
      </c>
      <c r="G3" s="23" t="s">
        <v>6</v>
      </c>
      <c r="H3" s="23" t="s">
        <v>7</v>
      </c>
      <c r="I3" s="2"/>
      <c r="J3" s="2"/>
      <c r="K3" s="2"/>
    </row>
    <row r="4" spans="1:11" x14ac:dyDescent="0.25">
      <c r="B4" s="36"/>
      <c r="C4" s="154"/>
      <c r="D4" s="154"/>
      <c r="F4" s="36"/>
      <c r="G4" s="40" t="str">
        <f>IF(C4="","",C4*Inputs!$B$39)</f>
        <v/>
      </c>
      <c r="H4" s="40" t="str">
        <f>IF(D4="","",D4*Inputs!$B$39)</f>
        <v/>
      </c>
      <c r="I4" s="2"/>
      <c r="J4" s="2"/>
      <c r="K4" s="2"/>
    </row>
    <row r="5" spans="1:11" x14ac:dyDescent="0.25">
      <c r="B5" s="22"/>
      <c r="C5" s="154"/>
      <c r="D5" s="154"/>
      <c r="F5" s="22"/>
      <c r="G5" s="40" t="str">
        <f>IF(C5="","",C5*Inputs!$B$39)</f>
        <v/>
      </c>
      <c r="H5" s="40" t="str">
        <f>IF(D5="","",D5*Inputs!$B$39)</f>
        <v/>
      </c>
      <c r="I5" s="2"/>
      <c r="J5" s="2"/>
      <c r="K5" s="2"/>
    </row>
    <row r="6" spans="1:11" x14ac:dyDescent="0.25">
      <c r="B6" s="37"/>
      <c r="C6" s="154"/>
      <c r="D6" s="154"/>
      <c r="F6" s="37"/>
      <c r="G6" s="40" t="str">
        <f>IF(C6="","",C6*Inputs!$B$39)</f>
        <v/>
      </c>
      <c r="H6" s="40" t="str">
        <f>IF(D6="","",D6*Inputs!$B$39)</f>
        <v/>
      </c>
      <c r="I6" s="2"/>
      <c r="J6" s="2"/>
      <c r="K6" s="2"/>
    </row>
    <row r="7" spans="1:11" x14ac:dyDescent="0.25">
      <c r="B7" s="38"/>
      <c r="C7" s="154"/>
      <c r="D7" s="154"/>
      <c r="F7" s="38"/>
      <c r="G7" s="40" t="str">
        <f>IF(C7="","",C7*Inputs!$B$39)</f>
        <v/>
      </c>
      <c r="H7" s="40" t="str">
        <f>IF(D7="","",D7*Inputs!$B$39)</f>
        <v/>
      </c>
      <c r="I7" s="2"/>
      <c r="J7" s="2"/>
      <c r="K7" s="2"/>
    </row>
    <row r="8" spans="1:11" x14ac:dyDescent="0.25">
      <c r="B8" s="39"/>
      <c r="C8" s="154"/>
      <c r="D8" s="154"/>
      <c r="F8" s="39"/>
      <c r="G8" s="40" t="str">
        <f>IF(C8="","",C8*Inputs!$B$39)</f>
        <v/>
      </c>
      <c r="H8" s="40" t="str">
        <f>IF(D8="","",D8*Inputs!$B$39)</f>
        <v/>
      </c>
    </row>
    <row r="136" spans="18:18" x14ac:dyDescent="0.25">
      <c r="R136" t="b">
        <f>IF(AND($B$3="Clip",$B$2="Zone 1"),'GCN_Clip 1.0'!G4,IF(AND($B$3="Clip",$B$2="Zone 2"),'GCN_Clip 1.0'!G5,IF(AND($B$3="Clip",$B$2="Zone 3"),'GCN_Clip 1.0'!G6,IF(AND($B$3="Clip",$B$2="Zone 4"),IF(AND($B$3="Clip",$B$2="Zone 5"),'GCM_Purlin 1.0'!AQ435,"ERROR")))))</f>
        <v>0</v>
      </c>
    </row>
  </sheetData>
  <mergeCells count="2">
    <mergeCell ref="F2:H2"/>
    <mergeCell ref="B2:D2"/>
  </mergeCells>
  <conditionalFormatting sqref="C4:D8">
    <cfRule type="colorScale" priority="1">
      <colorScale>
        <cfvo type="num" val="-4"/>
        <cfvo type="num" val="0"/>
        <cfvo type="num" val="4"/>
        <color indexed="10"/>
        <color indexed="9"/>
        <color indexed="40"/>
      </colorScale>
    </cfRule>
    <cfRule type="colorScale" priority="2">
      <colorScale>
        <cfvo type="num" val="-4"/>
        <cfvo type="num" val="0"/>
        <cfvo type="num" val="4"/>
        <color indexed="10"/>
        <color indexed="9"/>
        <color indexed="40"/>
      </colorScale>
    </cfRule>
  </conditionalFormatting>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B1:X28"/>
  <sheetViews>
    <sheetView workbookViewId="0">
      <selection activeCell="R18" sqref="R18"/>
    </sheetView>
  </sheetViews>
  <sheetFormatPr defaultRowHeight="15" x14ac:dyDescent="0.25"/>
  <cols>
    <col min="4" max="4" width="12" bestFit="1" customWidth="1"/>
    <col min="6" max="6" width="0" hidden="1"/>
    <col min="9" max="9" width="12" bestFit="1" customWidth="1"/>
    <col min="11" max="11" width="0" hidden="1"/>
    <col min="14" max="14" width="12" bestFit="1" customWidth="1"/>
    <col min="16" max="16" width="0" hidden="1"/>
    <col min="19" max="19" width="12" bestFit="1" customWidth="1"/>
    <col min="21" max="21" width="0" hidden="1"/>
    <col min="24" max="24" width="12" bestFit="1" customWidth="1"/>
  </cols>
  <sheetData>
    <row r="1" spans="2:24" ht="15.75" customHeight="1" thickBot="1" x14ac:dyDescent="0.3"/>
    <row r="2" spans="2:24" ht="15.75" customHeight="1" thickBot="1" x14ac:dyDescent="0.3">
      <c r="B2" s="543" t="s">
        <v>0</v>
      </c>
      <c r="C2" s="544"/>
      <c r="D2" s="545"/>
      <c r="G2" s="543" t="s">
        <v>1</v>
      </c>
      <c r="H2" s="544"/>
      <c r="I2" s="545"/>
      <c r="L2" s="543" t="s">
        <v>2</v>
      </c>
      <c r="M2" s="544"/>
      <c r="N2" s="545"/>
      <c r="Q2" s="543" t="s">
        <v>3</v>
      </c>
      <c r="R2" s="544"/>
      <c r="S2" s="545"/>
      <c r="V2" s="543" t="s">
        <v>4</v>
      </c>
      <c r="W2" s="544"/>
      <c r="X2" s="545"/>
    </row>
    <row r="3" spans="2:24" x14ac:dyDescent="0.25">
      <c r="B3" s="27" t="s">
        <v>5</v>
      </c>
      <c r="C3" t="s">
        <v>6</v>
      </c>
      <c r="D3" s="28" t="s">
        <v>7</v>
      </c>
      <c r="G3" s="27" t="s">
        <v>5</v>
      </c>
      <c r="H3" t="s">
        <v>6</v>
      </c>
      <c r="I3" s="28" t="s">
        <v>7</v>
      </c>
      <c r="L3" s="27" t="s">
        <v>5</v>
      </c>
      <c r="M3" t="s">
        <v>6</v>
      </c>
      <c r="N3" s="28" t="s">
        <v>7</v>
      </c>
      <c r="Q3" s="27" t="s">
        <v>5</v>
      </c>
      <c r="R3" t="s">
        <v>6</v>
      </c>
      <c r="S3" s="28" t="s">
        <v>7</v>
      </c>
      <c r="V3" s="27" t="s">
        <v>5</v>
      </c>
      <c r="W3" t="s">
        <v>6</v>
      </c>
      <c r="X3" s="28" t="s">
        <v>7</v>
      </c>
    </row>
    <row r="28" spans="2:24" x14ac:dyDescent="0.25">
      <c r="B28" t="e">
        <f>Inputs!B47</f>
        <v>#VALUE!</v>
      </c>
      <c r="C28" t="e">
        <f ca="1">FORECAST(B28,OFFSET(C4:C27,MATCH(B28,B4:B27,1)-1,0,2),OFFSET(B4:B27,MATCH(B28,B4:B27,1)-1,0,2))</f>
        <v>#VALUE!</v>
      </c>
      <c r="D28" t="e">
        <f ca="1">FORECAST(B28,OFFSET(D4:D27,MATCH(B28,B4:B27,1)-1,0,2),OFFSET(B4:B27,MATCH(B28,B4:B27,1)-1,0,2))</f>
        <v>#VALUE!</v>
      </c>
      <c r="G28" t="e">
        <f>Inputs!B47</f>
        <v>#VALUE!</v>
      </c>
      <c r="H28" t="e">
        <f ca="1">FORECAST(G28,OFFSET(H4:H27,MATCH(G28,G4:G27,1)-1,0,2),OFFSET(G4:G27,MATCH(G28,G4:G27,1)-1,0,2))</f>
        <v>#VALUE!</v>
      </c>
      <c r="I28" t="e">
        <f ca="1">FORECAST(G28,OFFSET(I4:I27,MATCH(G28,G4:G27,1)-1,0,2),OFFSET(G4:G27,MATCH(G28,G4:G27,1)-1,0,2))</f>
        <v>#VALUE!</v>
      </c>
      <c r="L28" t="e">
        <f>Inputs!B47</f>
        <v>#VALUE!</v>
      </c>
      <c r="M28" t="e">
        <f ca="1">FORECAST(L28,OFFSET(M4:M27,MATCH(L28,L4:L27,1)-1,0,2),OFFSET(L4:L27,MATCH(L28,L4:L27,1)-1,0,2))</f>
        <v>#VALUE!</v>
      </c>
      <c r="N28" t="e">
        <f ca="1">FORECAST(L28,OFFSET(N4:N27,MATCH(L28,L4:L27,1)-1,0,2),OFFSET(L4:L27,MATCH(L28,L4:L27,1)-1,0,2))</f>
        <v>#VALUE!</v>
      </c>
      <c r="Q28" t="e">
        <f>Inputs!B47</f>
        <v>#VALUE!</v>
      </c>
      <c r="R28" t="e">
        <f ca="1">FORECAST(Q28,OFFSET(R4:R27,MATCH(Q28,Q4:Q27,1)-1,0,2),OFFSET(Q4:Q27,MATCH(Q28,Q4:Q27,1)-1,0,2))</f>
        <v>#VALUE!</v>
      </c>
      <c r="S28" t="e">
        <f ca="1">FORECAST(Q28,OFFSET(S4:S27,MATCH(Q28,Q4:Q27,1)-1,0,2),OFFSET(Q4:Q27,MATCH(Q28,Q4:Q27,1)-1,0,2))</f>
        <v>#VALUE!</v>
      </c>
      <c r="V28" t="e">
        <f>Inputs!B47</f>
        <v>#VALUE!</v>
      </c>
      <c r="W28" t="e">
        <f ca="1">FORECAST(V28,OFFSET(W4:W27,MATCH(V28,V4:V27,1)-1,0,2),OFFSET(V4:V27,MATCH(V28,V4:V27,1)-1,0,2))</f>
        <v>#VALUE!</v>
      </c>
      <c r="X28" t="e">
        <f ca="1">FORECAST(V28,OFFSET(X4:X27,MATCH(V28,V4:V27,1)-1,0,2),OFFSET(V4:V27,MATCH(V28,V4:V27,1)-1,0,2))</f>
        <v>#VALUE!</v>
      </c>
    </row>
  </sheetData>
  <mergeCells count="5">
    <mergeCell ref="G2:I2"/>
    <mergeCell ref="L2:N2"/>
    <mergeCell ref="B2:D2"/>
    <mergeCell ref="Q2:S2"/>
    <mergeCell ref="V2:X2"/>
  </mergeCells>
  <pageMargins left="0.7" right="0.7" top="0.75" bottom="0.75" header="0.3" footer="0.3"/>
  <pageSetup orientation="portrait" horizontalDpi="4294967293"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O112"/>
  <sheetViews>
    <sheetView zoomScale="85" zoomScaleNormal="85" workbookViewId="0">
      <selection activeCell="H7" sqref="H7"/>
    </sheetView>
  </sheetViews>
  <sheetFormatPr defaultRowHeight="15" x14ac:dyDescent="0.25"/>
  <cols>
    <col min="1" max="1" width="17" customWidth="1"/>
    <col min="2" max="2" width="8.85546875" customWidth="1"/>
  </cols>
  <sheetData>
    <row r="1" spans="1:8" x14ac:dyDescent="0.25">
      <c r="A1" t="s">
        <v>424</v>
      </c>
      <c r="D1" t="s">
        <v>0</v>
      </c>
      <c r="H1" t="s">
        <v>556</v>
      </c>
    </row>
    <row r="2" spans="1:8" x14ac:dyDescent="0.25">
      <c r="A2" t="s">
        <v>557</v>
      </c>
      <c r="D2" t="s">
        <v>1</v>
      </c>
      <c r="H2" t="s">
        <v>558</v>
      </c>
    </row>
    <row r="3" spans="1:8" x14ac:dyDescent="0.25">
      <c r="A3" t="s">
        <v>559</v>
      </c>
      <c r="D3" t="s">
        <v>2</v>
      </c>
      <c r="H3" t="s">
        <v>560</v>
      </c>
    </row>
    <row r="4" spans="1:8" x14ac:dyDescent="0.25">
      <c r="A4" t="s">
        <v>561</v>
      </c>
      <c r="D4" t="s">
        <v>3</v>
      </c>
    </row>
    <row r="5" spans="1:8" x14ac:dyDescent="0.25">
      <c r="A5" t="s">
        <v>562</v>
      </c>
      <c r="D5" t="s">
        <v>4</v>
      </c>
    </row>
    <row r="6" spans="1:8" x14ac:dyDescent="0.25">
      <c r="D6" t="s">
        <v>563</v>
      </c>
    </row>
    <row r="8" spans="1:8" ht="15" customHeight="1" x14ac:dyDescent="0.25">
      <c r="A8" s="294" t="s">
        <v>564</v>
      </c>
      <c r="B8" s="294">
        <v>1.325</v>
      </c>
      <c r="C8" s="9">
        <v>2.25</v>
      </c>
    </row>
    <row r="9" spans="1:8" x14ac:dyDescent="0.25">
      <c r="A9" s="294" t="s">
        <v>565</v>
      </c>
      <c r="B9" s="294">
        <v>1.6279999999999999</v>
      </c>
      <c r="C9" s="9">
        <v>2.25</v>
      </c>
    </row>
    <row r="10" spans="1:8" x14ac:dyDescent="0.25">
      <c r="A10" s="294" t="s">
        <v>566</v>
      </c>
      <c r="B10" s="294">
        <v>2.0419999999999998</v>
      </c>
      <c r="C10" s="9">
        <v>2.25</v>
      </c>
    </row>
    <row r="11" spans="1:8" x14ac:dyDescent="0.25">
      <c r="A11" s="294" t="s">
        <v>567</v>
      </c>
      <c r="B11" s="294">
        <v>2.2200000000000002</v>
      </c>
      <c r="C11" s="9">
        <v>2.25</v>
      </c>
    </row>
    <row r="12" spans="1:8" x14ac:dyDescent="0.25">
      <c r="A12" s="294" t="s">
        <v>136</v>
      </c>
      <c r="B12" s="294">
        <v>2.1419999999999999</v>
      </c>
      <c r="C12" s="9">
        <v>3.5</v>
      </c>
    </row>
    <row r="15" spans="1:8" x14ac:dyDescent="0.25">
      <c r="A15" s="294" t="s">
        <v>568</v>
      </c>
      <c r="B15" s="294">
        <v>6.5853000000000002</v>
      </c>
    </row>
    <row r="16" spans="1:8" x14ac:dyDescent="0.25">
      <c r="A16" s="294" t="s">
        <v>569</v>
      </c>
      <c r="B16" s="294">
        <v>6.9729999999999999</v>
      </c>
    </row>
    <row r="17" spans="1:2" x14ac:dyDescent="0.25">
      <c r="A17" s="294" t="s">
        <v>570</v>
      </c>
      <c r="B17" s="294">
        <v>7.5434999999999999</v>
      </c>
    </row>
    <row r="18" spans="1:2" x14ac:dyDescent="0.25">
      <c r="A18" s="294" t="s">
        <v>141</v>
      </c>
      <c r="B18" s="294">
        <v>7.8955000000000002</v>
      </c>
    </row>
    <row r="20" spans="1:2" x14ac:dyDescent="0.25">
      <c r="A20" s="392" t="s">
        <v>571</v>
      </c>
    </row>
    <row r="21" spans="1:2" x14ac:dyDescent="0.25">
      <c r="A21" s="392" t="s">
        <v>572</v>
      </c>
    </row>
    <row r="22" spans="1:2" x14ac:dyDescent="0.25">
      <c r="A22" s="392" t="s">
        <v>573</v>
      </c>
    </row>
    <row r="87" spans="8:15" x14ac:dyDescent="0.25">
      <c r="H87" t="str">
        <f>IF('GCM_Cantilever 1.0'!$D$359&gt;'GCM_Cantilever 1.0'!$E$359,'GCM_Cantilever 1.0'!D308,'GCM_Cantilever 1.0'!E308)</f>
        <v/>
      </c>
      <c r="I87" t="str">
        <f>IF('GCM_Cantilever 1.0'!$F$359&gt;'GCM_Cantilever 1.0'!$G$359,'GCM_Cantilever 1.0'!F308,'GCM_Cantilever 1.0'!G308)</f>
        <v/>
      </c>
      <c r="J87" t="str">
        <f>IF('GCM_Cantilever 1.0'!$H$359&gt;'GCM_Cantilever 1.0'!$I$359,'GCM_Cantilever 1.0'!H308,'GCM_Cantilever 1.0'!I308)</f>
        <v/>
      </c>
      <c r="K87" t="str">
        <f>IF('GCM_Cantilever 1.0'!$J$359&gt;'GCM_Cantilever 1.0'!$K$359,'GCM_Cantilever 1.0'!J308,'GCM_Cantilever 1.0'!K308)</f>
        <v/>
      </c>
      <c r="L87" t="str">
        <f>IF('GCM_Cantilever 1.0'!$O$359&gt;'GCM_Cantilever 1.0'!$P$359,'GCM_Cantilever 1.0'!O308,'GCM_Cantilever 1.0'!P308)</f>
        <v/>
      </c>
      <c r="M87" t="str">
        <f>IF('GCM_Cantilever 1.0'!$Q$359&gt;'GCM_Cantilever 1.0'!$R$359,'GCM_Cantilever 1.0'!Q308,'GCM_Cantilever 1.0'!R308)</f>
        <v/>
      </c>
      <c r="N87" t="str">
        <f>IF('GCM_Cantilever 1.0'!$V$359&gt;'GCM_Cantilever 1.0'!$W$359,'GCM_Cantilever 1.0'!V308,'GCM_Cantilever 1.0'!W308)</f>
        <v/>
      </c>
      <c r="O87" t="str">
        <f>IF('GCM_Cantilever 1.0'!$X$359&gt;'GCM_Cantilever 1.0'!$Y$359,'GCM_Cantilever 1.0'!X308,'GCM_Cantilever 1.0'!Y308)</f>
        <v/>
      </c>
    </row>
    <row r="88" spans="8:15" x14ac:dyDescent="0.25">
      <c r="H88" t="str">
        <f>IF('GCM_Cantilever 1.0'!$D$359&gt;'GCM_Cantilever 1.0'!$E$359,'GCM_Cantilever 1.0'!D334,'GCM_Cantilever 1.0'!E334)</f>
        <v/>
      </c>
      <c r="I88" t="str">
        <f>IF('GCM_Cantilever 1.0'!$F$359&gt;'GCM_Cantilever 1.0'!$G$359,'GCM_Cantilever 1.0'!F334,'GCM_Cantilever 1.0'!G334)</f>
        <v/>
      </c>
      <c r="J88" t="str">
        <f>IF('GCM_Cantilever 1.0'!$H$359&gt;'GCM_Cantilever 1.0'!$I$359,'GCM_Cantilever 1.0'!H334,'GCM_Cantilever 1.0'!I334)</f>
        <v/>
      </c>
      <c r="K88" t="str">
        <f>IF('GCM_Cantilever 1.0'!$J$359&gt;'GCM_Cantilever 1.0'!$K$359,'GCM_Cantilever 1.0'!J334,'GCM_Cantilever 1.0'!K334)</f>
        <v/>
      </c>
      <c r="L88" t="str">
        <f>IF('GCM_Cantilever 1.0'!$O$359&gt;'GCM_Cantilever 1.0'!$P$359,'GCM_Cantilever 1.0'!O334,'GCM_Cantilever 1.0'!P334)</f>
        <v/>
      </c>
      <c r="M88" t="str">
        <f>IF('GCM_Cantilever 1.0'!$Q$359&gt;'GCM_Cantilever 1.0'!$R$359,'GCM_Cantilever 1.0'!Q334,'GCM_Cantilever 1.0'!R334)</f>
        <v/>
      </c>
      <c r="N88" t="str">
        <f>IF('GCM_Cantilever 1.0'!$V$359&gt;'GCM_Cantilever 1.0'!$W$359,'GCM_Cantilever 1.0'!V334,'GCM_Cantilever 1.0'!W334)</f>
        <v/>
      </c>
      <c r="O88" t="str">
        <f>IF('GCM_Cantilever 1.0'!$X$359&gt;'GCM_Cantilever 1.0'!$Y$359,'GCM_Cantilever 1.0'!X334,'GCM_Cantilever 1.0'!Y334)</f>
        <v/>
      </c>
    </row>
    <row r="89" spans="8:15" x14ac:dyDescent="0.25">
      <c r="H89" t="str">
        <f>IF('GCM_Cantilever 1.0'!$D$359&gt;'GCM_Cantilever 1.0'!$E$359,'GCM_Cantilever 1.0'!D335,'GCM_Cantilever 1.0'!E335)</f>
        <v/>
      </c>
      <c r="I89" t="str">
        <f>IF('GCM_Cantilever 1.0'!$F$359&gt;'GCM_Cantilever 1.0'!$G$359,'GCM_Cantilever 1.0'!F335,'GCM_Cantilever 1.0'!G335)</f>
        <v/>
      </c>
      <c r="J89" t="str">
        <f>IF('GCM_Cantilever 1.0'!$H$359&gt;'GCM_Cantilever 1.0'!$I$359,'GCM_Cantilever 1.0'!H335,'GCM_Cantilever 1.0'!I335)</f>
        <v/>
      </c>
      <c r="K89" t="str">
        <f>IF('GCM_Cantilever 1.0'!$J$359&gt;'GCM_Cantilever 1.0'!$K$359,'GCM_Cantilever 1.0'!J335,'GCM_Cantilever 1.0'!K335)</f>
        <v/>
      </c>
      <c r="L89" t="str">
        <f>IF('GCM_Cantilever 1.0'!$O$359&gt;'GCM_Cantilever 1.0'!$P$359,'GCM_Cantilever 1.0'!O335,'GCM_Cantilever 1.0'!P335)</f>
        <v/>
      </c>
      <c r="M89" t="str">
        <f>IF('GCM_Cantilever 1.0'!$Q$359&gt;'GCM_Cantilever 1.0'!$R$359,'GCM_Cantilever 1.0'!Q335,'GCM_Cantilever 1.0'!R335)</f>
        <v/>
      </c>
      <c r="N89" t="str">
        <f>IF('GCM_Cantilever 1.0'!$V$359&gt;'GCM_Cantilever 1.0'!$W$359,'GCM_Cantilever 1.0'!V335,'GCM_Cantilever 1.0'!W335)</f>
        <v/>
      </c>
      <c r="O89" t="str">
        <f>IF('GCM_Cantilever 1.0'!$X$359&gt;'GCM_Cantilever 1.0'!$Y$359,'GCM_Cantilever 1.0'!X335,'GCM_Cantilever 1.0'!Y335)</f>
        <v/>
      </c>
    </row>
    <row r="90" spans="8:15" x14ac:dyDescent="0.25">
      <c r="H90" t="str">
        <f>IF('GCM_Cantilever 1.0'!$D$359&gt;'GCM_Cantilever 1.0'!$E$359,'GCM_Cantilever 1.0'!D336,'GCM_Cantilever 1.0'!E336)</f>
        <v/>
      </c>
      <c r="I90" t="str">
        <f>IF('GCM_Cantilever 1.0'!$F$359&gt;'GCM_Cantilever 1.0'!$G$359,'GCM_Cantilever 1.0'!F336,'GCM_Cantilever 1.0'!G336)</f>
        <v/>
      </c>
      <c r="J90" t="str">
        <f>IF('GCM_Cantilever 1.0'!$H$359&gt;'GCM_Cantilever 1.0'!$I$359,'GCM_Cantilever 1.0'!H336,'GCM_Cantilever 1.0'!I336)</f>
        <v/>
      </c>
      <c r="K90" t="str">
        <f>IF('GCM_Cantilever 1.0'!$J$359&gt;'GCM_Cantilever 1.0'!$K$359,'GCM_Cantilever 1.0'!J336,'GCM_Cantilever 1.0'!K336)</f>
        <v/>
      </c>
      <c r="L90" t="str">
        <f>IF('GCM_Cantilever 1.0'!$O$359&gt;'GCM_Cantilever 1.0'!$P$359,'GCM_Cantilever 1.0'!O336,'GCM_Cantilever 1.0'!P336)</f>
        <v/>
      </c>
      <c r="M90" t="str">
        <f>IF('GCM_Cantilever 1.0'!$Q$359&gt;'GCM_Cantilever 1.0'!$R$359,'GCM_Cantilever 1.0'!Q336,'GCM_Cantilever 1.0'!R336)</f>
        <v/>
      </c>
      <c r="N90" t="str">
        <f>IF('GCM_Cantilever 1.0'!$V$359&gt;'GCM_Cantilever 1.0'!$W$359,'GCM_Cantilever 1.0'!V336,'GCM_Cantilever 1.0'!W336)</f>
        <v/>
      </c>
      <c r="O90" t="str">
        <f>IF('GCM_Cantilever 1.0'!$X$359&gt;'GCM_Cantilever 1.0'!$Y$359,'GCM_Cantilever 1.0'!X336,'GCM_Cantilever 1.0'!Y336)</f>
        <v/>
      </c>
    </row>
    <row r="91" spans="8:15" x14ac:dyDescent="0.25">
      <c r="H91" t="str">
        <f>IF('GCM_Cantilever 1.0'!$D$359&gt;'GCM_Cantilever 1.0'!$E$359,'GCM_Cantilever 1.0'!D337,'GCM_Cantilever 1.0'!E337)</f>
        <v/>
      </c>
      <c r="I91" t="str">
        <f>IF('GCM_Cantilever 1.0'!$F$359&gt;'GCM_Cantilever 1.0'!$G$359,'GCM_Cantilever 1.0'!F337,'GCM_Cantilever 1.0'!G337)</f>
        <v/>
      </c>
      <c r="J91" t="str">
        <f>IF('GCM_Cantilever 1.0'!$H$359&gt;'GCM_Cantilever 1.0'!$I$359,'GCM_Cantilever 1.0'!H337,'GCM_Cantilever 1.0'!I337)</f>
        <v/>
      </c>
      <c r="K91" t="str">
        <f>IF('GCM_Cantilever 1.0'!$J$359&gt;'GCM_Cantilever 1.0'!$K$359,'GCM_Cantilever 1.0'!J337,'GCM_Cantilever 1.0'!K337)</f>
        <v/>
      </c>
      <c r="L91" t="str">
        <f>IF('GCM_Cantilever 1.0'!$O$359&gt;'GCM_Cantilever 1.0'!$P$359,'GCM_Cantilever 1.0'!O337,'GCM_Cantilever 1.0'!P337)</f>
        <v/>
      </c>
      <c r="M91" t="str">
        <f>IF('GCM_Cantilever 1.0'!$Q$359&gt;'GCM_Cantilever 1.0'!$R$359,'GCM_Cantilever 1.0'!Q337,'GCM_Cantilever 1.0'!R337)</f>
        <v/>
      </c>
      <c r="N91" t="str">
        <f>IF('GCM_Cantilever 1.0'!$V$359&gt;'GCM_Cantilever 1.0'!$W$359,'GCM_Cantilever 1.0'!V337,'GCM_Cantilever 1.0'!W337)</f>
        <v/>
      </c>
      <c r="O91" t="str">
        <f>IF('GCM_Cantilever 1.0'!$X$359&gt;'GCM_Cantilever 1.0'!$Y$359,'GCM_Cantilever 1.0'!X337,'GCM_Cantilever 1.0'!Y337)</f>
        <v/>
      </c>
    </row>
    <row r="92" spans="8:15" x14ac:dyDescent="0.25">
      <c r="H92" t="str">
        <f>IF('GCM_Cantilever 1.0'!$D$359&gt;'GCM_Cantilever 1.0'!$E$359,'GCM_Cantilever 1.0'!D338,'GCM_Cantilever 1.0'!E338)</f>
        <v/>
      </c>
      <c r="I92" t="str">
        <f>IF('GCM_Cantilever 1.0'!$F$359&gt;'GCM_Cantilever 1.0'!$G$359,'GCM_Cantilever 1.0'!F338,'GCM_Cantilever 1.0'!G338)</f>
        <v/>
      </c>
      <c r="J92" t="str">
        <f>IF('GCM_Cantilever 1.0'!$H$359&gt;'GCM_Cantilever 1.0'!$I$359,'GCM_Cantilever 1.0'!H338,'GCM_Cantilever 1.0'!I338)</f>
        <v/>
      </c>
      <c r="K92" t="str">
        <f>IF('GCM_Cantilever 1.0'!$J$359&gt;'GCM_Cantilever 1.0'!$K$359,'GCM_Cantilever 1.0'!J338,'GCM_Cantilever 1.0'!K338)</f>
        <v/>
      </c>
      <c r="L92" t="str">
        <f>IF('GCM_Cantilever 1.0'!$O$359&gt;'GCM_Cantilever 1.0'!$P$359,'GCM_Cantilever 1.0'!O338,'GCM_Cantilever 1.0'!P338)</f>
        <v/>
      </c>
      <c r="M92" t="str">
        <f>IF('GCM_Cantilever 1.0'!$Q$359&gt;'GCM_Cantilever 1.0'!$R$359,'GCM_Cantilever 1.0'!Q338,'GCM_Cantilever 1.0'!R338)</f>
        <v/>
      </c>
      <c r="N92" t="str">
        <f>IF('GCM_Cantilever 1.0'!$V$359&gt;'GCM_Cantilever 1.0'!$W$359,'GCM_Cantilever 1.0'!V338,'GCM_Cantilever 1.0'!W338)</f>
        <v/>
      </c>
      <c r="O92" t="str">
        <f>IF('GCM_Cantilever 1.0'!$X$359&gt;'GCM_Cantilever 1.0'!$Y$359,'GCM_Cantilever 1.0'!X338,'GCM_Cantilever 1.0'!Y338)</f>
        <v/>
      </c>
    </row>
    <row r="93" spans="8:15" x14ac:dyDescent="0.25">
      <c r="H93" t="str">
        <f>IF('GCM_Cantilever 1.0'!$D$359&gt;'GCM_Cantilever 1.0'!$E$359,'GCM_Cantilever 1.0'!D339,'GCM_Cantilever 1.0'!E339)</f>
        <v/>
      </c>
      <c r="I93" t="str">
        <f>IF('GCM_Cantilever 1.0'!$F$359&gt;'GCM_Cantilever 1.0'!$G$359,'GCM_Cantilever 1.0'!F339,'GCM_Cantilever 1.0'!G339)</f>
        <v/>
      </c>
      <c r="J93" t="str">
        <f>IF('GCM_Cantilever 1.0'!$H$359&gt;'GCM_Cantilever 1.0'!$I$359,'GCM_Cantilever 1.0'!H339,'GCM_Cantilever 1.0'!I339)</f>
        <v/>
      </c>
      <c r="K93" t="str">
        <f>IF('GCM_Cantilever 1.0'!$J$359&gt;'GCM_Cantilever 1.0'!$K$359,'GCM_Cantilever 1.0'!J339,'GCM_Cantilever 1.0'!K339)</f>
        <v/>
      </c>
      <c r="L93" t="str">
        <f>IF('GCM_Cantilever 1.0'!$O$359&gt;'GCM_Cantilever 1.0'!$P$359,'GCM_Cantilever 1.0'!O339,'GCM_Cantilever 1.0'!P339)</f>
        <v/>
      </c>
      <c r="M93" t="str">
        <f>IF('GCM_Cantilever 1.0'!$Q$359&gt;'GCM_Cantilever 1.0'!$R$359,'GCM_Cantilever 1.0'!Q339,'GCM_Cantilever 1.0'!R339)</f>
        <v/>
      </c>
      <c r="N93" t="str">
        <f>IF('GCM_Cantilever 1.0'!$V$359&gt;'GCM_Cantilever 1.0'!$W$359,'GCM_Cantilever 1.0'!V339,'GCM_Cantilever 1.0'!W339)</f>
        <v/>
      </c>
      <c r="O93" t="str">
        <f>IF('GCM_Cantilever 1.0'!$X$359&gt;'GCM_Cantilever 1.0'!$Y$359,'GCM_Cantilever 1.0'!X339,'GCM_Cantilever 1.0'!Y339)</f>
        <v/>
      </c>
    </row>
    <row r="94" spans="8:15" x14ac:dyDescent="0.25">
      <c r="H94" t="str">
        <f>IF('GCM_Cantilever 1.0'!$D$359&gt;'GCM_Cantilever 1.0'!$E$359,'GCM_Cantilever 1.0'!D340,'GCM_Cantilever 1.0'!E340)</f>
        <v/>
      </c>
      <c r="I94" t="str">
        <f>IF('GCM_Cantilever 1.0'!$F$359&gt;'GCM_Cantilever 1.0'!$G$359,'GCM_Cantilever 1.0'!F340,'GCM_Cantilever 1.0'!G340)</f>
        <v/>
      </c>
      <c r="J94" t="str">
        <f>IF('GCM_Cantilever 1.0'!$H$359&gt;'GCM_Cantilever 1.0'!$I$359,'GCM_Cantilever 1.0'!H340,'GCM_Cantilever 1.0'!I340)</f>
        <v/>
      </c>
      <c r="K94" t="str">
        <f>IF('GCM_Cantilever 1.0'!$J$359&gt;'GCM_Cantilever 1.0'!$K$359,'GCM_Cantilever 1.0'!J340,'GCM_Cantilever 1.0'!K340)</f>
        <v/>
      </c>
      <c r="L94" t="str">
        <f>IF('GCM_Cantilever 1.0'!$O$359&gt;'GCM_Cantilever 1.0'!$P$359,'GCM_Cantilever 1.0'!O340,'GCM_Cantilever 1.0'!P340)</f>
        <v/>
      </c>
      <c r="M94" t="str">
        <f>IF('GCM_Cantilever 1.0'!$Q$359&gt;'GCM_Cantilever 1.0'!$R$359,'GCM_Cantilever 1.0'!Q340,'GCM_Cantilever 1.0'!R340)</f>
        <v/>
      </c>
      <c r="N94" t="str">
        <f>IF('GCM_Cantilever 1.0'!$V$359&gt;'GCM_Cantilever 1.0'!$W$359,'GCM_Cantilever 1.0'!V340,'GCM_Cantilever 1.0'!W340)</f>
        <v/>
      </c>
      <c r="O94" t="str">
        <f>IF('GCM_Cantilever 1.0'!$X$359&gt;'GCM_Cantilever 1.0'!$Y$359,'GCM_Cantilever 1.0'!X340,'GCM_Cantilever 1.0'!Y340)</f>
        <v/>
      </c>
    </row>
    <row r="95" spans="8:15" x14ac:dyDescent="0.25">
      <c r="H95" t="str">
        <f>IF('GCM_Cantilever 1.0'!$D$359&gt;'GCM_Cantilever 1.0'!$E$359,'GCM_Cantilever 1.0'!D341,'GCM_Cantilever 1.0'!E341)</f>
        <v/>
      </c>
      <c r="I95" t="str">
        <f>IF('GCM_Cantilever 1.0'!$F$359&gt;'GCM_Cantilever 1.0'!$G$359,'GCM_Cantilever 1.0'!F341,'GCM_Cantilever 1.0'!G341)</f>
        <v/>
      </c>
      <c r="J95" t="str">
        <f>IF('GCM_Cantilever 1.0'!$H$359&gt;'GCM_Cantilever 1.0'!$I$359,'GCM_Cantilever 1.0'!H341,'GCM_Cantilever 1.0'!I341)</f>
        <v/>
      </c>
      <c r="K95" t="str">
        <f>IF('GCM_Cantilever 1.0'!$J$359&gt;'GCM_Cantilever 1.0'!$K$359,'GCM_Cantilever 1.0'!J341,'GCM_Cantilever 1.0'!K341)</f>
        <v/>
      </c>
      <c r="L95" t="str">
        <f>IF('GCM_Cantilever 1.0'!$O$359&gt;'GCM_Cantilever 1.0'!$P$359,'GCM_Cantilever 1.0'!O341,'GCM_Cantilever 1.0'!P341)</f>
        <v/>
      </c>
      <c r="M95" t="str">
        <f>IF('GCM_Cantilever 1.0'!$Q$359&gt;'GCM_Cantilever 1.0'!$R$359,'GCM_Cantilever 1.0'!Q341,'GCM_Cantilever 1.0'!R341)</f>
        <v/>
      </c>
      <c r="N95" t="str">
        <f>IF('GCM_Cantilever 1.0'!$V$359&gt;'GCM_Cantilever 1.0'!$W$359,'GCM_Cantilever 1.0'!V341,'GCM_Cantilever 1.0'!W341)</f>
        <v/>
      </c>
      <c r="O95" t="str">
        <f>IF('GCM_Cantilever 1.0'!$X$359&gt;'GCM_Cantilever 1.0'!$Y$359,'GCM_Cantilever 1.0'!X341,'GCM_Cantilever 1.0'!Y341)</f>
        <v/>
      </c>
    </row>
    <row r="96" spans="8:15" x14ac:dyDescent="0.25">
      <c r="H96" t="str">
        <f>IF('GCM_Cantilever 1.0'!$D$359&gt;'GCM_Cantilever 1.0'!$E$359,'GCM_Cantilever 1.0'!D342,'GCM_Cantilever 1.0'!E342)</f>
        <v/>
      </c>
      <c r="I96" t="str">
        <f>IF('GCM_Cantilever 1.0'!$F$359&gt;'GCM_Cantilever 1.0'!$G$359,'GCM_Cantilever 1.0'!F342,'GCM_Cantilever 1.0'!G342)</f>
        <v/>
      </c>
      <c r="J96" t="str">
        <f>IF('GCM_Cantilever 1.0'!$H$359&gt;'GCM_Cantilever 1.0'!$I$359,'GCM_Cantilever 1.0'!H342,'GCM_Cantilever 1.0'!I342)</f>
        <v/>
      </c>
      <c r="K96" t="str">
        <f>IF('GCM_Cantilever 1.0'!$J$359&gt;'GCM_Cantilever 1.0'!$K$359,'GCM_Cantilever 1.0'!J342,'GCM_Cantilever 1.0'!K342)</f>
        <v/>
      </c>
      <c r="L96" t="str">
        <f>IF('GCM_Cantilever 1.0'!$O$359&gt;'GCM_Cantilever 1.0'!$P$359,'GCM_Cantilever 1.0'!O342,'GCM_Cantilever 1.0'!P342)</f>
        <v/>
      </c>
      <c r="M96" t="str">
        <f>IF('GCM_Cantilever 1.0'!$Q$359&gt;'GCM_Cantilever 1.0'!$R$359,'GCM_Cantilever 1.0'!Q342,'GCM_Cantilever 1.0'!R342)</f>
        <v/>
      </c>
      <c r="N96" t="str">
        <f>IF('GCM_Cantilever 1.0'!$V$359&gt;'GCM_Cantilever 1.0'!$W$359,'GCM_Cantilever 1.0'!V342,'GCM_Cantilever 1.0'!W342)</f>
        <v/>
      </c>
      <c r="O96" t="str">
        <f>IF('GCM_Cantilever 1.0'!$X$359&gt;'GCM_Cantilever 1.0'!$Y$359,'GCM_Cantilever 1.0'!X342,'GCM_Cantilever 1.0'!Y342)</f>
        <v/>
      </c>
    </row>
    <row r="97" spans="8:15" x14ac:dyDescent="0.25">
      <c r="H97" t="str">
        <f>IF('GCM_Cantilever 1.0'!$D$359&gt;'GCM_Cantilever 1.0'!$E$359,'GCM_Cantilever 1.0'!D343,'GCM_Cantilever 1.0'!E343)</f>
        <v/>
      </c>
      <c r="I97" t="str">
        <f>IF('GCM_Cantilever 1.0'!$F$359&gt;'GCM_Cantilever 1.0'!$G$359,'GCM_Cantilever 1.0'!F343,'GCM_Cantilever 1.0'!G343)</f>
        <v/>
      </c>
      <c r="J97" t="str">
        <f>IF('GCM_Cantilever 1.0'!$H$359&gt;'GCM_Cantilever 1.0'!$I$359,'GCM_Cantilever 1.0'!H343,'GCM_Cantilever 1.0'!I343)</f>
        <v/>
      </c>
      <c r="K97" t="str">
        <f>IF('GCM_Cantilever 1.0'!$J$359&gt;'GCM_Cantilever 1.0'!$K$359,'GCM_Cantilever 1.0'!J343,'GCM_Cantilever 1.0'!K343)</f>
        <v/>
      </c>
      <c r="L97" t="str">
        <f>IF('GCM_Cantilever 1.0'!$O$359&gt;'GCM_Cantilever 1.0'!$P$359,'GCM_Cantilever 1.0'!O343,'GCM_Cantilever 1.0'!P343)</f>
        <v/>
      </c>
      <c r="M97" t="str">
        <f>IF('GCM_Cantilever 1.0'!$Q$359&gt;'GCM_Cantilever 1.0'!$R$359,'GCM_Cantilever 1.0'!Q343,'GCM_Cantilever 1.0'!R343)</f>
        <v/>
      </c>
      <c r="N97" t="str">
        <f>IF('GCM_Cantilever 1.0'!$V$359&gt;'GCM_Cantilever 1.0'!$W$359,'GCM_Cantilever 1.0'!V343,'GCM_Cantilever 1.0'!W343)</f>
        <v/>
      </c>
      <c r="O97" t="str">
        <f>IF('GCM_Cantilever 1.0'!$X$359&gt;'GCM_Cantilever 1.0'!$Y$359,'GCM_Cantilever 1.0'!X343,'GCM_Cantilever 1.0'!Y343)</f>
        <v/>
      </c>
    </row>
    <row r="98" spans="8:15" x14ac:dyDescent="0.25">
      <c r="H98" t="str">
        <f>IF('GCM_Cantilever 1.0'!$D$359&gt;'GCM_Cantilever 1.0'!$E$359,'GCM_Cantilever 1.0'!D344,'GCM_Cantilever 1.0'!E344)</f>
        <v/>
      </c>
      <c r="I98" t="str">
        <f>IF('GCM_Cantilever 1.0'!$F$359&gt;'GCM_Cantilever 1.0'!$G$359,'GCM_Cantilever 1.0'!F344,'GCM_Cantilever 1.0'!G344)</f>
        <v/>
      </c>
      <c r="J98" t="str">
        <f>IF('GCM_Cantilever 1.0'!$H$359&gt;'GCM_Cantilever 1.0'!$I$359,'GCM_Cantilever 1.0'!H344,'GCM_Cantilever 1.0'!I344)</f>
        <v/>
      </c>
      <c r="K98" t="str">
        <f>IF('GCM_Cantilever 1.0'!$J$359&gt;'GCM_Cantilever 1.0'!$K$359,'GCM_Cantilever 1.0'!J344,'GCM_Cantilever 1.0'!K344)</f>
        <v/>
      </c>
      <c r="L98" t="str">
        <f>IF('GCM_Cantilever 1.0'!$O$359&gt;'GCM_Cantilever 1.0'!$P$359,'GCM_Cantilever 1.0'!O344,'GCM_Cantilever 1.0'!P344)</f>
        <v/>
      </c>
      <c r="M98" t="str">
        <f>IF('GCM_Cantilever 1.0'!$Q$359&gt;'GCM_Cantilever 1.0'!$R$359,'GCM_Cantilever 1.0'!Q344,'GCM_Cantilever 1.0'!R344)</f>
        <v/>
      </c>
      <c r="N98" t="str">
        <f>IF('GCM_Cantilever 1.0'!$V$359&gt;'GCM_Cantilever 1.0'!$W$359,'GCM_Cantilever 1.0'!V344,'GCM_Cantilever 1.0'!W344)</f>
        <v/>
      </c>
      <c r="O98" t="str">
        <f>IF('GCM_Cantilever 1.0'!$X$359&gt;'GCM_Cantilever 1.0'!$Y$359,'GCM_Cantilever 1.0'!X344,'GCM_Cantilever 1.0'!Y344)</f>
        <v/>
      </c>
    </row>
    <row r="99" spans="8:15" x14ac:dyDescent="0.25">
      <c r="H99" t="str">
        <f>IF('GCM_Cantilever 1.0'!$D$359&gt;'GCM_Cantilever 1.0'!$E$359,'GCM_Cantilever 1.0'!D345,'GCM_Cantilever 1.0'!E345)</f>
        <v/>
      </c>
      <c r="I99" t="str">
        <f>IF('GCM_Cantilever 1.0'!$F$359&gt;'GCM_Cantilever 1.0'!$G$359,'GCM_Cantilever 1.0'!F345,'GCM_Cantilever 1.0'!G345)</f>
        <v/>
      </c>
      <c r="J99" t="str">
        <f>IF('GCM_Cantilever 1.0'!$H$359&gt;'GCM_Cantilever 1.0'!$I$359,'GCM_Cantilever 1.0'!H345,'GCM_Cantilever 1.0'!I345)</f>
        <v/>
      </c>
      <c r="K99" t="str">
        <f>IF('GCM_Cantilever 1.0'!$J$359&gt;'GCM_Cantilever 1.0'!$K$359,'GCM_Cantilever 1.0'!J345,'GCM_Cantilever 1.0'!K345)</f>
        <v/>
      </c>
      <c r="L99" t="str">
        <f>IF('GCM_Cantilever 1.0'!$O$359&gt;'GCM_Cantilever 1.0'!$P$359,'GCM_Cantilever 1.0'!O345,'GCM_Cantilever 1.0'!P345)</f>
        <v/>
      </c>
      <c r="M99" t="str">
        <f>IF('GCM_Cantilever 1.0'!$Q$359&gt;'GCM_Cantilever 1.0'!$R$359,'GCM_Cantilever 1.0'!Q345,'GCM_Cantilever 1.0'!R345)</f>
        <v/>
      </c>
      <c r="N99" t="str">
        <f>IF('GCM_Cantilever 1.0'!$V$359&gt;'GCM_Cantilever 1.0'!$W$359,'GCM_Cantilever 1.0'!V345,'GCM_Cantilever 1.0'!W345)</f>
        <v/>
      </c>
      <c r="O99" t="str">
        <f>IF('GCM_Cantilever 1.0'!$X$359&gt;'GCM_Cantilever 1.0'!$Y$359,'GCM_Cantilever 1.0'!X345,'GCM_Cantilever 1.0'!Y345)</f>
        <v/>
      </c>
    </row>
    <row r="100" spans="8:15" x14ac:dyDescent="0.25">
      <c r="H100" t="str">
        <f>IF('GCM_Cantilever 1.0'!$D$359&gt;'GCM_Cantilever 1.0'!$E$359,'GCM_Cantilever 1.0'!D346,'GCM_Cantilever 1.0'!E346)</f>
        <v/>
      </c>
      <c r="I100" t="str">
        <f>IF('GCM_Cantilever 1.0'!$F$359&gt;'GCM_Cantilever 1.0'!$G$359,'GCM_Cantilever 1.0'!F346,'GCM_Cantilever 1.0'!G346)</f>
        <v/>
      </c>
      <c r="J100" t="str">
        <f>IF('GCM_Cantilever 1.0'!$H$359&gt;'GCM_Cantilever 1.0'!$I$359,'GCM_Cantilever 1.0'!H346,'GCM_Cantilever 1.0'!I346)</f>
        <v/>
      </c>
      <c r="K100" t="str">
        <f>IF('GCM_Cantilever 1.0'!$J$359&gt;'GCM_Cantilever 1.0'!$K$359,'GCM_Cantilever 1.0'!J346,'GCM_Cantilever 1.0'!K346)</f>
        <v/>
      </c>
      <c r="L100" t="str">
        <f>IF('GCM_Cantilever 1.0'!$O$359&gt;'GCM_Cantilever 1.0'!$P$359,'GCM_Cantilever 1.0'!O346,'GCM_Cantilever 1.0'!P346)</f>
        <v/>
      </c>
      <c r="M100" t="str">
        <f>IF('GCM_Cantilever 1.0'!$Q$359&gt;'GCM_Cantilever 1.0'!$R$359,'GCM_Cantilever 1.0'!Q346,'GCM_Cantilever 1.0'!R346)</f>
        <v/>
      </c>
      <c r="N100" t="str">
        <f>IF('GCM_Cantilever 1.0'!$V$359&gt;'GCM_Cantilever 1.0'!$W$359,'GCM_Cantilever 1.0'!V346,'GCM_Cantilever 1.0'!W346)</f>
        <v/>
      </c>
      <c r="O100" t="str">
        <f>IF('GCM_Cantilever 1.0'!$X$359&gt;'GCM_Cantilever 1.0'!$Y$359,'GCM_Cantilever 1.0'!X346,'GCM_Cantilever 1.0'!Y346)</f>
        <v/>
      </c>
    </row>
    <row r="101" spans="8:15" x14ac:dyDescent="0.25">
      <c r="H101" t="str">
        <f>IF('GCM_Cantilever 1.0'!$D$359&gt;'GCM_Cantilever 1.0'!$E$359,'GCM_Cantilever 1.0'!D347,'GCM_Cantilever 1.0'!E347)</f>
        <v/>
      </c>
      <c r="I101" t="str">
        <f>IF('GCM_Cantilever 1.0'!$F$359&gt;'GCM_Cantilever 1.0'!$G$359,'GCM_Cantilever 1.0'!F347,'GCM_Cantilever 1.0'!G347)</f>
        <v/>
      </c>
      <c r="J101" t="str">
        <f>IF('GCM_Cantilever 1.0'!$H$359&gt;'GCM_Cantilever 1.0'!$I$359,'GCM_Cantilever 1.0'!H347,'GCM_Cantilever 1.0'!I347)</f>
        <v/>
      </c>
      <c r="K101" t="str">
        <f>IF('GCM_Cantilever 1.0'!$J$359&gt;'GCM_Cantilever 1.0'!$K$359,'GCM_Cantilever 1.0'!J347,'GCM_Cantilever 1.0'!K347)</f>
        <v/>
      </c>
      <c r="L101" t="str">
        <f>IF('GCM_Cantilever 1.0'!$O$359&gt;'GCM_Cantilever 1.0'!$P$359,'GCM_Cantilever 1.0'!O347,'GCM_Cantilever 1.0'!P347)</f>
        <v/>
      </c>
      <c r="M101" t="str">
        <f>IF('GCM_Cantilever 1.0'!$Q$359&gt;'GCM_Cantilever 1.0'!$R$359,'GCM_Cantilever 1.0'!Q347,'GCM_Cantilever 1.0'!R347)</f>
        <v/>
      </c>
      <c r="N101" t="str">
        <f>IF('GCM_Cantilever 1.0'!$V$359&gt;'GCM_Cantilever 1.0'!$W$359,'GCM_Cantilever 1.0'!V347,'GCM_Cantilever 1.0'!W347)</f>
        <v/>
      </c>
      <c r="O101" t="str">
        <f>IF('GCM_Cantilever 1.0'!$X$359&gt;'GCM_Cantilever 1.0'!$Y$359,'GCM_Cantilever 1.0'!X347,'GCM_Cantilever 1.0'!Y347)</f>
        <v/>
      </c>
    </row>
    <row r="102" spans="8:15" x14ac:dyDescent="0.25">
      <c r="H102" t="str">
        <f>IF('GCM_Cantilever 1.0'!$D$359&gt;'GCM_Cantilever 1.0'!$E$359,'GCM_Cantilever 1.0'!D348,'GCM_Cantilever 1.0'!E348)</f>
        <v/>
      </c>
      <c r="I102" t="str">
        <f>IF('GCM_Cantilever 1.0'!$F$359&gt;'GCM_Cantilever 1.0'!$G$359,'GCM_Cantilever 1.0'!F348,'GCM_Cantilever 1.0'!G348)</f>
        <v/>
      </c>
      <c r="J102" t="str">
        <f>IF('GCM_Cantilever 1.0'!$H$359&gt;'GCM_Cantilever 1.0'!$I$359,'GCM_Cantilever 1.0'!H348,'GCM_Cantilever 1.0'!I348)</f>
        <v/>
      </c>
      <c r="K102" t="str">
        <f>IF('GCM_Cantilever 1.0'!$J$359&gt;'GCM_Cantilever 1.0'!$K$359,'GCM_Cantilever 1.0'!J348,'GCM_Cantilever 1.0'!K348)</f>
        <v/>
      </c>
      <c r="L102" t="str">
        <f>IF('GCM_Cantilever 1.0'!$O$359&gt;'GCM_Cantilever 1.0'!$P$359,'GCM_Cantilever 1.0'!O348,'GCM_Cantilever 1.0'!P348)</f>
        <v/>
      </c>
      <c r="M102" t="str">
        <f>IF('GCM_Cantilever 1.0'!$Q$359&gt;'GCM_Cantilever 1.0'!$R$359,'GCM_Cantilever 1.0'!Q348,'GCM_Cantilever 1.0'!R348)</f>
        <v/>
      </c>
      <c r="N102" t="str">
        <f>IF('GCM_Cantilever 1.0'!$V$359&gt;'GCM_Cantilever 1.0'!$W$359,'GCM_Cantilever 1.0'!V348,'GCM_Cantilever 1.0'!W348)</f>
        <v/>
      </c>
      <c r="O102" t="str">
        <f>IF('GCM_Cantilever 1.0'!$X$359&gt;'GCM_Cantilever 1.0'!$Y$359,'GCM_Cantilever 1.0'!X348,'GCM_Cantilever 1.0'!Y348)</f>
        <v/>
      </c>
    </row>
    <row r="103" spans="8:15" x14ac:dyDescent="0.25">
      <c r="H103" t="str">
        <f>IF('GCM_Cantilever 1.0'!$D$359&gt;'GCM_Cantilever 1.0'!$E$359,'GCM_Cantilever 1.0'!D349,'GCM_Cantilever 1.0'!E349)</f>
        <v/>
      </c>
      <c r="I103" t="str">
        <f>IF('GCM_Cantilever 1.0'!$F$359&gt;'GCM_Cantilever 1.0'!$G$359,'GCM_Cantilever 1.0'!F349,'GCM_Cantilever 1.0'!G349)</f>
        <v/>
      </c>
      <c r="J103" t="str">
        <f>IF('GCM_Cantilever 1.0'!$H$359&gt;'GCM_Cantilever 1.0'!$I$359,'GCM_Cantilever 1.0'!H349,'GCM_Cantilever 1.0'!I349)</f>
        <v/>
      </c>
      <c r="K103" t="str">
        <f>IF('GCM_Cantilever 1.0'!$J$359&gt;'GCM_Cantilever 1.0'!$K$359,'GCM_Cantilever 1.0'!J349,'GCM_Cantilever 1.0'!K349)</f>
        <v/>
      </c>
      <c r="L103" t="str">
        <f>IF('GCM_Cantilever 1.0'!$O$359&gt;'GCM_Cantilever 1.0'!$P$359,'GCM_Cantilever 1.0'!O349,'GCM_Cantilever 1.0'!P349)</f>
        <v/>
      </c>
      <c r="M103" t="str">
        <f>IF('GCM_Cantilever 1.0'!$Q$359&gt;'GCM_Cantilever 1.0'!$R$359,'GCM_Cantilever 1.0'!Q349,'GCM_Cantilever 1.0'!R349)</f>
        <v/>
      </c>
      <c r="N103" t="str">
        <f>IF('GCM_Cantilever 1.0'!$V$359&gt;'GCM_Cantilever 1.0'!$W$359,'GCM_Cantilever 1.0'!V349,'GCM_Cantilever 1.0'!W349)</f>
        <v/>
      </c>
      <c r="O103" t="str">
        <f>IF('GCM_Cantilever 1.0'!$X$359&gt;'GCM_Cantilever 1.0'!$Y$359,'GCM_Cantilever 1.0'!X349,'GCM_Cantilever 1.0'!Y349)</f>
        <v/>
      </c>
    </row>
    <row r="104" spans="8:15" x14ac:dyDescent="0.25">
      <c r="H104" t="str">
        <f>IF('GCM_Cantilever 1.0'!$D$359&gt;'GCM_Cantilever 1.0'!$E$359,'GCM_Cantilever 1.0'!D350,'GCM_Cantilever 1.0'!E350)</f>
        <v/>
      </c>
      <c r="I104" t="str">
        <f>IF('GCM_Cantilever 1.0'!$F$359&gt;'GCM_Cantilever 1.0'!$G$359,'GCM_Cantilever 1.0'!F350,'GCM_Cantilever 1.0'!G350)</f>
        <v/>
      </c>
      <c r="J104" t="str">
        <f>IF('GCM_Cantilever 1.0'!$H$359&gt;'GCM_Cantilever 1.0'!$I$359,'GCM_Cantilever 1.0'!H350,'GCM_Cantilever 1.0'!I350)</f>
        <v/>
      </c>
      <c r="K104" t="str">
        <f>IF('GCM_Cantilever 1.0'!$J$359&gt;'GCM_Cantilever 1.0'!$K$359,'GCM_Cantilever 1.0'!J350,'GCM_Cantilever 1.0'!K350)</f>
        <v/>
      </c>
      <c r="L104" t="str">
        <f>IF('GCM_Cantilever 1.0'!$O$359&gt;'GCM_Cantilever 1.0'!$P$359,'GCM_Cantilever 1.0'!O350,'GCM_Cantilever 1.0'!P350)</f>
        <v/>
      </c>
      <c r="M104" t="str">
        <f>IF('GCM_Cantilever 1.0'!$Q$359&gt;'GCM_Cantilever 1.0'!$R$359,'GCM_Cantilever 1.0'!Q350,'GCM_Cantilever 1.0'!R350)</f>
        <v/>
      </c>
      <c r="N104" t="str">
        <f>IF('GCM_Cantilever 1.0'!$V$359&gt;'GCM_Cantilever 1.0'!$W$359,'GCM_Cantilever 1.0'!V350,'GCM_Cantilever 1.0'!W350)</f>
        <v/>
      </c>
      <c r="O104" t="str">
        <f>IF('GCM_Cantilever 1.0'!$X$359&gt;'GCM_Cantilever 1.0'!$Y$359,'GCM_Cantilever 1.0'!X350,'GCM_Cantilever 1.0'!Y350)</f>
        <v/>
      </c>
    </row>
    <row r="105" spans="8:15" x14ac:dyDescent="0.25">
      <c r="H105" t="str">
        <f>IF('GCM_Cantilever 1.0'!$D$359&gt;'GCM_Cantilever 1.0'!$E$359,'GCM_Cantilever 1.0'!D351,'GCM_Cantilever 1.0'!E351)</f>
        <v/>
      </c>
      <c r="I105" t="str">
        <f>IF('GCM_Cantilever 1.0'!$F$359&gt;'GCM_Cantilever 1.0'!$G$359,'GCM_Cantilever 1.0'!F351,'GCM_Cantilever 1.0'!G351)</f>
        <v/>
      </c>
      <c r="J105" t="str">
        <f>IF('GCM_Cantilever 1.0'!$H$359&gt;'GCM_Cantilever 1.0'!$I$359,'GCM_Cantilever 1.0'!H351,'GCM_Cantilever 1.0'!I351)</f>
        <v/>
      </c>
      <c r="K105" t="str">
        <f>IF('GCM_Cantilever 1.0'!$J$359&gt;'GCM_Cantilever 1.0'!$K$359,'GCM_Cantilever 1.0'!J351,'GCM_Cantilever 1.0'!K351)</f>
        <v/>
      </c>
      <c r="L105" t="str">
        <f>IF('GCM_Cantilever 1.0'!$O$359&gt;'GCM_Cantilever 1.0'!$P$359,'GCM_Cantilever 1.0'!O351,'GCM_Cantilever 1.0'!P351)</f>
        <v/>
      </c>
      <c r="M105" t="str">
        <f>IF('GCM_Cantilever 1.0'!$Q$359&gt;'GCM_Cantilever 1.0'!$R$359,'GCM_Cantilever 1.0'!Q351,'GCM_Cantilever 1.0'!R351)</f>
        <v/>
      </c>
      <c r="N105" t="str">
        <f>IF('GCM_Cantilever 1.0'!$V$359&gt;'GCM_Cantilever 1.0'!$W$359,'GCM_Cantilever 1.0'!V351,'GCM_Cantilever 1.0'!W351)</f>
        <v/>
      </c>
      <c r="O105" t="str">
        <f>IF('GCM_Cantilever 1.0'!$X$359&gt;'GCM_Cantilever 1.0'!$Y$359,'GCM_Cantilever 1.0'!X351,'GCM_Cantilever 1.0'!Y351)</f>
        <v/>
      </c>
    </row>
    <row r="106" spans="8:15" x14ac:dyDescent="0.25">
      <c r="H106" t="str">
        <f>IF('GCM_Cantilever 1.0'!$D$359&gt;'GCM_Cantilever 1.0'!$E$359,'GCM_Cantilever 1.0'!D352,'GCM_Cantilever 1.0'!E352)</f>
        <v/>
      </c>
      <c r="I106" t="str">
        <f>IF('GCM_Cantilever 1.0'!$F$359&gt;'GCM_Cantilever 1.0'!$G$359,'GCM_Cantilever 1.0'!F352,'GCM_Cantilever 1.0'!G352)</f>
        <v/>
      </c>
      <c r="J106" t="str">
        <f>IF('GCM_Cantilever 1.0'!$H$359&gt;'GCM_Cantilever 1.0'!$I$359,'GCM_Cantilever 1.0'!H352,'GCM_Cantilever 1.0'!I352)</f>
        <v/>
      </c>
      <c r="K106" t="str">
        <f>IF('GCM_Cantilever 1.0'!$J$359&gt;'GCM_Cantilever 1.0'!$K$359,'GCM_Cantilever 1.0'!J352,'GCM_Cantilever 1.0'!K352)</f>
        <v/>
      </c>
      <c r="L106" t="str">
        <f>IF('GCM_Cantilever 1.0'!$O$359&gt;'GCM_Cantilever 1.0'!$P$359,'GCM_Cantilever 1.0'!O352,'GCM_Cantilever 1.0'!P352)</f>
        <v/>
      </c>
      <c r="M106" t="str">
        <f>IF('GCM_Cantilever 1.0'!$Q$359&gt;'GCM_Cantilever 1.0'!$R$359,'GCM_Cantilever 1.0'!Q352,'GCM_Cantilever 1.0'!R352)</f>
        <v/>
      </c>
      <c r="N106" t="str">
        <f>IF('GCM_Cantilever 1.0'!$V$359&gt;'GCM_Cantilever 1.0'!$W$359,'GCM_Cantilever 1.0'!V352,'GCM_Cantilever 1.0'!W352)</f>
        <v/>
      </c>
      <c r="O106" t="str">
        <f>IF('GCM_Cantilever 1.0'!$X$359&gt;'GCM_Cantilever 1.0'!$Y$359,'GCM_Cantilever 1.0'!X352,'GCM_Cantilever 1.0'!Y352)</f>
        <v/>
      </c>
    </row>
    <row r="107" spans="8:15" x14ac:dyDescent="0.25">
      <c r="H107" t="str">
        <f>IF('GCM_Cantilever 1.0'!$D$359&gt;'GCM_Cantilever 1.0'!$E$359,'GCM_Cantilever 1.0'!D353,'GCM_Cantilever 1.0'!E353)</f>
        <v/>
      </c>
      <c r="I107" t="str">
        <f>IF('GCM_Cantilever 1.0'!$F$359&gt;'GCM_Cantilever 1.0'!$G$359,'GCM_Cantilever 1.0'!F353,'GCM_Cantilever 1.0'!G353)</f>
        <v/>
      </c>
      <c r="J107" t="str">
        <f>IF('GCM_Cantilever 1.0'!$H$359&gt;'GCM_Cantilever 1.0'!$I$359,'GCM_Cantilever 1.0'!H353,'GCM_Cantilever 1.0'!I353)</f>
        <v/>
      </c>
      <c r="K107" t="str">
        <f>IF('GCM_Cantilever 1.0'!$J$359&gt;'GCM_Cantilever 1.0'!$K$359,'GCM_Cantilever 1.0'!J353,'GCM_Cantilever 1.0'!K353)</f>
        <v/>
      </c>
      <c r="L107" t="str">
        <f>IF('GCM_Cantilever 1.0'!$O$359&gt;'GCM_Cantilever 1.0'!$P$359,'GCM_Cantilever 1.0'!O353,'GCM_Cantilever 1.0'!P353)</f>
        <v/>
      </c>
      <c r="M107" t="str">
        <f>IF('GCM_Cantilever 1.0'!$Q$359&gt;'GCM_Cantilever 1.0'!$R$359,'GCM_Cantilever 1.0'!Q353,'GCM_Cantilever 1.0'!R353)</f>
        <v/>
      </c>
      <c r="N107" t="str">
        <f>IF('GCM_Cantilever 1.0'!$V$359&gt;'GCM_Cantilever 1.0'!$W$359,'GCM_Cantilever 1.0'!V353,'GCM_Cantilever 1.0'!W353)</f>
        <v/>
      </c>
      <c r="O107" t="str">
        <f>IF('GCM_Cantilever 1.0'!$X$359&gt;'GCM_Cantilever 1.0'!$Y$359,'GCM_Cantilever 1.0'!X353,'GCM_Cantilever 1.0'!Y353)</f>
        <v/>
      </c>
    </row>
    <row r="108" spans="8:15" x14ac:dyDescent="0.25">
      <c r="H108" t="str">
        <f>IF('GCM_Cantilever 1.0'!$D$359&gt;'GCM_Cantilever 1.0'!$E$359,'GCM_Cantilever 1.0'!D354,'GCM_Cantilever 1.0'!E354)</f>
        <v/>
      </c>
      <c r="I108" t="str">
        <f>IF('GCM_Cantilever 1.0'!$F$359&gt;'GCM_Cantilever 1.0'!$G$359,'GCM_Cantilever 1.0'!F354,'GCM_Cantilever 1.0'!G354)</f>
        <v/>
      </c>
      <c r="J108" t="str">
        <f>IF('GCM_Cantilever 1.0'!$H$359&gt;'GCM_Cantilever 1.0'!$I$359,'GCM_Cantilever 1.0'!H354,'GCM_Cantilever 1.0'!I354)</f>
        <v/>
      </c>
      <c r="K108" t="str">
        <f>IF('GCM_Cantilever 1.0'!$J$359&gt;'GCM_Cantilever 1.0'!$K$359,'GCM_Cantilever 1.0'!J354,'GCM_Cantilever 1.0'!K354)</f>
        <v/>
      </c>
      <c r="L108" t="str">
        <f>IF('GCM_Cantilever 1.0'!$O$359&gt;'GCM_Cantilever 1.0'!$P$359,'GCM_Cantilever 1.0'!O354,'GCM_Cantilever 1.0'!P354)</f>
        <v/>
      </c>
      <c r="M108" t="str">
        <f>IF('GCM_Cantilever 1.0'!$Q$359&gt;'GCM_Cantilever 1.0'!$R$359,'GCM_Cantilever 1.0'!Q354,'GCM_Cantilever 1.0'!R354)</f>
        <v/>
      </c>
      <c r="N108" t="str">
        <f>IF('GCM_Cantilever 1.0'!$V$359&gt;'GCM_Cantilever 1.0'!$W$359,'GCM_Cantilever 1.0'!V354,'GCM_Cantilever 1.0'!W354)</f>
        <v/>
      </c>
      <c r="O108" t="str">
        <f>IF('GCM_Cantilever 1.0'!$X$359&gt;'GCM_Cantilever 1.0'!$Y$359,'GCM_Cantilever 1.0'!X354,'GCM_Cantilever 1.0'!Y354)</f>
        <v/>
      </c>
    </row>
    <row r="109" spans="8:15" x14ac:dyDescent="0.25">
      <c r="H109" t="str">
        <f>IF('GCM_Cantilever 1.0'!$D$359&gt;'GCM_Cantilever 1.0'!$E$359,'GCM_Cantilever 1.0'!D355,'GCM_Cantilever 1.0'!E355)</f>
        <v/>
      </c>
      <c r="I109" t="str">
        <f>IF('GCM_Cantilever 1.0'!$F$359&gt;'GCM_Cantilever 1.0'!$G$359,'GCM_Cantilever 1.0'!F355,'GCM_Cantilever 1.0'!G355)</f>
        <v/>
      </c>
      <c r="J109" t="str">
        <f>IF('GCM_Cantilever 1.0'!$H$359&gt;'GCM_Cantilever 1.0'!$I$359,'GCM_Cantilever 1.0'!H355,'GCM_Cantilever 1.0'!I355)</f>
        <v/>
      </c>
      <c r="K109" t="str">
        <f>IF('GCM_Cantilever 1.0'!$J$359&gt;'GCM_Cantilever 1.0'!$K$359,'GCM_Cantilever 1.0'!J355,'GCM_Cantilever 1.0'!K355)</f>
        <v/>
      </c>
      <c r="L109" t="str">
        <f>IF('GCM_Cantilever 1.0'!$O$359&gt;'GCM_Cantilever 1.0'!$P$359,'GCM_Cantilever 1.0'!O355,'GCM_Cantilever 1.0'!P355)</f>
        <v/>
      </c>
      <c r="M109" t="str">
        <f>IF('GCM_Cantilever 1.0'!$Q$359&gt;'GCM_Cantilever 1.0'!$R$359,'GCM_Cantilever 1.0'!Q355,'GCM_Cantilever 1.0'!R355)</f>
        <v/>
      </c>
      <c r="N109" t="str">
        <f>IF('GCM_Cantilever 1.0'!$V$359&gt;'GCM_Cantilever 1.0'!$W$359,'GCM_Cantilever 1.0'!V355,'GCM_Cantilever 1.0'!W355)</f>
        <v/>
      </c>
      <c r="O109" t="str">
        <f>IF('GCM_Cantilever 1.0'!$X$359&gt;'GCM_Cantilever 1.0'!$Y$359,'GCM_Cantilever 1.0'!X355,'GCM_Cantilever 1.0'!Y355)</f>
        <v/>
      </c>
    </row>
    <row r="110" spans="8:15" x14ac:dyDescent="0.25">
      <c r="H110" t="str">
        <f>IF('GCM_Cantilever 1.0'!$D$359&gt;'GCM_Cantilever 1.0'!$E$359,'GCM_Cantilever 1.0'!D356,'GCM_Cantilever 1.0'!E356)</f>
        <v/>
      </c>
      <c r="I110" t="str">
        <f>IF('GCM_Cantilever 1.0'!$F$359&gt;'GCM_Cantilever 1.0'!$G$359,'GCM_Cantilever 1.0'!F356,'GCM_Cantilever 1.0'!G356)</f>
        <v/>
      </c>
      <c r="J110" t="str">
        <f>IF('GCM_Cantilever 1.0'!$H$359&gt;'GCM_Cantilever 1.0'!$I$359,'GCM_Cantilever 1.0'!H356,'GCM_Cantilever 1.0'!I356)</f>
        <v/>
      </c>
      <c r="K110" t="str">
        <f>IF('GCM_Cantilever 1.0'!$J$359&gt;'GCM_Cantilever 1.0'!$K$359,'GCM_Cantilever 1.0'!J356,'GCM_Cantilever 1.0'!K356)</f>
        <v/>
      </c>
      <c r="L110" t="str">
        <f>IF('GCM_Cantilever 1.0'!$O$359&gt;'GCM_Cantilever 1.0'!$P$359,'GCM_Cantilever 1.0'!O356,'GCM_Cantilever 1.0'!P356)</f>
        <v/>
      </c>
      <c r="M110" t="str">
        <f>IF('GCM_Cantilever 1.0'!$Q$359&gt;'GCM_Cantilever 1.0'!$R$359,'GCM_Cantilever 1.0'!Q356,'GCM_Cantilever 1.0'!R356)</f>
        <v/>
      </c>
      <c r="N110" t="str">
        <f>IF('GCM_Cantilever 1.0'!$V$359&gt;'GCM_Cantilever 1.0'!$W$359,'GCM_Cantilever 1.0'!V356,'GCM_Cantilever 1.0'!W356)</f>
        <v/>
      </c>
      <c r="O110" t="str">
        <f>IF('GCM_Cantilever 1.0'!$X$359&gt;'GCM_Cantilever 1.0'!$Y$359,'GCM_Cantilever 1.0'!X356,'GCM_Cantilever 1.0'!Y356)</f>
        <v/>
      </c>
    </row>
    <row r="111" spans="8:15" x14ac:dyDescent="0.25">
      <c r="H111" t="str">
        <f>IF('GCM_Cantilever 1.0'!$D$359&gt;'GCM_Cantilever 1.0'!$E$359,'GCM_Cantilever 1.0'!D357,'GCM_Cantilever 1.0'!E357)</f>
        <v/>
      </c>
      <c r="I111" t="str">
        <f>IF('GCM_Cantilever 1.0'!$F$359&gt;'GCM_Cantilever 1.0'!$G$359,'GCM_Cantilever 1.0'!F357,'GCM_Cantilever 1.0'!G357)</f>
        <v/>
      </c>
      <c r="J111" t="str">
        <f>IF('GCM_Cantilever 1.0'!$H$359&gt;'GCM_Cantilever 1.0'!$I$359,'GCM_Cantilever 1.0'!H357,'GCM_Cantilever 1.0'!I357)</f>
        <v/>
      </c>
      <c r="K111" t="str">
        <f>IF('GCM_Cantilever 1.0'!$J$359&gt;'GCM_Cantilever 1.0'!$K$359,'GCM_Cantilever 1.0'!J357,'GCM_Cantilever 1.0'!K357)</f>
        <v/>
      </c>
      <c r="L111" t="str">
        <f>IF('GCM_Cantilever 1.0'!$O$359&gt;'GCM_Cantilever 1.0'!$P$359,'GCM_Cantilever 1.0'!O357,'GCM_Cantilever 1.0'!P357)</f>
        <v/>
      </c>
      <c r="M111" t="str">
        <f>IF('GCM_Cantilever 1.0'!$Q$359&gt;'GCM_Cantilever 1.0'!$R$359,'GCM_Cantilever 1.0'!Q357,'GCM_Cantilever 1.0'!R357)</f>
        <v/>
      </c>
      <c r="N111" t="str">
        <f>IF('GCM_Cantilever 1.0'!$V$359&gt;'GCM_Cantilever 1.0'!$W$359,'GCM_Cantilever 1.0'!V357,'GCM_Cantilever 1.0'!W357)</f>
        <v/>
      </c>
      <c r="O111" t="str">
        <f>IF('GCM_Cantilever 1.0'!$X$359&gt;'GCM_Cantilever 1.0'!$Y$359,'GCM_Cantilever 1.0'!X357,'GCM_Cantilever 1.0'!Y357)</f>
        <v/>
      </c>
    </row>
    <row r="112" spans="8:15" x14ac:dyDescent="0.25">
      <c r="H112" s="30" t="str">
        <f>IF('GCM_Cantilever 1.0'!$D$359&gt;'GCM_Cantilever 1.0'!$E$359,'GCM_Cantilever 1.0'!D358,'GCM_Cantilever 1.0'!E358)</f>
        <v/>
      </c>
      <c r="I112" s="30" t="str">
        <f>IF('GCM_Cantilever 1.0'!$F$359&gt;'GCM_Cantilever 1.0'!$G$359,'GCM_Cantilever 1.0'!F358,'GCM_Cantilever 1.0'!G358)</f>
        <v/>
      </c>
      <c r="J112" s="30" t="str">
        <f>IF('GCM_Cantilever 1.0'!$H$359&gt;'GCM_Cantilever 1.0'!$I$359,'GCM_Cantilever 1.0'!H358,'GCM_Cantilever 1.0'!I358)</f>
        <v/>
      </c>
      <c r="K112" s="30" t="str">
        <f>IF('GCM_Cantilever 1.0'!$J$359&gt;'GCM_Cantilever 1.0'!$K$359,'GCM_Cantilever 1.0'!J358,'GCM_Cantilever 1.0'!K358)</f>
        <v/>
      </c>
      <c r="L112" t="str">
        <f>IF('GCM_Cantilever 1.0'!$O$359&gt;'GCM_Cantilever 1.0'!$P$359,'GCM_Cantilever 1.0'!O358,'GCM_Cantilever 1.0'!P358)</f>
        <v/>
      </c>
      <c r="M112" t="str">
        <f>IF('GCM_Cantilever 1.0'!$Q$359&gt;'GCM_Cantilever 1.0'!$R$359,'GCM_Cantilever 1.0'!Q358,'GCM_Cantilever 1.0'!R358)</f>
        <v/>
      </c>
      <c r="N112" t="str">
        <f>IF('GCM_Cantilever 1.0'!$V$359&gt;'GCM_Cantilever 1.0'!$W$359,'GCM_Cantilever 1.0'!V358,'GCM_Cantilever 1.0'!W358)</f>
        <v/>
      </c>
      <c r="O112" t="str">
        <f>IF('GCM_Cantilever 1.0'!$X$359&gt;'GCM_Cantilever 1.0'!$Y$359,'GCM_Cantilever 1.0'!X358,'GCM_Cantilever 1.0'!Y358)</f>
        <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2:EW287"/>
  <sheetViews>
    <sheetView topLeftCell="CK1" zoomScale="80" zoomScaleNormal="80" workbookViewId="0">
      <selection activeCell="CU17" sqref="CU17"/>
    </sheetView>
  </sheetViews>
  <sheetFormatPr defaultRowHeight="15" x14ac:dyDescent="0.25"/>
  <cols>
    <col min="4" max="4" width="17.7109375" bestFit="1" customWidth="1"/>
    <col min="5" max="5" width="12.28515625" customWidth="1"/>
    <col min="6" max="6" width="9.85546875" bestFit="1" customWidth="1"/>
    <col min="9" max="9" width="12.42578125" bestFit="1" customWidth="1"/>
    <col min="10" max="10" width="12.42578125" customWidth="1"/>
    <col min="14" max="14" width="10" customWidth="1"/>
    <col min="15" max="15" width="9.140625" customWidth="1"/>
    <col min="16" max="16" width="10" customWidth="1"/>
    <col min="23" max="23" width="12.28515625" bestFit="1" customWidth="1"/>
    <col min="24" max="24" width="9.5703125" bestFit="1" customWidth="1"/>
    <col min="26" max="26" width="13.5703125" bestFit="1" customWidth="1"/>
    <col min="29" max="29" width="12.28515625" bestFit="1" customWidth="1"/>
    <col min="30" max="30" width="9.5703125" bestFit="1" customWidth="1"/>
    <col min="58" max="58" width="13.7109375" bestFit="1" customWidth="1"/>
    <col min="61" max="61" width="13.7109375" bestFit="1" customWidth="1"/>
    <col min="64" max="64" width="13.7109375" bestFit="1" customWidth="1"/>
    <col min="85" max="91" width="20.7109375" customWidth="1"/>
    <col min="92" max="92" width="23.42578125" bestFit="1" customWidth="1"/>
    <col min="93" max="93" width="20.7109375" customWidth="1"/>
    <col min="94" max="94" width="23.42578125" bestFit="1" customWidth="1"/>
    <col min="95" max="97" width="23.42578125" customWidth="1"/>
    <col min="98" max="98" width="13" bestFit="1" customWidth="1"/>
    <col min="99" max="99" width="20.7109375" customWidth="1"/>
    <col min="100" max="100" width="13.85546875" bestFit="1" customWidth="1"/>
    <col min="101" max="101" width="19.42578125" bestFit="1" customWidth="1"/>
    <col min="102" max="102" width="16.5703125" customWidth="1"/>
    <col min="103" max="103" width="17.42578125" bestFit="1" customWidth="1"/>
    <col min="104" max="120" width="16.5703125" customWidth="1"/>
    <col min="121" max="121" width="19.42578125" bestFit="1" customWidth="1"/>
    <col min="122" max="122" width="16.5703125" customWidth="1"/>
    <col min="123" max="124" width="17.42578125" bestFit="1" customWidth="1"/>
    <col min="125" max="125" width="20.7109375" bestFit="1" customWidth="1"/>
    <col min="126" max="126" width="17.42578125" customWidth="1"/>
    <col min="127" max="129" width="16.5703125" customWidth="1"/>
    <col min="130" max="130" width="20.5703125" customWidth="1"/>
    <col min="131" max="131" width="20.5703125" bestFit="1" customWidth="1"/>
    <col min="132" max="132" width="22.7109375" bestFit="1" customWidth="1"/>
    <col min="133" max="133" width="27.85546875" bestFit="1" customWidth="1"/>
    <col min="134" max="135" width="20.5703125" bestFit="1" customWidth="1"/>
    <col min="136" max="136" width="22.7109375" bestFit="1" customWidth="1"/>
    <col min="137" max="137" width="27.85546875" bestFit="1" customWidth="1"/>
    <col min="138" max="139" width="20.7109375" customWidth="1"/>
    <col min="140" max="140" width="22.7109375" bestFit="1" customWidth="1"/>
    <col min="141" max="141" width="27.85546875" bestFit="1" customWidth="1"/>
    <col min="142" max="143" width="20.7109375" customWidth="1"/>
    <col min="144" max="144" width="22.7109375" bestFit="1" customWidth="1"/>
    <col min="145" max="145" width="27.85546875" bestFit="1" customWidth="1"/>
    <col min="146" max="147" width="20.7109375" customWidth="1"/>
    <col min="148" max="148" width="22.7109375" bestFit="1" customWidth="1"/>
    <col min="149" max="149" width="27.85546875" bestFit="1" customWidth="1"/>
    <col min="150" max="150" width="20.7109375" customWidth="1"/>
    <col min="151" max="151" width="25.5703125" bestFit="1" customWidth="1"/>
    <col min="152" max="152" width="21.28515625" bestFit="1" customWidth="1"/>
    <col min="153" max="153" width="26.28515625" bestFit="1" customWidth="1"/>
  </cols>
  <sheetData>
    <row r="2" spans="2:153" ht="15" customHeight="1" thickBot="1" x14ac:dyDescent="0.3">
      <c r="B2" s="655" t="s">
        <v>574</v>
      </c>
      <c r="C2" s="572"/>
      <c r="D2" s="572"/>
      <c r="E2" s="558"/>
      <c r="G2" s="655" t="s">
        <v>575</v>
      </c>
      <c r="H2" s="572"/>
      <c r="I2" s="558"/>
      <c r="J2" s="334"/>
      <c r="K2" s="659" t="s">
        <v>576</v>
      </c>
      <c r="L2" s="572"/>
      <c r="M2" s="558"/>
      <c r="EH2">
        <v>79</v>
      </c>
      <c r="EI2">
        <v>173</v>
      </c>
      <c r="EJ2">
        <v>100</v>
      </c>
      <c r="EL2">
        <v>80</v>
      </c>
      <c r="EM2">
        <v>174</v>
      </c>
      <c r="EN2">
        <v>106</v>
      </c>
      <c r="EP2">
        <v>81</v>
      </c>
      <c r="EQ2">
        <v>175</v>
      </c>
      <c r="ER2">
        <v>112</v>
      </c>
      <c r="ET2">
        <v>77</v>
      </c>
      <c r="EU2">
        <v>171</v>
      </c>
      <c r="EV2">
        <v>88</v>
      </c>
    </row>
    <row r="3" spans="2:153" ht="15" customHeight="1" thickBot="1" x14ac:dyDescent="0.3">
      <c r="B3" s="555"/>
      <c r="C3" s="565"/>
      <c r="D3" s="565"/>
      <c r="E3" s="559"/>
      <c r="G3" s="555"/>
      <c r="H3" s="565"/>
      <c r="I3" s="559"/>
      <c r="J3" s="334"/>
      <c r="K3" s="555"/>
      <c r="L3" s="565"/>
      <c r="M3" s="559"/>
      <c r="Q3" s="658" t="s">
        <v>577</v>
      </c>
      <c r="R3" s="572"/>
      <c r="S3" s="572"/>
      <c r="T3" s="572"/>
      <c r="U3" s="572"/>
      <c r="V3" s="572"/>
      <c r="W3" s="572"/>
      <c r="X3" s="572"/>
      <c r="Y3" s="572"/>
      <c r="Z3" s="572"/>
      <c r="AA3" s="572"/>
      <c r="AB3" s="572"/>
      <c r="AC3" s="572"/>
      <c r="AD3" s="572"/>
      <c r="AE3" s="572"/>
      <c r="AF3" s="572"/>
      <c r="AG3" s="572"/>
      <c r="AH3" s="558"/>
      <c r="AJ3" s="658" t="s">
        <v>578</v>
      </c>
      <c r="AK3" s="572"/>
      <c r="AL3" s="572"/>
      <c r="AM3" s="572"/>
      <c r="AN3" s="572"/>
      <c r="AO3" s="572"/>
      <c r="AP3" s="572"/>
      <c r="AQ3" s="572"/>
      <c r="AR3" s="558"/>
      <c r="AT3" s="656" t="s">
        <v>579</v>
      </c>
      <c r="AU3" s="572"/>
      <c r="AV3" s="558"/>
      <c r="AZ3" s="658" t="s">
        <v>580</v>
      </c>
      <c r="BA3" s="572"/>
      <c r="BB3" s="572"/>
      <c r="BC3" s="572"/>
      <c r="BD3" s="572"/>
      <c r="BE3" s="572"/>
      <c r="BF3" s="572"/>
      <c r="BG3" s="572"/>
      <c r="BH3" s="572"/>
      <c r="BI3" s="572"/>
      <c r="BJ3" s="572"/>
      <c r="BK3" s="572"/>
      <c r="BL3" s="572"/>
      <c r="BM3" s="572"/>
      <c r="BN3" s="572"/>
      <c r="BO3" s="572"/>
      <c r="BP3" s="572"/>
      <c r="BQ3" s="558"/>
      <c r="BS3" s="658" t="s">
        <v>581</v>
      </c>
      <c r="BT3" s="572"/>
      <c r="BU3" s="572"/>
      <c r="BV3" s="572"/>
      <c r="BW3" s="572"/>
      <c r="BX3" s="572"/>
      <c r="BY3" s="572"/>
      <c r="BZ3" s="572"/>
      <c r="CA3" s="558"/>
      <c r="CC3" s="656" t="s">
        <v>582</v>
      </c>
      <c r="CD3" s="572"/>
      <c r="CE3" s="558"/>
      <c r="CG3" s="657" t="s">
        <v>583</v>
      </c>
      <c r="CH3" s="544"/>
      <c r="CI3" s="544"/>
      <c r="CJ3" s="544"/>
      <c r="CK3" s="544"/>
      <c r="CL3" s="544"/>
      <c r="CM3" s="544"/>
      <c r="CN3" s="544"/>
      <c r="CO3" s="544"/>
      <c r="CP3" s="544"/>
      <c r="CQ3" s="544"/>
      <c r="CR3" s="544"/>
      <c r="CS3" s="544"/>
      <c r="CT3" s="544"/>
      <c r="CU3" s="544"/>
      <c r="CV3" s="544"/>
      <c r="CW3" s="544"/>
      <c r="CX3" s="544"/>
      <c r="CY3" s="544"/>
      <c r="CZ3" s="544"/>
      <c r="DA3" s="544"/>
      <c r="DB3" s="544"/>
      <c r="DC3" s="544"/>
      <c r="DD3" s="544"/>
      <c r="DE3" s="544"/>
      <c r="DF3" s="544"/>
      <c r="DG3" s="544"/>
      <c r="DH3" s="544"/>
      <c r="DI3" s="544"/>
      <c r="DJ3" s="544"/>
      <c r="DK3" s="544"/>
      <c r="DL3" s="544"/>
      <c r="DM3" s="544"/>
      <c r="DN3" s="544"/>
      <c r="DO3" s="544"/>
      <c r="DP3" s="544"/>
      <c r="DQ3" s="544"/>
      <c r="DR3" s="544"/>
      <c r="DS3" s="544"/>
      <c r="DT3" s="544"/>
      <c r="DU3" s="544"/>
      <c r="DV3" s="544"/>
      <c r="DW3" s="544"/>
      <c r="DX3" s="544"/>
      <c r="DY3" s="544"/>
      <c r="DZ3" s="544"/>
      <c r="EA3" s="544"/>
      <c r="EB3" s="544"/>
      <c r="EC3" s="544"/>
      <c r="ED3" s="544"/>
      <c r="EE3" s="544"/>
      <c r="EF3" s="545"/>
      <c r="EG3" s="340"/>
      <c r="EH3" s="343"/>
      <c r="EI3" s="343"/>
      <c r="EJ3" s="343"/>
      <c r="EK3" s="343"/>
      <c r="EL3" s="343"/>
      <c r="EM3" s="343"/>
      <c r="EN3" s="343"/>
      <c r="EO3" s="343"/>
      <c r="EP3" s="343"/>
      <c r="EQ3" s="343"/>
      <c r="ER3" s="343"/>
      <c r="ES3" s="343"/>
      <c r="ET3" s="343"/>
      <c r="EU3" s="343"/>
      <c r="EV3" s="344"/>
      <c r="EW3" s="374"/>
    </row>
    <row r="4" spans="2:153" ht="15" customHeight="1" x14ac:dyDescent="0.25">
      <c r="B4" s="560"/>
      <c r="C4" s="601"/>
      <c r="D4" s="601"/>
      <c r="E4" s="561"/>
      <c r="G4" s="560"/>
      <c r="H4" s="601"/>
      <c r="I4" s="561"/>
      <c r="J4" s="334"/>
      <c r="K4" s="560"/>
      <c r="L4" s="601"/>
      <c r="M4" s="561"/>
      <c r="Q4" s="629"/>
      <c r="R4" s="601"/>
      <c r="S4" s="601"/>
      <c r="T4" s="601"/>
      <c r="U4" s="601"/>
      <c r="V4" s="601"/>
      <c r="W4" s="601"/>
      <c r="X4" s="601"/>
      <c r="Y4" s="601"/>
      <c r="Z4" s="601"/>
      <c r="AA4" s="601"/>
      <c r="AB4" s="601"/>
      <c r="AC4" s="601"/>
      <c r="AD4" s="601"/>
      <c r="AE4" s="601"/>
      <c r="AF4" s="601"/>
      <c r="AG4" s="601"/>
      <c r="AH4" s="561"/>
      <c r="AJ4" s="629"/>
      <c r="AK4" s="601"/>
      <c r="AL4" s="601"/>
      <c r="AM4" s="601"/>
      <c r="AN4" s="601"/>
      <c r="AO4" s="601"/>
      <c r="AP4" s="601"/>
      <c r="AQ4" s="601"/>
      <c r="AR4" s="561"/>
      <c r="AT4" s="560"/>
      <c r="AU4" s="601"/>
      <c r="AV4" s="561"/>
      <c r="AZ4" s="629"/>
      <c r="BA4" s="601"/>
      <c r="BB4" s="601"/>
      <c r="BC4" s="601"/>
      <c r="BD4" s="601"/>
      <c r="BE4" s="601"/>
      <c r="BF4" s="601"/>
      <c r="BG4" s="601"/>
      <c r="BH4" s="601"/>
      <c r="BI4" s="601"/>
      <c r="BJ4" s="601"/>
      <c r="BK4" s="601"/>
      <c r="BL4" s="601"/>
      <c r="BM4" s="601"/>
      <c r="BN4" s="601"/>
      <c r="BO4" s="601"/>
      <c r="BP4" s="601"/>
      <c r="BQ4" s="561"/>
      <c r="BS4" s="629"/>
      <c r="BT4" s="601"/>
      <c r="BU4" s="601"/>
      <c r="BV4" s="601"/>
      <c r="BW4" s="601"/>
      <c r="BX4" s="601"/>
      <c r="BY4" s="601"/>
      <c r="BZ4" s="601"/>
      <c r="CA4" s="561"/>
      <c r="CC4" s="560"/>
      <c r="CD4" s="601"/>
      <c r="CE4" s="561"/>
      <c r="CG4" s="332" t="s">
        <v>584</v>
      </c>
      <c r="CH4" s="332" t="s">
        <v>585</v>
      </c>
      <c r="CI4" s="332" t="s">
        <v>586</v>
      </c>
      <c r="CJ4" s="332" t="s">
        <v>587</v>
      </c>
      <c r="CK4" s="332" t="s">
        <v>588</v>
      </c>
      <c r="CL4" s="332" t="s">
        <v>589</v>
      </c>
      <c r="CM4" s="332" t="s">
        <v>590</v>
      </c>
      <c r="CN4" s="332" t="s">
        <v>577</v>
      </c>
      <c r="CO4" s="332" t="s">
        <v>591</v>
      </c>
      <c r="CP4" s="332" t="s">
        <v>578</v>
      </c>
      <c r="CQ4" s="332" t="s">
        <v>580</v>
      </c>
      <c r="CR4" s="332" t="s">
        <v>592</v>
      </c>
      <c r="CS4" s="332" t="s">
        <v>581</v>
      </c>
      <c r="CT4" s="332" t="s">
        <v>593</v>
      </c>
      <c r="CU4" s="332" t="s">
        <v>594</v>
      </c>
      <c r="CV4" s="332" t="s">
        <v>595</v>
      </c>
      <c r="CW4" s="332" t="s">
        <v>596</v>
      </c>
      <c r="CX4" s="332" t="s">
        <v>597</v>
      </c>
      <c r="CY4" s="332" t="s">
        <v>598</v>
      </c>
      <c r="CZ4" s="332" t="s">
        <v>599</v>
      </c>
      <c r="DA4" s="332" t="s">
        <v>600</v>
      </c>
      <c r="DB4" s="332" t="s">
        <v>601</v>
      </c>
      <c r="DC4" s="332" t="s">
        <v>602</v>
      </c>
      <c r="DD4" s="332" t="s">
        <v>603</v>
      </c>
      <c r="DE4" s="332" t="s">
        <v>604</v>
      </c>
      <c r="DF4" s="332" t="s">
        <v>605</v>
      </c>
      <c r="DG4" s="332" t="s">
        <v>606</v>
      </c>
      <c r="DH4" s="332" t="s">
        <v>607</v>
      </c>
      <c r="DI4" s="332" t="s">
        <v>608</v>
      </c>
      <c r="DJ4" s="332" t="s">
        <v>609</v>
      </c>
      <c r="DK4" s="332" t="s">
        <v>610</v>
      </c>
      <c r="DL4" s="332" t="s">
        <v>611</v>
      </c>
      <c r="DM4" s="332" t="s">
        <v>612</v>
      </c>
      <c r="DN4" s="332" t="s">
        <v>613</v>
      </c>
      <c r="DO4" s="332" t="s">
        <v>614</v>
      </c>
      <c r="DP4" s="332" t="s">
        <v>615</v>
      </c>
      <c r="DQ4" s="332" t="s">
        <v>616</v>
      </c>
      <c r="DR4" s="332" t="s">
        <v>617</v>
      </c>
      <c r="DS4" s="332" t="s">
        <v>618</v>
      </c>
      <c r="DT4" s="332" t="s">
        <v>619</v>
      </c>
      <c r="DU4" s="332" t="s">
        <v>620</v>
      </c>
      <c r="DV4" s="332" t="s">
        <v>621</v>
      </c>
      <c r="DW4" s="332" t="s">
        <v>622</v>
      </c>
      <c r="DX4" s="332" t="s">
        <v>623</v>
      </c>
      <c r="DY4" s="332" t="s">
        <v>624</v>
      </c>
      <c r="DZ4" s="332" t="s">
        <v>625</v>
      </c>
      <c r="EA4" s="332" t="s">
        <v>626</v>
      </c>
      <c r="EB4" s="332" t="s">
        <v>627</v>
      </c>
      <c r="EC4" s="332" t="s">
        <v>628</v>
      </c>
      <c r="ED4" s="332" t="s">
        <v>629</v>
      </c>
      <c r="EE4" s="332" t="s">
        <v>630</v>
      </c>
      <c r="EF4" s="341" t="s">
        <v>631</v>
      </c>
      <c r="EG4" s="341" t="s">
        <v>632</v>
      </c>
      <c r="EH4" s="332" t="s">
        <v>633</v>
      </c>
      <c r="EI4" s="332" t="s">
        <v>634</v>
      </c>
      <c r="EJ4" s="332" t="s">
        <v>635</v>
      </c>
      <c r="EK4" s="332" t="s">
        <v>636</v>
      </c>
      <c r="EL4" s="332" t="s">
        <v>637</v>
      </c>
      <c r="EM4" s="332" t="s">
        <v>638</v>
      </c>
      <c r="EN4" s="332" t="s">
        <v>639</v>
      </c>
      <c r="EO4" s="332" t="s">
        <v>640</v>
      </c>
      <c r="EP4" s="332" t="s">
        <v>641</v>
      </c>
      <c r="EQ4" s="332" t="s">
        <v>642</v>
      </c>
      <c r="ER4" s="332" t="s">
        <v>643</v>
      </c>
      <c r="ES4" s="332" t="s">
        <v>644</v>
      </c>
      <c r="ET4" s="332" t="s">
        <v>645</v>
      </c>
      <c r="EU4" s="332" t="s">
        <v>646</v>
      </c>
      <c r="EV4" s="341" t="s">
        <v>647</v>
      </c>
      <c r="EW4" s="332" t="s">
        <v>648</v>
      </c>
    </row>
    <row r="5" spans="2:153" x14ac:dyDescent="0.25">
      <c r="B5" s="41" t="s">
        <v>9</v>
      </c>
      <c r="C5" s="298"/>
      <c r="D5" s="209" t="s">
        <v>562</v>
      </c>
      <c r="E5" s="296" t="s">
        <v>649</v>
      </c>
      <c r="G5" s="304"/>
      <c r="H5" s="209" t="s">
        <v>559</v>
      </c>
      <c r="I5" s="209" t="s">
        <v>649</v>
      </c>
      <c r="J5" s="7"/>
      <c r="K5" s="307"/>
      <c r="L5" s="654" t="s">
        <v>649</v>
      </c>
      <c r="M5" s="561"/>
      <c r="Q5" s="576" t="s">
        <v>650</v>
      </c>
      <c r="R5" s="574"/>
      <c r="S5" s="574"/>
      <c r="T5" s="574"/>
      <c r="U5" s="574"/>
      <c r="V5" s="563"/>
      <c r="W5" s="576" t="s">
        <v>651</v>
      </c>
      <c r="X5" s="574"/>
      <c r="Y5" s="563"/>
      <c r="Z5" s="576" t="s">
        <v>652</v>
      </c>
      <c r="AA5" s="574"/>
      <c r="AB5" s="563"/>
      <c r="AC5" s="576" t="s">
        <v>653</v>
      </c>
      <c r="AD5" s="574"/>
      <c r="AE5" s="563"/>
      <c r="AF5" s="576" t="s">
        <v>654</v>
      </c>
      <c r="AG5" s="574"/>
      <c r="AH5" s="563"/>
      <c r="AJ5" s="576" t="s">
        <v>653</v>
      </c>
      <c r="AK5" s="574"/>
      <c r="AL5" s="563"/>
      <c r="AM5" s="576" t="s">
        <v>655</v>
      </c>
      <c r="AN5" s="574"/>
      <c r="AO5" s="563"/>
      <c r="AP5" s="576" t="s">
        <v>654</v>
      </c>
      <c r="AQ5" s="574"/>
      <c r="AR5" s="563"/>
      <c r="AT5" s="576" t="s">
        <v>653</v>
      </c>
      <c r="AU5" s="574"/>
      <c r="AV5" s="563"/>
      <c r="AZ5" s="576" t="s">
        <v>650</v>
      </c>
      <c r="BA5" s="574"/>
      <c r="BB5" s="574"/>
      <c r="BC5" s="574"/>
      <c r="BD5" s="574"/>
      <c r="BE5" s="563"/>
      <c r="BF5" s="576" t="s">
        <v>651</v>
      </c>
      <c r="BG5" s="574"/>
      <c r="BH5" s="563"/>
      <c r="BI5" s="576" t="s">
        <v>652</v>
      </c>
      <c r="BJ5" s="574"/>
      <c r="BK5" s="563"/>
      <c r="BL5" s="576" t="s">
        <v>653</v>
      </c>
      <c r="BM5" s="574"/>
      <c r="BN5" s="563"/>
      <c r="BO5" s="576" t="s">
        <v>654</v>
      </c>
      <c r="BP5" s="574"/>
      <c r="BQ5" s="563"/>
      <c r="BS5" s="576" t="s">
        <v>653</v>
      </c>
      <c r="BT5" s="574"/>
      <c r="BU5" s="563"/>
      <c r="BV5" s="576" t="s">
        <v>655</v>
      </c>
      <c r="BW5" s="574"/>
      <c r="BX5" s="563"/>
      <c r="BY5" s="576" t="s">
        <v>654</v>
      </c>
      <c r="BZ5" s="574"/>
      <c r="CA5" s="563"/>
      <c r="CC5" s="576" t="s">
        <v>653</v>
      </c>
      <c r="CD5" s="574"/>
      <c r="CE5" s="563"/>
      <c r="CG5" s="35">
        <v>1</v>
      </c>
      <c r="CH5" s="35" t="str">
        <f t="shared" ref="CH5:CH35" si="0">IF(B6=1,D6," ")</f>
        <v xml:space="preserve"> </v>
      </c>
      <c r="CI5" s="35" t="str">
        <f t="shared" ref="CI5:CI35" si="1">IF(B6=2,D6," ")</f>
        <v xml:space="preserve"> </v>
      </c>
      <c r="CJ5" s="35" t="str">
        <f t="shared" ref="CJ5:CJ35" si="2">IF(B42=3,D42," ")</f>
        <v xml:space="preserve"> </v>
      </c>
      <c r="CK5" s="35" t="str">
        <f t="shared" ref="CK5:CK35" si="3">IF(B42=4,D42," ")</f>
        <v xml:space="preserve"> </v>
      </c>
      <c r="CL5" s="35" t="str">
        <f t="shared" ref="CL5:CL35" si="4">IF(B42=5,D42," ")</f>
        <v xml:space="preserve"> </v>
      </c>
      <c r="CM5" s="35" t="str">
        <f t="shared" ref="CM5:CM35" si="5">IF(B6=6,D6," ")</f>
        <v xml:space="preserve"> </v>
      </c>
      <c r="CN5" s="342" t="str">
        <f>IFERROR(AG10," ")</f>
        <v xml:space="preserve"> </v>
      </c>
      <c r="CO5" s="342" t="str">
        <f>IFERROR(AU10," ")</f>
        <v xml:space="preserve"> </v>
      </c>
      <c r="CP5" s="342" t="str">
        <f>IFERROR(AQ10," ")</f>
        <v xml:space="preserve"> </v>
      </c>
      <c r="CQ5" s="342" t="str">
        <f>IFERROR(BP10," ")</f>
        <v xml:space="preserve"> </v>
      </c>
      <c r="CR5" s="342" t="str">
        <f>IFERROR(CD10," ")</f>
        <v xml:space="preserve"> </v>
      </c>
      <c r="CS5" s="342" t="str">
        <f>IFERROR(BZ10," ")</f>
        <v xml:space="preserve"> </v>
      </c>
      <c r="CT5" s="35" t="str">
        <f>IFERROR(IF(AND(controlling_code="ASCE 7-22",pf&gt;45),(CN5+0.15*CO5)*Inputs!$B$23,IF(AND(controlling_code="ASCE 7-22",pf&lt;45),CN5*Inputs!$B$23,IF(pf&lt;=30,CN5*Inputs!$B$23,(CN5+0.2*CO5)*Inputs!$B$23)))," ")</f>
        <v xml:space="preserve"> </v>
      </c>
      <c r="CU5" s="35" t="str">
        <f>IFERROR(IF(AND(controlling_code="ASCE 7-22",pf&gt;45),(CN5+0.15*CO5)*Inputs!$B$23,IF(AND(controlling_code="ASCE 7-22",pf&lt;45),CN5*Inputs!$B$23,IF(pf&lt;=30,CN5*Inputs!$B$23,(CN5+0.2*CO5)*Inputs!$B$23)))," ")</f>
        <v xml:space="preserve"> </v>
      </c>
      <c r="CV5" s="35" t="str">
        <f t="shared" ref="CV5:CV35" si="6">IF($CH5=" "," ",CN5)</f>
        <v xml:space="preserve"> </v>
      </c>
      <c r="CW5" s="35" t="str">
        <f t="shared" ref="CW5:CW35" si="7">IF($CH5=" "," ",CO5)</f>
        <v xml:space="preserve"> </v>
      </c>
      <c r="CX5" s="35" t="str">
        <f t="shared" ref="CX5:CX35" si="8">IF($CH5=" "," ",CP5)</f>
        <v xml:space="preserve"> </v>
      </c>
      <c r="CY5" s="35" t="str">
        <f t="shared" ref="CY5:CY35" si="9">IF($CH5=" "," ",CT5)</f>
        <v xml:space="preserve"> </v>
      </c>
      <c r="CZ5" s="35" t="str">
        <f t="shared" ref="CZ5:CZ35" si="10">IF($CH5=" "," ",CU5)</f>
        <v xml:space="preserve"> </v>
      </c>
      <c r="DA5" s="35" t="str">
        <f t="shared" ref="DA5:DA35" si="11">IF($CI5=" "," ",CN5)</f>
        <v xml:space="preserve"> </v>
      </c>
      <c r="DB5" s="35" t="str">
        <f t="shared" ref="DB5:DB35" si="12">IF($CI5=" "," ",CO5)</f>
        <v xml:space="preserve"> </v>
      </c>
      <c r="DC5" s="35" t="str">
        <f t="shared" ref="DC5:DC35" si="13">IF($CI5=" "," ",CP5)</f>
        <v xml:space="preserve"> </v>
      </c>
      <c r="DD5" s="35" t="str">
        <f t="shared" ref="DD5:DD35" si="14">IF($CI5=" "," ",CT5)</f>
        <v xml:space="preserve"> </v>
      </c>
      <c r="DE5" s="35" t="str">
        <f t="shared" ref="DE5:DE35" si="15">IF($CI5=" "," ",CU5)</f>
        <v xml:space="preserve"> </v>
      </c>
      <c r="DF5" s="35" t="str">
        <f t="shared" ref="DF5:DF35" si="16">IF($CJ5=" "," ",CQ5)</f>
        <v xml:space="preserve"> </v>
      </c>
      <c r="DG5" s="35" t="str">
        <f t="shared" ref="DG5:DG35" si="17">IF($CJ5=" "," ",CR5)</f>
        <v xml:space="preserve"> </v>
      </c>
      <c r="DH5" s="35" t="str">
        <f t="shared" ref="DH5:DH35" si="18">IF($CJ5=" "," ",CS5)</f>
        <v xml:space="preserve"> </v>
      </c>
      <c r="DI5" s="35" t="str">
        <f t="shared" ref="DI5:DI35" si="19">IF($CJ5=" "," ",CT5)</f>
        <v xml:space="preserve"> </v>
      </c>
      <c r="DJ5" s="35" t="str">
        <f t="shared" ref="DJ5:DJ35" si="20">IF($CJ5=" "," ",CU5)</f>
        <v xml:space="preserve"> </v>
      </c>
      <c r="DK5" s="35" t="str">
        <f t="shared" ref="DK5:DK35" si="21">IF($CK5=" "," ",CQ5)</f>
        <v xml:space="preserve"> </v>
      </c>
      <c r="DL5" s="35" t="str">
        <f t="shared" ref="DL5:DL35" si="22">IF($CK5=" "," ",CR5)</f>
        <v xml:space="preserve"> </v>
      </c>
      <c r="DM5" s="35" t="str">
        <f t="shared" ref="DM5:DM35" si="23">IF($CK5=" "," ",CS5)</f>
        <v xml:space="preserve"> </v>
      </c>
      <c r="DN5" s="35" t="str">
        <f t="shared" ref="DN5:DN35" si="24">IF($CK5=" "," ",CT5)</f>
        <v xml:space="preserve"> </v>
      </c>
      <c r="DO5" s="35" t="str">
        <f t="shared" ref="DO5:DO35" si="25">IF($CK5=" "," ",CU5)</f>
        <v xml:space="preserve"> </v>
      </c>
      <c r="DP5" s="35" t="str">
        <f t="shared" ref="DP5:DP35" si="26">IF($CL5=" "," ",CQ5)</f>
        <v xml:space="preserve"> </v>
      </c>
      <c r="DQ5" s="35" t="str">
        <f t="shared" ref="DQ5:DQ35" si="27">IF($CL5=" "," ",CR5)</f>
        <v xml:space="preserve"> </v>
      </c>
      <c r="DR5" s="35" t="str">
        <f t="shared" ref="DR5:DR35" si="28">IF($CL5=" "," ",CS5)</f>
        <v xml:space="preserve"> </v>
      </c>
      <c r="DS5" s="35" t="str">
        <f t="shared" ref="DS5:DS35" si="29">IF($CL5=" "," ",CT5)</f>
        <v xml:space="preserve"> </v>
      </c>
      <c r="DT5" s="35" t="str">
        <f t="shared" ref="DT5:DT35" si="30">IF($CL5=" "," ",CU5)</f>
        <v xml:space="preserve"> </v>
      </c>
      <c r="DU5" s="35" t="str">
        <f t="shared" ref="DU5:DU35" si="31">IF($CM5=" "," ",CN5)</f>
        <v xml:space="preserve"> </v>
      </c>
      <c r="DV5" s="35" t="str">
        <f t="shared" ref="DV5:DV35" si="32">IF($CM5=" "," ",CO5)</f>
        <v xml:space="preserve"> </v>
      </c>
      <c r="DW5" s="35" t="str">
        <f t="shared" ref="DW5:DW35" si="33">IF($CM5=" "," ",CP5)</f>
        <v xml:space="preserve"> </v>
      </c>
      <c r="DX5" s="35" t="str">
        <f t="shared" ref="DX5:DX35" si="34">IF($CM5=" "," ",CT5)</f>
        <v xml:space="preserve"> </v>
      </c>
      <c r="DY5" s="35" t="str">
        <f t="shared" ref="DY5:DY35" si="35">IF($CM5=" "," ",CU5)</f>
        <v xml:space="preserve"> </v>
      </c>
      <c r="DZ5" s="35" t="str">
        <f>IF($CH5=" "," ",'Wind Calcs'!$D$77)</f>
        <v xml:space="preserve"> </v>
      </c>
      <c r="EA5" s="35" t="str">
        <f>IF($CH5=" "," ",'Wind Calcs'!$D$171)</f>
        <v xml:space="preserve"> </v>
      </c>
      <c r="EB5" s="35" t="str">
        <f>IF($CH5=" "," ",'Wind Calcs'!$D$88)</f>
        <v xml:space="preserve"> </v>
      </c>
      <c r="EC5" s="35" t="str">
        <f>IF($CH5=" "," ",'Wind Calcs'!$D$182)</f>
        <v xml:space="preserve"> </v>
      </c>
      <c r="ED5" s="35" t="str">
        <f>IF($CI5=" "," ",'Wind Calcs'!$D$78)</f>
        <v xml:space="preserve"> </v>
      </c>
      <c r="EE5" s="35" t="str">
        <f>IF($CI5=" "," ",'Wind Calcs'!$D$172)</f>
        <v xml:space="preserve"> </v>
      </c>
      <c r="EF5" s="35" t="str">
        <f>IF($CI5=" "," ",'Wind Calcs'!$D$94)</f>
        <v xml:space="preserve"> </v>
      </c>
      <c r="EG5" s="35" t="str">
        <f>IF($CI5=" "," ",'Wind Calcs'!$D$188)</f>
        <v xml:space="preserve"> </v>
      </c>
      <c r="EH5" s="35" t="str">
        <f>IF($CJ5=" "," ",'Wind Calcs'!$D$79)</f>
        <v xml:space="preserve"> </v>
      </c>
      <c r="EI5" s="35" t="str">
        <f>IF($CJ5=" "," ",'Wind Calcs'!$D$173)</f>
        <v xml:space="preserve"> </v>
      </c>
      <c r="EJ5" s="35" t="str">
        <f>IF($CJ5=" "," ",'Wind Calcs'!$D$100)</f>
        <v xml:space="preserve"> </v>
      </c>
      <c r="EK5" s="35" t="str">
        <f>IF($CJ5=" "," ",'Wind Calcs'!$D$194)</f>
        <v xml:space="preserve"> </v>
      </c>
      <c r="EL5" s="35" t="str">
        <f>IF($CK5=" "," ",'Wind Calcs'!$D$80)</f>
        <v xml:space="preserve"> </v>
      </c>
      <c r="EM5" s="35" t="str">
        <f>IF($CK5=" "," ",'Wind Calcs'!$D$174)</f>
        <v xml:space="preserve"> </v>
      </c>
      <c r="EN5" s="35" t="str">
        <f>IF($CK5=" "," ",'Wind Calcs'!$D$106)</f>
        <v xml:space="preserve"> </v>
      </c>
      <c r="EO5" s="35" t="str">
        <f>IF($CK5=" "," ",'Wind Calcs'!$D$200)</f>
        <v xml:space="preserve"> </v>
      </c>
      <c r="EP5" s="35" t="str">
        <f>IF($CL5=" "," ",'Wind Calcs'!$D$81)</f>
        <v xml:space="preserve"> </v>
      </c>
      <c r="EQ5" s="35" t="str">
        <f>IF($CL5=" "," ",'Wind Calcs'!$D$175)</f>
        <v xml:space="preserve"> </v>
      </c>
      <c r="ER5" s="35" t="str">
        <f>IF($CL5=" "," ",'Wind Calcs'!$D$112)</f>
        <v xml:space="preserve"> </v>
      </c>
      <c r="ES5" s="35" t="str">
        <f>IF($CL5=" "," ",'Wind Calcs'!$D$206)</f>
        <v xml:space="preserve"> </v>
      </c>
      <c r="ET5" s="35" t="str">
        <f>IF($CM5=" "," ",'Wind Calcs'!$D$77)</f>
        <v xml:space="preserve"> </v>
      </c>
      <c r="EU5" s="35" t="str">
        <f>IF($CM5=" "," ",'Wind Calcs'!$D$171)</f>
        <v xml:space="preserve"> </v>
      </c>
      <c r="EV5" s="373" t="str">
        <f>IF($CM5=" "," ",'Wind Calcs'!$D$88)</f>
        <v xml:space="preserve"> </v>
      </c>
      <c r="EW5" s="35" t="str">
        <f>IF($CM5=" "," ",'Wind Calcs'!$D$182)</f>
        <v xml:space="preserve"> </v>
      </c>
    </row>
    <row r="6" spans="2:153" x14ac:dyDescent="0.25">
      <c r="B6" s="41" t="str">
        <f t="shared" ref="B6:B36" si="36">IF(D6= "Exterior Drive Post", 6, IF(D6="", "", IF(C6&lt;=2, 1, IF(C6&gt;=Post_NE-1, 1, 2))))</f>
        <v/>
      </c>
      <c r="C6" s="333">
        <v>1</v>
      </c>
      <c r="D6" s="7" t="str">
        <f t="shared" ref="D6:D36" si="37">IF(C6&gt;Post_NE,"", IF(C6=Drive_E,"Exterior Drive Post",IF(C6&lt;Drive_E,"Exterior Post "&amp;C6,"Exterior Post "&amp;C6-1)))</f>
        <v/>
      </c>
      <c r="E6" s="299" t="str">
        <f t="shared" ref="E6:E36" si="38">IFERROR(IF(D6="Exterior Drive Post",0,IF(C6&lt;Drive_E,E101,IF(C6&gt;Drive_E,VLOOKUP(C6-Drive_E,$D$101:$F$109, 3,FALSE), ""))),"")</f>
        <v/>
      </c>
      <c r="G6" s="302">
        <v>1</v>
      </c>
      <c r="H6" s="7" t="e">
        <f t="shared" ref="H6:H37" si="39">IF(G6&lt;=(P_Left+P_Right+2), "VP "&amp;G6, "")</f>
        <v>#VALUE!</v>
      </c>
      <c r="I6" s="299" t="e">
        <f t="shared" ref="I6:I37" si="40">IF(G6&gt;V_Right+V_Left, "", IF(G6=1,LSR,IF(G6=V_Right+V_Left,-RSR,IF(G6&lt;V_Left,(LSR-EVS)-((G6-2)*IVS),IF(G6=V_Left,GL,IF(G6=V_Left+1,-GR,IF(G6&gt;V_Left+1,-GR-EVS-(IVS*(G6-(V_Left+2))),0)))))))</f>
        <v>#VALUE!</v>
      </c>
      <c r="J6" s="7"/>
      <c r="K6" s="308">
        <v>1</v>
      </c>
      <c r="L6" s="594" t="str">
        <f t="shared" ref="L6:L37" si="41">IFERROR(IF(K5="", LSR, IF(K5=Post_NE, -RSR, (E5-E6)/2+E6)), "")</f>
        <v/>
      </c>
      <c r="M6" s="554"/>
      <c r="O6" s="653" t="str">
        <f>D6</f>
        <v/>
      </c>
      <c r="P6" s="558"/>
      <c r="Q6" s="25" t="s">
        <v>656</v>
      </c>
      <c r="R6" s="297" t="str">
        <f>L6</f>
        <v/>
      </c>
      <c r="S6" s="310" t="s">
        <v>657</v>
      </c>
      <c r="T6" s="312"/>
      <c r="U6" s="297" t="e">
        <f>R6/12</f>
        <v>#VALUE!</v>
      </c>
      <c r="V6" s="26" t="s">
        <v>658</v>
      </c>
      <c r="W6" s="24" t="s">
        <v>659</v>
      </c>
      <c r="X6" s="297" t="e">
        <f>VL</f>
        <v>#VALUE!</v>
      </c>
      <c r="Y6" s="26" t="s">
        <v>657</v>
      </c>
      <c r="Z6" s="24" t="s">
        <v>660</v>
      </c>
      <c r="AA6" s="297">
        <f>VLOOKUP(TS,'List Data'!$A$15:$B$18, 2, FALSE)</f>
        <v>7.8955000000000002</v>
      </c>
      <c r="AB6" s="26" t="s">
        <v>661</v>
      </c>
      <c r="AC6" s="24" t="s">
        <v>662</v>
      </c>
      <c r="AD6" s="297" t="e">
        <f>PL</f>
        <v>#VALUE!</v>
      </c>
      <c r="AE6" s="26" t="s">
        <v>65</v>
      </c>
      <c r="AF6" s="24" t="s">
        <v>651</v>
      </c>
      <c r="AG6" s="318" t="e">
        <f>X10</f>
        <v>#VALUE!</v>
      </c>
      <c r="AH6" s="26" t="s">
        <v>663</v>
      </c>
      <c r="AJ6" s="24" t="s">
        <v>664</v>
      </c>
      <c r="AK6" s="297" t="e">
        <f>ROUND(MT/12,5)</f>
        <v>#VALUE!</v>
      </c>
      <c r="AL6" s="26" t="s">
        <v>658</v>
      </c>
      <c r="AM6" s="24" t="s">
        <v>370</v>
      </c>
      <c r="AN6" s="297">
        <f>IF(OR(TS="5x4, .126", TS="5x4, .134"), 5/12,4/12)</f>
        <v>0.41666666666666669</v>
      </c>
      <c r="AO6" s="26" t="s">
        <v>658</v>
      </c>
      <c r="AP6" s="24" t="s">
        <v>653</v>
      </c>
      <c r="AQ6" s="322" t="e">
        <f>AK8</f>
        <v>#VALUE!</v>
      </c>
      <c r="AR6" s="26" t="s">
        <v>665</v>
      </c>
      <c r="AT6" s="24" t="s">
        <v>666</v>
      </c>
      <c r="AU6" s="338" t="str">
        <f>Theta</f>
        <v>XX</v>
      </c>
      <c r="AV6" s="26" t="s">
        <v>667</v>
      </c>
      <c r="AX6" s="653" t="str">
        <f>D42</f>
        <v/>
      </c>
      <c r="AY6" s="558"/>
      <c r="AZ6" s="25" t="s">
        <v>656</v>
      </c>
      <c r="BA6" s="297" t="str">
        <f>L42</f>
        <v/>
      </c>
      <c r="BB6" s="310" t="s">
        <v>657</v>
      </c>
      <c r="BC6" s="312"/>
      <c r="BD6" s="297" t="e">
        <f>BA6/12</f>
        <v>#VALUE!</v>
      </c>
      <c r="BE6" s="26" t="s">
        <v>658</v>
      </c>
      <c r="BF6" s="24" t="s">
        <v>659</v>
      </c>
      <c r="BG6" s="297" t="e">
        <f>VL</f>
        <v>#VALUE!</v>
      </c>
      <c r="BH6" s="26" t="s">
        <v>657</v>
      </c>
      <c r="BI6" s="24" t="s">
        <v>660</v>
      </c>
      <c r="BJ6" s="297">
        <f>VLOOKUP(TS,'List Data'!$A$15:$B$18, 2, FALSE)</f>
        <v>7.8955000000000002</v>
      </c>
      <c r="BK6" s="26" t="s">
        <v>661</v>
      </c>
      <c r="BL6" s="24" t="s">
        <v>662</v>
      </c>
      <c r="BM6" s="297" t="e">
        <f>PL</f>
        <v>#VALUE!</v>
      </c>
      <c r="BN6" s="26" t="s">
        <v>65</v>
      </c>
      <c r="BO6" s="24" t="s">
        <v>651</v>
      </c>
      <c r="BP6" s="318" t="e">
        <f>BG10</f>
        <v>#VALUE!</v>
      </c>
      <c r="BQ6" s="26" t="s">
        <v>663</v>
      </c>
      <c r="BS6" s="24" t="s">
        <v>664</v>
      </c>
      <c r="BT6" s="297" t="e">
        <f>ROUND(MT/12,5)</f>
        <v>#VALUE!</v>
      </c>
      <c r="BU6" s="26" t="s">
        <v>658</v>
      </c>
      <c r="BV6" s="24" t="s">
        <v>370</v>
      </c>
      <c r="BW6" s="297">
        <f>IF(OR(TS="5x4, .126", TS="5x4, .134"), 5/12,4/12)</f>
        <v>0.41666666666666669</v>
      </c>
      <c r="BX6" s="26" t="s">
        <v>658</v>
      </c>
      <c r="BY6" s="24" t="s">
        <v>653</v>
      </c>
      <c r="BZ6" s="322" t="e">
        <f>BT8</f>
        <v>#VALUE!</v>
      </c>
      <c r="CA6" s="26" t="s">
        <v>665</v>
      </c>
      <c r="CC6" s="24" t="s">
        <v>666</v>
      </c>
      <c r="CD6" s="338" t="str">
        <f>Theta</f>
        <v>XX</v>
      </c>
      <c r="CE6" s="26" t="s">
        <v>667</v>
      </c>
      <c r="CG6" s="35">
        <v>2</v>
      </c>
      <c r="CH6" s="35" t="str">
        <f t="shared" si="0"/>
        <v xml:space="preserve"> </v>
      </c>
      <c r="CI6" s="35" t="str">
        <f t="shared" si="1"/>
        <v xml:space="preserve"> </v>
      </c>
      <c r="CJ6" s="35" t="str">
        <f t="shared" si="2"/>
        <v xml:space="preserve"> </v>
      </c>
      <c r="CK6" s="35" t="str">
        <f t="shared" si="3"/>
        <v xml:space="preserve"> </v>
      </c>
      <c r="CL6" s="35" t="str">
        <f t="shared" si="4"/>
        <v xml:space="preserve"> </v>
      </c>
      <c r="CM6" s="35" t="str">
        <f t="shared" si="5"/>
        <v xml:space="preserve"> </v>
      </c>
      <c r="CN6" s="342" t="str">
        <f>IFERROR(AG15," ")</f>
        <v xml:space="preserve"> </v>
      </c>
      <c r="CO6" s="342" t="str">
        <f>IFERROR(AU15," ")</f>
        <v xml:space="preserve"> </v>
      </c>
      <c r="CP6" s="342" t="str">
        <f>IFERROR(AQ15," ")</f>
        <v xml:space="preserve"> </v>
      </c>
      <c r="CQ6" s="342" t="str">
        <f>IFERROR(BP15," ")</f>
        <v xml:space="preserve"> </v>
      </c>
      <c r="CR6" s="342" t="str">
        <f>IFERROR(CD15," ")</f>
        <v xml:space="preserve"> </v>
      </c>
      <c r="CS6" s="342" t="str">
        <f>IFERROR(BZ15," ")</f>
        <v xml:space="preserve"> </v>
      </c>
      <c r="CT6" s="35" t="str">
        <f>IFERROR(IF(AND(controlling_code="ASCE 7-22",pf&gt;45),(CN6+0.15*CO6)*Inputs!$B$23,IF(AND(controlling_code="ASCE 7-22",pf&lt;45),CN6*Inputs!$B$23,IF(pf&lt;=30,CN6*Inputs!$B$23,(CN6+0.2*CO6)*Inputs!$B$23)))," ")</f>
        <v xml:space="preserve"> </v>
      </c>
      <c r="CU6" s="35" t="str">
        <f>IFERROR(IF(AND(controlling_code="ASCE 7-22",pf&gt;45),(CN6+0.15*CO6)*Inputs!$B$23,IF(AND(controlling_code="ASCE 7-22",pf&lt;45),CN6*Inputs!$B$23,IF(pf&lt;=30,CN6*Inputs!$B$23,(CN6+0.2*CO6)*Inputs!$B$23)))," ")</f>
        <v xml:space="preserve"> </v>
      </c>
      <c r="CV6" s="35" t="str">
        <f t="shared" si="6"/>
        <v xml:space="preserve"> </v>
      </c>
      <c r="CW6" s="35" t="str">
        <f t="shared" si="7"/>
        <v xml:space="preserve"> </v>
      </c>
      <c r="CX6" s="35" t="str">
        <f t="shared" si="8"/>
        <v xml:space="preserve"> </v>
      </c>
      <c r="CY6" s="35" t="str">
        <f t="shared" si="9"/>
        <v xml:space="preserve"> </v>
      </c>
      <c r="CZ6" s="35" t="str">
        <f t="shared" si="10"/>
        <v xml:space="preserve"> </v>
      </c>
      <c r="DA6" s="35" t="str">
        <f t="shared" si="11"/>
        <v xml:space="preserve"> </v>
      </c>
      <c r="DB6" s="35" t="str">
        <f t="shared" si="12"/>
        <v xml:space="preserve"> </v>
      </c>
      <c r="DC6" s="35" t="str">
        <f t="shared" si="13"/>
        <v xml:space="preserve"> </v>
      </c>
      <c r="DD6" s="35" t="str">
        <f t="shared" si="14"/>
        <v xml:space="preserve"> </v>
      </c>
      <c r="DE6" s="35" t="str">
        <f t="shared" si="15"/>
        <v xml:space="preserve"> </v>
      </c>
      <c r="DF6" s="35" t="str">
        <f t="shared" si="16"/>
        <v xml:space="preserve"> </v>
      </c>
      <c r="DG6" s="35" t="str">
        <f t="shared" si="17"/>
        <v xml:space="preserve"> </v>
      </c>
      <c r="DH6" s="35" t="str">
        <f t="shared" si="18"/>
        <v xml:space="preserve"> </v>
      </c>
      <c r="DI6" s="35" t="str">
        <f t="shared" si="19"/>
        <v xml:space="preserve"> </v>
      </c>
      <c r="DJ6" s="35" t="str">
        <f t="shared" si="20"/>
        <v xml:space="preserve"> </v>
      </c>
      <c r="DK6" s="35" t="str">
        <f t="shared" si="21"/>
        <v xml:space="preserve"> </v>
      </c>
      <c r="DL6" s="35" t="str">
        <f t="shared" si="22"/>
        <v xml:space="preserve"> </v>
      </c>
      <c r="DM6" s="35" t="str">
        <f t="shared" si="23"/>
        <v xml:space="preserve"> </v>
      </c>
      <c r="DN6" s="35" t="str">
        <f t="shared" si="24"/>
        <v xml:space="preserve"> </v>
      </c>
      <c r="DO6" s="35" t="str">
        <f t="shared" si="25"/>
        <v xml:space="preserve"> </v>
      </c>
      <c r="DP6" s="35" t="str">
        <f t="shared" si="26"/>
        <v xml:space="preserve"> </v>
      </c>
      <c r="DQ6" s="35" t="str">
        <f t="shared" si="27"/>
        <v xml:space="preserve"> </v>
      </c>
      <c r="DR6" s="35" t="str">
        <f t="shared" si="28"/>
        <v xml:space="preserve"> </v>
      </c>
      <c r="DS6" s="35" t="str">
        <f t="shared" si="29"/>
        <v xml:space="preserve"> </v>
      </c>
      <c r="DT6" s="35" t="str">
        <f t="shared" si="30"/>
        <v xml:space="preserve"> </v>
      </c>
      <c r="DU6" s="35" t="str">
        <f t="shared" si="31"/>
        <v xml:space="preserve"> </v>
      </c>
      <c r="DV6" s="35" t="str">
        <f t="shared" si="32"/>
        <v xml:space="preserve"> </v>
      </c>
      <c r="DW6" s="35" t="str">
        <f t="shared" si="33"/>
        <v xml:space="preserve"> </v>
      </c>
      <c r="DX6" s="35" t="str">
        <f t="shared" si="34"/>
        <v xml:space="preserve"> </v>
      </c>
      <c r="DY6" s="35" t="str">
        <f t="shared" si="35"/>
        <v xml:space="preserve"> </v>
      </c>
      <c r="DZ6" s="35" t="str">
        <f>IF($CH6=" "," ",'Wind Calcs'!$E$77)</f>
        <v xml:space="preserve"> </v>
      </c>
      <c r="EA6" s="35" t="str">
        <f>IF($CH6=" "," ",'Wind Calcs'!$E$171)</f>
        <v xml:space="preserve"> </v>
      </c>
      <c r="EB6" s="35" t="str">
        <f>IF($CH6=" "," ",'Wind Calcs'!$E$88)</f>
        <v xml:space="preserve"> </v>
      </c>
      <c r="EC6" s="35" t="str">
        <f>IF($CH6=" "," ",'Wind Calcs'!$E$182)</f>
        <v xml:space="preserve"> </v>
      </c>
      <c r="ED6" s="35" t="str">
        <f>IF($CI6=" "," ",'Wind Calcs'!$E$78)</f>
        <v xml:space="preserve"> </v>
      </c>
      <c r="EE6" s="35" t="str">
        <f>IF($CI6=" "," ",'Wind Calcs'!$E$172)</f>
        <v xml:space="preserve"> </v>
      </c>
      <c r="EF6" s="35" t="str">
        <f>IF($CI6=" "," ",'Wind Calcs'!$E$94)</f>
        <v xml:space="preserve"> </v>
      </c>
      <c r="EG6" s="35" t="str">
        <f>IF($CI6=" "," ",'Wind Calcs'!$E$188)</f>
        <v xml:space="preserve"> </v>
      </c>
      <c r="EH6" s="35" t="str">
        <f>IF($CJ6=" "," ",'Wind Calcs'!$E$79)</f>
        <v xml:space="preserve"> </v>
      </c>
      <c r="EI6" s="35" t="str">
        <f>IF($CJ6=" "," ",'Wind Calcs'!$E$173)</f>
        <v xml:space="preserve"> </v>
      </c>
      <c r="EJ6" s="35" t="str">
        <f>IF($CJ6=" "," ",'Wind Calcs'!$E$100)</f>
        <v xml:space="preserve"> </v>
      </c>
      <c r="EK6" s="35" t="str">
        <f>IF($CJ6=" "," ",'Wind Calcs'!$E$194)</f>
        <v xml:space="preserve"> </v>
      </c>
      <c r="EL6" s="35" t="str">
        <f>IF($CK6=" "," ",'Wind Calcs'!$E$80)</f>
        <v xml:space="preserve"> </v>
      </c>
      <c r="EM6" s="35" t="str">
        <f>IF($CK6=" "," ",'Wind Calcs'!$E$174)</f>
        <v xml:space="preserve"> </v>
      </c>
      <c r="EN6" s="35" t="str">
        <f>IF($CK6=" "," ",'Wind Calcs'!$E$106)</f>
        <v xml:space="preserve"> </v>
      </c>
      <c r="EO6" s="35" t="str">
        <f>IF($CK6=" "," ",'Wind Calcs'!$E$200)</f>
        <v xml:space="preserve"> </v>
      </c>
      <c r="EP6" s="35" t="str">
        <f>IF($CL6=" "," ",'Wind Calcs'!$E$81)</f>
        <v xml:space="preserve"> </v>
      </c>
      <c r="EQ6" s="35" t="str">
        <f>IF($CL6=" "," ",'Wind Calcs'!$E$175)</f>
        <v xml:space="preserve"> </v>
      </c>
      <c r="ER6" s="35" t="str">
        <f>IF($CL6=" "," ",'Wind Calcs'!$E$112)</f>
        <v xml:space="preserve"> </v>
      </c>
      <c r="ES6" s="35" t="str">
        <f>IF($CL6=" "," ",'Wind Calcs'!$E$206)</f>
        <v xml:space="preserve"> </v>
      </c>
      <c r="ET6" s="35" t="str">
        <f>IF($CM6=" "," ",'Wind Calcs'!$E$77)</f>
        <v xml:space="preserve"> </v>
      </c>
      <c r="EU6" s="35" t="str">
        <f>IF($CM6=" "," ",'Wind Calcs'!$E$171)</f>
        <v xml:space="preserve"> </v>
      </c>
      <c r="EV6" s="373" t="str">
        <f>IF($CM6=" "," ",'Wind Calcs'!$E$88)</f>
        <v xml:space="preserve"> </v>
      </c>
      <c r="EW6" s="35" t="str">
        <f>IF($CM6=" "," ",'Wind Calcs'!$E$182)</f>
        <v xml:space="preserve"> </v>
      </c>
    </row>
    <row r="7" spans="2:153" x14ac:dyDescent="0.25">
      <c r="B7" s="34" t="str">
        <f t="shared" si="36"/>
        <v/>
      </c>
      <c r="C7" s="299">
        <v>2</v>
      </c>
      <c r="D7" s="7" t="str">
        <f t="shared" si="37"/>
        <v/>
      </c>
      <c r="E7" s="299" t="str">
        <f t="shared" si="38"/>
        <v/>
      </c>
      <c r="G7" s="302">
        <v>2</v>
      </c>
      <c r="H7" s="7" t="e">
        <f t="shared" si="39"/>
        <v>#VALUE!</v>
      </c>
      <c r="I7" s="299" t="e">
        <f t="shared" si="40"/>
        <v>#VALUE!</v>
      </c>
      <c r="J7" s="7"/>
      <c r="K7" s="302">
        <v>2</v>
      </c>
      <c r="L7" s="652" t="str">
        <f t="shared" si="41"/>
        <v/>
      </c>
      <c r="M7" s="556"/>
      <c r="O7" s="628"/>
      <c r="P7" s="559"/>
      <c r="Q7" t="s">
        <v>668</v>
      </c>
      <c r="R7" s="7" t="str">
        <f>L7</f>
        <v/>
      </c>
      <c r="S7" s="77" t="s">
        <v>657</v>
      </c>
      <c r="T7" s="43"/>
      <c r="U7" s="7" t="e">
        <f>R7/12</f>
        <v>#VALUE!</v>
      </c>
      <c r="V7" s="28" t="s">
        <v>658</v>
      </c>
      <c r="W7" s="27" t="s">
        <v>669</v>
      </c>
      <c r="X7" s="7">
        <f>COUNTIFS($I$6:$I$105, "&lt;="&amp;R6, $I$6:$I$105, "&gt;="&amp;R7)</f>
        <v>0</v>
      </c>
      <c r="Y7" s="28" t="s">
        <v>670</v>
      </c>
      <c r="Z7" s="27" t="s">
        <v>659</v>
      </c>
      <c r="AA7" s="7" t="e">
        <f>IF(O6="Exterior Drive Post", (U8-(TG/12)), U8)</f>
        <v>#VALUE!</v>
      </c>
      <c r="AB7" s="28" t="s">
        <v>658</v>
      </c>
      <c r="AC7" s="27" t="s">
        <v>671</v>
      </c>
      <c r="AD7" s="7" t="e">
        <f>U10</f>
        <v>#VALUE!</v>
      </c>
      <c r="AE7" s="28" t="s">
        <v>665</v>
      </c>
      <c r="AF7" s="27" t="s">
        <v>672</v>
      </c>
      <c r="AG7" s="317" t="e">
        <f>AA10</f>
        <v>#VALUE!</v>
      </c>
      <c r="AH7" s="28" t="s">
        <v>663</v>
      </c>
      <c r="AJ7" s="27" t="s">
        <v>659</v>
      </c>
      <c r="AK7" s="7" t="e">
        <f>IF(O6= "Exterior Drive Post", (U8)-((GL+GR)/12), U8)</f>
        <v>#VALUE!</v>
      </c>
      <c r="AL7" s="28" t="s">
        <v>658</v>
      </c>
      <c r="AM7" s="27" t="s">
        <v>659</v>
      </c>
      <c r="AN7" s="7" t="e">
        <f>AA7</f>
        <v>#VALUE!</v>
      </c>
      <c r="AO7" s="28" t="s">
        <v>658</v>
      </c>
      <c r="AP7" s="27" t="s">
        <v>672</v>
      </c>
      <c r="AQ7" s="323" t="e">
        <f>AN8</f>
        <v>#VALUE!</v>
      </c>
      <c r="AR7" s="28" t="s">
        <v>665</v>
      </c>
      <c r="AT7" s="27" t="s">
        <v>673</v>
      </c>
      <c r="AU7" s="210" t="e">
        <f>RSL*COS(Radians)</f>
        <v>#VALUE!</v>
      </c>
      <c r="AV7" s="28" t="s">
        <v>65</v>
      </c>
      <c r="AX7" s="628"/>
      <c r="AY7" s="559"/>
      <c r="AZ7" t="s">
        <v>668</v>
      </c>
      <c r="BA7" s="7" t="str">
        <f>L43</f>
        <v/>
      </c>
      <c r="BB7" s="77" t="s">
        <v>657</v>
      </c>
      <c r="BC7" s="43"/>
      <c r="BD7" s="7" t="e">
        <f>BA7/12</f>
        <v>#VALUE!</v>
      </c>
      <c r="BE7" s="28" t="s">
        <v>658</v>
      </c>
      <c r="BF7" s="27" t="s">
        <v>669</v>
      </c>
      <c r="BG7" s="7">
        <f>COUNTIFS($I$6:$I$105, "&lt;="&amp;BA6, $I$6:$I$105, "&gt;="&amp;BA7)</f>
        <v>0</v>
      </c>
      <c r="BH7" s="28" t="s">
        <v>670</v>
      </c>
      <c r="BI7" s="27" t="s">
        <v>659</v>
      </c>
      <c r="BJ7" s="7" t="e">
        <f>IF(AX6="Interior Drive Post", (BD8-(TG/12)), BD8)</f>
        <v>#VALUE!</v>
      </c>
      <c r="BK7" s="28" t="s">
        <v>658</v>
      </c>
      <c r="BL7" s="27" t="s">
        <v>671</v>
      </c>
      <c r="BM7" s="7" t="e">
        <f>BD10</f>
        <v>#VALUE!</v>
      </c>
      <c r="BN7" s="28" t="s">
        <v>665</v>
      </c>
      <c r="BO7" s="27" t="s">
        <v>672</v>
      </c>
      <c r="BP7" s="317" t="e">
        <f>BJ10</f>
        <v>#VALUE!</v>
      </c>
      <c r="BQ7" s="28" t="s">
        <v>663</v>
      </c>
      <c r="BS7" s="27" t="s">
        <v>659</v>
      </c>
      <c r="BT7" s="7" t="e">
        <f>IF(AX6= "Interior Drive Post", (BD8)-((GL+GR)/12), BD8)</f>
        <v>#VALUE!</v>
      </c>
      <c r="BU7" s="28" t="s">
        <v>658</v>
      </c>
      <c r="BV7" s="27" t="s">
        <v>659</v>
      </c>
      <c r="BW7" s="7" t="e">
        <f>BJ7</f>
        <v>#VALUE!</v>
      </c>
      <c r="BX7" s="28" t="s">
        <v>658</v>
      </c>
      <c r="BY7" s="27" t="s">
        <v>672</v>
      </c>
      <c r="BZ7" s="323" t="e">
        <f>BW8</f>
        <v>#VALUE!</v>
      </c>
      <c r="CA7" s="28" t="s">
        <v>665</v>
      </c>
      <c r="CC7" s="27" t="s">
        <v>673</v>
      </c>
      <c r="CD7" s="210" t="e">
        <f>RSL*COS(Radians)</f>
        <v>#VALUE!</v>
      </c>
      <c r="CE7" s="28" t="s">
        <v>65</v>
      </c>
      <c r="CG7" s="35">
        <v>3</v>
      </c>
      <c r="CH7" s="35" t="str">
        <f t="shared" si="0"/>
        <v xml:space="preserve"> </v>
      </c>
      <c r="CI7" s="35" t="str">
        <f t="shared" si="1"/>
        <v xml:space="preserve"> </v>
      </c>
      <c r="CJ7" s="35" t="str">
        <f t="shared" si="2"/>
        <v xml:space="preserve"> </v>
      </c>
      <c r="CK7" s="35" t="str">
        <f t="shared" si="3"/>
        <v xml:space="preserve"> </v>
      </c>
      <c r="CL7" s="35" t="str">
        <f t="shared" si="4"/>
        <v xml:space="preserve"> </v>
      </c>
      <c r="CM7" s="35" t="str">
        <f t="shared" si="5"/>
        <v xml:space="preserve"> </v>
      </c>
      <c r="CN7" s="342" t="str">
        <f>IFERROR(AG20," ")</f>
        <v xml:space="preserve"> </v>
      </c>
      <c r="CO7" s="342" t="str">
        <f>IFERROR(AU20," ")</f>
        <v xml:space="preserve"> </v>
      </c>
      <c r="CP7" s="342" t="str">
        <f>IFERROR(AQ20," ")</f>
        <v xml:space="preserve"> </v>
      </c>
      <c r="CQ7" s="342" t="str">
        <f>IFERROR(BP20," ")</f>
        <v xml:space="preserve"> </v>
      </c>
      <c r="CR7" s="342" t="str">
        <f>IFERROR(CD20," ")</f>
        <v xml:space="preserve"> </v>
      </c>
      <c r="CS7" s="342" t="str">
        <f>IFERROR(BZ20," ")</f>
        <v xml:space="preserve"> </v>
      </c>
      <c r="CT7" s="35" t="str">
        <f>IFERROR(IF(AND(controlling_code="ASCE 7-22",pf&gt;45),(CN7+0.15*CO7)*Inputs!$B$23,IF(AND(controlling_code="ASCE 7-22",pf&lt;45),CN7*Inputs!$B$23,IF(pf&lt;=30,CN7*Inputs!$B$23,(CN7+0.2*CO7)*Inputs!$B$23)))," ")</f>
        <v xml:space="preserve"> </v>
      </c>
      <c r="CU7" s="35" t="str">
        <f>IFERROR(IF(AND(controlling_code="ASCE 7-22",pf&gt;45),(CN7+0.15*CO7)*Inputs!$B$23,IF(AND(controlling_code="ASCE 7-22",pf&lt;45),CN7*Inputs!$B$23,IF(pf&lt;=30,CN7*Inputs!$B$23,(CN7+0.2*CO7)*Inputs!$B$23)))," ")</f>
        <v xml:space="preserve"> </v>
      </c>
      <c r="CV7" s="35" t="str">
        <f t="shared" si="6"/>
        <v xml:space="preserve"> </v>
      </c>
      <c r="CW7" s="35" t="str">
        <f t="shared" si="7"/>
        <v xml:space="preserve"> </v>
      </c>
      <c r="CX7" s="35" t="str">
        <f t="shared" si="8"/>
        <v xml:space="preserve"> </v>
      </c>
      <c r="CY7" s="35" t="str">
        <f t="shared" si="9"/>
        <v xml:space="preserve"> </v>
      </c>
      <c r="CZ7" s="35" t="str">
        <f t="shared" si="10"/>
        <v xml:space="preserve"> </v>
      </c>
      <c r="DA7" s="35" t="str">
        <f t="shared" si="11"/>
        <v xml:space="preserve"> </v>
      </c>
      <c r="DB7" s="35" t="str">
        <f t="shared" si="12"/>
        <v xml:space="preserve"> </v>
      </c>
      <c r="DC7" s="35" t="str">
        <f t="shared" si="13"/>
        <v xml:space="preserve"> </v>
      </c>
      <c r="DD7" s="35" t="str">
        <f t="shared" si="14"/>
        <v xml:space="preserve"> </v>
      </c>
      <c r="DE7" s="35" t="str">
        <f t="shared" si="15"/>
        <v xml:space="preserve"> </v>
      </c>
      <c r="DF7" s="35" t="str">
        <f t="shared" si="16"/>
        <v xml:space="preserve"> </v>
      </c>
      <c r="DG7" s="35" t="str">
        <f t="shared" si="17"/>
        <v xml:space="preserve"> </v>
      </c>
      <c r="DH7" s="35" t="str">
        <f t="shared" si="18"/>
        <v xml:space="preserve"> </v>
      </c>
      <c r="DI7" s="35" t="str">
        <f t="shared" si="19"/>
        <v xml:space="preserve"> </v>
      </c>
      <c r="DJ7" s="35" t="str">
        <f t="shared" si="20"/>
        <v xml:space="preserve"> </v>
      </c>
      <c r="DK7" s="35" t="str">
        <f t="shared" si="21"/>
        <v xml:space="preserve"> </v>
      </c>
      <c r="DL7" s="35" t="str">
        <f t="shared" si="22"/>
        <v xml:space="preserve"> </v>
      </c>
      <c r="DM7" s="35" t="str">
        <f t="shared" si="23"/>
        <v xml:space="preserve"> </v>
      </c>
      <c r="DN7" s="35" t="str">
        <f t="shared" si="24"/>
        <v xml:space="preserve"> </v>
      </c>
      <c r="DO7" s="35" t="str">
        <f t="shared" si="25"/>
        <v xml:space="preserve"> </v>
      </c>
      <c r="DP7" s="35" t="str">
        <f t="shared" si="26"/>
        <v xml:space="preserve"> </v>
      </c>
      <c r="DQ7" s="35" t="str">
        <f t="shared" si="27"/>
        <v xml:space="preserve"> </v>
      </c>
      <c r="DR7" s="35" t="str">
        <f t="shared" si="28"/>
        <v xml:space="preserve"> </v>
      </c>
      <c r="DS7" s="35" t="str">
        <f t="shared" si="29"/>
        <v xml:space="preserve"> </v>
      </c>
      <c r="DT7" s="35" t="str">
        <f t="shared" si="30"/>
        <v xml:space="preserve"> </v>
      </c>
      <c r="DU7" s="35" t="str">
        <f t="shared" si="31"/>
        <v xml:space="preserve"> </v>
      </c>
      <c r="DV7" s="35" t="str">
        <f t="shared" si="32"/>
        <v xml:space="preserve"> </v>
      </c>
      <c r="DW7" s="35" t="str">
        <f t="shared" si="33"/>
        <v xml:space="preserve"> </v>
      </c>
      <c r="DX7" s="35" t="str">
        <f t="shared" si="34"/>
        <v xml:space="preserve"> </v>
      </c>
      <c r="DY7" s="35" t="str">
        <f t="shared" si="35"/>
        <v xml:space="preserve"> </v>
      </c>
      <c r="DZ7" s="35" t="str">
        <f>IF($CH7=" "," ",'Wind Calcs'!$F$77)</f>
        <v xml:space="preserve"> </v>
      </c>
      <c r="EA7" s="35" t="str">
        <f>IF($CH7=" "," ",'Wind Calcs'!$F$171)</f>
        <v xml:space="preserve"> </v>
      </c>
      <c r="EB7" s="35" t="str">
        <f>IF($CH7=" "," ",'Wind Calcs'!$F$88)</f>
        <v xml:space="preserve"> </v>
      </c>
      <c r="EC7" s="35" t="str">
        <f>IF($CH7=" "," ",'Wind Calcs'!$F$182)</f>
        <v xml:space="preserve"> </v>
      </c>
      <c r="ED7" s="35" t="str">
        <f>IF($CI7=" "," ",'Wind Calcs'!$F$78)</f>
        <v xml:space="preserve"> </v>
      </c>
      <c r="EE7" s="35" t="str">
        <f>IF($CI7=" "," ",'Wind Calcs'!$F$172)</f>
        <v xml:space="preserve"> </v>
      </c>
      <c r="EF7" s="35" t="str">
        <f>IF($CI7=" "," ",'Wind Calcs'!$F$94)</f>
        <v xml:space="preserve"> </v>
      </c>
      <c r="EG7" s="35" t="str">
        <f>IF($CI7=" "," ",'Wind Calcs'!$F$188)</f>
        <v xml:space="preserve"> </v>
      </c>
      <c r="EH7" s="35" t="str">
        <f>IF($CJ7=" "," ",'Wind Calcs'!$F$79)</f>
        <v xml:space="preserve"> </v>
      </c>
      <c r="EI7" s="35" t="str">
        <f>IF($CJ7=" "," ",'Wind Calcs'!$F$173)</f>
        <v xml:space="preserve"> </v>
      </c>
      <c r="EJ7" s="35" t="str">
        <f>IF($CJ7=" "," ",'Wind Calcs'!$F$100)</f>
        <v xml:space="preserve"> </v>
      </c>
      <c r="EK7" s="35" t="str">
        <f>IF($CJ7=" "," ",'Wind Calcs'!$F$194)</f>
        <v xml:space="preserve"> </v>
      </c>
      <c r="EL7" s="35" t="str">
        <f>IF($CK7=" "," ",'Wind Calcs'!$F$80)</f>
        <v xml:space="preserve"> </v>
      </c>
      <c r="EM7" s="35" t="str">
        <f>IF($CK7=" "," ",'Wind Calcs'!$F$174)</f>
        <v xml:space="preserve"> </v>
      </c>
      <c r="EN7" s="35" t="str">
        <f>IF($CK7=" "," ",'Wind Calcs'!$F$106)</f>
        <v xml:space="preserve"> </v>
      </c>
      <c r="EO7" s="35" t="str">
        <f>IF($CK7=" "," ",'Wind Calcs'!$F$200)</f>
        <v xml:space="preserve"> </v>
      </c>
      <c r="EP7" s="35" t="str">
        <f>IF($CL7=" "," ",'Wind Calcs'!$F$81)</f>
        <v xml:space="preserve"> </v>
      </c>
      <c r="EQ7" s="35" t="str">
        <f>IF($CL7=" "," ",'Wind Calcs'!$F$175)</f>
        <v xml:space="preserve"> </v>
      </c>
      <c r="ER7" s="35" t="str">
        <f>IF($CL7=" "," ",'Wind Calcs'!$F$112)</f>
        <v xml:space="preserve"> </v>
      </c>
      <c r="ES7" s="35" t="str">
        <f>IF($CL7=" "," ",'Wind Calcs'!$F$206)</f>
        <v xml:space="preserve"> </v>
      </c>
      <c r="ET7" s="35" t="str">
        <f>IF($CM7=" "," ",'Wind Calcs'!$F$77)</f>
        <v xml:space="preserve"> </v>
      </c>
      <c r="EU7" s="35" t="str">
        <f>IF($CM7=" "," ",'Wind Calcs'!$F$171)</f>
        <v xml:space="preserve"> </v>
      </c>
      <c r="EV7" s="373" t="str">
        <f>IF($CM7=" "," ",'Wind Calcs'!$F$88)</f>
        <v xml:space="preserve"> </v>
      </c>
      <c r="EW7" s="35" t="str">
        <f>IF($CM7=" "," ",'Wind Calcs'!$F$182)</f>
        <v xml:space="preserve"> </v>
      </c>
    </row>
    <row r="8" spans="2:153" x14ac:dyDescent="0.25">
      <c r="B8" s="34" t="str">
        <f t="shared" si="36"/>
        <v/>
      </c>
      <c r="C8" s="299">
        <v>3</v>
      </c>
      <c r="D8" s="7" t="str">
        <f t="shared" si="37"/>
        <v/>
      </c>
      <c r="E8" s="299" t="str">
        <f t="shared" si="38"/>
        <v/>
      </c>
      <c r="G8" s="302">
        <v>3</v>
      </c>
      <c r="H8" s="7" t="e">
        <f t="shared" si="39"/>
        <v>#VALUE!</v>
      </c>
      <c r="I8" s="299" t="e">
        <f t="shared" si="40"/>
        <v>#VALUE!</v>
      </c>
      <c r="J8" s="7"/>
      <c r="K8" s="302">
        <v>3</v>
      </c>
      <c r="L8" s="652" t="str">
        <f t="shared" si="41"/>
        <v/>
      </c>
      <c r="M8" s="556"/>
      <c r="O8" s="628"/>
      <c r="P8" s="559"/>
      <c r="Q8" t="s">
        <v>659</v>
      </c>
      <c r="R8" s="7" t="e">
        <f>R6-R7</f>
        <v>#VALUE!</v>
      </c>
      <c r="S8" s="77" t="s">
        <v>657</v>
      </c>
      <c r="T8" s="43"/>
      <c r="U8" s="7" t="e">
        <f>R8/12</f>
        <v>#VALUE!</v>
      </c>
      <c r="V8" s="28" t="s">
        <v>658</v>
      </c>
      <c r="W8" s="27" t="s">
        <v>674</v>
      </c>
      <c r="X8" s="7" t="e">
        <f>X7*X6</f>
        <v>#VALUE!</v>
      </c>
      <c r="Y8" s="28" t="s">
        <v>657</v>
      </c>
      <c r="Z8" s="27"/>
      <c r="AA8" s="7"/>
      <c r="AB8" s="28"/>
      <c r="AC8" s="27"/>
      <c r="AD8" s="7"/>
      <c r="AE8" s="28"/>
      <c r="AF8" s="27" t="s">
        <v>653</v>
      </c>
      <c r="AG8" s="319" t="e">
        <f>AD10</f>
        <v>#VALUE!</v>
      </c>
      <c r="AH8" s="28" t="s">
        <v>663</v>
      </c>
      <c r="AJ8" s="27" t="s">
        <v>671</v>
      </c>
      <c r="AK8" s="321" t="e">
        <f>AK6*AK7</f>
        <v>#VALUE!</v>
      </c>
      <c r="AL8" s="28" t="s">
        <v>665</v>
      </c>
      <c r="AM8" s="27" t="s">
        <v>671</v>
      </c>
      <c r="AN8" s="323" t="e">
        <f>AN7*AN6</f>
        <v>#VALUE!</v>
      </c>
      <c r="AO8" s="28" t="s">
        <v>665</v>
      </c>
      <c r="AP8" s="27" t="s">
        <v>654</v>
      </c>
      <c r="AQ8" s="7" t="e">
        <f>SUM(AQ6:AQ7)</f>
        <v>#VALUE!</v>
      </c>
      <c r="AR8" s="28" t="s">
        <v>665</v>
      </c>
      <c r="AT8" s="27" t="s">
        <v>671</v>
      </c>
      <c r="AU8" s="210" t="e">
        <f>U10</f>
        <v>#VALUE!</v>
      </c>
      <c r="AV8" s="28" t="s">
        <v>665</v>
      </c>
      <c r="AX8" s="628"/>
      <c r="AY8" s="559"/>
      <c r="AZ8" t="s">
        <v>659</v>
      </c>
      <c r="BA8" s="7" t="e">
        <f>BA6-BA7</f>
        <v>#VALUE!</v>
      </c>
      <c r="BB8" s="77" t="s">
        <v>657</v>
      </c>
      <c r="BC8" s="43"/>
      <c r="BD8" s="7" t="e">
        <f>BA8/12</f>
        <v>#VALUE!</v>
      </c>
      <c r="BE8" s="28" t="s">
        <v>658</v>
      </c>
      <c r="BF8" s="27" t="s">
        <v>674</v>
      </c>
      <c r="BG8" s="7" t="e">
        <f>BG7*BG6</f>
        <v>#VALUE!</v>
      </c>
      <c r="BH8" s="28" t="s">
        <v>657</v>
      </c>
      <c r="BI8" s="27"/>
      <c r="BJ8" s="7"/>
      <c r="BK8" s="28"/>
      <c r="BL8" s="27"/>
      <c r="BM8" s="7"/>
      <c r="BN8" s="28"/>
      <c r="BO8" s="27" t="s">
        <v>653</v>
      </c>
      <c r="BP8" s="319" t="e">
        <f>BM10</f>
        <v>#VALUE!</v>
      </c>
      <c r="BQ8" s="28" t="s">
        <v>663</v>
      </c>
      <c r="BS8" s="27" t="s">
        <v>671</v>
      </c>
      <c r="BT8" s="321" t="e">
        <f>BT6*BT7</f>
        <v>#VALUE!</v>
      </c>
      <c r="BU8" s="28" t="s">
        <v>665</v>
      </c>
      <c r="BV8" s="27" t="s">
        <v>671</v>
      </c>
      <c r="BW8" s="323" t="e">
        <f>BW7*BW6</f>
        <v>#VALUE!</v>
      </c>
      <c r="BX8" s="28" t="s">
        <v>665</v>
      </c>
      <c r="BY8" s="27" t="s">
        <v>654</v>
      </c>
      <c r="BZ8" s="7" t="e">
        <f>SUM(BZ6:BZ7)</f>
        <v>#VALUE!</v>
      </c>
      <c r="CA8" s="28" t="s">
        <v>665</v>
      </c>
      <c r="CC8" s="27" t="s">
        <v>671</v>
      </c>
      <c r="CD8" s="210" t="e">
        <f>BD10</f>
        <v>#VALUE!</v>
      </c>
      <c r="CE8" s="28" t="s">
        <v>665</v>
      </c>
      <c r="CG8" s="35">
        <v>4</v>
      </c>
      <c r="CH8" s="35" t="str">
        <f t="shared" si="0"/>
        <v xml:space="preserve"> </v>
      </c>
      <c r="CI8" s="35" t="str">
        <f t="shared" si="1"/>
        <v xml:space="preserve"> </v>
      </c>
      <c r="CJ8" s="35" t="str">
        <f t="shared" si="2"/>
        <v xml:space="preserve"> </v>
      </c>
      <c r="CK8" s="35" t="str">
        <f t="shared" si="3"/>
        <v xml:space="preserve"> </v>
      </c>
      <c r="CL8" s="35" t="str">
        <f t="shared" si="4"/>
        <v xml:space="preserve"> </v>
      </c>
      <c r="CM8" s="35" t="str">
        <f t="shared" si="5"/>
        <v xml:space="preserve"> </v>
      </c>
      <c r="CN8" s="342" t="str">
        <f>IFERROR(AG25," ")</f>
        <v xml:space="preserve"> </v>
      </c>
      <c r="CO8" s="342" t="str">
        <f>IFERROR(AU25," ")</f>
        <v xml:space="preserve"> </v>
      </c>
      <c r="CP8" s="342" t="str">
        <f>IFERROR(AQ25," ")</f>
        <v xml:space="preserve"> </v>
      </c>
      <c r="CQ8" s="342" t="str">
        <f>IFERROR(BP25," ")</f>
        <v xml:space="preserve"> </v>
      </c>
      <c r="CR8" s="342" t="str">
        <f>IFERROR(CD25," ")</f>
        <v xml:space="preserve"> </v>
      </c>
      <c r="CS8" s="342" t="str">
        <f>IFERROR(BZ25," ")</f>
        <v xml:space="preserve"> </v>
      </c>
      <c r="CT8" s="35" t="str">
        <f>IFERROR(IF(AND(controlling_code="ASCE 7-22",pf&gt;45),(CN8+0.15*CO8)*Inputs!$B$23,IF(AND(controlling_code="ASCE 7-22",pf&lt;45),CN8*Inputs!$B$23,IF(pf&lt;=30,CN8*Inputs!$B$23,(CN8+0.2*CO8)*Inputs!$B$23)))," ")</f>
        <v xml:space="preserve"> </v>
      </c>
      <c r="CU8" s="35" t="str">
        <f>IFERROR(IF(AND(controlling_code="ASCE 7-22",pf&gt;45),(CN8+0.15*CO8)*Inputs!$B$23,IF(AND(controlling_code="ASCE 7-22",pf&lt;45),CN8*Inputs!$B$23,IF(pf&lt;=30,CN8*Inputs!$B$23,(CN8+0.2*CO8)*Inputs!$B$23)))," ")</f>
        <v xml:space="preserve"> </v>
      </c>
      <c r="CV8" s="35" t="str">
        <f t="shared" si="6"/>
        <v xml:space="preserve"> </v>
      </c>
      <c r="CW8" s="35" t="str">
        <f t="shared" si="7"/>
        <v xml:space="preserve"> </v>
      </c>
      <c r="CX8" s="35" t="str">
        <f t="shared" si="8"/>
        <v xml:space="preserve"> </v>
      </c>
      <c r="CY8" s="35" t="str">
        <f t="shared" si="9"/>
        <v xml:space="preserve"> </v>
      </c>
      <c r="CZ8" s="35" t="str">
        <f t="shared" si="10"/>
        <v xml:space="preserve"> </v>
      </c>
      <c r="DA8" s="35" t="str">
        <f t="shared" si="11"/>
        <v xml:space="preserve"> </v>
      </c>
      <c r="DB8" s="35" t="str">
        <f t="shared" si="12"/>
        <v xml:space="preserve"> </v>
      </c>
      <c r="DC8" s="35" t="str">
        <f t="shared" si="13"/>
        <v xml:space="preserve"> </v>
      </c>
      <c r="DD8" s="35" t="str">
        <f t="shared" si="14"/>
        <v xml:space="preserve"> </v>
      </c>
      <c r="DE8" s="35" t="str">
        <f t="shared" si="15"/>
        <v xml:space="preserve"> </v>
      </c>
      <c r="DF8" s="35" t="str">
        <f t="shared" si="16"/>
        <v xml:space="preserve"> </v>
      </c>
      <c r="DG8" s="35" t="str">
        <f t="shared" si="17"/>
        <v xml:space="preserve"> </v>
      </c>
      <c r="DH8" s="35" t="str">
        <f t="shared" si="18"/>
        <v xml:space="preserve"> </v>
      </c>
      <c r="DI8" s="35" t="str">
        <f t="shared" si="19"/>
        <v xml:space="preserve"> </v>
      </c>
      <c r="DJ8" s="35" t="str">
        <f t="shared" si="20"/>
        <v xml:space="preserve"> </v>
      </c>
      <c r="DK8" s="35" t="str">
        <f t="shared" si="21"/>
        <v xml:space="preserve"> </v>
      </c>
      <c r="DL8" s="35" t="str">
        <f t="shared" si="22"/>
        <v xml:space="preserve"> </v>
      </c>
      <c r="DM8" s="35" t="str">
        <f t="shared" si="23"/>
        <v xml:space="preserve"> </v>
      </c>
      <c r="DN8" s="35" t="str">
        <f t="shared" si="24"/>
        <v xml:space="preserve"> </v>
      </c>
      <c r="DO8" s="35" t="str">
        <f t="shared" si="25"/>
        <v xml:space="preserve"> </v>
      </c>
      <c r="DP8" s="35" t="str">
        <f t="shared" si="26"/>
        <v xml:space="preserve"> </v>
      </c>
      <c r="DQ8" s="35" t="str">
        <f t="shared" si="27"/>
        <v xml:space="preserve"> </v>
      </c>
      <c r="DR8" s="35" t="str">
        <f t="shared" si="28"/>
        <v xml:space="preserve"> </v>
      </c>
      <c r="DS8" s="35" t="str">
        <f t="shared" si="29"/>
        <v xml:space="preserve"> </v>
      </c>
      <c r="DT8" s="35" t="str">
        <f t="shared" si="30"/>
        <v xml:space="preserve"> </v>
      </c>
      <c r="DU8" s="35" t="str">
        <f t="shared" si="31"/>
        <v xml:space="preserve"> </v>
      </c>
      <c r="DV8" s="35" t="str">
        <f t="shared" si="32"/>
        <v xml:space="preserve"> </v>
      </c>
      <c r="DW8" s="35" t="str">
        <f t="shared" si="33"/>
        <v xml:space="preserve"> </v>
      </c>
      <c r="DX8" s="35" t="str">
        <f t="shared" si="34"/>
        <v xml:space="preserve"> </v>
      </c>
      <c r="DY8" s="35" t="str">
        <f t="shared" si="35"/>
        <v xml:space="preserve"> </v>
      </c>
      <c r="DZ8" s="35" t="str">
        <f>IF($CH8=" "," ",'Wind Calcs'!$G$77)</f>
        <v xml:space="preserve"> </v>
      </c>
      <c r="EA8" s="35" t="str">
        <f>IF($CH8=" "," ",'Wind Calcs'!$G$171)</f>
        <v xml:space="preserve"> </v>
      </c>
      <c r="EB8" s="35" t="str">
        <f>IF($CH8=" "," ",'Wind Calcs'!$G$88)</f>
        <v xml:space="preserve"> </v>
      </c>
      <c r="EC8" s="35" t="str">
        <f>IF($CH8=" "," ",'Wind Calcs'!$G$182)</f>
        <v xml:space="preserve"> </v>
      </c>
      <c r="ED8" s="35" t="str">
        <f>IF($CI8=" "," ",'Wind Calcs'!$G$78)</f>
        <v xml:space="preserve"> </v>
      </c>
      <c r="EE8" s="35" t="str">
        <f>IF($CI8=" "," ",'Wind Calcs'!$G$172)</f>
        <v xml:space="preserve"> </v>
      </c>
      <c r="EF8" s="35" t="str">
        <f>IF($CI8=" "," ",'Wind Calcs'!$G$94)</f>
        <v xml:space="preserve"> </v>
      </c>
      <c r="EG8" s="35" t="str">
        <f>IF($CI8=" "," ",'Wind Calcs'!$G$188)</f>
        <v xml:space="preserve"> </v>
      </c>
      <c r="EH8" s="35" t="str">
        <f>IF($CJ8=" "," ",'Wind Calcs'!$G$79)</f>
        <v xml:space="preserve"> </v>
      </c>
      <c r="EI8" s="35" t="str">
        <f>IF($CJ8=" "," ",'Wind Calcs'!$G$173)</f>
        <v xml:space="preserve"> </v>
      </c>
      <c r="EJ8" s="35" t="str">
        <f>IF($CJ8=" "," ",'Wind Calcs'!$G$100)</f>
        <v xml:space="preserve"> </v>
      </c>
      <c r="EK8" s="35" t="str">
        <f>IF($CJ8=" "," ",'Wind Calcs'!$G$194)</f>
        <v xml:space="preserve"> </v>
      </c>
      <c r="EL8" s="35" t="str">
        <f>IF($CK8=" "," ",'Wind Calcs'!$G$80)</f>
        <v xml:space="preserve"> </v>
      </c>
      <c r="EM8" s="35" t="str">
        <f>IF($CK8=" "," ",'Wind Calcs'!$G$174)</f>
        <v xml:space="preserve"> </v>
      </c>
      <c r="EN8" s="35" t="str">
        <f>IF($CK8=" "," ",'Wind Calcs'!$G$106)</f>
        <v xml:space="preserve"> </v>
      </c>
      <c r="EO8" s="35" t="str">
        <f>IF($CK8=" "," ",'Wind Calcs'!$G$200)</f>
        <v xml:space="preserve"> </v>
      </c>
      <c r="EP8" s="35" t="str">
        <f>IF($CL8=" "," ",'Wind Calcs'!$G$81)</f>
        <v xml:space="preserve"> </v>
      </c>
      <c r="EQ8" s="35" t="str">
        <f>IF($CL8=" "," ",'Wind Calcs'!$G$175)</f>
        <v xml:space="preserve"> </v>
      </c>
      <c r="ER8" s="35" t="str">
        <f>IF($CL8=" "," ",'Wind Calcs'!$G$112)</f>
        <v xml:space="preserve"> </v>
      </c>
      <c r="ES8" s="35" t="str">
        <f>IF($CL8=" "," ",'Wind Calcs'!$G$206)</f>
        <v xml:space="preserve"> </v>
      </c>
      <c r="ET8" s="35" t="str">
        <f>IF($CM8=" "," ",'Wind Calcs'!$G$77)</f>
        <v xml:space="preserve"> </v>
      </c>
      <c r="EU8" s="35" t="str">
        <f>IF($CM8=" "," ",'Wind Calcs'!$G$171)</f>
        <v xml:space="preserve"> </v>
      </c>
      <c r="EV8" s="373" t="str">
        <f>IF($CM8=" "," ",'Wind Calcs'!$G$88)</f>
        <v xml:space="preserve"> </v>
      </c>
      <c r="EW8" s="35" t="str">
        <f>IF($CM8=" "," ",'Wind Calcs'!$G$182)</f>
        <v xml:space="preserve"> </v>
      </c>
    </row>
    <row r="9" spans="2:153" x14ac:dyDescent="0.25">
      <c r="B9" s="34" t="str">
        <f t="shared" si="36"/>
        <v/>
      </c>
      <c r="C9" s="299">
        <v>4</v>
      </c>
      <c r="D9" s="7" t="str">
        <f t="shared" si="37"/>
        <v/>
      </c>
      <c r="E9" s="299" t="str">
        <f t="shared" si="38"/>
        <v/>
      </c>
      <c r="G9" s="302">
        <v>4</v>
      </c>
      <c r="H9" s="7" t="e">
        <f t="shared" si="39"/>
        <v>#VALUE!</v>
      </c>
      <c r="I9" s="299" t="e">
        <f t="shared" si="40"/>
        <v>#VALUE!</v>
      </c>
      <c r="J9" s="7"/>
      <c r="K9" s="302">
        <v>4</v>
      </c>
      <c r="L9" s="652" t="str">
        <f t="shared" si="41"/>
        <v/>
      </c>
      <c r="M9" s="556"/>
      <c r="O9" s="628"/>
      <c r="P9" s="559"/>
      <c r="Q9" t="s">
        <v>675</v>
      </c>
      <c r="R9" s="7" t="e">
        <f>ROUND(ML, 3)</f>
        <v>#VALUE!</v>
      </c>
      <c r="S9" s="77" t="s">
        <v>657</v>
      </c>
      <c r="T9" s="43"/>
      <c r="U9" s="7" t="e">
        <f>R9/12</f>
        <v>#VALUE!</v>
      </c>
      <c r="V9" s="28" t="s">
        <v>658</v>
      </c>
      <c r="W9" s="27" t="s">
        <v>660</v>
      </c>
      <c r="X9" s="7">
        <f>VLOOKUP(VS,'List Data'!$A$8:$B$12, 2, FALSE)</f>
        <v>2.1419999999999999</v>
      </c>
      <c r="Y9" s="28" t="s">
        <v>661</v>
      </c>
      <c r="Z9" s="27"/>
      <c r="AA9" s="7"/>
      <c r="AB9" s="28"/>
      <c r="AC9" s="27"/>
      <c r="AD9" s="7"/>
      <c r="AE9" s="28"/>
      <c r="AF9" s="27"/>
      <c r="AH9" s="28"/>
      <c r="AJ9" s="27"/>
      <c r="AK9" s="7"/>
      <c r="AL9" s="28"/>
      <c r="AM9" s="27"/>
      <c r="AO9" s="28"/>
      <c r="AP9" s="27"/>
      <c r="AQ9" s="7"/>
      <c r="AR9" s="28"/>
      <c r="AT9" s="27"/>
      <c r="AU9" s="210"/>
      <c r="AV9" s="28"/>
      <c r="AX9" s="628"/>
      <c r="AY9" s="559"/>
      <c r="AZ9" t="s">
        <v>675</v>
      </c>
      <c r="BA9" s="7" t="e">
        <f>ROUND(ML, 3)</f>
        <v>#VALUE!</v>
      </c>
      <c r="BB9" s="77" t="s">
        <v>657</v>
      </c>
      <c r="BC9" s="43"/>
      <c r="BD9" s="7" t="e">
        <f>BA9/12</f>
        <v>#VALUE!</v>
      </c>
      <c r="BE9" s="28" t="s">
        <v>658</v>
      </c>
      <c r="BF9" s="27" t="s">
        <v>660</v>
      </c>
      <c r="BG9" s="7">
        <f>VLOOKUP(VS,'List Data'!$A$8:$B$12, 2, FALSE)</f>
        <v>2.1419999999999999</v>
      </c>
      <c r="BH9" s="28" t="s">
        <v>661</v>
      </c>
      <c r="BI9" s="27"/>
      <c r="BJ9" s="7"/>
      <c r="BK9" s="28"/>
      <c r="BL9" s="27"/>
      <c r="BM9" s="7"/>
      <c r="BN9" s="28"/>
      <c r="BO9" s="27"/>
      <c r="BQ9" s="28"/>
      <c r="BS9" s="27"/>
      <c r="BT9" s="7"/>
      <c r="BU9" s="28"/>
      <c r="BV9" s="27"/>
      <c r="BX9" s="28"/>
      <c r="BY9" s="27"/>
      <c r="BZ9" s="7"/>
      <c r="CA9" s="28"/>
      <c r="CC9" s="27"/>
      <c r="CD9" s="210"/>
      <c r="CE9" s="28"/>
      <c r="CG9" s="35">
        <v>5</v>
      </c>
      <c r="CH9" s="35" t="str">
        <f t="shared" si="0"/>
        <v xml:space="preserve"> </v>
      </c>
      <c r="CI9" s="35" t="str">
        <f t="shared" si="1"/>
        <v xml:space="preserve"> </v>
      </c>
      <c r="CJ9" s="35" t="str">
        <f t="shared" si="2"/>
        <v xml:space="preserve"> </v>
      </c>
      <c r="CK9" s="35" t="str">
        <f t="shared" si="3"/>
        <v xml:space="preserve"> </v>
      </c>
      <c r="CL9" s="35" t="str">
        <f t="shared" si="4"/>
        <v xml:space="preserve"> </v>
      </c>
      <c r="CM9" s="35" t="str">
        <f t="shared" si="5"/>
        <v xml:space="preserve"> </v>
      </c>
      <c r="CN9" s="342" t="str">
        <f>IFERROR(AG30," ")</f>
        <v xml:space="preserve"> </v>
      </c>
      <c r="CO9" s="342" t="str">
        <f>IFERROR(AU30," ")</f>
        <v xml:space="preserve"> </v>
      </c>
      <c r="CP9" s="342" t="str">
        <f>IFERROR(AQ30," ")</f>
        <v xml:space="preserve"> </v>
      </c>
      <c r="CQ9" s="342" t="str">
        <f>IFERROR(BP30," ")</f>
        <v xml:space="preserve"> </v>
      </c>
      <c r="CR9" s="342" t="str">
        <f>IFERROR(CD30," ")</f>
        <v xml:space="preserve"> </v>
      </c>
      <c r="CS9" s="342" t="str">
        <f>IFERROR(BZ30," ")</f>
        <v xml:space="preserve"> </v>
      </c>
      <c r="CT9" s="35" t="str">
        <f>IFERROR(IF(AND(controlling_code="ASCE 7-22",pf&gt;45),(CN9+0.15*CO9)*Inputs!$B$23,IF(AND(controlling_code="ASCE 7-22",pf&lt;45),CN9*Inputs!$B$23,IF(pf&lt;=30,CN9*Inputs!$B$23,(CN9+0.2*CO9)*Inputs!$B$23)))," ")</f>
        <v xml:space="preserve"> </v>
      </c>
      <c r="CU9" s="35" t="str">
        <f>IFERROR(IF(AND(controlling_code="ASCE 7-22",pf&gt;45),(CN9+0.15*CO9)*Inputs!$B$23,IF(AND(controlling_code="ASCE 7-22",pf&lt;45),CN9*Inputs!$B$23,IF(pf&lt;=30,CN9*Inputs!$B$23,(CN9+0.2*CO9)*Inputs!$B$23)))," ")</f>
        <v xml:space="preserve"> </v>
      </c>
      <c r="CV9" s="35" t="str">
        <f t="shared" si="6"/>
        <v xml:space="preserve"> </v>
      </c>
      <c r="CW9" s="35" t="str">
        <f t="shared" si="7"/>
        <v xml:space="preserve"> </v>
      </c>
      <c r="CX9" s="35" t="str">
        <f t="shared" si="8"/>
        <v xml:space="preserve"> </v>
      </c>
      <c r="CY9" s="35" t="str">
        <f t="shared" si="9"/>
        <v xml:space="preserve"> </v>
      </c>
      <c r="CZ9" s="35" t="str">
        <f t="shared" si="10"/>
        <v xml:space="preserve"> </v>
      </c>
      <c r="DA9" s="35" t="str">
        <f t="shared" si="11"/>
        <v xml:space="preserve"> </v>
      </c>
      <c r="DB9" s="35" t="str">
        <f t="shared" si="12"/>
        <v xml:space="preserve"> </v>
      </c>
      <c r="DC9" s="35" t="str">
        <f t="shared" si="13"/>
        <v xml:space="preserve"> </v>
      </c>
      <c r="DD9" s="35" t="str">
        <f t="shared" si="14"/>
        <v xml:space="preserve"> </v>
      </c>
      <c r="DE9" s="35" t="str">
        <f t="shared" si="15"/>
        <v xml:space="preserve"> </v>
      </c>
      <c r="DF9" s="35" t="str">
        <f t="shared" si="16"/>
        <v xml:space="preserve"> </v>
      </c>
      <c r="DG9" s="35" t="str">
        <f t="shared" si="17"/>
        <v xml:space="preserve"> </v>
      </c>
      <c r="DH9" s="35" t="str">
        <f t="shared" si="18"/>
        <v xml:space="preserve"> </v>
      </c>
      <c r="DI9" s="35" t="str">
        <f t="shared" si="19"/>
        <v xml:space="preserve"> </v>
      </c>
      <c r="DJ9" s="35" t="str">
        <f t="shared" si="20"/>
        <v xml:space="preserve"> </v>
      </c>
      <c r="DK9" s="35" t="str">
        <f t="shared" si="21"/>
        <v xml:space="preserve"> </v>
      </c>
      <c r="DL9" s="35" t="str">
        <f t="shared" si="22"/>
        <v xml:space="preserve"> </v>
      </c>
      <c r="DM9" s="35" t="str">
        <f t="shared" si="23"/>
        <v xml:space="preserve"> </v>
      </c>
      <c r="DN9" s="35" t="str">
        <f t="shared" si="24"/>
        <v xml:space="preserve"> </v>
      </c>
      <c r="DO9" s="35" t="str">
        <f t="shared" si="25"/>
        <v xml:space="preserve"> </v>
      </c>
      <c r="DP9" s="35" t="str">
        <f t="shared" si="26"/>
        <v xml:space="preserve"> </v>
      </c>
      <c r="DQ9" s="35" t="str">
        <f t="shared" si="27"/>
        <v xml:space="preserve"> </v>
      </c>
      <c r="DR9" s="35" t="str">
        <f t="shared" si="28"/>
        <v xml:space="preserve"> </v>
      </c>
      <c r="DS9" s="35" t="str">
        <f t="shared" si="29"/>
        <v xml:space="preserve"> </v>
      </c>
      <c r="DT9" s="35" t="str">
        <f t="shared" si="30"/>
        <v xml:space="preserve"> </v>
      </c>
      <c r="DU9" s="35" t="str">
        <f t="shared" si="31"/>
        <v xml:space="preserve"> </v>
      </c>
      <c r="DV9" s="35" t="str">
        <f t="shared" si="32"/>
        <v xml:space="preserve"> </v>
      </c>
      <c r="DW9" s="35" t="str">
        <f t="shared" si="33"/>
        <v xml:space="preserve"> </v>
      </c>
      <c r="DX9" s="35" t="str">
        <f t="shared" si="34"/>
        <v xml:space="preserve"> </v>
      </c>
      <c r="DY9" s="35" t="str">
        <f t="shared" si="35"/>
        <v xml:space="preserve"> </v>
      </c>
      <c r="DZ9" s="35" t="str">
        <f>IF($CH9=" "," ",'Wind Calcs'!$H$77)</f>
        <v xml:space="preserve"> </v>
      </c>
      <c r="EA9" s="35" t="str">
        <f>IF($CH9=" "," ",'Wind Calcs'!$H$171)</f>
        <v xml:space="preserve"> </v>
      </c>
      <c r="EB9" s="35" t="str">
        <f>IF($CH9=" "," ",'Wind Calcs'!$H$88)</f>
        <v xml:space="preserve"> </v>
      </c>
      <c r="EC9" s="35" t="str">
        <f>IF($CH9=" "," ",'Wind Calcs'!$H$182)</f>
        <v xml:space="preserve"> </v>
      </c>
      <c r="ED9" s="35" t="str">
        <f>IF($CI9=" "," ",'Wind Calcs'!$H$78)</f>
        <v xml:space="preserve"> </v>
      </c>
      <c r="EE9" s="35" t="str">
        <f>IF($CI9=" "," ",'Wind Calcs'!$H$172)</f>
        <v xml:space="preserve"> </v>
      </c>
      <c r="EF9" s="35" t="str">
        <f>IF($CI9=" "," ",'Wind Calcs'!$H$94)</f>
        <v xml:space="preserve"> </v>
      </c>
      <c r="EG9" s="35" t="str">
        <f>IF($CI9=" "," ",'Wind Calcs'!$H$188)</f>
        <v xml:space="preserve"> </v>
      </c>
      <c r="EH9" s="35" t="str">
        <f>IF($CJ9=" "," ",'Wind Calcs'!$H$79)</f>
        <v xml:space="preserve"> </v>
      </c>
      <c r="EI9" s="35" t="str">
        <f>IF($CJ9=" "," ",'Wind Calcs'!$H$173)</f>
        <v xml:space="preserve"> </v>
      </c>
      <c r="EJ9" s="35" t="str">
        <f>IF($CJ9=" "," ",'Wind Calcs'!$H$100)</f>
        <v xml:space="preserve"> </v>
      </c>
      <c r="EK9" s="35" t="str">
        <f>IF($CJ9=" "," ",'Wind Calcs'!$H$194)</f>
        <v xml:space="preserve"> </v>
      </c>
      <c r="EL9" s="35" t="str">
        <f>IF($CK9=" "," ",'Wind Calcs'!$H$80)</f>
        <v xml:space="preserve"> </v>
      </c>
      <c r="EM9" s="35" t="str">
        <f>IF($CK9=" "," ",'Wind Calcs'!$H$174)</f>
        <v xml:space="preserve"> </v>
      </c>
      <c r="EN9" s="35" t="str">
        <f>IF($CK9=" "," ",'Wind Calcs'!$H$106)</f>
        <v xml:space="preserve"> </v>
      </c>
      <c r="EO9" s="35" t="str">
        <f>IF($CK9=" "," ",'Wind Calcs'!$H$200)</f>
        <v xml:space="preserve"> </v>
      </c>
      <c r="EP9" s="35" t="str">
        <f>IF($CL9=" "," ",'Wind Calcs'!$H$81)</f>
        <v xml:space="preserve"> </v>
      </c>
      <c r="EQ9" s="35" t="str">
        <f>IF($CL9=" "," ",'Wind Calcs'!$H$175)</f>
        <v xml:space="preserve"> </v>
      </c>
      <c r="ER9" s="35" t="str">
        <f>IF($CL9=" "," ",'Wind Calcs'!$H$112)</f>
        <v xml:space="preserve"> </v>
      </c>
      <c r="ES9" s="35" t="str">
        <f>IF($CL9=" "," ",'Wind Calcs'!$H$206)</f>
        <v xml:space="preserve"> </v>
      </c>
      <c r="ET9" s="35" t="str">
        <f>IF($CM9=" "," ",'Wind Calcs'!$H$77)</f>
        <v xml:space="preserve"> </v>
      </c>
      <c r="EU9" s="35" t="str">
        <f>IF($CM9=" "," ",'Wind Calcs'!$H$171)</f>
        <v xml:space="preserve"> </v>
      </c>
      <c r="EV9" s="373" t="str">
        <f>IF($CM9=" "," ",'Wind Calcs'!$H$88)</f>
        <v xml:space="preserve"> </v>
      </c>
      <c r="EW9" s="35" t="str">
        <f>IF($CM9=" "," ",'Wind Calcs'!$H$182)</f>
        <v xml:space="preserve"> </v>
      </c>
    </row>
    <row r="10" spans="2:153" x14ac:dyDescent="0.25">
      <c r="B10" s="34" t="str">
        <f t="shared" si="36"/>
        <v/>
      </c>
      <c r="C10" s="299">
        <v>5</v>
      </c>
      <c r="D10" s="7" t="str">
        <f t="shared" si="37"/>
        <v/>
      </c>
      <c r="E10" s="299" t="str">
        <f t="shared" si="38"/>
        <v/>
      </c>
      <c r="G10" s="302">
        <v>5</v>
      </c>
      <c r="H10" s="7" t="e">
        <f t="shared" si="39"/>
        <v>#VALUE!</v>
      </c>
      <c r="I10" s="299" t="e">
        <f t="shared" si="40"/>
        <v>#VALUE!</v>
      </c>
      <c r="J10" s="7"/>
      <c r="K10" s="302">
        <v>5</v>
      </c>
      <c r="L10" s="652" t="str">
        <f t="shared" si="41"/>
        <v/>
      </c>
      <c r="M10" s="556"/>
      <c r="O10" s="629"/>
      <c r="P10" s="561"/>
      <c r="Q10" s="30" t="s">
        <v>671</v>
      </c>
      <c r="R10" s="309" t="e">
        <f>R8*R9</f>
        <v>#VALUE!</v>
      </c>
      <c r="S10" s="311" t="s">
        <v>676</v>
      </c>
      <c r="T10" s="313"/>
      <c r="U10" s="309" t="e">
        <f>IF(O6="Exterior Drive Post", (R10/144)-(((GL+GR)*(ML/25.4))/144), R10/144)</f>
        <v>#VALUE!</v>
      </c>
      <c r="V10" s="31" t="s">
        <v>677</v>
      </c>
      <c r="W10" s="29" t="s">
        <v>678</v>
      </c>
      <c r="X10" s="314" t="e">
        <f>X9/12*X8</f>
        <v>#VALUE!</v>
      </c>
      <c r="Y10" s="31" t="s">
        <v>663</v>
      </c>
      <c r="Z10" s="29" t="s">
        <v>678</v>
      </c>
      <c r="AA10" s="315" t="e">
        <f>AA6*AA7</f>
        <v>#VALUE!</v>
      </c>
      <c r="AB10" s="31" t="s">
        <v>663</v>
      </c>
      <c r="AC10" s="29" t="s">
        <v>678</v>
      </c>
      <c r="AD10" s="316" t="e">
        <f>AD6*AD7</f>
        <v>#VALUE!</v>
      </c>
      <c r="AE10" s="31" t="s">
        <v>181</v>
      </c>
      <c r="AF10" s="29" t="s">
        <v>654</v>
      </c>
      <c r="AG10" s="320" t="e">
        <f>IF(O6="Exterior Drive Post", SUM(AG6:AG8)+SDW, SUM(AG6:AG8)+ICW)</f>
        <v>#VALUE!</v>
      </c>
      <c r="AH10" s="31" t="s">
        <v>663</v>
      </c>
      <c r="AI10">
        <v>1</v>
      </c>
      <c r="AJ10" s="29"/>
      <c r="AK10" s="309"/>
      <c r="AL10" s="31"/>
      <c r="AM10" s="29"/>
      <c r="AN10" s="30"/>
      <c r="AO10" s="31"/>
      <c r="AP10" s="29" t="s">
        <v>679</v>
      </c>
      <c r="AQ10" s="324" t="e">
        <f>AQ8*Pult</f>
        <v>#VALUE!</v>
      </c>
      <c r="AR10" s="31" t="s">
        <v>181</v>
      </c>
      <c r="AT10" s="29" t="s">
        <v>662</v>
      </c>
      <c r="AU10" s="339" t="e">
        <f>AU8*AU7</f>
        <v>#VALUE!</v>
      </c>
      <c r="AV10" s="31" t="s">
        <v>181</v>
      </c>
      <c r="AX10" s="629"/>
      <c r="AY10" s="561"/>
      <c r="AZ10" s="30" t="s">
        <v>671</v>
      </c>
      <c r="BA10" s="309" t="e">
        <f>BA8*BA9</f>
        <v>#VALUE!</v>
      </c>
      <c r="BB10" s="311" t="s">
        <v>676</v>
      </c>
      <c r="BC10" s="313"/>
      <c r="BD10" s="309" t="e">
        <f>IF(AX6="Interior Drive Post", (BA10/144)-(((GL+GR)*(ML/25.4))/144), BA10/144)</f>
        <v>#VALUE!</v>
      </c>
      <c r="BE10" s="31" t="s">
        <v>677</v>
      </c>
      <c r="BF10" s="29" t="s">
        <v>678</v>
      </c>
      <c r="BG10" s="314" t="e">
        <f>BG9/12*BG8</f>
        <v>#VALUE!</v>
      </c>
      <c r="BH10" s="31" t="s">
        <v>663</v>
      </c>
      <c r="BI10" s="29" t="s">
        <v>678</v>
      </c>
      <c r="BJ10" s="315" t="e">
        <f>BJ6*BJ7</f>
        <v>#VALUE!</v>
      </c>
      <c r="BK10" s="31" t="s">
        <v>663</v>
      </c>
      <c r="BL10" s="29" t="s">
        <v>678</v>
      </c>
      <c r="BM10" s="316" t="e">
        <f>BM6*BM7</f>
        <v>#VALUE!</v>
      </c>
      <c r="BN10" s="31" t="s">
        <v>181</v>
      </c>
      <c r="BO10" s="29" t="s">
        <v>654</v>
      </c>
      <c r="BP10" s="320" t="e">
        <f>IF(AX6="Interior Drive Post", SUM(BP6:BP8)+SDW, SUM(BP6:BP8)+ICW)</f>
        <v>#VALUE!</v>
      </c>
      <c r="BQ10" s="31" t="s">
        <v>663</v>
      </c>
      <c r="BR10">
        <v>1</v>
      </c>
      <c r="BS10" s="29"/>
      <c r="BT10" s="309"/>
      <c r="BU10" s="31"/>
      <c r="BV10" s="29"/>
      <c r="BW10" s="30"/>
      <c r="BX10" s="31"/>
      <c r="BY10" s="29" t="s">
        <v>679</v>
      </c>
      <c r="BZ10" s="324" t="e">
        <f>BZ8*Pult</f>
        <v>#VALUE!</v>
      </c>
      <c r="CA10" s="31" t="s">
        <v>181</v>
      </c>
      <c r="CC10" s="29" t="s">
        <v>662</v>
      </c>
      <c r="CD10" s="339" t="e">
        <f>CD8*CD7</f>
        <v>#VALUE!</v>
      </c>
      <c r="CE10" s="31" t="s">
        <v>181</v>
      </c>
      <c r="CG10" s="35">
        <v>6</v>
      </c>
      <c r="CH10" s="35" t="str">
        <f t="shared" si="0"/>
        <v xml:space="preserve"> </v>
      </c>
      <c r="CI10" s="35" t="str">
        <f t="shared" si="1"/>
        <v xml:space="preserve"> </v>
      </c>
      <c r="CJ10" s="35" t="str">
        <f t="shared" si="2"/>
        <v xml:space="preserve"> </v>
      </c>
      <c r="CK10" s="35" t="str">
        <f t="shared" si="3"/>
        <v xml:space="preserve"> </v>
      </c>
      <c r="CL10" s="35" t="str">
        <f t="shared" si="4"/>
        <v xml:space="preserve"> </v>
      </c>
      <c r="CM10" s="35" t="str">
        <f t="shared" si="5"/>
        <v xml:space="preserve"> </v>
      </c>
      <c r="CN10" s="342" t="str">
        <f>IFERROR(AG35," ")</f>
        <v xml:space="preserve"> </v>
      </c>
      <c r="CO10" s="342" t="str">
        <f>IFERROR(AU35," ")</f>
        <v xml:space="preserve"> </v>
      </c>
      <c r="CP10" s="342" t="str">
        <f>IFERROR(AQ35," ")</f>
        <v xml:space="preserve"> </v>
      </c>
      <c r="CQ10" s="342" t="str">
        <f>IFERROR(BP35," ")</f>
        <v xml:space="preserve"> </v>
      </c>
      <c r="CR10" s="342" t="str">
        <f>IFERROR(CD35," ")</f>
        <v xml:space="preserve"> </v>
      </c>
      <c r="CS10" s="342" t="str">
        <f>IFERROR(BZ35," ")</f>
        <v xml:space="preserve"> </v>
      </c>
      <c r="CT10" s="35" t="str">
        <f>IFERROR(IF(AND(controlling_code="ASCE 7-22",pf&gt;45),(CN10+0.15*CO10)*Inputs!$B$23,IF(AND(controlling_code="ASCE 7-22",pf&lt;45),CN10*Inputs!$B$23,IF(pf&lt;=30,CN10*Inputs!$B$23,(CN10+0.2*CO10)*Inputs!$B$23)))," ")</f>
        <v xml:space="preserve"> </v>
      </c>
      <c r="CU10" s="35" t="str">
        <f>IFERROR(IF(AND(controlling_code="ASCE 7-22",pf&gt;45),(CN10+0.15*CO10)*Inputs!$B$23,IF(AND(controlling_code="ASCE 7-22",pf&lt;45),CN10*Inputs!$B$23,IF(pf&lt;=30,CN10*Inputs!$B$23,(CN10+0.2*CO10)*Inputs!$B$23)))," ")</f>
        <v xml:space="preserve"> </v>
      </c>
      <c r="CV10" s="35" t="str">
        <f t="shared" si="6"/>
        <v xml:space="preserve"> </v>
      </c>
      <c r="CW10" s="35" t="str">
        <f t="shared" si="7"/>
        <v xml:space="preserve"> </v>
      </c>
      <c r="CX10" s="35" t="str">
        <f t="shared" si="8"/>
        <v xml:space="preserve"> </v>
      </c>
      <c r="CY10" s="35" t="str">
        <f t="shared" si="9"/>
        <v xml:space="preserve"> </v>
      </c>
      <c r="CZ10" s="35" t="str">
        <f t="shared" si="10"/>
        <v xml:space="preserve"> </v>
      </c>
      <c r="DA10" s="35" t="str">
        <f t="shared" si="11"/>
        <v xml:space="preserve"> </v>
      </c>
      <c r="DB10" s="35" t="str">
        <f t="shared" si="12"/>
        <v xml:space="preserve"> </v>
      </c>
      <c r="DC10" s="35" t="str">
        <f t="shared" si="13"/>
        <v xml:space="preserve"> </v>
      </c>
      <c r="DD10" s="35" t="str">
        <f t="shared" si="14"/>
        <v xml:space="preserve"> </v>
      </c>
      <c r="DE10" s="35" t="str">
        <f t="shared" si="15"/>
        <v xml:space="preserve"> </v>
      </c>
      <c r="DF10" s="35" t="str">
        <f t="shared" si="16"/>
        <v xml:space="preserve"> </v>
      </c>
      <c r="DG10" s="35" t="str">
        <f t="shared" si="17"/>
        <v xml:space="preserve"> </v>
      </c>
      <c r="DH10" s="35" t="str">
        <f t="shared" si="18"/>
        <v xml:space="preserve"> </v>
      </c>
      <c r="DI10" s="35" t="str">
        <f t="shared" si="19"/>
        <v xml:space="preserve"> </v>
      </c>
      <c r="DJ10" s="35" t="str">
        <f t="shared" si="20"/>
        <v xml:space="preserve"> </v>
      </c>
      <c r="DK10" s="35" t="str">
        <f t="shared" si="21"/>
        <v xml:space="preserve"> </v>
      </c>
      <c r="DL10" s="35" t="str">
        <f t="shared" si="22"/>
        <v xml:space="preserve"> </v>
      </c>
      <c r="DM10" s="35" t="str">
        <f t="shared" si="23"/>
        <v xml:space="preserve"> </v>
      </c>
      <c r="DN10" s="35" t="str">
        <f t="shared" si="24"/>
        <v xml:space="preserve"> </v>
      </c>
      <c r="DO10" s="35" t="str">
        <f t="shared" si="25"/>
        <v xml:space="preserve"> </v>
      </c>
      <c r="DP10" s="35" t="str">
        <f t="shared" si="26"/>
        <v xml:space="preserve"> </v>
      </c>
      <c r="DQ10" s="35" t="str">
        <f t="shared" si="27"/>
        <v xml:space="preserve"> </v>
      </c>
      <c r="DR10" s="35" t="str">
        <f t="shared" si="28"/>
        <v xml:space="preserve"> </v>
      </c>
      <c r="DS10" s="35" t="str">
        <f t="shared" si="29"/>
        <v xml:space="preserve"> </v>
      </c>
      <c r="DT10" s="35" t="str">
        <f t="shared" si="30"/>
        <v xml:space="preserve"> </v>
      </c>
      <c r="DU10" s="35" t="str">
        <f t="shared" si="31"/>
        <v xml:space="preserve"> </v>
      </c>
      <c r="DV10" s="35" t="str">
        <f t="shared" si="32"/>
        <v xml:space="preserve"> </v>
      </c>
      <c r="DW10" s="35" t="str">
        <f t="shared" si="33"/>
        <v xml:space="preserve"> </v>
      </c>
      <c r="DX10" s="35" t="str">
        <f t="shared" si="34"/>
        <v xml:space="preserve"> </v>
      </c>
      <c r="DY10" s="35" t="str">
        <f t="shared" si="35"/>
        <v xml:space="preserve"> </v>
      </c>
      <c r="DZ10" s="35" t="str">
        <f>IF($CH10=" "," ",'Wind Calcs'!$I$77)</f>
        <v xml:space="preserve"> </v>
      </c>
      <c r="EA10" s="35" t="str">
        <f>IF($CH10=" "," ",'Wind Calcs'!$I$171)</f>
        <v xml:space="preserve"> </v>
      </c>
      <c r="EB10" s="35" t="str">
        <f>IF($CH10=" "," ",'Wind Calcs'!$I$88)</f>
        <v xml:space="preserve"> </v>
      </c>
      <c r="EC10" s="35" t="str">
        <f>IF($CH10=" "," ",'Wind Calcs'!$I$182)</f>
        <v xml:space="preserve"> </v>
      </c>
      <c r="ED10" s="35" t="str">
        <f>IF($CI10=" "," ",'Wind Calcs'!$I$78)</f>
        <v xml:space="preserve"> </v>
      </c>
      <c r="EE10" s="35" t="str">
        <f>IF($CI10=" "," ",'Wind Calcs'!$I$172)</f>
        <v xml:space="preserve"> </v>
      </c>
      <c r="EF10" s="35" t="str">
        <f>IF($CI10=" "," ",'Wind Calcs'!$I$94)</f>
        <v xml:space="preserve"> </v>
      </c>
      <c r="EG10" s="35" t="str">
        <f>IF($CI10=" "," ",'Wind Calcs'!$I$188)</f>
        <v xml:space="preserve"> </v>
      </c>
      <c r="EH10" s="35" t="str">
        <f>IF($CJ10=" "," ",'Wind Calcs'!$I$79)</f>
        <v xml:space="preserve"> </v>
      </c>
      <c r="EI10" s="35" t="str">
        <f>IF($CJ10=" "," ",'Wind Calcs'!$I$173)</f>
        <v xml:space="preserve"> </v>
      </c>
      <c r="EJ10" s="35" t="str">
        <f>IF($CJ10=" "," ",'Wind Calcs'!$I$100)</f>
        <v xml:space="preserve"> </v>
      </c>
      <c r="EK10" s="35" t="str">
        <f>IF($CJ10=" "," ",'Wind Calcs'!$I$194)</f>
        <v xml:space="preserve"> </v>
      </c>
      <c r="EL10" s="35" t="str">
        <f>IF($CK10=" "," ",'Wind Calcs'!$I$80)</f>
        <v xml:space="preserve"> </v>
      </c>
      <c r="EM10" s="35" t="str">
        <f>IF($CK10=" "," ",'Wind Calcs'!$I$174)</f>
        <v xml:space="preserve"> </v>
      </c>
      <c r="EN10" s="35" t="str">
        <f>IF($CK10=" "," ",'Wind Calcs'!$I$106)</f>
        <v xml:space="preserve"> </v>
      </c>
      <c r="EO10" s="35" t="str">
        <f>IF($CK10=" "," ",'Wind Calcs'!$I$200)</f>
        <v xml:space="preserve"> </v>
      </c>
      <c r="EP10" s="35" t="str">
        <f>IF($CL10=" "," ",'Wind Calcs'!$I$81)</f>
        <v xml:space="preserve"> </v>
      </c>
      <c r="EQ10" s="35" t="str">
        <f>IF($CL10=" "," ",'Wind Calcs'!$I$175)</f>
        <v xml:space="preserve"> </v>
      </c>
      <c r="ER10" s="35" t="str">
        <f>IF($CL10=" "," ",'Wind Calcs'!$I$112)</f>
        <v xml:space="preserve"> </v>
      </c>
      <c r="ES10" s="35" t="str">
        <f>IF($CL10=" "," ",'Wind Calcs'!$I$206)</f>
        <v xml:space="preserve"> </v>
      </c>
      <c r="ET10" s="35" t="str">
        <f>IF($CM10=" "," ",'Wind Calcs'!$I$77)</f>
        <v xml:space="preserve"> </v>
      </c>
      <c r="EU10" s="35" t="str">
        <f>IF($CM10=" "," ",'Wind Calcs'!$I$171)</f>
        <v xml:space="preserve"> </v>
      </c>
      <c r="EV10" s="373" t="str">
        <f>IF($CM10=" "," ",'Wind Calcs'!$I$88)</f>
        <v xml:space="preserve"> </v>
      </c>
      <c r="EW10" s="35" t="str">
        <f>IF($CM10=" "," ",'Wind Calcs'!$I$182)</f>
        <v xml:space="preserve"> </v>
      </c>
    </row>
    <row r="11" spans="2:153" x14ac:dyDescent="0.25">
      <c r="B11" s="34" t="str">
        <f t="shared" si="36"/>
        <v/>
      </c>
      <c r="C11" s="299">
        <v>6</v>
      </c>
      <c r="D11" s="7" t="str">
        <f t="shared" si="37"/>
        <v/>
      </c>
      <c r="E11" s="299" t="str">
        <f t="shared" si="38"/>
        <v/>
      </c>
      <c r="G11" s="302">
        <v>6</v>
      </c>
      <c r="H11" s="7" t="e">
        <f t="shared" si="39"/>
        <v>#VALUE!</v>
      </c>
      <c r="I11" s="299" t="e">
        <f t="shared" si="40"/>
        <v>#VALUE!</v>
      </c>
      <c r="J11" s="7"/>
      <c r="K11" s="302">
        <v>6</v>
      </c>
      <c r="L11" s="652" t="str">
        <f t="shared" si="41"/>
        <v/>
      </c>
      <c r="M11" s="556"/>
      <c r="O11" s="653" t="str">
        <f>D7</f>
        <v/>
      </c>
      <c r="P11" s="558"/>
      <c r="Q11" s="25" t="s">
        <v>656</v>
      </c>
      <c r="R11" s="297" t="str">
        <f>L7</f>
        <v/>
      </c>
      <c r="S11" s="310" t="s">
        <v>657</v>
      </c>
      <c r="T11" s="312"/>
      <c r="U11" s="297" t="e">
        <f>R11/12</f>
        <v>#VALUE!</v>
      </c>
      <c r="V11" s="26" t="s">
        <v>658</v>
      </c>
      <c r="W11" s="24" t="s">
        <v>659</v>
      </c>
      <c r="X11" s="297" t="e">
        <f>VL</f>
        <v>#VALUE!</v>
      </c>
      <c r="Y11" s="26" t="s">
        <v>657</v>
      </c>
      <c r="Z11" s="24" t="s">
        <v>660</v>
      </c>
      <c r="AA11" s="297">
        <f>VLOOKUP(TS,'List Data'!$A$15:$B$18, 2, FALSE)</f>
        <v>7.8955000000000002</v>
      </c>
      <c r="AB11" s="26" t="s">
        <v>661</v>
      </c>
      <c r="AC11" s="24" t="s">
        <v>662</v>
      </c>
      <c r="AD11" s="297" t="e">
        <f>PL</f>
        <v>#VALUE!</v>
      </c>
      <c r="AE11" s="26" t="s">
        <v>65</v>
      </c>
      <c r="AF11" s="24" t="s">
        <v>651</v>
      </c>
      <c r="AG11" s="318" t="e">
        <f>X15</f>
        <v>#VALUE!</v>
      </c>
      <c r="AH11" s="26" t="s">
        <v>663</v>
      </c>
      <c r="AJ11" s="24" t="s">
        <v>664</v>
      </c>
      <c r="AK11" s="297" t="e">
        <f>ROUND(MT/12,5)</f>
        <v>#VALUE!</v>
      </c>
      <c r="AL11" s="26" t="s">
        <v>658</v>
      </c>
      <c r="AM11" s="24" t="s">
        <v>370</v>
      </c>
      <c r="AN11" s="297">
        <f>IF(OR(TS="5x4, .126", TS="5x4, .134"), 5/12,4/12)</f>
        <v>0.41666666666666669</v>
      </c>
      <c r="AO11" s="26" t="s">
        <v>658</v>
      </c>
      <c r="AP11" s="24" t="s">
        <v>653</v>
      </c>
      <c r="AQ11" s="322" t="e">
        <f>AK13</f>
        <v>#VALUE!</v>
      </c>
      <c r="AR11" s="26" t="s">
        <v>665</v>
      </c>
      <c r="AT11" s="24" t="s">
        <v>666</v>
      </c>
      <c r="AU11" s="338" t="str">
        <f>Theta</f>
        <v>XX</v>
      </c>
      <c r="AV11" s="26" t="s">
        <v>667</v>
      </c>
      <c r="AX11" s="653" t="str">
        <f>D43</f>
        <v/>
      </c>
      <c r="AY11" s="558"/>
      <c r="AZ11" s="25" t="s">
        <v>656</v>
      </c>
      <c r="BA11" s="297" t="str">
        <f>L43</f>
        <v/>
      </c>
      <c r="BB11" s="310" t="s">
        <v>657</v>
      </c>
      <c r="BC11" s="312"/>
      <c r="BD11" s="297" t="e">
        <f>BA11/12</f>
        <v>#VALUE!</v>
      </c>
      <c r="BE11" s="26" t="s">
        <v>658</v>
      </c>
      <c r="BF11" s="24" t="s">
        <v>659</v>
      </c>
      <c r="BG11" s="297" t="e">
        <f>VL</f>
        <v>#VALUE!</v>
      </c>
      <c r="BH11" s="26" t="s">
        <v>657</v>
      </c>
      <c r="BI11" s="24" t="s">
        <v>660</v>
      </c>
      <c r="BJ11" s="297">
        <f>VLOOKUP(TS,'List Data'!$A$15:$B$18, 2, FALSE)</f>
        <v>7.8955000000000002</v>
      </c>
      <c r="BK11" s="26" t="s">
        <v>661</v>
      </c>
      <c r="BL11" s="24" t="s">
        <v>662</v>
      </c>
      <c r="BM11" s="297" t="e">
        <f>PL</f>
        <v>#VALUE!</v>
      </c>
      <c r="BN11" s="26" t="s">
        <v>65</v>
      </c>
      <c r="BO11" s="24" t="s">
        <v>651</v>
      </c>
      <c r="BP11" s="318" t="e">
        <f>BG15</f>
        <v>#VALUE!</v>
      </c>
      <c r="BQ11" s="26" t="s">
        <v>663</v>
      </c>
      <c r="BS11" s="24" t="s">
        <v>664</v>
      </c>
      <c r="BT11" s="297" t="e">
        <f>ROUND(MT/12,5)</f>
        <v>#VALUE!</v>
      </c>
      <c r="BU11" s="26" t="s">
        <v>658</v>
      </c>
      <c r="BV11" s="24" t="s">
        <v>370</v>
      </c>
      <c r="BW11" s="297">
        <f>IF(OR(TS="5x4, .126", TS="5x4, .134"), 5/12,4/12)</f>
        <v>0.41666666666666669</v>
      </c>
      <c r="BX11" s="26" t="s">
        <v>658</v>
      </c>
      <c r="BY11" s="24" t="s">
        <v>653</v>
      </c>
      <c r="BZ11" s="322" t="e">
        <f>BT13</f>
        <v>#VALUE!</v>
      </c>
      <c r="CA11" s="26" t="s">
        <v>665</v>
      </c>
      <c r="CC11" s="24" t="s">
        <v>666</v>
      </c>
      <c r="CD11" s="338" t="str">
        <f>Theta</f>
        <v>XX</v>
      </c>
      <c r="CE11" s="26" t="s">
        <v>667</v>
      </c>
      <c r="CG11" s="35">
        <v>7</v>
      </c>
      <c r="CH11" s="35" t="str">
        <f t="shared" si="0"/>
        <v xml:space="preserve"> </v>
      </c>
      <c r="CI11" s="35" t="str">
        <f t="shared" si="1"/>
        <v xml:space="preserve"> </v>
      </c>
      <c r="CJ11" s="35" t="str">
        <f t="shared" si="2"/>
        <v xml:space="preserve"> </v>
      </c>
      <c r="CK11" s="35" t="str">
        <f t="shared" si="3"/>
        <v xml:space="preserve"> </v>
      </c>
      <c r="CL11" s="35" t="str">
        <f t="shared" si="4"/>
        <v xml:space="preserve"> </v>
      </c>
      <c r="CM11" s="35" t="str">
        <f t="shared" si="5"/>
        <v xml:space="preserve"> </v>
      </c>
      <c r="CN11" s="342" t="str">
        <f>IFERROR(AG40," ")</f>
        <v xml:space="preserve"> </v>
      </c>
      <c r="CO11" s="342" t="str">
        <f>IFERROR(AU40," ")</f>
        <v xml:space="preserve"> </v>
      </c>
      <c r="CP11" s="342" t="str">
        <f>IFERROR(AQ40," ")</f>
        <v xml:space="preserve"> </v>
      </c>
      <c r="CQ11" s="342" t="str">
        <f>IFERROR(BP40," ")</f>
        <v xml:space="preserve"> </v>
      </c>
      <c r="CR11" s="342" t="str">
        <f>IFERROR(CD40," ")</f>
        <v xml:space="preserve"> </v>
      </c>
      <c r="CS11" s="342" t="str">
        <f>IFERROR(BZ40," ")</f>
        <v xml:space="preserve"> </v>
      </c>
      <c r="CT11" s="35" t="str">
        <f>IFERROR(IF(AND(controlling_code="ASCE 7-22",pf&gt;45),(CN11+0.15*CO11)*Inputs!$B$23,IF(AND(controlling_code="ASCE 7-22",pf&lt;45),CN11*Inputs!$B$23,IF(pf&lt;=30,CN11*Inputs!$B$23,(CN11+0.2*CO11)*Inputs!$B$23)))," ")</f>
        <v xml:space="preserve"> </v>
      </c>
      <c r="CU11" s="35" t="str">
        <f>IFERROR(IF(AND(controlling_code="ASCE 7-22",pf&gt;45),(CN11+0.15*CO11)*Inputs!$B$23,IF(AND(controlling_code="ASCE 7-22",pf&lt;45),CN11*Inputs!$B$23,IF(pf&lt;=30,CN11*Inputs!$B$23,(CN11+0.2*CO11)*Inputs!$B$23)))," ")</f>
        <v xml:space="preserve"> </v>
      </c>
      <c r="CV11" s="35" t="str">
        <f t="shared" si="6"/>
        <v xml:space="preserve"> </v>
      </c>
      <c r="CW11" s="35" t="str">
        <f t="shared" si="7"/>
        <v xml:space="preserve"> </v>
      </c>
      <c r="CX11" s="35" t="str">
        <f t="shared" si="8"/>
        <v xml:space="preserve"> </v>
      </c>
      <c r="CY11" s="35" t="str">
        <f t="shared" si="9"/>
        <v xml:space="preserve"> </v>
      </c>
      <c r="CZ11" s="35" t="str">
        <f t="shared" si="10"/>
        <v xml:space="preserve"> </v>
      </c>
      <c r="DA11" s="35" t="str">
        <f t="shared" si="11"/>
        <v xml:space="preserve"> </v>
      </c>
      <c r="DB11" s="35" t="str">
        <f t="shared" si="12"/>
        <v xml:space="preserve"> </v>
      </c>
      <c r="DC11" s="35" t="str">
        <f t="shared" si="13"/>
        <v xml:space="preserve"> </v>
      </c>
      <c r="DD11" s="35" t="str">
        <f t="shared" si="14"/>
        <v xml:space="preserve"> </v>
      </c>
      <c r="DE11" s="35" t="str">
        <f t="shared" si="15"/>
        <v xml:space="preserve"> </v>
      </c>
      <c r="DF11" s="35" t="str">
        <f t="shared" si="16"/>
        <v xml:space="preserve"> </v>
      </c>
      <c r="DG11" s="35" t="str">
        <f t="shared" si="17"/>
        <v xml:space="preserve"> </v>
      </c>
      <c r="DH11" s="35" t="str">
        <f t="shared" si="18"/>
        <v xml:space="preserve"> </v>
      </c>
      <c r="DI11" s="35" t="str">
        <f t="shared" si="19"/>
        <v xml:space="preserve"> </v>
      </c>
      <c r="DJ11" s="35" t="str">
        <f t="shared" si="20"/>
        <v xml:space="preserve"> </v>
      </c>
      <c r="DK11" s="35" t="str">
        <f t="shared" si="21"/>
        <v xml:space="preserve"> </v>
      </c>
      <c r="DL11" s="35" t="str">
        <f t="shared" si="22"/>
        <v xml:space="preserve"> </v>
      </c>
      <c r="DM11" s="35" t="str">
        <f t="shared" si="23"/>
        <v xml:space="preserve"> </v>
      </c>
      <c r="DN11" s="35" t="str">
        <f t="shared" si="24"/>
        <v xml:space="preserve"> </v>
      </c>
      <c r="DO11" s="35" t="str">
        <f t="shared" si="25"/>
        <v xml:space="preserve"> </v>
      </c>
      <c r="DP11" s="35" t="str">
        <f t="shared" si="26"/>
        <v xml:space="preserve"> </v>
      </c>
      <c r="DQ11" s="35" t="str">
        <f t="shared" si="27"/>
        <v xml:space="preserve"> </v>
      </c>
      <c r="DR11" s="35" t="str">
        <f t="shared" si="28"/>
        <v xml:space="preserve"> </v>
      </c>
      <c r="DS11" s="35" t="str">
        <f t="shared" si="29"/>
        <v xml:space="preserve"> </v>
      </c>
      <c r="DT11" s="35" t="str">
        <f t="shared" si="30"/>
        <v xml:space="preserve"> </v>
      </c>
      <c r="DU11" s="35" t="str">
        <f t="shared" si="31"/>
        <v xml:space="preserve"> </v>
      </c>
      <c r="DV11" s="35" t="str">
        <f t="shared" si="32"/>
        <v xml:space="preserve"> </v>
      </c>
      <c r="DW11" s="35" t="str">
        <f t="shared" si="33"/>
        <v xml:space="preserve"> </v>
      </c>
      <c r="DX11" s="35" t="str">
        <f t="shared" si="34"/>
        <v xml:space="preserve"> </v>
      </c>
      <c r="DY11" s="35" t="str">
        <f t="shared" si="35"/>
        <v xml:space="preserve"> </v>
      </c>
      <c r="DZ11" s="35" t="str">
        <f>IF($CH11=" "," ",'Wind Calcs'!$J$77)</f>
        <v xml:space="preserve"> </v>
      </c>
      <c r="EA11" s="35" t="str">
        <f>IF($CH11=" "," ",'Wind Calcs'!$J$171)</f>
        <v xml:space="preserve"> </v>
      </c>
      <c r="EB11" s="35" t="str">
        <f>IF($CH11=" "," ",'Wind Calcs'!$J$88)</f>
        <v xml:space="preserve"> </v>
      </c>
      <c r="EC11" s="35" t="str">
        <f>IF($CH11=" "," ",'Wind Calcs'!$J$182)</f>
        <v xml:space="preserve"> </v>
      </c>
      <c r="ED11" s="35" t="str">
        <f>IF($CI11=" "," ",'Wind Calcs'!$J$78)</f>
        <v xml:space="preserve"> </v>
      </c>
      <c r="EE11" s="35" t="str">
        <f>IF($CI11=" "," ",'Wind Calcs'!$J$172)</f>
        <v xml:space="preserve"> </v>
      </c>
      <c r="EF11" s="35" t="str">
        <f>IF($CI11=" "," ",'Wind Calcs'!$J$94)</f>
        <v xml:space="preserve"> </v>
      </c>
      <c r="EG11" s="35" t="str">
        <f>IF($CI11=" "," ",'Wind Calcs'!$J$188)</f>
        <v xml:space="preserve"> </v>
      </c>
      <c r="EH11" s="35" t="str">
        <f>IF($CJ11=" "," ",'Wind Calcs'!$J$79)</f>
        <v xml:space="preserve"> </v>
      </c>
      <c r="EI11" s="35" t="str">
        <f>IF($CJ11=" "," ",'Wind Calcs'!$J$173)</f>
        <v xml:space="preserve"> </v>
      </c>
      <c r="EJ11" s="35" t="str">
        <f>IF($CJ11=" "," ",'Wind Calcs'!$J$100)</f>
        <v xml:space="preserve"> </v>
      </c>
      <c r="EK11" s="35" t="str">
        <f>IF($CJ11=" "," ",'Wind Calcs'!$J$194)</f>
        <v xml:space="preserve"> </v>
      </c>
      <c r="EL11" s="35" t="str">
        <f>IF($CK11=" "," ",'Wind Calcs'!$J$80)</f>
        <v xml:space="preserve"> </v>
      </c>
      <c r="EM11" s="35" t="str">
        <f>IF($CK11=" "," ",'Wind Calcs'!$J$174)</f>
        <v xml:space="preserve"> </v>
      </c>
      <c r="EN11" s="35" t="str">
        <f>IF($CK11=" "," ",'Wind Calcs'!$J$106)</f>
        <v xml:space="preserve"> </v>
      </c>
      <c r="EO11" s="35" t="str">
        <f>IF($CK11=" "," ",'Wind Calcs'!$J$200)</f>
        <v xml:space="preserve"> </v>
      </c>
      <c r="EP11" s="35" t="str">
        <f>IF($CL11=" "," ",'Wind Calcs'!$J$81)</f>
        <v xml:space="preserve"> </v>
      </c>
      <c r="EQ11" s="35" t="str">
        <f>IF($CL11=" "," ",'Wind Calcs'!$J$175)</f>
        <v xml:space="preserve"> </v>
      </c>
      <c r="ER11" s="35" t="str">
        <f>IF($CL11=" "," ",'Wind Calcs'!$J$112)</f>
        <v xml:space="preserve"> </v>
      </c>
      <c r="ES11" s="35" t="str">
        <f>IF($CL11=" "," ",'Wind Calcs'!$J$206)</f>
        <v xml:space="preserve"> </v>
      </c>
      <c r="ET11" s="35" t="str">
        <f>IF($CM11=" "," ",'Wind Calcs'!$J$77)</f>
        <v xml:space="preserve"> </v>
      </c>
      <c r="EU11" s="35" t="str">
        <f>IF($CM11=" "," ",'Wind Calcs'!$J$171)</f>
        <v xml:space="preserve"> </v>
      </c>
      <c r="EV11" s="373" t="str">
        <f>IF($CM11=" "," ",'Wind Calcs'!$J$88)</f>
        <v xml:space="preserve"> </v>
      </c>
      <c r="EW11" s="35" t="str">
        <f>IF($CM11=" "," ",'Wind Calcs'!$J$182)</f>
        <v xml:space="preserve"> </v>
      </c>
    </row>
    <row r="12" spans="2:153" x14ac:dyDescent="0.25">
      <c r="B12" s="34" t="str">
        <f t="shared" si="36"/>
        <v/>
      </c>
      <c r="C12" s="299">
        <v>7</v>
      </c>
      <c r="D12" s="7" t="str">
        <f t="shared" si="37"/>
        <v/>
      </c>
      <c r="E12" s="299" t="str">
        <f t="shared" si="38"/>
        <v/>
      </c>
      <c r="G12" s="302">
        <v>7</v>
      </c>
      <c r="H12" s="7" t="e">
        <f t="shared" si="39"/>
        <v>#VALUE!</v>
      </c>
      <c r="I12" s="299" t="e">
        <f t="shared" si="40"/>
        <v>#VALUE!</v>
      </c>
      <c r="J12" s="7"/>
      <c r="K12" s="302">
        <v>7</v>
      </c>
      <c r="L12" s="652" t="str">
        <f t="shared" si="41"/>
        <v/>
      </c>
      <c r="M12" s="556"/>
      <c r="O12" s="628"/>
      <c r="P12" s="559"/>
      <c r="Q12" t="s">
        <v>668</v>
      </c>
      <c r="R12" s="7" t="str">
        <f>L8</f>
        <v/>
      </c>
      <c r="S12" s="77" t="s">
        <v>657</v>
      </c>
      <c r="T12" s="43"/>
      <c r="U12" s="7" t="e">
        <f>R12/12</f>
        <v>#VALUE!</v>
      </c>
      <c r="V12" s="28" t="s">
        <v>658</v>
      </c>
      <c r="W12" s="27" t="s">
        <v>669</v>
      </c>
      <c r="X12" s="7">
        <f>COUNTIFS($I$6:$I$105, "&lt;="&amp;R11, $I$6:$I$105, "&gt;="&amp;R12)</f>
        <v>0</v>
      </c>
      <c r="Y12" s="28" t="s">
        <v>670</v>
      </c>
      <c r="Z12" s="27" t="s">
        <v>659</v>
      </c>
      <c r="AA12" s="7" t="e">
        <f>IF(O11="Exterior Drive Post", (U13-(TG/12)), U13)</f>
        <v>#VALUE!</v>
      </c>
      <c r="AB12" s="28" t="s">
        <v>658</v>
      </c>
      <c r="AC12" s="27" t="s">
        <v>671</v>
      </c>
      <c r="AD12" s="7" t="e">
        <f>U15</f>
        <v>#VALUE!</v>
      </c>
      <c r="AE12" s="28" t="s">
        <v>665</v>
      </c>
      <c r="AF12" s="27" t="s">
        <v>672</v>
      </c>
      <c r="AG12" s="317" t="e">
        <f>AA15</f>
        <v>#VALUE!</v>
      </c>
      <c r="AH12" s="28" t="s">
        <v>663</v>
      </c>
      <c r="AJ12" s="27" t="s">
        <v>659</v>
      </c>
      <c r="AK12" s="7" t="e">
        <f>IF(O11= "Exterior Drive Post", (U13)-((GL+GR)/12), U13)</f>
        <v>#VALUE!</v>
      </c>
      <c r="AL12" s="28" t="s">
        <v>658</v>
      </c>
      <c r="AM12" s="27" t="s">
        <v>659</v>
      </c>
      <c r="AN12" s="7" t="e">
        <f>AA12</f>
        <v>#VALUE!</v>
      </c>
      <c r="AO12" s="28" t="s">
        <v>658</v>
      </c>
      <c r="AP12" s="27" t="s">
        <v>672</v>
      </c>
      <c r="AQ12" s="323" t="e">
        <f>AN13</f>
        <v>#VALUE!</v>
      </c>
      <c r="AR12" s="28" t="s">
        <v>665</v>
      </c>
      <c r="AT12" s="27" t="s">
        <v>673</v>
      </c>
      <c r="AU12" s="210" t="e">
        <f>RSL*COS(Radians)</f>
        <v>#VALUE!</v>
      </c>
      <c r="AV12" s="28" t="s">
        <v>65</v>
      </c>
      <c r="AX12" s="628"/>
      <c r="AY12" s="559"/>
      <c r="AZ12" t="s">
        <v>668</v>
      </c>
      <c r="BA12" s="7" t="str">
        <f>L44</f>
        <v/>
      </c>
      <c r="BB12" s="77" t="s">
        <v>657</v>
      </c>
      <c r="BC12" s="43"/>
      <c r="BD12" s="7" t="e">
        <f>BA12/12</f>
        <v>#VALUE!</v>
      </c>
      <c r="BE12" s="28" t="s">
        <v>658</v>
      </c>
      <c r="BF12" s="27" t="s">
        <v>669</v>
      </c>
      <c r="BG12" s="7">
        <f>COUNTIFS($I$6:$I$105, "&lt;="&amp;BA11, $I$6:$I$105, "&gt;="&amp;BA12)</f>
        <v>0</v>
      </c>
      <c r="BH12" s="28" t="s">
        <v>670</v>
      </c>
      <c r="BI12" s="27" t="s">
        <v>659</v>
      </c>
      <c r="BJ12" s="7" t="e">
        <f>IF(AX11="Interior Drive Post", (BD13-(TG/12)), BD13)</f>
        <v>#VALUE!</v>
      </c>
      <c r="BK12" s="28" t="s">
        <v>658</v>
      </c>
      <c r="BL12" s="27" t="s">
        <v>671</v>
      </c>
      <c r="BM12" s="7" t="e">
        <f>BD15</f>
        <v>#VALUE!</v>
      </c>
      <c r="BN12" s="28" t="s">
        <v>665</v>
      </c>
      <c r="BO12" s="27" t="s">
        <v>672</v>
      </c>
      <c r="BP12" s="317" t="e">
        <f>BJ15</f>
        <v>#VALUE!</v>
      </c>
      <c r="BQ12" s="28" t="s">
        <v>663</v>
      </c>
      <c r="BS12" s="27" t="s">
        <v>659</v>
      </c>
      <c r="BT12" s="7" t="e">
        <f>IF(AX11= "Interior Drive Post", (BD13)-((GL+GR)/12), BD13)</f>
        <v>#VALUE!</v>
      </c>
      <c r="BU12" s="28" t="s">
        <v>658</v>
      </c>
      <c r="BV12" s="27" t="s">
        <v>659</v>
      </c>
      <c r="BW12" s="7" t="e">
        <f>BJ12</f>
        <v>#VALUE!</v>
      </c>
      <c r="BX12" s="28" t="s">
        <v>658</v>
      </c>
      <c r="BY12" s="27" t="s">
        <v>672</v>
      </c>
      <c r="BZ12" s="323" t="e">
        <f>BW13</f>
        <v>#VALUE!</v>
      </c>
      <c r="CA12" s="28" t="s">
        <v>665</v>
      </c>
      <c r="CC12" s="27" t="s">
        <v>673</v>
      </c>
      <c r="CD12" s="210" t="e">
        <f>RSL*COS(Radians)</f>
        <v>#VALUE!</v>
      </c>
      <c r="CE12" s="28" t="s">
        <v>65</v>
      </c>
      <c r="CG12" s="35">
        <v>8</v>
      </c>
      <c r="CH12" s="35" t="str">
        <f t="shared" si="0"/>
        <v xml:space="preserve"> </v>
      </c>
      <c r="CI12" s="35" t="str">
        <f t="shared" si="1"/>
        <v xml:space="preserve"> </v>
      </c>
      <c r="CJ12" s="35" t="str">
        <f t="shared" si="2"/>
        <v xml:space="preserve"> </v>
      </c>
      <c r="CK12" s="35" t="str">
        <f t="shared" si="3"/>
        <v xml:space="preserve"> </v>
      </c>
      <c r="CL12" s="35" t="str">
        <f t="shared" si="4"/>
        <v xml:space="preserve"> </v>
      </c>
      <c r="CM12" s="35" t="str">
        <f t="shared" si="5"/>
        <v xml:space="preserve"> </v>
      </c>
      <c r="CN12" s="342" t="str">
        <f>IFERROR(AG45," ")</f>
        <v xml:space="preserve"> </v>
      </c>
      <c r="CO12" s="342" t="str">
        <f>IFERROR(AU45," ")</f>
        <v xml:space="preserve"> </v>
      </c>
      <c r="CP12" s="342" t="str">
        <f>IFERROR(AQ45," ")</f>
        <v xml:space="preserve"> </v>
      </c>
      <c r="CQ12" s="342" t="str">
        <f>IFERROR(BP45," ")</f>
        <v xml:space="preserve"> </v>
      </c>
      <c r="CR12" s="342" t="str">
        <f>IFERROR(CD45," ")</f>
        <v xml:space="preserve"> </v>
      </c>
      <c r="CS12" s="342" t="str">
        <f>IFERROR(BZ45," ")</f>
        <v xml:space="preserve"> </v>
      </c>
      <c r="CT12" s="35" t="str">
        <f>IFERROR(IF(AND(controlling_code="ASCE 7-22",pf&gt;45),(CN12+0.15*CO12)*Inputs!$B$23,IF(AND(controlling_code="ASCE 7-22",pf&lt;45),CN12*Inputs!$B$23,IF(pf&lt;=30,CN12*Inputs!$B$23,(CN12+0.2*CO12)*Inputs!$B$23)))," ")</f>
        <v xml:space="preserve"> </v>
      </c>
      <c r="CU12" s="35" t="str">
        <f>IFERROR(IF(AND(controlling_code="ASCE 7-22",pf&gt;45),(CN12+0.15*CO12)*Inputs!$B$23,IF(AND(controlling_code="ASCE 7-22",pf&lt;45),CN12*Inputs!$B$23,IF(pf&lt;=30,CN12*Inputs!$B$23,(CN12+0.2*CO12)*Inputs!$B$23)))," ")</f>
        <v xml:space="preserve"> </v>
      </c>
      <c r="CV12" s="35" t="str">
        <f t="shared" si="6"/>
        <v xml:space="preserve"> </v>
      </c>
      <c r="CW12" s="35" t="str">
        <f t="shared" si="7"/>
        <v xml:space="preserve"> </v>
      </c>
      <c r="CX12" s="35" t="str">
        <f t="shared" si="8"/>
        <v xml:space="preserve"> </v>
      </c>
      <c r="CY12" s="35" t="str">
        <f t="shared" si="9"/>
        <v xml:space="preserve"> </v>
      </c>
      <c r="CZ12" s="35" t="str">
        <f t="shared" si="10"/>
        <v xml:space="preserve"> </v>
      </c>
      <c r="DA12" s="35" t="str">
        <f t="shared" si="11"/>
        <v xml:space="preserve"> </v>
      </c>
      <c r="DB12" s="35" t="str">
        <f t="shared" si="12"/>
        <v xml:space="preserve"> </v>
      </c>
      <c r="DC12" s="35" t="str">
        <f t="shared" si="13"/>
        <v xml:space="preserve"> </v>
      </c>
      <c r="DD12" s="35" t="str">
        <f t="shared" si="14"/>
        <v xml:space="preserve"> </v>
      </c>
      <c r="DE12" s="35" t="str">
        <f t="shared" si="15"/>
        <v xml:space="preserve"> </v>
      </c>
      <c r="DF12" s="35" t="str">
        <f t="shared" si="16"/>
        <v xml:space="preserve"> </v>
      </c>
      <c r="DG12" s="35" t="str">
        <f t="shared" si="17"/>
        <v xml:space="preserve"> </v>
      </c>
      <c r="DH12" s="35" t="str">
        <f t="shared" si="18"/>
        <v xml:space="preserve"> </v>
      </c>
      <c r="DI12" s="35" t="str">
        <f t="shared" si="19"/>
        <v xml:space="preserve"> </v>
      </c>
      <c r="DJ12" s="35" t="str">
        <f t="shared" si="20"/>
        <v xml:space="preserve"> </v>
      </c>
      <c r="DK12" s="35" t="str">
        <f t="shared" si="21"/>
        <v xml:space="preserve"> </v>
      </c>
      <c r="DL12" s="35" t="str">
        <f t="shared" si="22"/>
        <v xml:space="preserve"> </v>
      </c>
      <c r="DM12" s="35" t="str">
        <f t="shared" si="23"/>
        <v xml:space="preserve"> </v>
      </c>
      <c r="DN12" s="35" t="str">
        <f t="shared" si="24"/>
        <v xml:space="preserve"> </v>
      </c>
      <c r="DO12" s="35" t="str">
        <f t="shared" si="25"/>
        <v xml:space="preserve"> </v>
      </c>
      <c r="DP12" s="35" t="str">
        <f t="shared" si="26"/>
        <v xml:space="preserve"> </v>
      </c>
      <c r="DQ12" s="35" t="str">
        <f t="shared" si="27"/>
        <v xml:space="preserve"> </v>
      </c>
      <c r="DR12" s="35" t="str">
        <f t="shared" si="28"/>
        <v xml:space="preserve"> </v>
      </c>
      <c r="DS12" s="35" t="str">
        <f t="shared" si="29"/>
        <v xml:space="preserve"> </v>
      </c>
      <c r="DT12" s="35" t="str">
        <f t="shared" si="30"/>
        <v xml:space="preserve"> </v>
      </c>
      <c r="DU12" s="35" t="str">
        <f t="shared" si="31"/>
        <v xml:space="preserve"> </v>
      </c>
      <c r="DV12" s="35" t="str">
        <f t="shared" si="32"/>
        <v xml:space="preserve"> </v>
      </c>
      <c r="DW12" s="35" t="str">
        <f t="shared" si="33"/>
        <v xml:space="preserve"> </v>
      </c>
      <c r="DX12" s="35" t="str">
        <f t="shared" si="34"/>
        <v xml:space="preserve"> </v>
      </c>
      <c r="DY12" s="35" t="str">
        <f t="shared" si="35"/>
        <v xml:space="preserve"> </v>
      </c>
      <c r="DZ12" s="35" t="str">
        <f>IF($CH12=" "," ",'Wind Calcs'!$K$77)</f>
        <v xml:space="preserve"> </v>
      </c>
      <c r="EA12" s="35" t="str">
        <f>IF($CH12=" "," ",'Wind Calcs'!$K$171)</f>
        <v xml:space="preserve"> </v>
      </c>
      <c r="EB12" s="35" t="str">
        <f>IF($CH12=" "," ",'Wind Calcs'!$K$88)</f>
        <v xml:space="preserve"> </v>
      </c>
      <c r="EC12" s="35" t="str">
        <f>IF($CH12=" "," ",'Wind Calcs'!$K$182)</f>
        <v xml:space="preserve"> </v>
      </c>
      <c r="ED12" s="35" t="str">
        <f>IF($CI12=" "," ",'Wind Calcs'!$K$78)</f>
        <v xml:space="preserve"> </v>
      </c>
      <c r="EE12" s="35" t="str">
        <f>IF($CI12=" "," ",'Wind Calcs'!$K$172)</f>
        <v xml:space="preserve"> </v>
      </c>
      <c r="EF12" s="35" t="str">
        <f>IF($CI12=" "," ",'Wind Calcs'!$K$94)</f>
        <v xml:space="preserve"> </v>
      </c>
      <c r="EG12" s="35" t="str">
        <f>IF($CI12=" "," ",'Wind Calcs'!$K$188)</f>
        <v xml:space="preserve"> </v>
      </c>
      <c r="EH12" s="35" t="str">
        <f>IF($CJ12=" "," ",'Wind Calcs'!$K$79)</f>
        <v xml:space="preserve"> </v>
      </c>
      <c r="EI12" s="35" t="str">
        <f>IF($CJ12=" "," ",'Wind Calcs'!$K$173)</f>
        <v xml:space="preserve"> </v>
      </c>
      <c r="EJ12" s="35" t="str">
        <f>IF($CJ12=" "," ",'Wind Calcs'!$K$100)</f>
        <v xml:space="preserve"> </v>
      </c>
      <c r="EK12" s="35" t="str">
        <f>IF($CJ12=" "," ",'Wind Calcs'!$K$194)</f>
        <v xml:space="preserve"> </v>
      </c>
      <c r="EL12" s="35" t="str">
        <f>IF($CK12=" "," ",'Wind Calcs'!$K$80)</f>
        <v xml:space="preserve"> </v>
      </c>
      <c r="EM12" s="35" t="str">
        <f>IF($CK12=" "," ",'Wind Calcs'!$K$174)</f>
        <v xml:space="preserve"> </v>
      </c>
      <c r="EN12" s="35" t="str">
        <f>IF($CK12=" "," ",'Wind Calcs'!$K$106)</f>
        <v xml:space="preserve"> </v>
      </c>
      <c r="EO12" s="35" t="str">
        <f>IF($CK12=" "," ",'Wind Calcs'!$K$200)</f>
        <v xml:space="preserve"> </v>
      </c>
      <c r="EP12" s="35" t="str">
        <f>IF($CL12=" "," ",'Wind Calcs'!$K$81)</f>
        <v xml:space="preserve"> </v>
      </c>
      <c r="EQ12" s="35" t="str">
        <f>IF($CL12=" "," ",'Wind Calcs'!$K$175)</f>
        <v xml:space="preserve"> </v>
      </c>
      <c r="ER12" s="35" t="str">
        <f>IF($CL12=" "," ",'Wind Calcs'!$K$112)</f>
        <v xml:space="preserve"> </v>
      </c>
      <c r="ES12" s="35" t="str">
        <f>IF($CL12=" "," ",'Wind Calcs'!$K$206)</f>
        <v xml:space="preserve"> </v>
      </c>
      <c r="ET12" s="35" t="str">
        <f>IF($CM12=" "," ",'Wind Calcs'!$K$77)</f>
        <v xml:space="preserve"> </v>
      </c>
      <c r="EU12" s="35" t="str">
        <f>IF($CM12=" "," ",'Wind Calcs'!$K$171)</f>
        <v xml:space="preserve"> </v>
      </c>
      <c r="EV12" s="373" t="str">
        <f>IF($CM12=" "," ",'Wind Calcs'!$K$88)</f>
        <v xml:space="preserve"> </v>
      </c>
      <c r="EW12" s="35" t="str">
        <f>IF($CM12=" "," ",'Wind Calcs'!$K$182)</f>
        <v xml:space="preserve"> </v>
      </c>
    </row>
    <row r="13" spans="2:153" x14ac:dyDescent="0.25">
      <c r="B13" s="34" t="str">
        <f t="shared" si="36"/>
        <v/>
      </c>
      <c r="C13" s="299">
        <v>8</v>
      </c>
      <c r="D13" s="7" t="str">
        <f t="shared" si="37"/>
        <v/>
      </c>
      <c r="E13" s="299" t="str">
        <f t="shared" si="38"/>
        <v/>
      </c>
      <c r="G13" s="302">
        <v>8</v>
      </c>
      <c r="H13" s="7" t="e">
        <f t="shared" si="39"/>
        <v>#VALUE!</v>
      </c>
      <c r="I13" s="299" t="e">
        <f t="shared" si="40"/>
        <v>#VALUE!</v>
      </c>
      <c r="J13" s="7"/>
      <c r="K13" s="302">
        <v>8</v>
      </c>
      <c r="L13" s="652" t="str">
        <f t="shared" si="41"/>
        <v/>
      </c>
      <c r="M13" s="556"/>
      <c r="O13" s="628"/>
      <c r="P13" s="559"/>
      <c r="Q13" t="s">
        <v>659</v>
      </c>
      <c r="R13" s="7" t="e">
        <f>R11-R12</f>
        <v>#VALUE!</v>
      </c>
      <c r="S13" s="77" t="s">
        <v>657</v>
      </c>
      <c r="T13" s="43"/>
      <c r="U13" s="7" t="e">
        <f>R13/12</f>
        <v>#VALUE!</v>
      </c>
      <c r="V13" s="28" t="s">
        <v>658</v>
      </c>
      <c r="W13" s="27" t="s">
        <v>674</v>
      </c>
      <c r="X13" s="7" t="e">
        <f>X12*X11</f>
        <v>#VALUE!</v>
      </c>
      <c r="Y13" s="28" t="s">
        <v>657</v>
      </c>
      <c r="Z13" s="27"/>
      <c r="AA13" s="7"/>
      <c r="AB13" s="28"/>
      <c r="AC13" s="27"/>
      <c r="AD13" s="7"/>
      <c r="AE13" s="28"/>
      <c r="AF13" s="27" t="s">
        <v>653</v>
      </c>
      <c r="AG13" s="319" t="e">
        <f>AD15</f>
        <v>#VALUE!</v>
      </c>
      <c r="AH13" s="28" t="s">
        <v>663</v>
      </c>
      <c r="AJ13" s="27" t="s">
        <v>671</v>
      </c>
      <c r="AK13" s="321" t="e">
        <f>AK11*AK12</f>
        <v>#VALUE!</v>
      </c>
      <c r="AL13" s="28" t="s">
        <v>665</v>
      </c>
      <c r="AM13" s="27" t="s">
        <v>671</v>
      </c>
      <c r="AN13" s="323" t="e">
        <f>AN12*AN11</f>
        <v>#VALUE!</v>
      </c>
      <c r="AO13" s="28" t="s">
        <v>665</v>
      </c>
      <c r="AP13" s="27" t="s">
        <v>654</v>
      </c>
      <c r="AQ13" s="7" t="e">
        <f>SUM(AQ11:AQ12)</f>
        <v>#VALUE!</v>
      </c>
      <c r="AR13" s="28" t="s">
        <v>665</v>
      </c>
      <c r="AT13" s="27" t="s">
        <v>671</v>
      </c>
      <c r="AU13" s="210" t="e">
        <f>U15</f>
        <v>#VALUE!</v>
      </c>
      <c r="AV13" s="28" t="s">
        <v>680</v>
      </c>
      <c r="AX13" s="628"/>
      <c r="AY13" s="559"/>
      <c r="AZ13" t="s">
        <v>659</v>
      </c>
      <c r="BA13" s="7" t="e">
        <f>BA11-BA12</f>
        <v>#VALUE!</v>
      </c>
      <c r="BB13" s="77" t="s">
        <v>657</v>
      </c>
      <c r="BC13" s="43"/>
      <c r="BD13" s="7" t="e">
        <f>BA13/12</f>
        <v>#VALUE!</v>
      </c>
      <c r="BE13" s="28" t="s">
        <v>658</v>
      </c>
      <c r="BF13" s="27" t="s">
        <v>674</v>
      </c>
      <c r="BG13" s="7" t="e">
        <f>BG12*BG11</f>
        <v>#VALUE!</v>
      </c>
      <c r="BH13" s="28" t="s">
        <v>657</v>
      </c>
      <c r="BI13" s="27"/>
      <c r="BJ13" s="7"/>
      <c r="BK13" s="28"/>
      <c r="BL13" s="27"/>
      <c r="BM13" s="7"/>
      <c r="BN13" s="28"/>
      <c r="BO13" s="27" t="s">
        <v>653</v>
      </c>
      <c r="BP13" s="319" t="e">
        <f>BM15</f>
        <v>#VALUE!</v>
      </c>
      <c r="BQ13" s="28" t="s">
        <v>663</v>
      </c>
      <c r="BS13" s="27" t="s">
        <v>671</v>
      </c>
      <c r="BT13" s="321" t="e">
        <f>BT11*BT12</f>
        <v>#VALUE!</v>
      </c>
      <c r="BU13" s="28" t="s">
        <v>665</v>
      </c>
      <c r="BV13" s="27" t="s">
        <v>671</v>
      </c>
      <c r="BW13" s="323" t="e">
        <f>BW12*BW11</f>
        <v>#VALUE!</v>
      </c>
      <c r="BX13" s="28" t="s">
        <v>665</v>
      </c>
      <c r="BY13" s="27" t="s">
        <v>654</v>
      </c>
      <c r="BZ13" s="7" t="e">
        <f>SUM(BZ11:BZ12)</f>
        <v>#VALUE!</v>
      </c>
      <c r="CA13" s="28" t="s">
        <v>665</v>
      </c>
      <c r="CC13" s="27" t="s">
        <v>671</v>
      </c>
      <c r="CD13" s="210" t="e">
        <f>BD15</f>
        <v>#VALUE!</v>
      </c>
      <c r="CE13" s="28" t="s">
        <v>665</v>
      </c>
      <c r="CG13" s="35">
        <v>9</v>
      </c>
      <c r="CH13" s="35" t="str">
        <f t="shared" si="0"/>
        <v xml:space="preserve"> </v>
      </c>
      <c r="CI13" s="35" t="str">
        <f t="shared" si="1"/>
        <v xml:space="preserve"> </v>
      </c>
      <c r="CJ13" s="35" t="str">
        <f t="shared" si="2"/>
        <v xml:space="preserve"> </v>
      </c>
      <c r="CK13" s="35" t="str">
        <f t="shared" si="3"/>
        <v xml:space="preserve"> </v>
      </c>
      <c r="CL13" s="35" t="str">
        <f t="shared" si="4"/>
        <v xml:space="preserve"> </v>
      </c>
      <c r="CM13" s="35" t="str">
        <f t="shared" si="5"/>
        <v xml:space="preserve"> </v>
      </c>
      <c r="CN13" s="342" t="str">
        <f>IFERROR(AG50," ")</f>
        <v xml:space="preserve"> </v>
      </c>
      <c r="CO13" s="342" t="str">
        <f>IFERROR(AU50," ")</f>
        <v xml:space="preserve"> </v>
      </c>
      <c r="CP13" s="342" t="str">
        <f>IFERROR(AQ50," ")</f>
        <v xml:space="preserve"> </v>
      </c>
      <c r="CQ13" s="342" t="str">
        <f>IFERROR(BP50," ")</f>
        <v xml:space="preserve"> </v>
      </c>
      <c r="CR13" s="342" t="str">
        <f>IFERROR(CD50," ")</f>
        <v xml:space="preserve"> </v>
      </c>
      <c r="CS13" s="342" t="str">
        <f>IFERROR(BZ50," ")</f>
        <v xml:space="preserve"> </v>
      </c>
      <c r="CT13" s="35" t="str">
        <f>IFERROR(IF(AND(controlling_code="ASCE 7-22",pf&gt;45),(CN13+0.15*CO13)*Inputs!$B$23,IF(AND(controlling_code="ASCE 7-22",pf&lt;45),CN13*Inputs!$B$23,IF(pf&lt;=30,CN13*Inputs!$B$23,(CN13+0.2*CO13)*Inputs!$B$23)))," ")</f>
        <v xml:space="preserve"> </v>
      </c>
      <c r="CU13" s="35" t="str">
        <f>IFERROR(IF(AND(controlling_code="ASCE 7-22",pf&gt;45),(CN13+0.15*CO13)*Inputs!$B$23,IF(AND(controlling_code="ASCE 7-22",pf&lt;45),CN13*Inputs!$B$23,IF(pf&lt;=30,CN13*Inputs!$B$23,(CN13+0.2*CO13)*Inputs!$B$23)))," ")</f>
        <v xml:space="preserve"> </v>
      </c>
      <c r="CV13" s="35" t="str">
        <f t="shared" si="6"/>
        <v xml:space="preserve"> </v>
      </c>
      <c r="CW13" s="35" t="str">
        <f t="shared" si="7"/>
        <v xml:space="preserve"> </v>
      </c>
      <c r="CX13" s="35" t="str">
        <f t="shared" si="8"/>
        <v xml:space="preserve"> </v>
      </c>
      <c r="CY13" s="35" t="str">
        <f t="shared" si="9"/>
        <v xml:space="preserve"> </v>
      </c>
      <c r="CZ13" s="35" t="str">
        <f t="shared" si="10"/>
        <v xml:space="preserve"> </v>
      </c>
      <c r="DA13" s="35" t="str">
        <f t="shared" si="11"/>
        <v xml:space="preserve"> </v>
      </c>
      <c r="DB13" s="35" t="str">
        <f t="shared" si="12"/>
        <v xml:space="preserve"> </v>
      </c>
      <c r="DC13" s="35" t="str">
        <f t="shared" si="13"/>
        <v xml:space="preserve"> </v>
      </c>
      <c r="DD13" s="35" t="str">
        <f t="shared" si="14"/>
        <v xml:space="preserve"> </v>
      </c>
      <c r="DE13" s="35" t="str">
        <f t="shared" si="15"/>
        <v xml:space="preserve"> </v>
      </c>
      <c r="DF13" s="35" t="str">
        <f t="shared" si="16"/>
        <v xml:space="preserve"> </v>
      </c>
      <c r="DG13" s="35" t="str">
        <f t="shared" si="17"/>
        <v xml:space="preserve"> </v>
      </c>
      <c r="DH13" s="35" t="str">
        <f t="shared" si="18"/>
        <v xml:space="preserve"> </v>
      </c>
      <c r="DI13" s="35" t="str">
        <f t="shared" si="19"/>
        <v xml:space="preserve"> </v>
      </c>
      <c r="DJ13" s="35" t="str">
        <f t="shared" si="20"/>
        <v xml:space="preserve"> </v>
      </c>
      <c r="DK13" s="35" t="str">
        <f t="shared" si="21"/>
        <v xml:space="preserve"> </v>
      </c>
      <c r="DL13" s="35" t="str">
        <f t="shared" si="22"/>
        <v xml:space="preserve"> </v>
      </c>
      <c r="DM13" s="35" t="str">
        <f t="shared" si="23"/>
        <v xml:space="preserve"> </v>
      </c>
      <c r="DN13" s="35" t="str">
        <f t="shared" si="24"/>
        <v xml:space="preserve"> </v>
      </c>
      <c r="DO13" s="35" t="str">
        <f t="shared" si="25"/>
        <v xml:space="preserve"> </v>
      </c>
      <c r="DP13" s="35" t="str">
        <f t="shared" si="26"/>
        <v xml:space="preserve"> </v>
      </c>
      <c r="DQ13" s="35" t="str">
        <f t="shared" si="27"/>
        <v xml:space="preserve"> </v>
      </c>
      <c r="DR13" s="35" t="str">
        <f t="shared" si="28"/>
        <v xml:space="preserve"> </v>
      </c>
      <c r="DS13" s="35" t="str">
        <f t="shared" si="29"/>
        <v xml:space="preserve"> </v>
      </c>
      <c r="DT13" s="35" t="str">
        <f t="shared" si="30"/>
        <v xml:space="preserve"> </v>
      </c>
      <c r="DU13" s="35" t="str">
        <f t="shared" si="31"/>
        <v xml:space="preserve"> </v>
      </c>
      <c r="DV13" s="35" t="str">
        <f t="shared" si="32"/>
        <v xml:space="preserve"> </v>
      </c>
      <c r="DW13" s="35" t="str">
        <f t="shared" si="33"/>
        <v xml:space="preserve"> </v>
      </c>
      <c r="DX13" s="35" t="str">
        <f t="shared" si="34"/>
        <v xml:space="preserve"> </v>
      </c>
      <c r="DY13" s="35" t="str">
        <f t="shared" si="35"/>
        <v xml:space="preserve"> </v>
      </c>
      <c r="DZ13" s="35" t="str">
        <f>IF($CH13=" "," ",'Wind Calcs'!$L$77)</f>
        <v xml:space="preserve"> </v>
      </c>
      <c r="EA13" s="35" t="str">
        <f>IF($CH13=" "," ",'Wind Calcs'!$L$171)</f>
        <v xml:space="preserve"> </v>
      </c>
      <c r="EB13" s="35" t="str">
        <f>IF($CH13=" "," ",'Wind Calcs'!$L$88)</f>
        <v xml:space="preserve"> </v>
      </c>
      <c r="EC13" s="35" t="str">
        <f>IF($CH13=" "," ",'Wind Calcs'!$L$182)</f>
        <v xml:space="preserve"> </v>
      </c>
      <c r="ED13" s="35" t="str">
        <f>IF($CI13=" "," ",'Wind Calcs'!$L$78)</f>
        <v xml:space="preserve"> </v>
      </c>
      <c r="EE13" s="35" t="str">
        <f>IF($CI13=" "," ",'Wind Calcs'!$L$172)</f>
        <v xml:space="preserve"> </v>
      </c>
      <c r="EF13" s="35" t="str">
        <f>IF($CI13=" "," ",'Wind Calcs'!$L$94)</f>
        <v xml:space="preserve"> </v>
      </c>
      <c r="EG13" s="35" t="str">
        <f>IF($CI13=" "," ",'Wind Calcs'!$L$188)</f>
        <v xml:space="preserve"> </v>
      </c>
      <c r="EH13" s="35" t="str">
        <f>IF($CJ13=" "," ",'Wind Calcs'!$L$79)</f>
        <v xml:space="preserve"> </v>
      </c>
      <c r="EI13" s="35" t="str">
        <f>IF($CJ13=" "," ",'Wind Calcs'!$L$173)</f>
        <v xml:space="preserve"> </v>
      </c>
      <c r="EJ13" s="35" t="str">
        <f>IF($CJ13=" "," ",'Wind Calcs'!$L$100)</f>
        <v xml:space="preserve"> </v>
      </c>
      <c r="EK13" s="35" t="str">
        <f>IF($CJ13=" "," ",'Wind Calcs'!$L$194)</f>
        <v xml:space="preserve"> </v>
      </c>
      <c r="EL13" s="35" t="str">
        <f>IF($CK13=" "," ",'Wind Calcs'!$L$80)</f>
        <v xml:space="preserve"> </v>
      </c>
      <c r="EM13" s="35" t="str">
        <f>IF($CK13=" "," ",'Wind Calcs'!$L$174)</f>
        <v xml:space="preserve"> </v>
      </c>
      <c r="EN13" s="35" t="str">
        <f>IF($CK13=" "," ",'Wind Calcs'!$L$106)</f>
        <v xml:space="preserve"> </v>
      </c>
      <c r="EO13" s="35" t="str">
        <f>IF($CK13=" "," ",'Wind Calcs'!$L$200)</f>
        <v xml:space="preserve"> </v>
      </c>
      <c r="EP13" s="35" t="str">
        <f>IF($CL13=" "," ",'Wind Calcs'!$L$81)</f>
        <v xml:space="preserve"> </v>
      </c>
      <c r="EQ13" s="35" t="str">
        <f>IF($CL13=" "," ",'Wind Calcs'!$L$175)</f>
        <v xml:space="preserve"> </v>
      </c>
      <c r="ER13" s="35" t="str">
        <f>IF($CL13=" "," ",'Wind Calcs'!$L$112)</f>
        <v xml:space="preserve"> </v>
      </c>
      <c r="ES13" s="35" t="str">
        <f>IF($CL13=" "," ",'Wind Calcs'!$L$206)</f>
        <v xml:space="preserve"> </v>
      </c>
      <c r="ET13" s="35" t="str">
        <f>IF($CM13=" "," ",'Wind Calcs'!$L$77)</f>
        <v xml:space="preserve"> </v>
      </c>
      <c r="EU13" s="35" t="str">
        <f>IF($CM13=" "," ",'Wind Calcs'!$L$171)</f>
        <v xml:space="preserve"> </v>
      </c>
      <c r="EV13" s="373" t="str">
        <f>IF($CM13=" "," ",'Wind Calcs'!$L$88)</f>
        <v xml:space="preserve"> </v>
      </c>
      <c r="EW13" s="35" t="str">
        <f>IF($CM13=" "," ",'Wind Calcs'!$L$182)</f>
        <v xml:space="preserve"> </v>
      </c>
    </row>
    <row r="14" spans="2:153" x14ac:dyDescent="0.25">
      <c r="B14" s="34" t="str">
        <f t="shared" si="36"/>
        <v/>
      </c>
      <c r="C14" s="299">
        <v>9</v>
      </c>
      <c r="D14" s="7" t="str">
        <f t="shared" si="37"/>
        <v/>
      </c>
      <c r="E14" s="299" t="str">
        <f t="shared" si="38"/>
        <v/>
      </c>
      <c r="G14" s="302">
        <v>9</v>
      </c>
      <c r="H14" s="7" t="e">
        <f t="shared" si="39"/>
        <v>#VALUE!</v>
      </c>
      <c r="I14" s="299" t="e">
        <f t="shared" si="40"/>
        <v>#VALUE!</v>
      </c>
      <c r="J14" s="7"/>
      <c r="K14" s="302">
        <v>9</v>
      </c>
      <c r="L14" s="652" t="str">
        <f t="shared" si="41"/>
        <v/>
      </c>
      <c r="M14" s="556"/>
      <c r="O14" s="628"/>
      <c r="P14" s="559"/>
      <c r="Q14" t="s">
        <v>675</v>
      </c>
      <c r="R14" s="7" t="e">
        <f>ROUND(ML, 3)</f>
        <v>#VALUE!</v>
      </c>
      <c r="S14" s="77" t="s">
        <v>657</v>
      </c>
      <c r="T14" s="43"/>
      <c r="U14" s="7" t="e">
        <f>R14/12</f>
        <v>#VALUE!</v>
      </c>
      <c r="V14" s="28" t="s">
        <v>658</v>
      </c>
      <c r="W14" s="27" t="s">
        <v>660</v>
      </c>
      <c r="X14" s="7">
        <f>VLOOKUP(VS,'List Data'!$A$8:$B$12, 2, FALSE)</f>
        <v>2.1419999999999999</v>
      </c>
      <c r="Y14" s="28" t="s">
        <v>661</v>
      </c>
      <c r="Z14" s="27"/>
      <c r="AA14" s="7"/>
      <c r="AB14" s="28"/>
      <c r="AC14" s="27"/>
      <c r="AD14" s="7"/>
      <c r="AE14" s="28"/>
      <c r="AF14" s="27"/>
      <c r="AH14" s="28"/>
      <c r="AJ14" s="27"/>
      <c r="AK14" s="7"/>
      <c r="AL14" s="28"/>
      <c r="AM14" s="27"/>
      <c r="AO14" s="28"/>
      <c r="AP14" s="27"/>
      <c r="AQ14" s="7"/>
      <c r="AR14" s="28"/>
      <c r="AT14" s="27"/>
      <c r="AU14" s="210"/>
      <c r="AV14" s="28"/>
      <c r="AX14" s="628"/>
      <c r="AY14" s="559"/>
      <c r="AZ14" t="s">
        <v>675</v>
      </c>
      <c r="BA14" s="7" t="e">
        <f>ROUND(ML, 3)</f>
        <v>#VALUE!</v>
      </c>
      <c r="BB14" s="77" t="s">
        <v>657</v>
      </c>
      <c r="BC14" s="43"/>
      <c r="BD14" s="7" t="e">
        <f>BA14/12</f>
        <v>#VALUE!</v>
      </c>
      <c r="BE14" s="28" t="s">
        <v>658</v>
      </c>
      <c r="BF14" s="27" t="s">
        <v>660</v>
      </c>
      <c r="BG14" s="7">
        <f>VLOOKUP(VS,'List Data'!$A$8:$B$12, 2, FALSE)</f>
        <v>2.1419999999999999</v>
      </c>
      <c r="BH14" s="28" t="s">
        <v>661</v>
      </c>
      <c r="BI14" s="27"/>
      <c r="BJ14" s="7"/>
      <c r="BK14" s="28"/>
      <c r="BL14" s="27"/>
      <c r="BM14" s="7"/>
      <c r="BN14" s="28"/>
      <c r="BO14" s="27"/>
      <c r="BQ14" s="28"/>
      <c r="BS14" s="27"/>
      <c r="BT14" s="7"/>
      <c r="BU14" s="28"/>
      <c r="BV14" s="27"/>
      <c r="BX14" s="28"/>
      <c r="BY14" s="27"/>
      <c r="BZ14" s="7"/>
      <c r="CA14" s="28"/>
      <c r="CC14" s="27"/>
      <c r="CD14" s="210"/>
      <c r="CE14" s="28"/>
      <c r="CG14" s="35">
        <v>10</v>
      </c>
      <c r="CH14" s="35" t="str">
        <f t="shared" si="0"/>
        <v xml:space="preserve"> </v>
      </c>
      <c r="CI14" s="35" t="str">
        <f t="shared" si="1"/>
        <v xml:space="preserve"> </v>
      </c>
      <c r="CJ14" s="35" t="str">
        <f t="shared" si="2"/>
        <v xml:space="preserve"> </v>
      </c>
      <c r="CK14" s="35" t="str">
        <f t="shared" si="3"/>
        <v xml:space="preserve"> </v>
      </c>
      <c r="CL14" s="35" t="str">
        <f t="shared" si="4"/>
        <v xml:space="preserve"> </v>
      </c>
      <c r="CM14" s="35" t="str">
        <f t="shared" si="5"/>
        <v xml:space="preserve"> </v>
      </c>
      <c r="CN14" s="342" t="str">
        <f>IFERROR(AG55," ")</f>
        <v xml:space="preserve"> </v>
      </c>
      <c r="CO14" s="342" t="str">
        <f>IFERROR(AU55," ")</f>
        <v xml:space="preserve"> </v>
      </c>
      <c r="CP14" s="342" t="str">
        <f>IFERROR(AQ55," ")</f>
        <v xml:space="preserve"> </v>
      </c>
      <c r="CQ14" s="342" t="str">
        <f>IFERROR(BP55," ")</f>
        <v xml:space="preserve"> </v>
      </c>
      <c r="CR14" s="342" t="str">
        <f>IFERROR(CD55," ")</f>
        <v xml:space="preserve"> </v>
      </c>
      <c r="CS14" s="342" t="str">
        <f>IFERROR(BZ55," ")</f>
        <v xml:space="preserve"> </v>
      </c>
      <c r="CT14" s="35" t="str">
        <f>IFERROR(IF(AND(controlling_code="ASCE 7-22",pf&gt;45),(CN14+0.15*CO14)*Inputs!$B$23,IF(AND(controlling_code="ASCE 7-22",pf&lt;45),CN14*Inputs!$B$23,IF(pf&lt;=30,CN14*Inputs!$B$23,(CN14+0.2*CO14)*Inputs!$B$23)))," ")</f>
        <v xml:space="preserve"> </v>
      </c>
      <c r="CU14" s="35" t="str">
        <f>IFERROR(IF(AND(controlling_code="ASCE 7-22",pf&gt;45),(CN14+0.15*CO14)*Inputs!$B$23,IF(AND(controlling_code="ASCE 7-22",pf&lt;45),CN14*Inputs!$B$23,IF(pf&lt;=30,CN14*Inputs!$B$23,(CN14+0.2*CO14)*Inputs!$B$23)))," ")</f>
        <v xml:space="preserve"> </v>
      </c>
      <c r="CV14" s="35" t="str">
        <f t="shared" si="6"/>
        <v xml:space="preserve"> </v>
      </c>
      <c r="CW14" s="35" t="str">
        <f t="shared" si="7"/>
        <v xml:space="preserve"> </v>
      </c>
      <c r="CX14" s="35" t="str">
        <f t="shared" si="8"/>
        <v xml:space="preserve"> </v>
      </c>
      <c r="CY14" s="35" t="str">
        <f t="shared" si="9"/>
        <v xml:space="preserve"> </v>
      </c>
      <c r="CZ14" s="35" t="str">
        <f t="shared" si="10"/>
        <v xml:space="preserve"> </v>
      </c>
      <c r="DA14" s="35" t="str">
        <f t="shared" si="11"/>
        <v xml:space="preserve"> </v>
      </c>
      <c r="DB14" s="35" t="str">
        <f t="shared" si="12"/>
        <v xml:space="preserve"> </v>
      </c>
      <c r="DC14" s="35" t="str">
        <f t="shared" si="13"/>
        <v xml:space="preserve"> </v>
      </c>
      <c r="DD14" s="35" t="str">
        <f t="shared" si="14"/>
        <v xml:space="preserve"> </v>
      </c>
      <c r="DE14" s="35" t="str">
        <f t="shared" si="15"/>
        <v xml:space="preserve"> </v>
      </c>
      <c r="DF14" s="35" t="str">
        <f t="shared" si="16"/>
        <v xml:space="preserve"> </v>
      </c>
      <c r="DG14" s="35" t="str">
        <f t="shared" si="17"/>
        <v xml:space="preserve"> </v>
      </c>
      <c r="DH14" s="35" t="str">
        <f t="shared" si="18"/>
        <v xml:space="preserve"> </v>
      </c>
      <c r="DI14" s="35" t="str">
        <f t="shared" si="19"/>
        <v xml:space="preserve"> </v>
      </c>
      <c r="DJ14" s="35" t="str">
        <f t="shared" si="20"/>
        <v xml:space="preserve"> </v>
      </c>
      <c r="DK14" s="35" t="str">
        <f t="shared" si="21"/>
        <v xml:space="preserve"> </v>
      </c>
      <c r="DL14" s="35" t="str">
        <f t="shared" si="22"/>
        <v xml:space="preserve"> </v>
      </c>
      <c r="DM14" s="35" t="str">
        <f t="shared" si="23"/>
        <v xml:space="preserve"> </v>
      </c>
      <c r="DN14" s="35" t="str">
        <f t="shared" si="24"/>
        <v xml:space="preserve"> </v>
      </c>
      <c r="DO14" s="35" t="str">
        <f t="shared" si="25"/>
        <v xml:space="preserve"> </v>
      </c>
      <c r="DP14" s="35" t="str">
        <f t="shared" si="26"/>
        <v xml:space="preserve"> </v>
      </c>
      <c r="DQ14" s="35" t="str">
        <f t="shared" si="27"/>
        <v xml:space="preserve"> </v>
      </c>
      <c r="DR14" s="35" t="str">
        <f t="shared" si="28"/>
        <v xml:space="preserve"> </v>
      </c>
      <c r="DS14" s="35" t="str">
        <f t="shared" si="29"/>
        <v xml:space="preserve"> </v>
      </c>
      <c r="DT14" s="35" t="str">
        <f t="shared" si="30"/>
        <v xml:space="preserve"> </v>
      </c>
      <c r="DU14" s="35" t="str">
        <f t="shared" si="31"/>
        <v xml:space="preserve"> </v>
      </c>
      <c r="DV14" s="35" t="str">
        <f t="shared" si="32"/>
        <v xml:space="preserve"> </v>
      </c>
      <c r="DW14" s="35" t="str">
        <f t="shared" si="33"/>
        <v xml:space="preserve"> </v>
      </c>
      <c r="DX14" s="35" t="str">
        <f t="shared" si="34"/>
        <v xml:space="preserve"> </v>
      </c>
      <c r="DY14" s="35" t="str">
        <f t="shared" si="35"/>
        <v xml:space="preserve"> </v>
      </c>
      <c r="DZ14" s="35" t="str">
        <f>IF($CH14=" "," ",'Wind Calcs'!$M$77)</f>
        <v xml:space="preserve"> </v>
      </c>
      <c r="EA14" s="35" t="str">
        <f>IF($CH14=" "," ",'Wind Calcs'!$M$171)</f>
        <v xml:space="preserve"> </v>
      </c>
      <c r="EB14" s="35" t="str">
        <f>IF($CH14=" "," ",'Wind Calcs'!$M$88)</f>
        <v xml:space="preserve"> </v>
      </c>
      <c r="EC14" s="35" t="str">
        <f>IF($CH14=" "," ",'Wind Calcs'!$M$182)</f>
        <v xml:space="preserve"> </v>
      </c>
      <c r="ED14" s="35" t="str">
        <f>IF($CI14=" "," ",'Wind Calcs'!$M$78)</f>
        <v xml:space="preserve"> </v>
      </c>
      <c r="EE14" s="35" t="str">
        <f>IF($CI14=" "," ",'Wind Calcs'!$M$172)</f>
        <v xml:space="preserve"> </v>
      </c>
      <c r="EF14" s="35" t="str">
        <f>IF($CI14=" "," ",'Wind Calcs'!$M$94)</f>
        <v xml:space="preserve"> </v>
      </c>
      <c r="EG14" s="35" t="str">
        <f>IF($CI14=" "," ",'Wind Calcs'!$M$188)</f>
        <v xml:space="preserve"> </v>
      </c>
      <c r="EH14" s="35" t="str">
        <f>IF($CJ14=" "," ",'Wind Calcs'!$M$79)</f>
        <v xml:space="preserve"> </v>
      </c>
      <c r="EI14" s="35" t="str">
        <f>IF($CJ14=" "," ",'Wind Calcs'!$M$173)</f>
        <v xml:space="preserve"> </v>
      </c>
      <c r="EJ14" s="35" t="str">
        <f>IF($CJ14=" "," ",'Wind Calcs'!$M$100)</f>
        <v xml:space="preserve"> </v>
      </c>
      <c r="EK14" s="35" t="str">
        <f>IF($CJ14=" "," ",'Wind Calcs'!$M$194)</f>
        <v xml:space="preserve"> </v>
      </c>
      <c r="EL14" s="35" t="str">
        <f>IF($CK14=" "," ",'Wind Calcs'!$M$80)</f>
        <v xml:space="preserve"> </v>
      </c>
      <c r="EM14" s="35" t="str">
        <f>IF($CK14=" "," ",'Wind Calcs'!$M$174)</f>
        <v xml:space="preserve"> </v>
      </c>
      <c r="EN14" s="35" t="str">
        <f>IF($CK14=" "," ",'Wind Calcs'!$M$106)</f>
        <v xml:space="preserve"> </v>
      </c>
      <c r="EO14" s="35" t="str">
        <f>IF($CK14=" "," ",'Wind Calcs'!$M$200)</f>
        <v xml:space="preserve"> </v>
      </c>
      <c r="EP14" s="35" t="str">
        <f>IF($CL14=" "," ",'Wind Calcs'!$M$81)</f>
        <v xml:space="preserve"> </v>
      </c>
      <c r="EQ14" s="35" t="str">
        <f>IF($CL14=" "," ",'Wind Calcs'!$M$175)</f>
        <v xml:space="preserve"> </v>
      </c>
      <c r="ER14" s="35" t="str">
        <f>IF($CL14=" "," ",'Wind Calcs'!$M$112)</f>
        <v xml:space="preserve"> </v>
      </c>
      <c r="ES14" s="35" t="str">
        <f>IF($CL14=" "," ",'Wind Calcs'!$M$206)</f>
        <v xml:space="preserve"> </v>
      </c>
      <c r="ET14" s="35" t="str">
        <f>IF($CM14=" "," ",'Wind Calcs'!$M$77)</f>
        <v xml:space="preserve"> </v>
      </c>
      <c r="EU14" s="35" t="str">
        <f>IF($CM14=" "," ",'Wind Calcs'!$M$171)</f>
        <v xml:space="preserve"> </v>
      </c>
      <c r="EV14" s="373" t="str">
        <f>IF($CM14=" "," ",'Wind Calcs'!$M$88)</f>
        <v xml:space="preserve"> </v>
      </c>
      <c r="EW14" s="35" t="str">
        <f>IF($CM14=" "," ",'Wind Calcs'!$M$182)</f>
        <v xml:space="preserve"> </v>
      </c>
    </row>
    <row r="15" spans="2:153" x14ac:dyDescent="0.25">
      <c r="B15" s="34" t="str">
        <f t="shared" si="36"/>
        <v/>
      </c>
      <c r="C15" s="299">
        <v>10</v>
      </c>
      <c r="D15" s="7" t="str">
        <f t="shared" si="37"/>
        <v/>
      </c>
      <c r="E15" s="299" t="str">
        <f t="shared" si="38"/>
        <v/>
      </c>
      <c r="G15" s="302">
        <v>10</v>
      </c>
      <c r="H15" s="7" t="e">
        <f t="shared" si="39"/>
        <v>#VALUE!</v>
      </c>
      <c r="I15" s="299" t="e">
        <f t="shared" si="40"/>
        <v>#VALUE!</v>
      </c>
      <c r="J15" s="7"/>
      <c r="K15" s="302">
        <v>10</v>
      </c>
      <c r="L15" s="652" t="str">
        <f t="shared" si="41"/>
        <v/>
      </c>
      <c r="M15" s="556"/>
      <c r="O15" s="629"/>
      <c r="P15" s="561"/>
      <c r="Q15" s="30" t="s">
        <v>671</v>
      </c>
      <c r="R15" s="309" t="e">
        <f>R13*R14</f>
        <v>#VALUE!</v>
      </c>
      <c r="S15" s="311" t="s">
        <v>676</v>
      </c>
      <c r="T15" s="313"/>
      <c r="U15" s="309" t="e">
        <f>IF(O11="Exterior Drive Post", (R15/144)-(((GL+GR)*(ML/25.4))/144), R15/144)</f>
        <v>#VALUE!</v>
      </c>
      <c r="V15" s="31" t="s">
        <v>677</v>
      </c>
      <c r="W15" s="29" t="s">
        <v>678</v>
      </c>
      <c r="X15" s="314" t="e">
        <f>X14/12*X13</f>
        <v>#VALUE!</v>
      </c>
      <c r="Y15" s="31" t="s">
        <v>663</v>
      </c>
      <c r="Z15" s="29" t="s">
        <v>678</v>
      </c>
      <c r="AA15" s="315" t="e">
        <f>AA11*AA12</f>
        <v>#VALUE!</v>
      </c>
      <c r="AB15" s="31" t="s">
        <v>663</v>
      </c>
      <c r="AC15" s="29" t="s">
        <v>678</v>
      </c>
      <c r="AD15" s="316" t="e">
        <f>AD11*AD12</f>
        <v>#VALUE!</v>
      </c>
      <c r="AE15" s="31" t="s">
        <v>181</v>
      </c>
      <c r="AF15" s="29" t="s">
        <v>654</v>
      </c>
      <c r="AG15" s="320" t="e">
        <f>IF(O11="Exterior Drive Post", SUM(AG11:AG13)+SDW, SUM(AG11:AG13)+ICW)</f>
        <v>#VALUE!</v>
      </c>
      <c r="AH15" s="31" t="s">
        <v>663</v>
      </c>
      <c r="AI15">
        <v>2</v>
      </c>
      <c r="AJ15" s="29"/>
      <c r="AK15" s="309"/>
      <c r="AL15" s="31"/>
      <c r="AM15" s="29"/>
      <c r="AN15" s="30"/>
      <c r="AO15" s="31"/>
      <c r="AP15" s="29" t="s">
        <v>679</v>
      </c>
      <c r="AQ15" s="324" t="e">
        <f>AQ13*Pult</f>
        <v>#VALUE!</v>
      </c>
      <c r="AR15" s="31" t="s">
        <v>181</v>
      </c>
      <c r="AT15" s="29" t="s">
        <v>662</v>
      </c>
      <c r="AU15" s="339" t="e">
        <f>AU13*AU12</f>
        <v>#VALUE!</v>
      </c>
      <c r="AV15" s="31" t="s">
        <v>181</v>
      </c>
      <c r="AX15" s="629"/>
      <c r="AY15" s="561"/>
      <c r="AZ15" s="30" t="s">
        <v>671</v>
      </c>
      <c r="BA15" s="309" t="e">
        <f>BA13*BA14</f>
        <v>#VALUE!</v>
      </c>
      <c r="BB15" s="311" t="s">
        <v>676</v>
      </c>
      <c r="BC15" s="313"/>
      <c r="BD15" s="309" t="e">
        <f>IF(AX11="Interior Drive Post", (BA15/144)-(((GL+GR)*(ML/25.4))/144), BA15/144)</f>
        <v>#VALUE!</v>
      </c>
      <c r="BE15" s="31" t="s">
        <v>677</v>
      </c>
      <c r="BF15" s="29" t="s">
        <v>678</v>
      </c>
      <c r="BG15" s="314" t="e">
        <f>BG14/12*BG13</f>
        <v>#VALUE!</v>
      </c>
      <c r="BH15" s="31" t="s">
        <v>663</v>
      </c>
      <c r="BI15" s="29" t="s">
        <v>678</v>
      </c>
      <c r="BJ15" s="315" t="e">
        <f>BJ11*BJ12</f>
        <v>#VALUE!</v>
      </c>
      <c r="BK15" s="31" t="s">
        <v>663</v>
      </c>
      <c r="BL15" s="29" t="s">
        <v>678</v>
      </c>
      <c r="BM15" s="316" t="e">
        <f>BM11*BM12</f>
        <v>#VALUE!</v>
      </c>
      <c r="BN15" s="31" t="s">
        <v>181</v>
      </c>
      <c r="BO15" s="29" t="s">
        <v>654</v>
      </c>
      <c r="BP15" s="320" t="e">
        <f>IF(AX11="Interior Drive Post", SUM(BP11:BP13)+SDW, SUM(BP11:BP13)+ICW)</f>
        <v>#VALUE!</v>
      </c>
      <c r="BQ15" s="31" t="s">
        <v>663</v>
      </c>
      <c r="BR15">
        <v>2</v>
      </c>
      <c r="BS15" s="29"/>
      <c r="BT15" s="309"/>
      <c r="BU15" s="31"/>
      <c r="BV15" s="29"/>
      <c r="BW15" s="30"/>
      <c r="BX15" s="31"/>
      <c r="BY15" s="29" t="s">
        <v>679</v>
      </c>
      <c r="BZ15" s="324" t="e">
        <f>BZ13*Pult</f>
        <v>#VALUE!</v>
      </c>
      <c r="CA15" s="31" t="s">
        <v>181</v>
      </c>
      <c r="CC15" s="29" t="s">
        <v>662</v>
      </c>
      <c r="CD15" s="339" t="e">
        <f>CD13*CD12</f>
        <v>#VALUE!</v>
      </c>
      <c r="CE15" s="31" t="s">
        <v>181</v>
      </c>
      <c r="CG15" s="35">
        <v>11</v>
      </c>
      <c r="CH15" s="35" t="str">
        <f t="shared" si="0"/>
        <v xml:space="preserve"> </v>
      </c>
      <c r="CI15" s="35" t="str">
        <f t="shared" si="1"/>
        <v xml:space="preserve"> </v>
      </c>
      <c r="CJ15" s="35" t="str">
        <f t="shared" si="2"/>
        <v xml:space="preserve"> </v>
      </c>
      <c r="CK15" s="35" t="str">
        <f t="shared" si="3"/>
        <v xml:space="preserve"> </v>
      </c>
      <c r="CL15" s="35" t="str">
        <f t="shared" si="4"/>
        <v xml:space="preserve"> </v>
      </c>
      <c r="CM15" s="35" t="str">
        <f t="shared" si="5"/>
        <v xml:space="preserve"> </v>
      </c>
      <c r="CN15" s="342" t="str">
        <f>IFERROR(AG60," ")</f>
        <v xml:space="preserve"> </v>
      </c>
      <c r="CO15" s="342" t="str">
        <f>IFERROR(AU60," ")</f>
        <v xml:space="preserve"> </v>
      </c>
      <c r="CP15" s="342" t="str">
        <f>IFERROR(AQ60," ")</f>
        <v xml:space="preserve"> </v>
      </c>
      <c r="CQ15" s="342" t="str">
        <f>IFERROR(BP60," ")</f>
        <v xml:space="preserve"> </v>
      </c>
      <c r="CR15" s="342" t="str">
        <f>IFERROR(CD60," ")</f>
        <v xml:space="preserve"> </v>
      </c>
      <c r="CS15" s="342" t="str">
        <f>IFERROR(BZ60," ")</f>
        <v xml:space="preserve"> </v>
      </c>
      <c r="CT15" s="35" t="str">
        <f>IFERROR(IF(AND(controlling_code="ASCE 7-22",pf&gt;45),(CN15+0.15*CO15)*Inputs!$B$23,IF(AND(controlling_code="ASCE 7-22",pf&lt;45),CN15*Inputs!$B$23,IF(pf&lt;=30,CN15*Inputs!$B$23,(CN15+0.2*CO15)*Inputs!$B$23)))," ")</f>
        <v xml:space="preserve"> </v>
      </c>
      <c r="CU15" s="35" t="str">
        <f>IFERROR(IF(AND(controlling_code="ASCE 7-22",pf&gt;45),(CN15+0.15*CO15)*Inputs!$B$23,IF(AND(controlling_code="ASCE 7-22",pf&lt;45),CN15*Inputs!$B$23,IF(pf&lt;=30,CN15*Inputs!$B$23,(CN15+0.2*CO15)*Inputs!$B$23)))," ")</f>
        <v xml:space="preserve"> </v>
      </c>
      <c r="CV15" s="35" t="str">
        <f t="shared" si="6"/>
        <v xml:space="preserve"> </v>
      </c>
      <c r="CW15" s="35" t="str">
        <f t="shared" si="7"/>
        <v xml:space="preserve"> </v>
      </c>
      <c r="CX15" s="35" t="str">
        <f t="shared" si="8"/>
        <v xml:space="preserve"> </v>
      </c>
      <c r="CY15" s="35" t="str">
        <f t="shared" si="9"/>
        <v xml:space="preserve"> </v>
      </c>
      <c r="CZ15" s="35" t="str">
        <f t="shared" si="10"/>
        <v xml:space="preserve"> </v>
      </c>
      <c r="DA15" s="35" t="str">
        <f t="shared" si="11"/>
        <v xml:space="preserve"> </v>
      </c>
      <c r="DB15" s="35" t="str">
        <f t="shared" si="12"/>
        <v xml:space="preserve"> </v>
      </c>
      <c r="DC15" s="35" t="str">
        <f t="shared" si="13"/>
        <v xml:space="preserve"> </v>
      </c>
      <c r="DD15" s="35" t="str">
        <f t="shared" si="14"/>
        <v xml:space="preserve"> </v>
      </c>
      <c r="DE15" s="35" t="str">
        <f t="shared" si="15"/>
        <v xml:space="preserve"> </v>
      </c>
      <c r="DF15" s="35" t="str">
        <f t="shared" si="16"/>
        <v xml:space="preserve"> </v>
      </c>
      <c r="DG15" s="35" t="str">
        <f t="shared" si="17"/>
        <v xml:space="preserve"> </v>
      </c>
      <c r="DH15" s="35" t="str">
        <f t="shared" si="18"/>
        <v xml:space="preserve"> </v>
      </c>
      <c r="DI15" s="35" t="str">
        <f t="shared" si="19"/>
        <v xml:space="preserve"> </v>
      </c>
      <c r="DJ15" s="35" t="str">
        <f t="shared" si="20"/>
        <v xml:space="preserve"> </v>
      </c>
      <c r="DK15" s="35" t="str">
        <f t="shared" si="21"/>
        <v xml:space="preserve"> </v>
      </c>
      <c r="DL15" s="35" t="str">
        <f t="shared" si="22"/>
        <v xml:space="preserve"> </v>
      </c>
      <c r="DM15" s="35" t="str">
        <f t="shared" si="23"/>
        <v xml:space="preserve"> </v>
      </c>
      <c r="DN15" s="35" t="str">
        <f t="shared" si="24"/>
        <v xml:space="preserve"> </v>
      </c>
      <c r="DO15" s="35" t="str">
        <f t="shared" si="25"/>
        <v xml:space="preserve"> </v>
      </c>
      <c r="DP15" s="35" t="str">
        <f t="shared" si="26"/>
        <v xml:space="preserve"> </v>
      </c>
      <c r="DQ15" s="35" t="str">
        <f t="shared" si="27"/>
        <v xml:space="preserve"> </v>
      </c>
      <c r="DR15" s="35" t="str">
        <f t="shared" si="28"/>
        <v xml:space="preserve"> </v>
      </c>
      <c r="DS15" s="35" t="str">
        <f t="shared" si="29"/>
        <v xml:space="preserve"> </v>
      </c>
      <c r="DT15" s="35" t="str">
        <f t="shared" si="30"/>
        <v xml:space="preserve"> </v>
      </c>
      <c r="DU15" s="35" t="str">
        <f t="shared" si="31"/>
        <v xml:space="preserve"> </v>
      </c>
      <c r="DV15" s="35" t="str">
        <f t="shared" si="32"/>
        <v xml:space="preserve"> </v>
      </c>
      <c r="DW15" s="35" t="str">
        <f t="shared" si="33"/>
        <v xml:space="preserve"> </v>
      </c>
      <c r="DX15" s="35" t="str">
        <f t="shared" si="34"/>
        <v xml:space="preserve"> </v>
      </c>
      <c r="DY15" s="35" t="str">
        <f t="shared" si="35"/>
        <v xml:space="preserve"> </v>
      </c>
      <c r="DZ15" s="35" t="str">
        <f>IF($CH15=" "," ",'Wind Calcs'!$N$77)</f>
        <v xml:space="preserve"> </v>
      </c>
      <c r="EA15" s="35" t="str">
        <f>IF($CH15=" "," ",'Wind Calcs'!$N$171)</f>
        <v xml:space="preserve"> </v>
      </c>
      <c r="EB15" s="35" t="str">
        <f>IF($CH15=" "," ",'Wind Calcs'!$N$88)</f>
        <v xml:space="preserve"> </v>
      </c>
      <c r="EC15" s="35" t="str">
        <f>IF($CH15=" "," ",'Wind Calcs'!$N$182)</f>
        <v xml:space="preserve"> </v>
      </c>
      <c r="ED15" s="35" t="str">
        <f>IF($CI15=" "," ",'Wind Calcs'!$N$78)</f>
        <v xml:space="preserve"> </v>
      </c>
      <c r="EE15" s="35" t="str">
        <f>IF($CI15=" "," ",'Wind Calcs'!$N$172)</f>
        <v xml:space="preserve"> </v>
      </c>
      <c r="EF15" s="35" t="str">
        <f>IF($CI15=" "," ",'Wind Calcs'!$N$94)</f>
        <v xml:space="preserve"> </v>
      </c>
      <c r="EG15" s="35" t="str">
        <f>IF($CI15=" "," ",'Wind Calcs'!$N$188)</f>
        <v xml:space="preserve"> </v>
      </c>
      <c r="EH15" s="35" t="str">
        <f>IF($CJ15=" "," ",'Wind Calcs'!$N$79)</f>
        <v xml:space="preserve"> </v>
      </c>
      <c r="EI15" s="35" t="str">
        <f>IF($CJ15=" "," ",'Wind Calcs'!$N$173)</f>
        <v xml:space="preserve"> </v>
      </c>
      <c r="EJ15" s="35" t="str">
        <f>IF($CJ15=" "," ",'Wind Calcs'!$N$100)</f>
        <v xml:space="preserve"> </v>
      </c>
      <c r="EK15" s="35" t="str">
        <f>IF($CJ15=" "," ",'Wind Calcs'!$N$194)</f>
        <v xml:space="preserve"> </v>
      </c>
      <c r="EL15" s="35" t="str">
        <f>IF($CK15=" "," ",'Wind Calcs'!$N$80)</f>
        <v xml:space="preserve"> </v>
      </c>
      <c r="EM15" s="35" t="str">
        <f>IF($CK15=" "," ",'Wind Calcs'!$N$174)</f>
        <v xml:space="preserve"> </v>
      </c>
      <c r="EN15" s="35" t="str">
        <f>IF($CK15=" "," ",'Wind Calcs'!$N$106)</f>
        <v xml:space="preserve"> </v>
      </c>
      <c r="EO15" s="35" t="str">
        <f>IF($CK15=" "," ",'Wind Calcs'!$N$200)</f>
        <v xml:space="preserve"> </v>
      </c>
      <c r="EP15" s="35" t="str">
        <f>IF($CL15=" "," ",'Wind Calcs'!$N$81)</f>
        <v xml:space="preserve"> </v>
      </c>
      <c r="EQ15" s="35" t="str">
        <f>IF($CL15=" "," ",'Wind Calcs'!$N$175)</f>
        <v xml:space="preserve"> </v>
      </c>
      <c r="ER15" s="35" t="str">
        <f>IF($CL15=" "," ",'Wind Calcs'!$N$112)</f>
        <v xml:space="preserve"> </v>
      </c>
      <c r="ES15" s="35" t="str">
        <f>IF($CL15=" "," ",'Wind Calcs'!$N$206)</f>
        <v xml:space="preserve"> </v>
      </c>
      <c r="ET15" s="35" t="str">
        <f>IF($CM15=" "," ",'Wind Calcs'!$N$77)</f>
        <v xml:space="preserve"> </v>
      </c>
      <c r="EU15" s="35" t="str">
        <f>IF($CM15=" "," ",'Wind Calcs'!$N$171)</f>
        <v xml:space="preserve"> </v>
      </c>
      <c r="EV15" s="373" t="str">
        <f>IF($CM15=" "," ",'Wind Calcs'!$N$88)</f>
        <v xml:space="preserve"> </v>
      </c>
      <c r="EW15" s="35" t="str">
        <f>IF($CM15=" "," ",'Wind Calcs'!$N$182)</f>
        <v xml:space="preserve"> </v>
      </c>
    </row>
    <row r="16" spans="2:153" x14ac:dyDescent="0.25">
      <c r="B16" s="34" t="str">
        <f t="shared" si="36"/>
        <v/>
      </c>
      <c r="C16" s="299">
        <v>11</v>
      </c>
      <c r="D16" s="7" t="str">
        <f t="shared" si="37"/>
        <v/>
      </c>
      <c r="E16" s="299" t="str">
        <f t="shared" si="38"/>
        <v/>
      </c>
      <c r="G16" s="302">
        <v>11</v>
      </c>
      <c r="H16" s="7" t="e">
        <f t="shared" si="39"/>
        <v>#VALUE!</v>
      </c>
      <c r="I16" s="299" t="e">
        <f t="shared" si="40"/>
        <v>#VALUE!</v>
      </c>
      <c r="J16" s="7"/>
      <c r="K16" s="302">
        <v>11</v>
      </c>
      <c r="L16" s="652" t="str">
        <f t="shared" si="41"/>
        <v/>
      </c>
      <c r="M16" s="556"/>
      <c r="O16" s="653" t="str">
        <f>D8</f>
        <v/>
      </c>
      <c r="P16" s="558"/>
      <c r="Q16" s="25" t="s">
        <v>656</v>
      </c>
      <c r="R16" s="297" t="str">
        <f>L8</f>
        <v/>
      </c>
      <c r="S16" s="310" t="s">
        <v>657</v>
      </c>
      <c r="T16" s="312"/>
      <c r="U16" s="297" t="e">
        <f>R16/12</f>
        <v>#VALUE!</v>
      </c>
      <c r="V16" s="26" t="s">
        <v>658</v>
      </c>
      <c r="W16" s="24" t="s">
        <v>659</v>
      </c>
      <c r="X16" s="297" t="e">
        <f>VL</f>
        <v>#VALUE!</v>
      </c>
      <c r="Y16" s="26" t="s">
        <v>657</v>
      </c>
      <c r="Z16" s="24" t="s">
        <v>660</v>
      </c>
      <c r="AA16" s="297">
        <f>VLOOKUP(TS,'List Data'!$A$15:$B$18, 2, FALSE)</f>
        <v>7.8955000000000002</v>
      </c>
      <c r="AB16" s="26" t="s">
        <v>661</v>
      </c>
      <c r="AC16" s="24" t="s">
        <v>662</v>
      </c>
      <c r="AD16" s="297" t="e">
        <f>PL</f>
        <v>#VALUE!</v>
      </c>
      <c r="AE16" s="26" t="s">
        <v>65</v>
      </c>
      <c r="AF16" s="24" t="s">
        <v>651</v>
      </c>
      <c r="AG16" s="318" t="e">
        <f>X20</f>
        <v>#VALUE!</v>
      </c>
      <c r="AH16" s="26" t="s">
        <v>663</v>
      </c>
      <c r="AJ16" s="24" t="s">
        <v>664</v>
      </c>
      <c r="AK16" s="297" t="e">
        <f>ROUND(MT/12,5)</f>
        <v>#VALUE!</v>
      </c>
      <c r="AL16" s="26" t="s">
        <v>658</v>
      </c>
      <c r="AM16" s="24" t="s">
        <v>370</v>
      </c>
      <c r="AN16" s="297">
        <f>IF(OR(TS="5x4, .126", TS="5x4, .134"), 5/12,4/12)</f>
        <v>0.41666666666666669</v>
      </c>
      <c r="AO16" s="26" t="s">
        <v>658</v>
      </c>
      <c r="AP16" s="24" t="s">
        <v>653</v>
      </c>
      <c r="AQ16" s="322" t="e">
        <f>AK18</f>
        <v>#VALUE!</v>
      </c>
      <c r="AR16" s="26" t="s">
        <v>665</v>
      </c>
      <c r="AT16" s="24" t="s">
        <v>666</v>
      </c>
      <c r="AU16" s="338" t="str">
        <f>Theta</f>
        <v>XX</v>
      </c>
      <c r="AV16" s="26" t="s">
        <v>667</v>
      </c>
      <c r="AX16" s="653" t="str">
        <f>D44</f>
        <v/>
      </c>
      <c r="AY16" s="558"/>
      <c r="AZ16" s="25" t="s">
        <v>656</v>
      </c>
      <c r="BA16" s="297" t="str">
        <f>L44</f>
        <v/>
      </c>
      <c r="BB16" s="310" t="s">
        <v>657</v>
      </c>
      <c r="BC16" s="312"/>
      <c r="BD16" s="297" t="e">
        <f>BA16/12</f>
        <v>#VALUE!</v>
      </c>
      <c r="BE16" s="26" t="s">
        <v>658</v>
      </c>
      <c r="BF16" s="24" t="s">
        <v>659</v>
      </c>
      <c r="BG16" s="297" t="e">
        <f>VL</f>
        <v>#VALUE!</v>
      </c>
      <c r="BH16" s="26" t="s">
        <v>657</v>
      </c>
      <c r="BI16" s="24" t="s">
        <v>660</v>
      </c>
      <c r="BJ16" s="297">
        <f>VLOOKUP(TS,'List Data'!$A$15:$B$18, 2, FALSE)</f>
        <v>7.8955000000000002</v>
      </c>
      <c r="BK16" s="26" t="s">
        <v>661</v>
      </c>
      <c r="BL16" s="24" t="s">
        <v>662</v>
      </c>
      <c r="BM16" s="297" t="e">
        <f>PL</f>
        <v>#VALUE!</v>
      </c>
      <c r="BN16" s="26" t="s">
        <v>65</v>
      </c>
      <c r="BO16" s="24" t="s">
        <v>651</v>
      </c>
      <c r="BP16" s="318" t="e">
        <f>BG20</f>
        <v>#VALUE!</v>
      </c>
      <c r="BQ16" s="26" t="s">
        <v>663</v>
      </c>
      <c r="BS16" s="24" t="s">
        <v>664</v>
      </c>
      <c r="BT16" s="297" t="e">
        <f>ROUND(MT/12,5)</f>
        <v>#VALUE!</v>
      </c>
      <c r="BU16" s="26" t="s">
        <v>658</v>
      </c>
      <c r="BV16" s="24" t="s">
        <v>370</v>
      </c>
      <c r="BW16" s="297">
        <f>IF(OR(TS="5x4, .126", TS="5x4, .134"), 5/12,4/12)</f>
        <v>0.41666666666666669</v>
      </c>
      <c r="BX16" s="26" t="s">
        <v>658</v>
      </c>
      <c r="BY16" s="24" t="s">
        <v>653</v>
      </c>
      <c r="BZ16" s="322" t="e">
        <f>BT18</f>
        <v>#VALUE!</v>
      </c>
      <c r="CA16" s="26" t="s">
        <v>665</v>
      </c>
      <c r="CC16" s="24" t="s">
        <v>666</v>
      </c>
      <c r="CD16" s="338" t="str">
        <f>Theta</f>
        <v>XX</v>
      </c>
      <c r="CE16" s="26" t="s">
        <v>667</v>
      </c>
      <c r="CG16" s="35">
        <v>12</v>
      </c>
      <c r="CH16" s="35" t="str">
        <f t="shared" si="0"/>
        <v xml:space="preserve"> </v>
      </c>
      <c r="CI16" s="35" t="str">
        <f t="shared" si="1"/>
        <v xml:space="preserve"> </v>
      </c>
      <c r="CJ16" s="35" t="str">
        <f t="shared" si="2"/>
        <v xml:space="preserve"> </v>
      </c>
      <c r="CK16" s="35" t="str">
        <f t="shared" si="3"/>
        <v xml:space="preserve"> </v>
      </c>
      <c r="CL16" s="35" t="str">
        <f t="shared" si="4"/>
        <v xml:space="preserve"> </v>
      </c>
      <c r="CM16" s="35" t="str">
        <f t="shared" si="5"/>
        <v xml:space="preserve"> </v>
      </c>
      <c r="CN16" s="342" t="str">
        <f>IFERROR(AG65," ")</f>
        <v xml:space="preserve"> </v>
      </c>
      <c r="CO16" s="342" t="str">
        <f>IFERROR(AU65," ")</f>
        <v xml:space="preserve"> </v>
      </c>
      <c r="CP16" s="342" t="str">
        <f>IFERROR(AQ65," ")</f>
        <v xml:space="preserve"> </v>
      </c>
      <c r="CQ16" s="342" t="str">
        <f>IFERROR(BP65," ")</f>
        <v xml:space="preserve"> </v>
      </c>
      <c r="CR16" s="342" t="str">
        <f>IFERROR(CD65," ")</f>
        <v xml:space="preserve"> </v>
      </c>
      <c r="CS16" s="342" t="str">
        <f>IFERROR(BZ65," ")</f>
        <v xml:space="preserve"> </v>
      </c>
      <c r="CT16" s="35" t="str">
        <f>IFERROR(IF(AND(controlling_code="ASCE 7-22",pf&gt;45),(CN16+0.15*CO16)*Inputs!$B$23,IF(AND(controlling_code="ASCE 7-22",pf&lt;45),CN16*Inputs!$B$23,IF(pf&lt;=30,CN16*Inputs!$B$23,(CN16+0.2*CO16)*Inputs!$B$23)))," ")</f>
        <v xml:space="preserve"> </v>
      </c>
      <c r="CU16" s="35" t="str">
        <f>IFERROR(IF(AND(controlling_code="ASCE 7-22",pf&gt;45),(CN16+0.15*CO16)*Inputs!$B$23,IF(AND(controlling_code="ASCE 7-22",pf&lt;45),CN16*Inputs!$B$23,IF(pf&lt;=30,CN16*Inputs!$B$23,(CN16+0.2*CO16)*Inputs!$B$23)))," ")</f>
        <v xml:space="preserve"> </v>
      </c>
      <c r="CV16" s="35" t="str">
        <f t="shared" si="6"/>
        <v xml:space="preserve"> </v>
      </c>
      <c r="CW16" s="35" t="str">
        <f t="shared" si="7"/>
        <v xml:space="preserve"> </v>
      </c>
      <c r="CX16" s="35" t="str">
        <f t="shared" si="8"/>
        <v xml:space="preserve"> </v>
      </c>
      <c r="CY16" s="35" t="str">
        <f t="shared" si="9"/>
        <v xml:space="preserve"> </v>
      </c>
      <c r="CZ16" s="35" t="str">
        <f t="shared" si="10"/>
        <v xml:space="preserve"> </v>
      </c>
      <c r="DA16" s="35" t="str">
        <f t="shared" si="11"/>
        <v xml:space="preserve"> </v>
      </c>
      <c r="DB16" s="35" t="str">
        <f t="shared" si="12"/>
        <v xml:space="preserve"> </v>
      </c>
      <c r="DC16" s="35" t="str">
        <f t="shared" si="13"/>
        <v xml:space="preserve"> </v>
      </c>
      <c r="DD16" s="35" t="str">
        <f t="shared" si="14"/>
        <v xml:space="preserve"> </v>
      </c>
      <c r="DE16" s="35" t="str">
        <f t="shared" si="15"/>
        <v xml:space="preserve"> </v>
      </c>
      <c r="DF16" s="35" t="str">
        <f t="shared" si="16"/>
        <v xml:space="preserve"> </v>
      </c>
      <c r="DG16" s="35" t="str">
        <f t="shared" si="17"/>
        <v xml:space="preserve"> </v>
      </c>
      <c r="DH16" s="35" t="str">
        <f t="shared" si="18"/>
        <v xml:space="preserve"> </v>
      </c>
      <c r="DI16" s="35" t="str">
        <f t="shared" si="19"/>
        <v xml:space="preserve"> </v>
      </c>
      <c r="DJ16" s="35" t="str">
        <f t="shared" si="20"/>
        <v xml:space="preserve"> </v>
      </c>
      <c r="DK16" s="35" t="str">
        <f t="shared" si="21"/>
        <v xml:space="preserve"> </v>
      </c>
      <c r="DL16" s="35" t="str">
        <f t="shared" si="22"/>
        <v xml:space="preserve"> </v>
      </c>
      <c r="DM16" s="35" t="str">
        <f t="shared" si="23"/>
        <v xml:space="preserve"> </v>
      </c>
      <c r="DN16" s="35" t="str">
        <f t="shared" si="24"/>
        <v xml:space="preserve"> </v>
      </c>
      <c r="DO16" s="35" t="str">
        <f t="shared" si="25"/>
        <v xml:space="preserve"> </v>
      </c>
      <c r="DP16" s="35" t="str">
        <f t="shared" si="26"/>
        <v xml:space="preserve"> </v>
      </c>
      <c r="DQ16" s="35" t="str">
        <f t="shared" si="27"/>
        <v xml:space="preserve"> </v>
      </c>
      <c r="DR16" s="35" t="str">
        <f t="shared" si="28"/>
        <v xml:space="preserve"> </v>
      </c>
      <c r="DS16" s="35" t="str">
        <f t="shared" si="29"/>
        <v xml:space="preserve"> </v>
      </c>
      <c r="DT16" s="35" t="str">
        <f t="shared" si="30"/>
        <v xml:space="preserve"> </v>
      </c>
      <c r="DU16" s="35" t="str">
        <f t="shared" si="31"/>
        <v xml:space="preserve"> </v>
      </c>
      <c r="DV16" s="35" t="str">
        <f t="shared" si="32"/>
        <v xml:space="preserve"> </v>
      </c>
      <c r="DW16" s="35" t="str">
        <f t="shared" si="33"/>
        <v xml:space="preserve"> </v>
      </c>
      <c r="DX16" s="35" t="str">
        <f t="shared" si="34"/>
        <v xml:space="preserve"> </v>
      </c>
      <c r="DY16" s="35" t="str">
        <f t="shared" si="35"/>
        <v xml:space="preserve"> </v>
      </c>
      <c r="DZ16" s="35" t="str">
        <f>IF($CH16=" "," ",'Wind Calcs'!$O$77)</f>
        <v xml:space="preserve"> </v>
      </c>
      <c r="EA16" s="35" t="str">
        <f>IF($CH16=" "," ",'Wind Calcs'!$O$171)</f>
        <v xml:space="preserve"> </v>
      </c>
      <c r="EB16" s="35" t="str">
        <f>IF($CH16=" "," ",'Wind Calcs'!$O$88)</f>
        <v xml:space="preserve"> </v>
      </c>
      <c r="EC16" s="35" t="str">
        <f>IF($CH16=" "," ",'Wind Calcs'!$O$182)</f>
        <v xml:space="preserve"> </v>
      </c>
      <c r="ED16" s="35" t="str">
        <f>IF($CI16=" "," ",'Wind Calcs'!$O$78)</f>
        <v xml:space="preserve"> </v>
      </c>
      <c r="EE16" s="35" t="str">
        <f>IF($CI16=" "," ",'Wind Calcs'!$O$172)</f>
        <v xml:space="preserve"> </v>
      </c>
      <c r="EF16" s="35" t="str">
        <f>IF($CI16=" "," ",'Wind Calcs'!$O$94)</f>
        <v xml:space="preserve"> </v>
      </c>
      <c r="EG16" s="35" t="str">
        <f>IF($CI16=" "," ",'Wind Calcs'!$O$188)</f>
        <v xml:space="preserve"> </v>
      </c>
      <c r="EH16" s="35" t="str">
        <f>IF($CJ16=" "," ",'Wind Calcs'!$O$79)</f>
        <v xml:space="preserve"> </v>
      </c>
      <c r="EI16" s="35" t="str">
        <f>IF($CJ16=" "," ",'Wind Calcs'!$O$173)</f>
        <v xml:space="preserve"> </v>
      </c>
      <c r="EJ16" s="35" t="str">
        <f>IF($CJ16=" "," ",'Wind Calcs'!$O$100)</f>
        <v xml:space="preserve"> </v>
      </c>
      <c r="EK16" s="35" t="str">
        <f>IF($CJ16=" "," ",'Wind Calcs'!$O$194)</f>
        <v xml:space="preserve"> </v>
      </c>
      <c r="EL16" s="35" t="str">
        <f>IF($CK16=" "," ",'Wind Calcs'!$O$80)</f>
        <v xml:space="preserve"> </v>
      </c>
      <c r="EM16" s="35" t="str">
        <f>IF($CK16=" "," ",'Wind Calcs'!$O$174)</f>
        <v xml:space="preserve"> </v>
      </c>
      <c r="EN16" s="35" t="str">
        <f>IF($CK16=" "," ",'Wind Calcs'!$O$106)</f>
        <v xml:space="preserve"> </v>
      </c>
      <c r="EO16" s="35" t="str">
        <f>IF($CK16=" "," ",'Wind Calcs'!$O$200)</f>
        <v xml:space="preserve"> </v>
      </c>
      <c r="EP16" s="35" t="str">
        <f>IF($CL16=" "," ",'Wind Calcs'!$O$81)</f>
        <v xml:space="preserve"> </v>
      </c>
      <c r="EQ16" s="35" t="str">
        <f>IF($CL16=" "," ",'Wind Calcs'!$O$175)</f>
        <v xml:space="preserve"> </v>
      </c>
      <c r="ER16" s="35" t="str">
        <f>IF($CL16=" "," ",'Wind Calcs'!$O$112)</f>
        <v xml:space="preserve"> </v>
      </c>
      <c r="ES16" s="35" t="str">
        <f>IF($CL16=" "," ",'Wind Calcs'!$O$206)</f>
        <v xml:space="preserve"> </v>
      </c>
      <c r="ET16" s="35" t="str">
        <f>IF($CM16=" "," ",'Wind Calcs'!$O$77)</f>
        <v xml:space="preserve"> </v>
      </c>
      <c r="EU16" s="35" t="str">
        <f>IF($CM16=" "," ",'Wind Calcs'!$O$171)</f>
        <v xml:space="preserve"> </v>
      </c>
      <c r="EV16" s="373" t="str">
        <f>IF($CM16=" "," ",'Wind Calcs'!$O$88)</f>
        <v xml:space="preserve"> </v>
      </c>
      <c r="EW16" s="35" t="str">
        <f>IF($CM16=" "," ",'Wind Calcs'!$O$182)</f>
        <v xml:space="preserve"> </v>
      </c>
    </row>
    <row r="17" spans="2:153" x14ac:dyDescent="0.25">
      <c r="B17" s="34" t="str">
        <f t="shared" si="36"/>
        <v/>
      </c>
      <c r="C17" s="299">
        <v>12</v>
      </c>
      <c r="D17" s="7" t="str">
        <f t="shared" si="37"/>
        <v/>
      </c>
      <c r="E17" s="299" t="str">
        <f t="shared" si="38"/>
        <v/>
      </c>
      <c r="G17" s="302">
        <v>12</v>
      </c>
      <c r="H17" s="7" t="e">
        <f t="shared" si="39"/>
        <v>#VALUE!</v>
      </c>
      <c r="I17" s="299" t="e">
        <f t="shared" si="40"/>
        <v>#VALUE!</v>
      </c>
      <c r="J17" s="7"/>
      <c r="K17" s="302">
        <v>12</v>
      </c>
      <c r="L17" s="652" t="str">
        <f t="shared" si="41"/>
        <v/>
      </c>
      <c r="M17" s="556"/>
      <c r="O17" s="628"/>
      <c r="P17" s="559"/>
      <c r="Q17" t="s">
        <v>668</v>
      </c>
      <c r="R17" s="7" t="str">
        <f>L9</f>
        <v/>
      </c>
      <c r="S17" s="77" t="s">
        <v>657</v>
      </c>
      <c r="T17" s="43"/>
      <c r="U17" s="7" t="e">
        <f>R17/12</f>
        <v>#VALUE!</v>
      </c>
      <c r="V17" s="28" t="s">
        <v>658</v>
      </c>
      <c r="W17" s="27" t="s">
        <v>669</v>
      </c>
      <c r="X17" s="7">
        <f>COUNTIFS($I$6:$I$105, "&lt;="&amp;R16, $I$6:$I$105, "&gt;="&amp;R17)</f>
        <v>0</v>
      </c>
      <c r="Y17" s="28" t="s">
        <v>670</v>
      </c>
      <c r="Z17" s="27" t="s">
        <v>659</v>
      </c>
      <c r="AA17" s="7" t="e">
        <f>IF(O16="Exterior Drive Post", (U18-(TG/12)), U18)</f>
        <v>#VALUE!</v>
      </c>
      <c r="AB17" s="28" t="s">
        <v>658</v>
      </c>
      <c r="AC17" s="27" t="s">
        <v>671</v>
      </c>
      <c r="AD17" s="7" t="e">
        <f>U20</f>
        <v>#VALUE!</v>
      </c>
      <c r="AE17" s="28" t="s">
        <v>665</v>
      </c>
      <c r="AF17" s="27" t="s">
        <v>672</v>
      </c>
      <c r="AG17" s="317" t="e">
        <f>AA20</f>
        <v>#VALUE!</v>
      </c>
      <c r="AH17" s="28" t="s">
        <v>663</v>
      </c>
      <c r="AJ17" s="27" t="s">
        <v>659</v>
      </c>
      <c r="AK17" s="7" t="e">
        <f>IF(O16= "Exterior Drive Post", (U18)-((GL+GR)/12), U18)</f>
        <v>#VALUE!</v>
      </c>
      <c r="AL17" s="28" t="s">
        <v>658</v>
      </c>
      <c r="AM17" s="27" t="s">
        <v>659</v>
      </c>
      <c r="AN17" s="7" t="e">
        <f>AA17</f>
        <v>#VALUE!</v>
      </c>
      <c r="AO17" s="28" t="s">
        <v>658</v>
      </c>
      <c r="AP17" s="27" t="s">
        <v>672</v>
      </c>
      <c r="AQ17" s="323" t="e">
        <f>AN18</f>
        <v>#VALUE!</v>
      </c>
      <c r="AR17" s="28" t="s">
        <v>665</v>
      </c>
      <c r="AT17" s="27" t="s">
        <v>673</v>
      </c>
      <c r="AU17" s="210" t="e">
        <f>RSL*COS(Radians)</f>
        <v>#VALUE!</v>
      </c>
      <c r="AV17" s="28" t="s">
        <v>65</v>
      </c>
      <c r="AX17" s="628"/>
      <c r="AY17" s="559"/>
      <c r="AZ17" t="s">
        <v>668</v>
      </c>
      <c r="BA17" s="7" t="str">
        <f>L45</f>
        <v/>
      </c>
      <c r="BB17" s="77" t="s">
        <v>657</v>
      </c>
      <c r="BC17" s="43"/>
      <c r="BD17" s="7" t="e">
        <f>BA17/12</f>
        <v>#VALUE!</v>
      </c>
      <c r="BE17" s="28" t="s">
        <v>658</v>
      </c>
      <c r="BF17" s="27" t="s">
        <v>669</v>
      </c>
      <c r="BG17" s="7">
        <f>COUNTIFS($I$6:$I$105, "&lt;="&amp;BA16, $I$6:$I$105, "&gt;="&amp;BA17)</f>
        <v>0</v>
      </c>
      <c r="BH17" s="28" t="s">
        <v>670</v>
      </c>
      <c r="BI17" s="27" t="s">
        <v>659</v>
      </c>
      <c r="BJ17" s="7" t="e">
        <f>IF(AX16="Interior Drive Post", (BD18-(TG/12)), BD18)</f>
        <v>#VALUE!</v>
      </c>
      <c r="BK17" s="28" t="s">
        <v>658</v>
      </c>
      <c r="BL17" s="27" t="s">
        <v>671</v>
      </c>
      <c r="BM17" s="7" t="e">
        <f>BD20</f>
        <v>#VALUE!</v>
      </c>
      <c r="BN17" s="28" t="s">
        <v>665</v>
      </c>
      <c r="BO17" s="27" t="s">
        <v>672</v>
      </c>
      <c r="BP17" s="317" t="e">
        <f>BJ20</f>
        <v>#VALUE!</v>
      </c>
      <c r="BQ17" s="28" t="s">
        <v>663</v>
      </c>
      <c r="BS17" s="27" t="s">
        <v>659</v>
      </c>
      <c r="BT17" s="7" t="e">
        <f>IF(AX16= "Interior Drive Post", (BD18)-((GL+GR)/12), BD18)</f>
        <v>#VALUE!</v>
      </c>
      <c r="BU17" s="28" t="s">
        <v>658</v>
      </c>
      <c r="BV17" s="27" t="s">
        <v>659</v>
      </c>
      <c r="BW17" s="7" t="e">
        <f>BJ17</f>
        <v>#VALUE!</v>
      </c>
      <c r="BX17" s="28" t="s">
        <v>658</v>
      </c>
      <c r="BY17" s="27" t="s">
        <v>672</v>
      </c>
      <c r="BZ17" s="323" t="e">
        <f>BW18</f>
        <v>#VALUE!</v>
      </c>
      <c r="CA17" s="28" t="s">
        <v>665</v>
      </c>
      <c r="CC17" s="27" t="s">
        <v>673</v>
      </c>
      <c r="CD17" s="210" t="e">
        <f>RSL*COS(Radians)</f>
        <v>#VALUE!</v>
      </c>
      <c r="CE17" s="28" t="s">
        <v>65</v>
      </c>
      <c r="CG17" s="35">
        <v>13</v>
      </c>
      <c r="CH17" s="35" t="str">
        <f t="shared" si="0"/>
        <v xml:space="preserve"> </v>
      </c>
      <c r="CI17" s="35" t="str">
        <f t="shared" si="1"/>
        <v xml:space="preserve"> </v>
      </c>
      <c r="CJ17" s="35" t="str">
        <f t="shared" si="2"/>
        <v xml:space="preserve"> </v>
      </c>
      <c r="CK17" s="35" t="str">
        <f t="shared" si="3"/>
        <v xml:space="preserve"> </v>
      </c>
      <c r="CL17" s="35" t="str">
        <f t="shared" si="4"/>
        <v xml:space="preserve"> </v>
      </c>
      <c r="CM17" s="35" t="str">
        <f t="shared" si="5"/>
        <v xml:space="preserve"> </v>
      </c>
      <c r="CN17" s="342" t="str">
        <f>IFERROR(AG70," ")</f>
        <v xml:space="preserve"> </v>
      </c>
      <c r="CO17" s="342" t="str">
        <f>IFERROR(AU70," ")</f>
        <v xml:space="preserve"> </v>
      </c>
      <c r="CP17" s="342" t="str">
        <f>IFERROR(AQ70," ")</f>
        <v xml:space="preserve"> </v>
      </c>
      <c r="CQ17" s="342" t="str">
        <f>IFERROR(BP70," ")</f>
        <v xml:space="preserve"> </v>
      </c>
      <c r="CR17" s="342" t="str">
        <f>IFERROR(CD70," ")</f>
        <v xml:space="preserve"> </v>
      </c>
      <c r="CS17" s="342" t="str">
        <f>IFERROR(BZ70," ")</f>
        <v xml:space="preserve"> </v>
      </c>
      <c r="CT17" s="35" t="str">
        <f>IFERROR(IF(AND(controlling_code="ASCE 7-22",pf&gt;45),(CN17+0.15*CO17)*Inputs!$B$23,IF(AND(controlling_code="ASCE 7-22",pf&lt;45),CN17*Inputs!$B$23,IF(pf&lt;=30,CN17*Inputs!$B$23,(CN17+0.2*CO17)*Inputs!$B$23)))," ")</f>
        <v xml:space="preserve"> </v>
      </c>
      <c r="CU17" s="35" t="str">
        <f>IFERROR(IF(AND(controlling_code="ASCE 7-22",pf&gt;45),(CN17+0.15*CO17)*Inputs!$B$23,IF(AND(controlling_code="ASCE 7-22",pf&lt;45),CN17*Inputs!$B$23,IF(pf&lt;=30,CN17*Inputs!$B$23,(CN17+0.2*CO17)*Inputs!$B$23)))," ")</f>
        <v xml:space="preserve"> </v>
      </c>
      <c r="CV17" s="35" t="str">
        <f t="shared" si="6"/>
        <v xml:space="preserve"> </v>
      </c>
      <c r="CW17" s="35" t="str">
        <f t="shared" si="7"/>
        <v xml:space="preserve"> </v>
      </c>
      <c r="CX17" s="35" t="str">
        <f t="shared" si="8"/>
        <v xml:space="preserve"> </v>
      </c>
      <c r="CY17" s="35" t="str">
        <f t="shared" si="9"/>
        <v xml:space="preserve"> </v>
      </c>
      <c r="CZ17" s="35" t="str">
        <f t="shared" si="10"/>
        <v xml:space="preserve"> </v>
      </c>
      <c r="DA17" s="35" t="str">
        <f t="shared" si="11"/>
        <v xml:space="preserve"> </v>
      </c>
      <c r="DB17" s="35" t="str">
        <f t="shared" si="12"/>
        <v xml:space="preserve"> </v>
      </c>
      <c r="DC17" s="35" t="str">
        <f t="shared" si="13"/>
        <v xml:space="preserve"> </v>
      </c>
      <c r="DD17" s="35" t="str">
        <f t="shared" si="14"/>
        <v xml:space="preserve"> </v>
      </c>
      <c r="DE17" s="35" t="str">
        <f t="shared" si="15"/>
        <v xml:space="preserve"> </v>
      </c>
      <c r="DF17" s="35" t="str">
        <f t="shared" si="16"/>
        <v xml:space="preserve"> </v>
      </c>
      <c r="DG17" s="35" t="str">
        <f t="shared" si="17"/>
        <v xml:space="preserve"> </v>
      </c>
      <c r="DH17" s="35" t="str">
        <f t="shared" si="18"/>
        <v xml:space="preserve"> </v>
      </c>
      <c r="DI17" s="35" t="str">
        <f t="shared" si="19"/>
        <v xml:space="preserve"> </v>
      </c>
      <c r="DJ17" s="35" t="str">
        <f t="shared" si="20"/>
        <v xml:space="preserve"> </v>
      </c>
      <c r="DK17" s="35" t="str">
        <f t="shared" si="21"/>
        <v xml:space="preserve"> </v>
      </c>
      <c r="DL17" s="35" t="str">
        <f t="shared" si="22"/>
        <v xml:space="preserve"> </v>
      </c>
      <c r="DM17" s="35" t="str">
        <f t="shared" si="23"/>
        <v xml:space="preserve"> </v>
      </c>
      <c r="DN17" s="35" t="str">
        <f t="shared" si="24"/>
        <v xml:space="preserve"> </v>
      </c>
      <c r="DO17" s="35" t="str">
        <f t="shared" si="25"/>
        <v xml:space="preserve"> </v>
      </c>
      <c r="DP17" s="35" t="str">
        <f t="shared" si="26"/>
        <v xml:space="preserve"> </v>
      </c>
      <c r="DQ17" s="35" t="str">
        <f t="shared" si="27"/>
        <v xml:space="preserve"> </v>
      </c>
      <c r="DR17" s="35" t="str">
        <f t="shared" si="28"/>
        <v xml:space="preserve"> </v>
      </c>
      <c r="DS17" s="35" t="str">
        <f t="shared" si="29"/>
        <v xml:space="preserve"> </v>
      </c>
      <c r="DT17" s="35" t="str">
        <f t="shared" si="30"/>
        <v xml:space="preserve"> </v>
      </c>
      <c r="DU17" s="35" t="str">
        <f t="shared" si="31"/>
        <v xml:space="preserve"> </v>
      </c>
      <c r="DV17" s="35" t="str">
        <f t="shared" si="32"/>
        <v xml:space="preserve"> </v>
      </c>
      <c r="DW17" s="35" t="str">
        <f t="shared" si="33"/>
        <v xml:space="preserve"> </v>
      </c>
      <c r="DX17" s="35" t="str">
        <f t="shared" si="34"/>
        <v xml:space="preserve"> </v>
      </c>
      <c r="DY17" s="35" t="str">
        <f t="shared" si="35"/>
        <v xml:space="preserve"> </v>
      </c>
      <c r="DZ17" s="35" t="str">
        <f>IF($CH17=" "," ",'Wind Calcs'!$P$77)</f>
        <v xml:space="preserve"> </v>
      </c>
      <c r="EA17" s="35" t="str">
        <f>IF($CH17=" "," ",'Wind Calcs'!$P$171)</f>
        <v xml:space="preserve"> </v>
      </c>
      <c r="EB17" s="35" t="str">
        <f>IF($CH17=" "," ",'Wind Calcs'!$P$88)</f>
        <v xml:space="preserve"> </v>
      </c>
      <c r="EC17" s="35" t="str">
        <f>IF($CH17=" "," ",'Wind Calcs'!$P$182)</f>
        <v xml:space="preserve"> </v>
      </c>
      <c r="ED17" s="35" t="str">
        <f>IF($CI17=" "," ",'Wind Calcs'!$P$78)</f>
        <v xml:space="preserve"> </v>
      </c>
      <c r="EE17" s="35" t="str">
        <f>IF($CI17=" "," ",'Wind Calcs'!$P$172)</f>
        <v xml:space="preserve"> </v>
      </c>
      <c r="EF17" s="35" t="str">
        <f>IF($CI17=" "," ",'Wind Calcs'!$P$94)</f>
        <v xml:space="preserve"> </v>
      </c>
      <c r="EG17" s="35" t="str">
        <f>IF($CI17=" "," ",'Wind Calcs'!$P$188)</f>
        <v xml:space="preserve"> </v>
      </c>
      <c r="EH17" s="35" t="str">
        <f>IF($CJ17=" "," ",'Wind Calcs'!$P$79)</f>
        <v xml:space="preserve"> </v>
      </c>
      <c r="EI17" s="35" t="str">
        <f>IF($CJ17=" "," ",'Wind Calcs'!$P$173)</f>
        <v xml:space="preserve"> </v>
      </c>
      <c r="EJ17" s="35" t="str">
        <f>IF($CJ17=" "," ",'Wind Calcs'!$P$100)</f>
        <v xml:space="preserve"> </v>
      </c>
      <c r="EK17" s="35" t="str">
        <f>IF($CJ17=" "," ",'Wind Calcs'!$P$194)</f>
        <v xml:space="preserve"> </v>
      </c>
      <c r="EL17" s="35" t="str">
        <f>IF($CK17=" "," ",'Wind Calcs'!$P$80)</f>
        <v xml:space="preserve"> </v>
      </c>
      <c r="EM17" s="35" t="str">
        <f>IF($CK17=" "," ",'Wind Calcs'!$P$174)</f>
        <v xml:space="preserve"> </v>
      </c>
      <c r="EN17" s="35" t="str">
        <f>IF($CK17=" "," ",'Wind Calcs'!$P$106)</f>
        <v xml:space="preserve"> </v>
      </c>
      <c r="EO17" s="35" t="str">
        <f>IF($CK17=" "," ",'Wind Calcs'!$P$200)</f>
        <v xml:space="preserve"> </v>
      </c>
      <c r="EP17" s="35" t="str">
        <f>IF($CL17=" "," ",'Wind Calcs'!$P$81)</f>
        <v xml:space="preserve"> </v>
      </c>
      <c r="EQ17" s="35" t="str">
        <f>IF($CL17=" "," ",'Wind Calcs'!$P$175)</f>
        <v xml:space="preserve"> </v>
      </c>
      <c r="ER17" s="35" t="str">
        <f>IF($CL17=" "," ",'Wind Calcs'!$P$112)</f>
        <v xml:space="preserve"> </v>
      </c>
      <c r="ES17" s="35" t="str">
        <f>IF($CL17=" "," ",'Wind Calcs'!$P$206)</f>
        <v xml:space="preserve"> </v>
      </c>
      <c r="ET17" s="35" t="str">
        <f>IF($CM17=" "," ",'Wind Calcs'!$P$77)</f>
        <v xml:space="preserve"> </v>
      </c>
      <c r="EU17" s="35" t="str">
        <f>IF($CM17=" "," ",'Wind Calcs'!$P$171)</f>
        <v xml:space="preserve"> </v>
      </c>
      <c r="EV17" s="373" t="str">
        <f>IF($CM17=" "," ",'Wind Calcs'!$P$88)</f>
        <v xml:space="preserve"> </v>
      </c>
      <c r="EW17" s="35" t="str">
        <f>IF($CM17=" "," ",'Wind Calcs'!$P$182)</f>
        <v xml:space="preserve"> </v>
      </c>
    </row>
    <row r="18" spans="2:153" x14ac:dyDescent="0.25">
      <c r="B18" s="34" t="str">
        <f t="shared" si="36"/>
        <v/>
      </c>
      <c r="C18" s="299">
        <v>13</v>
      </c>
      <c r="D18" s="7" t="str">
        <f t="shared" si="37"/>
        <v/>
      </c>
      <c r="E18" s="299" t="str">
        <f t="shared" si="38"/>
        <v/>
      </c>
      <c r="G18" s="302">
        <v>13</v>
      </c>
      <c r="H18" s="7" t="e">
        <f t="shared" si="39"/>
        <v>#VALUE!</v>
      </c>
      <c r="I18" s="299" t="e">
        <f t="shared" si="40"/>
        <v>#VALUE!</v>
      </c>
      <c r="J18" s="7"/>
      <c r="K18" s="302">
        <v>13</v>
      </c>
      <c r="L18" s="652" t="str">
        <f t="shared" si="41"/>
        <v/>
      </c>
      <c r="M18" s="556"/>
      <c r="O18" s="628"/>
      <c r="P18" s="559"/>
      <c r="Q18" t="s">
        <v>659</v>
      </c>
      <c r="R18" s="7" t="e">
        <f>R16-R17</f>
        <v>#VALUE!</v>
      </c>
      <c r="S18" s="77" t="s">
        <v>657</v>
      </c>
      <c r="T18" s="43"/>
      <c r="U18" s="7" t="e">
        <f>R18/12</f>
        <v>#VALUE!</v>
      </c>
      <c r="V18" s="28" t="s">
        <v>658</v>
      </c>
      <c r="W18" s="27" t="s">
        <v>674</v>
      </c>
      <c r="X18" s="7" t="e">
        <f>X17*X16</f>
        <v>#VALUE!</v>
      </c>
      <c r="Y18" s="28" t="s">
        <v>657</v>
      </c>
      <c r="Z18" s="27"/>
      <c r="AA18" s="7"/>
      <c r="AB18" s="28"/>
      <c r="AC18" s="27"/>
      <c r="AD18" s="7"/>
      <c r="AE18" s="28"/>
      <c r="AF18" s="27" t="s">
        <v>653</v>
      </c>
      <c r="AG18" s="319" t="e">
        <f>AD20</f>
        <v>#VALUE!</v>
      </c>
      <c r="AH18" s="28" t="s">
        <v>663</v>
      </c>
      <c r="AJ18" s="27" t="s">
        <v>671</v>
      </c>
      <c r="AK18" s="321" t="e">
        <f>AK16*AK17</f>
        <v>#VALUE!</v>
      </c>
      <c r="AL18" s="28" t="s">
        <v>665</v>
      </c>
      <c r="AM18" s="27" t="s">
        <v>671</v>
      </c>
      <c r="AN18" s="323" t="e">
        <f>AN17*AN16</f>
        <v>#VALUE!</v>
      </c>
      <c r="AO18" s="28" t="s">
        <v>665</v>
      </c>
      <c r="AP18" s="27" t="s">
        <v>654</v>
      </c>
      <c r="AQ18" s="7" t="e">
        <f>SUM(AQ16:AQ17)</f>
        <v>#VALUE!</v>
      </c>
      <c r="AR18" s="28" t="s">
        <v>665</v>
      </c>
      <c r="AT18" s="27" t="s">
        <v>671</v>
      </c>
      <c r="AU18" s="210" t="e">
        <f>U20</f>
        <v>#VALUE!</v>
      </c>
      <c r="AV18" s="28" t="s">
        <v>681</v>
      </c>
      <c r="AX18" s="628"/>
      <c r="AY18" s="559"/>
      <c r="AZ18" t="s">
        <v>659</v>
      </c>
      <c r="BA18" s="7" t="e">
        <f>BA16-BA17</f>
        <v>#VALUE!</v>
      </c>
      <c r="BB18" s="77" t="s">
        <v>657</v>
      </c>
      <c r="BC18" s="43"/>
      <c r="BD18" s="7" t="e">
        <f>BA18/12</f>
        <v>#VALUE!</v>
      </c>
      <c r="BE18" s="28" t="s">
        <v>658</v>
      </c>
      <c r="BF18" s="27" t="s">
        <v>674</v>
      </c>
      <c r="BG18" s="7" t="e">
        <f>BG17*BG16</f>
        <v>#VALUE!</v>
      </c>
      <c r="BH18" s="28" t="s">
        <v>657</v>
      </c>
      <c r="BI18" s="27"/>
      <c r="BJ18" s="7"/>
      <c r="BK18" s="28"/>
      <c r="BL18" s="27"/>
      <c r="BM18" s="7"/>
      <c r="BN18" s="28"/>
      <c r="BO18" s="27" t="s">
        <v>653</v>
      </c>
      <c r="BP18" s="319" t="e">
        <f>BM20</f>
        <v>#VALUE!</v>
      </c>
      <c r="BQ18" s="28" t="s">
        <v>663</v>
      </c>
      <c r="BS18" s="27" t="s">
        <v>671</v>
      </c>
      <c r="BT18" s="321" t="e">
        <f>BT16*BT17</f>
        <v>#VALUE!</v>
      </c>
      <c r="BU18" s="28" t="s">
        <v>665</v>
      </c>
      <c r="BV18" s="27" t="s">
        <v>671</v>
      </c>
      <c r="BW18" s="323" t="e">
        <f>BW17*BW16</f>
        <v>#VALUE!</v>
      </c>
      <c r="BX18" s="28" t="s">
        <v>665</v>
      </c>
      <c r="BY18" s="27" t="s">
        <v>654</v>
      </c>
      <c r="BZ18" s="7" t="e">
        <f>SUM(BZ16:BZ17)</f>
        <v>#VALUE!</v>
      </c>
      <c r="CA18" s="28" t="s">
        <v>665</v>
      </c>
      <c r="CC18" s="27" t="s">
        <v>671</v>
      </c>
      <c r="CD18" s="210" t="e">
        <f>BD20</f>
        <v>#VALUE!</v>
      </c>
      <c r="CE18" s="28" t="s">
        <v>665</v>
      </c>
      <c r="CG18" s="35">
        <v>14</v>
      </c>
      <c r="CH18" s="35" t="str">
        <f t="shared" si="0"/>
        <v xml:space="preserve"> </v>
      </c>
      <c r="CI18" s="35" t="str">
        <f t="shared" si="1"/>
        <v xml:space="preserve"> </v>
      </c>
      <c r="CJ18" s="35" t="str">
        <f t="shared" si="2"/>
        <v xml:space="preserve"> </v>
      </c>
      <c r="CK18" s="35" t="str">
        <f t="shared" si="3"/>
        <v xml:space="preserve"> </v>
      </c>
      <c r="CL18" s="35" t="str">
        <f t="shared" si="4"/>
        <v xml:space="preserve"> </v>
      </c>
      <c r="CM18" s="35" t="str">
        <f t="shared" si="5"/>
        <v xml:space="preserve"> </v>
      </c>
      <c r="CN18" s="342" t="str">
        <f>IFERROR(AG75," ")</f>
        <v xml:space="preserve"> </v>
      </c>
      <c r="CO18" s="342" t="str">
        <f>IFERROR(AU75," ")</f>
        <v xml:space="preserve"> </v>
      </c>
      <c r="CP18" s="342" t="str">
        <f>IFERROR(AQ75," ")</f>
        <v xml:space="preserve"> </v>
      </c>
      <c r="CQ18" s="342" t="str">
        <f>IFERROR(BP75," ")</f>
        <v xml:space="preserve"> </v>
      </c>
      <c r="CR18" s="342" t="str">
        <f>IFERROR(CD75," ")</f>
        <v xml:space="preserve"> </v>
      </c>
      <c r="CS18" s="342" t="str">
        <f>IFERROR(BZ75," ")</f>
        <v xml:space="preserve"> </v>
      </c>
      <c r="CT18" s="35" t="str">
        <f>IFERROR(IF(AND(controlling_code="ASCE 7-22",pf&gt;45),(CN18+0.15*CO18)*Inputs!$B$23,IF(AND(controlling_code="ASCE 7-22",pf&lt;45),CN18*Inputs!$B$23,IF(pf&lt;=30,CN18*Inputs!$B$23,(CN18+0.2*CO18)*Inputs!$B$23)))," ")</f>
        <v xml:space="preserve"> </v>
      </c>
      <c r="CU18" s="35" t="str">
        <f>IFERROR(IF(AND(controlling_code="ASCE 7-22",pf&gt;45),(CN18+0.15*CO18)*Inputs!$B$23,IF(AND(controlling_code="ASCE 7-22",pf&lt;45),CN18*Inputs!$B$23,IF(pf&lt;=30,CN18*Inputs!$B$23,(CN18+0.2*CO18)*Inputs!$B$23)))," ")</f>
        <v xml:space="preserve"> </v>
      </c>
      <c r="CV18" s="35" t="str">
        <f t="shared" si="6"/>
        <v xml:space="preserve"> </v>
      </c>
      <c r="CW18" s="35" t="str">
        <f t="shared" si="7"/>
        <v xml:space="preserve"> </v>
      </c>
      <c r="CX18" s="35" t="str">
        <f t="shared" si="8"/>
        <v xml:space="preserve"> </v>
      </c>
      <c r="CY18" s="35" t="str">
        <f t="shared" si="9"/>
        <v xml:space="preserve"> </v>
      </c>
      <c r="CZ18" s="35" t="str">
        <f t="shared" si="10"/>
        <v xml:space="preserve"> </v>
      </c>
      <c r="DA18" s="35" t="str">
        <f t="shared" si="11"/>
        <v xml:space="preserve"> </v>
      </c>
      <c r="DB18" s="35" t="str">
        <f t="shared" si="12"/>
        <v xml:space="preserve"> </v>
      </c>
      <c r="DC18" s="35" t="str">
        <f t="shared" si="13"/>
        <v xml:space="preserve"> </v>
      </c>
      <c r="DD18" s="35" t="str">
        <f t="shared" si="14"/>
        <v xml:space="preserve"> </v>
      </c>
      <c r="DE18" s="35" t="str">
        <f t="shared" si="15"/>
        <v xml:space="preserve"> </v>
      </c>
      <c r="DF18" s="35" t="str">
        <f t="shared" si="16"/>
        <v xml:space="preserve"> </v>
      </c>
      <c r="DG18" s="35" t="str">
        <f t="shared" si="17"/>
        <v xml:space="preserve"> </v>
      </c>
      <c r="DH18" s="35" t="str">
        <f t="shared" si="18"/>
        <v xml:space="preserve"> </v>
      </c>
      <c r="DI18" s="35" t="str">
        <f t="shared" si="19"/>
        <v xml:space="preserve"> </v>
      </c>
      <c r="DJ18" s="35" t="str">
        <f t="shared" si="20"/>
        <v xml:space="preserve"> </v>
      </c>
      <c r="DK18" s="35" t="str">
        <f t="shared" si="21"/>
        <v xml:space="preserve"> </v>
      </c>
      <c r="DL18" s="35" t="str">
        <f t="shared" si="22"/>
        <v xml:space="preserve"> </v>
      </c>
      <c r="DM18" s="35" t="str">
        <f t="shared" si="23"/>
        <v xml:space="preserve"> </v>
      </c>
      <c r="DN18" s="35" t="str">
        <f t="shared" si="24"/>
        <v xml:space="preserve"> </v>
      </c>
      <c r="DO18" s="35" t="str">
        <f t="shared" si="25"/>
        <v xml:space="preserve"> </v>
      </c>
      <c r="DP18" s="35" t="str">
        <f t="shared" si="26"/>
        <v xml:space="preserve"> </v>
      </c>
      <c r="DQ18" s="35" t="str">
        <f t="shared" si="27"/>
        <v xml:space="preserve"> </v>
      </c>
      <c r="DR18" s="35" t="str">
        <f t="shared" si="28"/>
        <v xml:space="preserve"> </v>
      </c>
      <c r="DS18" s="35" t="str">
        <f t="shared" si="29"/>
        <v xml:space="preserve"> </v>
      </c>
      <c r="DT18" s="35" t="str">
        <f t="shared" si="30"/>
        <v xml:space="preserve"> </v>
      </c>
      <c r="DU18" s="35" t="str">
        <f t="shared" si="31"/>
        <v xml:space="preserve"> </v>
      </c>
      <c r="DV18" s="35" t="str">
        <f t="shared" si="32"/>
        <v xml:space="preserve"> </v>
      </c>
      <c r="DW18" s="35" t="str">
        <f t="shared" si="33"/>
        <v xml:space="preserve"> </v>
      </c>
      <c r="DX18" s="35" t="str">
        <f t="shared" si="34"/>
        <v xml:space="preserve"> </v>
      </c>
      <c r="DY18" s="35" t="str">
        <f t="shared" si="35"/>
        <v xml:space="preserve"> </v>
      </c>
      <c r="DZ18" s="35" t="str">
        <f>IF($CH18=" "," ",'Wind Calcs'!$Q$77)</f>
        <v xml:space="preserve"> </v>
      </c>
      <c r="EA18" s="35" t="str">
        <f>IF($CH18=" "," ",'Wind Calcs'!$Q$171)</f>
        <v xml:space="preserve"> </v>
      </c>
      <c r="EB18" s="35" t="str">
        <f>IF($CH18=" "," ",'Wind Calcs'!$Q$88)</f>
        <v xml:space="preserve"> </v>
      </c>
      <c r="EC18" s="35" t="str">
        <f>IF($CH18=" "," ",'Wind Calcs'!$Q$182)</f>
        <v xml:space="preserve"> </v>
      </c>
      <c r="ED18" s="35" t="str">
        <f>IF($CI18=" "," ",'Wind Calcs'!$Q$78)</f>
        <v xml:space="preserve"> </v>
      </c>
      <c r="EE18" s="35" t="str">
        <f>IF($CI18=" "," ",'Wind Calcs'!$Q$172)</f>
        <v xml:space="preserve"> </v>
      </c>
      <c r="EF18" s="35" t="str">
        <f>IF($CI18=" "," ",'Wind Calcs'!$Q$94)</f>
        <v xml:space="preserve"> </v>
      </c>
      <c r="EG18" s="35" t="str">
        <f>IF($CI18=" "," ",'Wind Calcs'!$Q$188)</f>
        <v xml:space="preserve"> </v>
      </c>
      <c r="EH18" s="35" t="str">
        <f>IF($CJ18=" "," ",'Wind Calcs'!$Q$79)</f>
        <v xml:space="preserve"> </v>
      </c>
      <c r="EI18" s="35" t="str">
        <f>IF($CJ18=" "," ",'Wind Calcs'!$Q$173)</f>
        <v xml:space="preserve"> </v>
      </c>
      <c r="EJ18" s="35" t="str">
        <f>IF($CJ18=" "," ",'Wind Calcs'!$Q$100)</f>
        <v xml:space="preserve"> </v>
      </c>
      <c r="EK18" s="35" t="str">
        <f>IF($CJ18=" "," ",'Wind Calcs'!$Q$194)</f>
        <v xml:space="preserve"> </v>
      </c>
      <c r="EL18" s="35" t="str">
        <f>IF($CK18=" "," ",'Wind Calcs'!$Q$80)</f>
        <v xml:space="preserve"> </v>
      </c>
      <c r="EM18" s="35" t="str">
        <f>IF($CK18=" "," ",'Wind Calcs'!$Q$174)</f>
        <v xml:space="preserve"> </v>
      </c>
      <c r="EN18" s="35" t="str">
        <f>IF($CK18=" "," ",'Wind Calcs'!$Q$106)</f>
        <v xml:space="preserve"> </v>
      </c>
      <c r="EO18" s="35" t="str">
        <f>IF($CK18=" "," ",'Wind Calcs'!$Q$200)</f>
        <v xml:space="preserve"> </v>
      </c>
      <c r="EP18" s="35" t="str">
        <f>IF($CL18=" "," ",'Wind Calcs'!$Q$81)</f>
        <v xml:space="preserve"> </v>
      </c>
      <c r="EQ18" s="35" t="str">
        <f>IF($CL18=" "," ",'Wind Calcs'!$Q$175)</f>
        <v xml:space="preserve"> </v>
      </c>
      <c r="ER18" s="35" t="str">
        <f>IF($CL18=" "," ",'Wind Calcs'!$Q$112)</f>
        <v xml:space="preserve"> </v>
      </c>
      <c r="ES18" s="35" t="str">
        <f>IF($CL18=" "," ",'Wind Calcs'!$Q$206)</f>
        <v xml:space="preserve"> </v>
      </c>
      <c r="ET18" s="35" t="str">
        <f>IF($CM18=" "," ",'Wind Calcs'!$Q$77)</f>
        <v xml:space="preserve"> </v>
      </c>
      <c r="EU18" s="35" t="str">
        <f>IF($CM18=" "," ",'Wind Calcs'!$Q$171)</f>
        <v xml:space="preserve"> </v>
      </c>
      <c r="EV18" s="373" t="str">
        <f>IF($CM18=" "," ",'Wind Calcs'!$Q$88)</f>
        <v xml:space="preserve"> </v>
      </c>
      <c r="EW18" s="35" t="str">
        <f>IF($CM18=" "," ",'Wind Calcs'!$Q$182)</f>
        <v xml:space="preserve"> </v>
      </c>
    </row>
    <row r="19" spans="2:153" x14ac:dyDescent="0.25">
      <c r="B19" s="34" t="str">
        <f t="shared" si="36"/>
        <v/>
      </c>
      <c r="C19" s="299">
        <v>14</v>
      </c>
      <c r="D19" s="7" t="str">
        <f t="shared" si="37"/>
        <v/>
      </c>
      <c r="E19" s="299" t="str">
        <f t="shared" si="38"/>
        <v/>
      </c>
      <c r="G19" s="302">
        <v>14</v>
      </c>
      <c r="H19" s="7" t="e">
        <f t="shared" si="39"/>
        <v>#VALUE!</v>
      </c>
      <c r="I19" s="299" t="e">
        <f t="shared" si="40"/>
        <v>#VALUE!</v>
      </c>
      <c r="J19" s="7"/>
      <c r="K19" s="302">
        <v>14</v>
      </c>
      <c r="L19" s="652" t="str">
        <f t="shared" si="41"/>
        <v/>
      </c>
      <c r="M19" s="556"/>
      <c r="O19" s="628"/>
      <c r="P19" s="559"/>
      <c r="Q19" t="s">
        <v>675</v>
      </c>
      <c r="R19" s="7" t="e">
        <f>ROUND(ML, 3)</f>
        <v>#VALUE!</v>
      </c>
      <c r="S19" s="77" t="s">
        <v>657</v>
      </c>
      <c r="T19" s="43"/>
      <c r="U19" s="7" t="e">
        <f>R19/12</f>
        <v>#VALUE!</v>
      </c>
      <c r="V19" s="28" t="s">
        <v>658</v>
      </c>
      <c r="W19" s="27" t="s">
        <v>660</v>
      </c>
      <c r="X19" s="7">
        <f>VLOOKUP(VS,'List Data'!$A$8:$B$12, 2, FALSE)</f>
        <v>2.1419999999999999</v>
      </c>
      <c r="Y19" s="28" t="s">
        <v>661</v>
      </c>
      <c r="Z19" s="27"/>
      <c r="AA19" s="7"/>
      <c r="AB19" s="28"/>
      <c r="AC19" s="27"/>
      <c r="AD19" s="7"/>
      <c r="AE19" s="28"/>
      <c r="AF19" s="27"/>
      <c r="AH19" s="28"/>
      <c r="AJ19" s="27"/>
      <c r="AK19" s="7"/>
      <c r="AL19" s="28"/>
      <c r="AM19" s="27"/>
      <c r="AO19" s="28"/>
      <c r="AP19" s="27"/>
      <c r="AQ19" s="7"/>
      <c r="AR19" s="28"/>
      <c r="AT19" s="27"/>
      <c r="AU19" s="210"/>
      <c r="AV19" s="28"/>
      <c r="AX19" s="628"/>
      <c r="AY19" s="559"/>
      <c r="AZ19" t="s">
        <v>675</v>
      </c>
      <c r="BA19" s="7" t="e">
        <f>ROUND(ML, 3)</f>
        <v>#VALUE!</v>
      </c>
      <c r="BB19" s="77" t="s">
        <v>657</v>
      </c>
      <c r="BC19" s="43"/>
      <c r="BD19" s="7" t="e">
        <f>BA19/12</f>
        <v>#VALUE!</v>
      </c>
      <c r="BE19" s="28" t="s">
        <v>658</v>
      </c>
      <c r="BF19" s="27" t="s">
        <v>660</v>
      </c>
      <c r="BG19" s="7">
        <f>VLOOKUP(VS,'List Data'!$A$8:$B$12, 2, FALSE)</f>
        <v>2.1419999999999999</v>
      </c>
      <c r="BH19" s="28" t="s">
        <v>661</v>
      </c>
      <c r="BI19" s="27"/>
      <c r="BJ19" s="7"/>
      <c r="BK19" s="28"/>
      <c r="BL19" s="27"/>
      <c r="BM19" s="7"/>
      <c r="BN19" s="28"/>
      <c r="BO19" s="27"/>
      <c r="BQ19" s="28"/>
      <c r="BS19" s="27"/>
      <c r="BT19" s="7"/>
      <c r="BU19" s="28"/>
      <c r="BV19" s="27"/>
      <c r="BX19" s="28"/>
      <c r="BY19" s="27"/>
      <c r="BZ19" s="7"/>
      <c r="CA19" s="28"/>
      <c r="CC19" s="27"/>
      <c r="CD19" s="210"/>
      <c r="CE19" s="28"/>
      <c r="CG19" s="35">
        <v>15</v>
      </c>
      <c r="CH19" s="35" t="str">
        <f t="shared" si="0"/>
        <v xml:space="preserve"> </v>
      </c>
      <c r="CI19" s="35" t="str">
        <f t="shared" si="1"/>
        <v xml:space="preserve"> </v>
      </c>
      <c r="CJ19" s="35" t="str">
        <f t="shared" si="2"/>
        <v xml:space="preserve"> </v>
      </c>
      <c r="CK19" s="35" t="str">
        <f t="shared" si="3"/>
        <v xml:space="preserve"> </v>
      </c>
      <c r="CL19" s="35" t="str">
        <f t="shared" si="4"/>
        <v xml:space="preserve"> </v>
      </c>
      <c r="CM19" s="35" t="str">
        <f t="shared" si="5"/>
        <v xml:space="preserve"> </v>
      </c>
      <c r="CN19" s="342" t="str">
        <f>IFERROR(AG80," ")</f>
        <v xml:space="preserve"> </v>
      </c>
      <c r="CO19" s="342" t="str">
        <f>IFERROR(AU80," ")</f>
        <v xml:space="preserve"> </v>
      </c>
      <c r="CP19" s="342" t="str">
        <f>IFERROR(AQ80," ")</f>
        <v xml:space="preserve"> </v>
      </c>
      <c r="CQ19" s="342" t="str">
        <f>IFERROR(BP80," ")</f>
        <v xml:space="preserve"> </v>
      </c>
      <c r="CR19" s="342" t="str">
        <f>IFERROR(CD80," ")</f>
        <v xml:space="preserve"> </v>
      </c>
      <c r="CS19" s="342" t="str">
        <f>IFERROR(BZ80," ")</f>
        <v xml:space="preserve"> </v>
      </c>
      <c r="CT19" s="35" t="str">
        <f>IFERROR(IF(AND(controlling_code="ASCE 7-22",pf&gt;45),(CN19+0.15*CO19)*Inputs!$B$23,IF(AND(controlling_code="ASCE 7-22",pf&lt;45),CN19*Inputs!$B$23,IF(pf&lt;=30,CN19*Inputs!$B$23,(CN19+0.2*CO19)*Inputs!$B$23)))," ")</f>
        <v xml:space="preserve"> </v>
      </c>
      <c r="CU19" s="35" t="str">
        <f>IFERROR(IF(AND(controlling_code="ASCE 7-22",pf&gt;45),(CN19+0.15*CO19)*Inputs!$B$23,IF(AND(controlling_code="ASCE 7-22",pf&lt;45),CN19*Inputs!$B$23,IF(pf&lt;=30,CN19*Inputs!$B$23,(CN19+0.2*CO19)*Inputs!$B$23)))," ")</f>
        <v xml:space="preserve"> </v>
      </c>
      <c r="CV19" s="35" t="str">
        <f t="shared" si="6"/>
        <v xml:space="preserve"> </v>
      </c>
      <c r="CW19" s="35" t="str">
        <f t="shared" si="7"/>
        <v xml:space="preserve"> </v>
      </c>
      <c r="CX19" s="35" t="str">
        <f t="shared" si="8"/>
        <v xml:space="preserve"> </v>
      </c>
      <c r="CY19" s="35" t="str">
        <f t="shared" si="9"/>
        <v xml:space="preserve"> </v>
      </c>
      <c r="CZ19" s="35" t="str">
        <f t="shared" si="10"/>
        <v xml:space="preserve"> </v>
      </c>
      <c r="DA19" s="35" t="str">
        <f t="shared" si="11"/>
        <v xml:space="preserve"> </v>
      </c>
      <c r="DB19" s="35" t="str">
        <f t="shared" si="12"/>
        <v xml:space="preserve"> </v>
      </c>
      <c r="DC19" s="35" t="str">
        <f t="shared" si="13"/>
        <v xml:space="preserve"> </v>
      </c>
      <c r="DD19" s="35" t="str">
        <f t="shared" si="14"/>
        <v xml:space="preserve"> </v>
      </c>
      <c r="DE19" s="35" t="str">
        <f t="shared" si="15"/>
        <v xml:space="preserve"> </v>
      </c>
      <c r="DF19" s="35" t="str">
        <f t="shared" si="16"/>
        <v xml:space="preserve"> </v>
      </c>
      <c r="DG19" s="35" t="str">
        <f t="shared" si="17"/>
        <v xml:space="preserve"> </v>
      </c>
      <c r="DH19" s="35" t="str">
        <f t="shared" si="18"/>
        <v xml:space="preserve"> </v>
      </c>
      <c r="DI19" s="35" t="str">
        <f t="shared" si="19"/>
        <v xml:space="preserve"> </v>
      </c>
      <c r="DJ19" s="35" t="str">
        <f t="shared" si="20"/>
        <v xml:space="preserve"> </v>
      </c>
      <c r="DK19" s="35" t="str">
        <f t="shared" si="21"/>
        <v xml:space="preserve"> </v>
      </c>
      <c r="DL19" s="35" t="str">
        <f t="shared" si="22"/>
        <v xml:space="preserve"> </v>
      </c>
      <c r="DM19" s="35" t="str">
        <f t="shared" si="23"/>
        <v xml:space="preserve"> </v>
      </c>
      <c r="DN19" s="35" t="str">
        <f t="shared" si="24"/>
        <v xml:space="preserve"> </v>
      </c>
      <c r="DO19" s="35" t="str">
        <f t="shared" si="25"/>
        <v xml:space="preserve"> </v>
      </c>
      <c r="DP19" s="35" t="str">
        <f t="shared" si="26"/>
        <v xml:space="preserve"> </v>
      </c>
      <c r="DQ19" s="35" t="str">
        <f t="shared" si="27"/>
        <v xml:space="preserve"> </v>
      </c>
      <c r="DR19" s="35" t="str">
        <f t="shared" si="28"/>
        <v xml:space="preserve"> </v>
      </c>
      <c r="DS19" s="35" t="str">
        <f t="shared" si="29"/>
        <v xml:space="preserve"> </v>
      </c>
      <c r="DT19" s="35" t="str">
        <f t="shared" si="30"/>
        <v xml:space="preserve"> </v>
      </c>
      <c r="DU19" s="35" t="str">
        <f t="shared" si="31"/>
        <v xml:space="preserve"> </v>
      </c>
      <c r="DV19" s="35" t="str">
        <f t="shared" si="32"/>
        <v xml:space="preserve"> </v>
      </c>
      <c r="DW19" s="35" t="str">
        <f t="shared" si="33"/>
        <v xml:space="preserve"> </v>
      </c>
      <c r="DX19" s="35" t="str">
        <f t="shared" si="34"/>
        <v xml:space="preserve"> </v>
      </c>
      <c r="DY19" s="35" t="str">
        <f t="shared" si="35"/>
        <v xml:space="preserve"> </v>
      </c>
      <c r="DZ19" s="35" t="str">
        <f>IF($CH19=" "," ",'Wind Calcs'!$R$77)</f>
        <v xml:space="preserve"> </v>
      </c>
      <c r="EA19" s="35" t="str">
        <f>IF($CH19=" "," ",'Wind Calcs'!$R$171)</f>
        <v xml:space="preserve"> </v>
      </c>
      <c r="EB19" s="35" t="str">
        <f>IF($CH19=" "," ",'Wind Calcs'!$R$88)</f>
        <v xml:space="preserve"> </v>
      </c>
      <c r="EC19" s="35" t="str">
        <f>IF($CH19=" "," ",'Wind Calcs'!$R$182)</f>
        <v xml:space="preserve"> </v>
      </c>
      <c r="ED19" s="35" t="str">
        <f>IF($CI19=" "," ",'Wind Calcs'!$R$78)</f>
        <v xml:space="preserve"> </v>
      </c>
      <c r="EE19" s="35" t="str">
        <f>IF($CI19=" "," ",'Wind Calcs'!$R$172)</f>
        <v xml:space="preserve"> </v>
      </c>
      <c r="EF19" s="35" t="str">
        <f>IF($CI19=" "," ",'Wind Calcs'!$R$94)</f>
        <v xml:space="preserve"> </v>
      </c>
      <c r="EG19" s="35" t="str">
        <f>IF($CI19=" "," ",'Wind Calcs'!$R$188)</f>
        <v xml:space="preserve"> </v>
      </c>
      <c r="EH19" s="35" t="str">
        <f>IF($CJ19=" "," ",'Wind Calcs'!$R$79)</f>
        <v xml:space="preserve"> </v>
      </c>
      <c r="EI19" s="35" t="str">
        <f>IF($CJ19=" "," ",'Wind Calcs'!$R$173)</f>
        <v xml:space="preserve"> </v>
      </c>
      <c r="EJ19" s="35" t="str">
        <f>IF($CJ19=" "," ",'Wind Calcs'!$R$100)</f>
        <v xml:space="preserve"> </v>
      </c>
      <c r="EK19" s="35" t="str">
        <f>IF($CJ19=" "," ",'Wind Calcs'!$R$194)</f>
        <v xml:space="preserve"> </v>
      </c>
      <c r="EL19" s="35" t="str">
        <f>IF($CK19=" "," ",'Wind Calcs'!$R$80)</f>
        <v xml:space="preserve"> </v>
      </c>
      <c r="EM19" s="35" t="str">
        <f>IF($CK19=" "," ",'Wind Calcs'!$R$174)</f>
        <v xml:space="preserve"> </v>
      </c>
      <c r="EN19" s="35" t="str">
        <f>IF($CK19=" "," ",'Wind Calcs'!$R$106)</f>
        <v xml:space="preserve"> </v>
      </c>
      <c r="EO19" s="35" t="str">
        <f>IF($CK19=" "," ",'Wind Calcs'!$R$200)</f>
        <v xml:space="preserve"> </v>
      </c>
      <c r="EP19" s="35" t="str">
        <f>IF($CL19=" "," ",'Wind Calcs'!$R$81)</f>
        <v xml:space="preserve"> </v>
      </c>
      <c r="EQ19" s="35" t="str">
        <f>IF($CL19=" "," ",'Wind Calcs'!$R$175)</f>
        <v xml:space="preserve"> </v>
      </c>
      <c r="ER19" s="35" t="str">
        <f>IF($CL19=" "," ",'Wind Calcs'!$R$112)</f>
        <v xml:space="preserve"> </v>
      </c>
      <c r="ES19" s="35" t="str">
        <f>IF($CL19=" "," ",'Wind Calcs'!$R$206)</f>
        <v xml:space="preserve"> </v>
      </c>
      <c r="ET19" s="35" t="str">
        <f>IF($CM19=" "," ",'Wind Calcs'!$R$77)</f>
        <v xml:space="preserve"> </v>
      </c>
      <c r="EU19" s="35" t="str">
        <f>IF($CM19=" "," ",'Wind Calcs'!$R$171)</f>
        <v xml:space="preserve"> </v>
      </c>
      <c r="EV19" s="373" t="str">
        <f>IF($CM19=" "," ",'Wind Calcs'!$R$88)</f>
        <v xml:space="preserve"> </v>
      </c>
      <c r="EW19" s="35" t="str">
        <f>IF($CM19=" "," ",'Wind Calcs'!$R$182)</f>
        <v xml:space="preserve"> </v>
      </c>
    </row>
    <row r="20" spans="2:153" x14ac:dyDescent="0.25">
      <c r="B20" s="34" t="str">
        <f t="shared" si="36"/>
        <v/>
      </c>
      <c r="C20" s="299">
        <v>15</v>
      </c>
      <c r="D20" s="7" t="str">
        <f t="shared" si="37"/>
        <v/>
      </c>
      <c r="E20" s="299" t="str">
        <f t="shared" si="38"/>
        <v/>
      </c>
      <c r="G20" s="302">
        <v>15</v>
      </c>
      <c r="H20" s="7" t="e">
        <f t="shared" si="39"/>
        <v>#VALUE!</v>
      </c>
      <c r="I20" s="299" t="e">
        <f t="shared" si="40"/>
        <v>#VALUE!</v>
      </c>
      <c r="J20" s="7"/>
      <c r="K20" s="302">
        <v>15</v>
      </c>
      <c r="L20" s="652" t="str">
        <f t="shared" si="41"/>
        <v/>
      </c>
      <c r="M20" s="556"/>
      <c r="O20" s="629"/>
      <c r="P20" s="561"/>
      <c r="Q20" s="30" t="s">
        <v>671</v>
      </c>
      <c r="R20" s="309" t="e">
        <f>R18*R19</f>
        <v>#VALUE!</v>
      </c>
      <c r="S20" s="311" t="s">
        <v>676</v>
      </c>
      <c r="T20" s="313"/>
      <c r="U20" s="309" t="e">
        <f>IF(O16="Exterior Drive Post", (R20/144)-(((GL+GR)*(ML/25.4))/144), R20/144)</f>
        <v>#VALUE!</v>
      </c>
      <c r="V20" s="31" t="s">
        <v>677</v>
      </c>
      <c r="W20" s="29" t="s">
        <v>678</v>
      </c>
      <c r="X20" s="314" t="e">
        <f>X19/12*X18</f>
        <v>#VALUE!</v>
      </c>
      <c r="Y20" s="31" t="s">
        <v>663</v>
      </c>
      <c r="Z20" s="29" t="s">
        <v>678</v>
      </c>
      <c r="AA20" s="315" t="e">
        <f>AA16*AA17</f>
        <v>#VALUE!</v>
      </c>
      <c r="AB20" s="31" t="s">
        <v>663</v>
      </c>
      <c r="AC20" s="29" t="s">
        <v>678</v>
      </c>
      <c r="AD20" s="316" t="e">
        <f>AD16*AD17</f>
        <v>#VALUE!</v>
      </c>
      <c r="AE20" s="31" t="s">
        <v>181</v>
      </c>
      <c r="AF20" s="29" t="s">
        <v>654</v>
      </c>
      <c r="AG20" s="320" t="e">
        <f>IF(O16="Exterior Drive Post", SUM(AG16:AG18)+SDW, SUM(AG16:AG18)+ICW)</f>
        <v>#VALUE!</v>
      </c>
      <c r="AH20" s="31" t="s">
        <v>663</v>
      </c>
      <c r="AI20">
        <v>3</v>
      </c>
      <c r="AJ20" s="29"/>
      <c r="AK20" s="309"/>
      <c r="AL20" s="31"/>
      <c r="AM20" s="29"/>
      <c r="AN20" s="30"/>
      <c r="AO20" s="31"/>
      <c r="AP20" s="29" t="s">
        <v>679</v>
      </c>
      <c r="AQ20" s="324" t="e">
        <f>AQ18*Pult</f>
        <v>#VALUE!</v>
      </c>
      <c r="AR20" s="31" t="s">
        <v>181</v>
      </c>
      <c r="AT20" s="29" t="s">
        <v>662</v>
      </c>
      <c r="AU20" s="339" t="e">
        <f>AU18*AU17</f>
        <v>#VALUE!</v>
      </c>
      <c r="AV20" s="31" t="s">
        <v>181</v>
      </c>
      <c r="AX20" s="629"/>
      <c r="AY20" s="561"/>
      <c r="AZ20" s="30" t="s">
        <v>671</v>
      </c>
      <c r="BA20" s="309" t="e">
        <f>BA18*BA19</f>
        <v>#VALUE!</v>
      </c>
      <c r="BB20" s="311" t="s">
        <v>676</v>
      </c>
      <c r="BC20" s="313"/>
      <c r="BD20" s="309" t="e">
        <f>IF(AX16="Interior Drive Post", (BA20/144)-(((GL+GR)*(ML/25.4))/144), BA20/144)</f>
        <v>#VALUE!</v>
      </c>
      <c r="BE20" s="31" t="s">
        <v>677</v>
      </c>
      <c r="BF20" s="29" t="s">
        <v>678</v>
      </c>
      <c r="BG20" s="314" t="e">
        <f>BG19/12*BG18</f>
        <v>#VALUE!</v>
      </c>
      <c r="BH20" s="31" t="s">
        <v>663</v>
      </c>
      <c r="BI20" s="29" t="s">
        <v>678</v>
      </c>
      <c r="BJ20" s="315" t="e">
        <f>BJ16*BJ17</f>
        <v>#VALUE!</v>
      </c>
      <c r="BK20" s="31" t="s">
        <v>663</v>
      </c>
      <c r="BL20" s="29" t="s">
        <v>678</v>
      </c>
      <c r="BM20" s="316" t="e">
        <f>BM16*BM17</f>
        <v>#VALUE!</v>
      </c>
      <c r="BN20" s="31" t="s">
        <v>181</v>
      </c>
      <c r="BO20" s="29" t="s">
        <v>654</v>
      </c>
      <c r="BP20" s="320" t="e">
        <f>IF(AX16="Interior Drive Post", SUM(BP16:BP18)+SDW, SUM(BP16:BP18)+ICW)</f>
        <v>#VALUE!</v>
      </c>
      <c r="BQ20" s="31" t="s">
        <v>663</v>
      </c>
      <c r="BR20">
        <v>3</v>
      </c>
      <c r="BS20" s="29"/>
      <c r="BT20" s="309"/>
      <c r="BU20" s="31"/>
      <c r="BV20" s="29"/>
      <c r="BW20" s="30"/>
      <c r="BX20" s="31"/>
      <c r="BY20" s="29" t="s">
        <v>679</v>
      </c>
      <c r="BZ20" s="324" t="e">
        <f>BZ18*Pult</f>
        <v>#VALUE!</v>
      </c>
      <c r="CA20" s="31" t="s">
        <v>181</v>
      </c>
      <c r="CC20" s="29" t="s">
        <v>662</v>
      </c>
      <c r="CD20" s="339" t="e">
        <f>CD18*CD17</f>
        <v>#VALUE!</v>
      </c>
      <c r="CE20" s="31" t="s">
        <v>181</v>
      </c>
      <c r="CG20" s="35">
        <v>16</v>
      </c>
      <c r="CH20" s="35" t="str">
        <f t="shared" si="0"/>
        <v xml:space="preserve"> </v>
      </c>
      <c r="CI20" s="35" t="str">
        <f t="shared" si="1"/>
        <v xml:space="preserve"> </v>
      </c>
      <c r="CJ20" s="35" t="str">
        <f t="shared" si="2"/>
        <v xml:space="preserve"> </v>
      </c>
      <c r="CK20" s="35" t="str">
        <f t="shared" si="3"/>
        <v xml:space="preserve"> </v>
      </c>
      <c r="CL20" s="35" t="str">
        <f t="shared" si="4"/>
        <v xml:space="preserve"> </v>
      </c>
      <c r="CM20" s="35" t="str">
        <f t="shared" si="5"/>
        <v xml:space="preserve"> </v>
      </c>
      <c r="CN20" s="342" t="str">
        <f>IFERROR(AG85," ")</f>
        <v xml:space="preserve"> </v>
      </c>
      <c r="CO20" s="342" t="str">
        <f>IFERROR(AU85," ")</f>
        <v xml:space="preserve"> </v>
      </c>
      <c r="CP20" s="342" t="str">
        <f>IFERROR(AQ85," ")</f>
        <v xml:space="preserve"> </v>
      </c>
      <c r="CQ20" s="342" t="str">
        <f>IFERROR(BP85," ")</f>
        <v xml:space="preserve"> </v>
      </c>
      <c r="CR20" s="342" t="str">
        <f>IFERROR(CD85," ")</f>
        <v xml:space="preserve"> </v>
      </c>
      <c r="CS20" s="342" t="str">
        <f>IFERROR(BZ85," ")</f>
        <v xml:space="preserve"> </v>
      </c>
      <c r="CT20" s="35" t="str">
        <f>IFERROR(IF(AND(controlling_code="ASCE 7-22",pf&gt;45),(CN20+0.15*CO20)*Inputs!$B$23,IF(AND(controlling_code="ASCE 7-22",pf&lt;45),CN20*Inputs!$B$23,IF(pf&lt;=30,CN20*Inputs!$B$23,(CN20+0.2*CO20)*Inputs!$B$23)))," ")</f>
        <v xml:space="preserve"> </v>
      </c>
      <c r="CU20" s="35" t="str">
        <f>IFERROR(IF(AND(controlling_code="ASCE 7-22",pf&gt;45),(CN20+0.15*CO20)*Inputs!$B$23,IF(AND(controlling_code="ASCE 7-22",pf&lt;45),CN20*Inputs!$B$23,IF(pf&lt;=30,CN20*Inputs!$B$23,(CN20+0.2*CO20)*Inputs!$B$23)))," ")</f>
        <v xml:space="preserve"> </v>
      </c>
      <c r="CV20" s="35" t="str">
        <f t="shared" si="6"/>
        <v xml:space="preserve"> </v>
      </c>
      <c r="CW20" s="35" t="str">
        <f t="shared" si="7"/>
        <v xml:space="preserve"> </v>
      </c>
      <c r="CX20" s="35" t="str">
        <f t="shared" si="8"/>
        <v xml:space="preserve"> </v>
      </c>
      <c r="CY20" s="35" t="str">
        <f t="shared" si="9"/>
        <v xml:space="preserve"> </v>
      </c>
      <c r="CZ20" s="35" t="str">
        <f t="shared" si="10"/>
        <v xml:space="preserve"> </v>
      </c>
      <c r="DA20" s="35" t="str">
        <f t="shared" si="11"/>
        <v xml:space="preserve"> </v>
      </c>
      <c r="DB20" s="35" t="str">
        <f t="shared" si="12"/>
        <v xml:space="preserve"> </v>
      </c>
      <c r="DC20" s="35" t="str">
        <f t="shared" si="13"/>
        <v xml:space="preserve"> </v>
      </c>
      <c r="DD20" s="35" t="str">
        <f t="shared" si="14"/>
        <v xml:space="preserve"> </v>
      </c>
      <c r="DE20" s="35" t="str">
        <f t="shared" si="15"/>
        <v xml:space="preserve"> </v>
      </c>
      <c r="DF20" s="35" t="str">
        <f t="shared" si="16"/>
        <v xml:space="preserve"> </v>
      </c>
      <c r="DG20" s="35" t="str">
        <f t="shared" si="17"/>
        <v xml:space="preserve"> </v>
      </c>
      <c r="DH20" s="35" t="str">
        <f t="shared" si="18"/>
        <v xml:space="preserve"> </v>
      </c>
      <c r="DI20" s="35" t="str">
        <f t="shared" si="19"/>
        <v xml:space="preserve"> </v>
      </c>
      <c r="DJ20" s="35" t="str">
        <f t="shared" si="20"/>
        <v xml:space="preserve"> </v>
      </c>
      <c r="DK20" s="35" t="str">
        <f t="shared" si="21"/>
        <v xml:space="preserve"> </v>
      </c>
      <c r="DL20" s="35" t="str">
        <f t="shared" si="22"/>
        <v xml:space="preserve"> </v>
      </c>
      <c r="DM20" s="35" t="str">
        <f t="shared" si="23"/>
        <v xml:space="preserve"> </v>
      </c>
      <c r="DN20" s="35" t="str">
        <f t="shared" si="24"/>
        <v xml:space="preserve"> </v>
      </c>
      <c r="DO20" s="35" t="str">
        <f t="shared" si="25"/>
        <v xml:space="preserve"> </v>
      </c>
      <c r="DP20" s="35" t="str">
        <f t="shared" si="26"/>
        <v xml:space="preserve"> </v>
      </c>
      <c r="DQ20" s="35" t="str">
        <f t="shared" si="27"/>
        <v xml:space="preserve"> </v>
      </c>
      <c r="DR20" s="35" t="str">
        <f t="shared" si="28"/>
        <v xml:space="preserve"> </v>
      </c>
      <c r="DS20" s="35" t="str">
        <f t="shared" si="29"/>
        <v xml:space="preserve"> </v>
      </c>
      <c r="DT20" s="35" t="str">
        <f t="shared" si="30"/>
        <v xml:space="preserve"> </v>
      </c>
      <c r="DU20" s="35" t="str">
        <f t="shared" si="31"/>
        <v xml:space="preserve"> </v>
      </c>
      <c r="DV20" s="35" t="str">
        <f t="shared" si="32"/>
        <v xml:space="preserve"> </v>
      </c>
      <c r="DW20" s="35" t="str">
        <f t="shared" si="33"/>
        <v xml:space="preserve"> </v>
      </c>
      <c r="DX20" s="35" t="str">
        <f t="shared" si="34"/>
        <v xml:space="preserve"> </v>
      </c>
      <c r="DY20" s="35" t="str">
        <f t="shared" si="35"/>
        <v xml:space="preserve"> </v>
      </c>
      <c r="DZ20" s="35" t="str">
        <f>IF($CH20=" "," ",'Wind Calcs'!$S$77)</f>
        <v xml:space="preserve"> </v>
      </c>
      <c r="EA20" s="35" t="str">
        <f>IF($CH20=" "," ",'Wind Calcs'!$S$171)</f>
        <v xml:space="preserve"> </v>
      </c>
      <c r="EB20" s="35" t="str">
        <f>IF($CH20=" "," ",'Wind Calcs'!$S$88)</f>
        <v xml:space="preserve"> </v>
      </c>
      <c r="EC20" s="35" t="str">
        <f>IF($CH20=" "," ",'Wind Calcs'!$S$182)</f>
        <v xml:space="preserve"> </v>
      </c>
      <c r="ED20" s="35" t="str">
        <f>IF($CI20=" "," ",'Wind Calcs'!$S$78)</f>
        <v xml:space="preserve"> </v>
      </c>
      <c r="EE20" s="35" t="str">
        <f>IF($CI20=" "," ",'Wind Calcs'!$S$172)</f>
        <v xml:space="preserve"> </v>
      </c>
      <c r="EF20" s="35" t="str">
        <f>IF($CI20=" "," ",'Wind Calcs'!$S$94)</f>
        <v xml:space="preserve"> </v>
      </c>
      <c r="EG20" s="35" t="str">
        <f>IF($CI20=" "," ",'Wind Calcs'!$S$188)</f>
        <v xml:space="preserve"> </v>
      </c>
      <c r="EH20" s="35" t="str">
        <f>IF($CJ20=" "," ",'Wind Calcs'!$S$79)</f>
        <v xml:space="preserve"> </v>
      </c>
      <c r="EI20" s="35" t="str">
        <f>IF($CJ20=" "," ",'Wind Calcs'!$S$173)</f>
        <v xml:space="preserve"> </v>
      </c>
      <c r="EJ20" s="35" t="str">
        <f>IF($CJ20=" "," ",'Wind Calcs'!$S$100)</f>
        <v xml:space="preserve"> </v>
      </c>
      <c r="EK20" s="35" t="str">
        <f>IF($CJ20=" "," ",'Wind Calcs'!$S$194)</f>
        <v xml:space="preserve"> </v>
      </c>
      <c r="EL20" s="35" t="str">
        <f>IF($CK20=" "," ",'Wind Calcs'!$S$80)</f>
        <v xml:space="preserve"> </v>
      </c>
      <c r="EM20" s="35" t="str">
        <f>IF($CK20=" "," ",'Wind Calcs'!$S$174)</f>
        <v xml:space="preserve"> </v>
      </c>
      <c r="EN20" s="35" t="str">
        <f>IF($CK20=" "," ",'Wind Calcs'!$S$106)</f>
        <v xml:space="preserve"> </v>
      </c>
      <c r="EO20" s="35" t="str">
        <f>IF($CK20=" "," ",'Wind Calcs'!$S$200)</f>
        <v xml:space="preserve"> </v>
      </c>
      <c r="EP20" s="35" t="str">
        <f>IF($CL20=" "," ",'Wind Calcs'!$S$81)</f>
        <v xml:space="preserve"> </v>
      </c>
      <c r="EQ20" s="35" t="str">
        <f>IF($CL20=" "," ",'Wind Calcs'!$S$175)</f>
        <v xml:space="preserve"> </v>
      </c>
      <c r="ER20" s="35" t="str">
        <f>IF($CL20=" "," ",'Wind Calcs'!$S$112)</f>
        <v xml:space="preserve"> </v>
      </c>
      <c r="ES20" s="35" t="str">
        <f>IF($CL20=" "," ",'Wind Calcs'!$S$206)</f>
        <v xml:space="preserve"> </v>
      </c>
      <c r="ET20" s="35" t="str">
        <f>IF($CM20=" "," ",'Wind Calcs'!$S$77)</f>
        <v xml:space="preserve"> </v>
      </c>
      <c r="EU20" s="35" t="str">
        <f>IF($CM20=" "," ",'Wind Calcs'!$S$171)</f>
        <v xml:space="preserve"> </v>
      </c>
      <c r="EV20" s="373" t="str">
        <f>IF($CM20=" "," ",'Wind Calcs'!$S$88)</f>
        <v xml:space="preserve"> </v>
      </c>
      <c r="EW20" s="35" t="str">
        <f>IF($CM20=" "," ",'Wind Calcs'!$S$182)</f>
        <v xml:space="preserve"> </v>
      </c>
    </row>
    <row r="21" spans="2:153" x14ac:dyDescent="0.25">
      <c r="B21" s="34" t="str">
        <f t="shared" si="36"/>
        <v/>
      </c>
      <c r="C21" s="299">
        <v>16</v>
      </c>
      <c r="D21" s="7" t="str">
        <f t="shared" si="37"/>
        <v/>
      </c>
      <c r="E21" s="299" t="str">
        <f t="shared" si="38"/>
        <v/>
      </c>
      <c r="G21" s="302">
        <v>16</v>
      </c>
      <c r="H21" s="7" t="e">
        <f t="shared" si="39"/>
        <v>#VALUE!</v>
      </c>
      <c r="I21" s="299" t="e">
        <f t="shared" si="40"/>
        <v>#VALUE!</v>
      </c>
      <c r="J21" s="7"/>
      <c r="K21" s="302">
        <v>16</v>
      </c>
      <c r="L21" s="652" t="str">
        <f t="shared" si="41"/>
        <v/>
      </c>
      <c r="M21" s="556"/>
      <c r="O21" s="653" t="str">
        <f>D9</f>
        <v/>
      </c>
      <c r="P21" s="558"/>
      <c r="Q21" s="25" t="s">
        <v>656</v>
      </c>
      <c r="R21" s="297" t="str">
        <f>L9</f>
        <v/>
      </c>
      <c r="S21" s="310" t="s">
        <v>657</v>
      </c>
      <c r="T21" s="312"/>
      <c r="U21" s="297" t="e">
        <f>R21/12</f>
        <v>#VALUE!</v>
      </c>
      <c r="V21" s="26" t="s">
        <v>658</v>
      </c>
      <c r="W21" s="24" t="s">
        <v>659</v>
      </c>
      <c r="X21" s="297" t="e">
        <f>VL</f>
        <v>#VALUE!</v>
      </c>
      <c r="Y21" s="26" t="s">
        <v>657</v>
      </c>
      <c r="Z21" s="24" t="s">
        <v>660</v>
      </c>
      <c r="AA21" s="297">
        <f>VLOOKUP(TS,'List Data'!$A$15:$B$18, 2, FALSE)</f>
        <v>7.8955000000000002</v>
      </c>
      <c r="AB21" s="26" t="s">
        <v>661</v>
      </c>
      <c r="AC21" s="24" t="s">
        <v>662</v>
      </c>
      <c r="AD21" s="297" t="e">
        <f>PL</f>
        <v>#VALUE!</v>
      </c>
      <c r="AE21" s="26" t="s">
        <v>65</v>
      </c>
      <c r="AF21" s="24" t="s">
        <v>651</v>
      </c>
      <c r="AG21" s="318" t="e">
        <f>X25</f>
        <v>#VALUE!</v>
      </c>
      <c r="AH21" s="26" t="s">
        <v>663</v>
      </c>
      <c r="AJ21" s="24" t="s">
        <v>664</v>
      </c>
      <c r="AK21" s="297" t="e">
        <f>ROUND(MT/12,5)</f>
        <v>#VALUE!</v>
      </c>
      <c r="AL21" s="26" t="s">
        <v>658</v>
      </c>
      <c r="AM21" s="24" t="s">
        <v>370</v>
      </c>
      <c r="AN21" s="297">
        <f>IF(OR(TS="5x4, .126", TS="5x4, .134"), 5/12,4/12)</f>
        <v>0.41666666666666669</v>
      </c>
      <c r="AO21" s="26" t="s">
        <v>658</v>
      </c>
      <c r="AP21" s="24" t="s">
        <v>653</v>
      </c>
      <c r="AQ21" s="322" t="e">
        <f>AK23</f>
        <v>#VALUE!</v>
      </c>
      <c r="AR21" s="26" t="s">
        <v>665</v>
      </c>
      <c r="AT21" s="24" t="s">
        <v>666</v>
      </c>
      <c r="AU21" s="338" t="str">
        <f>Theta</f>
        <v>XX</v>
      </c>
      <c r="AV21" s="26" t="s">
        <v>667</v>
      </c>
      <c r="AX21" s="653" t="str">
        <f>D45</f>
        <v/>
      </c>
      <c r="AY21" s="558"/>
      <c r="AZ21" s="25" t="s">
        <v>656</v>
      </c>
      <c r="BA21" s="297" t="str">
        <f>L45</f>
        <v/>
      </c>
      <c r="BB21" s="310" t="s">
        <v>657</v>
      </c>
      <c r="BC21" s="312"/>
      <c r="BD21" s="297" t="e">
        <f>BA21/12</f>
        <v>#VALUE!</v>
      </c>
      <c r="BE21" s="26" t="s">
        <v>658</v>
      </c>
      <c r="BF21" s="24" t="s">
        <v>659</v>
      </c>
      <c r="BG21" s="297" t="e">
        <f>VL</f>
        <v>#VALUE!</v>
      </c>
      <c r="BH21" s="26" t="s">
        <v>657</v>
      </c>
      <c r="BI21" s="24" t="s">
        <v>660</v>
      </c>
      <c r="BJ21" s="297">
        <f>VLOOKUP(TS,'List Data'!$A$15:$B$18, 2, FALSE)</f>
        <v>7.8955000000000002</v>
      </c>
      <c r="BK21" s="26" t="s">
        <v>661</v>
      </c>
      <c r="BL21" s="24" t="s">
        <v>662</v>
      </c>
      <c r="BM21" s="297" t="e">
        <f>PL</f>
        <v>#VALUE!</v>
      </c>
      <c r="BN21" s="26" t="s">
        <v>65</v>
      </c>
      <c r="BO21" s="24" t="s">
        <v>651</v>
      </c>
      <c r="BP21" s="318" t="e">
        <f>BG25</f>
        <v>#VALUE!</v>
      </c>
      <c r="BQ21" s="26" t="s">
        <v>663</v>
      </c>
      <c r="BS21" s="24" t="s">
        <v>664</v>
      </c>
      <c r="BT21" s="297" t="e">
        <f>ROUND(MT/12,5)</f>
        <v>#VALUE!</v>
      </c>
      <c r="BU21" s="26" t="s">
        <v>658</v>
      </c>
      <c r="BV21" s="24" t="s">
        <v>370</v>
      </c>
      <c r="BW21" s="297">
        <f>IF(OR(TS="5x4, .126", TS="5x4, .134"), 5/12,4/12)</f>
        <v>0.41666666666666669</v>
      </c>
      <c r="BX21" s="26" t="s">
        <v>658</v>
      </c>
      <c r="BY21" s="24" t="s">
        <v>653</v>
      </c>
      <c r="BZ21" s="322" t="e">
        <f>BT23</f>
        <v>#VALUE!</v>
      </c>
      <c r="CA21" s="26" t="s">
        <v>665</v>
      </c>
      <c r="CC21" s="24" t="s">
        <v>666</v>
      </c>
      <c r="CD21" s="338" t="str">
        <f>Theta</f>
        <v>XX</v>
      </c>
      <c r="CE21" s="26" t="s">
        <v>667</v>
      </c>
      <c r="CG21" s="35">
        <v>17</v>
      </c>
      <c r="CH21" s="35" t="str">
        <f t="shared" si="0"/>
        <v xml:space="preserve"> </v>
      </c>
      <c r="CI21" s="35" t="str">
        <f t="shared" si="1"/>
        <v xml:space="preserve"> </v>
      </c>
      <c r="CJ21" s="35" t="str">
        <f t="shared" si="2"/>
        <v xml:space="preserve"> </v>
      </c>
      <c r="CK21" s="35" t="str">
        <f t="shared" si="3"/>
        <v xml:space="preserve"> </v>
      </c>
      <c r="CL21" s="35" t="str">
        <f t="shared" si="4"/>
        <v xml:space="preserve"> </v>
      </c>
      <c r="CM21" s="35" t="str">
        <f t="shared" si="5"/>
        <v xml:space="preserve"> </v>
      </c>
      <c r="CN21" s="342" t="str">
        <f>IFERROR(AG90," ")</f>
        <v xml:space="preserve"> </v>
      </c>
      <c r="CO21" s="342" t="str">
        <f>IFERROR(AU90," ")</f>
        <v xml:space="preserve"> </v>
      </c>
      <c r="CP21" s="342" t="str">
        <f>IFERROR(AQ90," ")</f>
        <v xml:space="preserve"> </v>
      </c>
      <c r="CQ21" s="342" t="str">
        <f>IFERROR(BP90," ")</f>
        <v xml:space="preserve"> </v>
      </c>
      <c r="CR21" s="342" t="str">
        <f>IFERROR(CD90," ")</f>
        <v xml:space="preserve"> </v>
      </c>
      <c r="CS21" s="342" t="str">
        <f>IFERROR(BZ90," ")</f>
        <v xml:space="preserve"> </v>
      </c>
      <c r="CT21" s="35" t="str">
        <f>IFERROR(IF(AND(controlling_code="ASCE 7-22",pf&gt;45),(CN21+0.15*CO21)*Inputs!$B$23,IF(AND(controlling_code="ASCE 7-22",pf&lt;45),CN21*Inputs!$B$23,IF(pf&lt;=30,CN21*Inputs!$B$23,(CN21+0.2*CO21)*Inputs!$B$23)))," ")</f>
        <v xml:space="preserve"> </v>
      </c>
      <c r="CU21" s="35" t="str">
        <f>IFERROR(IF(AND(controlling_code="ASCE 7-22",pf&gt;45),(CN21+0.15*CO21)*Inputs!$B$23,IF(AND(controlling_code="ASCE 7-22",pf&lt;45),CN21*Inputs!$B$23,IF(pf&lt;=30,CN21*Inputs!$B$23,(CN21+0.2*CO21)*Inputs!$B$23)))," ")</f>
        <v xml:space="preserve"> </v>
      </c>
      <c r="CV21" s="35" t="str">
        <f t="shared" si="6"/>
        <v xml:space="preserve"> </v>
      </c>
      <c r="CW21" s="35" t="str">
        <f t="shared" si="7"/>
        <v xml:space="preserve"> </v>
      </c>
      <c r="CX21" s="35" t="str">
        <f t="shared" si="8"/>
        <v xml:space="preserve"> </v>
      </c>
      <c r="CY21" s="35" t="str">
        <f t="shared" si="9"/>
        <v xml:space="preserve"> </v>
      </c>
      <c r="CZ21" s="35" t="str">
        <f t="shared" si="10"/>
        <v xml:space="preserve"> </v>
      </c>
      <c r="DA21" s="35" t="str">
        <f t="shared" si="11"/>
        <v xml:space="preserve"> </v>
      </c>
      <c r="DB21" s="35" t="str">
        <f t="shared" si="12"/>
        <v xml:space="preserve"> </v>
      </c>
      <c r="DC21" s="35" t="str">
        <f t="shared" si="13"/>
        <v xml:space="preserve"> </v>
      </c>
      <c r="DD21" s="35" t="str">
        <f t="shared" si="14"/>
        <v xml:space="preserve"> </v>
      </c>
      <c r="DE21" s="35" t="str">
        <f t="shared" si="15"/>
        <v xml:space="preserve"> </v>
      </c>
      <c r="DF21" s="35" t="str">
        <f t="shared" si="16"/>
        <v xml:space="preserve"> </v>
      </c>
      <c r="DG21" s="35" t="str">
        <f t="shared" si="17"/>
        <v xml:space="preserve"> </v>
      </c>
      <c r="DH21" s="35" t="str">
        <f t="shared" si="18"/>
        <v xml:space="preserve"> </v>
      </c>
      <c r="DI21" s="35" t="str">
        <f t="shared" si="19"/>
        <v xml:space="preserve"> </v>
      </c>
      <c r="DJ21" s="35" t="str">
        <f t="shared" si="20"/>
        <v xml:space="preserve"> </v>
      </c>
      <c r="DK21" s="35" t="str">
        <f t="shared" si="21"/>
        <v xml:space="preserve"> </v>
      </c>
      <c r="DL21" s="35" t="str">
        <f t="shared" si="22"/>
        <v xml:space="preserve"> </v>
      </c>
      <c r="DM21" s="35" t="str">
        <f t="shared" si="23"/>
        <v xml:space="preserve"> </v>
      </c>
      <c r="DN21" s="35" t="str">
        <f t="shared" si="24"/>
        <v xml:space="preserve"> </v>
      </c>
      <c r="DO21" s="35" t="str">
        <f t="shared" si="25"/>
        <v xml:space="preserve"> </v>
      </c>
      <c r="DP21" s="35" t="str">
        <f t="shared" si="26"/>
        <v xml:space="preserve"> </v>
      </c>
      <c r="DQ21" s="35" t="str">
        <f t="shared" si="27"/>
        <v xml:space="preserve"> </v>
      </c>
      <c r="DR21" s="35" t="str">
        <f t="shared" si="28"/>
        <v xml:space="preserve"> </v>
      </c>
      <c r="DS21" s="35" t="str">
        <f t="shared" si="29"/>
        <v xml:space="preserve"> </v>
      </c>
      <c r="DT21" s="35" t="str">
        <f t="shared" si="30"/>
        <v xml:space="preserve"> </v>
      </c>
      <c r="DU21" s="35" t="str">
        <f t="shared" si="31"/>
        <v xml:space="preserve"> </v>
      </c>
      <c r="DV21" s="35" t="str">
        <f t="shared" si="32"/>
        <v xml:space="preserve"> </v>
      </c>
      <c r="DW21" s="35" t="str">
        <f t="shared" si="33"/>
        <v xml:space="preserve"> </v>
      </c>
      <c r="DX21" s="35" t="str">
        <f t="shared" si="34"/>
        <v xml:space="preserve"> </v>
      </c>
      <c r="DY21" s="35" t="str">
        <f t="shared" si="35"/>
        <v xml:space="preserve"> </v>
      </c>
      <c r="DZ21" s="35" t="str">
        <f>IF($CH21=" "," ",'Wind Calcs'!$T$77)</f>
        <v xml:space="preserve"> </v>
      </c>
      <c r="EA21" s="35" t="str">
        <f>IF($CH21=" "," ",'Wind Calcs'!$T$171)</f>
        <v xml:space="preserve"> </v>
      </c>
      <c r="EB21" s="35" t="str">
        <f>IF($CH21=" "," ",'Wind Calcs'!$T$88)</f>
        <v xml:space="preserve"> </v>
      </c>
      <c r="EC21" s="35" t="str">
        <f>IF($CH21=" "," ",'Wind Calcs'!$T$182)</f>
        <v xml:space="preserve"> </v>
      </c>
      <c r="ED21" s="35" t="str">
        <f>IF($CI21=" "," ",'Wind Calcs'!$T$78)</f>
        <v xml:space="preserve"> </v>
      </c>
      <c r="EE21" s="35" t="str">
        <f>IF($CI21=" "," ",'Wind Calcs'!$T$172)</f>
        <v xml:space="preserve"> </v>
      </c>
      <c r="EF21" s="35" t="str">
        <f>IF($CI21=" "," ",'Wind Calcs'!$T$94)</f>
        <v xml:space="preserve"> </v>
      </c>
      <c r="EG21" s="35" t="str">
        <f>IF($CI21=" "," ",'Wind Calcs'!$T$188)</f>
        <v xml:space="preserve"> </v>
      </c>
      <c r="EH21" s="35" t="str">
        <f>IF($CJ21=" "," ",'Wind Calcs'!$T$79)</f>
        <v xml:space="preserve"> </v>
      </c>
      <c r="EI21" s="35" t="str">
        <f>IF($CJ21=" "," ",'Wind Calcs'!$T$173)</f>
        <v xml:space="preserve"> </v>
      </c>
      <c r="EJ21" s="35" t="str">
        <f>IF($CJ21=" "," ",'Wind Calcs'!$T$100)</f>
        <v xml:space="preserve"> </v>
      </c>
      <c r="EK21" s="35" t="str">
        <f>IF($CJ21=" "," ",'Wind Calcs'!$T$194)</f>
        <v xml:space="preserve"> </v>
      </c>
      <c r="EL21" s="35" t="str">
        <f>IF($CK21=" "," ",'Wind Calcs'!$T$80)</f>
        <v xml:space="preserve"> </v>
      </c>
      <c r="EM21" s="35" t="str">
        <f>IF($CK21=" "," ",'Wind Calcs'!$T$174)</f>
        <v xml:space="preserve"> </v>
      </c>
      <c r="EN21" s="35" t="str">
        <f>IF($CK21=" "," ",'Wind Calcs'!$T$106)</f>
        <v xml:space="preserve"> </v>
      </c>
      <c r="EO21" s="35" t="str">
        <f>IF($CK21=" "," ",'Wind Calcs'!$T$200)</f>
        <v xml:space="preserve"> </v>
      </c>
      <c r="EP21" s="35" t="str">
        <f>IF($CL21=" "," ",'Wind Calcs'!$T$81)</f>
        <v xml:space="preserve"> </v>
      </c>
      <c r="EQ21" s="35" t="str">
        <f>IF($CL21=" "," ",'Wind Calcs'!$T$175)</f>
        <v xml:space="preserve"> </v>
      </c>
      <c r="ER21" s="35" t="str">
        <f>IF($CL21=" "," ",'Wind Calcs'!$T$112)</f>
        <v xml:space="preserve"> </v>
      </c>
      <c r="ES21" s="35" t="str">
        <f>IF($CL21=" "," ",'Wind Calcs'!$T$206)</f>
        <v xml:space="preserve"> </v>
      </c>
      <c r="ET21" s="35" t="str">
        <f>IF($CM21=" "," ",'Wind Calcs'!$T$77)</f>
        <v xml:space="preserve"> </v>
      </c>
      <c r="EU21" s="35" t="str">
        <f>IF($CM21=" "," ",'Wind Calcs'!$T$171)</f>
        <v xml:space="preserve"> </v>
      </c>
      <c r="EV21" s="373" t="str">
        <f>IF($CM21=" "," ",'Wind Calcs'!$T$88)</f>
        <v xml:space="preserve"> </v>
      </c>
      <c r="EW21" s="35" t="str">
        <f>IF($CM21=" "," ",'Wind Calcs'!$T$182)</f>
        <v xml:space="preserve"> </v>
      </c>
    </row>
    <row r="22" spans="2:153" x14ac:dyDescent="0.25">
      <c r="B22" s="34" t="str">
        <f t="shared" si="36"/>
        <v/>
      </c>
      <c r="C22" s="299">
        <v>17</v>
      </c>
      <c r="D22" s="7" t="str">
        <f t="shared" si="37"/>
        <v/>
      </c>
      <c r="E22" s="299" t="str">
        <f t="shared" si="38"/>
        <v/>
      </c>
      <c r="G22" s="302">
        <v>17</v>
      </c>
      <c r="H22" s="7" t="e">
        <f t="shared" si="39"/>
        <v>#VALUE!</v>
      </c>
      <c r="I22" s="299" t="e">
        <f t="shared" si="40"/>
        <v>#VALUE!</v>
      </c>
      <c r="J22" s="7"/>
      <c r="K22" s="302">
        <v>17</v>
      </c>
      <c r="L22" s="652" t="str">
        <f t="shared" si="41"/>
        <v/>
      </c>
      <c r="M22" s="556"/>
      <c r="O22" s="628"/>
      <c r="P22" s="559"/>
      <c r="Q22" t="s">
        <v>668</v>
      </c>
      <c r="R22" s="7" t="str">
        <f>L10</f>
        <v/>
      </c>
      <c r="S22" s="77" t="s">
        <v>657</v>
      </c>
      <c r="T22" s="43"/>
      <c r="U22" s="7" t="e">
        <f>R22/12</f>
        <v>#VALUE!</v>
      </c>
      <c r="V22" s="28" t="s">
        <v>658</v>
      </c>
      <c r="W22" s="27" t="s">
        <v>669</v>
      </c>
      <c r="X22" s="7">
        <f>COUNTIFS($I$6:$I$105, "&lt;="&amp;R21, $I$6:$I$105, "&gt;="&amp;R22)</f>
        <v>0</v>
      </c>
      <c r="Y22" s="28" t="s">
        <v>670</v>
      </c>
      <c r="Z22" s="27" t="s">
        <v>659</v>
      </c>
      <c r="AA22" s="7" t="e">
        <f>IF(O21="Exterior Drive Post", (U23-(TG/12)), U23)</f>
        <v>#VALUE!</v>
      </c>
      <c r="AB22" s="28" t="s">
        <v>658</v>
      </c>
      <c r="AC22" s="27" t="s">
        <v>671</v>
      </c>
      <c r="AD22" s="7" t="e">
        <f>U25</f>
        <v>#VALUE!</v>
      </c>
      <c r="AE22" s="28" t="s">
        <v>665</v>
      </c>
      <c r="AF22" s="27" t="s">
        <v>672</v>
      </c>
      <c r="AG22" s="317" t="e">
        <f>AA25</f>
        <v>#VALUE!</v>
      </c>
      <c r="AH22" s="28" t="s">
        <v>663</v>
      </c>
      <c r="AJ22" s="27" t="s">
        <v>659</v>
      </c>
      <c r="AK22" s="7" t="e">
        <f>IF(O21= "Exterior Drive Post", (U23)-((GL+GR)/12), U23)</f>
        <v>#VALUE!</v>
      </c>
      <c r="AL22" s="28" t="s">
        <v>658</v>
      </c>
      <c r="AM22" s="27" t="s">
        <v>659</v>
      </c>
      <c r="AN22" s="7" t="e">
        <f>AA22</f>
        <v>#VALUE!</v>
      </c>
      <c r="AO22" s="28" t="s">
        <v>658</v>
      </c>
      <c r="AP22" s="27" t="s">
        <v>672</v>
      </c>
      <c r="AQ22" s="323" t="e">
        <f>AN23</f>
        <v>#VALUE!</v>
      </c>
      <c r="AR22" s="28" t="s">
        <v>665</v>
      </c>
      <c r="AT22" s="27" t="s">
        <v>673</v>
      </c>
      <c r="AU22" s="210" t="e">
        <f>RSL*COS(Radians)</f>
        <v>#VALUE!</v>
      </c>
      <c r="AV22" s="28" t="s">
        <v>65</v>
      </c>
      <c r="AX22" s="628"/>
      <c r="AY22" s="559"/>
      <c r="AZ22" t="s">
        <v>668</v>
      </c>
      <c r="BA22" s="7" t="str">
        <f>L46</f>
        <v/>
      </c>
      <c r="BB22" s="77" t="s">
        <v>657</v>
      </c>
      <c r="BC22" s="43"/>
      <c r="BD22" s="7" t="e">
        <f>BA22/12</f>
        <v>#VALUE!</v>
      </c>
      <c r="BE22" s="28" t="s">
        <v>658</v>
      </c>
      <c r="BF22" s="27" t="s">
        <v>669</v>
      </c>
      <c r="BG22" s="7">
        <f>COUNTIFS($I$6:$I$105, "&lt;="&amp;BA21, $I$6:$I$105, "&gt;="&amp;BA22)</f>
        <v>0</v>
      </c>
      <c r="BH22" s="28" t="s">
        <v>670</v>
      </c>
      <c r="BI22" s="27" t="s">
        <v>659</v>
      </c>
      <c r="BJ22" s="7" t="e">
        <f>IF(AX21="Interior Drive Post", (BD23-(TG/12)), BD23)</f>
        <v>#VALUE!</v>
      </c>
      <c r="BK22" s="28" t="s">
        <v>658</v>
      </c>
      <c r="BL22" s="27" t="s">
        <v>671</v>
      </c>
      <c r="BM22" s="7" t="e">
        <f>BD25</f>
        <v>#VALUE!</v>
      </c>
      <c r="BN22" s="28" t="s">
        <v>665</v>
      </c>
      <c r="BO22" s="27" t="s">
        <v>672</v>
      </c>
      <c r="BP22" s="317" t="e">
        <f>BJ25</f>
        <v>#VALUE!</v>
      </c>
      <c r="BQ22" s="28" t="s">
        <v>663</v>
      </c>
      <c r="BS22" s="27" t="s">
        <v>659</v>
      </c>
      <c r="BT22" s="7" t="e">
        <f>IF(AX21= "Interior Drive Post", (BD23)-((GL+GR)/12), BD23)</f>
        <v>#VALUE!</v>
      </c>
      <c r="BU22" s="28" t="s">
        <v>658</v>
      </c>
      <c r="BV22" s="27" t="s">
        <v>659</v>
      </c>
      <c r="BW22" s="7" t="e">
        <f>BJ22</f>
        <v>#VALUE!</v>
      </c>
      <c r="BX22" s="28" t="s">
        <v>658</v>
      </c>
      <c r="BY22" s="27" t="s">
        <v>672</v>
      </c>
      <c r="BZ22" s="323" t="e">
        <f>BW23</f>
        <v>#VALUE!</v>
      </c>
      <c r="CA22" s="28" t="s">
        <v>665</v>
      </c>
      <c r="CC22" s="27" t="s">
        <v>673</v>
      </c>
      <c r="CD22" s="210" t="e">
        <f>RSL*COS(Radians)</f>
        <v>#VALUE!</v>
      </c>
      <c r="CE22" s="28" t="s">
        <v>65</v>
      </c>
      <c r="CG22" s="35">
        <v>18</v>
      </c>
      <c r="CH22" s="35" t="str">
        <f t="shared" si="0"/>
        <v xml:space="preserve"> </v>
      </c>
      <c r="CI22" s="35" t="str">
        <f t="shared" si="1"/>
        <v xml:space="preserve"> </v>
      </c>
      <c r="CJ22" s="35" t="str">
        <f t="shared" si="2"/>
        <v xml:space="preserve"> </v>
      </c>
      <c r="CK22" s="35" t="str">
        <f t="shared" si="3"/>
        <v xml:space="preserve"> </v>
      </c>
      <c r="CL22" s="35" t="str">
        <f t="shared" si="4"/>
        <v xml:space="preserve"> </v>
      </c>
      <c r="CM22" s="35" t="str">
        <f t="shared" si="5"/>
        <v xml:space="preserve"> </v>
      </c>
      <c r="CN22" s="342" t="str">
        <f>IFERROR(AG95," ")</f>
        <v xml:space="preserve"> </v>
      </c>
      <c r="CO22" s="342" t="str">
        <f>IFERROR(AU95," ")</f>
        <v xml:space="preserve"> </v>
      </c>
      <c r="CP22" s="342" t="str">
        <f>IFERROR(AQ95," ")</f>
        <v xml:space="preserve"> </v>
      </c>
      <c r="CQ22" s="342" t="str">
        <f>IFERROR(BP95," ")</f>
        <v xml:space="preserve"> </v>
      </c>
      <c r="CR22" s="342" t="str">
        <f>IFERROR(CD95," ")</f>
        <v xml:space="preserve"> </v>
      </c>
      <c r="CS22" s="342" t="str">
        <f>IFERROR(BZ95," ")</f>
        <v xml:space="preserve"> </v>
      </c>
      <c r="CT22" s="35" t="str">
        <f>IFERROR(IF(AND(controlling_code="ASCE 7-22",pf&gt;45),(CN22+0.15*CO22)*Inputs!$B$23,IF(AND(controlling_code="ASCE 7-22",pf&lt;45),CN22*Inputs!$B$23,IF(pf&lt;=30,CN22*Inputs!$B$23,(CN22+0.2*CO22)*Inputs!$B$23)))," ")</f>
        <v xml:space="preserve"> </v>
      </c>
      <c r="CU22" s="35" t="str">
        <f>IFERROR(IF(AND(controlling_code="ASCE 7-22",pf&gt;45),(CN22+0.15*CO22)*Inputs!$B$23,IF(AND(controlling_code="ASCE 7-22",pf&lt;45),CN22*Inputs!$B$23,IF(pf&lt;=30,CN22*Inputs!$B$23,(CN22+0.2*CO22)*Inputs!$B$23)))," ")</f>
        <v xml:space="preserve"> </v>
      </c>
      <c r="CV22" s="35" t="str">
        <f t="shared" si="6"/>
        <v xml:space="preserve"> </v>
      </c>
      <c r="CW22" s="35" t="str">
        <f t="shared" si="7"/>
        <v xml:space="preserve"> </v>
      </c>
      <c r="CX22" s="35" t="str">
        <f t="shared" si="8"/>
        <v xml:space="preserve"> </v>
      </c>
      <c r="CY22" s="35" t="str">
        <f t="shared" si="9"/>
        <v xml:space="preserve"> </v>
      </c>
      <c r="CZ22" s="35" t="str">
        <f t="shared" si="10"/>
        <v xml:space="preserve"> </v>
      </c>
      <c r="DA22" s="35" t="str">
        <f t="shared" si="11"/>
        <v xml:space="preserve"> </v>
      </c>
      <c r="DB22" s="35" t="str">
        <f t="shared" si="12"/>
        <v xml:space="preserve"> </v>
      </c>
      <c r="DC22" s="35" t="str">
        <f t="shared" si="13"/>
        <v xml:space="preserve"> </v>
      </c>
      <c r="DD22" s="35" t="str">
        <f t="shared" si="14"/>
        <v xml:space="preserve"> </v>
      </c>
      <c r="DE22" s="35" t="str">
        <f t="shared" si="15"/>
        <v xml:space="preserve"> </v>
      </c>
      <c r="DF22" s="35" t="str">
        <f t="shared" si="16"/>
        <v xml:space="preserve"> </v>
      </c>
      <c r="DG22" s="35" t="str">
        <f t="shared" si="17"/>
        <v xml:space="preserve"> </v>
      </c>
      <c r="DH22" s="35" t="str">
        <f t="shared" si="18"/>
        <v xml:space="preserve"> </v>
      </c>
      <c r="DI22" s="35" t="str">
        <f t="shared" si="19"/>
        <v xml:space="preserve"> </v>
      </c>
      <c r="DJ22" s="35" t="str">
        <f t="shared" si="20"/>
        <v xml:space="preserve"> </v>
      </c>
      <c r="DK22" s="35" t="str">
        <f t="shared" si="21"/>
        <v xml:space="preserve"> </v>
      </c>
      <c r="DL22" s="35" t="str">
        <f t="shared" si="22"/>
        <v xml:space="preserve"> </v>
      </c>
      <c r="DM22" s="35" t="str">
        <f t="shared" si="23"/>
        <v xml:space="preserve"> </v>
      </c>
      <c r="DN22" s="35" t="str">
        <f t="shared" si="24"/>
        <v xml:space="preserve"> </v>
      </c>
      <c r="DO22" s="35" t="str">
        <f t="shared" si="25"/>
        <v xml:space="preserve"> </v>
      </c>
      <c r="DP22" s="35" t="str">
        <f t="shared" si="26"/>
        <v xml:space="preserve"> </v>
      </c>
      <c r="DQ22" s="35" t="str">
        <f t="shared" si="27"/>
        <v xml:space="preserve"> </v>
      </c>
      <c r="DR22" s="35" t="str">
        <f t="shared" si="28"/>
        <v xml:space="preserve"> </v>
      </c>
      <c r="DS22" s="35" t="str">
        <f t="shared" si="29"/>
        <v xml:space="preserve"> </v>
      </c>
      <c r="DT22" s="35" t="str">
        <f t="shared" si="30"/>
        <v xml:space="preserve"> </v>
      </c>
      <c r="DU22" s="35" t="str">
        <f t="shared" si="31"/>
        <v xml:space="preserve"> </v>
      </c>
      <c r="DV22" s="35" t="str">
        <f t="shared" si="32"/>
        <v xml:space="preserve"> </v>
      </c>
      <c r="DW22" s="35" t="str">
        <f t="shared" si="33"/>
        <v xml:space="preserve"> </v>
      </c>
      <c r="DX22" s="35" t="str">
        <f t="shared" si="34"/>
        <v xml:space="preserve"> </v>
      </c>
      <c r="DY22" s="35" t="str">
        <f t="shared" si="35"/>
        <v xml:space="preserve"> </v>
      </c>
      <c r="DZ22" s="35" t="str">
        <f>IF($CH22=" "," ",'Wind Calcs'!$U$77)</f>
        <v xml:space="preserve"> </v>
      </c>
      <c r="EA22" s="35" t="str">
        <f>IF($CH22=" "," ",'Wind Calcs'!$U$171)</f>
        <v xml:space="preserve"> </v>
      </c>
      <c r="EB22" s="35" t="str">
        <f>IF($CH22=" "," ",'Wind Calcs'!$U$88)</f>
        <v xml:space="preserve"> </v>
      </c>
      <c r="EC22" s="35" t="str">
        <f>IF($CH22=" "," ",'Wind Calcs'!$U$182)</f>
        <v xml:space="preserve"> </v>
      </c>
      <c r="ED22" s="35" t="str">
        <f>IF($CI22=" "," ",'Wind Calcs'!$U$78)</f>
        <v xml:space="preserve"> </v>
      </c>
      <c r="EE22" s="35" t="str">
        <f>IF($CI22=" "," ",'Wind Calcs'!$U$172)</f>
        <v xml:space="preserve"> </v>
      </c>
      <c r="EF22" s="35" t="str">
        <f>IF($CI22=" "," ",'Wind Calcs'!$U$94)</f>
        <v xml:space="preserve"> </v>
      </c>
      <c r="EG22" s="35" t="str">
        <f>IF($CI22=" "," ",'Wind Calcs'!$U$188)</f>
        <v xml:space="preserve"> </v>
      </c>
      <c r="EH22" s="35" t="str">
        <f>IF($CJ22=" "," ",'Wind Calcs'!$U$79)</f>
        <v xml:space="preserve"> </v>
      </c>
      <c r="EI22" s="35" t="str">
        <f>IF($CJ22=" "," ",'Wind Calcs'!$U$173)</f>
        <v xml:space="preserve"> </v>
      </c>
      <c r="EJ22" s="35" t="str">
        <f>IF($CJ22=" "," ",'Wind Calcs'!$U$100)</f>
        <v xml:space="preserve"> </v>
      </c>
      <c r="EK22" s="35" t="str">
        <f>IF($CJ22=" "," ",'Wind Calcs'!$U$194)</f>
        <v xml:space="preserve"> </v>
      </c>
      <c r="EL22" s="35" t="str">
        <f>IF($CK22=" "," ",'Wind Calcs'!$U$80)</f>
        <v xml:space="preserve"> </v>
      </c>
      <c r="EM22" s="35" t="str">
        <f>IF($CK22=" "," ",'Wind Calcs'!$U$174)</f>
        <v xml:space="preserve"> </v>
      </c>
      <c r="EN22" s="35" t="str">
        <f>IF($CK22=" "," ",'Wind Calcs'!$U$106)</f>
        <v xml:space="preserve"> </v>
      </c>
      <c r="EO22" s="35" t="str">
        <f>IF($CK22=" "," ",'Wind Calcs'!$U$200)</f>
        <v xml:space="preserve"> </v>
      </c>
      <c r="EP22" s="35" t="str">
        <f>IF($CL22=" "," ",'Wind Calcs'!$U$81)</f>
        <v xml:space="preserve"> </v>
      </c>
      <c r="EQ22" s="35" t="str">
        <f>IF($CL22=" "," ",'Wind Calcs'!$U$175)</f>
        <v xml:space="preserve"> </v>
      </c>
      <c r="ER22" s="35" t="str">
        <f>IF($CL22=" "," ",'Wind Calcs'!$U$112)</f>
        <v xml:space="preserve"> </v>
      </c>
      <c r="ES22" s="35" t="str">
        <f>IF($CL22=" "," ",'Wind Calcs'!$U$206)</f>
        <v xml:space="preserve"> </v>
      </c>
      <c r="ET22" s="35" t="str">
        <f>IF($CM22=" "," ",'Wind Calcs'!$U$77)</f>
        <v xml:space="preserve"> </v>
      </c>
      <c r="EU22" s="35" t="str">
        <f>IF($CM22=" "," ",'Wind Calcs'!$U$171)</f>
        <v xml:space="preserve"> </v>
      </c>
      <c r="EV22" s="373" t="str">
        <f>IF($CM22=" "," ",'Wind Calcs'!$U$88)</f>
        <v xml:space="preserve"> </v>
      </c>
      <c r="EW22" s="35" t="str">
        <f>IF($CM22=" "," ",'Wind Calcs'!$U$182)</f>
        <v xml:space="preserve"> </v>
      </c>
    </row>
    <row r="23" spans="2:153" x14ac:dyDescent="0.25">
      <c r="B23" s="34" t="str">
        <f t="shared" si="36"/>
        <v/>
      </c>
      <c r="C23" s="299">
        <v>18</v>
      </c>
      <c r="D23" s="7" t="str">
        <f t="shared" si="37"/>
        <v/>
      </c>
      <c r="E23" s="299" t="str">
        <f t="shared" si="38"/>
        <v/>
      </c>
      <c r="G23" s="302">
        <v>18</v>
      </c>
      <c r="H23" s="7" t="e">
        <f t="shared" si="39"/>
        <v>#VALUE!</v>
      </c>
      <c r="I23" s="299" t="e">
        <f t="shared" si="40"/>
        <v>#VALUE!</v>
      </c>
      <c r="J23" s="7"/>
      <c r="K23" s="302">
        <v>18</v>
      </c>
      <c r="L23" s="652" t="str">
        <f t="shared" si="41"/>
        <v/>
      </c>
      <c r="M23" s="556"/>
      <c r="O23" s="628"/>
      <c r="P23" s="559"/>
      <c r="Q23" t="s">
        <v>659</v>
      </c>
      <c r="R23" s="7" t="e">
        <f>R21-R22</f>
        <v>#VALUE!</v>
      </c>
      <c r="S23" s="77" t="s">
        <v>657</v>
      </c>
      <c r="T23" s="43"/>
      <c r="U23" s="7" t="e">
        <f>R23/12</f>
        <v>#VALUE!</v>
      </c>
      <c r="V23" s="28" t="s">
        <v>658</v>
      </c>
      <c r="W23" s="27" t="s">
        <v>674</v>
      </c>
      <c r="X23" s="7" t="e">
        <f>X22*X21</f>
        <v>#VALUE!</v>
      </c>
      <c r="Y23" s="28" t="s">
        <v>657</v>
      </c>
      <c r="Z23" s="27"/>
      <c r="AA23" s="7"/>
      <c r="AB23" s="28"/>
      <c r="AC23" s="27"/>
      <c r="AD23" s="7"/>
      <c r="AE23" s="28"/>
      <c r="AF23" s="27" t="s">
        <v>653</v>
      </c>
      <c r="AG23" s="319" t="e">
        <f>AD25</f>
        <v>#VALUE!</v>
      </c>
      <c r="AH23" s="28" t="s">
        <v>663</v>
      </c>
      <c r="AJ23" s="27" t="s">
        <v>671</v>
      </c>
      <c r="AK23" s="321" t="e">
        <f>AK21*AK22</f>
        <v>#VALUE!</v>
      </c>
      <c r="AL23" s="28" t="s">
        <v>665</v>
      </c>
      <c r="AM23" s="27" t="s">
        <v>671</v>
      </c>
      <c r="AN23" s="323" t="e">
        <f>AN22*AN21</f>
        <v>#VALUE!</v>
      </c>
      <c r="AO23" s="28" t="s">
        <v>665</v>
      </c>
      <c r="AP23" s="27" t="s">
        <v>654</v>
      </c>
      <c r="AQ23" s="7" t="e">
        <f>SUM(AQ21:AQ22)</f>
        <v>#VALUE!</v>
      </c>
      <c r="AR23" s="28" t="s">
        <v>665</v>
      </c>
      <c r="AT23" s="27" t="s">
        <v>671</v>
      </c>
      <c r="AU23" s="210" t="e">
        <f>U25</f>
        <v>#VALUE!</v>
      </c>
      <c r="AV23" s="28" t="s">
        <v>682</v>
      </c>
      <c r="AX23" s="628"/>
      <c r="AY23" s="559"/>
      <c r="AZ23" t="s">
        <v>659</v>
      </c>
      <c r="BA23" s="7" t="e">
        <f>BA21-BA22</f>
        <v>#VALUE!</v>
      </c>
      <c r="BB23" s="77" t="s">
        <v>657</v>
      </c>
      <c r="BC23" s="43"/>
      <c r="BD23" s="7" t="e">
        <f>BA23/12</f>
        <v>#VALUE!</v>
      </c>
      <c r="BE23" s="28" t="s">
        <v>658</v>
      </c>
      <c r="BF23" s="27" t="s">
        <v>674</v>
      </c>
      <c r="BG23" s="7" t="e">
        <f>BG22*BG21</f>
        <v>#VALUE!</v>
      </c>
      <c r="BH23" s="28" t="s">
        <v>657</v>
      </c>
      <c r="BI23" s="27"/>
      <c r="BJ23" s="7"/>
      <c r="BK23" s="28"/>
      <c r="BL23" s="27"/>
      <c r="BM23" s="7"/>
      <c r="BN23" s="28"/>
      <c r="BO23" s="27" t="s">
        <v>653</v>
      </c>
      <c r="BP23" s="319" t="e">
        <f>BM25</f>
        <v>#VALUE!</v>
      </c>
      <c r="BQ23" s="28" t="s">
        <v>663</v>
      </c>
      <c r="BS23" s="27" t="s">
        <v>671</v>
      </c>
      <c r="BT23" s="321" t="e">
        <f>BT21*BT22</f>
        <v>#VALUE!</v>
      </c>
      <c r="BU23" s="28" t="s">
        <v>665</v>
      </c>
      <c r="BV23" s="27" t="s">
        <v>671</v>
      </c>
      <c r="BW23" s="323" t="e">
        <f>BW22*BW21</f>
        <v>#VALUE!</v>
      </c>
      <c r="BX23" s="28" t="s">
        <v>665</v>
      </c>
      <c r="BY23" s="27" t="s">
        <v>654</v>
      </c>
      <c r="BZ23" s="7" t="e">
        <f>SUM(BZ21:BZ22)</f>
        <v>#VALUE!</v>
      </c>
      <c r="CA23" s="28" t="s">
        <v>665</v>
      </c>
      <c r="CC23" s="27" t="s">
        <v>671</v>
      </c>
      <c r="CD23" s="210" t="e">
        <f>BD25</f>
        <v>#VALUE!</v>
      </c>
      <c r="CE23" s="28" t="s">
        <v>665</v>
      </c>
      <c r="CG23" s="35">
        <v>19</v>
      </c>
      <c r="CH23" s="35" t="str">
        <f t="shared" si="0"/>
        <v xml:space="preserve"> </v>
      </c>
      <c r="CI23" s="35" t="str">
        <f t="shared" si="1"/>
        <v xml:space="preserve"> </v>
      </c>
      <c r="CJ23" s="35" t="str">
        <f t="shared" si="2"/>
        <v xml:space="preserve"> </v>
      </c>
      <c r="CK23" s="35" t="str">
        <f t="shared" si="3"/>
        <v xml:space="preserve"> </v>
      </c>
      <c r="CL23" s="35" t="str">
        <f t="shared" si="4"/>
        <v xml:space="preserve"> </v>
      </c>
      <c r="CM23" s="35" t="str">
        <f t="shared" si="5"/>
        <v xml:space="preserve"> </v>
      </c>
      <c r="CN23" s="342" t="str">
        <f>IFERROR(AG100," ")</f>
        <v xml:space="preserve"> </v>
      </c>
      <c r="CO23" s="342" t="str">
        <f>IFERROR(AU100," ")</f>
        <v xml:space="preserve"> </v>
      </c>
      <c r="CP23" s="342" t="str">
        <f>IFERROR(AQ100," ")</f>
        <v xml:space="preserve"> </v>
      </c>
      <c r="CQ23" s="342" t="str">
        <f>IFERROR(BP100," ")</f>
        <v xml:space="preserve"> </v>
      </c>
      <c r="CR23" s="342" t="str">
        <f>IFERROR(CD100," ")</f>
        <v xml:space="preserve"> </v>
      </c>
      <c r="CS23" s="342" t="str">
        <f>IFERROR(BZ100," ")</f>
        <v xml:space="preserve"> </v>
      </c>
      <c r="CT23" s="35" t="str">
        <f>IFERROR(IF(AND(controlling_code="ASCE 7-22",pf&gt;45),(CN23+0.15*CO23)*Inputs!$B$23,IF(AND(controlling_code="ASCE 7-22",pf&lt;45),CN23*Inputs!$B$23,IF(pf&lt;=30,CN23*Inputs!$B$23,(CN23+0.2*CO23)*Inputs!$B$23)))," ")</f>
        <v xml:space="preserve"> </v>
      </c>
      <c r="CU23" s="35" t="str">
        <f>IFERROR(IF(AND(controlling_code="ASCE 7-22",pf&gt;45),(CN23+0.15*CO23)*Inputs!$B$23,IF(AND(controlling_code="ASCE 7-22",pf&lt;45),CN23*Inputs!$B$23,IF(pf&lt;=30,CN23*Inputs!$B$23,(CN23+0.2*CO23)*Inputs!$B$23)))," ")</f>
        <v xml:space="preserve"> </v>
      </c>
      <c r="CV23" s="35" t="str">
        <f t="shared" si="6"/>
        <v xml:space="preserve"> </v>
      </c>
      <c r="CW23" s="35" t="str">
        <f t="shared" si="7"/>
        <v xml:space="preserve"> </v>
      </c>
      <c r="CX23" s="35" t="str">
        <f t="shared" si="8"/>
        <v xml:space="preserve"> </v>
      </c>
      <c r="CY23" s="35" t="str">
        <f t="shared" si="9"/>
        <v xml:space="preserve"> </v>
      </c>
      <c r="CZ23" s="35" t="str">
        <f t="shared" si="10"/>
        <v xml:space="preserve"> </v>
      </c>
      <c r="DA23" s="35" t="str">
        <f t="shared" si="11"/>
        <v xml:space="preserve"> </v>
      </c>
      <c r="DB23" s="35" t="str">
        <f t="shared" si="12"/>
        <v xml:space="preserve"> </v>
      </c>
      <c r="DC23" s="35" t="str">
        <f t="shared" si="13"/>
        <v xml:space="preserve"> </v>
      </c>
      <c r="DD23" s="35" t="str">
        <f t="shared" si="14"/>
        <v xml:space="preserve"> </v>
      </c>
      <c r="DE23" s="35" t="str">
        <f t="shared" si="15"/>
        <v xml:space="preserve"> </v>
      </c>
      <c r="DF23" s="35" t="str">
        <f t="shared" si="16"/>
        <v xml:space="preserve"> </v>
      </c>
      <c r="DG23" s="35" t="str">
        <f t="shared" si="17"/>
        <v xml:space="preserve"> </v>
      </c>
      <c r="DH23" s="35" t="str">
        <f t="shared" si="18"/>
        <v xml:space="preserve"> </v>
      </c>
      <c r="DI23" s="35" t="str">
        <f t="shared" si="19"/>
        <v xml:space="preserve"> </v>
      </c>
      <c r="DJ23" s="35" t="str">
        <f t="shared" si="20"/>
        <v xml:space="preserve"> </v>
      </c>
      <c r="DK23" s="35" t="str">
        <f t="shared" si="21"/>
        <v xml:space="preserve"> </v>
      </c>
      <c r="DL23" s="35" t="str">
        <f t="shared" si="22"/>
        <v xml:space="preserve"> </v>
      </c>
      <c r="DM23" s="35" t="str">
        <f t="shared" si="23"/>
        <v xml:space="preserve"> </v>
      </c>
      <c r="DN23" s="35" t="str">
        <f t="shared" si="24"/>
        <v xml:space="preserve"> </v>
      </c>
      <c r="DO23" s="35" t="str">
        <f t="shared" si="25"/>
        <v xml:space="preserve"> </v>
      </c>
      <c r="DP23" s="35" t="str">
        <f t="shared" si="26"/>
        <v xml:space="preserve"> </v>
      </c>
      <c r="DQ23" s="35" t="str">
        <f t="shared" si="27"/>
        <v xml:space="preserve"> </v>
      </c>
      <c r="DR23" s="35" t="str">
        <f t="shared" si="28"/>
        <v xml:space="preserve"> </v>
      </c>
      <c r="DS23" s="35" t="str">
        <f t="shared" si="29"/>
        <v xml:space="preserve"> </v>
      </c>
      <c r="DT23" s="35" t="str">
        <f t="shared" si="30"/>
        <v xml:space="preserve"> </v>
      </c>
      <c r="DU23" s="35" t="str">
        <f t="shared" si="31"/>
        <v xml:space="preserve"> </v>
      </c>
      <c r="DV23" s="35" t="str">
        <f t="shared" si="32"/>
        <v xml:space="preserve"> </v>
      </c>
      <c r="DW23" s="35" t="str">
        <f t="shared" si="33"/>
        <v xml:space="preserve"> </v>
      </c>
      <c r="DX23" s="35" t="str">
        <f t="shared" si="34"/>
        <v xml:space="preserve"> </v>
      </c>
      <c r="DY23" s="35" t="str">
        <f t="shared" si="35"/>
        <v xml:space="preserve"> </v>
      </c>
      <c r="DZ23" s="35" t="str">
        <f>IF($CH23=" "," ",'Wind Calcs'!$V$77)</f>
        <v xml:space="preserve"> </v>
      </c>
      <c r="EA23" s="35" t="str">
        <f>IF($CH23=" "," ",'Wind Calcs'!$V$171)</f>
        <v xml:space="preserve"> </v>
      </c>
      <c r="EB23" s="35" t="str">
        <f>IF($CH23=" "," ",'Wind Calcs'!$V$88)</f>
        <v xml:space="preserve"> </v>
      </c>
      <c r="EC23" s="35" t="str">
        <f>IF($CH23=" "," ",'Wind Calcs'!$V$182)</f>
        <v xml:space="preserve"> </v>
      </c>
      <c r="ED23" s="35" t="str">
        <f>IF($CI23=" "," ",'Wind Calcs'!$V$78)</f>
        <v xml:space="preserve"> </v>
      </c>
      <c r="EE23" s="35" t="str">
        <f>IF($CI23=" "," ",'Wind Calcs'!$V$172)</f>
        <v xml:space="preserve"> </v>
      </c>
      <c r="EF23" s="35" t="str">
        <f>IF($CI23=" "," ",'Wind Calcs'!$V$94)</f>
        <v xml:space="preserve"> </v>
      </c>
      <c r="EG23" s="35" t="str">
        <f>IF($CI23=" "," ",'Wind Calcs'!$V$188)</f>
        <v xml:space="preserve"> </v>
      </c>
      <c r="EH23" s="35" t="str">
        <f>IF($CJ23=" "," ",'Wind Calcs'!$V$79)</f>
        <v xml:space="preserve"> </v>
      </c>
      <c r="EI23" s="35" t="str">
        <f>IF($CJ23=" "," ",'Wind Calcs'!$V$173)</f>
        <v xml:space="preserve"> </v>
      </c>
      <c r="EJ23" s="35" t="str">
        <f>IF($CJ23=" "," ",'Wind Calcs'!$V$100)</f>
        <v xml:space="preserve"> </v>
      </c>
      <c r="EK23" s="35" t="str">
        <f>IF($CJ23=" "," ",'Wind Calcs'!$V$194)</f>
        <v xml:space="preserve"> </v>
      </c>
      <c r="EL23" s="35" t="str">
        <f>IF($CK23=" "," ",'Wind Calcs'!$V$80)</f>
        <v xml:space="preserve"> </v>
      </c>
      <c r="EM23" s="35" t="str">
        <f>IF($CK23=" "," ",'Wind Calcs'!$V$174)</f>
        <v xml:space="preserve"> </v>
      </c>
      <c r="EN23" s="35" t="str">
        <f>IF($CK23=" "," ",'Wind Calcs'!$V$106)</f>
        <v xml:space="preserve"> </v>
      </c>
      <c r="EO23" s="35" t="str">
        <f>IF($CK23=" "," ",'Wind Calcs'!$V$200)</f>
        <v xml:space="preserve"> </v>
      </c>
      <c r="EP23" s="35" t="str">
        <f>IF($CL23=" "," ",'Wind Calcs'!$V$81)</f>
        <v xml:space="preserve"> </v>
      </c>
      <c r="EQ23" s="35" t="str">
        <f>IF($CL23=" "," ",'Wind Calcs'!$V$175)</f>
        <v xml:space="preserve"> </v>
      </c>
      <c r="ER23" s="35" t="str">
        <f>IF($CL23=" "," ",'Wind Calcs'!$V$112)</f>
        <v xml:space="preserve"> </v>
      </c>
      <c r="ES23" s="35" t="str">
        <f>IF($CL23=" "," ",'Wind Calcs'!$V$206)</f>
        <v xml:space="preserve"> </v>
      </c>
      <c r="ET23" s="35" t="str">
        <f>IF($CM23=" "," ",'Wind Calcs'!$V$77)</f>
        <v xml:space="preserve"> </v>
      </c>
      <c r="EU23" s="35" t="str">
        <f>IF($CM23=" "," ",'Wind Calcs'!$V$171)</f>
        <v xml:space="preserve"> </v>
      </c>
      <c r="EV23" s="373" t="str">
        <f>IF($CM23=" "," ",'Wind Calcs'!$V$88)</f>
        <v xml:space="preserve"> </v>
      </c>
      <c r="EW23" s="35" t="str">
        <f>IF($CM23=" "," ",'Wind Calcs'!$V$182)</f>
        <v xml:space="preserve"> </v>
      </c>
    </row>
    <row r="24" spans="2:153" x14ac:dyDescent="0.25">
      <c r="B24" s="34" t="str">
        <f t="shared" si="36"/>
        <v/>
      </c>
      <c r="C24" s="299">
        <v>19</v>
      </c>
      <c r="D24" s="7" t="str">
        <f t="shared" si="37"/>
        <v/>
      </c>
      <c r="E24" s="299" t="str">
        <f t="shared" si="38"/>
        <v/>
      </c>
      <c r="G24" s="302">
        <v>19</v>
      </c>
      <c r="H24" s="7" t="e">
        <f t="shared" si="39"/>
        <v>#VALUE!</v>
      </c>
      <c r="I24" s="299" t="e">
        <f t="shared" si="40"/>
        <v>#VALUE!</v>
      </c>
      <c r="J24" s="7"/>
      <c r="K24" s="302">
        <v>19</v>
      </c>
      <c r="L24" s="652" t="str">
        <f t="shared" si="41"/>
        <v/>
      </c>
      <c r="M24" s="556"/>
      <c r="O24" s="628"/>
      <c r="P24" s="559"/>
      <c r="Q24" t="s">
        <v>675</v>
      </c>
      <c r="R24" s="7" t="e">
        <f>ROUND(ML, 3)</f>
        <v>#VALUE!</v>
      </c>
      <c r="S24" s="77" t="s">
        <v>657</v>
      </c>
      <c r="T24" s="43"/>
      <c r="U24" s="7" t="e">
        <f>R24/12</f>
        <v>#VALUE!</v>
      </c>
      <c r="V24" s="28" t="s">
        <v>658</v>
      </c>
      <c r="W24" s="27" t="s">
        <v>660</v>
      </c>
      <c r="X24" s="7">
        <f>VLOOKUP(VS,'List Data'!$A$8:$B$12, 2, FALSE)</f>
        <v>2.1419999999999999</v>
      </c>
      <c r="Y24" s="28" t="s">
        <v>661</v>
      </c>
      <c r="Z24" s="27"/>
      <c r="AA24" s="7"/>
      <c r="AB24" s="28"/>
      <c r="AC24" s="27"/>
      <c r="AD24" s="7"/>
      <c r="AE24" s="28"/>
      <c r="AF24" s="27"/>
      <c r="AH24" s="28"/>
      <c r="AJ24" s="27"/>
      <c r="AK24" s="7"/>
      <c r="AL24" s="28"/>
      <c r="AM24" s="27"/>
      <c r="AO24" s="28"/>
      <c r="AP24" s="27"/>
      <c r="AQ24" s="7"/>
      <c r="AR24" s="28"/>
      <c r="AT24" s="27"/>
      <c r="AU24" s="210"/>
      <c r="AV24" s="28"/>
      <c r="AX24" s="628"/>
      <c r="AY24" s="559"/>
      <c r="AZ24" t="s">
        <v>675</v>
      </c>
      <c r="BA24" s="7" t="e">
        <f>ROUND(ML, 3)</f>
        <v>#VALUE!</v>
      </c>
      <c r="BB24" s="77" t="s">
        <v>657</v>
      </c>
      <c r="BC24" s="43"/>
      <c r="BD24" s="7" t="e">
        <f>BA24/12</f>
        <v>#VALUE!</v>
      </c>
      <c r="BE24" s="28" t="s">
        <v>658</v>
      </c>
      <c r="BF24" s="27" t="s">
        <v>660</v>
      </c>
      <c r="BG24" s="7">
        <f>VLOOKUP(VS,'List Data'!$A$8:$B$12, 2, FALSE)</f>
        <v>2.1419999999999999</v>
      </c>
      <c r="BH24" s="28" t="s">
        <v>661</v>
      </c>
      <c r="BI24" s="27"/>
      <c r="BJ24" s="7"/>
      <c r="BK24" s="28"/>
      <c r="BL24" s="27"/>
      <c r="BM24" s="7"/>
      <c r="BN24" s="28"/>
      <c r="BO24" s="27"/>
      <c r="BQ24" s="28"/>
      <c r="BS24" s="27"/>
      <c r="BT24" s="7"/>
      <c r="BU24" s="28"/>
      <c r="BV24" s="27"/>
      <c r="BX24" s="28"/>
      <c r="BY24" s="27"/>
      <c r="BZ24" s="7"/>
      <c r="CA24" s="28"/>
      <c r="CC24" s="27"/>
      <c r="CD24" s="210"/>
      <c r="CE24" s="28"/>
      <c r="CG24" s="35">
        <v>20</v>
      </c>
      <c r="CH24" s="35" t="str">
        <f t="shared" si="0"/>
        <v xml:space="preserve"> </v>
      </c>
      <c r="CI24" s="35" t="str">
        <f t="shared" si="1"/>
        <v xml:space="preserve"> </v>
      </c>
      <c r="CJ24" s="35" t="str">
        <f t="shared" si="2"/>
        <v xml:space="preserve"> </v>
      </c>
      <c r="CK24" s="35" t="str">
        <f t="shared" si="3"/>
        <v xml:space="preserve"> </v>
      </c>
      <c r="CL24" s="35" t="str">
        <f t="shared" si="4"/>
        <v xml:space="preserve"> </v>
      </c>
      <c r="CM24" s="35" t="str">
        <f t="shared" si="5"/>
        <v xml:space="preserve"> </v>
      </c>
      <c r="CN24" s="342" t="str">
        <f>IFERROR(AG105," ")</f>
        <v xml:space="preserve"> </v>
      </c>
      <c r="CO24" s="342" t="str">
        <f>IFERROR(AU105," ")</f>
        <v xml:space="preserve"> </v>
      </c>
      <c r="CP24" s="342" t="str">
        <f>IFERROR(AQ105," ")</f>
        <v xml:space="preserve"> </v>
      </c>
      <c r="CQ24" s="342" t="str">
        <f>IFERROR(BP105," ")</f>
        <v xml:space="preserve"> </v>
      </c>
      <c r="CR24" s="342" t="str">
        <f>IFERROR(CD105," ")</f>
        <v xml:space="preserve"> </v>
      </c>
      <c r="CS24" s="342" t="str">
        <f>IFERROR(BZ105," ")</f>
        <v xml:space="preserve"> </v>
      </c>
      <c r="CT24" s="35" t="str">
        <f>IFERROR(IF(AND(controlling_code="ASCE 7-22",pf&gt;45),(CN24+0.15*CO24)*Inputs!$B$23,IF(AND(controlling_code="ASCE 7-22",pf&lt;45),CN24*Inputs!$B$23,IF(pf&lt;=30,CN24*Inputs!$B$23,(CN24+0.2*CO24)*Inputs!$B$23)))," ")</f>
        <v xml:space="preserve"> </v>
      </c>
      <c r="CU24" s="35" t="str">
        <f>IFERROR(IF(AND(controlling_code="ASCE 7-22",pf&gt;45),(CN24+0.15*CO24)*Inputs!$B$23,IF(AND(controlling_code="ASCE 7-22",pf&lt;45),CN24*Inputs!$B$23,IF(pf&lt;=30,CN24*Inputs!$B$23,(CN24+0.2*CO24)*Inputs!$B$23)))," ")</f>
        <v xml:space="preserve"> </v>
      </c>
      <c r="CV24" s="35" t="str">
        <f t="shared" si="6"/>
        <v xml:space="preserve"> </v>
      </c>
      <c r="CW24" s="35" t="str">
        <f t="shared" si="7"/>
        <v xml:space="preserve"> </v>
      </c>
      <c r="CX24" s="35" t="str">
        <f t="shared" si="8"/>
        <v xml:space="preserve"> </v>
      </c>
      <c r="CY24" s="35" t="str">
        <f t="shared" si="9"/>
        <v xml:space="preserve"> </v>
      </c>
      <c r="CZ24" s="35" t="str">
        <f t="shared" si="10"/>
        <v xml:space="preserve"> </v>
      </c>
      <c r="DA24" s="35" t="str">
        <f t="shared" si="11"/>
        <v xml:space="preserve"> </v>
      </c>
      <c r="DB24" s="35" t="str">
        <f t="shared" si="12"/>
        <v xml:space="preserve"> </v>
      </c>
      <c r="DC24" s="35" t="str">
        <f t="shared" si="13"/>
        <v xml:space="preserve"> </v>
      </c>
      <c r="DD24" s="35" t="str">
        <f t="shared" si="14"/>
        <v xml:space="preserve"> </v>
      </c>
      <c r="DE24" s="35" t="str">
        <f t="shared" si="15"/>
        <v xml:space="preserve"> </v>
      </c>
      <c r="DF24" s="35" t="str">
        <f t="shared" si="16"/>
        <v xml:space="preserve"> </v>
      </c>
      <c r="DG24" s="35" t="str">
        <f t="shared" si="17"/>
        <v xml:space="preserve"> </v>
      </c>
      <c r="DH24" s="35" t="str">
        <f t="shared" si="18"/>
        <v xml:space="preserve"> </v>
      </c>
      <c r="DI24" s="35" t="str">
        <f t="shared" si="19"/>
        <v xml:space="preserve"> </v>
      </c>
      <c r="DJ24" s="35" t="str">
        <f t="shared" si="20"/>
        <v xml:space="preserve"> </v>
      </c>
      <c r="DK24" s="35" t="str">
        <f t="shared" si="21"/>
        <v xml:space="preserve"> </v>
      </c>
      <c r="DL24" s="35" t="str">
        <f t="shared" si="22"/>
        <v xml:space="preserve"> </v>
      </c>
      <c r="DM24" s="35" t="str">
        <f t="shared" si="23"/>
        <v xml:space="preserve"> </v>
      </c>
      <c r="DN24" s="35" t="str">
        <f t="shared" si="24"/>
        <v xml:space="preserve"> </v>
      </c>
      <c r="DO24" s="35" t="str">
        <f t="shared" si="25"/>
        <v xml:space="preserve"> </v>
      </c>
      <c r="DP24" s="35" t="str">
        <f t="shared" si="26"/>
        <v xml:space="preserve"> </v>
      </c>
      <c r="DQ24" s="35" t="str">
        <f t="shared" si="27"/>
        <v xml:space="preserve"> </v>
      </c>
      <c r="DR24" s="35" t="str">
        <f t="shared" si="28"/>
        <v xml:space="preserve"> </v>
      </c>
      <c r="DS24" s="35" t="str">
        <f t="shared" si="29"/>
        <v xml:space="preserve"> </v>
      </c>
      <c r="DT24" s="35" t="str">
        <f t="shared" si="30"/>
        <v xml:space="preserve"> </v>
      </c>
      <c r="DU24" s="35" t="str">
        <f t="shared" si="31"/>
        <v xml:space="preserve"> </v>
      </c>
      <c r="DV24" s="35" t="str">
        <f t="shared" si="32"/>
        <v xml:space="preserve"> </v>
      </c>
      <c r="DW24" s="35" t="str">
        <f t="shared" si="33"/>
        <v xml:space="preserve"> </v>
      </c>
      <c r="DX24" s="35" t="str">
        <f t="shared" si="34"/>
        <v xml:space="preserve"> </v>
      </c>
      <c r="DY24" s="35" t="str">
        <f t="shared" si="35"/>
        <v xml:space="preserve"> </v>
      </c>
      <c r="DZ24" s="35" t="str">
        <f>IF($CH24=" "," ",'Wind Calcs'!$W$77)</f>
        <v xml:space="preserve"> </v>
      </c>
      <c r="EA24" s="35" t="str">
        <f>IF($CH24=" "," ",'Wind Calcs'!$W$171)</f>
        <v xml:space="preserve"> </v>
      </c>
      <c r="EB24" s="35" t="str">
        <f>IF($CH24=" "," ",'Wind Calcs'!$W$88)</f>
        <v xml:space="preserve"> </v>
      </c>
      <c r="EC24" s="35" t="str">
        <f>IF($CH24=" "," ",'Wind Calcs'!$W$182)</f>
        <v xml:space="preserve"> </v>
      </c>
      <c r="ED24" s="35" t="str">
        <f>IF($CI24=" "," ",'Wind Calcs'!$W$78)</f>
        <v xml:space="preserve"> </v>
      </c>
      <c r="EE24" s="35" t="str">
        <f>IF($CI24=" "," ",'Wind Calcs'!$W$172)</f>
        <v xml:space="preserve"> </v>
      </c>
      <c r="EF24" s="35" t="str">
        <f>IF($CI24=" "," ",'Wind Calcs'!$W$94)</f>
        <v xml:space="preserve"> </v>
      </c>
      <c r="EG24" s="35" t="str">
        <f>IF($CI24=" "," ",'Wind Calcs'!$W$188)</f>
        <v xml:space="preserve"> </v>
      </c>
      <c r="EH24" s="35" t="str">
        <f>IF($CJ24=" "," ",'Wind Calcs'!$W$79)</f>
        <v xml:space="preserve"> </v>
      </c>
      <c r="EI24" s="35" t="str">
        <f>IF($CJ24=" "," ",'Wind Calcs'!$W$173)</f>
        <v xml:space="preserve"> </v>
      </c>
      <c r="EJ24" s="35" t="str">
        <f>IF($CJ24=" "," ",'Wind Calcs'!$W$100)</f>
        <v xml:space="preserve"> </v>
      </c>
      <c r="EK24" s="35" t="str">
        <f>IF($CJ24=" "," ",'Wind Calcs'!$W$194)</f>
        <v xml:space="preserve"> </v>
      </c>
      <c r="EL24" s="35" t="str">
        <f>IF($CK24=" "," ",'Wind Calcs'!$W$80)</f>
        <v xml:space="preserve"> </v>
      </c>
      <c r="EM24" s="35" t="str">
        <f>IF($CK24=" "," ",'Wind Calcs'!$W$174)</f>
        <v xml:space="preserve"> </v>
      </c>
      <c r="EN24" s="35" t="str">
        <f>IF($CK24=" "," ",'Wind Calcs'!$W$106)</f>
        <v xml:space="preserve"> </v>
      </c>
      <c r="EO24" s="35" t="str">
        <f>IF($CK24=" "," ",'Wind Calcs'!$W$200)</f>
        <v xml:space="preserve"> </v>
      </c>
      <c r="EP24" s="35" t="str">
        <f>IF($CL24=" "," ",'Wind Calcs'!$W$81)</f>
        <v xml:space="preserve"> </v>
      </c>
      <c r="EQ24" s="35" t="str">
        <f>IF($CL24=" "," ",'Wind Calcs'!$W$175)</f>
        <v xml:space="preserve"> </v>
      </c>
      <c r="ER24" s="35" t="str">
        <f>IF($CL24=" "," ",'Wind Calcs'!$W$112)</f>
        <v xml:space="preserve"> </v>
      </c>
      <c r="ES24" s="35" t="str">
        <f>IF($CL24=" "," ",'Wind Calcs'!$W$206)</f>
        <v xml:space="preserve"> </v>
      </c>
      <c r="ET24" s="35" t="str">
        <f>IF($CM24=" "," ",'Wind Calcs'!$W$77)</f>
        <v xml:space="preserve"> </v>
      </c>
      <c r="EU24" s="35" t="str">
        <f>IF($CM24=" "," ",'Wind Calcs'!$W$171)</f>
        <v xml:space="preserve"> </v>
      </c>
      <c r="EV24" s="373" t="str">
        <f>IF($CM24=" "," ",'Wind Calcs'!$W$88)</f>
        <v xml:space="preserve"> </v>
      </c>
      <c r="EW24" s="35" t="str">
        <f>IF($CM24=" "," ",'Wind Calcs'!$W$182)</f>
        <v xml:space="preserve"> </v>
      </c>
    </row>
    <row r="25" spans="2:153" x14ac:dyDescent="0.25">
      <c r="B25" s="34" t="str">
        <f t="shared" si="36"/>
        <v/>
      </c>
      <c r="C25" s="299">
        <v>20</v>
      </c>
      <c r="D25" s="7" t="str">
        <f t="shared" si="37"/>
        <v/>
      </c>
      <c r="E25" s="299" t="str">
        <f t="shared" si="38"/>
        <v/>
      </c>
      <c r="G25" s="302">
        <v>20</v>
      </c>
      <c r="H25" s="7" t="e">
        <f t="shared" si="39"/>
        <v>#VALUE!</v>
      </c>
      <c r="I25" s="299" t="e">
        <f t="shared" si="40"/>
        <v>#VALUE!</v>
      </c>
      <c r="J25" s="7"/>
      <c r="K25" s="302">
        <v>20</v>
      </c>
      <c r="L25" s="652" t="str">
        <f t="shared" si="41"/>
        <v/>
      </c>
      <c r="M25" s="556"/>
      <c r="O25" s="629"/>
      <c r="P25" s="561"/>
      <c r="Q25" s="30" t="s">
        <v>671</v>
      </c>
      <c r="R25" s="309" t="e">
        <f>R23*R24</f>
        <v>#VALUE!</v>
      </c>
      <c r="S25" s="311" t="s">
        <v>676</v>
      </c>
      <c r="T25" s="313"/>
      <c r="U25" s="309" t="e">
        <f>IF(O21="Exterior Drive Post", (R25/144)-(((GL+GR)*(ML/25.4))/144), R25/144)</f>
        <v>#VALUE!</v>
      </c>
      <c r="V25" s="31" t="s">
        <v>677</v>
      </c>
      <c r="W25" s="29" t="s">
        <v>678</v>
      </c>
      <c r="X25" s="314" t="e">
        <f>X24/12*X23</f>
        <v>#VALUE!</v>
      </c>
      <c r="Y25" s="31" t="s">
        <v>663</v>
      </c>
      <c r="Z25" s="29" t="s">
        <v>678</v>
      </c>
      <c r="AA25" s="315" t="e">
        <f>AA21*AA22</f>
        <v>#VALUE!</v>
      </c>
      <c r="AB25" s="31" t="s">
        <v>663</v>
      </c>
      <c r="AC25" s="29" t="s">
        <v>678</v>
      </c>
      <c r="AD25" s="316" t="e">
        <f>AD21*AD22</f>
        <v>#VALUE!</v>
      </c>
      <c r="AE25" s="31" t="s">
        <v>181</v>
      </c>
      <c r="AF25" s="29" t="s">
        <v>654</v>
      </c>
      <c r="AG25" s="320" t="e">
        <f>IF(O21="Exterior Drive Post", SUM(AG21:AG23)+SDW, SUM(AG21:AG23)+ICW)</f>
        <v>#VALUE!</v>
      </c>
      <c r="AH25" s="31" t="s">
        <v>663</v>
      </c>
      <c r="AI25">
        <v>4</v>
      </c>
      <c r="AJ25" s="29"/>
      <c r="AK25" s="309"/>
      <c r="AL25" s="31"/>
      <c r="AM25" s="29"/>
      <c r="AN25" s="30"/>
      <c r="AO25" s="31"/>
      <c r="AP25" s="29" t="s">
        <v>679</v>
      </c>
      <c r="AQ25" s="324" t="e">
        <f>AQ23*Pult</f>
        <v>#VALUE!</v>
      </c>
      <c r="AR25" s="31" t="s">
        <v>181</v>
      </c>
      <c r="AT25" s="29" t="s">
        <v>662</v>
      </c>
      <c r="AU25" s="339" t="e">
        <f>AU23*AU22</f>
        <v>#VALUE!</v>
      </c>
      <c r="AV25" s="31" t="s">
        <v>181</v>
      </c>
      <c r="AX25" s="629"/>
      <c r="AY25" s="561"/>
      <c r="AZ25" s="30" t="s">
        <v>671</v>
      </c>
      <c r="BA25" s="309" t="e">
        <f>BA23*BA24</f>
        <v>#VALUE!</v>
      </c>
      <c r="BB25" s="311" t="s">
        <v>676</v>
      </c>
      <c r="BC25" s="313"/>
      <c r="BD25" s="309" t="e">
        <f>IF(AX21="Interior Drive Post", (BA25/144)-(((GL+GR)*(ML/25.4))/144), BA25/144)</f>
        <v>#VALUE!</v>
      </c>
      <c r="BE25" s="31" t="s">
        <v>677</v>
      </c>
      <c r="BF25" s="29" t="s">
        <v>678</v>
      </c>
      <c r="BG25" s="314" t="e">
        <f>BG24/12*BG23</f>
        <v>#VALUE!</v>
      </c>
      <c r="BH25" s="31" t="s">
        <v>663</v>
      </c>
      <c r="BI25" s="29" t="s">
        <v>678</v>
      </c>
      <c r="BJ25" s="315" t="e">
        <f>BJ21*BJ22</f>
        <v>#VALUE!</v>
      </c>
      <c r="BK25" s="31" t="s">
        <v>663</v>
      </c>
      <c r="BL25" s="29" t="s">
        <v>678</v>
      </c>
      <c r="BM25" s="316" t="e">
        <f>BM21*BM22</f>
        <v>#VALUE!</v>
      </c>
      <c r="BN25" s="31" t="s">
        <v>181</v>
      </c>
      <c r="BO25" s="29" t="s">
        <v>654</v>
      </c>
      <c r="BP25" s="320" t="e">
        <f>IF(AX21="Interior Drive Post", SUM(BP21:BP23)+SDW, SUM(BP21:BP23)+ICW)</f>
        <v>#VALUE!</v>
      </c>
      <c r="BQ25" s="31" t="s">
        <v>663</v>
      </c>
      <c r="BR25">
        <v>4</v>
      </c>
      <c r="BS25" s="29"/>
      <c r="BT25" s="309"/>
      <c r="BU25" s="31"/>
      <c r="BV25" s="29"/>
      <c r="BW25" s="30"/>
      <c r="BX25" s="31"/>
      <c r="BY25" s="29" t="s">
        <v>679</v>
      </c>
      <c r="BZ25" s="324" t="e">
        <f>BZ23*Pult</f>
        <v>#VALUE!</v>
      </c>
      <c r="CA25" s="31" t="s">
        <v>181</v>
      </c>
      <c r="CC25" s="29" t="s">
        <v>662</v>
      </c>
      <c r="CD25" s="339" t="e">
        <f>CD23*CD22</f>
        <v>#VALUE!</v>
      </c>
      <c r="CE25" s="31" t="s">
        <v>181</v>
      </c>
      <c r="CG25" s="35">
        <v>21</v>
      </c>
      <c r="CH25" s="35" t="str">
        <f t="shared" si="0"/>
        <v xml:space="preserve"> </v>
      </c>
      <c r="CI25" s="35" t="str">
        <f t="shared" si="1"/>
        <v xml:space="preserve"> </v>
      </c>
      <c r="CJ25" s="35" t="str">
        <f t="shared" si="2"/>
        <v xml:space="preserve"> </v>
      </c>
      <c r="CK25" s="35" t="str">
        <f t="shared" si="3"/>
        <v xml:space="preserve"> </v>
      </c>
      <c r="CL25" s="35" t="str">
        <f t="shared" si="4"/>
        <v xml:space="preserve"> </v>
      </c>
      <c r="CM25" s="35" t="str">
        <f t="shared" si="5"/>
        <v xml:space="preserve"> </v>
      </c>
      <c r="CN25" s="342" t="str">
        <f>IFERROR(AG110," ")</f>
        <v xml:space="preserve"> </v>
      </c>
      <c r="CO25" s="342" t="str">
        <f>IFERROR(AU110," ")</f>
        <v xml:space="preserve"> </v>
      </c>
      <c r="CP25" s="342" t="str">
        <f>IFERROR(AQ110," ")</f>
        <v xml:space="preserve"> </v>
      </c>
      <c r="CQ25" s="342" t="str">
        <f>IFERROR(BP110," ")</f>
        <v xml:space="preserve"> </v>
      </c>
      <c r="CR25" s="342" t="str">
        <f>IFERROR(CD110," ")</f>
        <v xml:space="preserve"> </v>
      </c>
      <c r="CS25" s="342" t="str">
        <f>IFERROR(BZ110," ")</f>
        <v xml:space="preserve"> </v>
      </c>
      <c r="CT25" s="35" t="str">
        <f>IFERROR(IF(AND(controlling_code="ASCE 7-22",pf&gt;45),(CN25+0.15*CO25)*Inputs!$B$23,IF(AND(controlling_code="ASCE 7-22",pf&lt;45),CN25*Inputs!$B$23,IF(pf&lt;=30,CN25*Inputs!$B$23,(CN25+0.2*CO25)*Inputs!$B$23)))," ")</f>
        <v xml:space="preserve"> </v>
      </c>
      <c r="CU25" s="35" t="str">
        <f>IFERROR(IF(AND(controlling_code="ASCE 7-22",pf&gt;45),(CN25+0.15*CO25)*Inputs!$B$23,IF(AND(controlling_code="ASCE 7-22",pf&lt;45),CN25*Inputs!$B$23,IF(pf&lt;=30,CN25*Inputs!$B$23,(CN25+0.2*CO25)*Inputs!$B$23)))," ")</f>
        <v xml:space="preserve"> </v>
      </c>
      <c r="CV25" s="35" t="str">
        <f t="shared" si="6"/>
        <v xml:space="preserve"> </v>
      </c>
      <c r="CW25" s="35" t="str">
        <f t="shared" si="7"/>
        <v xml:space="preserve"> </v>
      </c>
      <c r="CX25" s="35" t="str">
        <f t="shared" si="8"/>
        <v xml:space="preserve"> </v>
      </c>
      <c r="CY25" s="35" t="str">
        <f t="shared" si="9"/>
        <v xml:space="preserve"> </v>
      </c>
      <c r="CZ25" s="35" t="str">
        <f t="shared" si="10"/>
        <v xml:space="preserve"> </v>
      </c>
      <c r="DA25" s="35" t="str">
        <f t="shared" si="11"/>
        <v xml:space="preserve"> </v>
      </c>
      <c r="DB25" s="35" t="str">
        <f t="shared" si="12"/>
        <v xml:space="preserve"> </v>
      </c>
      <c r="DC25" s="35" t="str">
        <f t="shared" si="13"/>
        <v xml:space="preserve"> </v>
      </c>
      <c r="DD25" s="35" t="str">
        <f t="shared" si="14"/>
        <v xml:space="preserve"> </v>
      </c>
      <c r="DE25" s="35" t="str">
        <f t="shared" si="15"/>
        <v xml:space="preserve"> </v>
      </c>
      <c r="DF25" s="35" t="str">
        <f t="shared" si="16"/>
        <v xml:space="preserve"> </v>
      </c>
      <c r="DG25" s="35" t="str">
        <f t="shared" si="17"/>
        <v xml:space="preserve"> </v>
      </c>
      <c r="DH25" s="35" t="str">
        <f t="shared" si="18"/>
        <v xml:space="preserve"> </v>
      </c>
      <c r="DI25" s="35" t="str">
        <f t="shared" si="19"/>
        <v xml:space="preserve"> </v>
      </c>
      <c r="DJ25" s="35" t="str">
        <f t="shared" si="20"/>
        <v xml:space="preserve"> </v>
      </c>
      <c r="DK25" s="35" t="str">
        <f t="shared" si="21"/>
        <v xml:space="preserve"> </v>
      </c>
      <c r="DL25" s="35" t="str">
        <f t="shared" si="22"/>
        <v xml:space="preserve"> </v>
      </c>
      <c r="DM25" s="35" t="str">
        <f t="shared" si="23"/>
        <v xml:space="preserve"> </v>
      </c>
      <c r="DN25" s="35" t="str">
        <f t="shared" si="24"/>
        <v xml:space="preserve"> </v>
      </c>
      <c r="DO25" s="35" t="str">
        <f t="shared" si="25"/>
        <v xml:space="preserve"> </v>
      </c>
      <c r="DP25" s="35" t="str">
        <f t="shared" si="26"/>
        <v xml:space="preserve"> </v>
      </c>
      <c r="DQ25" s="35" t="str">
        <f t="shared" si="27"/>
        <v xml:space="preserve"> </v>
      </c>
      <c r="DR25" s="35" t="str">
        <f t="shared" si="28"/>
        <v xml:space="preserve"> </v>
      </c>
      <c r="DS25" s="35" t="str">
        <f t="shared" si="29"/>
        <v xml:space="preserve"> </v>
      </c>
      <c r="DT25" s="35" t="str">
        <f t="shared" si="30"/>
        <v xml:space="preserve"> </v>
      </c>
      <c r="DU25" s="35" t="str">
        <f t="shared" si="31"/>
        <v xml:space="preserve"> </v>
      </c>
      <c r="DV25" s="35" t="str">
        <f t="shared" si="32"/>
        <v xml:space="preserve"> </v>
      </c>
      <c r="DW25" s="35" t="str">
        <f t="shared" si="33"/>
        <v xml:space="preserve"> </v>
      </c>
      <c r="DX25" s="35" t="str">
        <f t="shared" si="34"/>
        <v xml:space="preserve"> </v>
      </c>
      <c r="DY25" s="35" t="str">
        <f t="shared" si="35"/>
        <v xml:space="preserve"> </v>
      </c>
      <c r="DZ25" s="35" t="str">
        <f>IF($CH25=" "," ",'Wind Calcs'!$X$77)</f>
        <v xml:space="preserve"> </v>
      </c>
      <c r="EA25" s="35" t="str">
        <f>IF($CH25=" "," ",'Wind Calcs'!$X$171)</f>
        <v xml:space="preserve"> </v>
      </c>
      <c r="EB25" s="35" t="str">
        <f>IF($CH25=" "," ",'Wind Calcs'!$X$88)</f>
        <v xml:space="preserve"> </v>
      </c>
      <c r="EC25" s="35" t="str">
        <f>IF($CH25=" "," ",'Wind Calcs'!$X$182)</f>
        <v xml:space="preserve"> </v>
      </c>
      <c r="ED25" s="35" t="str">
        <f>IF($CI25=" "," ",'Wind Calcs'!$X$78)</f>
        <v xml:space="preserve"> </v>
      </c>
      <c r="EE25" s="35" t="str">
        <f>IF($CI25=" "," ",'Wind Calcs'!$X$172)</f>
        <v xml:space="preserve"> </v>
      </c>
      <c r="EF25" s="35" t="str">
        <f>IF($CI25=" "," ",'Wind Calcs'!$X$94)</f>
        <v xml:space="preserve"> </v>
      </c>
      <c r="EG25" s="35" t="str">
        <f>IF($CI25=" "," ",'Wind Calcs'!$X$188)</f>
        <v xml:space="preserve"> </v>
      </c>
      <c r="EH25" s="35" t="str">
        <f>IF($CJ25=" "," ",'Wind Calcs'!$X$79)</f>
        <v xml:space="preserve"> </v>
      </c>
      <c r="EI25" s="35" t="str">
        <f>IF($CJ25=" "," ",'Wind Calcs'!$X$173)</f>
        <v xml:space="preserve"> </v>
      </c>
      <c r="EJ25" s="35" t="str">
        <f>IF($CJ25=" "," ",'Wind Calcs'!$X$100)</f>
        <v xml:space="preserve"> </v>
      </c>
      <c r="EK25" s="35" t="str">
        <f>IF($CJ25=" "," ",'Wind Calcs'!$X$194)</f>
        <v xml:space="preserve"> </v>
      </c>
      <c r="EL25" s="35" t="str">
        <f>IF($CK25=" "," ",'Wind Calcs'!$X$80)</f>
        <v xml:space="preserve"> </v>
      </c>
      <c r="EM25" s="35" t="str">
        <f>IF($CK25=" "," ",'Wind Calcs'!$X$174)</f>
        <v xml:space="preserve"> </v>
      </c>
      <c r="EN25" s="35" t="str">
        <f>IF($CK25=" "," ",'Wind Calcs'!$X$106)</f>
        <v xml:space="preserve"> </v>
      </c>
      <c r="EO25" s="35" t="str">
        <f>IF($CK25=" "," ",'Wind Calcs'!$X$200)</f>
        <v xml:space="preserve"> </v>
      </c>
      <c r="EP25" s="35" t="str">
        <f>IF($CL25=" "," ",'Wind Calcs'!$X$81)</f>
        <v xml:space="preserve"> </v>
      </c>
      <c r="EQ25" s="35" t="str">
        <f>IF($CL25=" "," ",'Wind Calcs'!$X$175)</f>
        <v xml:space="preserve"> </v>
      </c>
      <c r="ER25" s="35" t="str">
        <f>IF($CL25=" "," ",'Wind Calcs'!$X$112)</f>
        <v xml:space="preserve"> </v>
      </c>
      <c r="ES25" s="35" t="str">
        <f>IF($CL25=" "," ",'Wind Calcs'!$X$206)</f>
        <v xml:space="preserve"> </v>
      </c>
      <c r="ET25" s="35" t="str">
        <f>IF($CM25=" "," ",'Wind Calcs'!$X$77)</f>
        <v xml:space="preserve"> </v>
      </c>
      <c r="EU25" s="35" t="str">
        <f>IF($CM25=" "," ",'Wind Calcs'!$X$171)</f>
        <v xml:space="preserve"> </v>
      </c>
      <c r="EV25" s="373" t="str">
        <f>IF($CM25=" "," ",'Wind Calcs'!$X$88)</f>
        <v xml:space="preserve"> </v>
      </c>
      <c r="EW25" s="35" t="str">
        <f>IF($CM25=" "," ",'Wind Calcs'!$X$182)</f>
        <v xml:space="preserve"> </v>
      </c>
    </row>
    <row r="26" spans="2:153" x14ac:dyDescent="0.25">
      <c r="B26" s="34" t="str">
        <f t="shared" si="36"/>
        <v/>
      </c>
      <c r="C26" s="299">
        <v>21</v>
      </c>
      <c r="D26" s="7" t="str">
        <f t="shared" si="37"/>
        <v/>
      </c>
      <c r="E26" s="299" t="str">
        <f t="shared" si="38"/>
        <v/>
      </c>
      <c r="G26" s="302">
        <v>21</v>
      </c>
      <c r="H26" s="7" t="e">
        <f t="shared" si="39"/>
        <v>#VALUE!</v>
      </c>
      <c r="I26" s="299" t="e">
        <f t="shared" si="40"/>
        <v>#VALUE!</v>
      </c>
      <c r="J26" s="7"/>
      <c r="K26" s="302">
        <v>21</v>
      </c>
      <c r="L26" s="652" t="str">
        <f t="shared" si="41"/>
        <v/>
      </c>
      <c r="M26" s="556"/>
      <c r="O26" s="653" t="str">
        <f>D10</f>
        <v/>
      </c>
      <c r="P26" s="558"/>
      <c r="Q26" s="25" t="s">
        <v>656</v>
      </c>
      <c r="R26" s="297" t="str">
        <f>L10</f>
        <v/>
      </c>
      <c r="S26" s="310" t="s">
        <v>657</v>
      </c>
      <c r="T26" s="312"/>
      <c r="U26" s="297" t="e">
        <f>R26/12</f>
        <v>#VALUE!</v>
      </c>
      <c r="V26" s="26" t="s">
        <v>658</v>
      </c>
      <c r="W26" s="24" t="s">
        <v>659</v>
      </c>
      <c r="X26" s="297" t="e">
        <f>VL</f>
        <v>#VALUE!</v>
      </c>
      <c r="Y26" s="26" t="s">
        <v>657</v>
      </c>
      <c r="Z26" s="24" t="s">
        <v>660</v>
      </c>
      <c r="AA26" s="297">
        <f>VLOOKUP(TS,'List Data'!$A$15:$B$18, 2, FALSE)</f>
        <v>7.8955000000000002</v>
      </c>
      <c r="AB26" s="26" t="s">
        <v>661</v>
      </c>
      <c r="AC26" s="24" t="s">
        <v>662</v>
      </c>
      <c r="AD26" s="297" t="e">
        <f>PL</f>
        <v>#VALUE!</v>
      </c>
      <c r="AE26" s="26" t="s">
        <v>65</v>
      </c>
      <c r="AF26" s="24" t="s">
        <v>651</v>
      </c>
      <c r="AG26" s="318" t="e">
        <f>X30</f>
        <v>#VALUE!</v>
      </c>
      <c r="AH26" s="26" t="s">
        <v>663</v>
      </c>
      <c r="AJ26" s="24" t="s">
        <v>664</v>
      </c>
      <c r="AK26" s="297" t="e">
        <f>ROUND(MT/12,5)</f>
        <v>#VALUE!</v>
      </c>
      <c r="AL26" s="26" t="s">
        <v>658</v>
      </c>
      <c r="AM26" s="24" t="s">
        <v>370</v>
      </c>
      <c r="AN26" s="297">
        <f>IF(OR(TS="5x4, .126", TS="5x4, .134"), 5/12,4/12)</f>
        <v>0.41666666666666669</v>
      </c>
      <c r="AO26" s="26" t="s">
        <v>658</v>
      </c>
      <c r="AP26" s="24" t="s">
        <v>653</v>
      </c>
      <c r="AQ26" s="322" t="e">
        <f>AK28</f>
        <v>#VALUE!</v>
      </c>
      <c r="AR26" s="26" t="s">
        <v>665</v>
      </c>
      <c r="AT26" s="24" t="s">
        <v>666</v>
      </c>
      <c r="AU26" s="338" t="str">
        <f>Theta</f>
        <v>XX</v>
      </c>
      <c r="AV26" s="26" t="s">
        <v>667</v>
      </c>
      <c r="AX26" s="653" t="str">
        <f>D46</f>
        <v/>
      </c>
      <c r="AY26" s="558"/>
      <c r="AZ26" s="25" t="s">
        <v>656</v>
      </c>
      <c r="BA26" s="297" t="str">
        <f>L46</f>
        <v/>
      </c>
      <c r="BB26" s="310" t="s">
        <v>657</v>
      </c>
      <c r="BC26" s="312"/>
      <c r="BD26" s="297" t="e">
        <f>BA26/12</f>
        <v>#VALUE!</v>
      </c>
      <c r="BE26" s="26" t="s">
        <v>658</v>
      </c>
      <c r="BF26" s="24" t="s">
        <v>659</v>
      </c>
      <c r="BG26" s="297" t="e">
        <f>VL</f>
        <v>#VALUE!</v>
      </c>
      <c r="BH26" s="26" t="s">
        <v>657</v>
      </c>
      <c r="BI26" s="24" t="s">
        <v>660</v>
      </c>
      <c r="BJ26" s="297">
        <f>VLOOKUP(TS,'List Data'!$A$15:$B$18, 2, FALSE)</f>
        <v>7.8955000000000002</v>
      </c>
      <c r="BK26" s="26" t="s">
        <v>661</v>
      </c>
      <c r="BL26" s="24" t="s">
        <v>662</v>
      </c>
      <c r="BM26" s="297" t="e">
        <f>PL</f>
        <v>#VALUE!</v>
      </c>
      <c r="BN26" s="26" t="s">
        <v>65</v>
      </c>
      <c r="BO26" s="24" t="s">
        <v>651</v>
      </c>
      <c r="BP26" s="318" t="e">
        <f>BG30</f>
        <v>#VALUE!</v>
      </c>
      <c r="BQ26" s="26" t="s">
        <v>663</v>
      </c>
      <c r="BS26" s="24" t="s">
        <v>664</v>
      </c>
      <c r="BT26" s="297" t="e">
        <f>ROUND(MT/12,5)</f>
        <v>#VALUE!</v>
      </c>
      <c r="BU26" s="26" t="s">
        <v>658</v>
      </c>
      <c r="BV26" s="24" t="s">
        <v>370</v>
      </c>
      <c r="BW26" s="297">
        <f>IF(OR(TS="5x4, .126", TS="5x4, .134"), 5/12,4/12)</f>
        <v>0.41666666666666669</v>
      </c>
      <c r="BX26" s="26" t="s">
        <v>658</v>
      </c>
      <c r="BY26" s="24" t="s">
        <v>653</v>
      </c>
      <c r="BZ26" s="322" t="e">
        <f>BT28</f>
        <v>#VALUE!</v>
      </c>
      <c r="CA26" s="26" t="s">
        <v>665</v>
      </c>
      <c r="CC26" s="24" t="s">
        <v>666</v>
      </c>
      <c r="CD26" s="338" t="str">
        <f>Theta</f>
        <v>XX</v>
      </c>
      <c r="CE26" s="26" t="s">
        <v>667</v>
      </c>
      <c r="CG26" s="35">
        <v>22</v>
      </c>
      <c r="CH26" s="35" t="str">
        <f t="shared" si="0"/>
        <v xml:space="preserve"> </v>
      </c>
      <c r="CI26" s="35" t="str">
        <f t="shared" si="1"/>
        <v xml:space="preserve"> </v>
      </c>
      <c r="CJ26" s="35" t="str">
        <f t="shared" si="2"/>
        <v xml:space="preserve"> </v>
      </c>
      <c r="CK26" s="35" t="str">
        <f t="shared" si="3"/>
        <v xml:space="preserve"> </v>
      </c>
      <c r="CL26" s="35" t="str">
        <f t="shared" si="4"/>
        <v xml:space="preserve"> </v>
      </c>
      <c r="CM26" s="35" t="str">
        <f t="shared" si="5"/>
        <v xml:space="preserve"> </v>
      </c>
      <c r="CN26" s="342" t="str">
        <f>IFERROR(AG115," ")</f>
        <v xml:space="preserve"> </v>
      </c>
      <c r="CO26" s="342" t="str">
        <f>IFERROR(AU115," ")</f>
        <v xml:space="preserve"> </v>
      </c>
      <c r="CP26" s="342" t="str">
        <f>IFERROR(AQ115," ")</f>
        <v xml:space="preserve"> </v>
      </c>
      <c r="CQ26" s="342" t="str">
        <f>IFERROR(BP115," ")</f>
        <v xml:space="preserve"> </v>
      </c>
      <c r="CR26" s="342" t="str">
        <f>IFERROR(CD115," ")</f>
        <v xml:space="preserve"> </v>
      </c>
      <c r="CS26" s="342" t="str">
        <f>IFERROR(BZ115," ")</f>
        <v xml:space="preserve"> </v>
      </c>
      <c r="CT26" s="35" t="str">
        <f>IFERROR(IF(AND(controlling_code="ASCE 7-22",pf&gt;45),(CN26+0.15*CO26)*Inputs!$B$23,IF(AND(controlling_code="ASCE 7-22",pf&lt;45),CN26*Inputs!$B$23,IF(pf&lt;=30,CN26*Inputs!$B$23,(CN26+0.2*CO26)*Inputs!$B$23)))," ")</f>
        <v xml:space="preserve"> </v>
      </c>
      <c r="CU26" s="35" t="str">
        <f>IFERROR(IF(AND(controlling_code="ASCE 7-22",pf&gt;45),(CN26+0.15*CO26)*Inputs!$B$23,IF(AND(controlling_code="ASCE 7-22",pf&lt;45),CN26*Inputs!$B$23,IF(pf&lt;=30,CN26*Inputs!$B$23,(CN26+0.2*CO26)*Inputs!$B$23)))," ")</f>
        <v xml:space="preserve"> </v>
      </c>
      <c r="CV26" s="35" t="str">
        <f t="shared" si="6"/>
        <v xml:space="preserve"> </v>
      </c>
      <c r="CW26" s="35" t="str">
        <f t="shared" si="7"/>
        <v xml:space="preserve"> </v>
      </c>
      <c r="CX26" s="35" t="str">
        <f t="shared" si="8"/>
        <v xml:space="preserve"> </v>
      </c>
      <c r="CY26" s="35" t="str">
        <f t="shared" si="9"/>
        <v xml:space="preserve"> </v>
      </c>
      <c r="CZ26" s="35" t="str">
        <f t="shared" si="10"/>
        <v xml:space="preserve"> </v>
      </c>
      <c r="DA26" s="35" t="str">
        <f t="shared" si="11"/>
        <v xml:space="preserve"> </v>
      </c>
      <c r="DB26" s="35" t="str">
        <f t="shared" si="12"/>
        <v xml:space="preserve"> </v>
      </c>
      <c r="DC26" s="35" t="str">
        <f t="shared" si="13"/>
        <v xml:space="preserve"> </v>
      </c>
      <c r="DD26" s="35" t="str">
        <f t="shared" si="14"/>
        <v xml:space="preserve"> </v>
      </c>
      <c r="DE26" s="35" t="str">
        <f t="shared" si="15"/>
        <v xml:space="preserve"> </v>
      </c>
      <c r="DF26" s="35" t="str">
        <f t="shared" si="16"/>
        <v xml:space="preserve"> </v>
      </c>
      <c r="DG26" s="35" t="str">
        <f t="shared" si="17"/>
        <v xml:space="preserve"> </v>
      </c>
      <c r="DH26" s="35" t="str">
        <f t="shared" si="18"/>
        <v xml:space="preserve"> </v>
      </c>
      <c r="DI26" s="35" t="str">
        <f t="shared" si="19"/>
        <v xml:space="preserve"> </v>
      </c>
      <c r="DJ26" s="35" t="str">
        <f t="shared" si="20"/>
        <v xml:space="preserve"> </v>
      </c>
      <c r="DK26" s="35" t="str">
        <f t="shared" si="21"/>
        <v xml:space="preserve"> </v>
      </c>
      <c r="DL26" s="35" t="str">
        <f t="shared" si="22"/>
        <v xml:space="preserve"> </v>
      </c>
      <c r="DM26" s="35" t="str">
        <f t="shared" si="23"/>
        <v xml:space="preserve"> </v>
      </c>
      <c r="DN26" s="35" t="str">
        <f t="shared" si="24"/>
        <v xml:space="preserve"> </v>
      </c>
      <c r="DO26" s="35" t="str">
        <f t="shared" si="25"/>
        <v xml:space="preserve"> </v>
      </c>
      <c r="DP26" s="35" t="str">
        <f t="shared" si="26"/>
        <v xml:space="preserve"> </v>
      </c>
      <c r="DQ26" s="35" t="str">
        <f t="shared" si="27"/>
        <v xml:space="preserve"> </v>
      </c>
      <c r="DR26" s="35" t="str">
        <f t="shared" si="28"/>
        <v xml:space="preserve"> </v>
      </c>
      <c r="DS26" s="35" t="str">
        <f t="shared" si="29"/>
        <v xml:space="preserve"> </v>
      </c>
      <c r="DT26" s="35" t="str">
        <f t="shared" si="30"/>
        <v xml:space="preserve"> </v>
      </c>
      <c r="DU26" s="35" t="str">
        <f t="shared" si="31"/>
        <v xml:space="preserve"> </v>
      </c>
      <c r="DV26" s="35" t="str">
        <f t="shared" si="32"/>
        <v xml:space="preserve"> </v>
      </c>
      <c r="DW26" s="35" t="str">
        <f t="shared" si="33"/>
        <v xml:space="preserve"> </v>
      </c>
      <c r="DX26" s="35" t="str">
        <f t="shared" si="34"/>
        <v xml:space="preserve"> </v>
      </c>
      <c r="DY26" s="35" t="str">
        <f t="shared" si="35"/>
        <v xml:space="preserve"> </v>
      </c>
      <c r="DZ26" s="35" t="str">
        <f>IF($CH26=" "," ",'Wind Calcs'!$W$77)</f>
        <v xml:space="preserve"> </v>
      </c>
      <c r="EA26" s="35" t="str">
        <f>IF($CH26=" "," ",'Wind Calcs'!$W$171)</f>
        <v xml:space="preserve"> </v>
      </c>
      <c r="EB26" s="35" t="str">
        <f>IF($CH26=" "," ",'Wind Calcs'!$W$88)</f>
        <v xml:space="preserve"> </v>
      </c>
      <c r="EC26" s="35" t="str">
        <f>IF($CH26=" "," ",'Wind Calcs'!$W$182)</f>
        <v xml:space="preserve"> </v>
      </c>
      <c r="ED26" s="35" t="str">
        <f>IF($CI26=" "," ",'Wind Calcs'!$W$78)</f>
        <v xml:space="preserve"> </v>
      </c>
      <c r="EE26" s="35" t="str">
        <f>IF($CI26=" "," ",'Wind Calcs'!$W$172)</f>
        <v xml:space="preserve"> </v>
      </c>
      <c r="EF26" s="35" t="str">
        <f>IF($CI26=" "," ",'Wind Calcs'!$W$94)</f>
        <v xml:space="preserve"> </v>
      </c>
      <c r="EG26" s="35" t="str">
        <f>IF($CI26=" "," ",'Wind Calcs'!$W$188)</f>
        <v xml:space="preserve"> </v>
      </c>
      <c r="EH26" s="35" t="str">
        <f>IF($CJ26=" "," ",'Wind Calcs'!$W$79)</f>
        <v xml:space="preserve"> </v>
      </c>
      <c r="EI26" s="35" t="str">
        <f>IF($CJ26=" "," ",'Wind Calcs'!$W$173)</f>
        <v xml:space="preserve"> </v>
      </c>
      <c r="EJ26" s="35" t="str">
        <f>IF($CJ26=" "," ",'Wind Calcs'!$W$100)</f>
        <v xml:space="preserve"> </v>
      </c>
      <c r="EK26" s="35" t="str">
        <f>IF($CJ26=" "," ",'Wind Calcs'!$W$194)</f>
        <v xml:space="preserve"> </v>
      </c>
      <c r="EL26" s="35" t="str">
        <f>IF($CK26=" "," ",'Wind Calcs'!$W$80)</f>
        <v xml:space="preserve"> </v>
      </c>
      <c r="EM26" s="35" t="str">
        <f>IF($CK26=" "," ",'Wind Calcs'!$W$174)</f>
        <v xml:space="preserve"> </v>
      </c>
      <c r="EN26" s="35" t="str">
        <f>IF($CK26=" "," ",'Wind Calcs'!$W$106)</f>
        <v xml:space="preserve"> </v>
      </c>
      <c r="EO26" s="35" t="str">
        <f>IF($CK26=" "," ",'Wind Calcs'!$W$200)</f>
        <v xml:space="preserve"> </v>
      </c>
      <c r="EP26" s="35" t="str">
        <f>IF($CL26=" "," ",'Wind Calcs'!$W$81)</f>
        <v xml:space="preserve"> </v>
      </c>
      <c r="EQ26" s="35" t="str">
        <f>IF($CL26=" "," ",'Wind Calcs'!$W$175)</f>
        <v xml:space="preserve"> </v>
      </c>
      <c r="ER26" s="35" t="str">
        <f>IF($CL26=" "," ",'Wind Calcs'!$W$112)</f>
        <v xml:space="preserve"> </v>
      </c>
      <c r="ES26" s="35" t="str">
        <f>IF($CL26=" "," ",'Wind Calcs'!$W$206)</f>
        <v xml:space="preserve"> </v>
      </c>
      <c r="ET26" s="35" t="str">
        <f>IF($CM26=" "," ",'Wind Calcs'!$W$77)</f>
        <v xml:space="preserve"> </v>
      </c>
      <c r="EU26" s="35" t="str">
        <f>IF($CM26=" "," ",'Wind Calcs'!$W$171)</f>
        <v xml:space="preserve"> </v>
      </c>
      <c r="EV26" s="373" t="str">
        <f>IF($CM26=" "," ",'Wind Calcs'!$W$88)</f>
        <v xml:space="preserve"> </v>
      </c>
      <c r="EW26" s="35" t="str">
        <f>IF($CM26=" "," ",'Wind Calcs'!$W$182)</f>
        <v xml:space="preserve"> </v>
      </c>
    </row>
    <row r="27" spans="2:153" x14ac:dyDescent="0.25">
      <c r="B27" s="34" t="str">
        <f t="shared" si="36"/>
        <v/>
      </c>
      <c r="C27" s="299">
        <v>22</v>
      </c>
      <c r="D27" s="7" t="str">
        <f t="shared" si="37"/>
        <v/>
      </c>
      <c r="E27" s="299" t="str">
        <f t="shared" si="38"/>
        <v/>
      </c>
      <c r="G27" s="302">
        <v>22</v>
      </c>
      <c r="H27" s="7" t="e">
        <f t="shared" si="39"/>
        <v>#VALUE!</v>
      </c>
      <c r="I27" s="299" t="e">
        <f t="shared" si="40"/>
        <v>#VALUE!</v>
      </c>
      <c r="J27" s="7"/>
      <c r="K27" s="302">
        <v>22</v>
      </c>
      <c r="L27" s="652" t="str">
        <f t="shared" si="41"/>
        <v/>
      </c>
      <c r="M27" s="556"/>
      <c r="O27" s="628"/>
      <c r="P27" s="559"/>
      <c r="Q27" t="s">
        <v>668</v>
      </c>
      <c r="R27" s="7" t="str">
        <f>L11</f>
        <v/>
      </c>
      <c r="S27" s="77" t="s">
        <v>657</v>
      </c>
      <c r="T27" s="43"/>
      <c r="U27" s="7" t="e">
        <f>R27/12</f>
        <v>#VALUE!</v>
      </c>
      <c r="V27" s="28" t="s">
        <v>658</v>
      </c>
      <c r="W27" s="27" t="s">
        <v>669</v>
      </c>
      <c r="X27" s="7">
        <f>COUNTIFS($I$6:$I$105, "&lt;="&amp;R26, $I$6:$I$105, "&gt;="&amp;R27)</f>
        <v>0</v>
      </c>
      <c r="Y27" s="28" t="s">
        <v>670</v>
      </c>
      <c r="Z27" s="27" t="s">
        <v>659</v>
      </c>
      <c r="AA27" s="7" t="e">
        <f>IF(O26="Exterior Drive Post", (U28-(TG/12)), U28)</f>
        <v>#VALUE!</v>
      </c>
      <c r="AB27" s="28" t="s">
        <v>658</v>
      </c>
      <c r="AC27" s="27" t="s">
        <v>671</v>
      </c>
      <c r="AD27" s="7" t="e">
        <f>U30</f>
        <v>#VALUE!</v>
      </c>
      <c r="AE27" s="28" t="s">
        <v>665</v>
      </c>
      <c r="AF27" s="27" t="s">
        <v>672</v>
      </c>
      <c r="AG27" s="317" t="e">
        <f>AA30</f>
        <v>#VALUE!</v>
      </c>
      <c r="AH27" s="28" t="s">
        <v>663</v>
      </c>
      <c r="AJ27" s="27" t="s">
        <v>659</v>
      </c>
      <c r="AK27" s="7" t="e">
        <f>IF(O26= "Exterior Drive Post", (U28)-((GL+GR)/12), U28)</f>
        <v>#VALUE!</v>
      </c>
      <c r="AL27" s="28" t="s">
        <v>658</v>
      </c>
      <c r="AM27" s="27" t="s">
        <v>659</v>
      </c>
      <c r="AN27" s="7" t="e">
        <f>AA27</f>
        <v>#VALUE!</v>
      </c>
      <c r="AO27" s="28" t="s">
        <v>658</v>
      </c>
      <c r="AP27" s="27" t="s">
        <v>672</v>
      </c>
      <c r="AQ27" s="323" t="e">
        <f>AN28</f>
        <v>#VALUE!</v>
      </c>
      <c r="AR27" s="28" t="s">
        <v>665</v>
      </c>
      <c r="AT27" s="27" t="s">
        <v>673</v>
      </c>
      <c r="AU27" s="210" t="e">
        <f>RSL*COS(Radians)</f>
        <v>#VALUE!</v>
      </c>
      <c r="AV27" s="28" t="s">
        <v>65</v>
      </c>
      <c r="AX27" s="628"/>
      <c r="AY27" s="559"/>
      <c r="AZ27" t="s">
        <v>668</v>
      </c>
      <c r="BA27" s="7" t="str">
        <f>L47</f>
        <v/>
      </c>
      <c r="BB27" s="77" t="s">
        <v>657</v>
      </c>
      <c r="BC27" s="43"/>
      <c r="BD27" s="7" t="e">
        <f>BA27/12</f>
        <v>#VALUE!</v>
      </c>
      <c r="BE27" s="28" t="s">
        <v>658</v>
      </c>
      <c r="BF27" s="27" t="s">
        <v>669</v>
      </c>
      <c r="BG27" s="7">
        <f>COUNTIFS($I$6:$I$105, "&lt;="&amp;BA26, $I$6:$I$105, "&gt;="&amp;BA27)</f>
        <v>0</v>
      </c>
      <c r="BH27" s="28" t="s">
        <v>670</v>
      </c>
      <c r="BI27" s="27" t="s">
        <v>659</v>
      </c>
      <c r="BJ27" s="7" t="e">
        <f>IF(AX26="Interior Drive Post", (BD28-(TG/12)), BD28)</f>
        <v>#VALUE!</v>
      </c>
      <c r="BK27" s="28" t="s">
        <v>658</v>
      </c>
      <c r="BL27" s="27" t="s">
        <v>671</v>
      </c>
      <c r="BM27" s="7" t="e">
        <f>BD30</f>
        <v>#VALUE!</v>
      </c>
      <c r="BN27" s="28" t="s">
        <v>665</v>
      </c>
      <c r="BO27" s="27" t="s">
        <v>672</v>
      </c>
      <c r="BP27" s="317" t="e">
        <f>BJ30</f>
        <v>#VALUE!</v>
      </c>
      <c r="BQ27" s="28" t="s">
        <v>663</v>
      </c>
      <c r="BS27" s="27" t="s">
        <v>659</v>
      </c>
      <c r="BT27" s="7" t="e">
        <f>IF(AX26= "Interior Drive Post", (BD28)-((GL+GR)/12), BD28)</f>
        <v>#VALUE!</v>
      </c>
      <c r="BU27" s="28" t="s">
        <v>658</v>
      </c>
      <c r="BV27" s="27" t="s">
        <v>659</v>
      </c>
      <c r="BW27" s="7" t="e">
        <f>BJ27</f>
        <v>#VALUE!</v>
      </c>
      <c r="BX27" s="28" t="s">
        <v>658</v>
      </c>
      <c r="BY27" s="27" t="s">
        <v>672</v>
      </c>
      <c r="BZ27" s="323" t="e">
        <f>BW28</f>
        <v>#VALUE!</v>
      </c>
      <c r="CA27" s="28" t="s">
        <v>665</v>
      </c>
      <c r="CC27" s="27" t="s">
        <v>673</v>
      </c>
      <c r="CD27" s="210" t="e">
        <f>RSL*COS(Radians)</f>
        <v>#VALUE!</v>
      </c>
      <c r="CE27" s="28" t="s">
        <v>65</v>
      </c>
      <c r="CG27" s="35">
        <v>23</v>
      </c>
      <c r="CH27" s="35" t="str">
        <f t="shared" si="0"/>
        <v xml:space="preserve"> </v>
      </c>
      <c r="CI27" s="35" t="str">
        <f t="shared" si="1"/>
        <v xml:space="preserve"> </v>
      </c>
      <c r="CJ27" s="35" t="str">
        <f t="shared" si="2"/>
        <v xml:space="preserve"> </v>
      </c>
      <c r="CK27" s="35" t="str">
        <f t="shared" si="3"/>
        <v xml:space="preserve"> </v>
      </c>
      <c r="CL27" s="35" t="str">
        <f t="shared" si="4"/>
        <v xml:space="preserve"> </v>
      </c>
      <c r="CM27" s="35" t="str">
        <f t="shared" si="5"/>
        <v xml:space="preserve"> </v>
      </c>
      <c r="CN27" s="342" t="str">
        <f>IFERROR(AG120," ")</f>
        <v xml:space="preserve"> </v>
      </c>
      <c r="CO27" s="342" t="str">
        <f>IFERROR(AU120," ")</f>
        <v xml:space="preserve"> </v>
      </c>
      <c r="CP27" s="342" t="str">
        <f>IFERROR(AQ120," ")</f>
        <v xml:space="preserve"> </v>
      </c>
      <c r="CQ27" s="342" t="str">
        <f>IFERROR(BP120," ")</f>
        <v xml:space="preserve"> </v>
      </c>
      <c r="CR27" s="342" t="str">
        <f>IFERROR(CD120," ")</f>
        <v xml:space="preserve"> </v>
      </c>
      <c r="CS27" s="342" t="str">
        <f>IFERROR(BZ120," ")</f>
        <v xml:space="preserve"> </v>
      </c>
      <c r="CT27" s="35" t="str">
        <f>IFERROR(IF(AND(controlling_code="ASCE 7-22",pf&gt;45),(CN27+0.15*CO27)*Inputs!$B$23,IF(AND(controlling_code="ASCE 7-22",pf&lt;45),CN27*Inputs!$B$23,IF(pf&lt;=30,CN27*Inputs!$B$23,(CN27+0.2*CO27)*Inputs!$B$23)))," ")</f>
        <v xml:space="preserve"> </v>
      </c>
      <c r="CU27" s="35" t="str">
        <f>IFERROR(IF(AND(controlling_code="ASCE 7-22",pf&gt;45),(CN27+0.15*CO27)*Inputs!$B$23,IF(AND(controlling_code="ASCE 7-22",pf&lt;45),CN27*Inputs!$B$23,IF(pf&lt;=30,CN27*Inputs!$B$23,(CN27+0.2*CO27)*Inputs!$B$23)))," ")</f>
        <v xml:space="preserve"> </v>
      </c>
      <c r="CV27" s="35" t="str">
        <f t="shared" si="6"/>
        <v xml:space="preserve"> </v>
      </c>
      <c r="CW27" s="35" t="str">
        <f t="shared" si="7"/>
        <v xml:space="preserve"> </v>
      </c>
      <c r="CX27" s="35" t="str">
        <f t="shared" si="8"/>
        <v xml:space="preserve"> </v>
      </c>
      <c r="CY27" s="35" t="str">
        <f t="shared" si="9"/>
        <v xml:space="preserve"> </v>
      </c>
      <c r="CZ27" s="35" t="str">
        <f t="shared" si="10"/>
        <v xml:space="preserve"> </v>
      </c>
      <c r="DA27" s="35" t="str">
        <f t="shared" si="11"/>
        <v xml:space="preserve"> </v>
      </c>
      <c r="DB27" s="35" t="str">
        <f t="shared" si="12"/>
        <v xml:space="preserve"> </v>
      </c>
      <c r="DC27" s="35" t="str">
        <f t="shared" si="13"/>
        <v xml:space="preserve"> </v>
      </c>
      <c r="DD27" s="35" t="str">
        <f t="shared" si="14"/>
        <v xml:space="preserve"> </v>
      </c>
      <c r="DE27" s="35" t="str">
        <f t="shared" si="15"/>
        <v xml:space="preserve"> </v>
      </c>
      <c r="DF27" s="35" t="str">
        <f t="shared" si="16"/>
        <v xml:space="preserve"> </v>
      </c>
      <c r="DG27" s="35" t="str">
        <f t="shared" si="17"/>
        <v xml:space="preserve"> </v>
      </c>
      <c r="DH27" s="35" t="str">
        <f t="shared" si="18"/>
        <v xml:space="preserve"> </v>
      </c>
      <c r="DI27" s="35" t="str">
        <f t="shared" si="19"/>
        <v xml:space="preserve"> </v>
      </c>
      <c r="DJ27" s="35" t="str">
        <f t="shared" si="20"/>
        <v xml:space="preserve"> </v>
      </c>
      <c r="DK27" s="35" t="str">
        <f t="shared" si="21"/>
        <v xml:space="preserve"> </v>
      </c>
      <c r="DL27" s="35" t="str">
        <f t="shared" si="22"/>
        <v xml:space="preserve"> </v>
      </c>
      <c r="DM27" s="35" t="str">
        <f t="shared" si="23"/>
        <v xml:space="preserve"> </v>
      </c>
      <c r="DN27" s="35" t="str">
        <f t="shared" si="24"/>
        <v xml:space="preserve"> </v>
      </c>
      <c r="DO27" s="35" t="str">
        <f t="shared" si="25"/>
        <v xml:space="preserve"> </v>
      </c>
      <c r="DP27" s="35" t="str">
        <f t="shared" si="26"/>
        <v xml:space="preserve"> </v>
      </c>
      <c r="DQ27" s="35" t="str">
        <f t="shared" si="27"/>
        <v xml:space="preserve"> </v>
      </c>
      <c r="DR27" s="35" t="str">
        <f t="shared" si="28"/>
        <v xml:space="preserve"> </v>
      </c>
      <c r="DS27" s="35" t="str">
        <f t="shared" si="29"/>
        <v xml:space="preserve"> </v>
      </c>
      <c r="DT27" s="35" t="str">
        <f t="shared" si="30"/>
        <v xml:space="preserve"> </v>
      </c>
      <c r="DU27" s="35" t="str">
        <f t="shared" si="31"/>
        <v xml:space="preserve"> </v>
      </c>
      <c r="DV27" s="35" t="str">
        <f t="shared" si="32"/>
        <v xml:space="preserve"> </v>
      </c>
      <c r="DW27" s="35" t="str">
        <f t="shared" si="33"/>
        <v xml:space="preserve"> </v>
      </c>
      <c r="DX27" s="35" t="str">
        <f t="shared" si="34"/>
        <v xml:space="preserve"> </v>
      </c>
      <c r="DY27" s="35" t="str">
        <f t="shared" si="35"/>
        <v xml:space="preserve"> </v>
      </c>
      <c r="DZ27" s="35" t="str">
        <f>IF($CH27=" "," ",'Wind Calcs'!$Z$77)</f>
        <v xml:space="preserve"> </v>
      </c>
      <c r="EA27" s="35" t="str">
        <f>IF($CH27=" "," ",'Wind Calcs'!$Z$171)</f>
        <v xml:space="preserve"> </v>
      </c>
      <c r="EB27" s="35" t="str">
        <f>IF($CH27=" "," ",'Wind Calcs'!$Z$88)</f>
        <v xml:space="preserve"> </v>
      </c>
      <c r="EC27" s="35" t="str">
        <f>IF($CH27=" "," ",'Wind Calcs'!$Z$182)</f>
        <v xml:space="preserve"> </v>
      </c>
      <c r="ED27" s="35" t="str">
        <f>IF($CI27=" "," ",'Wind Calcs'!$Z$78)</f>
        <v xml:space="preserve"> </v>
      </c>
      <c r="EE27" s="35" t="str">
        <f>IF($CI27=" "," ",'Wind Calcs'!$Z$172)</f>
        <v xml:space="preserve"> </v>
      </c>
      <c r="EF27" s="35" t="str">
        <f>IF($CI27=" "," ",'Wind Calcs'!$Z$94)</f>
        <v xml:space="preserve"> </v>
      </c>
      <c r="EG27" s="35" t="str">
        <f>IF($CI27=" "," ",'Wind Calcs'!$Z$188)</f>
        <v xml:space="preserve"> </v>
      </c>
      <c r="EH27" s="35" t="str">
        <f>IF($CJ27=" "," ",'Wind Calcs'!$Z$79)</f>
        <v xml:space="preserve"> </v>
      </c>
      <c r="EI27" s="35" t="str">
        <f>IF($CJ27=" "," ",'Wind Calcs'!$Z$173)</f>
        <v xml:space="preserve"> </v>
      </c>
      <c r="EJ27" s="35" t="str">
        <f>IF($CJ27=" "," ",'Wind Calcs'!$Z$100)</f>
        <v xml:space="preserve"> </v>
      </c>
      <c r="EK27" s="35" t="str">
        <f>IF($CJ27=" "," ",'Wind Calcs'!$Z$194)</f>
        <v xml:space="preserve"> </v>
      </c>
      <c r="EL27" s="35" t="str">
        <f>IF($CK27=" "," ",'Wind Calcs'!$Z$80)</f>
        <v xml:space="preserve"> </v>
      </c>
      <c r="EM27" s="35" t="str">
        <f>IF($CK27=" "," ",'Wind Calcs'!$Z$174)</f>
        <v xml:space="preserve"> </v>
      </c>
      <c r="EN27" s="35" t="str">
        <f>IF($CK27=" "," ",'Wind Calcs'!$Z$106)</f>
        <v xml:space="preserve"> </v>
      </c>
      <c r="EO27" s="35" t="str">
        <f>IF($CK27=" "," ",'Wind Calcs'!$Z$200)</f>
        <v xml:space="preserve"> </v>
      </c>
      <c r="EP27" s="35" t="str">
        <f>IF($CL27=" "," ",'Wind Calcs'!$Z$81)</f>
        <v xml:space="preserve"> </v>
      </c>
      <c r="EQ27" s="35" t="str">
        <f>IF($CL27=" "," ",'Wind Calcs'!$Z$175)</f>
        <v xml:space="preserve"> </v>
      </c>
      <c r="ER27" s="35" t="str">
        <f>IF($CL27=" "," ",'Wind Calcs'!$Z$112)</f>
        <v xml:space="preserve"> </v>
      </c>
      <c r="ES27" s="35" t="str">
        <f>IF($CL27=" "," ",'Wind Calcs'!$Z$206)</f>
        <v xml:space="preserve"> </v>
      </c>
      <c r="ET27" s="35" t="str">
        <f>IF($CM27=" "," ",'Wind Calcs'!$Z$77)</f>
        <v xml:space="preserve"> </v>
      </c>
      <c r="EU27" s="35" t="str">
        <f>IF($CM27=" "," ",'Wind Calcs'!$Z$171)</f>
        <v xml:space="preserve"> </v>
      </c>
      <c r="EV27" s="373" t="str">
        <f>IF($CM27=" "," ",'Wind Calcs'!$Z$88)</f>
        <v xml:space="preserve"> </v>
      </c>
      <c r="EW27" s="35" t="str">
        <f>IF($CM27=" "," ",'Wind Calcs'!$Z$182)</f>
        <v xml:space="preserve"> </v>
      </c>
    </row>
    <row r="28" spans="2:153" x14ac:dyDescent="0.25">
      <c r="B28" s="34" t="str">
        <f t="shared" si="36"/>
        <v/>
      </c>
      <c r="C28" s="299">
        <v>23</v>
      </c>
      <c r="D28" s="7" t="str">
        <f t="shared" si="37"/>
        <v/>
      </c>
      <c r="E28" s="299" t="str">
        <f t="shared" si="38"/>
        <v/>
      </c>
      <c r="G28" s="302">
        <v>23</v>
      </c>
      <c r="H28" s="7" t="e">
        <f t="shared" si="39"/>
        <v>#VALUE!</v>
      </c>
      <c r="I28" s="299" t="e">
        <f t="shared" si="40"/>
        <v>#VALUE!</v>
      </c>
      <c r="J28" s="7"/>
      <c r="K28" s="302">
        <v>23</v>
      </c>
      <c r="L28" s="652" t="str">
        <f t="shared" si="41"/>
        <v/>
      </c>
      <c r="M28" s="556"/>
      <c r="O28" s="628"/>
      <c r="P28" s="559"/>
      <c r="Q28" t="s">
        <v>659</v>
      </c>
      <c r="R28" s="7" t="e">
        <f>R26-R27</f>
        <v>#VALUE!</v>
      </c>
      <c r="S28" s="77" t="s">
        <v>657</v>
      </c>
      <c r="T28" s="43"/>
      <c r="U28" s="7" t="e">
        <f>R28/12</f>
        <v>#VALUE!</v>
      </c>
      <c r="V28" s="28" t="s">
        <v>658</v>
      </c>
      <c r="W28" s="27" t="s">
        <v>674</v>
      </c>
      <c r="X28" s="7" t="e">
        <f>X27*X26</f>
        <v>#VALUE!</v>
      </c>
      <c r="Y28" s="28" t="s">
        <v>657</v>
      </c>
      <c r="Z28" s="27"/>
      <c r="AA28" s="7"/>
      <c r="AB28" s="28"/>
      <c r="AC28" s="27"/>
      <c r="AD28" s="7"/>
      <c r="AE28" s="28"/>
      <c r="AF28" s="27" t="s">
        <v>653</v>
      </c>
      <c r="AG28" s="319" t="e">
        <f>AD30</f>
        <v>#VALUE!</v>
      </c>
      <c r="AH28" s="28" t="s">
        <v>663</v>
      </c>
      <c r="AJ28" s="27" t="s">
        <v>671</v>
      </c>
      <c r="AK28" s="321" t="e">
        <f>AK26*AK27</f>
        <v>#VALUE!</v>
      </c>
      <c r="AL28" s="28" t="s">
        <v>665</v>
      </c>
      <c r="AM28" s="27" t="s">
        <v>671</v>
      </c>
      <c r="AN28" s="323" t="e">
        <f>AN27*AN26</f>
        <v>#VALUE!</v>
      </c>
      <c r="AO28" s="28" t="s">
        <v>665</v>
      </c>
      <c r="AP28" s="27" t="s">
        <v>654</v>
      </c>
      <c r="AQ28" s="7" t="e">
        <f>SUM(AQ26:AQ27)</f>
        <v>#VALUE!</v>
      </c>
      <c r="AR28" s="28" t="s">
        <v>665</v>
      </c>
      <c r="AT28" s="27" t="s">
        <v>671</v>
      </c>
      <c r="AU28" s="210" t="e">
        <f>U30</f>
        <v>#VALUE!</v>
      </c>
      <c r="AV28" s="28" t="s">
        <v>683</v>
      </c>
      <c r="AX28" s="628"/>
      <c r="AY28" s="559"/>
      <c r="AZ28" t="s">
        <v>659</v>
      </c>
      <c r="BA28" s="7" t="e">
        <f>BA26-BA27</f>
        <v>#VALUE!</v>
      </c>
      <c r="BB28" s="77" t="s">
        <v>657</v>
      </c>
      <c r="BC28" s="43"/>
      <c r="BD28" s="7" t="e">
        <f>BA28/12</f>
        <v>#VALUE!</v>
      </c>
      <c r="BE28" s="28" t="s">
        <v>658</v>
      </c>
      <c r="BF28" s="27" t="s">
        <v>674</v>
      </c>
      <c r="BG28" s="7" t="e">
        <f>BG27*BG26</f>
        <v>#VALUE!</v>
      </c>
      <c r="BH28" s="28" t="s">
        <v>657</v>
      </c>
      <c r="BI28" s="27"/>
      <c r="BJ28" s="7"/>
      <c r="BK28" s="28"/>
      <c r="BL28" s="27"/>
      <c r="BM28" s="7"/>
      <c r="BN28" s="28"/>
      <c r="BO28" s="27" t="s">
        <v>653</v>
      </c>
      <c r="BP28" s="319" t="e">
        <f>BM30</f>
        <v>#VALUE!</v>
      </c>
      <c r="BQ28" s="28" t="s">
        <v>663</v>
      </c>
      <c r="BS28" s="27" t="s">
        <v>671</v>
      </c>
      <c r="BT28" s="321" t="e">
        <f>BT26*BT27</f>
        <v>#VALUE!</v>
      </c>
      <c r="BU28" s="28" t="s">
        <v>665</v>
      </c>
      <c r="BV28" s="27" t="s">
        <v>671</v>
      </c>
      <c r="BW28" s="323" t="e">
        <f>BW27*BW26</f>
        <v>#VALUE!</v>
      </c>
      <c r="BX28" s="28" t="s">
        <v>665</v>
      </c>
      <c r="BY28" s="27" t="s">
        <v>654</v>
      </c>
      <c r="BZ28" s="7" t="e">
        <f>SUM(BZ26:BZ27)</f>
        <v>#VALUE!</v>
      </c>
      <c r="CA28" s="28" t="s">
        <v>665</v>
      </c>
      <c r="CC28" s="27" t="s">
        <v>671</v>
      </c>
      <c r="CD28" s="210" t="e">
        <f>BD30</f>
        <v>#VALUE!</v>
      </c>
      <c r="CE28" s="28" t="s">
        <v>665</v>
      </c>
      <c r="CG28" s="35">
        <v>24</v>
      </c>
      <c r="CH28" s="35" t="str">
        <f t="shared" si="0"/>
        <v xml:space="preserve"> </v>
      </c>
      <c r="CI28" s="35" t="str">
        <f t="shared" si="1"/>
        <v xml:space="preserve"> </v>
      </c>
      <c r="CJ28" s="35" t="str">
        <f t="shared" si="2"/>
        <v xml:space="preserve"> </v>
      </c>
      <c r="CK28" s="35" t="str">
        <f t="shared" si="3"/>
        <v xml:space="preserve"> </v>
      </c>
      <c r="CL28" s="35" t="str">
        <f t="shared" si="4"/>
        <v xml:space="preserve"> </v>
      </c>
      <c r="CM28" s="35" t="str">
        <f t="shared" si="5"/>
        <v xml:space="preserve"> </v>
      </c>
      <c r="CN28" s="342" t="str">
        <f>IFERROR(AG125," ")</f>
        <v xml:space="preserve"> </v>
      </c>
      <c r="CO28" s="342" t="str">
        <f>IFERROR(AU125," ")</f>
        <v xml:space="preserve"> </v>
      </c>
      <c r="CP28" s="342" t="str">
        <f>IFERROR(AQ125," ")</f>
        <v xml:space="preserve"> </v>
      </c>
      <c r="CQ28" s="342" t="str">
        <f>IFERROR(BP125," ")</f>
        <v xml:space="preserve"> </v>
      </c>
      <c r="CR28" s="342" t="str">
        <f>IFERROR(CD125," ")</f>
        <v xml:space="preserve"> </v>
      </c>
      <c r="CS28" s="342" t="str">
        <f>IFERROR(BZ125," ")</f>
        <v xml:space="preserve"> </v>
      </c>
      <c r="CT28" s="35" t="str">
        <f>IFERROR(IF(AND(controlling_code="ASCE 7-22",pf&gt;45),(CN28+0.15*CO28)*Inputs!$B$23,IF(AND(controlling_code="ASCE 7-22",pf&lt;45),CN28*Inputs!$B$23,IF(pf&lt;=30,CN28*Inputs!$B$23,(CN28+0.2*CO28)*Inputs!$B$23)))," ")</f>
        <v xml:space="preserve"> </v>
      </c>
      <c r="CU28" s="35" t="str">
        <f>IFERROR(IF(AND(controlling_code="ASCE 7-22",pf&gt;45),(CN28+0.15*CO28)*Inputs!$B$23,IF(AND(controlling_code="ASCE 7-22",pf&lt;45),CN28*Inputs!$B$23,IF(pf&lt;=30,CN28*Inputs!$B$23,(CN28+0.2*CO28)*Inputs!$B$23)))," ")</f>
        <v xml:space="preserve"> </v>
      </c>
      <c r="CV28" s="35" t="str">
        <f t="shared" si="6"/>
        <v xml:space="preserve"> </v>
      </c>
      <c r="CW28" s="35" t="str">
        <f t="shared" si="7"/>
        <v xml:space="preserve"> </v>
      </c>
      <c r="CX28" s="35" t="str">
        <f t="shared" si="8"/>
        <v xml:space="preserve"> </v>
      </c>
      <c r="CY28" s="35" t="str">
        <f t="shared" si="9"/>
        <v xml:space="preserve"> </v>
      </c>
      <c r="CZ28" s="35" t="str">
        <f t="shared" si="10"/>
        <v xml:space="preserve"> </v>
      </c>
      <c r="DA28" s="35" t="str">
        <f t="shared" si="11"/>
        <v xml:space="preserve"> </v>
      </c>
      <c r="DB28" s="35" t="str">
        <f t="shared" si="12"/>
        <v xml:space="preserve"> </v>
      </c>
      <c r="DC28" s="35" t="str">
        <f t="shared" si="13"/>
        <v xml:space="preserve"> </v>
      </c>
      <c r="DD28" s="35" t="str">
        <f t="shared" si="14"/>
        <v xml:space="preserve"> </v>
      </c>
      <c r="DE28" s="35" t="str">
        <f t="shared" si="15"/>
        <v xml:space="preserve"> </v>
      </c>
      <c r="DF28" s="35" t="str">
        <f t="shared" si="16"/>
        <v xml:space="preserve"> </v>
      </c>
      <c r="DG28" s="35" t="str">
        <f t="shared" si="17"/>
        <v xml:space="preserve"> </v>
      </c>
      <c r="DH28" s="35" t="str">
        <f t="shared" si="18"/>
        <v xml:space="preserve"> </v>
      </c>
      <c r="DI28" s="35" t="str">
        <f t="shared" si="19"/>
        <v xml:space="preserve"> </v>
      </c>
      <c r="DJ28" s="35" t="str">
        <f t="shared" si="20"/>
        <v xml:space="preserve"> </v>
      </c>
      <c r="DK28" s="35" t="str">
        <f t="shared" si="21"/>
        <v xml:space="preserve"> </v>
      </c>
      <c r="DL28" s="35" t="str">
        <f t="shared" si="22"/>
        <v xml:space="preserve"> </v>
      </c>
      <c r="DM28" s="35" t="str">
        <f t="shared" si="23"/>
        <v xml:space="preserve"> </v>
      </c>
      <c r="DN28" s="35" t="str">
        <f t="shared" si="24"/>
        <v xml:space="preserve"> </v>
      </c>
      <c r="DO28" s="35" t="str">
        <f t="shared" si="25"/>
        <v xml:space="preserve"> </v>
      </c>
      <c r="DP28" s="35" t="str">
        <f t="shared" si="26"/>
        <v xml:space="preserve"> </v>
      </c>
      <c r="DQ28" s="35" t="str">
        <f t="shared" si="27"/>
        <v xml:space="preserve"> </v>
      </c>
      <c r="DR28" s="35" t="str">
        <f t="shared" si="28"/>
        <v xml:space="preserve"> </v>
      </c>
      <c r="DS28" s="35" t="str">
        <f t="shared" si="29"/>
        <v xml:space="preserve"> </v>
      </c>
      <c r="DT28" s="35" t="str">
        <f t="shared" si="30"/>
        <v xml:space="preserve"> </v>
      </c>
      <c r="DU28" s="35" t="str">
        <f t="shared" si="31"/>
        <v xml:space="preserve"> </v>
      </c>
      <c r="DV28" s="35" t="str">
        <f t="shared" si="32"/>
        <v xml:space="preserve"> </v>
      </c>
      <c r="DW28" s="35" t="str">
        <f t="shared" si="33"/>
        <v xml:space="preserve"> </v>
      </c>
      <c r="DX28" s="35" t="str">
        <f t="shared" si="34"/>
        <v xml:space="preserve"> </v>
      </c>
      <c r="DY28" s="35" t="str">
        <f t="shared" si="35"/>
        <v xml:space="preserve"> </v>
      </c>
      <c r="DZ28" s="35" t="str">
        <f>IF($CH28=" "," ",'Wind Calcs'!$AA$77)</f>
        <v xml:space="preserve"> </v>
      </c>
      <c r="EA28" s="35" t="str">
        <f>IF($CH28=" "," ",'Wind Calcs'!$AA$171)</f>
        <v xml:space="preserve"> </v>
      </c>
      <c r="EB28" s="35" t="str">
        <f>IF($CH28=" "," ",'Wind Calcs'!$AA$88)</f>
        <v xml:space="preserve"> </v>
      </c>
      <c r="EC28" s="35" t="str">
        <f>IF($CH28=" "," ",'Wind Calcs'!$AA$182)</f>
        <v xml:space="preserve"> </v>
      </c>
      <c r="ED28" s="35" t="str">
        <f>IF($CI28=" "," ",'Wind Calcs'!$AA$78)</f>
        <v xml:space="preserve"> </v>
      </c>
      <c r="EE28" s="35" t="str">
        <f>IF($CI28=" "," ",'Wind Calcs'!$AA$172)</f>
        <v xml:space="preserve"> </v>
      </c>
      <c r="EF28" s="35" t="str">
        <f>IF($CI28=" "," ",'Wind Calcs'!$AA$94)</f>
        <v xml:space="preserve"> </v>
      </c>
      <c r="EG28" s="35" t="str">
        <f>IF($CI28=" "," ",'Wind Calcs'!$AA$188)</f>
        <v xml:space="preserve"> </v>
      </c>
      <c r="EH28" s="35" t="str">
        <f>IF($CJ28=" "," ",'Wind Calcs'!$AA$79)</f>
        <v xml:space="preserve"> </v>
      </c>
      <c r="EI28" s="35" t="str">
        <f>IF($CJ28=" "," ",'Wind Calcs'!$AA$173)</f>
        <v xml:space="preserve"> </v>
      </c>
      <c r="EJ28" s="35" t="str">
        <f>IF($CJ28=" "," ",'Wind Calcs'!$AA$100)</f>
        <v xml:space="preserve"> </v>
      </c>
      <c r="EK28" s="35" t="str">
        <f>IF($CJ28=" "," ",'Wind Calcs'!$AA$194)</f>
        <v xml:space="preserve"> </v>
      </c>
      <c r="EL28" s="35" t="str">
        <f>IF($CK28=" "," ",'Wind Calcs'!$AA$80)</f>
        <v xml:space="preserve"> </v>
      </c>
      <c r="EM28" s="35" t="str">
        <f>IF($CK28=" "," ",'Wind Calcs'!$AA$174)</f>
        <v xml:space="preserve"> </v>
      </c>
      <c r="EN28" s="35" t="str">
        <f>IF($CK28=" "," ",'Wind Calcs'!$AA$106)</f>
        <v xml:space="preserve"> </v>
      </c>
      <c r="EO28" s="35" t="str">
        <f>IF($CK28=" "," ",'Wind Calcs'!$AA$200)</f>
        <v xml:space="preserve"> </v>
      </c>
      <c r="EP28" s="35" t="str">
        <f>IF($CL28=" "," ",'Wind Calcs'!$AA$81)</f>
        <v xml:space="preserve"> </v>
      </c>
      <c r="EQ28" s="35" t="str">
        <f>IF($CL28=" "," ",'Wind Calcs'!$AA$175)</f>
        <v xml:space="preserve"> </v>
      </c>
      <c r="ER28" s="35" t="str">
        <f>IF($CL28=" "," ",'Wind Calcs'!$AA$112)</f>
        <v xml:space="preserve"> </v>
      </c>
      <c r="ES28" s="35" t="str">
        <f>IF($CL28=" "," ",'Wind Calcs'!$AA$206)</f>
        <v xml:space="preserve"> </v>
      </c>
      <c r="ET28" s="35" t="str">
        <f>IF($CM28=" "," ",'Wind Calcs'!$AA$77)</f>
        <v xml:space="preserve"> </v>
      </c>
      <c r="EU28" s="35" t="str">
        <f>IF($CM28=" "," ",'Wind Calcs'!$AA$171)</f>
        <v xml:space="preserve"> </v>
      </c>
      <c r="EV28" s="373" t="str">
        <f>IF($CM28=" "," ",'Wind Calcs'!$AA$88)</f>
        <v xml:space="preserve"> </v>
      </c>
      <c r="EW28" s="35" t="str">
        <f>IF($CM28=" "," ",'Wind Calcs'!$AA$182)</f>
        <v xml:space="preserve"> </v>
      </c>
    </row>
    <row r="29" spans="2:153" x14ac:dyDescent="0.25">
      <c r="B29" s="34" t="str">
        <f t="shared" si="36"/>
        <v/>
      </c>
      <c r="C29" s="299">
        <v>24</v>
      </c>
      <c r="D29" s="7" t="str">
        <f t="shared" si="37"/>
        <v/>
      </c>
      <c r="E29" s="299" t="str">
        <f t="shared" si="38"/>
        <v/>
      </c>
      <c r="G29" s="302">
        <v>24</v>
      </c>
      <c r="H29" s="7" t="e">
        <f t="shared" si="39"/>
        <v>#VALUE!</v>
      </c>
      <c r="I29" s="299" t="e">
        <f t="shared" si="40"/>
        <v>#VALUE!</v>
      </c>
      <c r="J29" s="7"/>
      <c r="K29" s="302">
        <v>24</v>
      </c>
      <c r="L29" s="652" t="str">
        <f t="shared" si="41"/>
        <v/>
      </c>
      <c r="M29" s="556"/>
      <c r="O29" s="628"/>
      <c r="P29" s="559"/>
      <c r="Q29" t="s">
        <v>675</v>
      </c>
      <c r="R29" s="7" t="e">
        <f>ROUND(ML, 3)</f>
        <v>#VALUE!</v>
      </c>
      <c r="S29" s="77" t="s">
        <v>657</v>
      </c>
      <c r="T29" s="43"/>
      <c r="U29" s="7" t="e">
        <f>R29/12</f>
        <v>#VALUE!</v>
      </c>
      <c r="V29" s="28" t="s">
        <v>658</v>
      </c>
      <c r="W29" s="27" t="s">
        <v>660</v>
      </c>
      <c r="X29" s="7">
        <f>VLOOKUP(VS,'List Data'!$A$8:$B$12, 2, FALSE)</f>
        <v>2.1419999999999999</v>
      </c>
      <c r="Y29" s="28" t="s">
        <v>661</v>
      </c>
      <c r="Z29" s="27"/>
      <c r="AA29" s="7"/>
      <c r="AB29" s="28"/>
      <c r="AC29" s="27"/>
      <c r="AD29" s="7"/>
      <c r="AE29" s="28"/>
      <c r="AF29" s="27"/>
      <c r="AH29" s="28"/>
      <c r="AJ29" s="27"/>
      <c r="AK29" s="7"/>
      <c r="AL29" s="28"/>
      <c r="AM29" s="27"/>
      <c r="AO29" s="28"/>
      <c r="AP29" s="27"/>
      <c r="AQ29" s="7"/>
      <c r="AR29" s="28"/>
      <c r="AT29" s="27"/>
      <c r="AU29" s="210"/>
      <c r="AV29" s="28"/>
      <c r="AX29" s="628"/>
      <c r="AY29" s="559"/>
      <c r="AZ29" t="s">
        <v>675</v>
      </c>
      <c r="BA29" s="7" t="e">
        <f>ROUND(ML, 3)</f>
        <v>#VALUE!</v>
      </c>
      <c r="BB29" s="77" t="s">
        <v>657</v>
      </c>
      <c r="BC29" s="43"/>
      <c r="BD29" s="7" t="e">
        <f>BA29/12</f>
        <v>#VALUE!</v>
      </c>
      <c r="BE29" s="28" t="s">
        <v>658</v>
      </c>
      <c r="BF29" s="27" t="s">
        <v>660</v>
      </c>
      <c r="BG29" s="7">
        <f>VLOOKUP(VS,'List Data'!$A$8:$B$12, 2, FALSE)</f>
        <v>2.1419999999999999</v>
      </c>
      <c r="BH29" s="28" t="s">
        <v>661</v>
      </c>
      <c r="BI29" s="27"/>
      <c r="BJ29" s="7"/>
      <c r="BK29" s="28"/>
      <c r="BL29" s="27"/>
      <c r="BM29" s="7"/>
      <c r="BN29" s="28"/>
      <c r="BO29" s="27"/>
      <c r="BQ29" s="28"/>
      <c r="BS29" s="27"/>
      <c r="BT29" s="7"/>
      <c r="BU29" s="28"/>
      <c r="BV29" s="27"/>
      <c r="BX29" s="28"/>
      <c r="BY29" s="27"/>
      <c r="BZ29" s="7"/>
      <c r="CA29" s="28"/>
      <c r="CC29" s="27"/>
      <c r="CD29" s="210"/>
      <c r="CE29" s="28"/>
      <c r="CG29" s="35">
        <v>25</v>
      </c>
      <c r="CH29" s="35" t="str">
        <f t="shared" si="0"/>
        <v xml:space="preserve"> </v>
      </c>
      <c r="CI29" s="35" t="str">
        <f t="shared" si="1"/>
        <v xml:space="preserve"> </v>
      </c>
      <c r="CJ29" s="35" t="str">
        <f t="shared" si="2"/>
        <v xml:space="preserve"> </v>
      </c>
      <c r="CK29" s="35" t="str">
        <f t="shared" si="3"/>
        <v xml:space="preserve"> </v>
      </c>
      <c r="CL29" s="35" t="str">
        <f t="shared" si="4"/>
        <v xml:space="preserve"> </v>
      </c>
      <c r="CM29" s="35" t="str">
        <f t="shared" si="5"/>
        <v xml:space="preserve"> </v>
      </c>
      <c r="CN29" s="342" t="str">
        <f>IFERROR(AG130," ")</f>
        <v xml:space="preserve"> </v>
      </c>
      <c r="CO29" s="342" t="str">
        <f>IFERROR(AU130," ")</f>
        <v xml:space="preserve"> </v>
      </c>
      <c r="CP29" s="342" t="str">
        <f>IFERROR(AQ130," ")</f>
        <v xml:space="preserve"> </v>
      </c>
      <c r="CQ29" s="342" t="str">
        <f>IFERROR(BP130," ")</f>
        <v xml:space="preserve"> </v>
      </c>
      <c r="CR29" s="342" t="str">
        <f>IFERROR(CD130," ")</f>
        <v xml:space="preserve"> </v>
      </c>
      <c r="CS29" s="342" t="str">
        <f>IFERROR(BZ130," ")</f>
        <v xml:space="preserve"> </v>
      </c>
      <c r="CT29" s="35" t="str">
        <f>IFERROR(IF(AND(controlling_code="ASCE 7-22",pf&gt;45),(CN29+0.15*CO29)*Inputs!$B$23,IF(AND(controlling_code="ASCE 7-22",pf&lt;45),CN29*Inputs!$B$23,IF(pf&lt;=30,CN29*Inputs!$B$23,(CN29+0.2*CO29)*Inputs!$B$23)))," ")</f>
        <v xml:space="preserve"> </v>
      </c>
      <c r="CU29" s="35" t="str">
        <f>IFERROR(IF(AND(controlling_code="ASCE 7-22",pf&gt;45),(CN29+0.15*CO29)*Inputs!$B$23,IF(AND(controlling_code="ASCE 7-22",pf&lt;45),CN29*Inputs!$B$23,IF(pf&lt;=30,CN29*Inputs!$B$23,(CN29+0.2*CO29)*Inputs!$B$23)))," ")</f>
        <v xml:space="preserve"> </v>
      </c>
      <c r="CV29" s="35" t="str">
        <f t="shared" si="6"/>
        <v xml:space="preserve"> </v>
      </c>
      <c r="CW29" s="35" t="str">
        <f t="shared" si="7"/>
        <v xml:space="preserve"> </v>
      </c>
      <c r="CX29" s="35" t="str">
        <f t="shared" si="8"/>
        <v xml:space="preserve"> </v>
      </c>
      <c r="CY29" s="35" t="str">
        <f t="shared" si="9"/>
        <v xml:space="preserve"> </v>
      </c>
      <c r="CZ29" s="35" t="str">
        <f t="shared" si="10"/>
        <v xml:space="preserve"> </v>
      </c>
      <c r="DA29" s="35" t="str">
        <f t="shared" si="11"/>
        <v xml:space="preserve"> </v>
      </c>
      <c r="DB29" s="35" t="str">
        <f t="shared" si="12"/>
        <v xml:space="preserve"> </v>
      </c>
      <c r="DC29" s="35" t="str">
        <f t="shared" si="13"/>
        <v xml:space="preserve"> </v>
      </c>
      <c r="DD29" s="35" t="str">
        <f t="shared" si="14"/>
        <v xml:space="preserve"> </v>
      </c>
      <c r="DE29" s="35" t="str">
        <f t="shared" si="15"/>
        <v xml:space="preserve"> </v>
      </c>
      <c r="DF29" s="35" t="str">
        <f t="shared" si="16"/>
        <v xml:space="preserve"> </v>
      </c>
      <c r="DG29" s="35" t="str">
        <f t="shared" si="17"/>
        <v xml:space="preserve"> </v>
      </c>
      <c r="DH29" s="35" t="str">
        <f t="shared" si="18"/>
        <v xml:space="preserve"> </v>
      </c>
      <c r="DI29" s="35" t="str">
        <f t="shared" si="19"/>
        <v xml:space="preserve"> </v>
      </c>
      <c r="DJ29" s="35" t="str">
        <f t="shared" si="20"/>
        <v xml:space="preserve"> </v>
      </c>
      <c r="DK29" s="35" t="str">
        <f t="shared" si="21"/>
        <v xml:space="preserve"> </v>
      </c>
      <c r="DL29" s="35" t="str">
        <f t="shared" si="22"/>
        <v xml:space="preserve"> </v>
      </c>
      <c r="DM29" s="35" t="str">
        <f t="shared" si="23"/>
        <v xml:space="preserve"> </v>
      </c>
      <c r="DN29" s="35" t="str">
        <f t="shared" si="24"/>
        <v xml:space="preserve"> </v>
      </c>
      <c r="DO29" s="35" t="str">
        <f t="shared" si="25"/>
        <v xml:space="preserve"> </v>
      </c>
      <c r="DP29" s="35" t="str">
        <f t="shared" si="26"/>
        <v xml:space="preserve"> </v>
      </c>
      <c r="DQ29" s="35" t="str">
        <f t="shared" si="27"/>
        <v xml:space="preserve"> </v>
      </c>
      <c r="DR29" s="35" t="str">
        <f t="shared" si="28"/>
        <v xml:space="preserve"> </v>
      </c>
      <c r="DS29" s="35" t="str">
        <f t="shared" si="29"/>
        <v xml:space="preserve"> </v>
      </c>
      <c r="DT29" s="35" t="str">
        <f t="shared" si="30"/>
        <v xml:space="preserve"> </v>
      </c>
      <c r="DU29" s="35" t="str">
        <f t="shared" si="31"/>
        <v xml:space="preserve"> </v>
      </c>
      <c r="DV29" s="35" t="str">
        <f t="shared" si="32"/>
        <v xml:space="preserve"> </v>
      </c>
      <c r="DW29" s="35" t="str">
        <f t="shared" si="33"/>
        <v xml:space="preserve"> </v>
      </c>
      <c r="DX29" s="35" t="str">
        <f t="shared" si="34"/>
        <v xml:space="preserve"> </v>
      </c>
      <c r="DY29" s="35" t="str">
        <f t="shared" si="35"/>
        <v xml:space="preserve"> </v>
      </c>
      <c r="DZ29" s="35" t="str">
        <f>IF($CH29=" "," ",'Wind Calcs'!$AB$77)</f>
        <v xml:space="preserve"> </v>
      </c>
      <c r="EA29" s="35" t="str">
        <f>IF($CH29=" "," ",'Wind Calcs'!$AB$171)</f>
        <v xml:space="preserve"> </v>
      </c>
      <c r="EB29" s="35" t="str">
        <f>IF($CH29=" "," ",'Wind Calcs'!$AB$88)</f>
        <v xml:space="preserve"> </v>
      </c>
      <c r="EC29" s="35" t="str">
        <f>IF($CH29=" "," ",'Wind Calcs'!$AB$182)</f>
        <v xml:space="preserve"> </v>
      </c>
      <c r="ED29" s="35" t="str">
        <f>IF($CI29=" "," ",'Wind Calcs'!$AB$78)</f>
        <v xml:space="preserve"> </v>
      </c>
      <c r="EE29" s="35" t="str">
        <f>IF($CI29=" "," ",'Wind Calcs'!$AB$172)</f>
        <v xml:space="preserve"> </v>
      </c>
      <c r="EF29" s="35" t="str">
        <f>IF($CI29=" "," ",'Wind Calcs'!$AB$94)</f>
        <v xml:space="preserve"> </v>
      </c>
      <c r="EG29" s="35" t="str">
        <f>IF($CI29=" "," ",'Wind Calcs'!$AB$188)</f>
        <v xml:space="preserve"> </v>
      </c>
      <c r="EH29" s="35" t="str">
        <f>IF($CJ29=" "," ",'Wind Calcs'!$AB$79)</f>
        <v xml:space="preserve"> </v>
      </c>
      <c r="EI29" s="35" t="str">
        <f>IF($CJ29=" "," ",'Wind Calcs'!$AB$173)</f>
        <v xml:space="preserve"> </v>
      </c>
      <c r="EJ29" s="35" t="str">
        <f>IF($CJ29=" "," ",'Wind Calcs'!$AB$100)</f>
        <v xml:space="preserve"> </v>
      </c>
      <c r="EK29" s="35" t="str">
        <f>IF($CJ29=" "," ",'Wind Calcs'!$AB$194)</f>
        <v xml:space="preserve"> </v>
      </c>
      <c r="EL29" s="35" t="str">
        <f>IF($CK29=" "," ",'Wind Calcs'!$AB$80)</f>
        <v xml:space="preserve"> </v>
      </c>
      <c r="EM29" s="35" t="str">
        <f>IF($CK29=" "," ",'Wind Calcs'!$AB$174)</f>
        <v xml:space="preserve"> </v>
      </c>
      <c r="EN29" s="35" t="str">
        <f>IF($CK29=" "," ",'Wind Calcs'!$AB$106)</f>
        <v xml:space="preserve"> </v>
      </c>
      <c r="EO29" s="35" t="str">
        <f>IF($CK29=" "," ",'Wind Calcs'!$AB$200)</f>
        <v xml:space="preserve"> </v>
      </c>
      <c r="EP29" s="35" t="str">
        <f>IF($CL29=" "," ",'Wind Calcs'!$AB$81)</f>
        <v xml:space="preserve"> </v>
      </c>
      <c r="EQ29" s="35" t="str">
        <f>IF($CL29=" "," ",'Wind Calcs'!$AB$175)</f>
        <v xml:space="preserve"> </v>
      </c>
      <c r="ER29" s="35" t="str">
        <f>IF($CL29=" "," ",'Wind Calcs'!$AB$112)</f>
        <v xml:space="preserve"> </v>
      </c>
      <c r="ES29" s="35" t="str">
        <f>IF($CL29=" "," ",'Wind Calcs'!$AB$206)</f>
        <v xml:space="preserve"> </v>
      </c>
      <c r="ET29" s="35" t="str">
        <f>IF($CM29=" "," ",'Wind Calcs'!$AB$77)</f>
        <v xml:space="preserve"> </v>
      </c>
      <c r="EU29" s="35" t="str">
        <f>IF($CM29=" "," ",'Wind Calcs'!$AB$171)</f>
        <v xml:space="preserve"> </v>
      </c>
      <c r="EV29" s="373" t="str">
        <f>IF($CM29=" "," ",'Wind Calcs'!$AB$88)</f>
        <v xml:space="preserve"> </v>
      </c>
      <c r="EW29" s="35" t="str">
        <f>IF($CM29=" "," ",'Wind Calcs'!$AB$182)</f>
        <v xml:space="preserve"> </v>
      </c>
    </row>
    <row r="30" spans="2:153" x14ac:dyDescent="0.25">
      <c r="B30" s="34" t="str">
        <f t="shared" si="36"/>
        <v/>
      </c>
      <c r="C30" s="299">
        <v>25</v>
      </c>
      <c r="D30" s="7" t="str">
        <f t="shared" si="37"/>
        <v/>
      </c>
      <c r="E30" s="299" t="str">
        <f t="shared" si="38"/>
        <v/>
      </c>
      <c r="G30" s="302">
        <v>25</v>
      </c>
      <c r="H30" s="7" t="e">
        <f t="shared" si="39"/>
        <v>#VALUE!</v>
      </c>
      <c r="I30" s="299" t="e">
        <f t="shared" si="40"/>
        <v>#VALUE!</v>
      </c>
      <c r="J30" s="7"/>
      <c r="K30" s="302">
        <v>25</v>
      </c>
      <c r="L30" s="652" t="str">
        <f t="shared" si="41"/>
        <v/>
      </c>
      <c r="M30" s="556"/>
      <c r="O30" s="629"/>
      <c r="P30" s="561"/>
      <c r="Q30" s="30" t="s">
        <v>671</v>
      </c>
      <c r="R30" s="309" t="e">
        <f>R28*R29</f>
        <v>#VALUE!</v>
      </c>
      <c r="S30" s="311" t="s">
        <v>676</v>
      </c>
      <c r="T30" s="313"/>
      <c r="U30" s="309" t="e">
        <f>IF(O26="Exterior Drive Post", (R30/144)-(((GL+GR)*(ML/25.4))/144), R30/144)</f>
        <v>#VALUE!</v>
      </c>
      <c r="V30" s="31" t="s">
        <v>677</v>
      </c>
      <c r="W30" s="29" t="s">
        <v>678</v>
      </c>
      <c r="X30" s="314" t="e">
        <f>X29/12*X28</f>
        <v>#VALUE!</v>
      </c>
      <c r="Y30" s="31" t="s">
        <v>663</v>
      </c>
      <c r="Z30" s="29" t="s">
        <v>678</v>
      </c>
      <c r="AA30" s="315" t="e">
        <f>AA26*AA27</f>
        <v>#VALUE!</v>
      </c>
      <c r="AB30" s="31" t="s">
        <v>663</v>
      </c>
      <c r="AC30" s="29" t="s">
        <v>678</v>
      </c>
      <c r="AD30" s="316" t="e">
        <f>AD26*AD27</f>
        <v>#VALUE!</v>
      </c>
      <c r="AE30" s="31" t="s">
        <v>181</v>
      </c>
      <c r="AF30" s="29" t="s">
        <v>654</v>
      </c>
      <c r="AG30" s="320" t="e">
        <f>IF(O26="Exterior Drive Post", SUM(AG26:AG28)+SDW, SUM(AG26:AG28)+ICW)</f>
        <v>#VALUE!</v>
      </c>
      <c r="AH30" s="31" t="s">
        <v>663</v>
      </c>
      <c r="AI30">
        <v>5</v>
      </c>
      <c r="AJ30" s="29"/>
      <c r="AK30" s="309"/>
      <c r="AL30" s="31"/>
      <c r="AM30" s="29"/>
      <c r="AN30" s="30"/>
      <c r="AO30" s="31"/>
      <c r="AP30" s="29" t="s">
        <v>679</v>
      </c>
      <c r="AQ30" s="324" t="e">
        <f>AQ28*Pult</f>
        <v>#VALUE!</v>
      </c>
      <c r="AR30" s="31" t="s">
        <v>181</v>
      </c>
      <c r="AT30" s="29" t="s">
        <v>662</v>
      </c>
      <c r="AU30" s="339" t="e">
        <f>AU28*AU27</f>
        <v>#VALUE!</v>
      </c>
      <c r="AV30" s="31" t="s">
        <v>181</v>
      </c>
      <c r="AX30" s="629"/>
      <c r="AY30" s="561"/>
      <c r="AZ30" s="30" t="s">
        <v>671</v>
      </c>
      <c r="BA30" s="309" t="e">
        <f>BA28*BA29</f>
        <v>#VALUE!</v>
      </c>
      <c r="BB30" s="311" t="s">
        <v>676</v>
      </c>
      <c r="BC30" s="313"/>
      <c r="BD30" s="309" t="e">
        <f>IF(AX26="Interior Drive Post", (BA30/144)-(((GL+GR)*(ML/25.4))/144), BA30/144)</f>
        <v>#VALUE!</v>
      </c>
      <c r="BE30" s="31" t="s">
        <v>677</v>
      </c>
      <c r="BF30" s="29" t="s">
        <v>678</v>
      </c>
      <c r="BG30" s="314" t="e">
        <f>BG29/12*BG28</f>
        <v>#VALUE!</v>
      </c>
      <c r="BH30" s="31" t="s">
        <v>663</v>
      </c>
      <c r="BI30" s="29" t="s">
        <v>678</v>
      </c>
      <c r="BJ30" s="315" t="e">
        <f>BJ26*BJ27</f>
        <v>#VALUE!</v>
      </c>
      <c r="BK30" s="31" t="s">
        <v>663</v>
      </c>
      <c r="BL30" s="29" t="s">
        <v>678</v>
      </c>
      <c r="BM30" s="316" t="e">
        <f>BM26*BM27</f>
        <v>#VALUE!</v>
      </c>
      <c r="BN30" s="31" t="s">
        <v>181</v>
      </c>
      <c r="BO30" s="29" t="s">
        <v>654</v>
      </c>
      <c r="BP30" s="320" t="e">
        <f>IF(AX26="Interior Drive Post", SUM(BP26:BP28)+SDW, SUM(BP26:BP28)+ICW)</f>
        <v>#VALUE!</v>
      </c>
      <c r="BQ30" s="31" t="s">
        <v>663</v>
      </c>
      <c r="BR30">
        <v>5</v>
      </c>
      <c r="BS30" s="29"/>
      <c r="BT30" s="309"/>
      <c r="BU30" s="31"/>
      <c r="BV30" s="29"/>
      <c r="BW30" s="30"/>
      <c r="BX30" s="31"/>
      <c r="BY30" s="29" t="s">
        <v>679</v>
      </c>
      <c r="BZ30" s="324" t="e">
        <f>BZ28*Pult</f>
        <v>#VALUE!</v>
      </c>
      <c r="CA30" s="31" t="s">
        <v>181</v>
      </c>
      <c r="CC30" s="29" t="s">
        <v>662</v>
      </c>
      <c r="CD30" s="339" t="e">
        <f>CD28*CD27</f>
        <v>#VALUE!</v>
      </c>
      <c r="CE30" s="31" t="s">
        <v>181</v>
      </c>
      <c r="CG30" s="35">
        <v>26</v>
      </c>
      <c r="CH30" s="35" t="str">
        <f t="shared" si="0"/>
        <v xml:space="preserve"> </v>
      </c>
      <c r="CI30" s="35" t="str">
        <f t="shared" si="1"/>
        <v xml:space="preserve"> </v>
      </c>
      <c r="CJ30" s="35" t="str">
        <f t="shared" si="2"/>
        <v xml:space="preserve"> </v>
      </c>
      <c r="CK30" s="35" t="str">
        <f t="shared" si="3"/>
        <v xml:space="preserve"> </v>
      </c>
      <c r="CL30" s="35" t="str">
        <f t="shared" si="4"/>
        <v xml:space="preserve"> </v>
      </c>
      <c r="CM30" s="35" t="str">
        <f t="shared" si="5"/>
        <v xml:space="preserve"> </v>
      </c>
      <c r="CN30" s="342" t="str">
        <f>IFERROR(AG135," ")</f>
        <v xml:space="preserve"> </v>
      </c>
      <c r="CO30" s="342" t="str">
        <f>IFERROR(AU135," ")</f>
        <v xml:space="preserve"> </v>
      </c>
      <c r="CP30" s="342" t="str">
        <f>IFERROR(AQ135," ")</f>
        <v xml:space="preserve"> </v>
      </c>
      <c r="CQ30" s="342" t="str">
        <f>IFERROR(BP135," ")</f>
        <v xml:space="preserve"> </v>
      </c>
      <c r="CR30" s="342" t="str">
        <f>IFERROR(CD135," ")</f>
        <v xml:space="preserve"> </v>
      </c>
      <c r="CS30" s="342" t="str">
        <f>IFERROR(BZ135," ")</f>
        <v xml:space="preserve"> </v>
      </c>
      <c r="CT30" s="35" t="str">
        <f>IFERROR(IF(AND(controlling_code="ASCE 7-22",pf&gt;45),(CN30+0.15*CO30)*Inputs!$B$23,IF(AND(controlling_code="ASCE 7-22",pf&lt;45),CN30*Inputs!$B$23,IF(pf&lt;=30,CN30*Inputs!$B$23,(CN30+0.2*CO30)*Inputs!$B$23)))," ")</f>
        <v xml:space="preserve"> </v>
      </c>
      <c r="CU30" s="35" t="str">
        <f>IFERROR(IF(AND(controlling_code="ASCE 7-22",pf&gt;45),(CN30+0.15*CO30)*Inputs!$B$23,IF(AND(controlling_code="ASCE 7-22",pf&lt;45),CN30*Inputs!$B$23,IF(pf&lt;=30,CN30*Inputs!$B$23,(CN30+0.2*CO30)*Inputs!$B$23)))," ")</f>
        <v xml:space="preserve"> </v>
      </c>
      <c r="CV30" s="35" t="str">
        <f t="shared" si="6"/>
        <v xml:space="preserve"> </v>
      </c>
      <c r="CW30" s="35" t="str">
        <f t="shared" si="7"/>
        <v xml:space="preserve"> </v>
      </c>
      <c r="CX30" s="35" t="str">
        <f t="shared" si="8"/>
        <v xml:space="preserve"> </v>
      </c>
      <c r="CY30" s="35" t="str">
        <f t="shared" si="9"/>
        <v xml:space="preserve"> </v>
      </c>
      <c r="CZ30" s="35" t="str">
        <f t="shared" si="10"/>
        <v xml:space="preserve"> </v>
      </c>
      <c r="DA30" s="35" t="str">
        <f t="shared" si="11"/>
        <v xml:space="preserve"> </v>
      </c>
      <c r="DB30" s="35" t="str">
        <f t="shared" si="12"/>
        <v xml:space="preserve"> </v>
      </c>
      <c r="DC30" s="35" t="str">
        <f t="shared" si="13"/>
        <v xml:space="preserve"> </v>
      </c>
      <c r="DD30" s="35" t="str">
        <f t="shared" si="14"/>
        <v xml:space="preserve"> </v>
      </c>
      <c r="DE30" s="35" t="str">
        <f t="shared" si="15"/>
        <v xml:space="preserve"> </v>
      </c>
      <c r="DF30" s="35" t="str">
        <f t="shared" si="16"/>
        <v xml:space="preserve"> </v>
      </c>
      <c r="DG30" s="35" t="str">
        <f t="shared" si="17"/>
        <v xml:space="preserve"> </v>
      </c>
      <c r="DH30" s="35" t="str">
        <f t="shared" si="18"/>
        <v xml:space="preserve"> </v>
      </c>
      <c r="DI30" s="35" t="str">
        <f t="shared" si="19"/>
        <v xml:space="preserve"> </v>
      </c>
      <c r="DJ30" s="35" t="str">
        <f t="shared" si="20"/>
        <v xml:space="preserve"> </v>
      </c>
      <c r="DK30" s="35" t="str">
        <f t="shared" si="21"/>
        <v xml:space="preserve"> </v>
      </c>
      <c r="DL30" s="35" t="str">
        <f t="shared" si="22"/>
        <v xml:space="preserve"> </v>
      </c>
      <c r="DM30" s="35" t="str">
        <f t="shared" si="23"/>
        <v xml:space="preserve"> </v>
      </c>
      <c r="DN30" s="35" t="str">
        <f t="shared" si="24"/>
        <v xml:space="preserve"> </v>
      </c>
      <c r="DO30" s="35" t="str">
        <f t="shared" si="25"/>
        <v xml:space="preserve"> </v>
      </c>
      <c r="DP30" s="35" t="str">
        <f t="shared" si="26"/>
        <v xml:space="preserve"> </v>
      </c>
      <c r="DQ30" s="35" t="str">
        <f t="shared" si="27"/>
        <v xml:space="preserve"> </v>
      </c>
      <c r="DR30" s="35" t="str">
        <f t="shared" si="28"/>
        <v xml:space="preserve"> </v>
      </c>
      <c r="DS30" s="35" t="str">
        <f t="shared" si="29"/>
        <v xml:space="preserve"> </v>
      </c>
      <c r="DT30" s="35" t="str">
        <f t="shared" si="30"/>
        <v xml:space="preserve"> </v>
      </c>
      <c r="DU30" s="35" t="str">
        <f t="shared" si="31"/>
        <v xml:space="preserve"> </v>
      </c>
      <c r="DV30" s="35" t="str">
        <f t="shared" si="32"/>
        <v xml:space="preserve"> </v>
      </c>
      <c r="DW30" s="35" t="str">
        <f t="shared" si="33"/>
        <v xml:space="preserve"> </v>
      </c>
      <c r="DX30" s="35" t="str">
        <f t="shared" si="34"/>
        <v xml:space="preserve"> </v>
      </c>
      <c r="DY30" s="35" t="str">
        <f t="shared" si="35"/>
        <v xml:space="preserve"> </v>
      </c>
      <c r="DZ30" s="35" t="str">
        <f>IF($CH30=" "," ",'Wind Calcs'!$AC$77)</f>
        <v xml:space="preserve"> </v>
      </c>
      <c r="EA30" s="35" t="str">
        <f>IF($CH30=" "," ",'Wind Calcs'!$AC$171)</f>
        <v xml:space="preserve"> </v>
      </c>
      <c r="EB30" s="35" t="str">
        <f>IF($CH30=" "," ",'Wind Calcs'!$AC$88)</f>
        <v xml:space="preserve"> </v>
      </c>
      <c r="EC30" s="35" t="str">
        <f>IF($CH30=" "," ",'Wind Calcs'!$AC$182)</f>
        <v xml:space="preserve"> </v>
      </c>
      <c r="ED30" s="35" t="str">
        <f>IF($CI30=" "," ",'Wind Calcs'!$AC$78)</f>
        <v xml:space="preserve"> </v>
      </c>
      <c r="EE30" s="35" t="str">
        <f>IF($CI30=" "," ",'Wind Calcs'!$AC$172)</f>
        <v xml:space="preserve"> </v>
      </c>
      <c r="EF30" s="35" t="str">
        <f>IF($CI30=" "," ",'Wind Calcs'!$AC$94)</f>
        <v xml:space="preserve"> </v>
      </c>
      <c r="EG30" s="35" t="str">
        <f>IF($CI30=" "," ",'Wind Calcs'!$AC$188)</f>
        <v xml:space="preserve"> </v>
      </c>
      <c r="EH30" s="35" t="str">
        <f>IF($CJ30=" "," ",'Wind Calcs'!$AC$79)</f>
        <v xml:space="preserve"> </v>
      </c>
      <c r="EI30" s="35" t="str">
        <f>IF($CJ30=" "," ",'Wind Calcs'!$AC$173)</f>
        <v xml:space="preserve"> </v>
      </c>
      <c r="EJ30" s="35" t="str">
        <f>IF($CJ30=" "," ",'Wind Calcs'!$AC$100)</f>
        <v xml:space="preserve"> </v>
      </c>
      <c r="EK30" s="35" t="str">
        <f>IF($CJ30=" "," ",'Wind Calcs'!$AC$194)</f>
        <v xml:space="preserve"> </v>
      </c>
      <c r="EL30" s="35" t="str">
        <f>IF($CK30=" "," ",'Wind Calcs'!$AC$80)</f>
        <v xml:space="preserve"> </v>
      </c>
      <c r="EM30" s="35" t="str">
        <f>IF($CK30=" "," ",'Wind Calcs'!$AC$174)</f>
        <v xml:space="preserve"> </v>
      </c>
      <c r="EN30" s="35" t="str">
        <f>IF($CK30=" "," ",'Wind Calcs'!$AC$106)</f>
        <v xml:space="preserve"> </v>
      </c>
      <c r="EO30" s="35" t="str">
        <f>IF($CK30=" "," ",'Wind Calcs'!$AC$200)</f>
        <v xml:space="preserve"> </v>
      </c>
      <c r="EP30" s="35" t="str">
        <f>IF($CL30=" "," ",'Wind Calcs'!$AC$81)</f>
        <v xml:space="preserve"> </v>
      </c>
      <c r="EQ30" s="35" t="str">
        <f>IF($CL30=" "," ",'Wind Calcs'!$AC$175)</f>
        <v xml:space="preserve"> </v>
      </c>
      <c r="ER30" s="35" t="str">
        <f>IF($CL30=" "," ",'Wind Calcs'!$AC$112)</f>
        <v xml:space="preserve"> </v>
      </c>
      <c r="ES30" s="35" t="str">
        <f>IF($CL30=" "," ",'Wind Calcs'!$AC$206)</f>
        <v xml:space="preserve"> </v>
      </c>
      <c r="ET30" s="35" t="str">
        <f>IF($CM30=" "," ",'Wind Calcs'!$AC$77)</f>
        <v xml:space="preserve"> </v>
      </c>
      <c r="EU30" s="35" t="str">
        <f>IF($CM30=" "," ",'Wind Calcs'!$AC$171)</f>
        <v xml:space="preserve"> </v>
      </c>
      <c r="EV30" s="373" t="str">
        <f>IF($CM30=" "," ",'Wind Calcs'!$AC$88)</f>
        <v xml:space="preserve"> </v>
      </c>
      <c r="EW30" s="35" t="str">
        <f>IF($CM30=" "," ",'Wind Calcs'!$AC$182)</f>
        <v xml:space="preserve"> </v>
      </c>
    </row>
    <row r="31" spans="2:153" x14ac:dyDescent="0.25">
      <c r="B31" s="34" t="str">
        <f t="shared" si="36"/>
        <v/>
      </c>
      <c r="C31" s="299">
        <v>26</v>
      </c>
      <c r="D31" s="7" t="str">
        <f t="shared" si="37"/>
        <v/>
      </c>
      <c r="E31" s="299" t="str">
        <f t="shared" si="38"/>
        <v/>
      </c>
      <c r="G31" s="302">
        <v>26</v>
      </c>
      <c r="H31" s="7" t="e">
        <f t="shared" si="39"/>
        <v>#VALUE!</v>
      </c>
      <c r="I31" s="299" t="e">
        <f t="shared" si="40"/>
        <v>#VALUE!</v>
      </c>
      <c r="J31" s="7"/>
      <c r="K31" s="302">
        <v>26</v>
      </c>
      <c r="L31" s="652" t="str">
        <f t="shared" si="41"/>
        <v/>
      </c>
      <c r="M31" s="556"/>
      <c r="O31" s="653" t="str">
        <f>D11</f>
        <v/>
      </c>
      <c r="P31" s="558"/>
      <c r="Q31" s="25" t="s">
        <v>656</v>
      </c>
      <c r="R31" s="297" t="str">
        <f>L11</f>
        <v/>
      </c>
      <c r="S31" s="310" t="s">
        <v>657</v>
      </c>
      <c r="T31" s="312"/>
      <c r="U31" s="297" t="e">
        <f>R31/12</f>
        <v>#VALUE!</v>
      </c>
      <c r="V31" s="26" t="s">
        <v>658</v>
      </c>
      <c r="W31" s="24" t="s">
        <v>659</v>
      </c>
      <c r="X31" s="297" t="e">
        <f>VL</f>
        <v>#VALUE!</v>
      </c>
      <c r="Y31" s="26" t="s">
        <v>657</v>
      </c>
      <c r="Z31" s="24" t="s">
        <v>660</v>
      </c>
      <c r="AA31" s="297">
        <f>VLOOKUP(TS,'List Data'!$A$15:$B$18, 2, FALSE)</f>
        <v>7.8955000000000002</v>
      </c>
      <c r="AB31" s="26" t="s">
        <v>661</v>
      </c>
      <c r="AC31" s="24" t="s">
        <v>662</v>
      </c>
      <c r="AD31" s="297" t="e">
        <f>PL</f>
        <v>#VALUE!</v>
      </c>
      <c r="AE31" s="26" t="s">
        <v>65</v>
      </c>
      <c r="AF31" s="24" t="s">
        <v>651</v>
      </c>
      <c r="AG31" s="318" t="e">
        <f>X35</f>
        <v>#VALUE!</v>
      </c>
      <c r="AH31" s="26" t="s">
        <v>663</v>
      </c>
      <c r="AJ31" s="24" t="s">
        <v>664</v>
      </c>
      <c r="AK31" s="297" t="e">
        <f>ROUND(MT/12,5)</f>
        <v>#VALUE!</v>
      </c>
      <c r="AL31" s="26" t="s">
        <v>658</v>
      </c>
      <c r="AM31" s="24" t="s">
        <v>370</v>
      </c>
      <c r="AN31" s="297">
        <f>IF(OR(TS="5x4, .126", TS="5x4, .134"), 5/12,4/12)</f>
        <v>0.41666666666666669</v>
      </c>
      <c r="AO31" s="26" t="s">
        <v>658</v>
      </c>
      <c r="AP31" s="24" t="s">
        <v>653</v>
      </c>
      <c r="AQ31" s="322" t="e">
        <f>AK33</f>
        <v>#VALUE!</v>
      </c>
      <c r="AR31" s="26" t="s">
        <v>665</v>
      </c>
      <c r="AT31" s="24" t="s">
        <v>666</v>
      </c>
      <c r="AU31" s="338" t="str">
        <f>Theta</f>
        <v>XX</v>
      </c>
      <c r="AV31" s="26" t="s">
        <v>667</v>
      </c>
      <c r="AX31" s="653" t="str">
        <f>D47</f>
        <v/>
      </c>
      <c r="AY31" s="558"/>
      <c r="AZ31" s="25" t="s">
        <v>656</v>
      </c>
      <c r="BA31" s="297" t="str">
        <f>L47</f>
        <v/>
      </c>
      <c r="BB31" s="310" t="s">
        <v>657</v>
      </c>
      <c r="BC31" s="312"/>
      <c r="BD31" s="297" t="e">
        <f>BA31/12</f>
        <v>#VALUE!</v>
      </c>
      <c r="BE31" s="26" t="s">
        <v>658</v>
      </c>
      <c r="BF31" s="24" t="s">
        <v>659</v>
      </c>
      <c r="BG31" s="297" t="e">
        <f>VL</f>
        <v>#VALUE!</v>
      </c>
      <c r="BH31" s="26" t="s">
        <v>657</v>
      </c>
      <c r="BI31" s="24" t="s">
        <v>660</v>
      </c>
      <c r="BJ31" s="297">
        <f>VLOOKUP(TS,'List Data'!$A$15:$B$18, 2, FALSE)</f>
        <v>7.8955000000000002</v>
      </c>
      <c r="BK31" s="26" t="s">
        <v>661</v>
      </c>
      <c r="BL31" s="24" t="s">
        <v>662</v>
      </c>
      <c r="BM31" s="297" t="e">
        <f>PL</f>
        <v>#VALUE!</v>
      </c>
      <c r="BN31" s="26" t="s">
        <v>65</v>
      </c>
      <c r="BO31" s="24" t="s">
        <v>651</v>
      </c>
      <c r="BP31" s="318" t="e">
        <f>BG35</f>
        <v>#VALUE!</v>
      </c>
      <c r="BQ31" s="26" t="s">
        <v>663</v>
      </c>
      <c r="BS31" s="24" t="s">
        <v>664</v>
      </c>
      <c r="BT31" s="297" t="e">
        <f>ROUND(MT/12,5)</f>
        <v>#VALUE!</v>
      </c>
      <c r="BU31" s="26" t="s">
        <v>658</v>
      </c>
      <c r="BV31" s="24" t="s">
        <v>370</v>
      </c>
      <c r="BW31" s="297">
        <f>IF(OR(TS="5x4, .126", TS="5x4, .134"), 5/12,4/12)</f>
        <v>0.41666666666666669</v>
      </c>
      <c r="BX31" s="26" t="s">
        <v>658</v>
      </c>
      <c r="BY31" s="24" t="s">
        <v>653</v>
      </c>
      <c r="BZ31" s="322" t="e">
        <f>BT33</f>
        <v>#VALUE!</v>
      </c>
      <c r="CA31" s="26" t="s">
        <v>665</v>
      </c>
      <c r="CC31" s="24" t="s">
        <v>666</v>
      </c>
      <c r="CD31" s="338" t="str">
        <f>Theta</f>
        <v>XX</v>
      </c>
      <c r="CE31" s="26" t="s">
        <v>667</v>
      </c>
      <c r="CG31" s="35">
        <v>27</v>
      </c>
      <c r="CH31" s="35" t="str">
        <f t="shared" si="0"/>
        <v xml:space="preserve"> </v>
      </c>
      <c r="CI31" s="35" t="str">
        <f t="shared" si="1"/>
        <v xml:space="preserve"> </v>
      </c>
      <c r="CJ31" s="35" t="str">
        <f t="shared" si="2"/>
        <v xml:space="preserve"> </v>
      </c>
      <c r="CK31" s="35" t="str">
        <f t="shared" si="3"/>
        <v xml:space="preserve"> </v>
      </c>
      <c r="CL31" s="35" t="str">
        <f t="shared" si="4"/>
        <v xml:space="preserve"> </v>
      </c>
      <c r="CM31" s="35" t="str">
        <f t="shared" si="5"/>
        <v xml:space="preserve"> </v>
      </c>
      <c r="CN31" s="342" t="str">
        <f>IFERROR(AG140," ")</f>
        <v xml:space="preserve"> </v>
      </c>
      <c r="CO31" s="342" t="str">
        <f>IFERROR(AU140," ")</f>
        <v xml:space="preserve"> </v>
      </c>
      <c r="CP31" s="342" t="str">
        <f>IFERROR(AQ140," ")</f>
        <v xml:space="preserve"> </v>
      </c>
      <c r="CQ31" s="342" t="str">
        <f>IFERROR(BP140," ")</f>
        <v xml:space="preserve"> </v>
      </c>
      <c r="CR31" s="342" t="str">
        <f>IFERROR(CD140," ")</f>
        <v xml:space="preserve"> </v>
      </c>
      <c r="CS31" s="342" t="str">
        <f>IFERROR(BZ140," ")</f>
        <v xml:space="preserve"> </v>
      </c>
      <c r="CT31" s="35" t="str">
        <f>IFERROR(IF(AND(controlling_code="ASCE 7-22",pf&gt;45),(CN31+0.15*CO31)*Inputs!$B$23,IF(AND(controlling_code="ASCE 7-22",pf&lt;45),CN31*Inputs!$B$23,IF(pf&lt;=30,CN31*Inputs!$B$23,(CN31+0.2*CO31)*Inputs!$B$23)))," ")</f>
        <v xml:space="preserve"> </v>
      </c>
      <c r="CU31" s="35" t="str">
        <f>IFERROR(IF(AND(controlling_code="ASCE 7-22",pf&gt;45),(CN31+0.15*CO31)*Inputs!$B$23,IF(AND(controlling_code="ASCE 7-22",pf&lt;45),CN31*Inputs!$B$23,IF(pf&lt;=30,CN31*Inputs!$B$23,(CN31+0.2*CO31)*Inputs!$B$23)))," ")</f>
        <v xml:space="preserve"> </v>
      </c>
      <c r="CV31" s="35" t="str">
        <f t="shared" si="6"/>
        <v xml:space="preserve"> </v>
      </c>
      <c r="CW31" s="35" t="str">
        <f t="shared" si="7"/>
        <v xml:space="preserve"> </v>
      </c>
      <c r="CX31" s="35" t="str">
        <f t="shared" si="8"/>
        <v xml:space="preserve"> </v>
      </c>
      <c r="CY31" s="35" t="str">
        <f t="shared" si="9"/>
        <v xml:space="preserve"> </v>
      </c>
      <c r="CZ31" s="35" t="str">
        <f t="shared" si="10"/>
        <v xml:space="preserve"> </v>
      </c>
      <c r="DA31" s="35" t="str">
        <f t="shared" si="11"/>
        <v xml:space="preserve"> </v>
      </c>
      <c r="DB31" s="35" t="str">
        <f t="shared" si="12"/>
        <v xml:space="preserve"> </v>
      </c>
      <c r="DC31" s="35" t="str">
        <f t="shared" si="13"/>
        <v xml:space="preserve"> </v>
      </c>
      <c r="DD31" s="35" t="str">
        <f t="shared" si="14"/>
        <v xml:space="preserve"> </v>
      </c>
      <c r="DE31" s="35" t="str">
        <f t="shared" si="15"/>
        <v xml:space="preserve"> </v>
      </c>
      <c r="DF31" s="35" t="str">
        <f t="shared" si="16"/>
        <v xml:space="preserve"> </v>
      </c>
      <c r="DG31" s="35" t="str">
        <f t="shared" si="17"/>
        <v xml:space="preserve"> </v>
      </c>
      <c r="DH31" s="35" t="str">
        <f t="shared" si="18"/>
        <v xml:space="preserve"> </v>
      </c>
      <c r="DI31" s="35" t="str">
        <f t="shared" si="19"/>
        <v xml:space="preserve"> </v>
      </c>
      <c r="DJ31" s="35" t="str">
        <f t="shared" si="20"/>
        <v xml:space="preserve"> </v>
      </c>
      <c r="DK31" s="35" t="str">
        <f t="shared" si="21"/>
        <v xml:space="preserve"> </v>
      </c>
      <c r="DL31" s="35" t="str">
        <f t="shared" si="22"/>
        <v xml:space="preserve"> </v>
      </c>
      <c r="DM31" s="35" t="str">
        <f t="shared" si="23"/>
        <v xml:space="preserve"> </v>
      </c>
      <c r="DN31" s="35" t="str">
        <f t="shared" si="24"/>
        <v xml:space="preserve"> </v>
      </c>
      <c r="DO31" s="35" t="str">
        <f t="shared" si="25"/>
        <v xml:space="preserve"> </v>
      </c>
      <c r="DP31" s="35" t="str">
        <f t="shared" si="26"/>
        <v xml:space="preserve"> </v>
      </c>
      <c r="DQ31" s="35" t="str">
        <f t="shared" si="27"/>
        <v xml:space="preserve"> </v>
      </c>
      <c r="DR31" s="35" t="str">
        <f t="shared" si="28"/>
        <v xml:space="preserve"> </v>
      </c>
      <c r="DS31" s="35" t="str">
        <f t="shared" si="29"/>
        <v xml:space="preserve"> </v>
      </c>
      <c r="DT31" s="35" t="str">
        <f t="shared" si="30"/>
        <v xml:space="preserve"> </v>
      </c>
      <c r="DU31" s="35" t="str">
        <f t="shared" si="31"/>
        <v xml:space="preserve"> </v>
      </c>
      <c r="DV31" s="35" t="str">
        <f t="shared" si="32"/>
        <v xml:space="preserve"> </v>
      </c>
      <c r="DW31" s="35" t="str">
        <f t="shared" si="33"/>
        <v xml:space="preserve"> </v>
      </c>
      <c r="DX31" s="35" t="str">
        <f t="shared" si="34"/>
        <v xml:space="preserve"> </v>
      </c>
      <c r="DY31" s="35" t="str">
        <f t="shared" si="35"/>
        <v xml:space="preserve"> </v>
      </c>
      <c r="DZ31" s="35" t="str">
        <f>IF($CH31=" "," ",'Wind Calcs'!$AD$77)</f>
        <v xml:space="preserve"> </v>
      </c>
      <c r="EA31" s="35" t="str">
        <f>IF($CH31=" "," ",'Wind Calcs'!$AD$171)</f>
        <v xml:space="preserve"> </v>
      </c>
      <c r="EB31" s="35" t="str">
        <f>IF($CH31=" "," ",'Wind Calcs'!$AD$88)</f>
        <v xml:space="preserve"> </v>
      </c>
      <c r="EC31" s="35" t="str">
        <f>IF($CH31=" "," ",'Wind Calcs'!$AD$182)</f>
        <v xml:space="preserve"> </v>
      </c>
      <c r="ED31" s="35" t="str">
        <f>IF($CI31=" "," ",'Wind Calcs'!$AD$78)</f>
        <v xml:space="preserve"> </v>
      </c>
      <c r="EE31" s="35" t="str">
        <f>IF($CI31=" "," ",'Wind Calcs'!$AD$172)</f>
        <v xml:space="preserve"> </v>
      </c>
      <c r="EF31" s="35" t="str">
        <f>IF($CI31=" "," ",'Wind Calcs'!$AD$94)</f>
        <v xml:space="preserve"> </v>
      </c>
      <c r="EG31" s="35" t="str">
        <f>IF($CI31=" "," ",'Wind Calcs'!$AD$188)</f>
        <v xml:space="preserve"> </v>
      </c>
      <c r="EH31" s="35" t="str">
        <f>IF($CJ31=" "," ",'Wind Calcs'!$AD$79)</f>
        <v xml:space="preserve"> </v>
      </c>
      <c r="EI31" s="35" t="str">
        <f>IF($CJ31=" "," ",'Wind Calcs'!$AD$173)</f>
        <v xml:space="preserve"> </v>
      </c>
      <c r="EJ31" s="35" t="str">
        <f>IF($CJ31=" "," ",'Wind Calcs'!$AD$100)</f>
        <v xml:space="preserve"> </v>
      </c>
      <c r="EK31" s="35" t="str">
        <f>IF($CJ31=" "," ",'Wind Calcs'!$AD$194)</f>
        <v xml:space="preserve"> </v>
      </c>
      <c r="EL31" s="35" t="str">
        <f>IF($CK31=" "," ",'Wind Calcs'!$AD$80)</f>
        <v xml:space="preserve"> </v>
      </c>
      <c r="EM31" s="35" t="str">
        <f>IF($CK31=" "," ",'Wind Calcs'!$AD$174)</f>
        <v xml:space="preserve"> </v>
      </c>
      <c r="EN31" s="35" t="str">
        <f>IF($CK31=" "," ",'Wind Calcs'!$AD$106)</f>
        <v xml:space="preserve"> </v>
      </c>
      <c r="EO31" s="35" t="str">
        <f>IF($CK31=" "," ",'Wind Calcs'!$AD$200)</f>
        <v xml:space="preserve"> </v>
      </c>
      <c r="EP31" s="35" t="str">
        <f>IF($CL31=" "," ",'Wind Calcs'!$AD$81)</f>
        <v xml:space="preserve"> </v>
      </c>
      <c r="EQ31" s="35" t="str">
        <f>IF($CL31=" "," ",'Wind Calcs'!$AD$175)</f>
        <v xml:space="preserve"> </v>
      </c>
      <c r="ER31" s="35" t="str">
        <f>IF($CL31=" "," ",'Wind Calcs'!$AD$112)</f>
        <v xml:space="preserve"> </v>
      </c>
      <c r="ES31" s="35" t="str">
        <f>IF($CL31=" "," ",'Wind Calcs'!$AD$206)</f>
        <v xml:space="preserve"> </v>
      </c>
      <c r="ET31" s="35" t="str">
        <f>IF($CM31=" "," ",'Wind Calcs'!$AD$77)</f>
        <v xml:space="preserve"> </v>
      </c>
      <c r="EU31" s="35" t="str">
        <f>IF($CM31=" "," ",'Wind Calcs'!$AD$171)</f>
        <v xml:space="preserve"> </v>
      </c>
      <c r="EV31" s="373" t="str">
        <f>IF($CM31=" "," ",'Wind Calcs'!$AD$88)</f>
        <v xml:space="preserve"> </v>
      </c>
      <c r="EW31" s="35" t="str">
        <f>IF($CM31=" "," ",'Wind Calcs'!$AD$182)</f>
        <v xml:space="preserve"> </v>
      </c>
    </row>
    <row r="32" spans="2:153" x14ac:dyDescent="0.25">
      <c r="B32" s="34" t="str">
        <f t="shared" si="36"/>
        <v/>
      </c>
      <c r="C32" s="299">
        <v>27</v>
      </c>
      <c r="D32" s="7" t="str">
        <f t="shared" si="37"/>
        <v/>
      </c>
      <c r="E32" s="299" t="str">
        <f t="shared" si="38"/>
        <v/>
      </c>
      <c r="G32" s="302">
        <v>27</v>
      </c>
      <c r="H32" s="7" t="e">
        <f t="shared" si="39"/>
        <v>#VALUE!</v>
      </c>
      <c r="I32" s="299" t="e">
        <f t="shared" si="40"/>
        <v>#VALUE!</v>
      </c>
      <c r="J32" s="7"/>
      <c r="K32" s="302">
        <v>27</v>
      </c>
      <c r="L32" s="652" t="str">
        <f t="shared" si="41"/>
        <v/>
      </c>
      <c r="M32" s="556"/>
      <c r="O32" s="628"/>
      <c r="P32" s="559"/>
      <c r="Q32" t="s">
        <v>668</v>
      </c>
      <c r="R32" s="7" t="str">
        <f>L12</f>
        <v/>
      </c>
      <c r="S32" s="77" t="s">
        <v>657</v>
      </c>
      <c r="T32" s="43"/>
      <c r="U32" s="7" t="e">
        <f>R32/12</f>
        <v>#VALUE!</v>
      </c>
      <c r="V32" s="28" t="s">
        <v>658</v>
      </c>
      <c r="W32" s="27" t="s">
        <v>669</v>
      </c>
      <c r="X32" s="7">
        <f>COUNTIFS($I$6:$I$105, "&lt;="&amp;R31, $I$6:$I$105, "&gt;="&amp;R32)</f>
        <v>0</v>
      </c>
      <c r="Y32" s="28" t="s">
        <v>670</v>
      </c>
      <c r="Z32" s="27" t="s">
        <v>659</v>
      </c>
      <c r="AA32" s="7" t="e">
        <f>IF(O31="Exterior Drive Post", (U33-(TG/12)), U33)</f>
        <v>#VALUE!</v>
      </c>
      <c r="AB32" s="28" t="s">
        <v>658</v>
      </c>
      <c r="AC32" s="27" t="s">
        <v>671</v>
      </c>
      <c r="AD32" s="7" t="e">
        <f>U35</f>
        <v>#VALUE!</v>
      </c>
      <c r="AE32" s="28" t="s">
        <v>665</v>
      </c>
      <c r="AF32" s="27" t="s">
        <v>672</v>
      </c>
      <c r="AG32" s="317" t="e">
        <f>AA35</f>
        <v>#VALUE!</v>
      </c>
      <c r="AH32" s="28" t="s">
        <v>663</v>
      </c>
      <c r="AJ32" s="27" t="s">
        <v>659</v>
      </c>
      <c r="AK32" s="7" t="e">
        <f>IF(O31= "Exterior Drive Post", (U33)-((GL+GR)/12), U33)</f>
        <v>#VALUE!</v>
      </c>
      <c r="AL32" s="28" t="s">
        <v>658</v>
      </c>
      <c r="AM32" s="27" t="s">
        <v>659</v>
      </c>
      <c r="AN32" s="7" t="e">
        <f>AA32</f>
        <v>#VALUE!</v>
      </c>
      <c r="AO32" s="28" t="s">
        <v>658</v>
      </c>
      <c r="AP32" s="27" t="s">
        <v>672</v>
      </c>
      <c r="AQ32" s="323" t="e">
        <f>AN33</f>
        <v>#VALUE!</v>
      </c>
      <c r="AR32" s="28" t="s">
        <v>665</v>
      </c>
      <c r="AT32" s="27" t="s">
        <v>673</v>
      </c>
      <c r="AU32" s="210" t="e">
        <f>RSL*COS(Radians)</f>
        <v>#VALUE!</v>
      </c>
      <c r="AV32" s="28" t="s">
        <v>65</v>
      </c>
      <c r="AX32" s="628"/>
      <c r="AY32" s="559"/>
      <c r="AZ32" t="s">
        <v>668</v>
      </c>
      <c r="BA32" s="7" t="str">
        <f>L48</f>
        <v/>
      </c>
      <c r="BB32" s="77" t="s">
        <v>657</v>
      </c>
      <c r="BC32" s="43"/>
      <c r="BD32" s="7" t="e">
        <f>BA32/12</f>
        <v>#VALUE!</v>
      </c>
      <c r="BE32" s="28" t="s">
        <v>658</v>
      </c>
      <c r="BF32" s="27" t="s">
        <v>669</v>
      </c>
      <c r="BG32" s="7">
        <f>COUNTIFS($I$6:$I$105, "&lt;="&amp;BA31, $I$6:$I$105, "&gt;="&amp;BA32)</f>
        <v>0</v>
      </c>
      <c r="BH32" s="28" t="s">
        <v>670</v>
      </c>
      <c r="BI32" s="27" t="s">
        <v>659</v>
      </c>
      <c r="BJ32" s="7" t="e">
        <f>IF(AX31="Interior Drive Post", (BD33-(TG/12)), BD33)</f>
        <v>#VALUE!</v>
      </c>
      <c r="BK32" s="28" t="s">
        <v>658</v>
      </c>
      <c r="BL32" s="27" t="s">
        <v>671</v>
      </c>
      <c r="BM32" s="7" t="e">
        <f>BD35</f>
        <v>#VALUE!</v>
      </c>
      <c r="BN32" s="28" t="s">
        <v>665</v>
      </c>
      <c r="BO32" s="27" t="s">
        <v>672</v>
      </c>
      <c r="BP32" s="317" t="e">
        <f>BJ35</f>
        <v>#VALUE!</v>
      </c>
      <c r="BQ32" s="28" t="s">
        <v>663</v>
      </c>
      <c r="BS32" s="27" t="s">
        <v>659</v>
      </c>
      <c r="BT32" s="7" t="e">
        <f>IF(AX31= "Interior Drive Post", (BD33)-((GL+GR)/12), BD33)</f>
        <v>#VALUE!</v>
      </c>
      <c r="BU32" s="28" t="s">
        <v>658</v>
      </c>
      <c r="BV32" s="27" t="s">
        <v>659</v>
      </c>
      <c r="BW32" s="7" t="e">
        <f>BJ32</f>
        <v>#VALUE!</v>
      </c>
      <c r="BX32" s="28" t="s">
        <v>658</v>
      </c>
      <c r="BY32" s="27" t="s">
        <v>672</v>
      </c>
      <c r="BZ32" s="323" t="e">
        <f>BW33</f>
        <v>#VALUE!</v>
      </c>
      <c r="CA32" s="28" t="s">
        <v>665</v>
      </c>
      <c r="CC32" s="27" t="s">
        <v>673</v>
      </c>
      <c r="CD32" s="210" t="e">
        <f>RSL*COS(Radians)</f>
        <v>#VALUE!</v>
      </c>
      <c r="CE32" s="28" t="s">
        <v>65</v>
      </c>
      <c r="CG32" s="35">
        <v>28</v>
      </c>
      <c r="CH32" s="35" t="str">
        <f t="shared" si="0"/>
        <v xml:space="preserve"> </v>
      </c>
      <c r="CI32" s="35" t="str">
        <f t="shared" si="1"/>
        <v xml:space="preserve"> </v>
      </c>
      <c r="CJ32" s="35" t="str">
        <f t="shared" si="2"/>
        <v xml:space="preserve"> </v>
      </c>
      <c r="CK32" s="35" t="str">
        <f t="shared" si="3"/>
        <v xml:space="preserve"> </v>
      </c>
      <c r="CL32" s="35" t="str">
        <f t="shared" si="4"/>
        <v xml:space="preserve"> </v>
      </c>
      <c r="CM32" s="35" t="str">
        <f t="shared" si="5"/>
        <v xml:space="preserve"> </v>
      </c>
      <c r="CN32" s="342" t="str">
        <f>IFERROR(AG145," ")</f>
        <v xml:space="preserve"> </v>
      </c>
      <c r="CO32" s="342" t="str">
        <f>IFERROR(AU145," ")</f>
        <v xml:space="preserve"> </v>
      </c>
      <c r="CP32" s="342" t="str">
        <f>IFERROR(AQ145," ")</f>
        <v xml:space="preserve"> </v>
      </c>
      <c r="CQ32" s="342" t="str">
        <f>IFERROR(BP145," ")</f>
        <v xml:space="preserve"> </v>
      </c>
      <c r="CR32" s="342" t="str">
        <f>IFERROR(CD145," ")</f>
        <v xml:space="preserve"> </v>
      </c>
      <c r="CS32" s="342" t="str">
        <f>IFERROR(BZ145," ")</f>
        <v xml:space="preserve"> </v>
      </c>
      <c r="CT32" s="35" t="str">
        <f>IFERROR(IF(AND(controlling_code="ASCE 7-22",pf&gt;45),(CN32+0.15*CO32)*Inputs!$B$23,IF(AND(controlling_code="ASCE 7-22",pf&lt;45),CN32*Inputs!$B$23,IF(pf&lt;=30,CN32*Inputs!$B$23,(CN32+0.2*CO32)*Inputs!$B$23)))," ")</f>
        <v xml:space="preserve"> </v>
      </c>
      <c r="CU32" s="35" t="str">
        <f>IFERROR(IF(AND(controlling_code="ASCE 7-22",pf&gt;45),(CN32+0.15*CO32)*Inputs!$B$23,IF(AND(controlling_code="ASCE 7-22",pf&lt;45),CN32*Inputs!$B$23,IF(pf&lt;=30,CN32*Inputs!$B$23,(CN32+0.2*CO32)*Inputs!$B$23)))," ")</f>
        <v xml:space="preserve"> </v>
      </c>
      <c r="CV32" s="35" t="str">
        <f t="shared" si="6"/>
        <v xml:space="preserve"> </v>
      </c>
      <c r="CW32" s="35" t="str">
        <f t="shared" si="7"/>
        <v xml:space="preserve"> </v>
      </c>
      <c r="CX32" s="35" t="str">
        <f t="shared" si="8"/>
        <v xml:space="preserve"> </v>
      </c>
      <c r="CY32" s="35" t="str">
        <f t="shared" si="9"/>
        <v xml:space="preserve"> </v>
      </c>
      <c r="CZ32" s="35" t="str">
        <f t="shared" si="10"/>
        <v xml:space="preserve"> </v>
      </c>
      <c r="DA32" s="35" t="str">
        <f t="shared" si="11"/>
        <v xml:space="preserve"> </v>
      </c>
      <c r="DB32" s="35" t="str">
        <f t="shared" si="12"/>
        <v xml:space="preserve"> </v>
      </c>
      <c r="DC32" s="35" t="str">
        <f t="shared" si="13"/>
        <v xml:space="preserve"> </v>
      </c>
      <c r="DD32" s="35" t="str">
        <f t="shared" si="14"/>
        <v xml:space="preserve"> </v>
      </c>
      <c r="DE32" s="35" t="str">
        <f t="shared" si="15"/>
        <v xml:space="preserve"> </v>
      </c>
      <c r="DF32" s="35" t="str">
        <f t="shared" si="16"/>
        <v xml:space="preserve"> </v>
      </c>
      <c r="DG32" s="35" t="str">
        <f t="shared" si="17"/>
        <v xml:space="preserve"> </v>
      </c>
      <c r="DH32" s="35" t="str">
        <f t="shared" si="18"/>
        <v xml:space="preserve"> </v>
      </c>
      <c r="DI32" s="35" t="str">
        <f t="shared" si="19"/>
        <v xml:space="preserve"> </v>
      </c>
      <c r="DJ32" s="35" t="str">
        <f t="shared" si="20"/>
        <v xml:space="preserve"> </v>
      </c>
      <c r="DK32" s="35" t="str">
        <f t="shared" si="21"/>
        <v xml:space="preserve"> </v>
      </c>
      <c r="DL32" s="35" t="str">
        <f t="shared" si="22"/>
        <v xml:space="preserve"> </v>
      </c>
      <c r="DM32" s="35" t="str">
        <f t="shared" si="23"/>
        <v xml:space="preserve"> </v>
      </c>
      <c r="DN32" s="35" t="str">
        <f t="shared" si="24"/>
        <v xml:space="preserve"> </v>
      </c>
      <c r="DO32" s="35" t="str">
        <f t="shared" si="25"/>
        <v xml:space="preserve"> </v>
      </c>
      <c r="DP32" s="35" t="str">
        <f t="shared" si="26"/>
        <v xml:space="preserve"> </v>
      </c>
      <c r="DQ32" s="35" t="str">
        <f t="shared" si="27"/>
        <v xml:space="preserve"> </v>
      </c>
      <c r="DR32" s="35" t="str">
        <f t="shared" si="28"/>
        <v xml:space="preserve"> </v>
      </c>
      <c r="DS32" s="35" t="str">
        <f t="shared" si="29"/>
        <v xml:space="preserve"> </v>
      </c>
      <c r="DT32" s="35" t="str">
        <f t="shared" si="30"/>
        <v xml:space="preserve"> </v>
      </c>
      <c r="DU32" s="35" t="str">
        <f t="shared" si="31"/>
        <v xml:space="preserve"> </v>
      </c>
      <c r="DV32" s="35" t="str">
        <f t="shared" si="32"/>
        <v xml:space="preserve"> </v>
      </c>
      <c r="DW32" s="35" t="str">
        <f t="shared" si="33"/>
        <v xml:space="preserve"> </v>
      </c>
      <c r="DX32" s="35" t="str">
        <f t="shared" si="34"/>
        <v xml:space="preserve"> </v>
      </c>
      <c r="DY32" s="35" t="str">
        <f t="shared" si="35"/>
        <v xml:space="preserve"> </v>
      </c>
      <c r="DZ32" s="35" t="str">
        <f>IF($CH32=" "," ",'Wind Calcs'!$AE$77)</f>
        <v xml:space="preserve"> </v>
      </c>
      <c r="EA32" s="35" t="str">
        <f>IF($CH32=" "," ",'Wind Calcs'!$AE$171)</f>
        <v xml:space="preserve"> </v>
      </c>
      <c r="EB32" s="35" t="str">
        <f>IF($CH32=" "," ",'Wind Calcs'!$AE$88)</f>
        <v xml:space="preserve"> </v>
      </c>
      <c r="EC32" s="35" t="str">
        <f>IF($CH32=" "," ",'Wind Calcs'!$AE$182)</f>
        <v xml:space="preserve"> </v>
      </c>
      <c r="ED32" s="35" t="str">
        <f>IF($CI32=" "," ",'Wind Calcs'!$AE$78)</f>
        <v xml:space="preserve"> </v>
      </c>
      <c r="EE32" s="35" t="str">
        <f>IF($CI32=" "," ",'Wind Calcs'!$AE$172)</f>
        <v xml:space="preserve"> </v>
      </c>
      <c r="EF32" s="35" t="str">
        <f>IF($CI32=" "," ",'Wind Calcs'!$AE$94)</f>
        <v xml:space="preserve"> </v>
      </c>
      <c r="EG32" s="35" t="str">
        <f>IF($CI32=" "," ",'Wind Calcs'!$AE$188)</f>
        <v xml:space="preserve"> </v>
      </c>
      <c r="EH32" s="35" t="str">
        <f>IF($CJ32=" "," ",'Wind Calcs'!$AE$79)</f>
        <v xml:space="preserve"> </v>
      </c>
      <c r="EI32" s="35" t="str">
        <f>IF($CJ32=" "," ",'Wind Calcs'!$AE$173)</f>
        <v xml:space="preserve"> </v>
      </c>
      <c r="EJ32" s="35" t="str">
        <f>IF($CJ32=" "," ",'Wind Calcs'!$AE$100)</f>
        <v xml:space="preserve"> </v>
      </c>
      <c r="EK32" s="35" t="str">
        <f>IF($CJ32=" "," ",'Wind Calcs'!$AE$194)</f>
        <v xml:space="preserve"> </v>
      </c>
      <c r="EL32" s="35" t="str">
        <f>IF($CK32=" "," ",'Wind Calcs'!$AE$80)</f>
        <v xml:space="preserve"> </v>
      </c>
      <c r="EM32" s="35" t="str">
        <f>IF($CK32=" "," ",'Wind Calcs'!$AE$174)</f>
        <v xml:space="preserve"> </v>
      </c>
      <c r="EN32" s="35" t="str">
        <f>IF($CK32=" "," ",'Wind Calcs'!$AE$106)</f>
        <v xml:space="preserve"> </v>
      </c>
      <c r="EO32" s="35" t="str">
        <f>IF($CK32=" "," ",'Wind Calcs'!$AE$200)</f>
        <v xml:space="preserve"> </v>
      </c>
      <c r="EP32" s="35" t="str">
        <f>IF($CL32=" "," ",'Wind Calcs'!$AE$81)</f>
        <v xml:space="preserve"> </v>
      </c>
      <c r="EQ32" s="35" t="str">
        <f>IF($CL32=" "," ",'Wind Calcs'!$AE$175)</f>
        <v xml:space="preserve"> </v>
      </c>
      <c r="ER32" s="35" t="str">
        <f>IF($CL32=" "," ",'Wind Calcs'!$AE$112)</f>
        <v xml:space="preserve"> </v>
      </c>
      <c r="ES32" s="35" t="str">
        <f>IF($CL32=" "," ",'Wind Calcs'!$AE$206)</f>
        <v xml:space="preserve"> </v>
      </c>
      <c r="ET32" s="35" t="str">
        <f>IF($CM32=" "," ",'Wind Calcs'!$AE$77)</f>
        <v xml:space="preserve"> </v>
      </c>
      <c r="EU32" s="35" t="str">
        <f>IF($CM32=" "," ",'Wind Calcs'!$AE$171)</f>
        <v xml:space="preserve"> </v>
      </c>
      <c r="EV32" s="373" t="str">
        <f>IF($CM32=" "," ",'Wind Calcs'!$AE$88)</f>
        <v xml:space="preserve"> </v>
      </c>
      <c r="EW32" s="35" t="str">
        <f>IF($CM32=" "," ",'Wind Calcs'!$AE$182)</f>
        <v xml:space="preserve"> </v>
      </c>
    </row>
    <row r="33" spans="2:153" x14ac:dyDescent="0.25">
      <c r="B33" s="34" t="str">
        <f t="shared" si="36"/>
        <v/>
      </c>
      <c r="C33" s="299">
        <v>28</v>
      </c>
      <c r="D33" s="7" t="str">
        <f t="shared" si="37"/>
        <v/>
      </c>
      <c r="E33" s="299" t="str">
        <f t="shared" si="38"/>
        <v/>
      </c>
      <c r="G33" s="302">
        <v>28</v>
      </c>
      <c r="H33" s="7" t="e">
        <f t="shared" si="39"/>
        <v>#VALUE!</v>
      </c>
      <c r="I33" s="299" t="e">
        <f t="shared" si="40"/>
        <v>#VALUE!</v>
      </c>
      <c r="J33" s="7"/>
      <c r="K33" s="302">
        <v>28</v>
      </c>
      <c r="L33" s="652" t="str">
        <f t="shared" si="41"/>
        <v/>
      </c>
      <c r="M33" s="556"/>
      <c r="O33" s="628"/>
      <c r="P33" s="559"/>
      <c r="Q33" t="s">
        <v>659</v>
      </c>
      <c r="R33" s="7" t="e">
        <f>R31-R32</f>
        <v>#VALUE!</v>
      </c>
      <c r="S33" s="77" t="s">
        <v>657</v>
      </c>
      <c r="T33" s="43"/>
      <c r="U33" s="7" t="e">
        <f>R33/12</f>
        <v>#VALUE!</v>
      </c>
      <c r="V33" s="28" t="s">
        <v>658</v>
      </c>
      <c r="W33" s="27" t="s">
        <v>674</v>
      </c>
      <c r="X33" s="7" t="e">
        <f>X32*X31</f>
        <v>#VALUE!</v>
      </c>
      <c r="Y33" s="28" t="s">
        <v>657</v>
      </c>
      <c r="Z33" s="27"/>
      <c r="AA33" s="7"/>
      <c r="AB33" s="28"/>
      <c r="AC33" s="27"/>
      <c r="AD33" s="7"/>
      <c r="AE33" s="28"/>
      <c r="AF33" s="27" t="s">
        <v>653</v>
      </c>
      <c r="AG33" s="319" t="e">
        <f>AD35</f>
        <v>#VALUE!</v>
      </c>
      <c r="AH33" s="28" t="s">
        <v>663</v>
      </c>
      <c r="AJ33" s="27" t="s">
        <v>671</v>
      </c>
      <c r="AK33" s="321" t="e">
        <f>AK31*AK32</f>
        <v>#VALUE!</v>
      </c>
      <c r="AL33" s="28" t="s">
        <v>665</v>
      </c>
      <c r="AM33" s="27" t="s">
        <v>671</v>
      </c>
      <c r="AN33" s="323" t="e">
        <f>AN32*AN31</f>
        <v>#VALUE!</v>
      </c>
      <c r="AO33" s="28" t="s">
        <v>665</v>
      </c>
      <c r="AP33" s="27" t="s">
        <v>654</v>
      </c>
      <c r="AQ33" s="7" t="e">
        <f>SUM(AQ31:AQ32)</f>
        <v>#VALUE!</v>
      </c>
      <c r="AR33" s="28" t="s">
        <v>665</v>
      </c>
      <c r="AT33" s="27" t="s">
        <v>671</v>
      </c>
      <c r="AU33" s="210" t="e">
        <f>U35</f>
        <v>#VALUE!</v>
      </c>
      <c r="AV33" s="28" t="s">
        <v>684</v>
      </c>
      <c r="AX33" s="628"/>
      <c r="AY33" s="559"/>
      <c r="AZ33" t="s">
        <v>659</v>
      </c>
      <c r="BA33" s="7" t="e">
        <f>BA31-BA32</f>
        <v>#VALUE!</v>
      </c>
      <c r="BB33" s="77" t="s">
        <v>657</v>
      </c>
      <c r="BC33" s="43"/>
      <c r="BD33" s="7" t="e">
        <f>BA33/12</f>
        <v>#VALUE!</v>
      </c>
      <c r="BE33" s="28" t="s">
        <v>658</v>
      </c>
      <c r="BF33" s="27" t="s">
        <v>674</v>
      </c>
      <c r="BG33" s="7" t="e">
        <f>BG32*BG31</f>
        <v>#VALUE!</v>
      </c>
      <c r="BH33" s="28" t="s">
        <v>657</v>
      </c>
      <c r="BI33" s="27"/>
      <c r="BJ33" s="7"/>
      <c r="BK33" s="28"/>
      <c r="BL33" s="27"/>
      <c r="BM33" s="7"/>
      <c r="BN33" s="28"/>
      <c r="BO33" s="27" t="s">
        <v>653</v>
      </c>
      <c r="BP33" s="319" t="e">
        <f>BM35</f>
        <v>#VALUE!</v>
      </c>
      <c r="BQ33" s="28" t="s">
        <v>663</v>
      </c>
      <c r="BS33" s="27" t="s">
        <v>671</v>
      </c>
      <c r="BT33" s="321" t="e">
        <f>BT31*BT32</f>
        <v>#VALUE!</v>
      </c>
      <c r="BU33" s="28" t="s">
        <v>665</v>
      </c>
      <c r="BV33" s="27" t="s">
        <v>671</v>
      </c>
      <c r="BW33" s="323" t="e">
        <f>BW32*BW31</f>
        <v>#VALUE!</v>
      </c>
      <c r="BX33" s="28" t="s">
        <v>665</v>
      </c>
      <c r="BY33" s="27" t="s">
        <v>654</v>
      </c>
      <c r="BZ33" s="7" t="e">
        <f>SUM(BZ31:BZ32)</f>
        <v>#VALUE!</v>
      </c>
      <c r="CA33" s="28" t="s">
        <v>665</v>
      </c>
      <c r="CC33" s="27" t="s">
        <v>671</v>
      </c>
      <c r="CD33" s="210" t="e">
        <f>BD35</f>
        <v>#VALUE!</v>
      </c>
      <c r="CE33" s="28" t="s">
        <v>665</v>
      </c>
      <c r="CG33" s="35">
        <v>29</v>
      </c>
      <c r="CH33" s="35" t="str">
        <f t="shared" si="0"/>
        <v xml:space="preserve"> </v>
      </c>
      <c r="CI33" s="35" t="str">
        <f t="shared" si="1"/>
        <v xml:space="preserve"> </v>
      </c>
      <c r="CJ33" s="35" t="str">
        <f t="shared" si="2"/>
        <v xml:space="preserve"> </v>
      </c>
      <c r="CK33" s="35" t="str">
        <f t="shared" si="3"/>
        <v xml:space="preserve"> </v>
      </c>
      <c r="CL33" s="35" t="str">
        <f t="shared" si="4"/>
        <v xml:space="preserve"> </v>
      </c>
      <c r="CM33" s="35" t="str">
        <f t="shared" si="5"/>
        <v xml:space="preserve"> </v>
      </c>
      <c r="CN33" s="342" t="str">
        <f>IFERROR(AG150," ")</f>
        <v xml:space="preserve"> </v>
      </c>
      <c r="CO33" s="342" t="str">
        <f>IFERROR(AU150," ")</f>
        <v xml:space="preserve"> </v>
      </c>
      <c r="CP33" s="342" t="str">
        <f>IFERROR(AQ150," ")</f>
        <v xml:space="preserve"> </v>
      </c>
      <c r="CQ33" s="342" t="str">
        <f>IFERROR(BP150," ")</f>
        <v xml:space="preserve"> </v>
      </c>
      <c r="CR33" s="342" t="str">
        <f>IFERROR(CD150," ")</f>
        <v xml:space="preserve"> </v>
      </c>
      <c r="CS33" s="342" t="str">
        <f>IFERROR(BZ150," ")</f>
        <v xml:space="preserve"> </v>
      </c>
      <c r="CT33" s="35" t="str">
        <f>IFERROR(IF(AND(controlling_code="ASCE 7-22",pf&gt;45),(CN33+0.15*CO33)*Inputs!$B$23,IF(AND(controlling_code="ASCE 7-22",pf&lt;45),CN33*Inputs!$B$23,IF(pf&lt;=30,CN33*Inputs!$B$23,(CN33+0.2*CO33)*Inputs!$B$23)))," ")</f>
        <v xml:space="preserve"> </v>
      </c>
      <c r="CU33" s="35" t="str">
        <f>IFERROR(IF(AND(controlling_code="ASCE 7-22",pf&gt;45),(CN33+0.15*CO33)*Inputs!$B$23,IF(AND(controlling_code="ASCE 7-22",pf&lt;45),CN33*Inputs!$B$23,IF(pf&lt;=30,CN33*Inputs!$B$23,(CN33+0.2*CO33)*Inputs!$B$23)))," ")</f>
        <v xml:space="preserve"> </v>
      </c>
      <c r="CV33" s="35" t="str">
        <f t="shared" si="6"/>
        <v xml:space="preserve"> </v>
      </c>
      <c r="CW33" s="35" t="str">
        <f t="shared" si="7"/>
        <v xml:space="preserve"> </v>
      </c>
      <c r="CX33" s="35" t="str">
        <f t="shared" si="8"/>
        <v xml:space="preserve"> </v>
      </c>
      <c r="CY33" s="35" t="str">
        <f t="shared" si="9"/>
        <v xml:space="preserve"> </v>
      </c>
      <c r="CZ33" s="35" t="str">
        <f t="shared" si="10"/>
        <v xml:space="preserve"> </v>
      </c>
      <c r="DA33" s="35" t="str">
        <f t="shared" si="11"/>
        <v xml:space="preserve"> </v>
      </c>
      <c r="DB33" s="35" t="str">
        <f t="shared" si="12"/>
        <v xml:space="preserve"> </v>
      </c>
      <c r="DC33" s="35" t="str">
        <f t="shared" si="13"/>
        <v xml:space="preserve"> </v>
      </c>
      <c r="DD33" s="35" t="str">
        <f t="shared" si="14"/>
        <v xml:space="preserve"> </v>
      </c>
      <c r="DE33" s="35" t="str">
        <f t="shared" si="15"/>
        <v xml:space="preserve"> </v>
      </c>
      <c r="DF33" s="35" t="str">
        <f t="shared" si="16"/>
        <v xml:space="preserve"> </v>
      </c>
      <c r="DG33" s="35" t="str">
        <f t="shared" si="17"/>
        <v xml:space="preserve"> </v>
      </c>
      <c r="DH33" s="35" t="str">
        <f t="shared" si="18"/>
        <v xml:space="preserve"> </v>
      </c>
      <c r="DI33" s="35" t="str">
        <f t="shared" si="19"/>
        <v xml:space="preserve"> </v>
      </c>
      <c r="DJ33" s="35" t="str">
        <f t="shared" si="20"/>
        <v xml:space="preserve"> </v>
      </c>
      <c r="DK33" s="35" t="str">
        <f t="shared" si="21"/>
        <v xml:space="preserve"> </v>
      </c>
      <c r="DL33" s="35" t="str">
        <f t="shared" si="22"/>
        <v xml:space="preserve"> </v>
      </c>
      <c r="DM33" s="35" t="str">
        <f t="shared" si="23"/>
        <v xml:space="preserve"> </v>
      </c>
      <c r="DN33" s="35" t="str">
        <f t="shared" si="24"/>
        <v xml:space="preserve"> </v>
      </c>
      <c r="DO33" s="35" t="str">
        <f t="shared" si="25"/>
        <v xml:space="preserve"> </v>
      </c>
      <c r="DP33" s="35" t="str">
        <f t="shared" si="26"/>
        <v xml:space="preserve"> </v>
      </c>
      <c r="DQ33" s="35" t="str">
        <f t="shared" si="27"/>
        <v xml:space="preserve"> </v>
      </c>
      <c r="DR33" s="35" t="str">
        <f t="shared" si="28"/>
        <v xml:space="preserve"> </v>
      </c>
      <c r="DS33" s="35" t="str">
        <f t="shared" si="29"/>
        <v xml:space="preserve"> </v>
      </c>
      <c r="DT33" s="35" t="str">
        <f t="shared" si="30"/>
        <v xml:space="preserve"> </v>
      </c>
      <c r="DU33" s="35" t="str">
        <f t="shared" si="31"/>
        <v xml:space="preserve"> </v>
      </c>
      <c r="DV33" s="35" t="str">
        <f t="shared" si="32"/>
        <v xml:space="preserve"> </v>
      </c>
      <c r="DW33" s="35" t="str">
        <f t="shared" si="33"/>
        <v xml:space="preserve"> </v>
      </c>
      <c r="DX33" s="35" t="str">
        <f t="shared" si="34"/>
        <v xml:space="preserve"> </v>
      </c>
      <c r="DY33" s="35" t="str">
        <f t="shared" si="35"/>
        <v xml:space="preserve"> </v>
      </c>
      <c r="DZ33" s="35" t="str">
        <f>IF($CH33=" "," ",'Wind Calcs'!$AF$77)</f>
        <v xml:space="preserve"> </v>
      </c>
      <c r="EA33" s="35" t="str">
        <f>IF($CH33=" "," ",'Wind Calcs'!$AF$171)</f>
        <v xml:space="preserve"> </v>
      </c>
      <c r="EB33" s="35" t="str">
        <f>IF($CH33=" "," ",'Wind Calcs'!$AF$88)</f>
        <v xml:space="preserve"> </v>
      </c>
      <c r="EC33" s="35" t="str">
        <f>IF($CH33=" "," ",'Wind Calcs'!$AF$182)</f>
        <v xml:space="preserve"> </v>
      </c>
      <c r="ED33" s="35" t="str">
        <f>IF($CI33=" "," ",'Wind Calcs'!$AF$78)</f>
        <v xml:space="preserve"> </v>
      </c>
      <c r="EE33" s="35" t="str">
        <f>IF($CI33=" "," ",'Wind Calcs'!$AF$172)</f>
        <v xml:space="preserve"> </v>
      </c>
      <c r="EF33" s="35" t="str">
        <f>IF($CI33=" "," ",'Wind Calcs'!$AF$94)</f>
        <v xml:space="preserve"> </v>
      </c>
      <c r="EG33" s="35" t="str">
        <f>IF($CI33=" "," ",'Wind Calcs'!$AF$188)</f>
        <v xml:space="preserve"> </v>
      </c>
      <c r="EH33" s="35" t="str">
        <f>IF($CJ33=" "," ",'Wind Calcs'!$AF$79)</f>
        <v xml:space="preserve"> </v>
      </c>
      <c r="EI33" s="35" t="str">
        <f>IF($CJ33=" "," ",'Wind Calcs'!$AF$173)</f>
        <v xml:space="preserve"> </v>
      </c>
      <c r="EJ33" s="35" t="str">
        <f>IF($CJ33=" "," ",'Wind Calcs'!$AF$100)</f>
        <v xml:space="preserve"> </v>
      </c>
      <c r="EK33" s="35" t="str">
        <f>IF($CJ33=" "," ",'Wind Calcs'!$AF$194)</f>
        <v xml:space="preserve"> </v>
      </c>
      <c r="EL33" s="35" t="str">
        <f>IF($CK33=" "," ",'Wind Calcs'!$AF$80)</f>
        <v xml:space="preserve"> </v>
      </c>
      <c r="EM33" s="35" t="str">
        <f>IF($CK33=" "," ",'Wind Calcs'!$AF$174)</f>
        <v xml:space="preserve"> </v>
      </c>
      <c r="EN33" s="35" t="str">
        <f>IF($CK33=" "," ",'Wind Calcs'!$AF$106)</f>
        <v xml:space="preserve"> </v>
      </c>
      <c r="EO33" s="35" t="str">
        <f>IF($CK33=" "," ",'Wind Calcs'!$AF$200)</f>
        <v xml:space="preserve"> </v>
      </c>
      <c r="EP33" s="35" t="str">
        <f>IF($CL33=" "," ",'Wind Calcs'!$AF$81)</f>
        <v xml:space="preserve"> </v>
      </c>
      <c r="EQ33" s="35" t="str">
        <f>IF($CL33=" "," ",'Wind Calcs'!$AF$175)</f>
        <v xml:space="preserve"> </v>
      </c>
      <c r="ER33" s="35" t="str">
        <f>IF($CL33=" "," ",'Wind Calcs'!$AF$112)</f>
        <v xml:space="preserve"> </v>
      </c>
      <c r="ES33" s="35" t="str">
        <f>IF($CL33=" "," ",'Wind Calcs'!$AF$206)</f>
        <v xml:space="preserve"> </v>
      </c>
      <c r="ET33" s="35" t="str">
        <f>IF($CM33=" "," ",'Wind Calcs'!$AF$77)</f>
        <v xml:space="preserve"> </v>
      </c>
      <c r="EU33" s="35" t="str">
        <f>IF($CM33=" "," ",'Wind Calcs'!$AF$171)</f>
        <v xml:space="preserve"> </v>
      </c>
      <c r="EV33" s="373" t="str">
        <f>IF($CM33=" "," ",'Wind Calcs'!$AF$88)</f>
        <v xml:space="preserve"> </v>
      </c>
      <c r="EW33" s="35" t="str">
        <f>IF($CM33=" "," ",'Wind Calcs'!$AF$182)</f>
        <v xml:space="preserve"> </v>
      </c>
    </row>
    <row r="34" spans="2:153" x14ac:dyDescent="0.25">
      <c r="B34" s="34" t="str">
        <f t="shared" si="36"/>
        <v/>
      </c>
      <c r="C34" s="299">
        <v>29</v>
      </c>
      <c r="D34" s="7" t="str">
        <f t="shared" si="37"/>
        <v/>
      </c>
      <c r="E34" s="299" t="str">
        <f t="shared" si="38"/>
        <v/>
      </c>
      <c r="G34" s="302">
        <v>29</v>
      </c>
      <c r="H34" s="7" t="e">
        <f t="shared" si="39"/>
        <v>#VALUE!</v>
      </c>
      <c r="I34" s="299" t="e">
        <f t="shared" si="40"/>
        <v>#VALUE!</v>
      </c>
      <c r="J34" s="7"/>
      <c r="K34" s="302">
        <v>29</v>
      </c>
      <c r="L34" s="652" t="str">
        <f t="shared" si="41"/>
        <v/>
      </c>
      <c r="M34" s="556"/>
      <c r="O34" s="628"/>
      <c r="P34" s="559"/>
      <c r="Q34" t="s">
        <v>675</v>
      </c>
      <c r="R34" s="7" t="e">
        <f>ROUND(ML, 3)</f>
        <v>#VALUE!</v>
      </c>
      <c r="S34" s="77" t="s">
        <v>657</v>
      </c>
      <c r="T34" s="43"/>
      <c r="U34" s="7" t="e">
        <f>R34/12</f>
        <v>#VALUE!</v>
      </c>
      <c r="V34" s="28" t="s">
        <v>658</v>
      </c>
      <c r="W34" s="27" t="s">
        <v>660</v>
      </c>
      <c r="X34" s="7">
        <f>VLOOKUP(VS,'List Data'!$A$8:$B$12, 2, FALSE)</f>
        <v>2.1419999999999999</v>
      </c>
      <c r="Y34" s="28" t="s">
        <v>661</v>
      </c>
      <c r="Z34" s="27"/>
      <c r="AA34" s="7"/>
      <c r="AB34" s="28"/>
      <c r="AC34" s="27"/>
      <c r="AD34" s="7"/>
      <c r="AE34" s="28"/>
      <c r="AF34" s="27"/>
      <c r="AH34" s="28"/>
      <c r="AJ34" s="27"/>
      <c r="AK34" s="7"/>
      <c r="AL34" s="28"/>
      <c r="AM34" s="27"/>
      <c r="AO34" s="28"/>
      <c r="AP34" s="27"/>
      <c r="AQ34" s="7"/>
      <c r="AR34" s="28"/>
      <c r="AT34" s="27"/>
      <c r="AU34" s="210"/>
      <c r="AV34" s="28"/>
      <c r="AX34" s="628"/>
      <c r="AY34" s="559"/>
      <c r="AZ34" t="s">
        <v>675</v>
      </c>
      <c r="BA34" s="7" t="e">
        <f>ROUND(ML, 3)</f>
        <v>#VALUE!</v>
      </c>
      <c r="BB34" s="77" t="s">
        <v>657</v>
      </c>
      <c r="BC34" s="43"/>
      <c r="BD34" s="7" t="e">
        <f>BA34/12</f>
        <v>#VALUE!</v>
      </c>
      <c r="BE34" s="28" t="s">
        <v>658</v>
      </c>
      <c r="BF34" s="27" t="s">
        <v>660</v>
      </c>
      <c r="BG34" s="7">
        <f>VLOOKUP(VS,'List Data'!$A$8:$B$12, 2, FALSE)</f>
        <v>2.1419999999999999</v>
      </c>
      <c r="BH34" s="28" t="s">
        <v>661</v>
      </c>
      <c r="BI34" s="27"/>
      <c r="BJ34" s="7"/>
      <c r="BK34" s="28"/>
      <c r="BL34" s="27"/>
      <c r="BM34" s="7"/>
      <c r="BN34" s="28"/>
      <c r="BO34" s="27"/>
      <c r="BQ34" s="28"/>
      <c r="BS34" s="27"/>
      <c r="BT34" s="7"/>
      <c r="BU34" s="28"/>
      <c r="BV34" s="27"/>
      <c r="BX34" s="28"/>
      <c r="BY34" s="27"/>
      <c r="BZ34" s="7"/>
      <c r="CA34" s="28"/>
      <c r="CC34" s="27"/>
      <c r="CD34" s="210"/>
      <c r="CE34" s="28"/>
      <c r="CG34" s="35">
        <v>30</v>
      </c>
      <c r="CH34" s="35" t="str">
        <f t="shared" si="0"/>
        <v xml:space="preserve"> </v>
      </c>
      <c r="CI34" s="35" t="str">
        <f t="shared" si="1"/>
        <v xml:space="preserve"> </v>
      </c>
      <c r="CJ34" s="35" t="str">
        <f t="shared" si="2"/>
        <v xml:space="preserve"> </v>
      </c>
      <c r="CK34" s="35" t="str">
        <f t="shared" si="3"/>
        <v xml:space="preserve"> </v>
      </c>
      <c r="CL34" s="35" t="str">
        <f t="shared" si="4"/>
        <v xml:space="preserve"> </v>
      </c>
      <c r="CM34" s="35" t="str">
        <f t="shared" si="5"/>
        <v xml:space="preserve"> </v>
      </c>
      <c r="CN34" s="342" t="str">
        <f>IFERROR(AG155," ")</f>
        <v xml:space="preserve"> </v>
      </c>
      <c r="CO34" s="342" t="str">
        <f>IFERROR(AU155," ")</f>
        <v xml:space="preserve"> </v>
      </c>
      <c r="CP34" s="342" t="str">
        <f>IFERROR(AQ155," ")</f>
        <v xml:space="preserve"> </v>
      </c>
      <c r="CQ34" s="342" t="str">
        <f>IFERROR(BP155," ")</f>
        <v xml:space="preserve"> </v>
      </c>
      <c r="CR34" s="342" t="str">
        <f>IFERROR(CD155," ")</f>
        <v xml:space="preserve"> </v>
      </c>
      <c r="CS34" s="342" t="str">
        <f>IFERROR(BZ155," ")</f>
        <v xml:space="preserve"> </v>
      </c>
      <c r="CT34" s="35" t="str">
        <f>IFERROR(IF(AND(controlling_code="ASCE 7-22",pf&gt;45),(CN34+0.15*CO34)*Inputs!$B$23,IF(AND(controlling_code="ASCE 7-22",pf&lt;45),CN34*Inputs!$B$23,IF(pf&lt;=30,CN34*Inputs!$B$23,(CN34+0.2*CO34)*Inputs!$B$23)))," ")</f>
        <v xml:space="preserve"> </v>
      </c>
      <c r="CU34" s="35" t="str">
        <f>IFERROR(IF(AND(controlling_code="ASCE 7-22",pf&gt;45),(CN34+0.15*CO34)*Inputs!$B$23,IF(AND(controlling_code="ASCE 7-22",pf&lt;45),CN34*Inputs!$B$23,IF(pf&lt;=30,CN34*Inputs!$B$23,(CN34+0.2*CO34)*Inputs!$B$23)))," ")</f>
        <v xml:space="preserve"> </v>
      </c>
      <c r="CV34" s="35" t="str">
        <f t="shared" si="6"/>
        <v xml:space="preserve"> </v>
      </c>
      <c r="CW34" s="35" t="str">
        <f t="shared" si="7"/>
        <v xml:space="preserve"> </v>
      </c>
      <c r="CX34" s="35" t="str">
        <f t="shared" si="8"/>
        <v xml:space="preserve"> </v>
      </c>
      <c r="CY34" s="35" t="str">
        <f t="shared" si="9"/>
        <v xml:space="preserve"> </v>
      </c>
      <c r="CZ34" s="35" t="str">
        <f t="shared" si="10"/>
        <v xml:space="preserve"> </v>
      </c>
      <c r="DA34" s="35" t="str">
        <f t="shared" si="11"/>
        <v xml:space="preserve"> </v>
      </c>
      <c r="DB34" s="35" t="str">
        <f t="shared" si="12"/>
        <v xml:space="preserve"> </v>
      </c>
      <c r="DC34" s="35" t="str">
        <f t="shared" si="13"/>
        <v xml:space="preserve"> </v>
      </c>
      <c r="DD34" s="35" t="str">
        <f t="shared" si="14"/>
        <v xml:space="preserve"> </v>
      </c>
      <c r="DE34" s="35" t="str">
        <f t="shared" si="15"/>
        <v xml:space="preserve"> </v>
      </c>
      <c r="DF34" s="35" t="str">
        <f t="shared" si="16"/>
        <v xml:space="preserve"> </v>
      </c>
      <c r="DG34" s="35" t="str">
        <f t="shared" si="17"/>
        <v xml:space="preserve"> </v>
      </c>
      <c r="DH34" s="35" t="str">
        <f t="shared" si="18"/>
        <v xml:space="preserve"> </v>
      </c>
      <c r="DI34" s="35" t="str">
        <f t="shared" si="19"/>
        <v xml:space="preserve"> </v>
      </c>
      <c r="DJ34" s="35" t="str">
        <f t="shared" si="20"/>
        <v xml:space="preserve"> </v>
      </c>
      <c r="DK34" s="35" t="str">
        <f t="shared" si="21"/>
        <v xml:space="preserve"> </v>
      </c>
      <c r="DL34" s="35" t="str">
        <f t="shared" si="22"/>
        <v xml:space="preserve"> </v>
      </c>
      <c r="DM34" s="35" t="str">
        <f t="shared" si="23"/>
        <v xml:space="preserve"> </v>
      </c>
      <c r="DN34" s="35" t="str">
        <f t="shared" si="24"/>
        <v xml:space="preserve"> </v>
      </c>
      <c r="DO34" s="35" t="str">
        <f t="shared" si="25"/>
        <v xml:space="preserve"> </v>
      </c>
      <c r="DP34" s="35" t="str">
        <f t="shared" si="26"/>
        <v xml:space="preserve"> </v>
      </c>
      <c r="DQ34" s="35" t="str">
        <f t="shared" si="27"/>
        <v xml:space="preserve"> </v>
      </c>
      <c r="DR34" s="35" t="str">
        <f t="shared" si="28"/>
        <v xml:space="preserve"> </v>
      </c>
      <c r="DS34" s="35" t="str">
        <f t="shared" si="29"/>
        <v xml:space="preserve"> </v>
      </c>
      <c r="DT34" s="35" t="str">
        <f t="shared" si="30"/>
        <v xml:space="preserve"> </v>
      </c>
      <c r="DU34" s="35" t="str">
        <f t="shared" si="31"/>
        <v xml:space="preserve"> </v>
      </c>
      <c r="DV34" s="35" t="str">
        <f t="shared" si="32"/>
        <v xml:space="preserve"> </v>
      </c>
      <c r="DW34" s="35" t="str">
        <f t="shared" si="33"/>
        <v xml:space="preserve"> </v>
      </c>
      <c r="DX34" s="35" t="str">
        <f t="shared" si="34"/>
        <v xml:space="preserve"> </v>
      </c>
      <c r="DY34" s="35" t="str">
        <f t="shared" si="35"/>
        <v xml:space="preserve"> </v>
      </c>
      <c r="DZ34" s="35" t="str">
        <f>IF($CH34=" "," ",'Wind Calcs'!$AG$77)</f>
        <v xml:space="preserve"> </v>
      </c>
      <c r="EA34" s="35" t="str">
        <f>IF($CH34=" "," ",'Wind Calcs'!$AG$171)</f>
        <v xml:space="preserve"> </v>
      </c>
      <c r="EB34" s="35" t="str">
        <f>IF($CH34=" "," ",'Wind Calcs'!$AG$88)</f>
        <v xml:space="preserve"> </v>
      </c>
      <c r="EC34" s="35" t="str">
        <f>IF($CH34=" "," ",'Wind Calcs'!$AG$182)</f>
        <v xml:space="preserve"> </v>
      </c>
      <c r="ED34" s="35" t="str">
        <f>IF($CI34=" "," ",'Wind Calcs'!$AG$78)</f>
        <v xml:space="preserve"> </v>
      </c>
      <c r="EE34" s="35" t="str">
        <f>IF($CI34=" "," ",'Wind Calcs'!$AG$172)</f>
        <v xml:space="preserve"> </v>
      </c>
      <c r="EF34" s="35" t="str">
        <f>IF($CI34=" "," ",'Wind Calcs'!$AG$94)</f>
        <v xml:space="preserve"> </v>
      </c>
      <c r="EG34" s="35" t="str">
        <f>IF($CI34=" "," ",'Wind Calcs'!$AG$188)</f>
        <v xml:space="preserve"> </v>
      </c>
      <c r="EH34" s="35" t="str">
        <f>IF($CJ34=" "," ",'Wind Calcs'!$AG$79)</f>
        <v xml:space="preserve"> </v>
      </c>
      <c r="EI34" s="35" t="str">
        <f>IF($CJ34=" "," ",'Wind Calcs'!$AG$173)</f>
        <v xml:space="preserve"> </v>
      </c>
      <c r="EJ34" s="35" t="str">
        <f>IF($CJ34=" "," ",'Wind Calcs'!$AG$100)</f>
        <v xml:space="preserve"> </v>
      </c>
      <c r="EK34" s="35" t="str">
        <f>IF($CJ34=" "," ",'Wind Calcs'!$AG$194)</f>
        <v xml:space="preserve"> </v>
      </c>
      <c r="EL34" s="35" t="str">
        <f>IF($CK34=" "," ",'Wind Calcs'!$AG$80)</f>
        <v xml:space="preserve"> </v>
      </c>
      <c r="EM34" s="35" t="str">
        <f>IF($CK34=" "," ",'Wind Calcs'!$AG$174)</f>
        <v xml:space="preserve"> </v>
      </c>
      <c r="EN34" s="35" t="str">
        <f>IF($CK34=" "," ",'Wind Calcs'!$AG$106)</f>
        <v xml:space="preserve"> </v>
      </c>
      <c r="EO34" s="35" t="str">
        <f>IF($CK34=" "," ",'Wind Calcs'!$AG$200)</f>
        <v xml:space="preserve"> </v>
      </c>
      <c r="EP34" s="35" t="str">
        <f>IF($CL34=" "," ",'Wind Calcs'!$AG$81)</f>
        <v xml:space="preserve"> </v>
      </c>
      <c r="EQ34" s="35" t="str">
        <f>IF($CL34=" "," ",'Wind Calcs'!$AG$175)</f>
        <v xml:space="preserve"> </v>
      </c>
      <c r="ER34" s="35" t="str">
        <f>IF($CL34=" "," ",'Wind Calcs'!$AG$112)</f>
        <v xml:space="preserve"> </v>
      </c>
      <c r="ES34" s="35" t="str">
        <f>IF($CL34=" "," ",'Wind Calcs'!$AG$206)</f>
        <v xml:space="preserve"> </v>
      </c>
      <c r="ET34" s="35" t="str">
        <f>IF($CM34=" "," ",'Wind Calcs'!$AG$77)</f>
        <v xml:space="preserve"> </v>
      </c>
      <c r="EU34" s="35" t="str">
        <f>IF($CM34=" "," ",'Wind Calcs'!$AG$171)</f>
        <v xml:space="preserve"> </v>
      </c>
      <c r="EV34" s="373" t="str">
        <f>IF($CM34=" "," ",'Wind Calcs'!$AG$88)</f>
        <v xml:space="preserve"> </v>
      </c>
      <c r="EW34" s="35" t="str">
        <f>IF($CM34=" "," ",'Wind Calcs'!$AG$182)</f>
        <v xml:space="preserve"> </v>
      </c>
    </row>
    <row r="35" spans="2:153" x14ac:dyDescent="0.25">
      <c r="B35" s="34" t="str">
        <f t="shared" si="36"/>
        <v/>
      </c>
      <c r="C35" s="299">
        <v>30</v>
      </c>
      <c r="D35" s="7" t="str">
        <f t="shared" si="37"/>
        <v/>
      </c>
      <c r="E35" s="299" t="str">
        <f t="shared" si="38"/>
        <v/>
      </c>
      <c r="G35" s="302">
        <v>30</v>
      </c>
      <c r="H35" s="7" t="e">
        <f t="shared" si="39"/>
        <v>#VALUE!</v>
      </c>
      <c r="I35" s="299" t="e">
        <f t="shared" si="40"/>
        <v>#VALUE!</v>
      </c>
      <c r="J35" s="7"/>
      <c r="K35" s="302">
        <v>30</v>
      </c>
      <c r="L35" s="652" t="str">
        <f t="shared" si="41"/>
        <v/>
      </c>
      <c r="M35" s="556"/>
      <c r="O35" s="629"/>
      <c r="P35" s="561"/>
      <c r="Q35" s="30" t="s">
        <v>671</v>
      </c>
      <c r="R35" s="309" t="e">
        <f>R33*R34</f>
        <v>#VALUE!</v>
      </c>
      <c r="S35" s="311" t="s">
        <v>676</v>
      </c>
      <c r="T35" s="313"/>
      <c r="U35" s="309" t="e">
        <f>IF(O31="Exterior Drive Post", (R35/144)-(((GL+GR)*(ML/25.4))/144), R35/144)</f>
        <v>#VALUE!</v>
      </c>
      <c r="V35" s="31" t="s">
        <v>677</v>
      </c>
      <c r="W35" s="29" t="s">
        <v>678</v>
      </c>
      <c r="X35" s="314" t="e">
        <f>X34/12*X33</f>
        <v>#VALUE!</v>
      </c>
      <c r="Y35" s="31" t="s">
        <v>663</v>
      </c>
      <c r="Z35" s="29" t="s">
        <v>678</v>
      </c>
      <c r="AA35" s="315" t="e">
        <f>AA31*AA32</f>
        <v>#VALUE!</v>
      </c>
      <c r="AB35" s="31" t="s">
        <v>663</v>
      </c>
      <c r="AC35" s="29" t="s">
        <v>678</v>
      </c>
      <c r="AD35" s="316" t="e">
        <f>AD31*AD32</f>
        <v>#VALUE!</v>
      </c>
      <c r="AE35" s="31" t="s">
        <v>181</v>
      </c>
      <c r="AF35" s="29" t="s">
        <v>654</v>
      </c>
      <c r="AG35" s="320" t="e">
        <f>IF(O31="Exterior Drive Post", SUM(AG31:AG33)+SDW, SUM(AG31:AG33)+ICW)</f>
        <v>#VALUE!</v>
      </c>
      <c r="AH35" s="31" t="s">
        <v>663</v>
      </c>
      <c r="AI35">
        <v>6</v>
      </c>
      <c r="AJ35" s="29"/>
      <c r="AK35" s="309"/>
      <c r="AL35" s="31"/>
      <c r="AM35" s="29"/>
      <c r="AN35" s="30"/>
      <c r="AO35" s="31"/>
      <c r="AP35" s="29" t="s">
        <v>679</v>
      </c>
      <c r="AQ35" s="324" t="e">
        <f>AQ33*Pult</f>
        <v>#VALUE!</v>
      </c>
      <c r="AR35" s="31" t="s">
        <v>181</v>
      </c>
      <c r="AT35" s="29" t="s">
        <v>662</v>
      </c>
      <c r="AU35" s="339" t="e">
        <f>AU33*AU32</f>
        <v>#VALUE!</v>
      </c>
      <c r="AV35" s="31" t="s">
        <v>181</v>
      </c>
      <c r="AX35" s="629"/>
      <c r="AY35" s="561"/>
      <c r="AZ35" s="30" t="s">
        <v>671</v>
      </c>
      <c r="BA35" s="309" t="e">
        <f>BA33*BA34</f>
        <v>#VALUE!</v>
      </c>
      <c r="BB35" s="311" t="s">
        <v>676</v>
      </c>
      <c r="BC35" s="313"/>
      <c r="BD35" s="309" t="e">
        <f>IF(AX31="Interior Drive Post", (BA35/144)-(((GL+GR)*(ML/25.4))/144), BA35/144)</f>
        <v>#VALUE!</v>
      </c>
      <c r="BE35" s="31" t="s">
        <v>677</v>
      </c>
      <c r="BF35" s="29" t="s">
        <v>678</v>
      </c>
      <c r="BG35" s="314" t="e">
        <f>BG34/12*BG33</f>
        <v>#VALUE!</v>
      </c>
      <c r="BH35" s="31" t="s">
        <v>663</v>
      </c>
      <c r="BI35" s="29" t="s">
        <v>678</v>
      </c>
      <c r="BJ35" s="315" t="e">
        <f>BJ31*BJ32</f>
        <v>#VALUE!</v>
      </c>
      <c r="BK35" s="31" t="s">
        <v>663</v>
      </c>
      <c r="BL35" s="29" t="s">
        <v>678</v>
      </c>
      <c r="BM35" s="316" t="e">
        <f>BM31*BM32</f>
        <v>#VALUE!</v>
      </c>
      <c r="BN35" s="31" t="s">
        <v>181</v>
      </c>
      <c r="BO35" s="29" t="s">
        <v>654</v>
      </c>
      <c r="BP35" s="320" t="e">
        <f>IF(AX31="Interior Drive Post", SUM(BP31:BP33)+SDW, SUM(BP31:BP33)+ICW)</f>
        <v>#VALUE!</v>
      </c>
      <c r="BQ35" s="31" t="s">
        <v>663</v>
      </c>
      <c r="BR35">
        <v>6</v>
      </c>
      <c r="BS35" s="29"/>
      <c r="BT35" s="309"/>
      <c r="BU35" s="31"/>
      <c r="BV35" s="29"/>
      <c r="BW35" s="30"/>
      <c r="BX35" s="31"/>
      <c r="BY35" s="29" t="s">
        <v>679</v>
      </c>
      <c r="BZ35" s="324" t="e">
        <f>BZ33*Pult</f>
        <v>#VALUE!</v>
      </c>
      <c r="CA35" s="31" t="s">
        <v>181</v>
      </c>
      <c r="CC35" s="29" t="s">
        <v>662</v>
      </c>
      <c r="CD35" s="339" t="e">
        <f>CD33*CD32</f>
        <v>#VALUE!</v>
      </c>
      <c r="CE35" s="31" t="s">
        <v>181</v>
      </c>
      <c r="CG35" s="35">
        <v>31</v>
      </c>
      <c r="CH35" s="35" t="str">
        <f t="shared" si="0"/>
        <v xml:space="preserve"> </v>
      </c>
      <c r="CI35" s="35" t="str">
        <f t="shared" si="1"/>
        <v xml:space="preserve"> </v>
      </c>
      <c r="CJ35" s="35" t="str">
        <f t="shared" si="2"/>
        <v xml:space="preserve"> </v>
      </c>
      <c r="CK35" s="35" t="str">
        <f t="shared" si="3"/>
        <v xml:space="preserve"> </v>
      </c>
      <c r="CL35" s="35" t="str">
        <f t="shared" si="4"/>
        <v xml:space="preserve"> </v>
      </c>
      <c r="CM35" s="35" t="str">
        <f t="shared" si="5"/>
        <v xml:space="preserve"> </v>
      </c>
      <c r="CN35" s="342" t="str">
        <f>IFERROR(AG160," ")</f>
        <v xml:space="preserve"> </v>
      </c>
      <c r="CO35" s="342" t="str">
        <f>IFERROR(AU160," ")</f>
        <v xml:space="preserve"> </v>
      </c>
      <c r="CP35" s="342" t="str">
        <f>IFERROR(AQ160," ")</f>
        <v xml:space="preserve"> </v>
      </c>
      <c r="CQ35" s="342" t="str">
        <f>IFERROR(BP160," ")</f>
        <v xml:space="preserve"> </v>
      </c>
      <c r="CR35" s="342" t="str">
        <f>IFERROR(CD160," ")</f>
        <v xml:space="preserve"> </v>
      </c>
      <c r="CS35" s="342" t="str">
        <f>IFERROR(BZ160," ")</f>
        <v xml:space="preserve"> </v>
      </c>
      <c r="CT35" s="35" t="str">
        <f>IFERROR(IF(AND(controlling_code="ASCE 7-22",pf&gt;45),(CN35+0.15*CO35)*Inputs!$B$23,IF(AND(controlling_code="ASCE 7-22",pf&lt;45),CN35*Inputs!$B$23,IF(pf&lt;=30,CN35*Inputs!$B$23,(CN35+0.2*CO35)*Inputs!$B$23)))," ")</f>
        <v xml:space="preserve"> </v>
      </c>
      <c r="CU35" s="35" t="str">
        <f>IFERROR(IF(AND(controlling_code="ASCE 7-22",pf&gt;45),(CN35+0.15*CO35)*Inputs!$B$23,IF(AND(controlling_code="ASCE 7-22",pf&lt;45),CN35*Inputs!$B$23,IF(pf&lt;=30,CN35*Inputs!$B$23,(CN35+0.2*CO35)*Inputs!$B$23)))," ")</f>
        <v xml:space="preserve"> </v>
      </c>
      <c r="CV35" s="35" t="str">
        <f t="shared" si="6"/>
        <v xml:space="preserve"> </v>
      </c>
      <c r="CW35" s="35" t="str">
        <f t="shared" si="7"/>
        <v xml:space="preserve"> </v>
      </c>
      <c r="CX35" s="35" t="str">
        <f t="shared" si="8"/>
        <v xml:space="preserve"> </v>
      </c>
      <c r="CY35" s="35" t="str">
        <f t="shared" si="9"/>
        <v xml:space="preserve"> </v>
      </c>
      <c r="CZ35" s="35" t="str">
        <f t="shared" si="10"/>
        <v xml:space="preserve"> </v>
      </c>
      <c r="DA35" s="35" t="str">
        <f t="shared" si="11"/>
        <v xml:space="preserve"> </v>
      </c>
      <c r="DB35" s="35" t="str">
        <f t="shared" si="12"/>
        <v xml:space="preserve"> </v>
      </c>
      <c r="DC35" s="35" t="str">
        <f t="shared" si="13"/>
        <v xml:space="preserve"> </v>
      </c>
      <c r="DD35" s="35" t="str">
        <f t="shared" si="14"/>
        <v xml:space="preserve"> </v>
      </c>
      <c r="DE35" s="35" t="str">
        <f t="shared" si="15"/>
        <v xml:space="preserve"> </v>
      </c>
      <c r="DF35" s="35" t="str">
        <f t="shared" si="16"/>
        <v xml:space="preserve"> </v>
      </c>
      <c r="DG35" s="35" t="str">
        <f t="shared" si="17"/>
        <v xml:space="preserve"> </v>
      </c>
      <c r="DH35" s="35" t="str">
        <f t="shared" si="18"/>
        <v xml:space="preserve"> </v>
      </c>
      <c r="DI35" s="35" t="str">
        <f t="shared" si="19"/>
        <v xml:space="preserve"> </v>
      </c>
      <c r="DJ35" s="35" t="str">
        <f t="shared" si="20"/>
        <v xml:space="preserve"> </v>
      </c>
      <c r="DK35" s="35" t="str">
        <f t="shared" si="21"/>
        <v xml:space="preserve"> </v>
      </c>
      <c r="DL35" s="35" t="str">
        <f t="shared" si="22"/>
        <v xml:space="preserve"> </v>
      </c>
      <c r="DM35" s="35" t="str">
        <f t="shared" si="23"/>
        <v xml:space="preserve"> </v>
      </c>
      <c r="DN35" s="35" t="str">
        <f t="shared" si="24"/>
        <v xml:space="preserve"> </v>
      </c>
      <c r="DO35" s="35" t="str">
        <f t="shared" si="25"/>
        <v xml:space="preserve"> </v>
      </c>
      <c r="DP35" s="35" t="str">
        <f t="shared" si="26"/>
        <v xml:space="preserve"> </v>
      </c>
      <c r="DQ35" s="35" t="str">
        <f t="shared" si="27"/>
        <v xml:space="preserve"> </v>
      </c>
      <c r="DR35" s="35" t="str">
        <f t="shared" si="28"/>
        <v xml:space="preserve"> </v>
      </c>
      <c r="DS35" s="35" t="str">
        <f t="shared" si="29"/>
        <v xml:space="preserve"> </v>
      </c>
      <c r="DT35" s="35" t="str">
        <f t="shared" si="30"/>
        <v xml:space="preserve"> </v>
      </c>
      <c r="DU35" s="35" t="str">
        <f t="shared" si="31"/>
        <v xml:space="preserve"> </v>
      </c>
      <c r="DV35" s="35" t="str">
        <f t="shared" si="32"/>
        <v xml:space="preserve"> </v>
      </c>
      <c r="DW35" s="35" t="str">
        <f t="shared" si="33"/>
        <v xml:space="preserve"> </v>
      </c>
      <c r="DX35" s="35" t="str">
        <f t="shared" si="34"/>
        <v xml:space="preserve"> </v>
      </c>
      <c r="DY35" s="35" t="str">
        <f t="shared" si="35"/>
        <v xml:space="preserve"> </v>
      </c>
      <c r="DZ35" s="35" t="str">
        <f>IF($CH35=" "," ",'Wind Calcs'!$AH$77)</f>
        <v xml:space="preserve"> </v>
      </c>
      <c r="EA35" s="35" t="str">
        <f>IF($CH35=" "," ",'Wind Calcs'!$AH$171)</f>
        <v xml:space="preserve"> </v>
      </c>
      <c r="EB35" s="35" t="str">
        <f>IF($CH35=" "," ",'Wind Calcs'!$AH$88)</f>
        <v xml:space="preserve"> </v>
      </c>
      <c r="EC35" s="35" t="str">
        <f>IF($CH35=" "," ",'Wind Calcs'!$AH$182)</f>
        <v xml:space="preserve"> </v>
      </c>
      <c r="ED35" s="35" t="str">
        <f>IF($CI35=" "," ",'Wind Calcs'!$AH$78)</f>
        <v xml:space="preserve"> </v>
      </c>
      <c r="EE35" s="35" t="str">
        <f>IF($CI35=" "," ",'Wind Calcs'!$AH$172)</f>
        <v xml:space="preserve"> </v>
      </c>
      <c r="EF35" s="35" t="str">
        <f>IF($CI35=" "," ",'Wind Calcs'!$AH$94)</f>
        <v xml:space="preserve"> </v>
      </c>
      <c r="EG35" s="35" t="str">
        <f>IF($CI35=" "," ",'Wind Calcs'!$AH$188)</f>
        <v xml:space="preserve"> </v>
      </c>
      <c r="EH35" s="35" t="str">
        <f>IF($CJ35=" "," ",'Wind Calcs'!$AH$79)</f>
        <v xml:space="preserve"> </v>
      </c>
      <c r="EI35" s="35" t="str">
        <f>IF($CJ35=" "," ",'Wind Calcs'!$AH$173)</f>
        <v xml:space="preserve"> </v>
      </c>
      <c r="EJ35" s="35" t="str">
        <f>IF($CJ35=" "," ",'Wind Calcs'!$AH$100)</f>
        <v xml:space="preserve"> </v>
      </c>
      <c r="EK35" s="35" t="str">
        <f>IF($CJ35=" "," ",'Wind Calcs'!$AH$194)</f>
        <v xml:space="preserve"> </v>
      </c>
      <c r="EL35" s="35" t="str">
        <f>IF($CK35=" "," ",'Wind Calcs'!$AH$80)</f>
        <v xml:space="preserve"> </v>
      </c>
      <c r="EM35" s="35" t="str">
        <f>IF($CK35=" "," ",'Wind Calcs'!$AH$174)</f>
        <v xml:space="preserve"> </v>
      </c>
      <c r="EN35" s="35" t="str">
        <f>IF($CK35=" "," ",'Wind Calcs'!$AH$106)</f>
        <v xml:space="preserve"> </v>
      </c>
      <c r="EO35" s="35" t="str">
        <f>IF($CK35=" "," ",'Wind Calcs'!$AH$200)</f>
        <v xml:space="preserve"> </v>
      </c>
      <c r="EP35" s="35" t="str">
        <f>IF($CL35=" "," ",'Wind Calcs'!$AH$81)</f>
        <v xml:space="preserve"> </v>
      </c>
      <c r="EQ35" s="35" t="str">
        <f>IF($CL35=" "," ",'Wind Calcs'!$AH$175)</f>
        <v xml:space="preserve"> </v>
      </c>
      <c r="ER35" s="35" t="str">
        <f>IF($CL35=" "," ",'Wind Calcs'!$AH$112)</f>
        <v xml:space="preserve"> </v>
      </c>
      <c r="ES35" s="35" t="str">
        <f>IF($CL35=" "," ",'Wind Calcs'!$AH$206)</f>
        <v xml:space="preserve"> </v>
      </c>
      <c r="ET35" s="35" t="str">
        <f>IF($CM35=" "," ",'Wind Calcs'!$AH$77)</f>
        <v xml:space="preserve"> </v>
      </c>
      <c r="EU35" s="35" t="str">
        <f>IF($CM35=" "," ",'Wind Calcs'!$AH$171)</f>
        <v xml:space="preserve"> </v>
      </c>
      <c r="EV35" s="373" t="str">
        <f>IF($CM35=" "," ",'Wind Calcs'!$AH$88)</f>
        <v xml:space="preserve"> </v>
      </c>
      <c r="EW35" s="35" t="str">
        <f>IF($CM35=" "," ",'Wind Calcs'!$AH$182)</f>
        <v xml:space="preserve"> </v>
      </c>
    </row>
    <row r="36" spans="2:153" x14ac:dyDescent="0.25">
      <c r="B36" s="332" t="str">
        <f t="shared" si="36"/>
        <v/>
      </c>
      <c r="C36" s="301">
        <v>31</v>
      </c>
      <c r="D36" s="300" t="str">
        <f t="shared" si="37"/>
        <v/>
      </c>
      <c r="E36" s="301" t="str">
        <f t="shared" si="38"/>
        <v/>
      </c>
      <c r="G36" s="302">
        <v>31</v>
      </c>
      <c r="H36" s="7" t="e">
        <f t="shared" si="39"/>
        <v>#VALUE!</v>
      </c>
      <c r="I36" s="299" t="e">
        <f t="shared" si="40"/>
        <v>#VALUE!</v>
      </c>
      <c r="J36" s="7"/>
      <c r="K36" s="302">
        <v>31</v>
      </c>
      <c r="L36" s="652" t="str">
        <f t="shared" si="41"/>
        <v/>
      </c>
      <c r="M36" s="556"/>
      <c r="O36" s="653" t="str">
        <f>D12</f>
        <v/>
      </c>
      <c r="P36" s="558"/>
      <c r="Q36" s="25" t="s">
        <v>656</v>
      </c>
      <c r="R36" s="297" t="str">
        <f>L12</f>
        <v/>
      </c>
      <c r="S36" s="310" t="s">
        <v>657</v>
      </c>
      <c r="T36" s="312"/>
      <c r="U36" s="297" t="e">
        <f>R36/12</f>
        <v>#VALUE!</v>
      </c>
      <c r="V36" s="26" t="s">
        <v>658</v>
      </c>
      <c r="W36" s="24" t="s">
        <v>659</v>
      </c>
      <c r="X36" s="297" t="e">
        <f>VL</f>
        <v>#VALUE!</v>
      </c>
      <c r="Y36" s="26" t="s">
        <v>657</v>
      </c>
      <c r="Z36" s="24" t="s">
        <v>660</v>
      </c>
      <c r="AA36" s="297">
        <f>VLOOKUP(TS,'List Data'!$A$15:$B$18, 2, FALSE)</f>
        <v>7.8955000000000002</v>
      </c>
      <c r="AB36" s="26" t="s">
        <v>661</v>
      </c>
      <c r="AC36" s="24" t="s">
        <v>662</v>
      </c>
      <c r="AD36" s="297" t="e">
        <f>PL</f>
        <v>#VALUE!</v>
      </c>
      <c r="AE36" s="26" t="s">
        <v>65</v>
      </c>
      <c r="AF36" s="24" t="s">
        <v>651</v>
      </c>
      <c r="AG36" s="318" t="e">
        <f>X40</f>
        <v>#VALUE!</v>
      </c>
      <c r="AH36" s="26" t="s">
        <v>663</v>
      </c>
      <c r="AJ36" s="24" t="s">
        <v>664</v>
      </c>
      <c r="AK36" s="297" t="e">
        <f>ROUND(MT/12,5)</f>
        <v>#VALUE!</v>
      </c>
      <c r="AL36" s="26" t="s">
        <v>658</v>
      </c>
      <c r="AM36" s="24" t="s">
        <v>370</v>
      </c>
      <c r="AN36" s="297">
        <f>IF(OR(TS="5x4, .126", TS="5x4, .134"), 5/12,4/12)</f>
        <v>0.41666666666666669</v>
      </c>
      <c r="AO36" s="26" t="s">
        <v>658</v>
      </c>
      <c r="AP36" s="24" t="s">
        <v>653</v>
      </c>
      <c r="AQ36" s="322" t="e">
        <f>AK38</f>
        <v>#VALUE!</v>
      </c>
      <c r="AR36" s="26" t="s">
        <v>665</v>
      </c>
      <c r="AT36" s="24" t="s">
        <v>666</v>
      </c>
      <c r="AU36" s="338" t="str">
        <f>Theta</f>
        <v>XX</v>
      </c>
      <c r="AV36" s="26" t="s">
        <v>667</v>
      </c>
      <c r="AX36" s="653" t="str">
        <f>D48</f>
        <v/>
      </c>
      <c r="AY36" s="558"/>
      <c r="AZ36" s="25" t="s">
        <v>656</v>
      </c>
      <c r="BA36" s="297" t="str">
        <f>L48</f>
        <v/>
      </c>
      <c r="BB36" s="310" t="s">
        <v>657</v>
      </c>
      <c r="BC36" s="312"/>
      <c r="BD36" s="297" t="e">
        <f>BA36/12</f>
        <v>#VALUE!</v>
      </c>
      <c r="BE36" s="26" t="s">
        <v>658</v>
      </c>
      <c r="BF36" s="24" t="s">
        <v>659</v>
      </c>
      <c r="BG36" s="297" t="e">
        <f>VL</f>
        <v>#VALUE!</v>
      </c>
      <c r="BH36" s="26" t="s">
        <v>657</v>
      </c>
      <c r="BI36" s="24" t="s">
        <v>660</v>
      </c>
      <c r="BJ36" s="297">
        <f>VLOOKUP(TS,'List Data'!$A$15:$B$18, 2, FALSE)</f>
        <v>7.8955000000000002</v>
      </c>
      <c r="BK36" s="26" t="s">
        <v>661</v>
      </c>
      <c r="BL36" s="24" t="s">
        <v>662</v>
      </c>
      <c r="BM36" s="297" t="e">
        <f>PL</f>
        <v>#VALUE!</v>
      </c>
      <c r="BN36" s="26" t="s">
        <v>65</v>
      </c>
      <c r="BO36" s="24" t="s">
        <v>651</v>
      </c>
      <c r="BP36" s="318" t="e">
        <f>BG40</f>
        <v>#VALUE!</v>
      </c>
      <c r="BQ36" s="26" t="s">
        <v>663</v>
      </c>
      <c r="BS36" s="24" t="s">
        <v>664</v>
      </c>
      <c r="BT36" s="297" t="e">
        <f>ROUND(MT/12,5)</f>
        <v>#VALUE!</v>
      </c>
      <c r="BU36" s="26" t="s">
        <v>658</v>
      </c>
      <c r="BV36" s="24" t="s">
        <v>370</v>
      </c>
      <c r="BW36" s="297">
        <f>IF(OR(TS="5x4, .126", TS="5x4, .134"), 5/12,4/12)</f>
        <v>0.41666666666666669</v>
      </c>
      <c r="BX36" s="26" t="s">
        <v>658</v>
      </c>
      <c r="BY36" s="24" t="s">
        <v>653</v>
      </c>
      <c r="BZ36" s="322" t="e">
        <f>BT38</f>
        <v>#VALUE!</v>
      </c>
      <c r="CA36" s="26" t="s">
        <v>665</v>
      </c>
      <c r="CC36" s="24" t="s">
        <v>666</v>
      </c>
      <c r="CD36" s="338" t="str">
        <f>Theta</f>
        <v>XX</v>
      </c>
      <c r="CE36" s="26" t="s">
        <v>667</v>
      </c>
      <c r="CG36" s="35"/>
      <c r="CH36" s="35"/>
      <c r="CI36" s="35"/>
      <c r="CJ36" s="35"/>
      <c r="CK36" s="35"/>
      <c r="CL36" s="35"/>
      <c r="CM36" s="35"/>
      <c r="CN36" s="35">
        <f t="shared" ref="CN36:DY36" si="42">MAX(CN5:CN35)</f>
        <v>0</v>
      </c>
      <c r="CO36" s="35">
        <f t="shared" si="42"/>
        <v>0</v>
      </c>
      <c r="CP36" s="35">
        <f t="shared" si="42"/>
        <v>0</v>
      </c>
      <c r="CQ36" s="35">
        <f t="shared" si="42"/>
        <v>0</v>
      </c>
      <c r="CR36" s="35">
        <f t="shared" si="42"/>
        <v>0</v>
      </c>
      <c r="CS36" s="35">
        <f t="shared" si="42"/>
        <v>0</v>
      </c>
      <c r="CT36" s="35">
        <f t="shared" si="42"/>
        <v>0</v>
      </c>
      <c r="CU36" s="35">
        <f t="shared" si="42"/>
        <v>0</v>
      </c>
      <c r="CV36" s="35">
        <f t="shared" si="42"/>
        <v>0</v>
      </c>
      <c r="CW36" s="35">
        <f t="shared" si="42"/>
        <v>0</v>
      </c>
      <c r="CX36" s="35">
        <f t="shared" si="42"/>
        <v>0</v>
      </c>
      <c r="CY36" s="35">
        <f t="shared" si="42"/>
        <v>0</v>
      </c>
      <c r="CZ36" s="35">
        <f t="shared" si="42"/>
        <v>0</v>
      </c>
      <c r="DA36" s="35">
        <f t="shared" si="42"/>
        <v>0</v>
      </c>
      <c r="DB36" s="35">
        <f t="shared" si="42"/>
        <v>0</v>
      </c>
      <c r="DC36" s="35">
        <f t="shared" si="42"/>
        <v>0</v>
      </c>
      <c r="DD36" s="35">
        <f t="shared" si="42"/>
        <v>0</v>
      </c>
      <c r="DE36" s="35">
        <f t="shared" si="42"/>
        <v>0</v>
      </c>
      <c r="DF36" s="35">
        <f t="shared" si="42"/>
        <v>0</v>
      </c>
      <c r="DG36" s="35">
        <f t="shared" si="42"/>
        <v>0</v>
      </c>
      <c r="DH36" s="35">
        <f t="shared" si="42"/>
        <v>0</v>
      </c>
      <c r="DI36" s="35">
        <f t="shared" si="42"/>
        <v>0</v>
      </c>
      <c r="DJ36" s="35">
        <f t="shared" si="42"/>
        <v>0</v>
      </c>
      <c r="DK36" s="35">
        <f t="shared" si="42"/>
        <v>0</v>
      </c>
      <c r="DL36" s="35">
        <f t="shared" si="42"/>
        <v>0</v>
      </c>
      <c r="DM36" s="35">
        <f t="shared" si="42"/>
        <v>0</v>
      </c>
      <c r="DN36" s="35">
        <f t="shared" si="42"/>
        <v>0</v>
      </c>
      <c r="DO36" s="35">
        <f t="shared" si="42"/>
        <v>0</v>
      </c>
      <c r="DP36" s="35">
        <f t="shared" si="42"/>
        <v>0</v>
      </c>
      <c r="DQ36" s="35">
        <f t="shared" si="42"/>
        <v>0</v>
      </c>
      <c r="DR36" s="35">
        <f t="shared" si="42"/>
        <v>0</v>
      </c>
      <c r="DS36" s="35">
        <f t="shared" si="42"/>
        <v>0</v>
      </c>
      <c r="DT36" s="35">
        <f t="shared" si="42"/>
        <v>0</v>
      </c>
      <c r="DU36" s="35">
        <f t="shared" si="42"/>
        <v>0</v>
      </c>
      <c r="DV36" s="35">
        <f t="shared" si="42"/>
        <v>0</v>
      </c>
      <c r="DW36" s="35">
        <f t="shared" si="42"/>
        <v>0</v>
      </c>
      <c r="DX36" s="35">
        <f t="shared" si="42"/>
        <v>0</v>
      </c>
      <c r="DY36" s="35">
        <f t="shared" si="42"/>
        <v>0</v>
      </c>
      <c r="DZ36" s="35">
        <f>MIN(DZ5:DZ35)</f>
        <v>0</v>
      </c>
      <c r="EA36" s="35">
        <f>MAX(EA5:EA35)</f>
        <v>0</v>
      </c>
      <c r="EB36" s="35">
        <f>MAX(EB5:EB35)</f>
        <v>0</v>
      </c>
      <c r="EC36" s="35">
        <f>MAX(EC5:EC35)</f>
        <v>0</v>
      </c>
      <c r="ED36" s="35">
        <f>MIN(ED5:ED35)</f>
        <v>0</v>
      </c>
      <c r="EE36" s="35">
        <f>MAX(EE5:EE35)</f>
        <v>0</v>
      </c>
      <c r="EF36" s="35">
        <f>MAX(EF5:EF35)</f>
        <v>0</v>
      </c>
      <c r="EG36" s="35">
        <f>MAX(EG5:EG35)</f>
        <v>0</v>
      </c>
      <c r="EH36" s="35">
        <f>MIN(EH5:EH35)</f>
        <v>0</v>
      </c>
      <c r="EI36" s="35">
        <f>MAX(EI5:EI35)</f>
        <v>0</v>
      </c>
      <c r="EJ36" s="35">
        <f>MAX(EJ5:EJ35)</f>
        <v>0</v>
      </c>
      <c r="EK36" s="35">
        <f>MAX(EK5:EK35)</f>
        <v>0</v>
      </c>
      <c r="EL36" s="35">
        <f>MIN(EL5:EL35)</f>
        <v>0</v>
      </c>
      <c r="EM36" s="35">
        <f>MAX(EM5:EM35)</f>
        <v>0</v>
      </c>
      <c r="EN36" s="35">
        <f>MAX(EN5:EN35)</f>
        <v>0</v>
      </c>
      <c r="EO36" s="35">
        <f>MAX(EO5:EO35)</f>
        <v>0</v>
      </c>
      <c r="EP36" s="35">
        <f>MIN(EP5:EP35)</f>
        <v>0</v>
      </c>
      <c r="EQ36" s="35">
        <f>MAX(EQ5:EQ35)</f>
        <v>0</v>
      </c>
      <c r="ER36" s="35">
        <f>MAX(ER5:ER35)</f>
        <v>0</v>
      </c>
      <c r="ES36" s="35">
        <f>MAX(ES5:ES35)</f>
        <v>0</v>
      </c>
      <c r="ET36" s="35">
        <f>MIN(ET5:ET35)</f>
        <v>0</v>
      </c>
      <c r="EU36" s="35">
        <f>MAX(EU5:EU35)</f>
        <v>0</v>
      </c>
      <c r="EV36" s="373">
        <f>MAX(EV5:EV35)</f>
        <v>0</v>
      </c>
      <c r="EW36" s="35">
        <f>MAX(EW5:EW35)</f>
        <v>0</v>
      </c>
    </row>
    <row r="37" spans="2:153" x14ac:dyDescent="0.25">
      <c r="G37" s="302">
        <v>32</v>
      </c>
      <c r="H37" s="7" t="e">
        <f t="shared" si="39"/>
        <v>#VALUE!</v>
      </c>
      <c r="I37" s="299" t="e">
        <f t="shared" si="40"/>
        <v>#VALUE!</v>
      </c>
      <c r="J37" s="7"/>
      <c r="K37" s="303">
        <v>32</v>
      </c>
      <c r="L37" s="654" t="str">
        <f t="shared" si="41"/>
        <v/>
      </c>
      <c r="M37" s="561"/>
      <c r="O37" s="628"/>
      <c r="P37" s="559"/>
      <c r="Q37" t="s">
        <v>668</v>
      </c>
      <c r="R37" s="7" t="str">
        <f>L13</f>
        <v/>
      </c>
      <c r="S37" s="77" t="s">
        <v>657</v>
      </c>
      <c r="T37" s="43"/>
      <c r="U37" s="7" t="e">
        <f>R37/12</f>
        <v>#VALUE!</v>
      </c>
      <c r="V37" s="28" t="s">
        <v>658</v>
      </c>
      <c r="W37" s="27" t="s">
        <v>669</v>
      </c>
      <c r="X37" s="7">
        <f>COUNTIFS($I$6:$I$105, "&lt;="&amp;R36, $I$6:$I$105, "&gt;="&amp;R37)</f>
        <v>0</v>
      </c>
      <c r="Y37" s="28" t="s">
        <v>670</v>
      </c>
      <c r="Z37" s="27" t="s">
        <v>659</v>
      </c>
      <c r="AA37" s="7" t="e">
        <f>IF(O36="Exterior Drive Post", (U38-(TG/12)), U38)</f>
        <v>#VALUE!</v>
      </c>
      <c r="AB37" s="28" t="s">
        <v>658</v>
      </c>
      <c r="AC37" s="27" t="s">
        <v>671</v>
      </c>
      <c r="AD37" s="7" t="e">
        <f>U40</f>
        <v>#VALUE!</v>
      </c>
      <c r="AE37" s="28" t="s">
        <v>665</v>
      </c>
      <c r="AF37" s="27" t="s">
        <v>672</v>
      </c>
      <c r="AG37" s="317" t="e">
        <f>AA40</f>
        <v>#VALUE!</v>
      </c>
      <c r="AH37" s="28" t="s">
        <v>663</v>
      </c>
      <c r="AJ37" s="27" t="s">
        <v>659</v>
      </c>
      <c r="AK37" s="7" t="e">
        <f>IF(O36= "Exterior Drive Post", (U38)-((GL+GR)/12), U38)</f>
        <v>#VALUE!</v>
      </c>
      <c r="AL37" s="28" t="s">
        <v>658</v>
      </c>
      <c r="AM37" s="27" t="s">
        <v>659</v>
      </c>
      <c r="AN37" s="7" t="e">
        <f>AA37</f>
        <v>#VALUE!</v>
      </c>
      <c r="AO37" s="28" t="s">
        <v>658</v>
      </c>
      <c r="AP37" s="27" t="s">
        <v>672</v>
      </c>
      <c r="AQ37" s="323" t="e">
        <f>AN38</f>
        <v>#VALUE!</v>
      </c>
      <c r="AR37" s="28" t="s">
        <v>665</v>
      </c>
      <c r="AT37" s="27" t="s">
        <v>673</v>
      </c>
      <c r="AU37" s="210" t="e">
        <f>RSL*COS(Radians)</f>
        <v>#VALUE!</v>
      </c>
      <c r="AV37" s="28" t="s">
        <v>65</v>
      </c>
      <c r="AX37" s="628"/>
      <c r="AY37" s="559"/>
      <c r="AZ37" t="s">
        <v>668</v>
      </c>
      <c r="BA37" s="7" t="str">
        <f>L49</f>
        <v/>
      </c>
      <c r="BB37" s="77" t="s">
        <v>657</v>
      </c>
      <c r="BC37" s="43"/>
      <c r="BD37" s="7" t="e">
        <f>BA37/12</f>
        <v>#VALUE!</v>
      </c>
      <c r="BE37" s="28" t="s">
        <v>658</v>
      </c>
      <c r="BF37" s="27" t="s">
        <v>669</v>
      </c>
      <c r="BG37" s="7">
        <f>COUNTIFS($I$6:$I$105, "&lt;="&amp;BA36, $I$6:$I$105, "&gt;="&amp;BA37)</f>
        <v>0</v>
      </c>
      <c r="BH37" s="28" t="s">
        <v>670</v>
      </c>
      <c r="BI37" s="27" t="s">
        <v>659</v>
      </c>
      <c r="BJ37" s="7" t="e">
        <f>IF(AX36="Interior Drive Post", (BD38-(TG/12)), BD38)</f>
        <v>#VALUE!</v>
      </c>
      <c r="BK37" s="28" t="s">
        <v>658</v>
      </c>
      <c r="BL37" s="27" t="s">
        <v>671</v>
      </c>
      <c r="BM37" s="7" t="e">
        <f>BD40</f>
        <v>#VALUE!</v>
      </c>
      <c r="BN37" s="28" t="s">
        <v>665</v>
      </c>
      <c r="BO37" s="27" t="s">
        <v>672</v>
      </c>
      <c r="BP37" s="317" t="e">
        <f>BJ40</f>
        <v>#VALUE!</v>
      </c>
      <c r="BQ37" s="28" t="s">
        <v>663</v>
      </c>
      <c r="BS37" s="27" t="s">
        <v>659</v>
      </c>
      <c r="BT37" s="7" t="e">
        <f>IF(AX36= "Interior Drive Post", (BD38)-((GL+GR)/12), BD38)</f>
        <v>#VALUE!</v>
      </c>
      <c r="BU37" s="28" t="s">
        <v>658</v>
      </c>
      <c r="BV37" s="27" t="s">
        <v>659</v>
      </c>
      <c r="BW37" s="7" t="e">
        <f>BJ37</f>
        <v>#VALUE!</v>
      </c>
      <c r="BX37" s="28" t="s">
        <v>658</v>
      </c>
      <c r="BY37" s="27" t="s">
        <v>672</v>
      </c>
      <c r="BZ37" s="323" t="e">
        <f>BW38</f>
        <v>#VALUE!</v>
      </c>
      <c r="CA37" s="28" t="s">
        <v>665</v>
      </c>
      <c r="CC37" s="27" t="s">
        <v>673</v>
      </c>
      <c r="CD37" s="210" t="e">
        <f>RSL*COS(Radians)</f>
        <v>#VALUE!</v>
      </c>
      <c r="CE37" s="28" t="s">
        <v>65</v>
      </c>
    </row>
    <row r="38" spans="2:153" ht="15" customHeight="1" x14ac:dyDescent="0.25">
      <c r="B38" s="655" t="s">
        <v>574</v>
      </c>
      <c r="C38" s="572"/>
      <c r="D38" s="572"/>
      <c r="E38" s="558"/>
      <c r="G38" s="302">
        <v>33</v>
      </c>
      <c r="H38" s="7" t="e">
        <f t="shared" ref="H38:H69" si="43">IF(G38&lt;=(P_Left+P_Right+2), "VP "&amp;G38, "")</f>
        <v>#VALUE!</v>
      </c>
      <c r="I38" s="299" t="e">
        <f t="shared" ref="I38:I69" si="44">IF(G38&gt;V_Right+V_Left, "", IF(G38=1,LSR,IF(G38=V_Right+V_Left,-RSR,IF(G38&lt;V_Left,(LSR-EVS)-((G38-2)*IVS),IF(G38=V_Left,GL,IF(G38=V_Left+1,-GR,IF(G38&gt;V_Left+1,-GR-EVS-(IVS*(G38-(V_Left+2))),0)))))))</f>
        <v>#VALUE!</v>
      </c>
      <c r="J38" s="7"/>
      <c r="O38" s="628"/>
      <c r="P38" s="559"/>
      <c r="Q38" t="s">
        <v>659</v>
      </c>
      <c r="R38" s="7" t="e">
        <f>R36-R37</f>
        <v>#VALUE!</v>
      </c>
      <c r="S38" s="77" t="s">
        <v>657</v>
      </c>
      <c r="T38" s="43"/>
      <c r="U38" s="7" t="e">
        <f>R38/12</f>
        <v>#VALUE!</v>
      </c>
      <c r="V38" s="28" t="s">
        <v>658</v>
      </c>
      <c r="W38" s="27" t="s">
        <v>674</v>
      </c>
      <c r="X38" s="7" t="e">
        <f>X37*X36</f>
        <v>#VALUE!</v>
      </c>
      <c r="Y38" s="28" t="s">
        <v>657</v>
      </c>
      <c r="Z38" s="27"/>
      <c r="AA38" s="7"/>
      <c r="AB38" s="28"/>
      <c r="AC38" s="27"/>
      <c r="AD38" s="7"/>
      <c r="AE38" s="28"/>
      <c r="AF38" s="27" t="s">
        <v>653</v>
      </c>
      <c r="AG38" s="319" t="e">
        <f>AD40</f>
        <v>#VALUE!</v>
      </c>
      <c r="AH38" s="28" t="s">
        <v>663</v>
      </c>
      <c r="AJ38" s="27" t="s">
        <v>671</v>
      </c>
      <c r="AK38" s="321" t="e">
        <f>AK36*AK37</f>
        <v>#VALUE!</v>
      </c>
      <c r="AL38" s="28" t="s">
        <v>665</v>
      </c>
      <c r="AM38" s="27" t="s">
        <v>671</v>
      </c>
      <c r="AN38" s="323" t="e">
        <f>AN37*AN36</f>
        <v>#VALUE!</v>
      </c>
      <c r="AO38" s="28" t="s">
        <v>665</v>
      </c>
      <c r="AP38" s="27" t="s">
        <v>654</v>
      </c>
      <c r="AQ38" s="7" t="e">
        <f>SUM(AQ36:AQ37)</f>
        <v>#VALUE!</v>
      </c>
      <c r="AR38" s="28" t="s">
        <v>665</v>
      </c>
      <c r="AT38" s="27" t="s">
        <v>671</v>
      </c>
      <c r="AU38" s="210" t="e">
        <f>U40</f>
        <v>#VALUE!</v>
      </c>
      <c r="AV38" s="28" t="s">
        <v>685</v>
      </c>
      <c r="AX38" s="628"/>
      <c r="AY38" s="559"/>
      <c r="AZ38" t="s">
        <v>659</v>
      </c>
      <c r="BA38" s="7" t="e">
        <f>BA36-BA37</f>
        <v>#VALUE!</v>
      </c>
      <c r="BB38" s="77" t="s">
        <v>657</v>
      </c>
      <c r="BC38" s="43"/>
      <c r="BD38" s="7" t="e">
        <f>BA38/12</f>
        <v>#VALUE!</v>
      </c>
      <c r="BE38" s="28" t="s">
        <v>658</v>
      </c>
      <c r="BF38" s="27" t="s">
        <v>674</v>
      </c>
      <c r="BG38" s="7" t="e">
        <f>BG37*BG36</f>
        <v>#VALUE!</v>
      </c>
      <c r="BH38" s="28" t="s">
        <v>657</v>
      </c>
      <c r="BI38" s="27"/>
      <c r="BJ38" s="7"/>
      <c r="BK38" s="28"/>
      <c r="BL38" s="27"/>
      <c r="BM38" s="7"/>
      <c r="BN38" s="28"/>
      <c r="BO38" s="27" t="s">
        <v>653</v>
      </c>
      <c r="BP38" s="319" t="e">
        <f>BM40</f>
        <v>#VALUE!</v>
      </c>
      <c r="BQ38" s="28" t="s">
        <v>663</v>
      </c>
      <c r="BS38" s="27" t="s">
        <v>671</v>
      </c>
      <c r="BT38" s="321" t="e">
        <f>BT36*BT37</f>
        <v>#VALUE!</v>
      </c>
      <c r="BU38" s="28" t="s">
        <v>665</v>
      </c>
      <c r="BV38" s="27" t="s">
        <v>671</v>
      </c>
      <c r="BW38" s="323" t="e">
        <f>BW37*BW36</f>
        <v>#VALUE!</v>
      </c>
      <c r="BX38" s="28" t="s">
        <v>665</v>
      </c>
      <c r="BY38" s="27" t="s">
        <v>654</v>
      </c>
      <c r="BZ38" s="7" t="e">
        <f>SUM(BZ36:BZ37)</f>
        <v>#VALUE!</v>
      </c>
      <c r="CA38" s="28" t="s">
        <v>665</v>
      </c>
      <c r="CC38" s="27" t="s">
        <v>671</v>
      </c>
      <c r="CD38" s="210" t="e">
        <f>BD40</f>
        <v>#VALUE!</v>
      </c>
      <c r="CE38" s="28" t="s">
        <v>665</v>
      </c>
    </row>
    <row r="39" spans="2:153" x14ac:dyDescent="0.25">
      <c r="B39" s="555"/>
      <c r="C39" s="565"/>
      <c r="D39" s="565"/>
      <c r="E39" s="559"/>
      <c r="G39" s="302">
        <v>34</v>
      </c>
      <c r="H39" s="7" t="e">
        <f t="shared" si="43"/>
        <v>#VALUE!</v>
      </c>
      <c r="I39" s="299" t="e">
        <f t="shared" si="44"/>
        <v>#VALUE!</v>
      </c>
      <c r="J39" s="7"/>
      <c r="O39" s="628"/>
      <c r="P39" s="559"/>
      <c r="Q39" t="s">
        <v>675</v>
      </c>
      <c r="R39" s="7" t="e">
        <f>ROUND(ML, 3)</f>
        <v>#VALUE!</v>
      </c>
      <c r="S39" s="77" t="s">
        <v>657</v>
      </c>
      <c r="T39" s="43"/>
      <c r="U39" s="7" t="e">
        <f>R39/12</f>
        <v>#VALUE!</v>
      </c>
      <c r="V39" s="28" t="s">
        <v>658</v>
      </c>
      <c r="W39" s="27" t="s">
        <v>660</v>
      </c>
      <c r="X39" s="7">
        <f>VLOOKUP(VS,'List Data'!$A$8:$B$12, 2, FALSE)</f>
        <v>2.1419999999999999</v>
      </c>
      <c r="Y39" s="28" t="s">
        <v>661</v>
      </c>
      <c r="Z39" s="27"/>
      <c r="AA39" s="7"/>
      <c r="AB39" s="28"/>
      <c r="AC39" s="27"/>
      <c r="AD39" s="7"/>
      <c r="AE39" s="28"/>
      <c r="AF39" s="27"/>
      <c r="AH39" s="28"/>
      <c r="AJ39" s="27"/>
      <c r="AK39" s="7"/>
      <c r="AL39" s="28"/>
      <c r="AM39" s="27"/>
      <c r="AO39" s="28"/>
      <c r="AP39" s="27"/>
      <c r="AQ39" s="7"/>
      <c r="AR39" s="28"/>
      <c r="AT39" s="27"/>
      <c r="AU39" s="210"/>
      <c r="AV39" s="28"/>
      <c r="AX39" s="628"/>
      <c r="AY39" s="559"/>
      <c r="AZ39" t="s">
        <v>675</v>
      </c>
      <c r="BA39" s="7" t="e">
        <f>ROUND(ML, 3)</f>
        <v>#VALUE!</v>
      </c>
      <c r="BB39" s="77" t="s">
        <v>657</v>
      </c>
      <c r="BC39" s="43"/>
      <c r="BD39" s="7" t="e">
        <f>BA39/12</f>
        <v>#VALUE!</v>
      </c>
      <c r="BE39" s="28" t="s">
        <v>658</v>
      </c>
      <c r="BF39" s="27" t="s">
        <v>660</v>
      </c>
      <c r="BG39" s="7">
        <f>VLOOKUP(VS,'List Data'!$A$8:$B$12, 2, FALSE)</f>
        <v>2.1419999999999999</v>
      </c>
      <c r="BH39" s="28" t="s">
        <v>661</v>
      </c>
      <c r="BI39" s="27"/>
      <c r="BJ39" s="7"/>
      <c r="BK39" s="28"/>
      <c r="BL39" s="27"/>
      <c r="BM39" s="7"/>
      <c r="BN39" s="28"/>
      <c r="BO39" s="27"/>
      <c r="BQ39" s="28"/>
      <c r="BS39" s="27"/>
      <c r="BT39" s="7"/>
      <c r="BU39" s="28"/>
      <c r="BV39" s="27"/>
      <c r="BX39" s="28"/>
      <c r="BY39" s="27"/>
      <c r="BZ39" s="7"/>
      <c r="CA39" s="28"/>
      <c r="CC39" s="27"/>
      <c r="CD39" s="210"/>
      <c r="CE39" s="28"/>
    </row>
    <row r="40" spans="2:153" x14ac:dyDescent="0.25">
      <c r="B40" s="560"/>
      <c r="C40" s="601"/>
      <c r="D40" s="601"/>
      <c r="E40" s="561"/>
      <c r="G40" s="302">
        <v>35</v>
      </c>
      <c r="H40" s="7" t="e">
        <f t="shared" si="43"/>
        <v>#VALUE!</v>
      </c>
      <c r="I40" s="299" t="e">
        <f t="shared" si="44"/>
        <v>#VALUE!</v>
      </c>
      <c r="J40" s="7"/>
      <c r="O40" s="629"/>
      <c r="P40" s="561"/>
      <c r="Q40" s="30" t="s">
        <v>671</v>
      </c>
      <c r="R40" s="309" t="e">
        <f>R38*R39</f>
        <v>#VALUE!</v>
      </c>
      <c r="S40" s="311" t="s">
        <v>676</v>
      </c>
      <c r="T40" s="313"/>
      <c r="U40" s="309" t="e">
        <f>IF(O36="Exterior Drive Post", (R40/144)-(((GL+GR)*(ML/25.4))/144), R40/144)</f>
        <v>#VALUE!</v>
      </c>
      <c r="V40" s="31" t="s">
        <v>677</v>
      </c>
      <c r="W40" s="29" t="s">
        <v>678</v>
      </c>
      <c r="X40" s="314" t="e">
        <f>X39/12*X38</f>
        <v>#VALUE!</v>
      </c>
      <c r="Y40" s="31" t="s">
        <v>663</v>
      </c>
      <c r="Z40" s="29" t="s">
        <v>678</v>
      </c>
      <c r="AA40" s="315" t="e">
        <f>AA36*AA37</f>
        <v>#VALUE!</v>
      </c>
      <c r="AB40" s="31" t="s">
        <v>663</v>
      </c>
      <c r="AC40" s="29" t="s">
        <v>678</v>
      </c>
      <c r="AD40" s="316" t="e">
        <f>AD36*AD37</f>
        <v>#VALUE!</v>
      </c>
      <c r="AE40" s="31" t="s">
        <v>181</v>
      </c>
      <c r="AF40" s="29" t="s">
        <v>654</v>
      </c>
      <c r="AG40" s="320" t="e">
        <f>IF(O36="Exterior Drive Post", SUM(AG36:AG38)+SDW, SUM(AG36:AG38)+ICW)</f>
        <v>#VALUE!</v>
      </c>
      <c r="AH40" s="31" t="s">
        <v>663</v>
      </c>
      <c r="AI40">
        <v>7</v>
      </c>
      <c r="AJ40" s="29"/>
      <c r="AK40" s="309"/>
      <c r="AL40" s="31"/>
      <c r="AM40" s="29"/>
      <c r="AN40" s="30"/>
      <c r="AO40" s="31"/>
      <c r="AP40" s="29" t="s">
        <v>679</v>
      </c>
      <c r="AQ40" s="324" t="e">
        <f>AQ38*Pult</f>
        <v>#VALUE!</v>
      </c>
      <c r="AR40" s="31" t="s">
        <v>181</v>
      </c>
      <c r="AT40" s="29" t="s">
        <v>662</v>
      </c>
      <c r="AU40" s="339" t="e">
        <f>AU38*AU37</f>
        <v>#VALUE!</v>
      </c>
      <c r="AV40" s="31" t="s">
        <v>181</v>
      </c>
      <c r="AX40" s="629"/>
      <c r="AY40" s="561"/>
      <c r="AZ40" s="30" t="s">
        <v>671</v>
      </c>
      <c r="BA40" s="309" t="e">
        <f>BA38*BA39</f>
        <v>#VALUE!</v>
      </c>
      <c r="BB40" s="311" t="s">
        <v>676</v>
      </c>
      <c r="BC40" s="313"/>
      <c r="BD40" s="309" t="e">
        <f>IF(AX36="Interior Drive Post", (BA40/144)-(((GL+GR)*(ML/25.4))/144), BA40/144)</f>
        <v>#VALUE!</v>
      </c>
      <c r="BE40" s="31" t="s">
        <v>677</v>
      </c>
      <c r="BF40" s="29" t="s">
        <v>678</v>
      </c>
      <c r="BG40" s="314" t="e">
        <f>BG39/12*BG38</f>
        <v>#VALUE!</v>
      </c>
      <c r="BH40" s="31" t="s">
        <v>663</v>
      </c>
      <c r="BI40" s="29" t="s">
        <v>678</v>
      </c>
      <c r="BJ40" s="315" t="e">
        <f>BJ36*BJ37</f>
        <v>#VALUE!</v>
      </c>
      <c r="BK40" s="31" t="s">
        <v>663</v>
      </c>
      <c r="BL40" s="29" t="s">
        <v>678</v>
      </c>
      <c r="BM40" s="316" t="e">
        <f>BM36*BM37</f>
        <v>#VALUE!</v>
      </c>
      <c r="BN40" s="31" t="s">
        <v>181</v>
      </c>
      <c r="BO40" s="29" t="s">
        <v>654</v>
      </c>
      <c r="BP40" s="320" t="e">
        <f>IF(AX36="Interior Drive Post", SUM(BP36:BP38)+SDW, SUM(BP36:BP38)+ICW)</f>
        <v>#VALUE!</v>
      </c>
      <c r="BQ40" s="31" t="s">
        <v>663</v>
      </c>
      <c r="BR40">
        <v>7</v>
      </c>
      <c r="BS40" s="29"/>
      <c r="BT40" s="309"/>
      <c r="BU40" s="31"/>
      <c r="BV40" s="29"/>
      <c r="BW40" s="30"/>
      <c r="BX40" s="31"/>
      <c r="BY40" s="29" t="s">
        <v>679</v>
      </c>
      <c r="BZ40" s="324" t="e">
        <f>BZ38*Pult</f>
        <v>#VALUE!</v>
      </c>
      <c r="CA40" s="31" t="s">
        <v>181</v>
      </c>
      <c r="CC40" s="29" t="s">
        <v>662</v>
      </c>
      <c r="CD40" s="339" t="e">
        <f>CD38*CD37</f>
        <v>#VALUE!</v>
      </c>
      <c r="CE40" s="31" t="s">
        <v>181</v>
      </c>
    </row>
    <row r="41" spans="2:153" x14ac:dyDescent="0.25">
      <c r="B41" s="41" t="s">
        <v>9</v>
      </c>
      <c r="C41" s="337"/>
      <c r="D41" s="303" t="s">
        <v>562</v>
      </c>
      <c r="E41" s="301" t="s">
        <v>649</v>
      </c>
      <c r="G41" s="302">
        <v>36</v>
      </c>
      <c r="H41" s="7" t="e">
        <f t="shared" si="43"/>
        <v>#VALUE!</v>
      </c>
      <c r="I41" s="299" t="e">
        <f t="shared" si="44"/>
        <v>#VALUE!</v>
      </c>
      <c r="J41" s="7"/>
      <c r="K41" s="307"/>
      <c r="L41" s="594" t="s">
        <v>649</v>
      </c>
      <c r="M41" s="554"/>
      <c r="O41" s="653" t="str">
        <f>D13</f>
        <v/>
      </c>
      <c r="P41" s="558"/>
      <c r="Q41" s="25" t="s">
        <v>656</v>
      </c>
      <c r="R41" s="297" t="str">
        <f>L13</f>
        <v/>
      </c>
      <c r="S41" s="310" t="s">
        <v>657</v>
      </c>
      <c r="T41" s="312"/>
      <c r="U41" s="297" t="e">
        <f>R41/12</f>
        <v>#VALUE!</v>
      </c>
      <c r="V41" s="26" t="s">
        <v>658</v>
      </c>
      <c r="W41" s="24" t="s">
        <v>659</v>
      </c>
      <c r="X41" s="297" t="e">
        <f>VL</f>
        <v>#VALUE!</v>
      </c>
      <c r="Y41" s="26" t="s">
        <v>657</v>
      </c>
      <c r="Z41" s="24" t="s">
        <v>660</v>
      </c>
      <c r="AA41" s="297">
        <f>VLOOKUP(TS,'List Data'!$A$15:$B$18, 2, FALSE)</f>
        <v>7.8955000000000002</v>
      </c>
      <c r="AB41" s="26" t="s">
        <v>661</v>
      </c>
      <c r="AC41" s="24" t="s">
        <v>662</v>
      </c>
      <c r="AD41" s="297" t="e">
        <f>PL</f>
        <v>#VALUE!</v>
      </c>
      <c r="AE41" s="26" t="s">
        <v>65</v>
      </c>
      <c r="AF41" s="24" t="s">
        <v>651</v>
      </c>
      <c r="AG41" s="318" t="e">
        <f>X45</f>
        <v>#VALUE!</v>
      </c>
      <c r="AH41" s="26" t="s">
        <v>663</v>
      </c>
      <c r="AJ41" s="24" t="s">
        <v>664</v>
      </c>
      <c r="AK41" s="297" t="e">
        <f>ROUND(MT/12,5)</f>
        <v>#VALUE!</v>
      </c>
      <c r="AL41" s="26" t="s">
        <v>658</v>
      </c>
      <c r="AM41" s="24" t="s">
        <v>370</v>
      </c>
      <c r="AN41" s="297">
        <f>IF(OR(TS="5x4, .126", TS="5x4, .134"), 5/12,4/12)</f>
        <v>0.41666666666666669</v>
      </c>
      <c r="AO41" s="26" t="s">
        <v>658</v>
      </c>
      <c r="AP41" s="24" t="s">
        <v>653</v>
      </c>
      <c r="AQ41" s="322" t="e">
        <f>AK43</f>
        <v>#VALUE!</v>
      </c>
      <c r="AR41" s="26" t="s">
        <v>665</v>
      </c>
      <c r="AT41" s="24" t="s">
        <v>666</v>
      </c>
      <c r="AU41" s="338" t="str">
        <f>Theta</f>
        <v>XX</v>
      </c>
      <c r="AV41" s="26" t="s">
        <v>667</v>
      </c>
      <c r="AX41" s="653" t="str">
        <f>D49</f>
        <v/>
      </c>
      <c r="AY41" s="558"/>
      <c r="AZ41" s="25" t="s">
        <v>656</v>
      </c>
      <c r="BA41" s="297" t="str">
        <f>L49</f>
        <v/>
      </c>
      <c r="BB41" s="310" t="s">
        <v>657</v>
      </c>
      <c r="BC41" s="312"/>
      <c r="BD41" s="297" t="e">
        <f>BA41/12</f>
        <v>#VALUE!</v>
      </c>
      <c r="BE41" s="26" t="s">
        <v>658</v>
      </c>
      <c r="BF41" s="24" t="s">
        <v>659</v>
      </c>
      <c r="BG41" s="297" t="e">
        <f>VL</f>
        <v>#VALUE!</v>
      </c>
      <c r="BH41" s="26" t="s">
        <v>657</v>
      </c>
      <c r="BI41" s="24" t="s">
        <v>660</v>
      </c>
      <c r="BJ41" s="297">
        <f>VLOOKUP(TS,'List Data'!$A$15:$B$18, 2, FALSE)</f>
        <v>7.8955000000000002</v>
      </c>
      <c r="BK41" s="26" t="s">
        <v>661</v>
      </c>
      <c r="BL41" s="24" t="s">
        <v>662</v>
      </c>
      <c r="BM41" s="297" t="e">
        <f>PL</f>
        <v>#VALUE!</v>
      </c>
      <c r="BN41" s="26" t="s">
        <v>65</v>
      </c>
      <c r="BO41" s="24" t="s">
        <v>651</v>
      </c>
      <c r="BP41" s="318" t="e">
        <f>BG45</f>
        <v>#VALUE!</v>
      </c>
      <c r="BQ41" s="26" t="s">
        <v>663</v>
      </c>
      <c r="BS41" s="24" t="s">
        <v>664</v>
      </c>
      <c r="BT41" s="297" t="e">
        <f>ROUND(MT/12,5)</f>
        <v>#VALUE!</v>
      </c>
      <c r="BU41" s="26" t="s">
        <v>658</v>
      </c>
      <c r="BV41" s="24" t="s">
        <v>370</v>
      </c>
      <c r="BW41" s="297">
        <f>IF(OR(TS="5x4, .126", TS="5x4, .134"), 5/12,4/12)</f>
        <v>0.41666666666666669</v>
      </c>
      <c r="BX41" s="26" t="s">
        <v>658</v>
      </c>
      <c r="BY41" s="24" t="s">
        <v>653</v>
      </c>
      <c r="BZ41" s="322" t="e">
        <f>BT43</f>
        <v>#VALUE!</v>
      </c>
      <c r="CA41" s="26" t="s">
        <v>665</v>
      </c>
      <c r="CC41" s="24" t="s">
        <v>666</v>
      </c>
      <c r="CD41" s="338" t="str">
        <f>Theta</f>
        <v>XX</v>
      </c>
      <c r="CE41" s="26" t="s">
        <v>667</v>
      </c>
    </row>
    <row r="42" spans="2:153" x14ac:dyDescent="0.25">
      <c r="B42" s="41" t="str">
        <f t="shared" ref="B42:B72" si="45">IF(D42= "Interior Drive Post", 4, IF(D42="", "", IF(C42&lt;=2, 3, IF(C42&gt;=Post_NI-1, 3, 5))))</f>
        <v/>
      </c>
      <c r="C42" s="333">
        <v>1</v>
      </c>
      <c r="D42" s="7" t="str">
        <f t="shared" ref="D42:D72" si="46">IF(C42&gt;Post_NI,"", IF(C42=Drive_I,"Interior Drive Post",IF(C42&lt;Drive_I,"Interior Post "&amp;C42,"Interior Post "&amp;C42-1)))</f>
        <v/>
      </c>
      <c r="E42" s="299" t="str">
        <f t="shared" ref="E42:E72" si="47">IFERROR(IF(D42="Interior Drive Post",0,IF(C42&lt;Drive_I,E119,IF(C42&gt;Drive_I,VLOOKUP(C42-Drive_I,$D$119:$F$127, 3,FALSE), ""))),"")</f>
        <v/>
      </c>
      <c r="G42" s="302">
        <v>37</v>
      </c>
      <c r="H42" s="7" t="e">
        <f t="shared" si="43"/>
        <v>#VALUE!</v>
      </c>
      <c r="I42" s="299" t="e">
        <f t="shared" si="44"/>
        <v>#VALUE!</v>
      </c>
      <c r="J42" s="7"/>
      <c r="K42" s="375">
        <v>1</v>
      </c>
      <c r="L42" s="594" t="str">
        <f t="shared" ref="L42:L73" si="48">IFERROR(IF(K41="", LSR, IF(K41=Post_NI, -RSR, (E41-E42)/2+E42)), "")</f>
        <v/>
      </c>
      <c r="M42" s="554"/>
      <c r="O42" s="628"/>
      <c r="P42" s="559"/>
      <c r="Q42" t="s">
        <v>668</v>
      </c>
      <c r="R42" s="7" t="str">
        <f>L14</f>
        <v/>
      </c>
      <c r="S42" s="77" t="s">
        <v>657</v>
      </c>
      <c r="T42" s="43"/>
      <c r="U42" s="7" t="e">
        <f>R42/12</f>
        <v>#VALUE!</v>
      </c>
      <c r="V42" s="28" t="s">
        <v>658</v>
      </c>
      <c r="W42" s="27" t="s">
        <v>669</v>
      </c>
      <c r="X42" s="7">
        <f>COUNTIFS($I$6:$I$105, "&lt;="&amp;R41, $I$6:$I$105, "&gt;="&amp;R42)</f>
        <v>0</v>
      </c>
      <c r="Y42" s="28" t="s">
        <v>670</v>
      </c>
      <c r="Z42" s="27" t="s">
        <v>659</v>
      </c>
      <c r="AA42" s="7" t="e">
        <f>IF(O41="Exterior Drive Post", (U43-(TG/12)), U43)</f>
        <v>#VALUE!</v>
      </c>
      <c r="AB42" s="28" t="s">
        <v>658</v>
      </c>
      <c r="AC42" s="27" t="s">
        <v>671</v>
      </c>
      <c r="AD42" s="7" t="e">
        <f>U45</f>
        <v>#VALUE!</v>
      </c>
      <c r="AE42" s="28" t="s">
        <v>665</v>
      </c>
      <c r="AF42" s="27" t="s">
        <v>672</v>
      </c>
      <c r="AG42" s="317" t="e">
        <f>AA45</f>
        <v>#VALUE!</v>
      </c>
      <c r="AH42" s="28" t="s">
        <v>663</v>
      </c>
      <c r="AJ42" s="27" t="s">
        <v>659</v>
      </c>
      <c r="AK42" s="7" t="e">
        <f>IF(O41= "Exterior Drive Post", (U43)-((GL+GR)/12), U43)</f>
        <v>#VALUE!</v>
      </c>
      <c r="AL42" s="28" t="s">
        <v>658</v>
      </c>
      <c r="AM42" s="27" t="s">
        <v>659</v>
      </c>
      <c r="AN42" s="7" t="e">
        <f>AA42</f>
        <v>#VALUE!</v>
      </c>
      <c r="AO42" s="28" t="s">
        <v>658</v>
      </c>
      <c r="AP42" s="27" t="s">
        <v>672</v>
      </c>
      <c r="AQ42" s="323" t="e">
        <f>AN43</f>
        <v>#VALUE!</v>
      </c>
      <c r="AR42" s="28" t="s">
        <v>665</v>
      </c>
      <c r="AT42" s="27" t="s">
        <v>673</v>
      </c>
      <c r="AU42" s="210" t="e">
        <f>RSL*COS(Radians)</f>
        <v>#VALUE!</v>
      </c>
      <c r="AV42" s="28" t="s">
        <v>65</v>
      </c>
      <c r="AX42" s="628"/>
      <c r="AY42" s="559"/>
      <c r="AZ42" t="s">
        <v>668</v>
      </c>
      <c r="BA42" s="7" t="str">
        <f>L50</f>
        <v/>
      </c>
      <c r="BB42" s="77" t="s">
        <v>657</v>
      </c>
      <c r="BC42" s="43"/>
      <c r="BD42" s="7" t="e">
        <f>BA42/12</f>
        <v>#VALUE!</v>
      </c>
      <c r="BE42" s="28" t="s">
        <v>658</v>
      </c>
      <c r="BF42" s="27" t="s">
        <v>669</v>
      </c>
      <c r="BG42" s="7">
        <f>COUNTIFS($I$6:$I$105, "&lt;="&amp;BA41, $I$6:$I$105, "&gt;="&amp;BA42)</f>
        <v>0</v>
      </c>
      <c r="BH42" s="28" t="s">
        <v>670</v>
      </c>
      <c r="BI42" s="27" t="s">
        <v>659</v>
      </c>
      <c r="BJ42" s="7" t="e">
        <f>IF(AX41="Interior Drive Post", (BD43-(TG/12)), BD43)</f>
        <v>#VALUE!</v>
      </c>
      <c r="BK42" s="28" t="s">
        <v>658</v>
      </c>
      <c r="BL42" s="27" t="s">
        <v>671</v>
      </c>
      <c r="BM42" s="7" t="e">
        <f>BD45</f>
        <v>#VALUE!</v>
      </c>
      <c r="BN42" s="28" t="s">
        <v>665</v>
      </c>
      <c r="BO42" s="27" t="s">
        <v>672</v>
      </c>
      <c r="BP42" s="317" t="e">
        <f>BJ45</f>
        <v>#VALUE!</v>
      </c>
      <c r="BQ42" s="28" t="s">
        <v>663</v>
      </c>
      <c r="BS42" s="27" t="s">
        <v>659</v>
      </c>
      <c r="BT42" s="7" t="e">
        <f>IF(AX41= "Interior Drive Post", (BD43)-((GL+GR)/12), BD43)</f>
        <v>#VALUE!</v>
      </c>
      <c r="BU42" s="28" t="s">
        <v>658</v>
      </c>
      <c r="BV42" s="27" t="s">
        <v>659</v>
      </c>
      <c r="BW42" s="7" t="e">
        <f>BJ42</f>
        <v>#VALUE!</v>
      </c>
      <c r="BX42" s="28" t="s">
        <v>658</v>
      </c>
      <c r="BY42" s="27" t="s">
        <v>672</v>
      </c>
      <c r="BZ42" s="323" t="e">
        <f>BW43</f>
        <v>#VALUE!</v>
      </c>
      <c r="CA42" s="28" t="s">
        <v>665</v>
      </c>
      <c r="CC42" s="27" t="s">
        <v>673</v>
      </c>
      <c r="CD42" s="210" t="e">
        <f>RSL*COS(Radians)</f>
        <v>#VALUE!</v>
      </c>
      <c r="CE42" s="28" t="s">
        <v>65</v>
      </c>
    </row>
    <row r="43" spans="2:153" x14ac:dyDescent="0.25">
      <c r="B43" s="34" t="str">
        <f t="shared" si="45"/>
        <v/>
      </c>
      <c r="C43" s="299">
        <v>2</v>
      </c>
      <c r="D43" s="7" t="str">
        <f t="shared" si="46"/>
        <v/>
      </c>
      <c r="E43" s="299" t="str">
        <f t="shared" si="47"/>
        <v/>
      </c>
      <c r="G43" s="302">
        <v>38</v>
      </c>
      <c r="H43" s="7" t="e">
        <f t="shared" si="43"/>
        <v>#VALUE!</v>
      </c>
      <c r="I43" s="299" t="e">
        <f t="shared" si="44"/>
        <v>#VALUE!</v>
      </c>
      <c r="J43" s="7"/>
      <c r="K43" s="376">
        <v>2</v>
      </c>
      <c r="L43" s="652" t="str">
        <f t="shared" si="48"/>
        <v/>
      </c>
      <c r="M43" s="556"/>
      <c r="O43" s="628"/>
      <c r="P43" s="559"/>
      <c r="Q43" t="s">
        <v>659</v>
      </c>
      <c r="R43" s="7" t="e">
        <f>R41-R42</f>
        <v>#VALUE!</v>
      </c>
      <c r="S43" s="77" t="s">
        <v>657</v>
      </c>
      <c r="T43" s="43"/>
      <c r="U43" s="7" t="e">
        <f>R43/12</f>
        <v>#VALUE!</v>
      </c>
      <c r="V43" s="28" t="s">
        <v>658</v>
      </c>
      <c r="W43" s="27" t="s">
        <v>674</v>
      </c>
      <c r="X43" s="7" t="e">
        <f>X42*X41</f>
        <v>#VALUE!</v>
      </c>
      <c r="Y43" s="28" t="s">
        <v>657</v>
      </c>
      <c r="Z43" s="27"/>
      <c r="AA43" s="7"/>
      <c r="AB43" s="28"/>
      <c r="AC43" s="27"/>
      <c r="AD43" s="7"/>
      <c r="AE43" s="28"/>
      <c r="AF43" s="27" t="s">
        <v>653</v>
      </c>
      <c r="AG43" s="319" t="e">
        <f>AD45</f>
        <v>#VALUE!</v>
      </c>
      <c r="AH43" s="28" t="s">
        <v>663</v>
      </c>
      <c r="AJ43" s="27" t="s">
        <v>671</v>
      </c>
      <c r="AK43" s="321" t="e">
        <f>AK41*AK42</f>
        <v>#VALUE!</v>
      </c>
      <c r="AL43" s="28" t="s">
        <v>665</v>
      </c>
      <c r="AM43" s="27" t="s">
        <v>671</v>
      </c>
      <c r="AN43" s="323" t="e">
        <f>AN42*AN41</f>
        <v>#VALUE!</v>
      </c>
      <c r="AO43" s="28" t="s">
        <v>665</v>
      </c>
      <c r="AP43" s="27" t="s">
        <v>654</v>
      </c>
      <c r="AQ43" s="7" t="e">
        <f>SUM(AQ41:AQ42)</f>
        <v>#VALUE!</v>
      </c>
      <c r="AR43" s="28" t="s">
        <v>665</v>
      </c>
      <c r="AT43" s="27" t="s">
        <v>671</v>
      </c>
      <c r="AU43" s="210" t="e">
        <f>U45</f>
        <v>#VALUE!</v>
      </c>
      <c r="AV43" s="28" t="s">
        <v>686</v>
      </c>
      <c r="AX43" s="628"/>
      <c r="AY43" s="559"/>
      <c r="AZ43" t="s">
        <v>659</v>
      </c>
      <c r="BA43" s="7" t="e">
        <f>BA41-BA42</f>
        <v>#VALUE!</v>
      </c>
      <c r="BB43" s="77" t="s">
        <v>657</v>
      </c>
      <c r="BC43" s="43"/>
      <c r="BD43" s="7" t="e">
        <f>BA43/12</f>
        <v>#VALUE!</v>
      </c>
      <c r="BE43" s="28" t="s">
        <v>658</v>
      </c>
      <c r="BF43" s="27" t="s">
        <v>674</v>
      </c>
      <c r="BG43" s="7" t="e">
        <f>BG42*BG41</f>
        <v>#VALUE!</v>
      </c>
      <c r="BH43" s="28" t="s">
        <v>657</v>
      </c>
      <c r="BI43" s="27"/>
      <c r="BJ43" s="7"/>
      <c r="BK43" s="28"/>
      <c r="BL43" s="27"/>
      <c r="BM43" s="7"/>
      <c r="BN43" s="28"/>
      <c r="BO43" s="27" t="s">
        <v>653</v>
      </c>
      <c r="BP43" s="319" t="e">
        <f>BM45</f>
        <v>#VALUE!</v>
      </c>
      <c r="BQ43" s="28" t="s">
        <v>663</v>
      </c>
      <c r="BS43" s="27" t="s">
        <v>671</v>
      </c>
      <c r="BT43" s="321" t="e">
        <f>BT41*BT42</f>
        <v>#VALUE!</v>
      </c>
      <c r="BU43" s="28" t="s">
        <v>665</v>
      </c>
      <c r="BV43" s="27" t="s">
        <v>671</v>
      </c>
      <c r="BW43" s="323" t="e">
        <f>BW42*BW41</f>
        <v>#VALUE!</v>
      </c>
      <c r="BX43" s="28" t="s">
        <v>665</v>
      </c>
      <c r="BY43" s="27" t="s">
        <v>654</v>
      </c>
      <c r="BZ43" s="7" t="e">
        <f>SUM(BZ41:BZ42)</f>
        <v>#VALUE!</v>
      </c>
      <c r="CA43" s="28" t="s">
        <v>665</v>
      </c>
      <c r="CC43" s="27" t="s">
        <v>671</v>
      </c>
      <c r="CD43" s="210" t="e">
        <f>BD45</f>
        <v>#VALUE!</v>
      </c>
      <c r="CE43" s="28" t="s">
        <v>665</v>
      </c>
    </row>
    <row r="44" spans="2:153" x14ac:dyDescent="0.25">
      <c r="B44" s="34" t="str">
        <f t="shared" si="45"/>
        <v/>
      </c>
      <c r="C44" s="299">
        <v>3</v>
      </c>
      <c r="D44" s="7" t="str">
        <f t="shared" si="46"/>
        <v/>
      </c>
      <c r="E44" s="299" t="str">
        <f t="shared" si="47"/>
        <v/>
      </c>
      <c r="G44" s="302">
        <v>39</v>
      </c>
      <c r="H44" s="7" t="e">
        <f t="shared" si="43"/>
        <v>#VALUE!</v>
      </c>
      <c r="I44" s="299" t="e">
        <f t="shared" si="44"/>
        <v>#VALUE!</v>
      </c>
      <c r="J44" s="7"/>
      <c r="K44" s="376">
        <v>3</v>
      </c>
      <c r="L44" s="652" t="str">
        <f t="shared" si="48"/>
        <v/>
      </c>
      <c r="M44" s="556"/>
      <c r="O44" s="628"/>
      <c r="P44" s="559"/>
      <c r="Q44" t="s">
        <v>675</v>
      </c>
      <c r="R44" s="7" t="e">
        <f>ROUND(ML, 3)</f>
        <v>#VALUE!</v>
      </c>
      <c r="S44" s="77" t="s">
        <v>657</v>
      </c>
      <c r="T44" s="43"/>
      <c r="U44" s="7" t="e">
        <f>R44/12</f>
        <v>#VALUE!</v>
      </c>
      <c r="V44" s="28" t="s">
        <v>658</v>
      </c>
      <c r="W44" s="27" t="s">
        <v>660</v>
      </c>
      <c r="X44" s="7">
        <f>VLOOKUP(VS,'List Data'!$A$8:$B$12, 2, FALSE)</f>
        <v>2.1419999999999999</v>
      </c>
      <c r="Y44" s="28" t="s">
        <v>661</v>
      </c>
      <c r="Z44" s="27"/>
      <c r="AA44" s="7"/>
      <c r="AB44" s="28"/>
      <c r="AC44" s="27"/>
      <c r="AD44" s="7"/>
      <c r="AE44" s="28"/>
      <c r="AF44" s="27"/>
      <c r="AH44" s="28"/>
      <c r="AJ44" s="27"/>
      <c r="AK44" s="7"/>
      <c r="AL44" s="28"/>
      <c r="AM44" s="27"/>
      <c r="AO44" s="28"/>
      <c r="AP44" s="27"/>
      <c r="AQ44" s="7"/>
      <c r="AR44" s="28"/>
      <c r="AT44" s="27"/>
      <c r="AU44" s="210"/>
      <c r="AV44" s="28"/>
      <c r="AX44" s="628"/>
      <c r="AY44" s="559"/>
      <c r="AZ44" t="s">
        <v>675</v>
      </c>
      <c r="BA44" s="7" t="e">
        <f>ROUND(ML, 3)</f>
        <v>#VALUE!</v>
      </c>
      <c r="BB44" s="77" t="s">
        <v>657</v>
      </c>
      <c r="BC44" s="43"/>
      <c r="BD44" s="7" t="e">
        <f>BA44/12</f>
        <v>#VALUE!</v>
      </c>
      <c r="BE44" s="28" t="s">
        <v>658</v>
      </c>
      <c r="BF44" s="27" t="s">
        <v>660</v>
      </c>
      <c r="BG44" s="7">
        <f>VLOOKUP(VS,'List Data'!$A$8:$B$12, 2, FALSE)</f>
        <v>2.1419999999999999</v>
      </c>
      <c r="BH44" s="28" t="s">
        <v>661</v>
      </c>
      <c r="BI44" s="27"/>
      <c r="BJ44" s="7"/>
      <c r="BK44" s="28"/>
      <c r="BL44" s="27"/>
      <c r="BM44" s="7"/>
      <c r="BN44" s="28"/>
      <c r="BO44" s="27"/>
      <c r="BQ44" s="28"/>
      <c r="BS44" s="27"/>
      <c r="BT44" s="7"/>
      <c r="BU44" s="28"/>
      <c r="BV44" s="27"/>
      <c r="BX44" s="28"/>
      <c r="BY44" s="27"/>
      <c r="BZ44" s="7"/>
      <c r="CA44" s="28"/>
      <c r="CC44" s="27"/>
      <c r="CD44" s="210"/>
      <c r="CE44" s="28"/>
    </row>
    <row r="45" spans="2:153" x14ac:dyDescent="0.25">
      <c r="B45" s="34" t="str">
        <f t="shared" si="45"/>
        <v/>
      </c>
      <c r="C45" s="299">
        <v>4</v>
      </c>
      <c r="D45" s="7" t="str">
        <f t="shared" si="46"/>
        <v/>
      </c>
      <c r="E45" s="299" t="str">
        <f t="shared" si="47"/>
        <v/>
      </c>
      <c r="G45" s="302">
        <v>40</v>
      </c>
      <c r="H45" s="7" t="e">
        <f t="shared" si="43"/>
        <v>#VALUE!</v>
      </c>
      <c r="I45" s="299" t="e">
        <f t="shared" si="44"/>
        <v>#VALUE!</v>
      </c>
      <c r="J45" s="7"/>
      <c r="K45" s="376">
        <v>4</v>
      </c>
      <c r="L45" s="652" t="str">
        <f t="shared" si="48"/>
        <v/>
      </c>
      <c r="M45" s="556"/>
      <c r="O45" s="629"/>
      <c r="P45" s="561"/>
      <c r="Q45" s="30" t="s">
        <v>671</v>
      </c>
      <c r="R45" s="309" t="e">
        <f>R43*R44</f>
        <v>#VALUE!</v>
      </c>
      <c r="S45" s="311" t="s">
        <v>676</v>
      </c>
      <c r="T45" s="313"/>
      <c r="U45" s="309" t="e">
        <f>IF(O41="Exterior Drive Post", (R45/144)-(((GL+GR)*(ML/25.4))/144), R45/144)</f>
        <v>#VALUE!</v>
      </c>
      <c r="V45" s="31" t="s">
        <v>677</v>
      </c>
      <c r="W45" s="29" t="s">
        <v>678</v>
      </c>
      <c r="X45" s="314" t="e">
        <f>X44/12*X43</f>
        <v>#VALUE!</v>
      </c>
      <c r="Y45" s="31" t="s">
        <v>663</v>
      </c>
      <c r="Z45" s="29" t="s">
        <v>678</v>
      </c>
      <c r="AA45" s="315" t="e">
        <f>AA41*AA42</f>
        <v>#VALUE!</v>
      </c>
      <c r="AB45" s="31" t="s">
        <v>663</v>
      </c>
      <c r="AC45" s="29" t="s">
        <v>678</v>
      </c>
      <c r="AD45" s="316" t="e">
        <f>AD41*AD42</f>
        <v>#VALUE!</v>
      </c>
      <c r="AE45" s="31" t="s">
        <v>181</v>
      </c>
      <c r="AF45" s="29" t="s">
        <v>654</v>
      </c>
      <c r="AG45" s="320" t="e">
        <f>IF(O41="Exterior Drive Post", SUM(AG41:AG43)+SDW, SUM(AG41:AG43)+ICW)</f>
        <v>#VALUE!</v>
      </c>
      <c r="AH45" s="31" t="s">
        <v>663</v>
      </c>
      <c r="AI45">
        <v>8</v>
      </c>
      <c r="AJ45" s="29"/>
      <c r="AK45" s="309"/>
      <c r="AL45" s="31"/>
      <c r="AM45" s="29"/>
      <c r="AN45" s="30"/>
      <c r="AO45" s="31"/>
      <c r="AP45" s="29" t="s">
        <v>679</v>
      </c>
      <c r="AQ45" s="324" t="e">
        <f>AQ43*Pult</f>
        <v>#VALUE!</v>
      </c>
      <c r="AR45" s="31" t="s">
        <v>181</v>
      </c>
      <c r="AT45" s="29" t="s">
        <v>662</v>
      </c>
      <c r="AU45" s="339" t="e">
        <f>AU43*AU42</f>
        <v>#VALUE!</v>
      </c>
      <c r="AV45" s="31" t="s">
        <v>181</v>
      </c>
      <c r="AX45" s="629"/>
      <c r="AY45" s="561"/>
      <c r="AZ45" s="30" t="s">
        <v>671</v>
      </c>
      <c r="BA45" s="309" t="e">
        <f>BA43*BA44</f>
        <v>#VALUE!</v>
      </c>
      <c r="BB45" s="311" t="s">
        <v>676</v>
      </c>
      <c r="BC45" s="313"/>
      <c r="BD45" s="309" t="e">
        <f>IF(AX41="Interior Drive Post", (BA45/144)-(((GL+GR)*(ML/25.4))/144), BA45/144)</f>
        <v>#VALUE!</v>
      </c>
      <c r="BE45" s="31" t="s">
        <v>677</v>
      </c>
      <c r="BF45" s="29" t="s">
        <v>678</v>
      </c>
      <c r="BG45" s="314" t="e">
        <f>BG44/12*BG43</f>
        <v>#VALUE!</v>
      </c>
      <c r="BH45" s="31" t="s">
        <v>663</v>
      </c>
      <c r="BI45" s="29" t="s">
        <v>678</v>
      </c>
      <c r="BJ45" s="315" t="e">
        <f>BJ41*BJ42</f>
        <v>#VALUE!</v>
      </c>
      <c r="BK45" s="31" t="s">
        <v>663</v>
      </c>
      <c r="BL45" s="29" t="s">
        <v>678</v>
      </c>
      <c r="BM45" s="316" t="e">
        <f>BM41*BM42</f>
        <v>#VALUE!</v>
      </c>
      <c r="BN45" s="31" t="s">
        <v>181</v>
      </c>
      <c r="BO45" s="29" t="s">
        <v>654</v>
      </c>
      <c r="BP45" s="320" t="e">
        <f>IF(AX41="Interior Drive Post", SUM(BP41:BP43)+SDW, SUM(BP41:BP43)+ICW)</f>
        <v>#VALUE!</v>
      </c>
      <c r="BQ45" s="31" t="s">
        <v>663</v>
      </c>
      <c r="BR45">
        <v>8</v>
      </c>
      <c r="BS45" s="29"/>
      <c r="BT45" s="309"/>
      <c r="BU45" s="31"/>
      <c r="BV45" s="29"/>
      <c r="BW45" s="30"/>
      <c r="BX45" s="31"/>
      <c r="BY45" s="29" t="s">
        <v>679</v>
      </c>
      <c r="BZ45" s="324" t="e">
        <f>BZ43*Pult</f>
        <v>#VALUE!</v>
      </c>
      <c r="CA45" s="31" t="s">
        <v>181</v>
      </c>
      <c r="CC45" s="29" t="s">
        <v>662</v>
      </c>
      <c r="CD45" s="339" t="e">
        <f>CD43*CD42</f>
        <v>#VALUE!</v>
      </c>
      <c r="CE45" s="31" t="s">
        <v>181</v>
      </c>
    </row>
    <row r="46" spans="2:153" x14ac:dyDescent="0.25">
      <c r="B46" s="34" t="str">
        <f t="shared" si="45"/>
        <v/>
      </c>
      <c r="C46" s="299">
        <v>5</v>
      </c>
      <c r="D46" s="7" t="str">
        <f t="shared" si="46"/>
        <v/>
      </c>
      <c r="E46" s="299" t="str">
        <f t="shared" si="47"/>
        <v/>
      </c>
      <c r="G46" s="302">
        <v>41</v>
      </c>
      <c r="H46" s="7" t="e">
        <f t="shared" si="43"/>
        <v>#VALUE!</v>
      </c>
      <c r="I46" s="299" t="e">
        <f t="shared" si="44"/>
        <v>#VALUE!</v>
      </c>
      <c r="J46" s="7"/>
      <c r="K46" s="376">
        <v>5</v>
      </c>
      <c r="L46" s="652" t="str">
        <f t="shared" si="48"/>
        <v/>
      </c>
      <c r="M46" s="556"/>
      <c r="O46" s="653" t="str">
        <f>D14</f>
        <v/>
      </c>
      <c r="P46" s="558"/>
      <c r="Q46" s="25" t="s">
        <v>656</v>
      </c>
      <c r="R46" s="297" t="str">
        <f>L14</f>
        <v/>
      </c>
      <c r="S46" s="310" t="s">
        <v>657</v>
      </c>
      <c r="T46" s="312"/>
      <c r="U46" s="297" t="e">
        <f>R46/12</f>
        <v>#VALUE!</v>
      </c>
      <c r="V46" s="26" t="s">
        <v>658</v>
      </c>
      <c r="W46" s="24" t="s">
        <v>659</v>
      </c>
      <c r="X46" s="297" t="e">
        <f>VL</f>
        <v>#VALUE!</v>
      </c>
      <c r="Y46" s="26" t="s">
        <v>657</v>
      </c>
      <c r="Z46" s="24" t="s">
        <v>660</v>
      </c>
      <c r="AA46" s="297">
        <f>VLOOKUP(TS,'List Data'!$A$15:$B$18, 2, FALSE)</f>
        <v>7.8955000000000002</v>
      </c>
      <c r="AB46" s="26" t="s">
        <v>661</v>
      </c>
      <c r="AC46" s="24" t="s">
        <v>662</v>
      </c>
      <c r="AD46" s="297" t="e">
        <f>PL</f>
        <v>#VALUE!</v>
      </c>
      <c r="AE46" s="26" t="s">
        <v>65</v>
      </c>
      <c r="AF46" s="24" t="s">
        <v>651</v>
      </c>
      <c r="AG46" s="318" t="e">
        <f>X50</f>
        <v>#VALUE!</v>
      </c>
      <c r="AH46" s="26" t="s">
        <v>663</v>
      </c>
      <c r="AJ46" s="24" t="s">
        <v>664</v>
      </c>
      <c r="AK46" s="297" t="e">
        <f>ROUND(MT/12,5)</f>
        <v>#VALUE!</v>
      </c>
      <c r="AL46" s="26" t="s">
        <v>658</v>
      </c>
      <c r="AM46" s="24" t="s">
        <v>370</v>
      </c>
      <c r="AN46" s="297">
        <f>IF(OR(TS="5x4, .126", TS="5x4, .134"), 5/12,4/12)</f>
        <v>0.41666666666666669</v>
      </c>
      <c r="AO46" s="26" t="s">
        <v>658</v>
      </c>
      <c r="AP46" s="24" t="s">
        <v>653</v>
      </c>
      <c r="AQ46" s="322" t="e">
        <f>AK48</f>
        <v>#VALUE!</v>
      </c>
      <c r="AR46" s="26" t="s">
        <v>665</v>
      </c>
      <c r="AT46" s="24" t="s">
        <v>666</v>
      </c>
      <c r="AU46" s="338" t="str">
        <f>Theta</f>
        <v>XX</v>
      </c>
      <c r="AV46" s="26" t="s">
        <v>667</v>
      </c>
      <c r="AX46" s="653" t="str">
        <f>D50</f>
        <v/>
      </c>
      <c r="AY46" s="558"/>
      <c r="AZ46" s="25" t="s">
        <v>656</v>
      </c>
      <c r="BA46" s="297" t="str">
        <f>L50</f>
        <v/>
      </c>
      <c r="BB46" s="310" t="s">
        <v>657</v>
      </c>
      <c r="BC46" s="312"/>
      <c r="BD46" s="297" t="e">
        <f>BA46/12</f>
        <v>#VALUE!</v>
      </c>
      <c r="BE46" s="26" t="s">
        <v>658</v>
      </c>
      <c r="BF46" s="24" t="s">
        <v>659</v>
      </c>
      <c r="BG46" s="297" t="e">
        <f>VL</f>
        <v>#VALUE!</v>
      </c>
      <c r="BH46" s="26" t="s">
        <v>657</v>
      </c>
      <c r="BI46" s="24" t="s">
        <v>660</v>
      </c>
      <c r="BJ46" s="297">
        <f>VLOOKUP(TS,'List Data'!$A$15:$B$18, 2, FALSE)</f>
        <v>7.8955000000000002</v>
      </c>
      <c r="BK46" s="26" t="s">
        <v>661</v>
      </c>
      <c r="BL46" s="24" t="s">
        <v>662</v>
      </c>
      <c r="BM46" s="297" t="e">
        <f>PL</f>
        <v>#VALUE!</v>
      </c>
      <c r="BN46" s="26" t="s">
        <v>65</v>
      </c>
      <c r="BO46" s="24" t="s">
        <v>651</v>
      </c>
      <c r="BP46" s="318" t="e">
        <f>BG50</f>
        <v>#VALUE!</v>
      </c>
      <c r="BQ46" s="26" t="s">
        <v>663</v>
      </c>
      <c r="BS46" s="24" t="s">
        <v>664</v>
      </c>
      <c r="BT46" s="297" t="e">
        <f>ROUND(MT/12,5)</f>
        <v>#VALUE!</v>
      </c>
      <c r="BU46" s="26" t="s">
        <v>658</v>
      </c>
      <c r="BV46" s="24" t="s">
        <v>370</v>
      </c>
      <c r="BW46" s="297">
        <f>IF(OR(TS="5x4, .126", TS="5x4, .134"), 5/12,4/12)</f>
        <v>0.41666666666666669</v>
      </c>
      <c r="BX46" s="26" t="s">
        <v>658</v>
      </c>
      <c r="BY46" s="24" t="s">
        <v>653</v>
      </c>
      <c r="BZ46" s="322" t="e">
        <f>BT48</f>
        <v>#VALUE!</v>
      </c>
      <c r="CA46" s="26" t="s">
        <v>665</v>
      </c>
      <c r="CC46" s="24" t="s">
        <v>666</v>
      </c>
      <c r="CD46" s="338" t="str">
        <f>Theta</f>
        <v>XX</v>
      </c>
      <c r="CE46" s="26" t="s">
        <v>667</v>
      </c>
    </row>
    <row r="47" spans="2:153" x14ac:dyDescent="0.25">
      <c r="B47" s="34" t="str">
        <f t="shared" si="45"/>
        <v/>
      </c>
      <c r="C47" s="299">
        <v>6</v>
      </c>
      <c r="D47" s="7" t="str">
        <f t="shared" si="46"/>
        <v/>
      </c>
      <c r="E47" s="299" t="str">
        <f t="shared" si="47"/>
        <v/>
      </c>
      <c r="G47" s="302">
        <v>42</v>
      </c>
      <c r="H47" s="7" t="e">
        <f t="shared" si="43"/>
        <v>#VALUE!</v>
      </c>
      <c r="I47" s="299" t="e">
        <f t="shared" si="44"/>
        <v>#VALUE!</v>
      </c>
      <c r="J47" s="7"/>
      <c r="K47" s="376">
        <v>6</v>
      </c>
      <c r="L47" s="652" t="str">
        <f t="shared" si="48"/>
        <v/>
      </c>
      <c r="M47" s="556"/>
      <c r="O47" s="628"/>
      <c r="P47" s="559"/>
      <c r="Q47" t="s">
        <v>668</v>
      </c>
      <c r="R47" s="7" t="str">
        <f>L15</f>
        <v/>
      </c>
      <c r="S47" s="77" t="s">
        <v>657</v>
      </c>
      <c r="T47" s="43"/>
      <c r="U47" s="7" t="e">
        <f>R47/12</f>
        <v>#VALUE!</v>
      </c>
      <c r="V47" s="28" t="s">
        <v>658</v>
      </c>
      <c r="W47" s="27" t="s">
        <v>669</v>
      </c>
      <c r="X47" s="7">
        <f>COUNTIFS($I$6:$I$105, "&lt;="&amp;R46, $I$6:$I$105, "&gt;="&amp;R47)</f>
        <v>0</v>
      </c>
      <c r="Y47" s="28" t="s">
        <v>670</v>
      </c>
      <c r="Z47" s="27" t="s">
        <v>659</v>
      </c>
      <c r="AA47" s="7" t="e">
        <f>IF(O46="Exterior Drive Post", (U48-(TG/12)), U48)</f>
        <v>#VALUE!</v>
      </c>
      <c r="AB47" s="28" t="s">
        <v>658</v>
      </c>
      <c r="AC47" s="27" t="s">
        <v>671</v>
      </c>
      <c r="AD47" s="7" t="e">
        <f>U50</f>
        <v>#VALUE!</v>
      </c>
      <c r="AE47" s="28" t="s">
        <v>665</v>
      </c>
      <c r="AF47" s="27" t="s">
        <v>672</v>
      </c>
      <c r="AG47" s="317" t="e">
        <f>AA50</f>
        <v>#VALUE!</v>
      </c>
      <c r="AH47" s="28" t="s">
        <v>663</v>
      </c>
      <c r="AJ47" s="27" t="s">
        <v>659</v>
      </c>
      <c r="AK47" s="7" t="e">
        <f>IF(O46= "Exterior Drive Post", (U48)-((GL+GR)/12), U48)</f>
        <v>#VALUE!</v>
      </c>
      <c r="AL47" s="28" t="s">
        <v>658</v>
      </c>
      <c r="AM47" s="27" t="s">
        <v>659</v>
      </c>
      <c r="AN47" s="7" t="e">
        <f>AA47</f>
        <v>#VALUE!</v>
      </c>
      <c r="AO47" s="28" t="s">
        <v>658</v>
      </c>
      <c r="AP47" s="27" t="s">
        <v>672</v>
      </c>
      <c r="AQ47" s="323" t="e">
        <f>AN48</f>
        <v>#VALUE!</v>
      </c>
      <c r="AR47" s="28" t="s">
        <v>665</v>
      </c>
      <c r="AT47" s="27" t="s">
        <v>673</v>
      </c>
      <c r="AU47" s="210" t="e">
        <f>RSL*COS(Radians)</f>
        <v>#VALUE!</v>
      </c>
      <c r="AV47" s="28" t="s">
        <v>65</v>
      </c>
      <c r="AX47" s="628"/>
      <c r="AY47" s="559"/>
      <c r="AZ47" t="s">
        <v>668</v>
      </c>
      <c r="BA47" s="7" t="str">
        <f>L51</f>
        <v/>
      </c>
      <c r="BB47" s="77" t="s">
        <v>657</v>
      </c>
      <c r="BC47" s="43"/>
      <c r="BD47" s="7" t="e">
        <f>BA47/12</f>
        <v>#VALUE!</v>
      </c>
      <c r="BE47" s="28" t="s">
        <v>658</v>
      </c>
      <c r="BF47" s="27" t="s">
        <v>669</v>
      </c>
      <c r="BG47" s="7">
        <f>COUNTIFS($I$6:$I$105, "&lt;="&amp;BA46, $I$6:$I$105, "&gt;="&amp;BA47)</f>
        <v>0</v>
      </c>
      <c r="BH47" s="28" t="s">
        <v>670</v>
      </c>
      <c r="BI47" s="27" t="s">
        <v>659</v>
      </c>
      <c r="BJ47" s="7" t="e">
        <f>IF(AX46="Interior Drive Post", (BD48-(TG/12)), BD48)</f>
        <v>#VALUE!</v>
      </c>
      <c r="BK47" s="28" t="s">
        <v>658</v>
      </c>
      <c r="BL47" s="27" t="s">
        <v>671</v>
      </c>
      <c r="BM47" s="7" t="e">
        <f>BD50</f>
        <v>#VALUE!</v>
      </c>
      <c r="BN47" s="28" t="s">
        <v>665</v>
      </c>
      <c r="BO47" s="27" t="s">
        <v>672</v>
      </c>
      <c r="BP47" s="317" t="e">
        <f>BJ50</f>
        <v>#VALUE!</v>
      </c>
      <c r="BQ47" s="28" t="s">
        <v>663</v>
      </c>
      <c r="BS47" s="27" t="s">
        <v>659</v>
      </c>
      <c r="BT47" s="7" t="e">
        <f>IF(AX46= "Interior Drive Post", (BD48)-((GL+GR)/12), BD48)</f>
        <v>#VALUE!</v>
      </c>
      <c r="BU47" s="28" t="s">
        <v>658</v>
      </c>
      <c r="BV47" s="27" t="s">
        <v>659</v>
      </c>
      <c r="BW47" s="7" t="e">
        <f>BJ47</f>
        <v>#VALUE!</v>
      </c>
      <c r="BX47" s="28" t="s">
        <v>658</v>
      </c>
      <c r="BY47" s="27" t="s">
        <v>672</v>
      </c>
      <c r="BZ47" s="323" t="e">
        <f>BW48</f>
        <v>#VALUE!</v>
      </c>
      <c r="CA47" s="28" t="s">
        <v>665</v>
      </c>
      <c r="CC47" s="27" t="s">
        <v>673</v>
      </c>
      <c r="CD47" s="210" t="e">
        <f>RSL*COS(Radians)</f>
        <v>#VALUE!</v>
      </c>
      <c r="CE47" s="28" t="s">
        <v>65</v>
      </c>
    </row>
    <row r="48" spans="2:153" x14ac:dyDescent="0.25">
      <c r="B48" s="34" t="str">
        <f t="shared" si="45"/>
        <v/>
      </c>
      <c r="C48" s="299">
        <v>7</v>
      </c>
      <c r="D48" s="7" t="str">
        <f t="shared" si="46"/>
        <v/>
      </c>
      <c r="E48" s="299" t="str">
        <f t="shared" si="47"/>
        <v/>
      </c>
      <c r="G48" s="302">
        <v>43</v>
      </c>
      <c r="H48" s="7" t="e">
        <f t="shared" si="43"/>
        <v>#VALUE!</v>
      </c>
      <c r="I48" s="299" t="e">
        <f t="shared" si="44"/>
        <v>#VALUE!</v>
      </c>
      <c r="J48" s="7"/>
      <c r="K48" s="376">
        <v>7</v>
      </c>
      <c r="L48" s="652" t="str">
        <f t="shared" si="48"/>
        <v/>
      </c>
      <c r="M48" s="556"/>
      <c r="O48" s="628"/>
      <c r="P48" s="559"/>
      <c r="Q48" t="s">
        <v>659</v>
      </c>
      <c r="R48" s="7" t="e">
        <f>R46-R47</f>
        <v>#VALUE!</v>
      </c>
      <c r="S48" s="77" t="s">
        <v>657</v>
      </c>
      <c r="T48" s="43"/>
      <c r="U48" s="7" t="e">
        <f>R48/12</f>
        <v>#VALUE!</v>
      </c>
      <c r="V48" s="28" t="s">
        <v>658</v>
      </c>
      <c r="W48" s="27" t="s">
        <v>674</v>
      </c>
      <c r="X48" s="7" t="e">
        <f>X47*X46</f>
        <v>#VALUE!</v>
      </c>
      <c r="Y48" s="28" t="s">
        <v>657</v>
      </c>
      <c r="Z48" s="27"/>
      <c r="AA48" s="7"/>
      <c r="AB48" s="28"/>
      <c r="AC48" s="27"/>
      <c r="AD48" s="7"/>
      <c r="AE48" s="28"/>
      <c r="AF48" s="27" t="s">
        <v>653</v>
      </c>
      <c r="AG48" s="319" t="e">
        <f>AD50</f>
        <v>#VALUE!</v>
      </c>
      <c r="AH48" s="28" t="s">
        <v>663</v>
      </c>
      <c r="AJ48" s="27" t="s">
        <v>671</v>
      </c>
      <c r="AK48" s="321" t="e">
        <f>AK46*AK47</f>
        <v>#VALUE!</v>
      </c>
      <c r="AL48" s="28" t="s">
        <v>665</v>
      </c>
      <c r="AM48" s="27" t="s">
        <v>671</v>
      </c>
      <c r="AN48" s="323" t="e">
        <f>AN47*AN46</f>
        <v>#VALUE!</v>
      </c>
      <c r="AO48" s="28" t="s">
        <v>665</v>
      </c>
      <c r="AP48" s="27" t="s">
        <v>654</v>
      </c>
      <c r="AQ48" s="7" t="e">
        <f>SUM(AQ46:AQ47)</f>
        <v>#VALUE!</v>
      </c>
      <c r="AR48" s="28" t="s">
        <v>665</v>
      </c>
      <c r="AT48" s="27" t="s">
        <v>671</v>
      </c>
      <c r="AU48" s="210" t="e">
        <f>U50</f>
        <v>#VALUE!</v>
      </c>
      <c r="AV48" s="28" t="s">
        <v>687</v>
      </c>
      <c r="AX48" s="628"/>
      <c r="AY48" s="559"/>
      <c r="AZ48" t="s">
        <v>659</v>
      </c>
      <c r="BA48" s="7" t="e">
        <f>BA46-BA47</f>
        <v>#VALUE!</v>
      </c>
      <c r="BB48" s="77" t="s">
        <v>657</v>
      </c>
      <c r="BC48" s="43"/>
      <c r="BD48" s="7" t="e">
        <f>BA48/12</f>
        <v>#VALUE!</v>
      </c>
      <c r="BE48" s="28" t="s">
        <v>658</v>
      </c>
      <c r="BF48" s="27" t="s">
        <v>674</v>
      </c>
      <c r="BG48" s="7" t="e">
        <f>BG47*BG46</f>
        <v>#VALUE!</v>
      </c>
      <c r="BH48" s="28" t="s">
        <v>657</v>
      </c>
      <c r="BI48" s="27"/>
      <c r="BJ48" s="7"/>
      <c r="BK48" s="28"/>
      <c r="BL48" s="27"/>
      <c r="BM48" s="7"/>
      <c r="BN48" s="28"/>
      <c r="BO48" s="27" t="s">
        <v>653</v>
      </c>
      <c r="BP48" s="319" t="e">
        <f>BM50</f>
        <v>#VALUE!</v>
      </c>
      <c r="BQ48" s="28" t="s">
        <v>663</v>
      </c>
      <c r="BS48" s="27" t="s">
        <v>671</v>
      </c>
      <c r="BT48" s="321" t="e">
        <f>BT46*BT47</f>
        <v>#VALUE!</v>
      </c>
      <c r="BU48" s="28" t="s">
        <v>665</v>
      </c>
      <c r="BV48" s="27" t="s">
        <v>671</v>
      </c>
      <c r="BW48" s="323" t="e">
        <f>BW47*BW46</f>
        <v>#VALUE!</v>
      </c>
      <c r="BX48" s="28" t="s">
        <v>665</v>
      </c>
      <c r="BY48" s="27" t="s">
        <v>654</v>
      </c>
      <c r="BZ48" s="7" t="e">
        <f>SUM(BZ46:BZ47)</f>
        <v>#VALUE!</v>
      </c>
      <c r="CA48" s="28" t="s">
        <v>665</v>
      </c>
      <c r="CC48" s="27" t="s">
        <v>671</v>
      </c>
      <c r="CD48" s="210" t="e">
        <f>BD50</f>
        <v>#VALUE!</v>
      </c>
      <c r="CE48" s="28" t="s">
        <v>665</v>
      </c>
    </row>
    <row r="49" spans="2:83" x14ac:dyDescent="0.25">
      <c r="B49" s="34" t="str">
        <f t="shared" si="45"/>
        <v/>
      </c>
      <c r="C49" s="299">
        <v>8</v>
      </c>
      <c r="D49" s="7" t="str">
        <f t="shared" si="46"/>
        <v/>
      </c>
      <c r="E49" s="299" t="str">
        <f t="shared" si="47"/>
        <v/>
      </c>
      <c r="G49" s="302">
        <v>44</v>
      </c>
      <c r="H49" s="7" t="e">
        <f t="shared" si="43"/>
        <v>#VALUE!</v>
      </c>
      <c r="I49" s="299" t="e">
        <f t="shared" si="44"/>
        <v>#VALUE!</v>
      </c>
      <c r="J49" s="7"/>
      <c r="K49" s="376">
        <v>8</v>
      </c>
      <c r="L49" s="652" t="str">
        <f t="shared" si="48"/>
        <v/>
      </c>
      <c r="M49" s="556"/>
      <c r="O49" s="628"/>
      <c r="P49" s="559"/>
      <c r="Q49" t="s">
        <v>675</v>
      </c>
      <c r="R49" s="7" t="e">
        <f>ROUND(ML, 3)</f>
        <v>#VALUE!</v>
      </c>
      <c r="S49" s="77" t="s">
        <v>657</v>
      </c>
      <c r="T49" s="43"/>
      <c r="U49" s="7" t="e">
        <f>R49/12</f>
        <v>#VALUE!</v>
      </c>
      <c r="V49" s="28" t="s">
        <v>658</v>
      </c>
      <c r="W49" s="27" t="s">
        <v>660</v>
      </c>
      <c r="X49" s="7">
        <f>VLOOKUP(VS,'List Data'!$A$8:$B$12, 2, FALSE)</f>
        <v>2.1419999999999999</v>
      </c>
      <c r="Y49" s="28" t="s">
        <v>661</v>
      </c>
      <c r="Z49" s="27"/>
      <c r="AA49" s="7"/>
      <c r="AB49" s="28"/>
      <c r="AC49" s="27"/>
      <c r="AD49" s="7"/>
      <c r="AE49" s="28"/>
      <c r="AF49" s="27"/>
      <c r="AH49" s="28"/>
      <c r="AJ49" s="27"/>
      <c r="AK49" s="7"/>
      <c r="AL49" s="28"/>
      <c r="AM49" s="27"/>
      <c r="AO49" s="28"/>
      <c r="AP49" s="27"/>
      <c r="AQ49" s="7"/>
      <c r="AR49" s="28"/>
      <c r="AT49" s="27"/>
      <c r="AU49" s="210"/>
      <c r="AV49" s="28"/>
      <c r="AX49" s="628"/>
      <c r="AY49" s="559"/>
      <c r="AZ49" t="s">
        <v>675</v>
      </c>
      <c r="BA49" s="7" t="e">
        <f>ROUND(ML, 3)</f>
        <v>#VALUE!</v>
      </c>
      <c r="BB49" s="77" t="s">
        <v>657</v>
      </c>
      <c r="BC49" s="43"/>
      <c r="BD49" s="7" t="e">
        <f>BA49/12</f>
        <v>#VALUE!</v>
      </c>
      <c r="BE49" s="28" t="s">
        <v>658</v>
      </c>
      <c r="BF49" s="27" t="s">
        <v>660</v>
      </c>
      <c r="BG49" s="7">
        <f>VLOOKUP(VS,'List Data'!$A$8:$B$12, 2, FALSE)</f>
        <v>2.1419999999999999</v>
      </c>
      <c r="BH49" s="28" t="s">
        <v>661</v>
      </c>
      <c r="BI49" s="27"/>
      <c r="BJ49" s="7"/>
      <c r="BK49" s="28"/>
      <c r="BL49" s="27"/>
      <c r="BM49" s="7"/>
      <c r="BN49" s="28"/>
      <c r="BO49" s="27"/>
      <c r="BQ49" s="28"/>
      <c r="BS49" s="27"/>
      <c r="BT49" s="7"/>
      <c r="BU49" s="28"/>
      <c r="BV49" s="27"/>
      <c r="BX49" s="28"/>
      <c r="BY49" s="27"/>
      <c r="BZ49" s="7"/>
      <c r="CA49" s="28"/>
      <c r="CC49" s="27"/>
      <c r="CD49" s="210"/>
      <c r="CE49" s="28"/>
    </row>
    <row r="50" spans="2:83" x14ac:dyDescent="0.25">
      <c r="B50" s="34" t="str">
        <f t="shared" si="45"/>
        <v/>
      </c>
      <c r="C50" s="299">
        <v>9</v>
      </c>
      <c r="D50" s="7" t="str">
        <f t="shared" si="46"/>
        <v/>
      </c>
      <c r="E50" s="299" t="str">
        <f t="shared" si="47"/>
        <v/>
      </c>
      <c r="G50" s="302">
        <v>45</v>
      </c>
      <c r="H50" s="7" t="e">
        <f t="shared" si="43"/>
        <v>#VALUE!</v>
      </c>
      <c r="I50" s="299" t="e">
        <f t="shared" si="44"/>
        <v>#VALUE!</v>
      </c>
      <c r="J50" s="7"/>
      <c r="K50" s="376">
        <v>9</v>
      </c>
      <c r="L50" s="652" t="str">
        <f t="shared" si="48"/>
        <v/>
      </c>
      <c r="M50" s="556"/>
      <c r="O50" s="629"/>
      <c r="P50" s="561"/>
      <c r="Q50" s="30" t="s">
        <v>671</v>
      </c>
      <c r="R50" s="309" t="e">
        <f>R48*R49</f>
        <v>#VALUE!</v>
      </c>
      <c r="S50" s="311" t="s">
        <v>676</v>
      </c>
      <c r="T50" s="313"/>
      <c r="U50" s="309" t="e">
        <f>IF(O46="Exterior Drive Post", (R50/144)-(((GL+GR)*(ML/25.4))/144), R50/144)</f>
        <v>#VALUE!</v>
      </c>
      <c r="V50" s="31" t="s">
        <v>677</v>
      </c>
      <c r="W50" s="29" t="s">
        <v>678</v>
      </c>
      <c r="X50" s="314" t="e">
        <f>X49/12*X48</f>
        <v>#VALUE!</v>
      </c>
      <c r="Y50" s="31" t="s">
        <v>663</v>
      </c>
      <c r="Z50" s="29" t="s">
        <v>678</v>
      </c>
      <c r="AA50" s="315" t="e">
        <f>AA46*AA47</f>
        <v>#VALUE!</v>
      </c>
      <c r="AB50" s="31" t="s">
        <v>663</v>
      </c>
      <c r="AC50" s="29" t="s">
        <v>678</v>
      </c>
      <c r="AD50" s="316" t="e">
        <f>AD46*AD47</f>
        <v>#VALUE!</v>
      </c>
      <c r="AE50" s="31" t="s">
        <v>181</v>
      </c>
      <c r="AF50" s="29" t="s">
        <v>654</v>
      </c>
      <c r="AG50" s="320" t="e">
        <f>IF(O46="Exterior Drive Post", SUM(AG46:AG48)+SDW, SUM(AG46:AG48)+ICW)</f>
        <v>#VALUE!</v>
      </c>
      <c r="AH50" s="31" t="s">
        <v>663</v>
      </c>
      <c r="AI50">
        <v>9</v>
      </c>
      <c r="AJ50" s="29"/>
      <c r="AK50" s="309"/>
      <c r="AL50" s="31"/>
      <c r="AM50" s="29"/>
      <c r="AN50" s="30"/>
      <c r="AO50" s="31"/>
      <c r="AP50" s="29" t="s">
        <v>679</v>
      </c>
      <c r="AQ50" s="324" t="e">
        <f>AQ48*Pult</f>
        <v>#VALUE!</v>
      </c>
      <c r="AR50" s="31" t="s">
        <v>181</v>
      </c>
      <c r="AT50" s="29" t="s">
        <v>662</v>
      </c>
      <c r="AU50" s="339" t="e">
        <f>AU48*AU47</f>
        <v>#VALUE!</v>
      </c>
      <c r="AV50" s="31" t="s">
        <v>181</v>
      </c>
      <c r="AX50" s="629"/>
      <c r="AY50" s="561"/>
      <c r="AZ50" s="30" t="s">
        <v>671</v>
      </c>
      <c r="BA50" s="309" t="e">
        <f>BA48*BA49</f>
        <v>#VALUE!</v>
      </c>
      <c r="BB50" s="311" t="s">
        <v>676</v>
      </c>
      <c r="BC50" s="313"/>
      <c r="BD50" s="309" t="e">
        <f>IF(AX46="Interior Drive Post", (BA50/144)-(((GL+GR)*(ML/25.4))/144), BA50/144)</f>
        <v>#VALUE!</v>
      </c>
      <c r="BE50" s="31" t="s">
        <v>677</v>
      </c>
      <c r="BF50" s="29" t="s">
        <v>678</v>
      </c>
      <c r="BG50" s="314" t="e">
        <f>BG49/12*BG48</f>
        <v>#VALUE!</v>
      </c>
      <c r="BH50" s="31" t="s">
        <v>663</v>
      </c>
      <c r="BI50" s="29" t="s">
        <v>678</v>
      </c>
      <c r="BJ50" s="315" t="e">
        <f>BJ46*BJ47</f>
        <v>#VALUE!</v>
      </c>
      <c r="BK50" s="31" t="s">
        <v>663</v>
      </c>
      <c r="BL50" s="29" t="s">
        <v>678</v>
      </c>
      <c r="BM50" s="316" t="e">
        <f>BM46*BM47</f>
        <v>#VALUE!</v>
      </c>
      <c r="BN50" s="31" t="s">
        <v>181</v>
      </c>
      <c r="BO50" s="29" t="s">
        <v>654</v>
      </c>
      <c r="BP50" s="320" t="e">
        <f>IF(AX46="Interior Drive Post", SUM(BP46:BP48)+SDW, SUM(BP46:BP48)+ICW)</f>
        <v>#VALUE!</v>
      </c>
      <c r="BQ50" s="31" t="s">
        <v>663</v>
      </c>
      <c r="BR50">
        <v>9</v>
      </c>
      <c r="BS50" s="29"/>
      <c r="BT50" s="309"/>
      <c r="BU50" s="31"/>
      <c r="BV50" s="29"/>
      <c r="BW50" s="30"/>
      <c r="BX50" s="31"/>
      <c r="BY50" s="29" t="s">
        <v>679</v>
      </c>
      <c r="BZ50" s="324" t="e">
        <f>BZ48*Pult</f>
        <v>#VALUE!</v>
      </c>
      <c r="CA50" s="31" t="s">
        <v>181</v>
      </c>
      <c r="CC50" s="29" t="s">
        <v>662</v>
      </c>
      <c r="CD50" s="339" t="e">
        <f>CD48*CD47</f>
        <v>#VALUE!</v>
      </c>
      <c r="CE50" s="31" t="s">
        <v>181</v>
      </c>
    </row>
    <row r="51" spans="2:83" x14ac:dyDescent="0.25">
      <c r="B51" s="34" t="str">
        <f t="shared" si="45"/>
        <v/>
      </c>
      <c r="C51" s="299">
        <v>10</v>
      </c>
      <c r="D51" s="7" t="str">
        <f t="shared" si="46"/>
        <v/>
      </c>
      <c r="E51" s="299" t="str">
        <f t="shared" si="47"/>
        <v/>
      </c>
      <c r="G51" s="302">
        <v>46</v>
      </c>
      <c r="H51" s="7" t="e">
        <f t="shared" si="43"/>
        <v>#VALUE!</v>
      </c>
      <c r="I51" s="299" t="e">
        <f t="shared" si="44"/>
        <v>#VALUE!</v>
      </c>
      <c r="J51" s="7"/>
      <c r="K51" s="376">
        <v>10</v>
      </c>
      <c r="L51" s="652" t="str">
        <f t="shared" si="48"/>
        <v/>
      </c>
      <c r="M51" s="556"/>
      <c r="O51" s="653" t="str">
        <f>D15</f>
        <v/>
      </c>
      <c r="P51" s="558"/>
      <c r="Q51" s="25" t="s">
        <v>656</v>
      </c>
      <c r="R51" s="297" t="str">
        <f>L15</f>
        <v/>
      </c>
      <c r="S51" s="310" t="s">
        <v>657</v>
      </c>
      <c r="T51" s="312"/>
      <c r="U51" s="297" t="e">
        <f>R51/12</f>
        <v>#VALUE!</v>
      </c>
      <c r="V51" s="26" t="s">
        <v>658</v>
      </c>
      <c r="W51" s="24" t="s">
        <v>659</v>
      </c>
      <c r="X51" s="297" t="e">
        <f>VL</f>
        <v>#VALUE!</v>
      </c>
      <c r="Y51" s="26" t="s">
        <v>657</v>
      </c>
      <c r="Z51" s="24" t="s">
        <v>660</v>
      </c>
      <c r="AA51" s="297">
        <f>VLOOKUP(TS,'List Data'!$A$15:$B$18, 2, FALSE)</f>
        <v>7.8955000000000002</v>
      </c>
      <c r="AB51" s="26" t="s">
        <v>661</v>
      </c>
      <c r="AC51" s="24" t="s">
        <v>662</v>
      </c>
      <c r="AD51" s="297" t="e">
        <f>PL</f>
        <v>#VALUE!</v>
      </c>
      <c r="AE51" s="26" t="s">
        <v>65</v>
      </c>
      <c r="AF51" s="24" t="s">
        <v>651</v>
      </c>
      <c r="AG51" s="318" t="e">
        <f>X55</f>
        <v>#VALUE!</v>
      </c>
      <c r="AH51" s="26" t="s">
        <v>663</v>
      </c>
      <c r="AJ51" s="24" t="s">
        <v>664</v>
      </c>
      <c r="AK51" s="297" t="e">
        <f>ROUND(MT/12,5)</f>
        <v>#VALUE!</v>
      </c>
      <c r="AL51" s="26" t="s">
        <v>658</v>
      </c>
      <c r="AM51" s="24" t="s">
        <v>370</v>
      </c>
      <c r="AN51" s="297">
        <f>IF(OR(TS="5x4, .126", TS="5x4, .134"), 5/12,4/12)</f>
        <v>0.41666666666666669</v>
      </c>
      <c r="AO51" s="26" t="s">
        <v>658</v>
      </c>
      <c r="AP51" s="24" t="s">
        <v>653</v>
      </c>
      <c r="AQ51" s="322" t="e">
        <f>AK53</f>
        <v>#VALUE!</v>
      </c>
      <c r="AR51" s="26" t="s">
        <v>665</v>
      </c>
      <c r="AT51" s="24" t="s">
        <v>666</v>
      </c>
      <c r="AU51" s="338" t="str">
        <f>Theta</f>
        <v>XX</v>
      </c>
      <c r="AV51" s="26" t="s">
        <v>667</v>
      </c>
      <c r="AX51" s="653" t="str">
        <f>D51</f>
        <v/>
      </c>
      <c r="AY51" s="558"/>
      <c r="AZ51" s="25" t="s">
        <v>656</v>
      </c>
      <c r="BA51" s="297" t="str">
        <f>L51</f>
        <v/>
      </c>
      <c r="BB51" s="310" t="s">
        <v>657</v>
      </c>
      <c r="BC51" s="312"/>
      <c r="BD51" s="297" t="e">
        <f>BA51/12</f>
        <v>#VALUE!</v>
      </c>
      <c r="BE51" s="26" t="s">
        <v>658</v>
      </c>
      <c r="BF51" s="24" t="s">
        <v>659</v>
      </c>
      <c r="BG51" s="297" t="e">
        <f>VL</f>
        <v>#VALUE!</v>
      </c>
      <c r="BH51" s="26" t="s">
        <v>657</v>
      </c>
      <c r="BI51" s="24" t="s">
        <v>660</v>
      </c>
      <c r="BJ51" s="297">
        <f>VLOOKUP(TS,'List Data'!$A$15:$B$18, 2, FALSE)</f>
        <v>7.8955000000000002</v>
      </c>
      <c r="BK51" s="26" t="s">
        <v>661</v>
      </c>
      <c r="BL51" s="24" t="s">
        <v>662</v>
      </c>
      <c r="BM51" s="297" t="e">
        <f>PL</f>
        <v>#VALUE!</v>
      </c>
      <c r="BN51" s="26" t="s">
        <v>65</v>
      </c>
      <c r="BO51" s="24" t="s">
        <v>651</v>
      </c>
      <c r="BP51" s="318" t="e">
        <f>BG55</f>
        <v>#VALUE!</v>
      </c>
      <c r="BQ51" s="26" t="s">
        <v>663</v>
      </c>
      <c r="BS51" s="24" t="s">
        <v>664</v>
      </c>
      <c r="BT51" s="297" t="e">
        <f>ROUND(MT/12,5)</f>
        <v>#VALUE!</v>
      </c>
      <c r="BU51" s="26" t="s">
        <v>658</v>
      </c>
      <c r="BV51" s="24" t="s">
        <v>370</v>
      </c>
      <c r="BW51" s="297">
        <f>IF(OR(TS="5x4, .126", TS="5x4, .134"), 5/12,4/12)</f>
        <v>0.41666666666666669</v>
      </c>
      <c r="BX51" s="26" t="s">
        <v>658</v>
      </c>
      <c r="BY51" s="24" t="s">
        <v>653</v>
      </c>
      <c r="BZ51" s="322" t="e">
        <f>BT53</f>
        <v>#VALUE!</v>
      </c>
      <c r="CA51" s="26" t="s">
        <v>665</v>
      </c>
      <c r="CC51" s="24" t="s">
        <v>666</v>
      </c>
      <c r="CD51" s="338" t="str">
        <f>Theta</f>
        <v>XX</v>
      </c>
      <c r="CE51" s="26" t="s">
        <v>667</v>
      </c>
    </row>
    <row r="52" spans="2:83" x14ac:dyDescent="0.25">
      <c r="B52" s="34" t="str">
        <f t="shared" si="45"/>
        <v/>
      </c>
      <c r="C52" s="299">
        <v>11</v>
      </c>
      <c r="D52" s="7" t="str">
        <f t="shared" si="46"/>
        <v/>
      </c>
      <c r="E52" s="299" t="str">
        <f t="shared" si="47"/>
        <v/>
      </c>
      <c r="G52" s="302">
        <v>47</v>
      </c>
      <c r="H52" s="7" t="e">
        <f t="shared" si="43"/>
        <v>#VALUE!</v>
      </c>
      <c r="I52" s="299" t="e">
        <f t="shared" si="44"/>
        <v>#VALUE!</v>
      </c>
      <c r="J52" s="7"/>
      <c r="K52" s="376">
        <v>11</v>
      </c>
      <c r="L52" s="652" t="str">
        <f t="shared" si="48"/>
        <v/>
      </c>
      <c r="M52" s="556"/>
      <c r="O52" s="628"/>
      <c r="P52" s="559"/>
      <c r="Q52" t="s">
        <v>668</v>
      </c>
      <c r="R52" s="7" t="str">
        <f>L16</f>
        <v/>
      </c>
      <c r="S52" s="77" t="s">
        <v>657</v>
      </c>
      <c r="T52" s="43"/>
      <c r="U52" s="7" t="e">
        <f>R52/12</f>
        <v>#VALUE!</v>
      </c>
      <c r="V52" s="28" t="s">
        <v>658</v>
      </c>
      <c r="W52" s="27" t="s">
        <v>669</v>
      </c>
      <c r="X52" s="7">
        <f>COUNTIFS($I$6:$I$105, "&lt;="&amp;R51, $I$6:$I$105, "&gt;="&amp;R52)</f>
        <v>0</v>
      </c>
      <c r="Y52" s="28" t="s">
        <v>670</v>
      </c>
      <c r="Z52" s="27" t="s">
        <v>659</v>
      </c>
      <c r="AA52" s="7" t="e">
        <f>IF(O51="Exterior Drive Post", (U53-(TG/12)), U53)</f>
        <v>#VALUE!</v>
      </c>
      <c r="AB52" s="28" t="s">
        <v>658</v>
      </c>
      <c r="AC52" s="27" t="s">
        <v>671</v>
      </c>
      <c r="AD52" s="7" t="e">
        <f>U55</f>
        <v>#VALUE!</v>
      </c>
      <c r="AE52" s="28" t="s">
        <v>665</v>
      </c>
      <c r="AF52" s="27" t="s">
        <v>672</v>
      </c>
      <c r="AG52" s="317" t="e">
        <f>AA55</f>
        <v>#VALUE!</v>
      </c>
      <c r="AH52" s="28" t="s">
        <v>663</v>
      </c>
      <c r="AJ52" s="27" t="s">
        <v>659</v>
      </c>
      <c r="AK52" s="7" t="e">
        <f>IF(O51= "Exterior Drive Post", (U53)-((GL+GR)/12), U53)</f>
        <v>#VALUE!</v>
      </c>
      <c r="AL52" s="28" t="s">
        <v>658</v>
      </c>
      <c r="AM52" s="27" t="s">
        <v>659</v>
      </c>
      <c r="AN52" s="7" t="e">
        <f>AA52</f>
        <v>#VALUE!</v>
      </c>
      <c r="AO52" s="28" t="s">
        <v>658</v>
      </c>
      <c r="AP52" s="27" t="s">
        <v>672</v>
      </c>
      <c r="AQ52" s="323" t="e">
        <f>AN53</f>
        <v>#VALUE!</v>
      </c>
      <c r="AR52" s="28" t="s">
        <v>665</v>
      </c>
      <c r="AT52" s="27" t="s">
        <v>673</v>
      </c>
      <c r="AU52" s="210" t="e">
        <f>RSL*COS(Radians)</f>
        <v>#VALUE!</v>
      </c>
      <c r="AV52" s="28" t="s">
        <v>65</v>
      </c>
      <c r="AX52" s="628"/>
      <c r="AY52" s="559"/>
      <c r="AZ52" t="s">
        <v>668</v>
      </c>
      <c r="BA52" s="7" t="str">
        <f>L52</f>
        <v/>
      </c>
      <c r="BB52" s="77" t="s">
        <v>657</v>
      </c>
      <c r="BC52" s="43"/>
      <c r="BD52" s="7" t="e">
        <f>BA52/12</f>
        <v>#VALUE!</v>
      </c>
      <c r="BE52" s="28" t="s">
        <v>658</v>
      </c>
      <c r="BF52" s="27" t="s">
        <v>669</v>
      </c>
      <c r="BG52" s="7">
        <f>COUNTIFS($I$6:$I$105, "&lt;="&amp;BA51, $I$6:$I$105, "&gt;="&amp;BA52)</f>
        <v>0</v>
      </c>
      <c r="BH52" s="28" t="s">
        <v>670</v>
      </c>
      <c r="BI52" s="27" t="s">
        <v>659</v>
      </c>
      <c r="BJ52" s="7" t="e">
        <f>IF(AX51="Interior Drive Post", (BD53-(TG/12)), BD53)</f>
        <v>#VALUE!</v>
      </c>
      <c r="BK52" s="28" t="s">
        <v>658</v>
      </c>
      <c r="BL52" s="27" t="s">
        <v>671</v>
      </c>
      <c r="BM52" s="7" t="e">
        <f>BD55</f>
        <v>#VALUE!</v>
      </c>
      <c r="BN52" s="28" t="s">
        <v>665</v>
      </c>
      <c r="BO52" s="27" t="s">
        <v>672</v>
      </c>
      <c r="BP52" s="317" t="e">
        <f>BJ55</f>
        <v>#VALUE!</v>
      </c>
      <c r="BQ52" s="28" t="s">
        <v>663</v>
      </c>
      <c r="BS52" s="27" t="s">
        <v>659</v>
      </c>
      <c r="BT52" s="7" t="e">
        <f>IF(AX51= "Interior Drive Post", (BD53)-((GL+GR)/12), BD53)</f>
        <v>#VALUE!</v>
      </c>
      <c r="BU52" s="28" t="s">
        <v>658</v>
      </c>
      <c r="BV52" s="27" t="s">
        <v>659</v>
      </c>
      <c r="BW52" s="7" t="e">
        <f>BJ52</f>
        <v>#VALUE!</v>
      </c>
      <c r="BX52" s="28" t="s">
        <v>658</v>
      </c>
      <c r="BY52" s="27" t="s">
        <v>672</v>
      </c>
      <c r="BZ52" s="323" t="e">
        <f>BW53</f>
        <v>#VALUE!</v>
      </c>
      <c r="CA52" s="28" t="s">
        <v>665</v>
      </c>
      <c r="CC52" s="27" t="s">
        <v>673</v>
      </c>
      <c r="CD52" s="210" t="e">
        <f>RSL*COS(Radians)</f>
        <v>#VALUE!</v>
      </c>
      <c r="CE52" s="28" t="s">
        <v>65</v>
      </c>
    </row>
    <row r="53" spans="2:83" x14ac:dyDescent="0.25">
      <c r="B53" s="34" t="str">
        <f t="shared" si="45"/>
        <v/>
      </c>
      <c r="C53" s="299">
        <v>12</v>
      </c>
      <c r="D53" s="7" t="str">
        <f t="shared" si="46"/>
        <v/>
      </c>
      <c r="E53" s="299" t="str">
        <f t="shared" si="47"/>
        <v/>
      </c>
      <c r="G53" s="302">
        <v>48</v>
      </c>
      <c r="H53" s="7" t="e">
        <f t="shared" si="43"/>
        <v>#VALUE!</v>
      </c>
      <c r="I53" s="299" t="e">
        <f t="shared" si="44"/>
        <v>#VALUE!</v>
      </c>
      <c r="J53" s="7"/>
      <c r="K53" s="376">
        <v>12</v>
      </c>
      <c r="L53" s="652" t="str">
        <f t="shared" si="48"/>
        <v/>
      </c>
      <c r="M53" s="556"/>
      <c r="O53" s="628"/>
      <c r="P53" s="559"/>
      <c r="Q53" t="s">
        <v>659</v>
      </c>
      <c r="R53" s="7" t="e">
        <f>R51-R52</f>
        <v>#VALUE!</v>
      </c>
      <c r="S53" s="77" t="s">
        <v>657</v>
      </c>
      <c r="T53" s="43"/>
      <c r="U53" s="7" t="e">
        <f>R53/12</f>
        <v>#VALUE!</v>
      </c>
      <c r="V53" s="28" t="s">
        <v>658</v>
      </c>
      <c r="W53" s="27" t="s">
        <v>674</v>
      </c>
      <c r="X53" s="7" t="e">
        <f>X52*X51</f>
        <v>#VALUE!</v>
      </c>
      <c r="Y53" s="28" t="s">
        <v>657</v>
      </c>
      <c r="Z53" s="27"/>
      <c r="AA53" s="7"/>
      <c r="AB53" s="28"/>
      <c r="AC53" s="27"/>
      <c r="AD53" s="7"/>
      <c r="AE53" s="28"/>
      <c r="AF53" s="27" t="s">
        <v>653</v>
      </c>
      <c r="AG53" s="319" t="e">
        <f>AD55</f>
        <v>#VALUE!</v>
      </c>
      <c r="AH53" s="28" t="s">
        <v>663</v>
      </c>
      <c r="AJ53" s="27" t="s">
        <v>671</v>
      </c>
      <c r="AK53" s="321" t="e">
        <f>AK51*AK52</f>
        <v>#VALUE!</v>
      </c>
      <c r="AL53" s="28" t="s">
        <v>665</v>
      </c>
      <c r="AM53" s="27" t="s">
        <v>671</v>
      </c>
      <c r="AN53" s="323" t="e">
        <f>AN52*AN51</f>
        <v>#VALUE!</v>
      </c>
      <c r="AO53" s="28" t="s">
        <v>665</v>
      </c>
      <c r="AP53" s="27" t="s">
        <v>654</v>
      </c>
      <c r="AQ53" s="7" t="e">
        <f>SUM(AQ51:AQ52)</f>
        <v>#VALUE!</v>
      </c>
      <c r="AR53" s="28" t="s">
        <v>665</v>
      </c>
      <c r="AT53" s="27" t="s">
        <v>671</v>
      </c>
      <c r="AU53" s="210" t="e">
        <f>U55</f>
        <v>#VALUE!</v>
      </c>
      <c r="AV53" s="28" t="s">
        <v>688</v>
      </c>
      <c r="AX53" s="628"/>
      <c r="AY53" s="559"/>
      <c r="AZ53" t="s">
        <v>659</v>
      </c>
      <c r="BA53" s="7" t="e">
        <f>BA51-BA52</f>
        <v>#VALUE!</v>
      </c>
      <c r="BB53" s="77" t="s">
        <v>657</v>
      </c>
      <c r="BC53" s="43"/>
      <c r="BD53" s="7" t="e">
        <f>BA53/12</f>
        <v>#VALUE!</v>
      </c>
      <c r="BE53" s="28" t="s">
        <v>658</v>
      </c>
      <c r="BF53" s="27" t="s">
        <v>674</v>
      </c>
      <c r="BG53" s="7" t="e">
        <f>BG52*BG51</f>
        <v>#VALUE!</v>
      </c>
      <c r="BH53" s="28" t="s">
        <v>657</v>
      </c>
      <c r="BI53" s="27"/>
      <c r="BJ53" s="7"/>
      <c r="BK53" s="28"/>
      <c r="BL53" s="27"/>
      <c r="BM53" s="7"/>
      <c r="BN53" s="28"/>
      <c r="BO53" s="27" t="s">
        <v>653</v>
      </c>
      <c r="BP53" s="319" t="e">
        <f>BM55</f>
        <v>#VALUE!</v>
      </c>
      <c r="BQ53" s="28" t="s">
        <v>663</v>
      </c>
      <c r="BS53" s="27" t="s">
        <v>671</v>
      </c>
      <c r="BT53" s="321" t="e">
        <f>BT51*BT52</f>
        <v>#VALUE!</v>
      </c>
      <c r="BU53" s="28" t="s">
        <v>665</v>
      </c>
      <c r="BV53" s="27" t="s">
        <v>671</v>
      </c>
      <c r="BW53" s="323" t="e">
        <f>BW52*BW51</f>
        <v>#VALUE!</v>
      </c>
      <c r="BX53" s="28" t="s">
        <v>665</v>
      </c>
      <c r="BY53" s="27" t="s">
        <v>654</v>
      </c>
      <c r="BZ53" s="7" t="e">
        <f>SUM(BZ51:BZ52)</f>
        <v>#VALUE!</v>
      </c>
      <c r="CA53" s="28" t="s">
        <v>665</v>
      </c>
      <c r="CC53" s="27" t="s">
        <v>671</v>
      </c>
      <c r="CD53" s="210" t="e">
        <f>BD55</f>
        <v>#VALUE!</v>
      </c>
      <c r="CE53" s="28" t="s">
        <v>665</v>
      </c>
    </row>
    <row r="54" spans="2:83" x14ac:dyDescent="0.25">
      <c r="B54" s="34" t="str">
        <f t="shared" si="45"/>
        <v/>
      </c>
      <c r="C54" s="299">
        <v>13</v>
      </c>
      <c r="D54" s="7" t="str">
        <f t="shared" si="46"/>
        <v/>
      </c>
      <c r="E54" s="299" t="str">
        <f t="shared" si="47"/>
        <v/>
      </c>
      <c r="G54" s="302">
        <v>49</v>
      </c>
      <c r="H54" s="7" t="e">
        <f t="shared" si="43"/>
        <v>#VALUE!</v>
      </c>
      <c r="I54" s="299" t="e">
        <f t="shared" si="44"/>
        <v>#VALUE!</v>
      </c>
      <c r="J54" s="7"/>
      <c r="K54" s="376">
        <v>13</v>
      </c>
      <c r="L54" s="652" t="str">
        <f t="shared" si="48"/>
        <v/>
      </c>
      <c r="M54" s="556"/>
      <c r="O54" s="628"/>
      <c r="P54" s="559"/>
      <c r="Q54" t="s">
        <v>675</v>
      </c>
      <c r="R54" s="7" t="e">
        <f>ROUND(ML, 3)</f>
        <v>#VALUE!</v>
      </c>
      <c r="S54" s="77" t="s">
        <v>657</v>
      </c>
      <c r="T54" s="43"/>
      <c r="U54" s="7" t="e">
        <f>R54/12</f>
        <v>#VALUE!</v>
      </c>
      <c r="V54" s="28" t="s">
        <v>658</v>
      </c>
      <c r="W54" s="27" t="s">
        <v>660</v>
      </c>
      <c r="X54" s="7">
        <f>VLOOKUP(VS,'List Data'!$A$8:$B$12, 2, FALSE)</f>
        <v>2.1419999999999999</v>
      </c>
      <c r="Y54" s="28" t="s">
        <v>661</v>
      </c>
      <c r="Z54" s="27"/>
      <c r="AA54" s="7"/>
      <c r="AB54" s="28"/>
      <c r="AC54" s="27"/>
      <c r="AD54" s="7"/>
      <c r="AE54" s="28"/>
      <c r="AF54" s="27"/>
      <c r="AH54" s="28"/>
      <c r="AJ54" s="27"/>
      <c r="AK54" s="7"/>
      <c r="AL54" s="28"/>
      <c r="AM54" s="27"/>
      <c r="AO54" s="28"/>
      <c r="AP54" s="27"/>
      <c r="AQ54" s="7"/>
      <c r="AR54" s="28"/>
      <c r="AT54" s="27"/>
      <c r="AU54" s="210"/>
      <c r="AV54" s="28"/>
      <c r="AX54" s="628"/>
      <c r="AY54" s="559"/>
      <c r="AZ54" t="s">
        <v>675</v>
      </c>
      <c r="BA54" s="7" t="e">
        <f>ROUND(ML, 3)</f>
        <v>#VALUE!</v>
      </c>
      <c r="BB54" s="77" t="s">
        <v>657</v>
      </c>
      <c r="BC54" s="43"/>
      <c r="BD54" s="7" t="e">
        <f>BA54/12</f>
        <v>#VALUE!</v>
      </c>
      <c r="BE54" s="28" t="s">
        <v>658</v>
      </c>
      <c r="BF54" s="27" t="s">
        <v>660</v>
      </c>
      <c r="BG54" s="7">
        <f>VLOOKUP(VS,'List Data'!$A$8:$B$12, 2, FALSE)</f>
        <v>2.1419999999999999</v>
      </c>
      <c r="BH54" s="28" t="s">
        <v>661</v>
      </c>
      <c r="BI54" s="27"/>
      <c r="BJ54" s="7"/>
      <c r="BK54" s="28"/>
      <c r="BL54" s="27"/>
      <c r="BM54" s="7"/>
      <c r="BN54" s="28"/>
      <c r="BO54" s="27"/>
      <c r="BQ54" s="28"/>
      <c r="BS54" s="27"/>
      <c r="BT54" s="7"/>
      <c r="BU54" s="28"/>
      <c r="BV54" s="27"/>
      <c r="BX54" s="28"/>
      <c r="BY54" s="27"/>
      <c r="BZ54" s="7"/>
      <c r="CA54" s="28"/>
      <c r="CC54" s="27"/>
      <c r="CD54" s="210"/>
      <c r="CE54" s="28"/>
    </row>
    <row r="55" spans="2:83" x14ac:dyDescent="0.25">
      <c r="B55" s="34" t="str">
        <f t="shared" si="45"/>
        <v/>
      </c>
      <c r="C55" s="299">
        <v>14</v>
      </c>
      <c r="D55" s="7" t="str">
        <f t="shared" si="46"/>
        <v/>
      </c>
      <c r="E55" s="299" t="str">
        <f t="shared" si="47"/>
        <v/>
      </c>
      <c r="G55" s="302">
        <v>50</v>
      </c>
      <c r="H55" s="7" t="e">
        <f t="shared" si="43"/>
        <v>#VALUE!</v>
      </c>
      <c r="I55" s="299" t="e">
        <f t="shared" si="44"/>
        <v>#VALUE!</v>
      </c>
      <c r="J55" s="7"/>
      <c r="K55" s="376">
        <v>14</v>
      </c>
      <c r="L55" s="652" t="str">
        <f t="shared" si="48"/>
        <v/>
      </c>
      <c r="M55" s="556"/>
      <c r="O55" s="629"/>
      <c r="P55" s="561"/>
      <c r="Q55" s="30" t="s">
        <v>671</v>
      </c>
      <c r="R55" s="309" t="e">
        <f>R53*R54</f>
        <v>#VALUE!</v>
      </c>
      <c r="S55" s="311" t="s">
        <v>676</v>
      </c>
      <c r="T55" s="313"/>
      <c r="U55" s="309" t="e">
        <f>IF(O51="Exterior Drive Post", (R55/144)-(((GL+GR)*(ML/25.4))/144), R55/144)</f>
        <v>#VALUE!</v>
      </c>
      <c r="V55" s="31" t="s">
        <v>677</v>
      </c>
      <c r="W55" s="29" t="s">
        <v>678</v>
      </c>
      <c r="X55" s="314" t="e">
        <f>X54/12*X53</f>
        <v>#VALUE!</v>
      </c>
      <c r="Y55" s="31" t="s">
        <v>663</v>
      </c>
      <c r="Z55" s="29" t="s">
        <v>678</v>
      </c>
      <c r="AA55" s="315" t="e">
        <f>AA51*AA52</f>
        <v>#VALUE!</v>
      </c>
      <c r="AB55" s="31" t="s">
        <v>663</v>
      </c>
      <c r="AC55" s="29" t="s">
        <v>678</v>
      </c>
      <c r="AD55" s="316" t="e">
        <f>AD51*AD52</f>
        <v>#VALUE!</v>
      </c>
      <c r="AE55" s="31" t="s">
        <v>181</v>
      </c>
      <c r="AF55" s="29" t="s">
        <v>654</v>
      </c>
      <c r="AG55" s="320" t="e">
        <f>IF(O51="Exterior Drive Post", SUM(AG51:AG53)+SDW, SUM(AG51:AG53)+ICW)</f>
        <v>#VALUE!</v>
      </c>
      <c r="AH55" s="31" t="s">
        <v>663</v>
      </c>
      <c r="AI55">
        <v>10</v>
      </c>
      <c r="AJ55" s="29"/>
      <c r="AK55" s="309"/>
      <c r="AL55" s="31"/>
      <c r="AM55" s="29"/>
      <c r="AN55" s="30"/>
      <c r="AO55" s="31"/>
      <c r="AP55" s="29" t="s">
        <v>679</v>
      </c>
      <c r="AQ55" s="324" t="e">
        <f>AQ53*Pult</f>
        <v>#VALUE!</v>
      </c>
      <c r="AR55" s="31" t="s">
        <v>181</v>
      </c>
      <c r="AT55" s="29" t="s">
        <v>662</v>
      </c>
      <c r="AU55" s="339" t="e">
        <f>AU53*AU52</f>
        <v>#VALUE!</v>
      </c>
      <c r="AV55" s="31" t="s">
        <v>181</v>
      </c>
      <c r="AX55" s="629"/>
      <c r="AY55" s="561"/>
      <c r="AZ55" s="30" t="s">
        <v>671</v>
      </c>
      <c r="BA55" s="309" t="e">
        <f>BA53*BA54</f>
        <v>#VALUE!</v>
      </c>
      <c r="BB55" s="311" t="s">
        <v>676</v>
      </c>
      <c r="BC55" s="313"/>
      <c r="BD55" s="309" t="e">
        <f>IF(AX51="Interior Drive Post", (BA55/144)-(((GL+GR)*(ML/25.4))/144), BA55/144)</f>
        <v>#VALUE!</v>
      </c>
      <c r="BE55" s="31" t="s">
        <v>677</v>
      </c>
      <c r="BF55" s="29" t="s">
        <v>678</v>
      </c>
      <c r="BG55" s="314" t="e">
        <f>BG54/12*BG53</f>
        <v>#VALUE!</v>
      </c>
      <c r="BH55" s="31" t="s">
        <v>663</v>
      </c>
      <c r="BI55" s="29" t="s">
        <v>678</v>
      </c>
      <c r="BJ55" s="315" t="e">
        <f>BJ51*BJ52</f>
        <v>#VALUE!</v>
      </c>
      <c r="BK55" s="31" t="s">
        <v>663</v>
      </c>
      <c r="BL55" s="29" t="s">
        <v>678</v>
      </c>
      <c r="BM55" s="316" t="e">
        <f>BM51*BM52</f>
        <v>#VALUE!</v>
      </c>
      <c r="BN55" s="31" t="s">
        <v>181</v>
      </c>
      <c r="BO55" s="29" t="s">
        <v>654</v>
      </c>
      <c r="BP55" s="320" t="e">
        <f>IF(AX51="Interior Drive Post", SUM(BP51:BP53)+SDW, SUM(BP51:BP53)+ICW)</f>
        <v>#VALUE!</v>
      </c>
      <c r="BQ55" s="31" t="s">
        <v>663</v>
      </c>
      <c r="BR55">
        <v>10</v>
      </c>
      <c r="BS55" s="29"/>
      <c r="BT55" s="309"/>
      <c r="BU55" s="31"/>
      <c r="BV55" s="29"/>
      <c r="BW55" s="30"/>
      <c r="BX55" s="31"/>
      <c r="BY55" s="29" t="s">
        <v>679</v>
      </c>
      <c r="BZ55" s="324" t="e">
        <f>BZ53*Pult</f>
        <v>#VALUE!</v>
      </c>
      <c r="CA55" s="31" t="s">
        <v>181</v>
      </c>
      <c r="CC55" s="29" t="s">
        <v>662</v>
      </c>
      <c r="CD55" s="339" t="e">
        <f>CD53*CD52</f>
        <v>#VALUE!</v>
      </c>
      <c r="CE55" s="31" t="s">
        <v>181</v>
      </c>
    </row>
    <row r="56" spans="2:83" x14ac:dyDescent="0.25">
      <c r="B56" s="34" t="str">
        <f t="shared" si="45"/>
        <v/>
      </c>
      <c r="C56" s="299">
        <v>15</v>
      </c>
      <c r="D56" s="7" t="str">
        <f t="shared" si="46"/>
        <v/>
      </c>
      <c r="E56" s="299" t="str">
        <f t="shared" si="47"/>
        <v/>
      </c>
      <c r="G56" s="302">
        <v>51</v>
      </c>
      <c r="H56" s="7" t="e">
        <f t="shared" si="43"/>
        <v>#VALUE!</v>
      </c>
      <c r="I56" s="299" t="e">
        <f t="shared" si="44"/>
        <v>#VALUE!</v>
      </c>
      <c r="J56" s="7"/>
      <c r="K56" s="376">
        <v>15</v>
      </c>
      <c r="L56" s="652" t="str">
        <f t="shared" si="48"/>
        <v/>
      </c>
      <c r="M56" s="556"/>
      <c r="O56" s="653" t="str">
        <f>D16</f>
        <v/>
      </c>
      <c r="P56" s="558"/>
      <c r="Q56" s="25" t="s">
        <v>656</v>
      </c>
      <c r="R56" s="297" t="str">
        <f>L16</f>
        <v/>
      </c>
      <c r="S56" s="310" t="s">
        <v>657</v>
      </c>
      <c r="T56" s="312"/>
      <c r="U56" s="297" t="e">
        <f>R56/12</f>
        <v>#VALUE!</v>
      </c>
      <c r="V56" s="26" t="s">
        <v>658</v>
      </c>
      <c r="W56" s="24" t="s">
        <v>659</v>
      </c>
      <c r="X56" s="297" t="e">
        <f>VL</f>
        <v>#VALUE!</v>
      </c>
      <c r="Y56" s="26" t="s">
        <v>657</v>
      </c>
      <c r="Z56" s="24" t="s">
        <v>660</v>
      </c>
      <c r="AA56" s="297">
        <f>VLOOKUP(TS,'List Data'!$A$15:$B$18, 2, FALSE)</f>
        <v>7.8955000000000002</v>
      </c>
      <c r="AB56" s="26" t="s">
        <v>661</v>
      </c>
      <c r="AC56" s="24" t="s">
        <v>662</v>
      </c>
      <c r="AD56" s="297" t="e">
        <f>PL</f>
        <v>#VALUE!</v>
      </c>
      <c r="AE56" s="26" t="s">
        <v>65</v>
      </c>
      <c r="AF56" s="24" t="s">
        <v>651</v>
      </c>
      <c r="AG56" s="318" t="e">
        <f>X60</f>
        <v>#VALUE!</v>
      </c>
      <c r="AH56" s="26" t="s">
        <v>663</v>
      </c>
      <c r="AJ56" s="24" t="s">
        <v>664</v>
      </c>
      <c r="AK56" s="297" t="e">
        <f>ROUND(MT/12,5)</f>
        <v>#VALUE!</v>
      </c>
      <c r="AL56" s="26" t="s">
        <v>658</v>
      </c>
      <c r="AM56" s="24" t="s">
        <v>370</v>
      </c>
      <c r="AN56" s="297">
        <f>IF(OR(TS="5x4, .126", TS="5x4, .134"), 5/12,4/12)</f>
        <v>0.41666666666666669</v>
      </c>
      <c r="AO56" s="26" t="s">
        <v>658</v>
      </c>
      <c r="AP56" s="24" t="s">
        <v>653</v>
      </c>
      <c r="AQ56" s="322" t="e">
        <f>AK58</f>
        <v>#VALUE!</v>
      </c>
      <c r="AR56" s="26" t="s">
        <v>665</v>
      </c>
      <c r="AT56" s="24" t="s">
        <v>666</v>
      </c>
      <c r="AU56" s="338" t="str">
        <f>Theta</f>
        <v>XX</v>
      </c>
      <c r="AV56" s="26" t="s">
        <v>667</v>
      </c>
      <c r="AX56" s="653" t="str">
        <f>D52</f>
        <v/>
      </c>
      <c r="AY56" s="558"/>
      <c r="AZ56" s="25" t="s">
        <v>656</v>
      </c>
      <c r="BA56" s="297" t="str">
        <f>L52</f>
        <v/>
      </c>
      <c r="BB56" s="310" t="s">
        <v>657</v>
      </c>
      <c r="BC56" s="312"/>
      <c r="BD56" s="297" t="e">
        <f>BA56/12</f>
        <v>#VALUE!</v>
      </c>
      <c r="BE56" s="26" t="s">
        <v>658</v>
      </c>
      <c r="BF56" s="24" t="s">
        <v>659</v>
      </c>
      <c r="BG56" s="297" t="e">
        <f>VL</f>
        <v>#VALUE!</v>
      </c>
      <c r="BH56" s="26" t="s">
        <v>657</v>
      </c>
      <c r="BI56" s="24" t="s">
        <v>660</v>
      </c>
      <c r="BJ56" s="297">
        <f>VLOOKUP(TS,'List Data'!$A$15:$B$18, 2, FALSE)</f>
        <v>7.8955000000000002</v>
      </c>
      <c r="BK56" s="26" t="s">
        <v>661</v>
      </c>
      <c r="BL56" s="24" t="s">
        <v>662</v>
      </c>
      <c r="BM56" s="297" t="e">
        <f>PL</f>
        <v>#VALUE!</v>
      </c>
      <c r="BN56" s="26" t="s">
        <v>65</v>
      </c>
      <c r="BO56" s="24" t="s">
        <v>651</v>
      </c>
      <c r="BP56" s="318" t="e">
        <f>BG60</f>
        <v>#VALUE!</v>
      </c>
      <c r="BQ56" s="26" t="s">
        <v>663</v>
      </c>
      <c r="BS56" s="24" t="s">
        <v>664</v>
      </c>
      <c r="BT56" s="297" t="e">
        <f>ROUND(MT/12,5)</f>
        <v>#VALUE!</v>
      </c>
      <c r="BU56" s="26" t="s">
        <v>658</v>
      </c>
      <c r="BV56" s="24" t="s">
        <v>370</v>
      </c>
      <c r="BW56" s="297">
        <f>IF(OR(TS="5x4, .126", TS="5x4, .134"), 5/12,4/12)</f>
        <v>0.41666666666666669</v>
      </c>
      <c r="BX56" s="26" t="s">
        <v>658</v>
      </c>
      <c r="BY56" s="24" t="s">
        <v>653</v>
      </c>
      <c r="BZ56" s="322" t="e">
        <f>BT58</f>
        <v>#VALUE!</v>
      </c>
      <c r="CA56" s="26" t="s">
        <v>665</v>
      </c>
      <c r="CC56" s="24" t="s">
        <v>666</v>
      </c>
      <c r="CD56" s="338" t="str">
        <f>Theta</f>
        <v>XX</v>
      </c>
      <c r="CE56" s="26" t="s">
        <v>667</v>
      </c>
    </row>
    <row r="57" spans="2:83" x14ac:dyDescent="0.25">
      <c r="B57" s="34" t="str">
        <f t="shared" si="45"/>
        <v/>
      </c>
      <c r="C57" s="299">
        <v>16</v>
      </c>
      <c r="D57" s="7" t="str">
        <f t="shared" si="46"/>
        <v/>
      </c>
      <c r="E57" s="299" t="str">
        <f t="shared" si="47"/>
        <v/>
      </c>
      <c r="G57" s="302">
        <v>52</v>
      </c>
      <c r="H57" s="7" t="e">
        <f t="shared" si="43"/>
        <v>#VALUE!</v>
      </c>
      <c r="I57" s="299" t="e">
        <f t="shared" si="44"/>
        <v>#VALUE!</v>
      </c>
      <c r="J57" s="7"/>
      <c r="K57" s="376">
        <v>16</v>
      </c>
      <c r="L57" s="652" t="str">
        <f t="shared" si="48"/>
        <v/>
      </c>
      <c r="M57" s="556"/>
      <c r="O57" s="628"/>
      <c r="P57" s="559"/>
      <c r="Q57" t="s">
        <v>668</v>
      </c>
      <c r="R57" s="7" t="str">
        <f>L17</f>
        <v/>
      </c>
      <c r="S57" s="77" t="s">
        <v>657</v>
      </c>
      <c r="T57" s="43"/>
      <c r="U57" s="7" t="e">
        <f>R57/12</f>
        <v>#VALUE!</v>
      </c>
      <c r="V57" s="28" t="s">
        <v>658</v>
      </c>
      <c r="W57" s="27" t="s">
        <v>669</v>
      </c>
      <c r="X57" s="7">
        <f>COUNTIFS($I$6:$I$105, "&lt;="&amp;R56, $I$6:$I$105, "&gt;="&amp;R57)</f>
        <v>0</v>
      </c>
      <c r="Y57" s="28" t="s">
        <v>670</v>
      </c>
      <c r="Z57" s="27" t="s">
        <v>659</v>
      </c>
      <c r="AA57" s="7" t="e">
        <f>IF(O56="Exterior Drive Post", (U58-(TG/12)), U58)</f>
        <v>#VALUE!</v>
      </c>
      <c r="AB57" s="28" t="s">
        <v>658</v>
      </c>
      <c r="AC57" s="27" t="s">
        <v>671</v>
      </c>
      <c r="AD57" s="7" t="e">
        <f>U60</f>
        <v>#VALUE!</v>
      </c>
      <c r="AE57" s="28" t="s">
        <v>665</v>
      </c>
      <c r="AF57" s="27" t="s">
        <v>672</v>
      </c>
      <c r="AG57" s="317" t="e">
        <f>AA60</f>
        <v>#VALUE!</v>
      </c>
      <c r="AH57" s="28" t="s">
        <v>663</v>
      </c>
      <c r="AJ57" s="27" t="s">
        <v>659</v>
      </c>
      <c r="AK57" s="7" t="e">
        <f>IF(O56= "Exterior Drive Post", (U58)-((GL+GR)/12), U58)</f>
        <v>#VALUE!</v>
      </c>
      <c r="AL57" s="28" t="s">
        <v>658</v>
      </c>
      <c r="AM57" s="27" t="s">
        <v>659</v>
      </c>
      <c r="AN57" s="7" t="e">
        <f>AA57</f>
        <v>#VALUE!</v>
      </c>
      <c r="AO57" s="28" t="s">
        <v>658</v>
      </c>
      <c r="AP57" s="27" t="s">
        <v>672</v>
      </c>
      <c r="AQ57" s="323" t="e">
        <f>AN58</f>
        <v>#VALUE!</v>
      </c>
      <c r="AR57" s="28" t="s">
        <v>665</v>
      </c>
      <c r="AT57" s="27" t="s">
        <v>673</v>
      </c>
      <c r="AU57" s="210" t="e">
        <f>RSL*COS(Radians)</f>
        <v>#VALUE!</v>
      </c>
      <c r="AV57" s="28" t="s">
        <v>65</v>
      </c>
      <c r="AX57" s="628"/>
      <c r="AY57" s="559"/>
      <c r="AZ57" t="s">
        <v>668</v>
      </c>
      <c r="BA57" s="7" t="str">
        <f>L53</f>
        <v/>
      </c>
      <c r="BB57" s="77" t="s">
        <v>657</v>
      </c>
      <c r="BC57" s="43"/>
      <c r="BD57" s="7" t="e">
        <f>BA57/12</f>
        <v>#VALUE!</v>
      </c>
      <c r="BE57" s="28" t="s">
        <v>658</v>
      </c>
      <c r="BF57" s="27" t="s">
        <v>669</v>
      </c>
      <c r="BG57" s="7">
        <f>COUNTIFS($I$6:$I$105, "&lt;="&amp;BA56, $I$6:$I$105, "&gt;="&amp;BA57)</f>
        <v>0</v>
      </c>
      <c r="BH57" s="28" t="s">
        <v>670</v>
      </c>
      <c r="BI57" s="27" t="s">
        <v>659</v>
      </c>
      <c r="BJ57" s="7" t="e">
        <f>IF(AX56="Interior Drive Post", (BD58-(TG/12)), BD58)</f>
        <v>#VALUE!</v>
      </c>
      <c r="BK57" s="28" t="s">
        <v>658</v>
      </c>
      <c r="BL57" s="27" t="s">
        <v>671</v>
      </c>
      <c r="BM57" s="7" t="e">
        <f>BD60</f>
        <v>#VALUE!</v>
      </c>
      <c r="BN57" s="28" t="s">
        <v>665</v>
      </c>
      <c r="BO57" s="27" t="s">
        <v>672</v>
      </c>
      <c r="BP57" s="317" t="e">
        <f>BJ60</f>
        <v>#VALUE!</v>
      </c>
      <c r="BQ57" s="28" t="s">
        <v>663</v>
      </c>
      <c r="BS57" s="27" t="s">
        <v>659</v>
      </c>
      <c r="BT57" s="7" t="e">
        <f>IF(AX56= "Interior Drive Post", (BD58)-((GL+GR)/12), BD58)</f>
        <v>#VALUE!</v>
      </c>
      <c r="BU57" s="28" t="s">
        <v>658</v>
      </c>
      <c r="BV57" s="27" t="s">
        <v>659</v>
      </c>
      <c r="BW57" s="7" t="e">
        <f>BJ57</f>
        <v>#VALUE!</v>
      </c>
      <c r="BX57" s="28" t="s">
        <v>658</v>
      </c>
      <c r="BY57" s="27" t="s">
        <v>672</v>
      </c>
      <c r="BZ57" s="323" t="e">
        <f>BW58</f>
        <v>#VALUE!</v>
      </c>
      <c r="CA57" s="28" t="s">
        <v>665</v>
      </c>
      <c r="CC57" s="27" t="s">
        <v>673</v>
      </c>
      <c r="CD57" s="210" t="e">
        <f>RSL*COS(Radians)</f>
        <v>#VALUE!</v>
      </c>
      <c r="CE57" s="28" t="s">
        <v>65</v>
      </c>
    </row>
    <row r="58" spans="2:83" x14ac:dyDescent="0.25">
      <c r="B58" s="34" t="str">
        <f t="shared" si="45"/>
        <v/>
      </c>
      <c r="C58" s="299">
        <v>17</v>
      </c>
      <c r="D58" s="7" t="str">
        <f t="shared" si="46"/>
        <v/>
      </c>
      <c r="E58" s="299" t="str">
        <f t="shared" si="47"/>
        <v/>
      </c>
      <c r="G58" s="302">
        <v>53</v>
      </c>
      <c r="H58" s="7" t="e">
        <f t="shared" si="43"/>
        <v>#VALUE!</v>
      </c>
      <c r="I58" s="299" t="e">
        <f t="shared" si="44"/>
        <v>#VALUE!</v>
      </c>
      <c r="J58" s="7"/>
      <c r="K58" s="376">
        <v>17</v>
      </c>
      <c r="L58" s="652" t="str">
        <f t="shared" si="48"/>
        <v/>
      </c>
      <c r="M58" s="556"/>
      <c r="O58" s="628"/>
      <c r="P58" s="559"/>
      <c r="Q58" t="s">
        <v>659</v>
      </c>
      <c r="R58" s="7" t="e">
        <f>R56-R57</f>
        <v>#VALUE!</v>
      </c>
      <c r="S58" s="77" t="s">
        <v>657</v>
      </c>
      <c r="T58" s="43"/>
      <c r="U58" s="7" t="e">
        <f>R58/12</f>
        <v>#VALUE!</v>
      </c>
      <c r="V58" s="28" t="s">
        <v>658</v>
      </c>
      <c r="W58" s="27" t="s">
        <v>674</v>
      </c>
      <c r="X58" s="7" t="e">
        <f>X57*X56</f>
        <v>#VALUE!</v>
      </c>
      <c r="Y58" s="28" t="s">
        <v>657</v>
      </c>
      <c r="Z58" s="27"/>
      <c r="AA58" s="7"/>
      <c r="AB58" s="28"/>
      <c r="AC58" s="27"/>
      <c r="AD58" s="7"/>
      <c r="AE58" s="28"/>
      <c r="AF58" s="27" t="s">
        <v>653</v>
      </c>
      <c r="AG58" s="319" t="e">
        <f>AD60</f>
        <v>#VALUE!</v>
      </c>
      <c r="AH58" s="28" t="s">
        <v>663</v>
      </c>
      <c r="AJ58" s="27" t="s">
        <v>671</v>
      </c>
      <c r="AK58" s="321" t="e">
        <f>AK56*AK57</f>
        <v>#VALUE!</v>
      </c>
      <c r="AL58" s="28" t="s">
        <v>665</v>
      </c>
      <c r="AM58" s="27" t="s">
        <v>671</v>
      </c>
      <c r="AN58" s="323" t="e">
        <f>AN57*AN56</f>
        <v>#VALUE!</v>
      </c>
      <c r="AO58" s="28" t="s">
        <v>665</v>
      </c>
      <c r="AP58" s="27" t="s">
        <v>654</v>
      </c>
      <c r="AQ58" s="7" t="e">
        <f>SUM(AQ56:AQ57)</f>
        <v>#VALUE!</v>
      </c>
      <c r="AR58" s="28" t="s">
        <v>665</v>
      </c>
      <c r="AT58" s="27" t="s">
        <v>671</v>
      </c>
      <c r="AU58" s="210" t="e">
        <f>U60</f>
        <v>#VALUE!</v>
      </c>
      <c r="AV58" s="28" t="s">
        <v>689</v>
      </c>
      <c r="AX58" s="628"/>
      <c r="AY58" s="559"/>
      <c r="AZ58" t="s">
        <v>659</v>
      </c>
      <c r="BA58" s="7" t="e">
        <f>BA56-BA57</f>
        <v>#VALUE!</v>
      </c>
      <c r="BB58" s="77" t="s">
        <v>657</v>
      </c>
      <c r="BC58" s="43"/>
      <c r="BD58" s="7" t="e">
        <f>BA58/12</f>
        <v>#VALUE!</v>
      </c>
      <c r="BE58" s="28" t="s">
        <v>658</v>
      </c>
      <c r="BF58" s="27" t="s">
        <v>674</v>
      </c>
      <c r="BG58" s="7" t="e">
        <f>BG57*BG56</f>
        <v>#VALUE!</v>
      </c>
      <c r="BH58" s="28" t="s">
        <v>657</v>
      </c>
      <c r="BI58" s="27"/>
      <c r="BJ58" s="7"/>
      <c r="BK58" s="28"/>
      <c r="BL58" s="27"/>
      <c r="BM58" s="7"/>
      <c r="BN58" s="28"/>
      <c r="BO58" s="27" t="s">
        <v>653</v>
      </c>
      <c r="BP58" s="319" t="e">
        <f>BM60</f>
        <v>#VALUE!</v>
      </c>
      <c r="BQ58" s="28" t="s">
        <v>663</v>
      </c>
      <c r="BS58" s="27" t="s">
        <v>671</v>
      </c>
      <c r="BT58" s="321" t="e">
        <f>BT56*BT57</f>
        <v>#VALUE!</v>
      </c>
      <c r="BU58" s="28" t="s">
        <v>665</v>
      </c>
      <c r="BV58" s="27" t="s">
        <v>671</v>
      </c>
      <c r="BW58" s="323" t="e">
        <f>BW57*BW56</f>
        <v>#VALUE!</v>
      </c>
      <c r="BX58" s="28" t="s">
        <v>665</v>
      </c>
      <c r="BY58" s="27" t="s">
        <v>654</v>
      </c>
      <c r="BZ58" s="7" t="e">
        <f>SUM(BZ56:BZ57)</f>
        <v>#VALUE!</v>
      </c>
      <c r="CA58" s="28" t="s">
        <v>665</v>
      </c>
      <c r="CC58" s="27" t="s">
        <v>671</v>
      </c>
      <c r="CD58" s="210" t="e">
        <f>BD60</f>
        <v>#VALUE!</v>
      </c>
      <c r="CE58" s="28" t="s">
        <v>665</v>
      </c>
    </row>
    <row r="59" spans="2:83" x14ac:dyDescent="0.25">
      <c r="B59" s="34" t="str">
        <f t="shared" si="45"/>
        <v/>
      </c>
      <c r="C59" s="299">
        <v>18</v>
      </c>
      <c r="D59" s="7" t="str">
        <f t="shared" si="46"/>
        <v/>
      </c>
      <c r="E59" s="299" t="str">
        <f t="shared" si="47"/>
        <v/>
      </c>
      <c r="G59" s="302">
        <v>54</v>
      </c>
      <c r="H59" s="7" t="e">
        <f t="shared" si="43"/>
        <v>#VALUE!</v>
      </c>
      <c r="I59" s="299" t="e">
        <f t="shared" si="44"/>
        <v>#VALUE!</v>
      </c>
      <c r="J59" s="7"/>
      <c r="K59" s="376">
        <v>18</v>
      </c>
      <c r="L59" s="652" t="str">
        <f t="shared" si="48"/>
        <v/>
      </c>
      <c r="M59" s="556"/>
      <c r="O59" s="628"/>
      <c r="P59" s="559"/>
      <c r="Q59" t="s">
        <v>675</v>
      </c>
      <c r="R59" s="7" t="e">
        <f>ROUND(ML, 3)</f>
        <v>#VALUE!</v>
      </c>
      <c r="S59" s="77" t="s">
        <v>657</v>
      </c>
      <c r="T59" s="43"/>
      <c r="U59" s="7" t="e">
        <f>R59/12</f>
        <v>#VALUE!</v>
      </c>
      <c r="V59" s="28" t="s">
        <v>658</v>
      </c>
      <c r="W59" s="27" t="s">
        <v>660</v>
      </c>
      <c r="X59" s="7">
        <f>VLOOKUP(VS,'List Data'!$A$8:$B$12, 2, FALSE)</f>
        <v>2.1419999999999999</v>
      </c>
      <c r="Y59" s="28" t="s">
        <v>661</v>
      </c>
      <c r="Z59" s="27"/>
      <c r="AA59" s="7"/>
      <c r="AB59" s="28"/>
      <c r="AC59" s="27"/>
      <c r="AD59" s="7"/>
      <c r="AE59" s="28"/>
      <c r="AF59" s="27"/>
      <c r="AH59" s="28"/>
      <c r="AJ59" s="27"/>
      <c r="AK59" s="7"/>
      <c r="AL59" s="28"/>
      <c r="AM59" s="27"/>
      <c r="AO59" s="28"/>
      <c r="AP59" s="27"/>
      <c r="AQ59" s="7"/>
      <c r="AR59" s="28"/>
      <c r="AT59" s="27"/>
      <c r="AU59" s="210"/>
      <c r="AV59" s="28"/>
      <c r="AX59" s="628"/>
      <c r="AY59" s="559"/>
      <c r="AZ59" t="s">
        <v>675</v>
      </c>
      <c r="BA59" s="7" t="e">
        <f>ROUND(ML, 3)</f>
        <v>#VALUE!</v>
      </c>
      <c r="BB59" s="77" t="s">
        <v>657</v>
      </c>
      <c r="BC59" s="43"/>
      <c r="BD59" s="7" t="e">
        <f>BA59/12</f>
        <v>#VALUE!</v>
      </c>
      <c r="BE59" s="28" t="s">
        <v>658</v>
      </c>
      <c r="BF59" s="27" t="s">
        <v>660</v>
      </c>
      <c r="BG59" s="7">
        <f>VLOOKUP(VS,'List Data'!$A$8:$B$12, 2, FALSE)</f>
        <v>2.1419999999999999</v>
      </c>
      <c r="BH59" s="28" t="s">
        <v>661</v>
      </c>
      <c r="BI59" s="27"/>
      <c r="BJ59" s="7"/>
      <c r="BK59" s="28"/>
      <c r="BL59" s="27"/>
      <c r="BM59" s="7"/>
      <c r="BN59" s="28"/>
      <c r="BO59" s="27"/>
      <c r="BQ59" s="28"/>
      <c r="BS59" s="27"/>
      <c r="BT59" s="7"/>
      <c r="BU59" s="28"/>
      <c r="BV59" s="27"/>
      <c r="BX59" s="28"/>
      <c r="BY59" s="27"/>
      <c r="BZ59" s="7"/>
      <c r="CA59" s="28"/>
      <c r="CC59" s="27"/>
      <c r="CD59" s="210"/>
      <c r="CE59" s="28"/>
    </row>
    <row r="60" spans="2:83" x14ac:dyDescent="0.25">
      <c r="B60" s="34" t="str">
        <f t="shared" si="45"/>
        <v/>
      </c>
      <c r="C60" s="299">
        <v>19</v>
      </c>
      <c r="D60" s="7" t="str">
        <f t="shared" si="46"/>
        <v/>
      </c>
      <c r="E60" s="299" t="str">
        <f t="shared" si="47"/>
        <v/>
      </c>
      <c r="G60" s="302">
        <v>55</v>
      </c>
      <c r="H60" s="7" t="e">
        <f t="shared" si="43"/>
        <v>#VALUE!</v>
      </c>
      <c r="I60" s="299" t="e">
        <f t="shared" si="44"/>
        <v>#VALUE!</v>
      </c>
      <c r="J60" s="7"/>
      <c r="K60" s="376">
        <v>19</v>
      </c>
      <c r="L60" s="652" t="str">
        <f t="shared" si="48"/>
        <v/>
      </c>
      <c r="M60" s="556"/>
      <c r="O60" s="629"/>
      <c r="P60" s="561"/>
      <c r="Q60" s="30" t="s">
        <v>671</v>
      </c>
      <c r="R60" s="309" t="e">
        <f>R58*R59</f>
        <v>#VALUE!</v>
      </c>
      <c r="S60" s="311" t="s">
        <v>676</v>
      </c>
      <c r="T60" s="313"/>
      <c r="U60" s="309" t="e">
        <f>IF(O56="Exterior Drive Post", (R60/144)-(((GL+GR)*(ML/25.4))/144), R60/144)</f>
        <v>#VALUE!</v>
      </c>
      <c r="V60" s="31" t="s">
        <v>677</v>
      </c>
      <c r="W60" s="29" t="s">
        <v>678</v>
      </c>
      <c r="X60" s="314" t="e">
        <f>X59/12*X58</f>
        <v>#VALUE!</v>
      </c>
      <c r="Y60" s="31" t="s">
        <v>663</v>
      </c>
      <c r="Z60" s="29" t="s">
        <v>678</v>
      </c>
      <c r="AA60" s="315" t="e">
        <f>AA56*AA57</f>
        <v>#VALUE!</v>
      </c>
      <c r="AB60" s="31" t="s">
        <v>663</v>
      </c>
      <c r="AC60" s="29" t="s">
        <v>678</v>
      </c>
      <c r="AD60" s="316" t="e">
        <f>AD56*AD57</f>
        <v>#VALUE!</v>
      </c>
      <c r="AE60" s="31" t="s">
        <v>181</v>
      </c>
      <c r="AF60" s="29" t="s">
        <v>654</v>
      </c>
      <c r="AG60" s="320" t="e">
        <f>IF(O56="Exterior Drive Post", SUM(AG56:AG58)+SDW, SUM(AG56:AG58)+ICW)</f>
        <v>#VALUE!</v>
      </c>
      <c r="AH60" s="31" t="s">
        <v>663</v>
      </c>
      <c r="AI60">
        <v>11</v>
      </c>
      <c r="AJ60" s="29"/>
      <c r="AK60" s="309"/>
      <c r="AL60" s="31"/>
      <c r="AM60" s="29"/>
      <c r="AN60" s="30"/>
      <c r="AO60" s="31"/>
      <c r="AP60" s="29" t="s">
        <v>679</v>
      </c>
      <c r="AQ60" s="324" t="e">
        <f>AQ58*Pult</f>
        <v>#VALUE!</v>
      </c>
      <c r="AR60" s="31" t="s">
        <v>181</v>
      </c>
      <c r="AT60" s="29" t="s">
        <v>662</v>
      </c>
      <c r="AU60" s="339" t="e">
        <f>AU58*AU57</f>
        <v>#VALUE!</v>
      </c>
      <c r="AV60" s="31" t="s">
        <v>181</v>
      </c>
      <c r="AX60" s="629"/>
      <c r="AY60" s="561"/>
      <c r="AZ60" s="30" t="s">
        <v>671</v>
      </c>
      <c r="BA60" s="309" t="e">
        <f>BA58*BA59</f>
        <v>#VALUE!</v>
      </c>
      <c r="BB60" s="311" t="s">
        <v>676</v>
      </c>
      <c r="BC60" s="313"/>
      <c r="BD60" s="309" t="e">
        <f>IF(AX56="Interior Drive Post", (BA60/144)-(((GL+GR)*(ML/25.4))/144), BA60/144)</f>
        <v>#VALUE!</v>
      </c>
      <c r="BE60" s="31" t="s">
        <v>677</v>
      </c>
      <c r="BF60" s="29" t="s">
        <v>678</v>
      </c>
      <c r="BG60" s="314" t="e">
        <f>BG59/12*BG58</f>
        <v>#VALUE!</v>
      </c>
      <c r="BH60" s="31" t="s">
        <v>663</v>
      </c>
      <c r="BI60" s="29" t="s">
        <v>678</v>
      </c>
      <c r="BJ60" s="315" t="e">
        <f>BJ56*BJ57</f>
        <v>#VALUE!</v>
      </c>
      <c r="BK60" s="31" t="s">
        <v>663</v>
      </c>
      <c r="BL60" s="29" t="s">
        <v>678</v>
      </c>
      <c r="BM60" s="316" t="e">
        <f>BM56*BM57</f>
        <v>#VALUE!</v>
      </c>
      <c r="BN60" s="31" t="s">
        <v>181</v>
      </c>
      <c r="BO60" s="29" t="s">
        <v>654</v>
      </c>
      <c r="BP60" s="320" t="e">
        <f>IF(AX56="Interior Drive Post", SUM(BP56:BP58)+SDW, SUM(BP56:BP58)+ICW)</f>
        <v>#VALUE!</v>
      </c>
      <c r="BQ60" s="31" t="s">
        <v>663</v>
      </c>
      <c r="BR60">
        <v>11</v>
      </c>
      <c r="BS60" s="29"/>
      <c r="BT60" s="309"/>
      <c r="BU60" s="31"/>
      <c r="BV60" s="29"/>
      <c r="BW60" s="30"/>
      <c r="BX60" s="31"/>
      <c r="BY60" s="29" t="s">
        <v>679</v>
      </c>
      <c r="BZ60" s="324" t="e">
        <f>BZ58*Pult</f>
        <v>#VALUE!</v>
      </c>
      <c r="CA60" s="31" t="s">
        <v>181</v>
      </c>
      <c r="CC60" s="29" t="s">
        <v>662</v>
      </c>
      <c r="CD60" s="339" t="e">
        <f>CD58*CD57</f>
        <v>#VALUE!</v>
      </c>
      <c r="CE60" s="31" t="s">
        <v>181</v>
      </c>
    </row>
    <row r="61" spans="2:83" x14ac:dyDescent="0.25">
      <c r="B61" s="34" t="str">
        <f t="shared" si="45"/>
        <v/>
      </c>
      <c r="C61" s="299">
        <v>20</v>
      </c>
      <c r="D61" s="7" t="str">
        <f t="shared" si="46"/>
        <v/>
      </c>
      <c r="E61" s="299" t="str">
        <f t="shared" si="47"/>
        <v/>
      </c>
      <c r="G61" s="302">
        <v>56</v>
      </c>
      <c r="H61" s="7" t="e">
        <f t="shared" si="43"/>
        <v>#VALUE!</v>
      </c>
      <c r="I61" s="299" t="e">
        <f t="shared" si="44"/>
        <v>#VALUE!</v>
      </c>
      <c r="J61" s="7"/>
      <c r="K61" s="376">
        <v>20</v>
      </c>
      <c r="L61" s="652" t="str">
        <f t="shared" si="48"/>
        <v/>
      </c>
      <c r="M61" s="556"/>
      <c r="O61" s="653" t="str">
        <f>D17</f>
        <v/>
      </c>
      <c r="P61" s="558"/>
      <c r="Q61" s="25" t="s">
        <v>656</v>
      </c>
      <c r="R61" s="297" t="str">
        <f>L17</f>
        <v/>
      </c>
      <c r="S61" s="310" t="s">
        <v>657</v>
      </c>
      <c r="T61" s="312"/>
      <c r="U61" s="297" t="e">
        <f>R61/12</f>
        <v>#VALUE!</v>
      </c>
      <c r="V61" s="26" t="s">
        <v>658</v>
      </c>
      <c r="W61" s="24" t="s">
        <v>659</v>
      </c>
      <c r="X61" s="297" t="e">
        <f>VL</f>
        <v>#VALUE!</v>
      </c>
      <c r="Y61" s="26" t="s">
        <v>657</v>
      </c>
      <c r="Z61" s="24" t="s">
        <v>660</v>
      </c>
      <c r="AA61" s="297">
        <f>VLOOKUP(TS,'List Data'!$A$15:$B$18, 2, FALSE)</f>
        <v>7.8955000000000002</v>
      </c>
      <c r="AB61" s="26" t="s">
        <v>661</v>
      </c>
      <c r="AC61" s="24" t="s">
        <v>662</v>
      </c>
      <c r="AD61" s="297" t="e">
        <f>PL</f>
        <v>#VALUE!</v>
      </c>
      <c r="AE61" s="26" t="s">
        <v>65</v>
      </c>
      <c r="AF61" s="24" t="s">
        <v>651</v>
      </c>
      <c r="AG61" s="318" t="e">
        <f>X65</f>
        <v>#VALUE!</v>
      </c>
      <c r="AH61" s="26" t="s">
        <v>663</v>
      </c>
      <c r="AJ61" s="24" t="s">
        <v>664</v>
      </c>
      <c r="AK61" s="297" t="e">
        <f>ROUND(MT/12,5)</f>
        <v>#VALUE!</v>
      </c>
      <c r="AL61" s="26" t="s">
        <v>658</v>
      </c>
      <c r="AM61" s="24" t="s">
        <v>370</v>
      </c>
      <c r="AN61" s="297">
        <f>IF(OR(TS="5x4, .126", TS="5x4, .134"), 5/12,4/12)</f>
        <v>0.41666666666666669</v>
      </c>
      <c r="AO61" s="26" t="s">
        <v>658</v>
      </c>
      <c r="AP61" s="24" t="s">
        <v>653</v>
      </c>
      <c r="AQ61" s="322" t="e">
        <f>AK63</f>
        <v>#VALUE!</v>
      </c>
      <c r="AR61" s="26" t="s">
        <v>665</v>
      </c>
      <c r="AT61" s="24" t="s">
        <v>666</v>
      </c>
      <c r="AU61" s="338" t="str">
        <f>Theta</f>
        <v>XX</v>
      </c>
      <c r="AV61" s="26" t="s">
        <v>667</v>
      </c>
      <c r="AX61" s="653" t="str">
        <f>D53</f>
        <v/>
      </c>
      <c r="AY61" s="558"/>
      <c r="AZ61" s="25" t="s">
        <v>656</v>
      </c>
      <c r="BA61" s="297" t="str">
        <f>L53</f>
        <v/>
      </c>
      <c r="BB61" s="310" t="s">
        <v>657</v>
      </c>
      <c r="BC61" s="312"/>
      <c r="BD61" s="297" t="e">
        <f>BA61/12</f>
        <v>#VALUE!</v>
      </c>
      <c r="BE61" s="26" t="s">
        <v>658</v>
      </c>
      <c r="BF61" s="24" t="s">
        <v>659</v>
      </c>
      <c r="BG61" s="297" t="e">
        <f>VL</f>
        <v>#VALUE!</v>
      </c>
      <c r="BH61" s="26" t="s">
        <v>657</v>
      </c>
      <c r="BI61" s="24" t="s">
        <v>660</v>
      </c>
      <c r="BJ61" s="297">
        <f>VLOOKUP(TS,'List Data'!$A$15:$B$18, 2, FALSE)</f>
        <v>7.8955000000000002</v>
      </c>
      <c r="BK61" s="26" t="s">
        <v>661</v>
      </c>
      <c r="BL61" s="24" t="s">
        <v>662</v>
      </c>
      <c r="BM61" s="297" t="e">
        <f>PL</f>
        <v>#VALUE!</v>
      </c>
      <c r="BN61" s="26" t="s">
        <v>65</v>
      </c>
      <c r="BO61" s="24" t="s">
        <v>651</v>
      </c>
      <c r="BP61" s="318" t="e">
        <f>BG65</f>
        <v>#VALUE!</v>
      </c>
      <c r="BQ61" s="26" t="s">
        <v>663</v>
      </c>
      <c r="BS61" s="24" t="s">
        <v>664</v>
      </c>
      <c r="BT61" s="297" t="e">
        <f>ROUND(MT/12,5)</f>
        <v>#VALUE!</v>
      </c>
      <c r="BU61" s="26" t="s">
        <v>658</v>
      </c>
      <c r="BV61" s="24" t="s">
        <v>370</v>
      </c>
      <c r="BW61" s="297">
        <f>IF(OR(TS="5x4, .126", TS="5x4, .134"), 5/12,4/12)</f>
        <v>0.41666666666666669</v>
      </c>
      <c r="BX61" s="26" t="s">
        <v>658</v>
      </c>
      <c r="BY61" s="24" t="s">
        <v>653</v>
      </c>
      <c r="BZ61" s="322" t="e">
        <f>BT63</f>
        <v>#VALUE!</v>
      </c>
      <c r="CA61" s="26" t="s">
        <v>665</v>
      </c>
      <c r="CC61" s="24" t="s">
        <v>666</v>
      </c>
      <c r="CD61" s="338" t="str">
        <f>Theta</f>
        <v>XX</v>
      </c>
      <c r="CE61" s="26" t="s">
        <v>667</v>
      </c>
    </row>
    <row r="62" spans="2:83" x14ac:dyDescent="0.25">
      <c r="B62" s="34" t="str">
        <f t="shared" si="45"/>
        <v/>
      </c>
      <c r="C62" s="299">
        <v>21</v>
      </c>
      <c r="D62" s="7" t="str">
        <f t="shared" si="46"/>
        <v/>
      </c>
      <c r="E62" s="299" t="str">
        <f t="shared" si="47"/>
        <v/>
      </c>
      <c r="G62" s="302">
        <v>57</v>
      </c>
      <c r="H62" s="7" t="e">
        <f t="shared" si="43"/>
        <v>#VALUE!</v>
      </c>
      <c r="I62" s="299" t="e">
        <f t="shared" si="44"/>
        <v>#VALUE!</v>
      </c>
      <c r="J62" s="7"/>
      <c r="K62" s="376">
        <v>21</v>
      </c>
      <c r="L62" s="652" t="str">
        <f t="shared" si="48"/>
        <v/>
      </c>
      <c r="M62" s="556"/>
      <c r="O62" s="628"/>
      <c r="P62" s="559"/>
      <c r="Q62" t="s">
        <v>668</v>
      </c>
      <c r="R62" s="7" t="str">
        <f>L18</f>
        <v/>
      </c>
      <c r="S62" s="77" t="s">
        <v>657</v>
      </c>
      <c r="T62" s="43"/>
      <c r="U62" s="7" t="e">
        <f>R62/12</f>
        <v>#VALUE!</v>
      </c>
      <c r="V62" s="28" t="s">
        <v>658</v>
      </c>
      <c r="W62" s="27" t="s">
        <v>669</v>
      </c>
      <c r="X62" s="7">
        <f>COUNTIFS($I$6:$I$105, "&lt;="&amp;R61, $I$6:$I$105, "&gt;="&amp;R62)</f>
        <v>0</v>
      </c>
      <c r="Y62" s="28" t="s">
        <v>670</v>
      </c>
      <c r="Z62" s="27" t="s">
        <v>659</v>
      </c>
      <c r="AA62" s="7" t="e">
        <f>IF(O61="Exterior Drive Post", (U63-(TG/12)), U63)</f>
        <v>#VALUE!</v>
      </c>
      <c r="AB62" s="28" t="s">
        <v>658</v>
      </c>
      <c r="AC62" s="27" t="s">
        <v>671</v>
      </c>
      <c r="AD62" s="7" t="e">
        <f>U65</f>
        <v>#VALUE!</v>
      </c>
      <c r="AE62" s="28" t="s">
        <v>665</v>
      </c>
      <c r="AF62" s="27" t="s">
        <v>672</v>
      </c>
      <c r="AG62" s="317" t="e">
        <f>AA65</f>
        <v>#VALUE!</v>
      </c>
      <c r="AH62" s="28" t="s">
        <v>663</v>
      </c>
      <c r="AJ62" s="27" t="s">
        <v>659</v>
      </c>
      <c r="AK62" s="7" t="e">
        <f>IF(O61= "Exterior Drive Post", (U63)-((GL+GR)/12), U63)</f>
        <v>#VALUE!</v>
      </c>
      <c r="AL62" s="28" t="s">
        <v>658</v>
      </c>
      <c r="AM62" s="27" t="s">
        <v>659</v>
      </c>
      <c r="AN62" s="7" t="e">
        <f>AA62</f>
        <v>#VALUE!</v>
      </c>
      <c r="AO62" s="28" t="s">
        <v>658</v>
      </c>
      <c r="AP62" s="27" t="s">
        <v>672</v>
      </c>
      <c r="AQ62" s="323" t="e">
        <f>AN63</f>
        <v>#VALUE!</v>
      </c>
      <c r="AR62" s="28" t="s">
        <v>665</v>
      </c>
      <c r="AT62" s="27" t="s">
        <v>673</v>
      </c>
      <c r="AU62" s="210" t="e">
        <f>RSL*COS(Radians)</f>
        <v>#VALUE!</v>
      </c>
      <c r="AV62" s="28" t="s">
        <v>65</v>
      </c>
      <c r="AX62" s="628"/>
      <c r="AY62" s="559"/>
      <c r="AZ62" t="s">
        <v>668</v>
      </c>
      <c r="BA62" s="7" t="str">
        <f>L54</f>
        <v/>
      </c>
      <c r="BB62" s="77" t="s">
        <v>657</v>
      </c>
      <c r="BC62" s="43"/>
      <c r="BD62" s="7" t="e">
        <f>BA62/12</f>
        <v>#VALUE!</v>
      </c>
      <c r="BE62" s="28" t="s">
        <v>658</v>
      </c>
      <c r="BF62" s="27" t="s">
        <v>669</v>
      </c>
      <c r="BG62" s="7">
        <f>COUNTIFS($I$6:$I$105, "&lt;="&amp;BA61, $I$6:$I$105, "&gt;="&amp;BA62)</f>
        <v>0</v>
      </c>
      <c r="BH62" s="28" t="s">
        <v>670</v>
      </c>
      <c r="BI62" s="27" t="s">
        <v>659</v>
      </c>
      <c r="BJ62" s="7" t="e">
        <f>IF(AX61="Interior Drive Post", (BD63-(TG/12)), BD63)</f>
        <v>#VALUE!</v>
      </c>
      <c r="BK62" s="28" t="s">
        <v>658</v>
      </c>
      <c r="BL62" s="27" t="s">
        <v>671</v>
      </c>
      <c r="BM62" s="7" t="e">
        <f>BD65</f>
        <v>#VALUE!</v>
      </c>
      <c r="BN62" s="28" t="s">
        <v>665</v>
      </c>
      <c r="BO62" s="27" t="s">
        <v>672</v>
      </c>
      <c r="BP62" s="317" t="e">
        <f>BJ65</f>
        <v>#VALUE!</v>
      </c>
      <c r="BQ62" s="28" t="s">
        <v>663</v>
      </c>
      <c r="BS62" s="27" t="s">
        <v>659</v>
      </c>
      <c r="BT62" s="7" t="e">
        <f>IF(AX61= "Interior Drive Post", (BD63)-((GL+GR)/12), BD63)</f>
        <v>#VALUE!</v>
      </c>
      <c r="BU62" s="28" t="s">
        <v>658</v>
      </c>
      <c r="BV62" s="27" t="s">
        <v>659</v>
      </c>
      <c r="BW62" s="7" t="e">
        <f>BJ62</f>
        <v>#VALUE!</v>
      </c>
      <c r="BX62" s="28" t="s">
        <v>658</v>
      </c>
      <c r="BY62" s="27" t="s">
        <v>672</v>
      </c>
      <c r="BZ62" s="323" t="e">
        <f>BW63</f>
        <v>#VALUE!</v>
      </c>
      <c r="CA62" s="28" t="s">
        <v>665</v>
      </c>
      <c r="CC62" s="27" t="s">
        <v>673</v>
      </c>
      <c r="CD62" s="210" t="e">
        <f>RSL*COS(Radians)</f>
        <v>#VALUE!</v>
      </c>
      <c r="CE62" s="28" t="s">
        <v>65</v>
      </c>
    </row>
    <row r="63" spans="2:83" x14ac:dyDescent="0.25">
      <c r="B63" s="34" t="str">
        <f t="shared" si="45"/>
        <v/>
      </c>
      <c r="C63" s="299">
        <v>22</v>
      </c>
      <c r="D63" s="7" t="str">
        <f t="shared" si="46"/>
        <v/>
      </c>
      <c r="E63" s="299" t="str">
        <f t="shared" si="47"/>
        <v/>
      </c>
      <c r="G63" s="302">
        <v>58</v>
      </c>
      <c r="H63" s="7" t="e">
        <f t="shared" si="43"/>
        <v>#VALUE!</v>
      </c>
      <c r="I63" s="299" t="e">
        <f t="shared" si="44"/>
        <v>#VALUE!</v>
      </c>
      <c r="J63" s="7"/>
      <c r="K63" s="376">
        <v>22</v>
      </c>
      <c r="L63" s="652" t="str">
        <f t="shared" si="48"/>
        <v/>
      </c>
      <c r="M63" s="556"/>
      <c r="O63" s="628"/>
      <c r="P63" s="559"/>
      <c r="Q63" t="s">
        <v>659</v>
      </c>
      <c r="R63" s="7" t="e">
        <f>R61-R62</f>
        <v>#VALUE!</v>
      </c>
      <c r="S63" s="77" t="s">
        <v>657</v>
      </c>
      <c r="T63" s="43"/>
      <c r="U63" s="7" t="e">
        <f>R63/12</f>
        <v>#VALUE!</v>
      </c>
      <c r="V63" s="28" t="s">
        <v>658</v>
      </c>
      <c r="W63" s="27" t="s">
        <v>674</v>
      </c>
      <c r="X63" s="7" t="e">
        <f>X62*X61</f>
        <v>#VALUE!</v>
      </c>
      <c r="Y63" s="28" t="s">
        <v>657</v>
      </c>
      <c r="Z63" s="27"/>
      <c r="AA63" s="7"/>
      <c r="AB63" s="28"/>
      <c r="AC63" s="27"/>
      <c r="AD63" s="7"/>
      <c r="AE63" s="28"/>
      <c r="AF63" s="27" t="s">
        <v>653</v>
      </c>
      <c r="AG63" s="319" t="e">
        <f>AD65</f>
        <v>#VALUE!</v>
      </c>
      <c r="AH63" s="28" t="s">
        <v>663</v>
      </c>
      <c r="AJ63" s="27" t="s">
        <v>671</v>
      </c>
      <c r="AK63" s="321" t="e">
        <f>AK61*AK62</f>
        <v>#VALUE!</v>
      </c>
      <c r="AL63" s="28" t="s">
        <v>665</v>
      </c>
      <c r="AM63" s="27" t="s">
        <v>671</v>
      </c>
      <c r="AN63" s="323" t="e">
        <f>AN62*AN61</f>
        <v>#VALUE!</v>
      </c>
      <c r="AO63" s="28" t="s">
        <v>665</v>
      </c>
      <c r="AP63" s="27" t="s">
        <v>654</v>
      </c>
      <c r="AQ63" s="7" t="e">
        <f>SUM(AQ61:AQ62)</f>
        <v>#VALUE!</v>
      </c>
      <c r="AR63" s="28" t="s">
        <v>665</v>
      </c>
      <c r="AT63" s="27" t="s">
        <v>671</v>
      </c>
      <c r="AU63" s="210" t="e">
        <f>U65</f>
        <v>#VALUE!</v>
      </c>
      <c r="AV63" s="28" t="s">
        <v>690</v>
      </c>
      <c r="AX63" s="628"/>
      <c r="AY63" s="559"/>
      <c r="AZ63" t="s">
        <v>659</v>
      </c>
      <c r="BA63" s="7" t="e">
        <f>BA61-BA62</f>
        <v>#VALUE!</v>
      </c>
      <c r="BB63" s="77" t="s">
        <v>657</v>
      </c>
      <c r="BC63" s="43"/>
      <c r="BD63" s="7" t="e">
        <f>BA63/12</f>
        <v>#VALUE!</v>
      </c>
      <c r="BE63" s="28" t="s">
        <v>658</v>
      </c>
      <c r="BF63" s="27" t="s">
        <v>674</v>
      </c>
      <c r="BG63" s="7" t="e">
        <f>BG62*BG61</f>
        <v>#VALUE!</v>
      </c>
      <c r="BH63" s="28" t="s">
        <v>657</v>
      </c>
      <c r="BI63" s="27"/>
      <c r="BJ63" s="7"/>
      <c r="BK63" s="28"/>
      <c r="BL63" s="27"/>
      <c r="BM63" s="7"/>
      <c r="BN63" s="28"/>
      <c r="BO63" s="27" t="s">
        <v>653</v>
      </c>
      <c r="BP63" s="319" t="e">
        <f>BM65</f>
        <v>#VALUE!</v>
      </c>
      <c r="BQ63" s="28" t="s">
        <v>663</v>
      </c>
      <c r="BS63" s="27" t="s">
        <v>671</v>
      </c>
      <c r="BT63" s="321" t="e">
        <f>BT61*BT62</f>
        <v>#VALUE!</v>
      </c>
      <c r="BU63" s="28" t="s">
        <v>665</v>
      </c>
      <c r="BV63" s="27" t="s">
        <v>671</v>
      </c>
      <c r="BW63" s="323" t="e">
        <f>BW62*BW61</f>
        <v>#VALUE!</v>
      </c>
      <c r="BX63" s="28" t="s">
        <v>665</v>
      </c>
      <c r="BY63" s="27" t="s">
        <v>654</v>
      </c>
      <c r="BZ63" s="7" t="e">
        <f>SUM(BZ61:BZ62)</f>
        <v>#VALUE!</v>
      </c>
      <c r="CA63" s="28" t="s">
        <v>665</v>
      </c>
      <c r="CC63" s="27" t="s">
        <v>671</v>
      </c>
      <c r="CD63" s="210" t="e">
        <f>BD65</f>
        <v>#VALUE!</v>
      </c>
      <c r="CE63" s="28" t="s">
        <v>665</v>
      </c>
    </row>
    <row r="64" spans="2:83" x14ac:dyDescent="0.25">
      <c r="B64" s="34" t="str">
        <f t="shared" si="45"/>
        <v/>
      </c>
      <c r="C64" s="299">
        <v>23</v>
      </c>
      <c r="D64" s="7" t="str">
        <f t="shared" si="46"/>
        <v/>
      </c>
      <c r="E64" s="299" t="str">
        <f t="shared" si="47"/>
        <v/>
      </c>
      <c r="G64" s="302">
        <v>59</v>
      </c>
      <c r="H64" s="7" t="e">
        <f t="shared" si="43"/>
        <v>#VALUE!</v>
      </c>
      <c r="I64" s="299" t="e">
        <f t="shared" si="44"/>
        <v>#VALUE!</v>
      </c>
      <c r="J64" s="7"/>
      <c r="K64" s="376">
        <v>23</v>
      </c>
      <c r="L64" s="652" t="str">
        <f t="shared" si="48"/>
        <v/>
      </c>
      <c r="M64" s="556"/>
      <c r="O64" s="628"/>
      <c r="P64" s="559"/>
      <c r="Q64" t="s">
        <v>675</v>
      </c>
      <c r="R64" s="7" t="e">
        <f>ROUND(ML, 3)</f>
        <v>#VALUE!</v>
      </c>
      <c r="S64" s="77" t="s">
        <v>657</v>
      </c>
      <c r="T64" s="43"/>
      <c r="U64" s="7" t="e">
        <f>R64/12</f>
        <v>#VALUE!</v>
      </c>
      <c r="V64" s="28" t="s">
        <v>658</v>
      </c>
      <c r="W64" s="27" t="s">
        <v>660</v>
      </c>
      <c r="X64" s="7">
        <f>VLOOKUP(VS,'List Data'!$A$8:$B$12, 2, FALSE)</f>
        <v>2.1419999999999999</v>
      </c>
      <c r="Y64" s="28" t="s">
        <v>661</v>
      </c>
      <c r="Z64" s="27"/>
      <c r="AA64" s="7"/>
      <c r="AB64" s="28"/>
      <c r="AC64" s="27"/>
      <c r="AD64" s="7"/>
      <c r="AE64" s="28"/>
      <c r="AF64" s="27"/>
      <c r="AH64" s="28"/>
      <c r="AJ64" s="27"/>
      <c r="AK64" s="7"/>
      <c r="AL64" s="28"/>
      <c r="AM64" s="27"/>
      <c r="AO64" s="28"/>
      <c r="AP64" s="27"/>
      <c r="AQ64" s="7"/>
      <c r="AR64" s="28"/>
      <c r="AT64" s="27"/>
      <c r="AU64" s="210"/>
      <c r="AV64" s="28"/>
      <c r="AX64" s="628"/>
      <c r="AY64" s="559"/>
      <c r="AZ64" t="s">
        <v>675</v>
      </c>
      <c r="BA64" s="7" t="e">
        <f>ROUND(ML, 3)</f>
        <v>#VALUE!</v>
      </c>
      <c r="BB64" s="77" t="s">
        <v>657</v>
      </c>
      <c r="BC64" s="43"/>
      <c r="BD64" s="7" t="e">
        <f>BA64/12</f>
        <v>#VALUE!</v>
      </c>
      <c r="BE64" s="28" t="s">
        <v>658</v>
      </c>
      <c r="BF64" s="27" t="s">
        <v>660</v>
      </c>
      <c r="BG64" s="7">
        <f>VLOOKUP(VS,'List Data'!$A$8:$B$12, 2, FALSE)</f>
        <v>2.1419999999999999</v>
      </c>
      <c r="BH64" s="28" t="s">
        <v>661</v>
      </c>
      <c r="BI64" s="27"/>
      <c r="BJ64" s="7"/>
      <c r="BK64" s="28"/>
      <c r="BL64" s="27"/>
      <c r="BM64" s="7"/>
      <c r="BN64" s="28"/>
      <c r="BO64" s="27"/>
      <c r="BQ64" s="28"/>
      <c r="BS64" s="27"/>
      <c r="BT64" s="7"/>
      <c r="BU64" s="28"/>
      <c r="BV64" s="27"/>
      <c r="BX64" s="28"/>
      <c r="BY64" s="27"/>
      <c r="BZ64" s="7"/>
      <c r="CA64" s="28"/>
      <c r="CC64" s="27"/>
      <c r="CD64" s="210"/>
      <c r="CE64" s="28"/>
    </row>
    <row r="65" spans="2:83" x14ac:dyDescent="0.25">
      <c r="B65" s="34" t="str">
        <f t="shared" si="45"/>
        <v/>
      </c>
      <c r="C65" s="299">
        <v>24</v>
      </c>
      <c r="D65" s="7" t="str">
        <f t="shared" si="46"/>
        <v/>
      </c>
      <c r="E65" s="299" t="str">
        <f t="shared" si="47"/>
        <v/>
      </c>
      <c r="G65" s="302">
        <v>60</v>
      </c>
      <c r="H65" s="7" t="e">
        <f t="shared" si="43"/>
        <v>#VALUE!</v>
      </c>
      <c r="I65" s="299" t="e">
        <f t="shared" si="44"/>
        <v>#VALUE!</v>
      </c>
      <c r="J65" s="7"/>
      <c r="K65" s="376">
        <v>24</v>
      </c>
      <c r="L65" s="652" t="str">
        <f t="shared" si="48"/>
        <v/>
      </c>
      <c r="M65" s="556"/>
      <c r="O65" s="629"/>
      <c r="P65" s="561"/>
      <c r="Q65" s="30" t="s">
        <v>671</v>
      </c>
      <c r="R65" s="309" t="e">
        <f>R63*R64</f>
        <v>#VALUE!</v>
      </c>
      <c r="S65" s="311" t="s">
        <v>676</v>
      </c>
      <c r="T65" s="313"/>
      <c r="U65" s="309" t="e">
        <f>IF(O61="Exterior Drive Post", (R65/144)-(((GL+GR)*(ML/25.4))/144), R65/144)</f>
        <v>#VALUE!</v>
      </c>
      <c r="V65" s="31" t="s">
        <v>677</v>
      </c>
      <c r="W65" s="29" t="s">
        <v>678</v>
      </c>
      <c r="X65" s="314" t="e">
        <f>X64/12*X63</f>
        <v>#VALUE!</v>
      </c>
      <c r="Y65" s="31" t="s">
        <v>663</v>
      </c>
      <c r="Z65" s="29" t="s">
        <v>678</v>
      </c>
      <c r="AA65" s="315" t="e">
        <f>AA61*AA62</f>
        <v>#VALUE!</v>
      </c>
      <c r="AB65" s="31" t="s">
        <v>663</v>
      </c>
      <c r="AC65" s="29" t="s">
        <v>678</v>
      </c>
      <c r="AD65" s="316" t="e">
        <f>AD61*AD62</f>
        <v>#VALUE!</v>
      </c>
      <c r="AE65" s="31" t="s">
        <v>181</v>
      </c>
      <c r="AF65" s="29" t="s">
        <v>654</v>
      </c>
      <c r="AG65" s="320" t="e">
        <f>IF(O61="Exterior Drive Post", SUM(AG61:AG63)+SDW, SUM(AG61:AG63)+ICW)</f>
        <v>#VALUE!</v>
      </c>
      <c r="AH65" s="31" t="s">
        <v>663</v>
      </c>
      <c r="AI65">
        <v>12</v>
      </c>
      <c r="AJ65" s="29"/>
      <c r="AK65" s="309"/>
      <c r="AL65" s="31"/>
      <c r="AM65" s="29"/>
      <c r="AN65" s="30"/>
      <c r="AO65" s="31"/>
      <c r="AP65" s="29" t="s">
        <v>679</v>
      </c>
      <c r="AQ65" s="324" t="e">
        <f>AQ63*Pult</f>
        <v>#VALUE!</v>
      </c>
      <c r="AR65" s="31" t="s">
        <v>181</v>
      </c>
      <c r="AT65" s="29" t="s">
        <v>662</v>
      </c>
      <c r="AU65" s="339" t="e">
        <f>AU63*AU62</f>
        <v>#VALUE!</v>
      </c>
      <c r="AV65" s="31" t="s">
        <v>181</v>
      </c>
      <c r="AX65" s="629"/>
      <c r="AY65" s="561"/>
      <c r="AZ65" s="30" t="s">
        <v>671</v>
      </c>
      <c r="BA65" s="309" t="e">
        <f>BA63*BA64</f>
        <v>#VALUE!</v>
      </c>
      <c r="BB65" s="311" t="s">
        <v>676</v>
      </c>
      <c r="BC65" s="313"/>
      <c r="BD65" s="309" t="e">
        <f>IF(AX61="Interior Drive Post", (BA65/144)-(((GL+GR)*(ML/25.4))/144), BA65/144)</f>
        <v>#VALUE!</v>
      </c>
      <c r="BE65" s="31" t="s">
        <v>677</v>
      </c>
      <c r="BF65" s="29" t="s">
        <v>678</v>
      </c>
      <c r="BG65" s="314" t="e">
        <f>BG64/12*BG63</f>
        <v>#VALUE!</v>
      </c>
      <c r="BH65" s="31" t="s">
        <v>663</v>
      </c>
      <c r="BI65" s="29" t="s">
        <v>678</v>
      </c>
      <c r="BJ65" s="315" t="e">
        <f>BJ61*BJ62</f>
        <v>#VALUE!</v>
      </c>
      <c r="BK65" s="31" t="s">
        <v>663</v>
      </c>
      <c r="BL65" s="29" t="s">
        <v>678</v>
      </c>
      <c r="BM65" s="316" t="e">
        <f>BM61*BM62</f>
        <v>#VALUE!</v>
      </c>
      <c r="BN65" s="31" t="s">
        <v>181</v>
      </c>
      <c r="BO65" s="29" t="s">
        <v>654</v>
      </c>
      <c r="BP65" s="320" t="e">
        <f>IF(AX61="Interior Drive Post", SUM(BP61:BP63)+SDW, SUM(BP61:BP63)+ICW)</f>
        <v>#VALUE!</v>
      </c>
      <c r="BQ65" s="31" t="s">
        <v>663</v>
      </c>
      <c r="BR65">
        <v>12</v>
      </c>
      <c r="BS65" s="29"/>
      <c r="BT65" s="309"/>
      <c r="BU65" s="31"/>
      <c r="BV65" s="29"/>
      <c r="BW65" s="30"/>
      <c r="BX65" s="31"/>
      <c r="BY65" s="29" t="s">
        <v>679</v>
      </c>
      <c r="BZ65" s="324" t="e">
        <f>BZ63*Pult</f>
        <v>#VALUE!</v>
      </c>
      <c r="CA65" s="31" t="s">
        <v>181</v>
      </c>
      <c r="CC65" s="29" t="s">
        <v>662</v>
      </c>
      <c r="CD65" s="339" t="e">
        <f>CD63*CD62</f>
        <v>#VALUE!</v>
      </c>
      <c r="CE65" s="31" t="s">
        <v>181</v>
      </c>
    </row>
    <row r="66" spans="2:83" x14ac:dyDescent="0.25">
      <c r="B66" s="34" t="str">
        <f t="shared" si="45"/>
        <v/>
      </c>
      <c r="C66" s="299">
        <v>25</v>
      </c>
      <c r="D66" s="7" t="str">
        <f t="shared" si="46"/>
        <v/>
      </c>
      <c r="E66" s="299" t="str">
        <f t="shared" si="47"/>
        <v/>
      </c>
      <c r="G66" s="302">
        <v>61</v>
      </c>
      <c r="H66" s="7" t="e">
        <f t="shared" si="43"/>
        <v>#VALUE!</v>
      </c>
      <c r="I66" s="299" t="e">
        <f t="shared" si="44"/>
        <v>#VALUE!</v>
      </c>
      <c r="J66" s="7"/>
      <c r="K66" s="376">
        <v>25</v>
      </c>
      <c r="L66" s="652" t="str">
        <f t="shared" si="48"/>
        <v/>
      </c>
      <c r="M66" s="556"/>
      <c r="O66" s="653" t="str">
        <f>D18</f>
        <v/>
      </c>
      <c r="P66" s="558"/>
      <c r="Q66" s="25" t="s">
        <v>656</v>
      </c>
      <c r="R66" s="297" t="str">
        <f>L18</f>
        <v/>
      </c>
      <c r="S66" s="310" t="s">
        <v>657</v>
      </c>
      <c r="T66" s="312"/>
      <c r="U66" s="297" t="e">
        <f>R66/12</f>
        <v>#VALUE!</v>
      </c>
      <c r="V66" s="26" t="s">
        <v>658</v>
      </c>
      <c r="W66" s="24" t="s">
        <v>659</v>
      </c>
      <c r="X66" s="297" t="e">
        <f>VL</f>
        <v>#VALUE!</v>
      </c>
      <c r="Y66" s="26" t="s">
        <v>657</v>
      </c>
      <c r="Z66" s="24" t="s">
        <v>660</v>
      </c>
      <c r="AA66" s="297">
        <f>VLOOKUP(TS,'List Data'!$A$15:$B$18, 2, FALSE)</f>
        <v>7.8955000000000002</v>
      </c>
      <c r="AB66" s="26" t="s">
        <v>661</v>
      </c>
      <c r="AC66" s="24" t="s">
        <v>662</v>
      </c>
      <c r="AD66" s="297" t="e">
        <f>PL</f>
        <v>#VALUE!</v>
      </c>
      <c r="AE66" s="26" t="s">
        <v>65</v>
      </c>
      <c r="AF66" s="24" t="s">
        <v>651</v>
      </c>
      <c r="AG66" s="318" t="e">
        <f>X70</f>
        <v>#VALUE!</v>
      </c>
      <c r="AH66" s="26" t="s">
        <v>663</v>
      </c>
      <c r="AJ66" s="24" t="s">
        <v>664</v>
      </c>
      <c r="AK66" s="297" t="e">
        <f>ROUND(MT/12,5)</f>
        <v>#VALUE!</v>
      </c>
      <c r="AL66" s="26" t="s">
        <v>658</v>
      </c>
      <c r="AM66" s="24" t="s">
        <v>370</v>
      </c>
      <c r="AN66" s="297">
        <f>IF(OR(TS="5x4, .126", TS="5x4, .134"), 5/12,4/12)</f>
        <v>0.41666666666666669</v>
      </c>
      <c r="AO66" s="26" t="s">
        <v>658</v>
      </c>
      <c r="AP66" s="24" t="s">
        <v>653</v>
      </c>
      <c r="AQ66" s="322" t="e">
        <f>AK68</f>
        <v>#VALUE!</v>
      </c>
      <c r="AR66" s="26" t="s">
        <v>665</v>
      </c>
      <c r="AT66" s="24" t="s">
        <v>666</v>
      </c>
      <c r="AU66" s="338" t="str">
        <f>Theta</f>
        <v>XX</v>
      </c>
      <c r="AV66" s="26" t="s">
        <v>667</v>
      </c>
      <c r="AX66" s="653" t="str">
        <f>D54</f>
        <v/>
      </c>
      <c r="AY66" s="558"/>
      <c r="AZ66" s="25" t="s">
        <v>656</v>
      </c>
      <c r="BA66" s="297" t="str">
        <f>L54</f>
        <v/>
      </c>
      <c r="BB66" s="310" t="s">
        <v>657</v>
      </c>
      <c r="BC66" s="312"/>
      <c r="BD66" s="297" t="e">
        <f>BA66/12</f>
        <v>#VALUE!</v>
      </c>
      <c r="BE66" s="26" t="s">
        <v>658</v>
      </c>
      <c r="BF66" s="24" t="s">
        <v>659</v>
      </c>
      <c r="BG66" s="297" t="e">
        <f>VL</f>
        <v>#VALUE!</v>
      </c>
      <c r="BH66" s="26" t="s">
        <v>657</v>
      </c>
      <c r="BI66" s="24" t="s">
        <v>660</v>
      </c>
      <c r="BJ66" s="297">
        <f>VLOOKUP(TS,'List Data'!$A$15:$B$18, 2, FALSE)</f>
        <v>7.8955000000000002</v>
      </c>
      <c r="BK66" s="26" t="s">
        <v>661</v>
      </c>
      <c r="BL66" s="24" t="s">
        <v>662</v>
      </c>
      <c r="BM66" s="297" t="e">
        <f>PL</f>
        <v>#VALUE!</v>
      </c>
      <c r="BN66" s="26" t="s">
        <v>65</v>
      </c>
      <c r="BO66" s="24" t="s">
        <v>651</v>
      </c>
      <c r="BP66" s="318" t="e">
        <f>BG70</f>
        <v>#VALUE!</v>
      </c>
      <c r="BQ66" s="26" t="s">
        <v>663</v>
      </c>
      <c r="BS66" s="24" t="s">
        <v>664</v>
      </c>
      <c r="BT66" s="297" t="e">
        <f>ROUND(MT/12,5)</f>
        <v>#VALUE!</v>
      </c>
      <c r="BU66" s="26" t="s">
        <v>658</v>
      </c>
      <c r="BV66" s="24" t="s">
        <v>370</v>
      </c>
      <c r="BW66" s="297">
        <f>IF(OR(TS="5x4, .126", TS="5x4, .134"), 5/12,4/12)</f>
        <v>0.41666666666666669</v>
      </c>
      <c r="BX66" s="26" t="s">
        <v>658</v>
      </c>
      <c r="BY66" s="24" t="s">
        <v>653</v>
      </c>
      <c r="BZ66" s="322" t="e">
        <f>BT68</f>
        <v>#VALUE!</v>
      </c>
      <c r="CA66" s="26" t="s">
        <v>665</v>
      </c>
      <c r="CC66" s="24" t="s">
        <v>666</v>
      </c>
      <c r="CD66" s="338" t="str">
        <f>Theta</f>
        <v>XX</v>
      </c>
      <c r="CE66" s="26" t="s">
        <v>667</v>
      </c>
    </row>
    <row r="67" spans="2:83" x14ac:dyDescent="0.25">
      <c r="B67" s="34" t="str">
        <f t="shared" si="45"/>
        <v/>
      </c>
      <c r="C67" s="299">
        <v>26</v>
      </c>
      <c r="D67" s="7" t="str">
        <f t="shared" si="46"/>
        <v/>
      </c>
      <c r="E67" s="299" t="str">
        <f t="shared" si="47"/>
        <v/>
      </c>
      <c r="G67" s="302">
        <v>62</v>
      </c>
      <c r="H67" s="7" t="e">
        <f t="shared" si="43"/>
        <v>#VALUE!</v>
      </c>
      <c r="I67" s="299" t="e">
        <f t="shared" si="44"/>
        <v>#VALUE!</v>
      </c>
      <c r="J67" s="7"/>
      <c r="K67" s="376">
        <v>26</v>
      </c>
      <c r="L67" s="652" t="str">
        <f t="shared" si="48"/>
        <v/>
      </c>
      <c r="M67" s="556"/>
      <c r="O67" s="628"/>
      <c r="P67" s="559"/>
      <c r="Q67" t="s">
        <v>668</v>
      </c>
      <c r="R67" s="7" t="str">
        <f>L19</f>
        <v/>
      </c>
      <c r="S67" s="77" t="s">
        <v>657</v>
      </c>
      <c r="T67" s="43"/>
      <c r="U67" s="7" t="e">
        <f>R67/12</f>
        <v>#VALUE!</v>
      </c>
      <c r="V67" s="28" t="s">
        <v>658</v>
      </c>
      <c r="W67" s="27" t="s">
        <v>669</v>
      </c>
      <c r="X67" s="7">
        <f>COUNTIFS($I$6:$I$105, "&lt;="&amp;R66, $I$6:$I$105, "&gt;="&amp;R67)</f>
        <v>0</v>
      </c>
      <c r="Y67" s="28" t="s">
        <v>670</v>
      </c>
      <c r="Z67" s="27" t="s">
        <v>659</v>
      </c>
      <c r="AA67" s="7" t="e">
        <f>IF(O66="Exterior Drive Post", (U68-(TG/12)), U68)</f>
        <v>#VALUE!</v>
      </c>
      <c r="AB67" s="28" t="s">
        <v>658</v>
      </c>
      <c r="AC67" s="27" t="s">
        <v>671</v>
      </c>
      <c r="AD67" s="7" t="e">
        <f>U70</f>
        <v>#VALUE!</v>
      </c>
      <c r="AE67" s="28" t="s">
        <v>665</v>
      </c>
      <c r="AF67" s="27" t="s">
        <v>672</v>
      </c>
      <c r="AG67" s="317" t="e">
        <f>AA70</f>
        <v>#VALUE!</v>
      </c>
      <c r="AH67" s="28" t="s">
        <v>663</v>
      </c>
      <c r="AJ67" s="27" t="s">
        <v>659</v>
      </c>
      <c r="AK67" s="7" t="e">
        <f>IF(O66= "Exterior Drive Post", (U68)-((GL+GR)/12), U68)</f>
        <v>#VALUE!</v>
      </c>
      <c r="AL67" s="28" t="s">
        <v>658</v>
      </c>
      <c r="AM67" s="27" t="s">
        <v>659</v>
      </c>
      <c r="AN67" s="7" t="e">
        <f>AA67</f>
        <v>#VALUE!</v>
      </c>
      <c r="AO67" s="28" t="s">
        <v>658</v>
      </c>
      <c r="AP67" s="27" t="s">
        <v>672</v>
      </c>
      <c r="AQ67" s="323" t="e">
        <f>AN68</f>
        <v>#VALUE!</v>
      </c>
      <c r="AR67" s="28" t="s">
        <v>665</v>
      </c>
      <c r="AT67" s="27" t="s">
        <v>673</v>
      </c>
      <c r="AU67" s="210" t="e">
        <f>RSL*COS(Radians)</f>
        <v>#VALUE!</v>
      </c>
      <c r="AV67" s="28" t="s">
        <v>65</v>
      </c>
      <c r="AX67" s="628"/>
      <c r="AY67" s="559"/>
      <c r="AZ67" t="s">
        <v>668</v>
      </c>
      <c r="BA67" s="7" t="str">
        <f>L55</f>
        <v/>
      </c>
      <c r="BB67" s="77" t="s">
        <v>657</v>
      </c>
      <c r="BC67" s="43"/>
      <c r="BD67" s="7" t="e">
        <f>BA67/12</f>
        <v>#VALUE!</v>
      </c>
      <c r="BE67" s="28" t="s">
        <v>658</v>
      </c>
      <c r="BF67" s="27" t="s">
        <v>669</v>
      </c>
      <c r="BG67" s="7">
        <f>COUNTIFS($I$6:$I$105, "&lt;="&amp;BA66, $I$6:$I$105, "&gt;="&amp;BA67)</f>
        <v>0</v>
      </c>
      <c r="BH67" s="28" t="s">
        <v>670</v>
      </c>
      <c r="BI67" s="27" t="s">
        <v>659</v>
      </c>
      <c r="BJ67" s="7" t="e">
        <f>IF(AX66="Interior Drive Post", (BD68-(TG/12)), BD68)</f>
        <v>#VALUE!</v>
      </c>
      <c r="BK67" s="28" t="s">
        <v>658</v>
      </c>
      <c r="BL67" s="27" t="s">
        <v>671</v>
      </c>
      <c r="BM67" s="7" t="e">
        <f>BD70</f>
        <v>#VALUE!</v>
      </c>
      <c r="BN67" s="28" t="s">
        <v>665</v>
      </c>
      <c r="BO67" s="27" t="s">
        <v>672</v>
      </c>
      <c r="BP67" s="317" t="e">
        <f>BJ70</f>
        <v>#VALUE!</v>
      </c>
      <c r="BQ67" s="28" t="s">
        <v>663</v>
      </c>
      <c r="BS67" s="27" t="s">
        <v>659</v>
      </c>
      <c r="BT67" s="7" t="e">
        <f>IF(AX66= "Interior Drive Post", (BD68)-((GL+GR)/12), BD68)</f>
        <v>#VALUE!</v>
      </c>
      <c r="BU67" s="28" t="s">
        <v>658</v>
      </c>
      <c r="BV67" s="27" t="s">
        <v>659</v>
      </c>
      <c r="BW67" s="7" t="e">
        <f>BJ67</f>
        <v>#VALUE!</v>
      </c>
      <c r="BX67" s="28" t="s">
        <v>658</v>
      </c>
      <c r="BY67" s="27" t="s">
        <v>672</v>
      </c>
      <c r="BZ67" s="323" t="e">
        <f>BW68</f>
        <v>#VALUE!</v>
      </c>
      <c r="CA67" s="28" t="s">
        <v>665</v>
      </c>
      <c r="CC67" s="27" t="s">
        <v>673</v>
      </c>
      <c r="CD67" s="210" t="e">
        <f>RSL*COS(Radians)</f>
        <v>#VALUE!</v>
      </c>
      <c r="CE67" s="28" t="s">
        <v>65</v>
      </c>
    </row>
    <row r="68" spans="2:83" x14ac:dyDescent="0.25">
      <c r="B68" s="34" t="str">
        <f t="shared" si="45"/>
        <v/>
      </c>
      <c r="C68" s="299">
        <v>27</v>
      </c>
      <c r="D68" s="7" t="str">
        <f t="shared" si="46"/>
        <v/>
      </c>
      <c r="E68" s="299" t="str">
        <f t="shared" si="47"/>
        <v/>
      </c>
      <c r="G68" s="302">
        <v>63</v>
      </c>
      <c r="H68" s="7" t="e">
        <f t="shared" si="43"/>
        <v>#VALUE!</v>
      </c>
      <c r="I68" s="299" t="e">
        <f t="shared" si="44"/>
        <v>#VALUE!</v>
      </c>
      <c r="J68" s="7"/>
      <c r="K68" s="376">
        <v>27</v>
      </c>
      <c r="L68" s="652" t="str">
        <f t="shared" si="48"/>
        <v/>
      </c>
      <c r="M68" s="556"/>
      <c r="O68" s="628"/>
      <c r="P68" s="559"/>
      <c r="Q68" t="s">
        <v>659</v>
      </c>
      <c r="R68" s="7" t="e">
        <f>R66-R67</f>
        <v>#VALUE!</v>
      </c>
      <c r="S68" s="77" t="s">
        <v>657</v>
      </c>
      <c r="T68" s="43"/>
      <c r="U68" s="7" t="e">
        <f>R68/12</f>
        <v>#VALUE!</v>
      </c>
      <c r="V68" s="28" t="s">
        <v>658</v>
      </c>
      <c r="W68" s="27" t="s">
        <v>674</v>
      </c>
      <c r="X68" s="7" t="e">
        <f>X67*X66</f>
        <v>#VALUE!</v>
      </c>
      <c r="Y68" s="28" t="s">
        <v>657</v>
      </c>
      <c r="Z68" s="27"/>
      <c r="AA68" s="7"/>
      <c r="AB68" s="28"/>
      <c r="AC68" s="27"/>
      <c r="AD68" s="7"/>
      <c r="AE68" s="28"/>
      <c r="AF68" s="27" t="s">
        <v>653</v>
      </c>
      <c r="AG68" s="319" t="e">
        <f>AD70</f>
        <v>#VALUE!</v>
      </c>
      <c r="AH68" s="28" t="s">
        <v>663</v>
      </c>
      <c r="AJ68" s="27" t="s">
        <v>671</v>
      </c>
      <c r="AK68" s="321" t="e">
        <f>AK66*AK67</f>
        <v>#VALUE!</v>
      </c>
      <c r="AL68" s="28" t="s">
        <v>665</v>
      </c>
      <c r="AM68" s="27" t="s">
        <v>671</v>
      </c>
      <c r="AN68" s="323" t="e">
        <f>AN67*AN66</f>
        <v>#VALUE!</v>
      </c>
      <c r="AO68" s="28" t="s">
        <v>665</v>
      </c>
      <c r="AP68" s="27" t="s">
        <v>654</v>
      </c>
      <c r="AQ68" s="7" t="e">
        <f>SUM(AQ66:AQ67)</f>
        <v>#VALUE!</v>
      </c>
      <c r="AR68" s="28" t="s">
        <v>665</v>
      </c>
      <c r="AT68" s="27" t="s">
        <v>671</v>
      </c>
      <c r="AU68" s="210" t="e">
        <f>U70</f>
        <v>#VALUE!</v>
      </c>
      <c r="AV68" s="28" t="s">
        <v>691</v>
      </c>
      <c r="AX68" s="628"/>
      <c r="AY68" s="559"/>
      <c r="AZ68" t="s">
        <v>659</v>
      </c>
      <c r="BA68" s="7" t="e">
        <f>BA66-BA67</f>
        <v>#VALUE!</v>
      </c>
      <c r="BB68" s="77" t="s">
        <v>657</v>
      </c>
      <c r="BC68" s="43"/>
      <c r="BD68" s="7" t="e">
        <f>BA68/12</f>
        <v>#VALUE!</v>
      </c>
      <c r="BE68" s="28" t="s">
        <v>658</v>
      </c>
      <c r="BF68" s="27" t="s">
        <v>674</v>
      </c>
      <c r="BG68" s="7" t="e">
        <f>BG67*BG66</f>
        <v>#VALUE!</v>
      </c>
      <c r="BH68" s="28" t="s">
        <v>657</v>
      </c>
      <c r="BI68" s="27"/>
      <c r="BJ68" s="7"/>
      <c r="BK68" s="28"/>
      <c r="BL68" s="27"/>
      <c r="BM68" s="7"/>
      <c r="BN68" s="28"/>
      <c r="BO68" s="27" t="s">
        <v>653</v>
      </c>
      <c r="BP68" s="319" t="e">
        <f>BM70</f>
        <v>#VALUE!</v>
      </c>
      <c r="BQ68" s="28" t="s">
        <v>663</v>
      </c>
      <c r="BS68" s="27" t="s">
        <v>671</v>
      </c>
      <c r="BT68" s="321" t="e">
        <f>BT66*BT67</f>
        <v>#VALUE!</v>
      </c>
      <c r="BU68" s="28" t="s">
        <v>665</v>
      </c>
      <c r="BV68" s="27" t="s">
        <v>671</v>
      </c>
      <c r="BW68" s="323" t="e">
        <f>BW67*BW66</f>
        <v>#VALUE!</v>
      </c>
      <c r="BX68" s="28" t="s">
        <v>665</v>
      </c>
      <c r="BY68" s="27" t="s">
        <v>654</v>
      </c>
      <c r="BZ68" s="7" t="e">
        <f>SUM(BZ66:BZ67)</f>
        <v>#VALUE!</v>
      </c>
      <c r="CA68" s="28" t="s">
        <v>665</v>
      </c>
      <c r="CC68" s="27" t="s">
        <v>671</v>
      </c>
      <c r="CD68" s="210" t="e">
        <f>BD70</f>
        <v>#VALUE!</v>
      </c>
      <c r="CE68" s="28" t="s">
        <v>665</v>
      </c>
    </row>
    <row r="69" spans="2:83" x14ac:dyDescent="0.25">
      <c r="B69" s="34" t="str">
        <f t="shared" si="45"/>
        <v/>
      </c>
      <c r="C69" s="299">
        <v>28</v>
      </c>
      <c r="D69" s="7" t="str">
        <f t="shared" si="46"/>
        <v/>
      </c>
      <c r="E69" s="299" t="str">
        <f t="shared" si="47"/>
        <v/>
      </c>
      <c r="G69" s="302">
        <v>64</v>
      </c>
      <c r="H69" s="7" t="e">
        <f t="shared" si="43"/>
        <v>#VALUE!</v>
      </c>
      <c r="I69" s="299" t="e">
        <f t="shared" si="44"/>
        <v>#VALUE!</v>
      </c>
      <c r="J69" s="7"/>
      <c r="K69" s="376">
        <v>28</v>
      </c>
      <c r="L69" s="652" t="str">
        <f t="shared" si="48"/>
        <v/>
      </c>
      <c r="M69" s="556"/>
      <c r="O69" s="628"/>
      <c r="P69" s="559"/>
      <c r="Q69" t="s">
        <v>675</v>
      </c>
      <c r="R69" s="7" t="e">
        <f>ROUND(ML, 3)</f>
        <v>#VALUE!</v>
      </c>
      <c r="S69" s="77" t="s">
        <v>657</v>
      </c>
      <c r="T69" s="43"/>
      <c r="U69" s="7" t="e">
        <f>R69/12</f>
        <v>#VALUE!</v>
      </c>
      <c r="V69" s="28" t="s">
        <v>658</v>
      </c>
      <c r="W69" s="27" t="s">
        <v>660</v>
      </c>
      <c r="X69" s="7">
        <f>VLOOKUP(VS,'List Data'!$A$8:$B$12, 2, FALSE)</f>
        <v>2.1419999999999999</v>
      </c>
      <c r="Y69" s="28" t="s">
        <v>661</v>
      </c>
      <c r="Z69" s="27"/>
      <c r="AA69" s="7"/>
      <c r="AB69" s="28"/>
      <c r="AC69" s="27"/>
      <c r="AD69" s="7"/>
      <c r="AE69" s="28"/>
      <c r="AF69" s="27"/>
      <c r="AH69" s="28"/>
      <c r="AJ69" s="27"/>
      <c r="AK69" s="7"/>
      <c r="AL69" s="28"/>
      <c r="AM69" s="27"/>
      <c r="AO69" s="28"/>
      <c r="AP69" s="27"/>
      <c r="AQ69" s="7"/>
      <c r="AR69" s="28"/>
      <c r="AT69" s="27"/>
      <c r="AU69" s="210"/>
      <c r="AV69" s="28"/>
      <c r="AX69" s="628"/>
      <c r="AY69" s="559"/>
      <c r="AZ69" t="s">
        <v>675</v>
      </c>
      <c r="BA69" s="7" t="e">
        <f>ROUND(ML, 3)</f>
        <v>#VALUE!</v>
      </c>
      <c r="BB69" s="77" t="s">
        <v>657</v>
      </c>
      <c r="BC69" s="43"/>
      <c r="BD69" s="7" t="e">
        <f>BA69/12</f>
        <v>#VALUE!</v>
      </c>
      <c r="BE69" s="28" t="s">
        <v>658</v>
      </c>
      <c r="BF69" s="27" t="s">
        <v>660</v>
      </c>
      <c r="BG69" s="7">
        <f>VLOOKUP(VS,'List Data'!$A$8:$B$12, 2, FALSE)</f>
        <v>2.1419999999999999</v>
      </c>
      <c r="BH69" s="28" t="s">
        <v>661</v>
      </c>
      <c r="BI69" s="27"/>
      <c r="BJ69" s="7"/>
      <c r="BK69" s="28"/>
      <c r="BL69" s="27"/>
      <c r="BM69" s="7"/>
      <c r="BN69" s="28"/>
      <c r="BO69" s="27"/>
      <c r="BQ69" s="28"/>
      <c r="BS69" s="27"/>
      <c r="BT69" s="7"/>
      <c r="BU69" s="28"/>
      <c r="BV69" s="27"/>
      <c r="BX69" s="28"/>
      <c r="BY69" s="27"/>
      <c r="BZ69" s="7"/>
      <c r="CA69" s="28"/>
      <c r="CC69" s="27"/>
      <c r="CD69" s="210"/>
      <c r="CE69" s="28"/>
    </row>
    <row r="70" spans="2:83" x14ac:dyDescent="0.25">
      <c r="B70" s="34" t="str">
        <f t="shared" si="45"/>
        <v/>
      </c>
      <c r="C70" s="299">
        <v>29</v>
      </c>
      <c r="D70" s="7" t="str">
        <f t="shared" si="46"/>
        <v/>
      </c>
      <c r="E70" s="299" t="str">
        <f t="shared" si="47"/>
        <v/>
      </c>
      <c r="G70" s="302">
        <v>65</v>
      </c>
      <c r="H70" s="7" t="e">
        <f t="shared" ref="H70:H101" si="49">IF(G70&lt;=(P_Left+P_Right+2), "VP "&amp;G70, "")</f>
        <v>#VALUE!</v>
      </c>
      <c r="I70" s="299" t="e">
        <f t="shared" ref="I70:I105" si="50">IF(G70&gt;V_Right+V_Left, "", IF(G70=1,LSR,IF(G70=V_Right+V_Left,-RSR,IF(G70&lt;V_Left,(LSR-EVS)-((G70-2)*IVS),IF(G70=V_Left,GL,IF(G70=V_Left+1,-GR,IF(G70&gt;V_Left+1,-GR-EVS-(IVS*(G70-(V_Left+2))),0)))))))</f>
        <v>#VALUE!</v>
      </c>
      <c r="J70" s="7"/>
      <c r="K70" s="376">
        <v>29</v>
      </c>
      <c r="L70" s="652" t="str">
        <f t="shared" si="48"/>
        <v/>
      </c>
      <c r="M70" s="556"/>
      <c r="O70" s="629"/>
      <c r="P70" s="561"/>
      <c r="Q70" s="30" t="s">
        <v>671</v>
      </c>
      <c r="R70" s="309" t="e">
        <f>R68*R69</f>
        <v>#VALUE!</v>
      </c>
      <c r="S70" s="311" t="s">
        <v>676</v>
      </c>
      <c r="T70" s="313"/>
      <c r="U70" s="309" t="e">
        <f>IF(O66="Exterior Drive Post", (R70/144)-(((GL+GR)*(ML/25.4))/144), R70/144)</f>
        <v>#VALUE!</v>
      </c>
      <c r="V70" s="31" t="s">
        <v>677</v>
      </c>
      <c r="W70" s="29" t="s">
        <v>678</v>
      </c>
      <c r="X70" s="314" t="e">
        <f>X69/12*X68</f>
        <v>#VALUE!</v>
      </c>
      <c r="Y70" s="31" t="s">
        <v>663</v>
      </c>
      <c r="Z70" s="29" t="s">
        <v>678</v>
      </c>
      <c r="AA70" s="315" t="e">
        <f>AA66*AA67</f>
        <v>#VALUE!</v>
      </c>
      <c r="AB70" s="31" t="s">
        <v>663</v>
      </c>
      <c r="AC70" s="29" t="s">
        <v>678</v>
      </c>
      <c r="AD70" s="316" t="e">
        <f>AD66*AD67</f>
        <v>#VALUE!</v>
      </c>
      <c r="AE70" s="31" t="s">
        <v>181</v>
      </c>
      <c r="AF70" s="29" t="s">
        <v>654</v>
      </c>
      <c r="AG70" s="320" t="e">
        <f>IF(O66="Exterior Drive Post", SUM(AG66:AG68)+SDW, SUM(AG66:AG68)+ICW)</f>
        <v>#VALUE!</v>
      </c>
      <c r="AH70" s="31" t="s">
        <v>663</v>
      </c>
      <c r="AI70">
        <v>13</v>
      </c>
      <c r="AJ70" s="29"/>
      <c r="AK70" s="309"/>
      <c r="AL70" s="31"/>
      <c r="AM70" s="29"/>
      <c r="AN70" s="30"/>
      <c r="AO70" s="31"/>
      <c r="AP70" s="29" t="s">
        <v>679</v>
      </c>
      <c r="AQ70" s="324" t="e">
        <f>AQ68*Pult</f>
        <v>#VALUE!</v>
      </c>
      <c r="AR70" s="31" t="s">
        <v>181</v>
      </c>
      <c r="AT70" s="29" t="s">
        <v>662</v>
      </c>
      <c r="AU70" s="339" t="e">
        <f>AU68*AU67</f>
        <v>#VALUE!</v>
      </c>
      <c r="AV70" s="31" t="s">
        <v>181</v>
      </c>
      <c r="AX70" s="629"/>
      <c r="AY70" s="561"/>
      <c r="AZ70" s="30" t="s">
        <v>671</v>
      </c>
      <c r="BA70" s="309" t="e">
        <f>BA68*BA69</f>
        <v>#VALUE!</v>
      </c>
      <c r="BB70" s="311" t="s">
        <v>676</v>
      </c>
      <c r="BC70" s="313"/>
      <c r="BD70" s="309" t="e">
        <f>IF(AX66="Interior Drive Post", (BA70/144)-(((GL+GR)*(ML/25.4))/144), BA70/144)</f>
        <v>#VALUE!</v>
      </c>
      <c r="BE70" s="31" t="s">
        <v>677</v>
      </c>
      <c r="BF70" s="29" t="s">
        <v>678</v>
      </c>
      <c r="BG70" s="314" t="e">
        <f>BG69/12*BG68</f>
        <v>#VALUE!</v>
      </c>
      <c r="BH70" s="31" t="s">
        <v>663</v>
      </c>
      <c r="BI70" s="29" t="s">
        <v>678</v>
      </c>
      <c r="BJ70" s="315" t="e">
        <f>BJ66*BJ67</f>
        <v>#VALUE!</v>
      </c>
      <c r="BK70" s="31" t="s">
        <v>663</v>
      </c>
      <c r="BL70" s="29" t="s">
        <v>678</v>
      </c>
      <c r="BM70" s="316" t="e">
        <f>BM66*BM67</f>
        <v>#VALUE!</v>
      </c>
      <c r="BN70" s="31" t="s">
        <v>181</v>
      </c>
      <c r="BO70" s="29" t="s">
        <v>654</v>
      </c>
      <c r="BP70" s="320" t="e">
        <f>IF(AX66="Interior Drive Post", SUM(BP66:BP68)+SDW, SUM(BP66:BP68)+ICW)</f>
        <v>#VALUE!</v>
      </c>
      <c r="BQ70" s="31" t="s">
        <v>663</v>
      </c>
      <c r="BR70">
        <v>13</v>
      </c>
      <c r="BS70" s="29"/>
      <c r="BT70" s="309"/>
      <c r="BU70" s="31"/>
      <c r="BV70" s="29"/>
      <c r="BW70" s="30"/>
      <c r="BX70" s="31"/>
      <c r="BY70" s="29" t="s">
        <v>679</v>
      </c>
      <c r="BZ70" s="324" t="e">
        <f>BZ68*Pult</f>
        <v>#VALUE!</v>
      </c>
      <c r="CA70" s="31" t="s">
        <v>181</v>
      </c>
      <c r="CC70" s="29" t="s">
        <v>662</v>
      </c>
      <c r="CD70" s="339" t="e">
        <f>CD68*CD67</f>
        <v>#VALUE!</v>
      </c>
      <c r="CE70" s="31" t="s">
        <v>181</v>
      </c>
    </row>
    <row r="71" spans="2:83" x14ac:dyDescent="0.25">
      <c r="B71" s="34" t="str">
        <f t="shared" si="45"/>
        <v/>
      </c>
      <c r="C71" s="299">
        <v>30</v>
      </c>
      <c r="D71" s="7" t="str">
        <f t="shared" si="46"/>
        <v/>
      </c>
      <c r="E71" s="299" t="str">
        <f t="shared" si="47"/>
        <v/>
      </c>
      <c r="G71" s="302">
        <v>66</v>
      </c>
      <c r="H71" s="7" t="e">
        <f t="shared" si="49"/>
        <v>#VALUE!</v>
      </c>
      <c r="I71" s="299" t="e">
        <f t="shared" si="50"/>
        <v>#VALUE!</v>
      </c>
      <c r="J71" s="7"/>
      <c r="K71" s="376">
        <v>30</v>
      </c>
      <c r="L71" s="652" t="str">
        <f t="shared" si="48"/>
        <v/>
      </c>
      <c r="M71" s="556"/>
      <c r="O71" s="653" t="str">
        <f>D19</f>
        <v/>
      </c>
      <c r="P71" s="558"/>
      <c r="Q71" s="25" t="s">
        <v>656</v>
      </c>
      <c r="R71" s="297" t="str">
        <f>L19</f>
        <v/>
      </c>
      <c r="S71" s="310" t="s">
        <v>657</v>
      </c>
      <c r="T71" s="312"/>
      <c r="U71" s="297" t="e">
        <f>R71/12</f>
        <v>#VALUE!</v>
      </c>
      <c r="V71" s="26" t="s">
        <v>658</v>
      </c>
      <c r="W71" s="24" t="s">
        <v>659</v>
      </c>
      <c r="X71" s="297" t="e">
        <f>VL</f>
        <v>#VALUE!</v>
      </c>
      <c r="Y71" s="26" t="s">
        <v>657</v>
      </c>
      <c r="Z71" s="24" t="s">
        <v>660</v>
      </c>
      <c r="AA71" s="297">
        <f>VLOOKUP(TS,'List Data'!$A$15:$B$18, 2, FALSE)</f>
        <v>7.8955000000000002</v>
      </c>
      <c r="AB71" s="26" t="s">
        <v>661</v>
      </c>
      <c r="AC71" s="24" t="s">
        <v>662</v>
      </c>
      <c r="AD71" s="297" t="e">
        <f>PL</f>
        <v>#VALUE!</v>
      </c>
      <c r="AE71" s="26" t="s">
        <v>65</v>
      </c>
      <c r="AF71" s="24" t="s">
        <v>651</v>
      </c>
      <c r="AG71" s="318" t="e">
        <f>X75</f>
        <v>#VALUE!</v>
      </c>
      <c r="AH71" s="26" t="s">
        <v>663</v>
      </c>
      <c r="AJ71" s="24" t="s">
        <v>664</v>
      </c>
      <c r="AK71" s="297" t="e">
        <f>ROUND(MT/12,5)</f>
        <v>#VALUE!</v>
      </c>
      <c r="AL71" s="26" t="s">
        <v>658</v>
      </c>
      <c r="AM71" s="24" t="s">
        <v>370</v>
      </c>
      <c r="AN71" s="297">
        <f>IF(OR(TS="5x4, .126", TS="5x4, .134"), 5/12,4/12)</f>
        <v>0.41666666666666669</v>
      </c>
      <c r="AO71" s="26" t="s">
        <v>658</v>
      </c>
      <c r="AP71" s="24" t="s">
        <v>653</v>
      </c>
      <c r="AQ71" s="322" t="e">
        <f>AK73</f>
        <v>#VALUE!</v>
      </c>
      <c r="AR71" s="26" t="s">
        <v>665</v>
      </c>
      <c r="AT71" s="24" t="s">
        <v>666</v>
      </c>
      <c r="AU71" s="338" t="str">
        <f>Theta</f>
        <v>XX</v>
      </c>
      <c r="AV71" s="26" t="s">
        <v>667</v>
      </c>
      <c r="AX71" s="653" t="str">
        <f>D55</f>
        <v/>
      </c>
      <c r="AY71" s="558"/>
      <c r="AZ71" s="25" t="s">
        <v>656</v>
      </c>
      <c r="BA71" s="297" t="str">
        <f>L55</f>
        <v/>
      </c>
      <c r="BB71" s="310" t="s">
        <v>657</v>
      </c>
      <c r="BC71" s="312"/>
      <c r="BD71" s="297" t="e">
        <f>BA71/12</f>
        <v>#VALUE!</v>
      </c>
      <c r="BE71" s="26" t="s">
        <v>658</v>
      </c>
      <c r="BF71" s="24" t="s">
        <v>659</v>
      </c>
      <c r="BG71" s="297" t="e">
        <f>VL</f>
        <v>#VALUE!</v>
      </c>
      <c r="BH71" s="26" t="s">
        <v>657</v>
      </c>
      <c r="BI71" s="24" t="s">
        <v>660</v>
      </c>
      <c r="BJ71" s="297">
        <f>VLOOKUP(TS,'List Data'!$A$15:$B$18, 2, FALSE)</f>
        <v>7.8955000000000002</v>
      </c>
      <c r="BK71" s="26" t="s">
        <v>661</v>
      </c>
      <c r="BL71" s="24" t="s">
        <v>662</v>
      </c>
      <c r="BM71" s="297" t="e">
        <f>PL</f>
        <v>#VALUE!</v>
      </c>
      <c r="BN71" s="26" t="s">
        <v>65</v>
      </c>
      <c r="BO71" s="24" t="s">
        <v>651</v>
      </c>
      <c r="BP71" s="318" t="e">
        <f>BG75</f>
        <v>#VALUE!</v>
      </c>
      <c r="BQ71" s="26" t="s">
        <v>663</v>
      </c>
      <c r="BS71" s="24" t="s">
        <v>664</v>
      </c>
      <c r="BT71" s="297" t="e">
        <f>ROUND(MT/12,5)</f>
        <v>#VALUE!</v>
      </c>
      <c r="BU71" s="26" t="s">
        <v>658</v>
      </c>
      <c r="BV71" s="24" t="s">
        <v>370</v>
      </c>
      <c r="BW71" s="297">
        <f>IF(OR(TS="5x4, .126", TS="5x4, .134"), 5/12,4/12)</f>
        <v>0.41666666666666669</v>
      </c>
      <c r="BX71" s="26" t="s">
        <v>658</v>
      </c>
      <c r="BY71" s="24" t="s">
        <v>653</v>
      </c>
      <c r="BZ71" s="322" t="e">
        <f>BT73</f>
        <v>#VALUE!</v>
      </c>
      <c r="CA71" s="26" t="s">
        <v>665</v>
      </c>
      <c r="CC71" s="24" t="s">
        <v>666</v>
      </c>
      <c r="CD71" s="338" t="str">
        <f>Theta</f>
        <v>XX</v>
      </c>
      <c r="CE71" s="26" t="s">
        <v>667</v>
      </c>
    </row>
    <row r="72" spans="2:83" x14ac:dyDescent="0.25">
      <c r="B72" s="332" t="str">
        <f t="shared" si="45"/>
        <v/>
      </c>
      <c r="C72" s="301">
        <v>31</v>
      </c>
      <c r="D72" s="300" t="str">
        <f t="shared" si="46"/>
        <v/>
      </c>
      <c r="E72" s="301" t="str">
        <f t="shared" si="47"/>
        <v/>
      </c>
      <c r="G72" s="302">
        <v>67</v>
      </c>
      <c r="H72" s="7" t="e">
        <f t="shared" si="49"/>
        <v>#VALUE!</v>
      </c>
      <c r="I72" s="299" t="e">
        <f t="shared" si="50"/>
        <v>#VALUE!</v>
      </c>
      <c r="J72" s="7"/>
      <c r="K72" s="376">
        <v>31</v>
      </c>
      <c r="L72" s="652" t="str">
        <f t="shared" si="48"/>
        <v/>
      </c>
      <c r="M72" s="556"/>
      <c r="O72" s="628"/>
      <c r="P72" s="559"/>
      <c r="Q72" t="s">
        <v>668</v>
      </c>
      <c r="R72" s="7" t="str">
        <f>L20</f>
        <v/>
      </c>
      <c r="S72" s="77" t="s">
        <v>657</v>
      </c>
      <c r="T72" s="43"/>
      <c r="U72" s="7" t="e">
        <f>R72/12</f>
        <v>#VALUE!</v>
      </c>
      <c r="V72" s="28" t="s">
        <v>658</v>
      </c>
      <c r="W72" s="27" t="s">
        <v>669</v>
      </c>
      <c r="X72" s="7">
        <f>COUNTIFS($I$6:$I$105, "&lt;="&amp;R71, $I$6:$I$105, "&gt;="&amp;R72)</f>
        <v>0</v>
      </c>
      <c r="Y72" s="28" t="s">
        <v>670</v>
      </c>
      <c r="Z72" s="27" t="s">
        <v>659</v>
      </c>
      <c r="AA72" s="7" t="e">
        <f>IF(O71="Exterior Drive Post", (U73-(TG/12)), U73)</f>
        <v>#VALUE!</v>
      </c>
      <c r="AB72" s="28" t="s">
        <v>658</v>
      </c>
      <c r="AC72" s="27" t="s">
        <v>671</v>
      </c>
      <c r="AD72" s="7" t="e">
        <f>U75</f>
        <v>#VALUE!</v>
      </c>
      <c r="AE72" s="28" t="s">
        <v>665</v>
      </c>
      <c r="AF72" s="27" t="s">
        <v>672</v>
      </c>
      <c r="AG72" s="317" t="e">
        <f>AA75</f>
        <v>#VALUE!</v>
      </c>
      <c r="AH72" s="28" t="s">
        <v>663</v>
      </c>
      <c r="AJ72" s="27" t="s">
        <v>659</v>
      </c>
      <c r="AK72" s="7" t="e">
        <f>IF(O71= "Exterior Drive Post", (U73)-((GL+GR)/12), U73)</f>
        <v>#VALUE!</v>
      </c>
      <c r="AL72" s="28" t="s">
        <v>658</v>
      </c>
      <c r="AM72" s="27" t="s">
        <v>659</v>
      </c>
      <c r="AN72" s="7" t="e">
        <f>AA72</f>
        <v>#VALUE!</v>
      </c>
      <c r="AO72" s="28" t="s">
        <v>658</v>
      </c>
      <c r="AP72" s="27" t="s">
        <v>672</v>
      </c>
      <c r="AQ72" s="323" t="e">
        <f>AN73</f>
        <v>#VALUE!</v>
      </c>
      <c r="AR72" s="28" t="s">
        <v>665</v>
      </c>
      <c r="AT72" s="27" t="s">
        <v>673</v>
      </c>
      <c r="AU72" s="210" t="e">
        <f>RSL*COS(Radians)</f>
        <v>#VALUE!</v>
      </c>
      <c r="AV72" s="28" t="s">
        <v>65</v>
      </c>
      <c r="AX72" s="628"/>
      <c r="AY72" s="559"/>
      <c r="AZ72" t="s">
        <v>668</v>
      </c>
      <c r="BA72" s="7" t="str">
        <f>L56</f>
        <v/>
      </c>
      <c r="BB72" s="77" t="s">
        <v>657</v>
      </c>
      <c r="BC72" s="43"/>
      <c r="BD72" s="7" t="e">
        <f>BA72/12</f>
        <v>#VALUE!</v>
      </c>
      <c r="BE72" s="28" t="s">
        <v>658</v>
      </c>
      <c r="BF72" s="27" t="s">
        <v>669</v>
      </c>
      <c r="BG72" s="7">
        <f>COUNTIFS($I$6:$I$105, "&lt;="&amp;BA71, $I$6:$I$105, "&gt;="&amp;BA72)</f>
        <v>0</v>
      </c>
      <c r="BH72" s="28" t="s">
        <v>670</v>
      </c>
      <c r="BI72" s="27" t="s">
        <v>659</v>
      </c>
      <c r="BJ72" s="7" t="e">
        <f>IF(AX71="Interior Drive Post", (BD73-(TG/12)), BD73)</f>
        <v>#VALUE!</v>
      </c>
      <c r="BK72" s="28" t="s">
        <v>658</v>
      </c>
      <c r="BL72" s="27" t="s">
        <v>671</v>
      </c>
      <c r="BM72" s="7" t="e">
        <f>BD75</f>
        <v>#VALUE!</v>
      </c>
      <c r="BN72" s="28" t="s">
        <v>665</v>
      </c>
      <c r="BO72" s="27" t="s">
        <v>672</v>
      </c>
      <c r="BP72" s="317" t="e">
        <f>BJ75</f>
        <v>#VALUE!</v>
      </c>
      <c r="BQ72" s="28" t="s">
        <v>663</v>
      </c>
      <c r="BS72" s="27" t="s">
        <v>659</v>
      </c>
      <c r="BT72" s="7" t="e">
        <f>IF(AX71= "Interior Drive Post", (BD73)-((GL+GR)/12), BD73)</f>
        <v>#VALUE!</v>
      </c>
      <c r="BU72" s="28" t="s">
        <v>658</v>
      </c>
      <c r="BV72" s="27" t="s">
        <v>659</v>
      </c>
      <c r="BW72" s="7" t="e">
        <f>BJ72</f>
        <v>#VALUE!</v>
      </c>
      <c r="BX72" s="28" t="s">
        <v>658</v>
      </c>
      <c r="BY72" s="27" t="s">
        <v>672</v>
      </c>
      <c r="BZ72" s="323" t="e">
        <f>BW73</f>
        <v>#VALUE!</v>
      </c>
      <c r="CA72" s="28" t="s">
        <v>665</v>
      </c>
      <c r="CC72" s="27" t="s">
        <v>673</v>
      </c>
      <c r="CD72" s="210" t="e">
        <f>RSL*COS(Radians)</f>
        <v>#VALUE!</v>
      </c>
      <c r="CE72" s="28" t="s">
        <v>65</v>
      </c>
    </row>
    <row r="73" spans="2:83" x14ac:dyDescent="0.25">
      <c r="G73" s="302">
        <v>68</v>
      </c>
      <c r="H73" s="7" t="e">
        <f t="shared" si="49"/>
        <v>#VALUE!</v>
      </c>
      <c r="I73" s="299" t="e">
        <f t="shared" si="50"/>
        <v>#VALUE!</v>
      </c>
      <c r="J73" s="7"/>
      <c r="K73" s="300">
        <v>32</v>
      </c>
      <c r="L73" s="654" t="str">
        <f t="shared" si="48"/>
        <v/>
      </c>
      <c r="M73" s="561"/>
      <c r="O73" s="628"/>
      <c r="P73" s="559"/>
      <c r="Q73" t="s">
        <v>659</v>
      </c>
      <c r="R73" s="7" t="e">
        <f>R71-R72</f>
        <v>#VALUE!</v>
      </c>
      <c r="S73" s="77" t="s">
        <v>657</v>
      </c>
      <c r="T73" s="43"/>
      <c r="U73" s="7" t="e">
        <f>R73/12</f>
        <v>#VALUE!</v>
      </c>
      <c r="V73" s="28" t="s">
        <v>658</v>
      </c>
      <c r="W73" s="27" t="s">
        <v>674</v>
      </c>
      <c r="X73" s="7" t="e">
        <f>X72*X71</f>
        <v>#VALUE!</v>
      </c>
      <c r="Y73" s="28" t="s">
        <v>657</v>
      </c>
      <c r="Z73" s="27"/>
      <c r="AA73" s="7"/>
      <c r="AB73" s="28"/>
      <c r="AC73" s="27"/>
      <c r="AD73" s="7"/>
      <c r="AE73" s="28"/>
      <c r="AF73" s="27" t="s">
        <v>653</v>
      </c>
      <c r="AG73" s="319" t="e">
        <f>AD75</f>
        <v>#VALUE!</v>
      </c>
      <c r="AH73" s="28" t="s">
        <v>663</v>
      </c>
      <c r="AJ73" s="27" t="s">
        <v>671</v>
      </c>
      <c r="AK73" s="321" t="e">
        <f>AK71*AK72</f>
        <v>#VALUE!</v>
      </c>
      <c r="AL73" s="28" t="s">
        <v>665</v>
      </c>
      <c r="AM73" s="27" t="s">
        <v>671</v>
      </c>
      <c r="AN73" s="323" t="e">
        <f>AN72*AN71</f>
        <v>#VALUE!</v>
      </c>
      <c r="AO73" s="28" t="s">
        <v>665</v>
      </c>
      <c r="AP73" s="27" t="s">
        <v>654</v>
      </c>
      <c r="AQ73" s="7" t="e">
        <f>SUM(AQ71:AQ72)</f>
        <v>#VALUE!</v>
      </c>
      <c r="AR73" s="28" t="s">
        <v>665</v>
      </c>
      <c r="AT73" s="27" t="s">
        <v>671</v>
      </c>
      <c r="AU73" s="210" t="e">
        <f>U75</f>
        <v>#VALUE!</v>
      </c>
      <c r="AV73" s="28" t="s">
        <v>692</v>
      </c>
      <c r="AX73" s="628"/>
      <c r="AY73" s="559"/>
      <c r="AZ73" t="s">
        <v>659</v>
      </c>
      <c r="BA73" s="7" t="e">
        <f>BA71-BA72</f>
        <v>#VALUE!</v>
      </c>
      <c r="BB73" s="77" t="s">
        <v>657</v>
      </c>
      <c r="BC73" s="43"/>
      <c r="BD73" s="7" t="e">
        <f>BA73/12</f>
        <v>#VALUE!</v>
      </c>
      <c r="BE73" s="28" t="s">
        <v>658</v>
      </c>
      <c r="BF73" s="27" t="s">
        <v>674</v>
      </c>
      <c r="BG73" s="7" t="e">
        <f>BG72*BG71</f>
        <v>#VALUE!</v>
      </c>
      <c r="BH73" s="28" t="s">
        <v>657</v>
      </c>
      <c r="BI73" s="27"/>
      <c r="BJ73" s="7"/>
      <c r="BK73" s="28"/>
      <c r="BL73" s="27"/>
      <c r="BM73" s="7"/>
      <c r="BN73" s="28"/>
      <c r="BO73" s="27" t="s">
        <v>653</v>
      </c>
      <c r="BP73" s="319" t="e">
        <f>BM75</f>
        <v>#VALUE!</v>
      </c>
      <c r="BQ73" s="28" t="s">
        <v>663</v>
      </c>
      <c r="BS73" s="27" t="s">
        <v>671</v>
      </c>
      <c r="BT73" s="321" t="e">
        <f>BT71*BT72</f>
        <v>#VALUE!</v>
      </c>
      <c r="BU73" s="28" t="s">
        <v>665</v>
      </c>
      <c r="BV73" s="27" t="s">
        <v>671</v>
      </c>
      <c r="BW73" s="323" t="e">
        <f>BW72*BW71</f>
        <v>#VALUE!</v>
      </c>
      <c r="BX73" s="28" t="s">
        <v>665</v>
      </c>
      <c r="BY73" s="27" t="s">
        <v>654</v>
      </c>
      <c r="BZ73" s="7" t="e">
        <f>SUM(BZ71:BZ72)</f>
        <v>#VALUE!</v>
      </c>
      <c r="CA73" s="28" t="s">
        <v>665</v>
      </c>
      <c r="CC73" s="27" t="s">
        <v>671</v>
      </c>
      <c r="CD73" s="210" t="e">
        <f>BD75</f>
        <v>#VALUE!</v>
      </c>
      <c r="CE73" s="28" t="s">
        <v>665</v>
      </c>
    </row>
    <row r="74" spans="2:83" x14ac:dyDescent="0.25">
      <c r="G74" s="302">
        <v>69</v>
      </c>
      <c r="H74" s="7" t="e">
        <f t="shared" si="49"/>
        <v>#VALUE!</v>
      </c>
      <c r="I74" s="299" t="e">
        <f t="shared" si="50"/>
        <v>#VALUE!</v>
      </c>
      <c r="J74" s="7"/>
      <c r="O74" s="628"/>
      <c r="P74" s="559"/>
      <c r="Q74" t="s">
        <v>675</v>
      </c>
      <c r="R74" s="7" t="e">
        <f>ROUND(ML, 3)</f>
        <v>#VALUE!</v>
      </c>
      <c r="S74" s="77" t="s">
        <v>657</v>
      </c>
      <c r="T74" s="43"/>
      <c r="U74" s="7" t="e">
        <f>R74/12</f>
        <v>#VALUE!</v>
      </c>
      <c r="V74" s="28" t="s">
        <v>658</v>
      </c>
      <c r="W74" s="27" t="s">
        <v>660</v>
      </c>
      <c r="X74" s="7">
        <f>VLOOKUP(VS,'List Data'!$A$8:$B$12, 2, FALSE)</f>
        <v>2.1419999999999999</v>
      </c>
      <c r="Y74" s="28" t="s">
        <v>661</v>
      </c>
      <c r="Z74" s="27"/>
      <c r="AA74" s="7"/>
      <c r="AB74" s="28"/>
      <c r="AC74" s="27"/>
      <c r="AD74" s="7"/>
      <c r="AE74" s="28"/>
      <c r="AF74" s="27"/>
      <c r="AH74" s="28"/>
      <c r="AJ74" s="27"/>
      <c r="AK74" s="7"/>
      <c r="AL74" s="28"/>
      <c r="AM74" s="27"/>
      <c r="AO74" s="28"/>
      <c r="AP74" s="27"/>
      <c r="AQ74" s="7"/>
      <c r="AR74" s="28"/>
      <c r="AT74" s="27"/>
      <c r="AU74" s="210"/>
      <c r="AV74" s="28"/>
      <c r="AX74" s="628"/>
      <c r="AY74" s="559"/>
      <c r="AZ74" t="s">
        <v>675</v>
      </c>
      <c r="BA74" s="7" t="e">
        <f>ROUND(ML, 3)</f>
        <v>#VALUE!</v>
      </c>
      <c r="BB74" s="77" t="s">
        <v>657</v>
      </c>
      <c r="BC74" s="43"/>
      <c r="BD74" s="7" t="e">
        <f>BA74/12</f>
        <v>#VALUE!</v>
      </c>
      <c r="BE74" s="28" t="s">
        <v>658</v>
      </c>
      <c r="BF74" s="27" t="s">
        <v>660</v>
      </c>
      <c r="BG74" s="7">
        <f>VLOOKUP(VS,'List Data'!$A$8:$B$12, 2, FALSE)</f>
        <v>2.1419999999999999</v>
      </c>
      <c r="BH74" s="28" t="s">
        <v>661</v>
      </c>
      <c r="BI74" s="27"/>
      <c r="BJ74" s="7"/>
      <c r="BK74" s="28"/>
      <c r="BL74" s="27"/>
      <c r="BM74" s="7"/>
      <c r="BN74" s="28"/>
      <c r="BO74" s="27"/>
      <c r="BQ74" s="28"/>
      <c r="BS74" s="27"/>
      <c r="BT74" s="7"/>
      <c r="BU74" s="28"/>
      <c r="BV74" s="27"/>
      <c r="BX74" s="28"/>
      <c r="BY74" s="27"/>
      <c r="BZ74" s="7"/>
      <c r="CA74" s="28"/>
      <c r="CC74" s="27"/>
      <c r="CD74" s="210"/>
      <c r="CE74" s="28"/>
    </row>
    <row r="75" spans="2:83" x14ac:dyDescent="0.25">
      <c r="G75" s="302">
        <v>70</v>
      </c>
      <c r="H75" s="7" t="e">
        <f t="shared" si="49"/>
        <v>#VALUE!</v>
      </c>
      <c r="I75" s="299" t="e">
        <f t="shared" si="50"/>
        <v>#VALUE!</v>
      </c>
      <c r="J75" s="7"/>
      <c r="O75" s="629"/>
      <c r="P75" s="561"/>
      <c r="Q75" s="30" t="s">
        <v>671</v>
      </c>
      <c r="R75" s="309" t="e">
        <f>R73*R74</f>
        <v>#VALUE!</v>
      </c>
      <c r="S75" s="311" t="s">
        <v>676</v>
      </c>
      <c r="T75" s="313"/>
      <c r="U75" s="309" t="e">
        <f>IF(O71="Exterior Drive Post", (R75/144)-(((GL+GR)*(ML/25.4))/144), R75/144)</f>
        <v>#VALUE!</v>
      </c>
      <c r="V75" s="31" t="s">
        <v>677</v>
      </c>
      <c r="W75" s="29" t="s">
        <v>678</v>
      </c>
      <c r="X75" s="314" t="e">
        <f>X74/12*X73</f>
        <v>#VALUE!</v>
      </c>
      <c r="Y75" s="31" t="s">
        <v>663</v>
      </c>
      <c r="Z75" s="29" t="s">
        <v>678</v>
      </c>
      <c r="AA75" s="315" t="e">
        <f>AA71*AA72</f>
        <v>#VALUE!</v>
      </c>
      <c r="AB75" s="31" t="s">
        <v>663</v>
      </c>
      <c r="AC75" s="29" t="s">
        <v>678</v>
      </c>
      <c r="AD75" s="316" t="e">
        <f>AD71*AD72</f>
        <v>#VALUE!</v>
      </c>
      <c r="AE75" s="31" t="s">
        <v>181</v>
      </c>
      <c r="AF75" s="29" t="s">
        <v>654</v>
      </c>
      <c r="AG75" s="320" t="e">
        <f>IF(O71="Exterior Drive Post", SUM(AG71:AG73)+SDW, SUM(AG71:AG73)+ICW)</f>
        <v>#VALUE!</v>
      </c>
      <c r="AH75" s="31" t="s">
        <v>663</v>
      </c>
      <c r="AI75">
        <v>14</v>
      </c>
      <c r="AJ75" s="29"/>
      <c r="AK75" s="309"/>
      <c r="AL75" s="31"/>
      <c r="AM75" s="29"/>
      <c r="AN75" s="30"/>
      <c r="AO75" s="31"/>
      <c r="AP75" s="29" t="s">
        <v>679</v>
      </c>
      <c r="AQ75" s="324" t="e">
        <f>AQ73*Pult</f>
        <v>#VALUE!</v>
      </c>
      <c r="AR75" s="31" t="s">
        <v>181</v>
      </c>
      <c r="AT75" s="29" t="s">
        <v>662</v>
      </c>
      <c r="AU75" s="339" t="e">
        <f>AU73*AU72</f>
        <v>#VALUE!</v>
      </c>
      <c r="AV75" s="31" t="s">
        <v>181</v>
      </c>
      <c r="AX75" s="629"/>
      <c r="AY75" s="561"/>
      <c r="AZ75" s="30" t="s">
        <v>671</v>
      </c>
      <c r="BA75" s="309" t="e">
        <f>BA73*BA74</f>
        <v>#VALUE!</v>
      </c>
      <c r="BB75" s="311" t="s">
        <v>676</v>
      </c>
      <c r="BC75" s="313"/>
      <c r="BD75" s="309" t="e">
        <f>IF(AX71="Interior Drive Post", (BA75/144)-(((GL+GR)*(ML/25.4))/144), BA75/144)</f>
        <v>#VALUE!</v>
      </c>
      <c r="BE75" s="31" t="s">
        <v>677</v>
      </c>
      <c r="BF75" s="29" t="s">
        <v>678</v>
      </c>
      <c r="BG75" s="314" t="e">
        <f>BG74/12*BG73</f>
        <v>#VALUE!</v>
      </c>
      <c r="BH75" s="31" t="s">
        <v>663</v>
      </c>
      <c r="BI75" s="29" t="s">
        <v>678</v>
      </c>
      <c r="BJ75" s="315" t="e">
        <f>BJ71*BJ72</f>
        <v>#VALUE!</v>
      </c>
      <c r="BK75" s="31" t="s">
        <v>663</v>
      </c>
      <c r="BL75" s="29" t="s">
        <v>678</v>
      </c>
      <c r="BM75" s="316" t="e">
        <f>BM71*BM72</f>
        <v>#VALUE!</v>
      </c>
      <c r="BN75" s="31" t="s">
        <v>181</v>
      </c>
      <c r="BO75" s="29" t="s">
        <v>654</v>
      </c>
      <c r="BP75" s="320" t="e">
        <f>IF(AX71="Interior Drive Post", SUM(BP71:BP73)+SDW, SUM(BP71:BP73)+ICW)</f>
        <v>#VALUE!</v>
      </c>
      <c r="BQ75" s="31" t="s">
        <v>663</v>
      </c>
      <c r="BR75">
        <v>14</v>
      </c>
      <c r="BS75" s="29"/>
      <c r="BT75" s="309"/>
      <c r="BU75" s="31"/>
      <c r="BV75" s="29"/>
      <c r="BW75" s="30"/>
      <c r="BX75" s="31"/>
      <c r="BY75" s="29" t="s">
        <v>679</v>
      </c>
      <c r="BZ75" s="324" t="e">
        <f>BZ73*Pult</f>
        <v>#VALUE!</v>
      </c>
      <c r="CA75" s="31" t="s">
        <v>181</v>
      </c>
      <c r="CC75" s="29" t="s">
        <v>662</v>
      </c>
      <c r="CD75" s="339" t="e">
        <f>CD73*CD72</f>
        <v>#VALUE!</v>
      </c>
      <c r="CE75" s="31" t="s">
        <v>181</v>
      </c>
    </row>
    <row r="76" spans="2:83" x14ac:dyDescent="0.25">
      <c r="G76" s="302">
        <v>71</v>
      </c>
      <c r="H76" s="7" t="e">
        <f t="shared" si="49"/>
        <v>#VALUE!</v>
      </c>
      <c r="I76" s="299" t="e">
        <f t="shared" si="50"/>
        <v>#VALUE!</v>
      </c>
      <c r="J76" s="7"/>
      <c r="O76" s="653" t="str">
        <f>D20</f>
        <v/>
      </c>
      <c r="P76" s="558"/>
      <c r="Q76" s="25" t="s">
        <v>656</v>
      </c>
      <c r="R76" s="297" t="str">
        <f>L20</f>
        <v/>
      </c>
      <c r="S76" s="310" t="s">
        <v>657</v>
      </c>
      <c r="T76" s="312"/>
      <c r="U76" s="297" t="e">
        <f>R76/12</f>
        <v>#VALUE!</v>
      </c>
      <c r="V76" s="26" t="s">
        <v>658</v>
      </c>
      <c r="W76" s="24" t="s">
        <v>659</v>
      </c>
      <c r="X76" s="297" t="e">
        <f>VL</f>
        <v>#VALUE!</v>
      </c>
      <c r="Y76" s="26" t="s">
        <v>657</v>
      </c>
      <c r="Z76" s="24" t="s">
        <v>660</v>
      </c>
      <c r="AA76" s="297">
        <f>VLOOKUP(TS,'List Data'!$A$15:$B$18, 2, FALSE)</f>
        <v>7.8955000000000002</v>
      </c>
      <c r="AB76" s="26" t="s">
        <v>661</v>
      </c>
      <c r="AC76" s="24" t="s">
        <v>662</v>
      </c>
      <c r="AD76" s="297" t="e">
        <f>PL</f>
        <v>#VALUE!</v>
      </c>
      <c r="AE76" s="26" t="s">
        <v>65</v>
      </c>
      <c r="AF76" s="24" t="s">
        <v>651</v>
      </c>
      <c r="AG76" s="318" t="e">
        <f>X80</f>
        <v>#VALUE!</v>
      </c>
      <c r="AH76" s="26" t="s">
        <v>663</v>
      </c>
      <c r="AJ76" s="24" t="s">
        <v>664</v>
      </c>
      <c r="AK76" s="297" t="e">
        <f>ROUND(MT/12,5)</f>
        <v>#VALUE!</v>
      </c>
      <c r="AL76" s="26" t="s">
        <v>658</v>
      </c>
      <c r="AM76" s="24" t="s">
        <v>370</v>
      </c>
      <c r="AN76" s="297">
        <f>IF(OR(TS="5x4, .126", TS="5x4, .134"), 5/12,4/12)</f>
        <v>0.41666666666666669</v>
      </c>
      <c r="AO76" s="26" t="s">
        <v>658</v>
      </c>
      <c r="AP76" s="24" t="s">
        <v>653</v>
      </c>
      <c r="AQ76" s="322" t="e">
        <f>AK78</f>
        <v>#VALUE!</v>
      </c>
      <c r="AR76" s="26" t="s">
        <v>665</v>
      </c>
      <c r="AT76" s="24" t="s">
        <v>666</v>
      </c>
      <c r="AU76" s="338" t="str">
        <f>Theta</f>
        <v>XX</v>
      </c>
      <c r="AV76" s="26" t="s">
        <v>667</v>
      </c>
      <c r="AX76" s="653" t="str">
        <f>D56</f>
        <v/>
      </c>
      <c r="AY76" s="558"/>
      <c r="AZ76" s="25" t="s">
        <v>656</v>
      </c>
      <c r="BA76" s="297" t="str">
        <f>L56</f>
        <v/>
      </c>
      <c r="BB76" s="310" t="s">
        <v>657</v>
      </c>
      <c r="BC76" s="312"/>
      <c r="BD76" s="297" t="e">
        <f>BA76/12</f>
        <v>#VALUE!</v>
      </c>
      <c r="BE76" s="26" t="s">
        <v>658</v>
      </c>
      <c r="BF76" s="24" t="s">
        <v>659</v>
      </c>
      <c r="BG76" s="297" t="e">
        <f>VL</f>
        <v>#VALUE!</v>
      </c>
      <c r="BH76" s="26" t="s">
        <v>657</v>
      </c>
      <c r="BI76" s="24" t="s">
        <v>660</v>
      </c>
      <c r="BJ76" s="297">
        <f>VLOOKUP(TS,'List Data'!$A$15:$B$18, 2, FALSE)</f>
        <v>7.8955000000000002</v>
      </c>
      <c r="BK76" s="26" t="s">
        <v>661</v>
      </c>
      <c r="BL76" s="24" t="s">
        <v>662</v>
      </c>
      <c r="BM76" s="297" t="e">
        <f>PL</f>
        <v>#VALUE!</v>
      </c>
      <c r="BN76" s="26" t="s">
        <v>65</v>
      </c>
      <c r="BO76" s="24" t="s">
        <v>651</v>
      </c>
      <c r="BP76" s="318" t="e">
        <f>BG80</f>
        <v>#VALUE!</v>
      </c>
      <c r="BQ76" s="26" t="s">
        <v>663</v>
      </c>
      <c r="BS76" s="24" t="s">
        <v>664</v>
      </c>
      <c r="BT76" s="297" t="e">
        <f>ROUND(MT/12,5)</f>
        <v>#VALUE!</v>
      </c>
      <c r="BU76" s="26" t="s">
        <v>658</v>
      </c>
      <c r="BV76" s="24" t="s">
        <v>370</v>
      </c>
      <c r="BW76" s="297">
        <f>IF(OR(TS="5x4, .126", TS="5x4, .134"), 5/12,4/12)</f>
        <v>0.41666666666666669</v>
      </c>
      <c r="BX76" s="26" t="s">
        <v>658</v>
      </c>
      <c r="BY76" s="24" t="s">
        <v>653</v>
      </c>
      <c r="BZ76" s="322" t="e">
        <f>BT78</f>
        <v>#VALUE!</v>
      </c>
      <c r="CA76" s="26" t="s">
        <v>665</v>
      </c>
      <c r="CC76" s="24" t="s">
        <v>666</v>
      </c>
      <c r="CD76" s="338" t="str">
        <f>Theta</f>
        <v>XX</v>
      </c>
      <c r="CE76" s="26" t="s">
        <v>667</v>
      </c>
    </row>
    <row r="77" spans="2:83" x14ac:dyDescent="0.25">
      <c r="G77" s="302">
        <v>72</v>
      </c>
      <c r="H77" s="7" t="e">
        <f t="shared" si="49"/>
        <v>#VALUE!</v>
      </c>
      <c r="I77" s="299" t="e">
        <f t="shared" si="50"/>
        <v>#VALUE!</v>
      </c>
      <c r="J77" s="7"/>
      <c r="O77" s="628"/>
      <c r="P77" s="559"/>
      <c r="Q77" t="s">
        <v>668</v>
      </c>
      <c r="R77" s="7" t="str">
        <f>L21</f>
        <v/>
      </c>
      <c r="S77" s="77" t="s">
        <v>657</v>
      </c>
      <c r="T77" s="43"/>
      <c r="U77" s="7" t="e">
        <f>R77/12</f>
        <v>#VALUE!</v>
      </c>
      <c r="V77" s="28" t="s">
        <v>658</v>
      </c>
      <c r="W77" s="27" t="s">
        <v>669</v>
      </c>
      <c r="X77" s="7">
        <f>COUNTIFS($I$6:$I$105, "&lt;="&amp;R76, $I$6:$I$105, "&gt;="&amp;R77)</f>
        <v>0</v>
      </c>
      <c r="Y77" s="28" t="s">
        <v>670</v>
      </c>
      <c r="Z77" s="27" t="s">
        <v>659</v>
      </c>
      <c r="AA77" s="7" t="e">
        <f>IF(O76="Exterior Drive Post", (U78-(TG/12)), U78)</f>
        <v>#VALUE!</v>
      </c>
      <c r="AB77" s="28" t="s">
        <v>658</v>
      </c>
      <c r="AC77" s="27" t="s">
        <v>671</v>
      </c>
      <c r="AD77" s="7" t="e">
        <f>U80</f>
        <v>#VALUE!</v>
      </c>
      <c r="AE77" s="28" t="s">
        <v>665</v>
      </c>
      <c r="AF77" s="27" t="s">
        <v>672</v>
      </c>
      <c r="AG77" s="317" t="e">
        <f>AA80</f>
        <v>#VALUE!</v>
      </c>
      <c r="AH77" s="28" t="s">
        <v>663</v>
      </c>
      <c r="AJ77" s="27" t="s">
        <v>659</v>
      </c>
      <c r="AK77" s="7" t="e">
        <f>IF(O76= "Exterior Drive Post", (U78)-((GL+GR)/12), U78)</f>
        <v>#VALUE!</v>
      </c>
      <c r="AL77" s="28" t="s">
        <v>658</v>
      </c>
      <c r="AM77" s="27" t="s">
        <v>659</v>
      </c>
      <c r="AN77" s="7" t="e">
        <f>AA77</f>
        <v>#VALUE!</v>
      </c>
      <c r="AO77" s="28" t="s">
        <v>658</v>
      </c>
      <c r="AP77" s="27" t="s">
        <v>672</v>
      </c>
      <c r="AQ77" s="323" t="e">
        <f>AN78</f>
        <v>#VALUE!</v>
      </c>
      <c r="AR77" s="28" t="s">
        <v>665</v>
      </c>
      <c r="AT77" s="27" t="s">
        <v>673</v>
      </c>
      <c r="AU77" s="210" t="e">
        <f>RSL*COS(Radians)</f>
        <v>#VALUE!</v>
      </c>
      <c r="AV77" s="28" t="s">
        <v>65</v>
      </c>
      <c r="AX77" s="628"/>
      <c r="AY77" s="559"/>
      <c r="AZ77" t="s">
        <v>668</v>
      </c>
      <c r="BA77" s="7" t="str">
        <f>L57</f>
        <v/>
      </c>
      <c r="BB77" s="77" t="s">
        <v>657</v>
      </c>
      <c r="BC77" s="43"/>
      <c r="BD77" s="7" t="e">
        <f>BA77/12</f>
        <v>#VALUE!</v>
      </c>
      <c r="BE77" s="28" t="s">
        <v>658</v>
      </c>
      <c r="BF77" s="27" t="s">
        <v>669</v>
      </c>
      <c r="BG77" s="7">
        <f>COUNTIFS($I$6:$I$105, "&lt;="&amp;BA76, $I$6:$I$105, "&gt;="&amp;BA77)</f>
        <v>0</v>
      </c>
      <c r="BH77" s="28" t="s">
        <v>670</v>
      </c>
      <c r="BI77" s="27" t="s">
        <v>659</v>
      </c>
      <c r="BJ77" s="7" t="e">
        <f>IF(AX76="Interior Drive Post", (BD78-(TG/12)), BD78)</f>
        <v>#VALUE!</v>
      </c>
      <c r="BK77" s="28" t="s">
        <v>658</v>
      </c>
      <c r="BL77" s="27" t="s">
        <v>671</v>
      </c>
      <c r="BM77" s="7" t="e">
        <f>BD80</f>
        <v>#VALUE!</v>
      </c>
      <c r="BN77" s="28" t="s">
        <v>665</v>
      </c>
      <c r="BO77" s="27" t="s">
        <v>672</v>
      </c>
      <c r="BP77" s="317" t="e">
        <f>BJ80</f>
        <v>#VALUE!</v>
      </c>
      <c r="BQ77" s="28" t="s">
        <v>663</v>
      </c>
      <c r="BS77" s="27" t="s">
        <v>659</v>
      </c>
      <c r="BT77" s="7" t="e">
        <f>IF(AX76= "Interior Drive Post", (BD78)-((GL+GR)/12), BD78)</f>
        <v>#VALUE!</v>
      </c>
      <c r="BU77" s="28" t="s">
        <v>658</v>
      </c>
      <c r="BV77" s="27" t="s">
        <v>659</v>
      </c>
      <c r="BW77" s="7" t="e">
        <f>BJ77</f>
        <v>#VALUE!</v>
      </c>
      <c r="BX77" s="28" t="s">
        <v>658</v>
      </c>
      <c r="BY77" s="27" t="s">
        <v>672</v>
      </c>
      <c r="BZ77" s="323" t="e">
        <f>BW78</f>
        <v>#VALUE!</v>
      </c>
      <c r="CA77" s="28" t="s">
        <v>665</v>
      </c>
      <c r="CC77" s="27" t="s">
        <v>673</v>
      </c>
      <c r="CD77" s="210" t="e">
        <f>RSL*COS(Radians)</f>
        <v>#VALUE!</v>
      </c>
      <c r="CE77" s="28" t="s">
        <v>65</v>
      </c>
    </row>
    <row r="78" spans="2:83" x14ac:dyDescent="0.25">
      <c r="G78" s="302">
        <v>73</v>
      </c>
      <c r="H78" s="7" t="e">
        <f t="shared" si="49"/>
        <v>#VALUE!</v>
      </c>
      <c r="I78" s="299" t="e">
        <f t="shared" si="50"/>
        <v>#VALUE!</v>
      </c>
      <c r="J78" s="7"/>
      <c r="O78" s="628"/>
      <c r="P78" s="559"/>
      <c r="Q78" t="s">
        <v>659</v>
      </c>
      <c r="R78" s="7" t="e">
        <f>R76-R77</f>
        <v>#VALUE!</v>
      </c>
      <c r="S78" s="77" t="s">
        <v>657</v>
      </c>
      <c r="T78" s="43"/>
      <c r="U78" s="7" t="e">
        <f>R78/12</f>
        <v>#VALUE!</v>
      </c>
      <c r="V78" s="28" t="s">
        <v>658</v>
      </c>
      <c r="W78" s="27" t="s">
        <v>674</v>
      </c>
      <c r="X78" s="7" t="e">
        <f>X77*X76</f>
        <v>#VALUE!</v>
      </c>
      <c r="Y78" s="28" t="s">
        <v>657</v>
      </c>
      <c r="Z78" s="27"/>
      <c r="AA78" s="7"/>
      <c r="AB78" s="28"/>
      <c r="AC78" s="27"/>
      <c r="AD78" s="7"/>
      <c r="AE78" s="28"/>
      <c r="AF78" s="27" t="s">
        <v>653</v>
      </c>
      <c r="AG78" s="319" t="e">
        <f>AD80</f>
        <v>#VALUE!</v>
      </c>
      <c r="AH78" s="28" t="s">
        <v>663</v>
      </c>
      <c r="AJ78" s="27" t="s">
        <v>671</v>
      </c>
      <c r="AK78" s="321" t="e">
        <f>AK76*AK77</f>
        <v>#VALUE!</v>
      </c>
      <c r="AL78" s="28" t="s">
        <v>665</v>
      </c>
      <c r="AM78" s="27" t="s">
        <v>671</v>
      </c>
      <c r="AN78" s="323" t="e">
        <f>AN77*AN76</f>
        <v>#VALUE!</v>
      </c>
      <c r="AO78" s="28" t="s">
        <v>665</v>
      </c>
      <c r="AP78" s="27" t="s">
        <v>654</v>
      </c>
      <c r="AQ78" s="7" t="e">
        <f>SUM(AQ76:AQ77)</f>
        <v>#VALUE!</v>
      </c>
      <c r="AR78" s="28" t="s">
        <v>665</v>
      </c>
      <c r="AT78" s="27" t="s">
        <v>671</v>
      </c>
      <c r="AU78" s="210" t="e">
        <f>U80</f>
        <v>#VALUE!</v>
      </c>
      <c r="AV78" s="28" t="s">
        <v>693</v>
      </c>
      <c r="AX78" s="628"/>
      <c r="AY78" s="559"/>
      <c r="AZ78" t="s">
        <v>659</v>
      </c>
      <c r="BA78" s="7" t="e">
        <f>BA76-BA77</f>
        <v>#VALUE!</v>
      </c>
      <c r="BB78" s="77" t="s">
        <v>657</v>
      </c>
      <c r="BC78" s="43"/>
      <c r="BD78" s="7" t="e">
        <f>BA78/12</f>
        <v>#VALUE!</v>
      </c>
      <c r="BE78" s="28" t="s">
        <v>658</v>
      </c>
      <c r="BF78" s="27" t="s">
        <v>674</v>
      </c>
      <c r="BG78" s="7" t="e">
        <f>BG77*BG76</f>
        <v>#VALUE!</v>
      </c>
      <c r="BH78" s="28" t="s">
        <v>657</v>
      </c>
      <c r="BI78" s="27"/>
      <c r="BJ78" s="7"/>
      <c r="BK78" s="28"/>
      <c r="BL78" s="27"/>
      <c r="BM78" s="7"/>
      <c r="BN78" s="28"/>
      <c r="BO78" s="27" t="s">
        <v>653</v>
      </c>
      <c r="BP78" s="319" t="e">
        <f>BM80</f>
        <v>#VALUE!</v>
      </c>
      <c r="BQ78" s="28" t="s">
        <v>663</v>
      </c>
      <c r="BS78" s="27" t="s">
        <v>671</v>
      </c>
      <c r="BT78" s="321" t="e">
        <f>BT76*BT77</f>
        <v>#VALUE!</v>
      </c>
      <c r="BU78" s="28" t="s">
        <v>665</v>
      </c>
      <c r="BV78" s="27" t="s">
        <v>671</v>
      </c>
      <c r="BW78" s="323" t="e">
        <f>BW77*BW76</f>
        <v>#VALUE!</v>
      </c>
      <c r="BX78" s="28" t="s">
        <v>665</v>
      </c>
      <c r="BY78" s="27" t="s">
        <v>654</v>
      </c>
      <c r="BZ78" s="7" t="e">
        <f>SUM(BZ76:BZ77)</f>
        <v>#VALUE!</v>
      </c>
      <c r="CA78" s="28" t="s">
        <v>665</v>
      </c>
      <c r="CC78" s="27" t="s">
        <v>671</v>
      </c>
      <c r="CD78" s="210" t="e">
        <f>BD80</f>
        <v>#VALUE!</v>
      </c>
      <c r="CE78" s="28" t="s">
        <v>665</v>
      </c>
    </row>
    <row r="79" spans="2:83" x14ac:dyDescent="0.25">
      <c r="G79" s="302">
        <v>74</v>
      </c>
      <c r="H79" s="7" t="e">
        <f t="shared" si="49"/>
        <v>#VALUE!</v>
      </c>
      <c r="I79" s="299" t="e">
        <f t="shared" si="50"/>
        <v>#VALUE!</v>
      </c>
      <c r="J79" s="7"/>
      <c r="O79" s="628"/>
      <c r="P79" s="559"/>
      <c r="Q79" t="s">
        <v>675</v>
      </c>
      <c r="R79" s="7" t="e">
        <f>ROUND(ML, 3)</f>
        <v>#VALUE!</v>
      </c>
      <c r="S79" s="77" t="s">
        <v>657</v>
      </c>
      <c r="T79" s="43"/>
      <c r="U79" s="7" t="e">
        <f>R79/12</f>
        <v>#VALUE!</v>
      </c>
      <c r="V79" s="28" t="s">
        <v>658</v>
      </c>
      <c r="W79" s="27" t="s">
        <v>660</v>
      </c>
      <c r="X79" s="7">
        <f>VLOOKUP(VS,'List Data'!$A$8:$B$12, 2, FALSE)</f>
        <v>2.1419999999999999</v>
      </c>
      <c r="Y79" s="28" t="s">
        <v>661</v>
      </c>
      <c r="Z79" s="27"/>
      <c r="AA79" s="7"/>
      <c r="AB79" s="28"/>
      <c r="AC79" s="27"/>
      <c r="AD79" s="7"/>
      <c r="AE79" s="28"/>
      <c r="AF79" s="27"/>
      <c r="AH79" s="28"/>
      <c r="AJ79" s="27"/>
      <c r="AK79" s="7"/>
      <c r="AL79" s="28"/>
      <c r="AM79" s="27"/>
      <c r="AO79" s="28"/>
      <c r="AP79" s="27"/>
      <c r="AQ79" s="7"/>
      <c r="AR79" s="28"/>
      <c r="AT79" s="27"/>
      <c r="AU79" s="210"/>
      <c r="AV79" s="28"/>
      <c r="AX79" s="628"/>
      <c r="AY79" s="559"/>
      <c r="AZ79" t="s">
        <v>675</v>
      </c>
      <c r="BA79" s="7" t="e">
        <f>ROUND(ML, 3)</f>
        <v>#VALUE!</v>
      </c>
      <c r="BB79" s="77" t="s">
        <v>657</v>
      </c>
      <c r="BC79" s="43"/>
      <c r="BD79" s="7" t="e">
        <f>BA79/12</f>
        <v>#VALUE!</v>
      </c>
      <c r="BE79" s="28" t="s">
        <v>658</v>
      </c>
      <c r="BF79" s="27" t="s">
        <v>660</v>
      </c>
      <c r="BG79" s="7">
        <f>VLOOKUP(VS,'List Data'!$A$8:$B$12, 2, FALSE)</f>
        <v>2.1419999999999999</v>
      </c>
      <c r="BH79" s="28" t="s">
        <v>661</v>
      </c>
      <c r="BI79" s="27"/>
      <c r="BJ79" s="7"/>
      <c r="BK79" s="28"/>
      <c r="BL79" s="27"/>
      <c r="BM79" s="7"/>
      <c r="BN79" s="28"/>
      <c r="BO79" s="27"/>
      <c r="BQ79" s="28"/>
      <c r="BS79" s="27"/>
      <c r="BT79" s="7"/>
      <c r="BU79" s="28"/>
      <c r="BV79" s="27"/>
      <c r="BX79" s="28"/>
      <c r="BY79" s="27"/>
      <c r="BZ79" s="7"/>
      <c r="CA79" s="28"/>
      <c r="CC79" s="27"/>
      <c r="CD79" s="210"/>
      <c r="CE79" s="28"/>
    </row>
    <row r="80" spans="2:83" x14ac:dyDescent="0.25">
      <c r="G80" s="302">
        <v>75</v>
      </c>
      <c r="H80" s="7" t="e">
        <f t="shared" si="49"/>
        <v>#VALUE!</v>
      </c>
      <c r="I80" s="299" t="e">
        <f t="shared" si="50"/>
        <v>#VALUE!</v>
      </c>
      <c r="J80" s="7"/>
      <c r="O80" s="629"/>
      <c r="P80" s="561"/>
      <c r="Q80" s="30" t="s">
        <v>671</v>
      </c>
      <c r="R80" s="309" t="e">
        <f>R78*R79</f>
        <v>#VALUE!</v>
      </c>
      <c r="S80" s="311" t="s">
        <v>676</v>
      </c>
      <c r="T80" s="313"/>
      <c r="U80" s="309" t="e">
        <f>IF(O76="Exterior Drive Post", (R80/144)-(((GL+GR)*(ML/25.4))/144), R80/144)</f>
        <v>#VALUE!</v>
      </c>
      <c r="V80" s="31" t="s">
        <v>677</v>
      </c>
      <c r="W80" s="29" t="s">
        <v>678</v>
      </c>
      <c r="X80" s="314" t="e">
        <f>X79/12*X78</f>
        <v>#VALUE!</v>
      </c>
      <c r="Y80" s="31" t="s">
        <v>663</v>
      </c>
      <c r="Z80" s="29" t="s">
        <v>678</v>
      </c>
      <c r="AA80" s="315" t="e">
        <f>AA76*AA77</f>
        <v>#VALUE!</v>
      </c>
      <c r="AB80" s="31" t="s">
        <v>663</v>
      </c>
      <c r="AC80" s="29" t="s">
        <v>678</v>
      </c>
      <c r="AD80" s="316" t="e">
        <f>AD76*AD77</f>
        <v>#VALUE!</v>
      </c>
      <c r="AE80" s="31" t="s">
        <v>181</v>
      </c>
      <c r="AF80" s="29" t="s">
        <v>654</v>
      </c>
      <c r="AG80" s="320" t="e">
        <f>IF(O76="Exterior Drive Post", SUM(AG76:AG78)+SDW, SUM(AG76:AG78)+ICW)</f>
        <v>#VALUE!</v>
      </c>
      <c r="AH80" s="31" t="s">
        <v>663</v>
      </c>
      <c r="AI80">
        <v>15</v>
      </c>
      <c r="AJ80" s="29"/>
      <c r="AK80" s="309"/>
      <c r="AL80" s="31"/>
      <c r="AM80" s="29"/>
      <c r="AN80" s="30"/>
      <c r="AO80" s="31"/>
      <c r="AP80" s="29" t="s">
        <v>679</v>
      </c>
      <c r="AQ80" s="324" t="e">
        <f>AQ78*Pult</f>
        <v>#VALUE!</v>
      </c>
      <c r="AR80" s="31" t="s">
        <v>181</v>
      </c>
      <c r="AT80" s="29" t="s">
        <v>662</v>
      </c>
      <c r="AU80" s="339" t="e">
        <f>AU78*AU77</f>
        <v>#VALUE!</v>
      </c>
      <c r="AV80" s="31" t="s">
        <v>181</v>
      </c>
      <c r="AX80" s="629"/>
      <c r="AY80" s="561"/>
      <c r="AZ80" s="30" t="s">
        <v>671</v>
      </c>
      <c r="BA80" s="309" t="e">
        <f>BA78*BA79</f>
        <v>#VALUE!</v>
      </c>
      <c r="BB80" s="311" t="s">
        <v>676</v>
      </c>
      <c r="BC80" s="313"/>
      <c r="BD80" s="309" t="e">
        <f>IF(AX76="Interior Drive Post", (BA80/144)-(((GL+GR)*(ML/25.4))/144), BA80/144)</f>
        <v>#VALUE!</v>
      </c>
      <c r="BE80" s="31" t="s">
        <v>677</v>
      </c>
      <c r="BF80" s="29" t="s">
        <v>678</v>
      </c>
      <c r="BG80" s="314" t="e">
        <f>BG79/12*BG78</f>
        <v>#VALUE!</v>
      </c>
      <c r="BH80" s="31" t="s">
        <v>663</v>
      </c>
      <c r="BI80" s="29" t="s">
        <v>678</v>
      </c>
      <c r="BJ80" s="315" t="e">
        <f>BJ76*BJ77</f>
        <v>#VALUE!</v>
      </c>
      <c r="BK80" s="31" t="s">
        <v>663</v>
      </c>
      <c r="BL80" s="29" t="s">
        <v>678</v>
      </c>
      <c r="BM80" s="316" t="e">
        <f>BM76*BM77</f>
        <v>#VALUE!</v>
      </c>
      <c r="BN80" s="31" t="s">
        <v>181</v>
      </c>
      <c r="BO80" s="29" t="s">
        <v>654</v>
      </c>
      <c r="BP80" s="320" t="e">
        <f>IF(AX76="Interior Drive Post", SUM(BP76:BP78)+SDW, SUM(BP76:BP78)+ICW)</f>
        <v>#VALUE!</v>
      </c>
      <c r="BQ80" s="31" t="s">
        <v>663</v>
      </c>
      <c r="BR80">
        <v>15</v>
      </c>
      <c r="BS80" s="29"/>
      <c r="BT80" s="309"/>
      <c r="BU80" s="31"/>
      <c r="BV80" s="29"/>
      <c r="BW80" s="30"/>
      <c r="BX80" s="31"/>
      <c r="BY80" s="29" t="s">
        <v>679</v>
      </c>
      <c r="BZ80" s="324" t="e">
        <f>BZ78*Pult</f>
        <v>#VALUE!</v>
      </c>
      <c r="CA80" s="31" t="s">
        <v>181</v>
      </c>
      <c r="CC80" s="29" t="s">
        <v>662</v>
      </c>
      <c r="CD80" s="339" t="e">
        <f>CD78*CD77</f>
        <v>#VALUE!</v>
      </c>
      <c r="CE80" s="31" t="s">
        <v>181</v>
      </c>
    </row>
    <row r="81" spans="2:83" x14ac:dyDescent="0.25">
      <c r="G81" s="302">
        <v>76</v>
      </c>
      <c r="H81" s="7" t="e">
        <f t="shared" si="49"/>
        <v>#VALUE!</v>
      </c>
      <c r="I81" s="299" t="e">
        <f t="shared" si="50"/>
        <v>#VALUE!</v>
      </c>
      <c r="J81" s="7"/>
      <c r="O81" s="653" t="str">
        <f>D21</f>
        <v/>
      </c>
      <c r="P81" s="558"/>
      <c r="Q81" s="25" t="s">
        <v>656</v>
      </c>
      <c r="R81" s="297" t="str">
        <f>L21</f>
        <v/>
      </c>
      <c r="S81" s="310" t="s">
        <v>657</v>
      </c>
      <c r="T81" s="312"/>
      <c r="U81" s="297" t="e">
        <f>R81/12</f>
        <v>#VALUE!</v>
      </c>
      <c r="V81" s="26" t="s">
        <v>658</v>
      </c>
      <c r="W81" s="24" t="s">
        <v>659</v>
      </c>
      <c r="X81" s="297" t="e">
        <f>VL</f>
        <v>#VALUE!</v>
      </c>
      <c r="Y81" s="26" t="s">
        <v>657</v>
      </c>
      <c r="Z81" s="24" t="s">
        <v>660</v>
      </c>
      <c r="AA81" s="297">
        <f>VLOOKUP(TS,'List Data'!$A$15:$B$18, 2, FALSE)</f>
        <v>7.8955000000000002</v>
      </c>
      <c r="AB81" s="26" t="s">
        <v>661</v>
      </c>
      <c r="AC81" s="24" t="s">
        <v>662</v>
      </c>
      <c r="AD81" s="297" t="e">
        <f>PL</f>
        <v>#VALUE!</v>
      </c>
      <c r="AE81" s="26" t="s">
        <v>65</v>
      </c>
      <c r="AF81" s="24" t="s">
        <v>651</v>
      </c>
      <c r="AG81" s="318" t="e">
        <f>X85</f>
        <v>#VALUE!</v>
      </c>
      <c r="AH81" s="26" t="s">
        <v>663</v>
      </c>
      <c r="AJ81" s="24" t="s">
        <v>664</v>
      </c>
      <c r="AK81" s="297" t="e">
        <f>ROUND(MT/12,5)</f>
        <v>#VALUE!</v>
      </c>
      <c r="AL81" s="26" t="s">
        <v>658</v>
      </c>
      <c r="AM81" s="24" t="s">
        <v>370</v>
      </c>
      <c r="AN81" s="297">
        <f>IF(OR(TS="5x4, .126", TS="5x4, .134"), 5/12,4/12)</f>
        <v>0.41666666666666669</v>
      </c>
      <c r="AO81" s="26" t="s">
        <v>658</v>
      </c>
      <c r="AP81" s="24" t="s">
        <v>653</v>
      </c>
      <c r="AQ81" s="322" t="e">
        <f>AK83</f>
        <v>#VALUE!</v>
      </c>
      <c r="AR81" s="26" t="s">
        <v>665</v>
      </c>
      <c r="AT81" s="24" t="s">
        <v>666</v>
      </c>
      <c r="AU81" s="338" t="str">
        <f>Theta</f>
        <v>XX</v>
      </c>
      <c r="AV81" s="26" t="s">
        <v>667</v>
      </c>
      <c r="AX81" s="653" t="str">
        <f>D57</f>
        <v/>
      </c>
      <c r="AY81" s="558"/>
      <c r="AZ81" s="25" t="s">
        <v>656</v>
      </c>
      <c r="BA81" s="297" t="str">
        <f>L57</f>
        <v/>
      </c>
      <c r="BB81" s="310" t="s">
        <v>657</v>
      </c>
      <c r="BC81" s="312"/>
      <c r="BD81" s="297" t="e">
        <f>BA81/12</f>
        <v>#VALUE!</v>
      </c>
      <c r="BE81" s="26" t="s">
        <v>658</v>
      </c>
      <c r="BF81" s="24" t="s">
        <v>659</v>
      </c>
      <c r="BG81" s="297" t="e">
        <f>VL</f>
        <v>#VALUE!</v>
      </c>
      <c r="BH81" s="26" t="s">
        <v>657</v>
      </c>
      <c r="BI81" s="24" t="s">
        <v>660</v>
      </c>
      <c r="BJ81" s="297">
        <f>VLOOKUP(TS,'List Data'!$A$15:$B$18, 2, FALSE)</f>
        <v>7.8955000000000002</v>
      </c>
      <c r="BK81" s="26" t="s">
        <v>661</v>
      </c>
      <c r="BL81" s="24" t="s">
        <v>662</v>
      </c>
      <c r="BM81" s="297" t="e">
        <f>PL</f>
        <v>#VALUE!</v>
      </c>
      <c r="BN81" s="26" t="s">
        <v>65</v>
      </c>
      <c r="BO81" s="24" t="s">
        <v>651</v>
      </c>
      <c r="BP81" s="318" t="e">
        <f>BG85</f>
        <v>#VALUE!</v>
      </c>
      <c r="BQ81" s="26" t="s">
        <v>663</v>
      </c>
      <c r="BS81" s="24" t="s">
        <v>664</v>
      </c>
      <c r="BT81" s="297" t="e">
        <f>ROUND(MT/12,5)</f>
        <v>#VALUE!</v>
      </c>
      <c r="BU81" s="26" t="s">
        <v>658</v>
      </c>
      <c r="BV81" s="24" t="s">
        <v>370</v>
      </c>
      <c r="BW81" s="297">
        <f>IF(OR(TS="5x4, .126", TS="5x4, .134"), 5/12,4/12)</f>
        <v>0.41666666666666669</v>
      </c>
      <c r="BX81" s="26" t="s">
        <v>658</v>
      </c>
      <c r="BY81" s="24" t="s">
        <v>653</v>
      </c>
      <c r="BZ81" s="322" t="e">
        <f>BT83</f>
        <v>#VALUE!</v>
      </c>
      <c r="CA81" s="26" t="s">
        <v>665</v>
      </c>
      <c r="CC81" s="24" t="s">
        <v>666</v>
      </c>
      <c r="CD81" s="338" t="str">
        <f>Theta</f>
        <v>XX</v>
      </c>
      <c r="CE81" s="26" t="s">
        <v>667</v>
      </c>
    </row>
    <row r="82" spans="2:83" x14ac:dyDescent="0.25">
      <c r="D82" s="12"/>
      <c r="E82" s="12"/>
      <c r="F82" s="12"/>
      <c r="G82" s="302">
        <v>77</v>
      </c>
      <c r="H82" s="7" t="e">
        <f t="shared" si="49"/>
        <v>#VALUE!</v>
      </c>
      <c r="I82" s="299" t="e">
        <f t="shared" si="50"/>
        <v>#VALUE!</v>
      </c>
      <c r="J82" s="7"/>
      <c r="O82" s="628"/>
      <c r="P82" s="559"/>
      <c r="Q82" t="s">
        <v>668</v>
      </c>
      <c r="R82" s="7" t="str">
        <f>L22</f>
        <v/>
      </c>
      <c r="S82" s="77" t="s">
        <v>657</v>
      </c>
      <c r="T82" s="43"/>
      <c r="U82" s="7" t="e">
        <f>R82/12</f>
        <v>#VALUE!</v>
      </c>
      <c r="V82" s="28" t="s">
        <v>658</v>
      </c>
      <c r="W82" s="27" t="s">
        <v>669</v>
      </c>
      <c r="X82" s="7">
        <f>COUNTIFS($I$6:$I$105, "&lt;="&amp;R81, $I$6:$I$105, "&gt;="&amp;R82)</f>
        <v>0</v>
      </c>
      <c r="Y82" s="28" t="s">
        <v>670</v>
      </c>
      <c r="Z82" s="27" t="s">
        <v>659</v>
      </c>
      <c r="AA82" s="7" t="e">
        <f>IF(O81="Exterior Drive Post", (U83-(TG/12)), U83)</f>
        <v>#VALUE!</v>
      </c>
      <c r="AB82" s="28" t="s">
        <v>658</v>
      </c>
      <c r="AC82" s="27" t="s">
        <v>671</v>
      </c>
      <c r="AD82" s="7" t="e">
        <f>U85</f>
        <v>#VALUE!</v>
      </c>
      <c r="AE82" s="28" t="s">
        <v>665</v>
      </c>
      <c r="AF82" s="27" t="s">
        <v>672</v>
      </c>
      <c r="AG82" s="317" t="e">
        <f>AA85</f>
        <v>#VALUE!</v>
      </c>
      <c r="AH82" s="28" t="s">
        <v>663</v>
      </c>
      <c r="AJ82" s="27" t="s">
        <v>659</v>
      </c>
      <c r="AK82" s="7" t="e">
        <f>IF(O81= "Exterior Drive Post", (U83)-((GL+GR)/12), U83)</f>
        <v>#VALUE!</v>
      </c>
      <c r="AL82" s="28" t="s">
        <v>658</v>
      </c>
      <c r="AM82" s="27" t="s">
        <v>659</v>
      </c>
      <c r="AN82" s="7" t="e">
        <f>AA82</f>
        <v>#VALUE!</v>
      </c>
      <c r="AO82" s="28" t="s">
        <v>658</v>
      </c>
      <c r="AP82" s="27" t="s">
        <v>672</v>
      </c>
      <c r="AQ82" s="323" t="e">
        <f>AN83</f>
        <v>#VALUE!</v>
      </c>
      <c r="AR82" s="28" t="s">
        <v>665</v>
      </c>
      <c r="AT82" s="27" t="s">
        <v>673</v>
      </c>
      <c r="AU82" s="210" t="e">
        <f>RSL*COS(Radians)</f>
        <v>#VALUE!</v>
      </c>
      <c r="AV82" s="28" t="s">
        <v>65</v>
      </c>
      <c r="AX82" s="628"/>
      <c r="AY82" s="559"/>
      <c r="AZ82" t="s">
        <v>668</v>
      </c>
      <c r="BA82" s="7" t="str">
        <f>L58</f>
        <v/>
      </c>
      <c r="BB82" s="77" t="s">
        <v>657</v>
      </c>
      <c r="BC82" s="43"/>
      <c r="BD82" s="7" t="e">
        <f>BA82/12</f>
        <v>#VALUE!</v>
      </c>
      <c r="BE82" s="28" t="s">
        <v>658</v>
      </c>
      <c r="BF82" s="27" t="s">
        <v>669</v>
      </c>
      <c r="BG82" s="7">
        <f>COUNTIFS($I$6:$I$105, "&lt;="&amp;BA81, $I$6:$I$105, "&gt;="&amp;BA82)</f>
        <v>0</v>
      </c>
      <c r="BH82" s="28" t="s">
        <v>670</v>
      </c>
      <c r="BI82" s="27" t="s">
        <v>659</v>
      </c>
      <c r="BJ82" s="7" t="e">
        <f>IF(AX81="Interior Drive Post", (BD83-(TG/12)), BD83)</f>
        <v>#VALUE!</v>
      </c>
      <c r="BK82" s="28" t="s">
        <v>658</v>
      </c>
      <c r="BL82" s="27" t="s">
        <v>671</v>
      </c>
      <c r="BM82" s="7" t="e">
        <f>BD85</f>
        <v>#VALUE!</v>
      </c>
      <c r="BN82" s="28" t="s">
        <v>665</v>
      </c>
      <c r="BO82" s="27" t="s">
        <v>672</v>
      </c>
      <c r="BP82" s="317" t="e">
        <f>BJ85</f>
        <v>#VALUE!</v>
      </c>
      <c r="BQ82" s="28" t="s">
        <v>663</v>
      </c>
      <c r="BS82" s="27" t="s">
        <v>659</v>
      </c>
      <c r="BT82" s="7" t="e">
        <f>IF(AX81= "Interior Drive Post", (BD83)-((GL+GR)/12), BD83)</f>
        <v>#VALUE!</v>
      </c>
      <c r="BU82" s="28" t="s">
        <v>658</v>
      </c>
      <c r="BV82" s="27" t="s">
        <v>659</v>
      </c>
      <c r="BW82" s="7" t="e">
        <f>BJ82</f>
        <v>#VALUE!</v>
      </c>
      <c r="BX82" s="28" t="s">
        <v>658</v>
      </c>
      <c r="BY82" s="27" t="s">
        <v>672</v>
      </c>
      <c r="BZ82" s="323" t="e">
        <f>BW83</f>
        <v>#VALUE!</v>
      </c>
      <c r="CA82" s="28" t="s">
        <v>665</v>
      </c>
      <c r="CC82" s="27" t="s">
        <v>673</v>
      </c>
      <c r="CD82" s="210" t="e">
        <f>RSL*COS(Radians)</f>
        <v>#VALUE!</v>
      </c>
      <c r="CE82" s="28" t="s">
        <v>65</v>
      </c>
    </row>
    <row r="83" spans="2:83" x14ac:dyDescent="0.25">
      <c r="D83" s="12"/>
      <c r="E83" s="12"/>
      <c r="F83" s="12"/>
      <c r="G83" s="302">
        <v>78</v>
      </c>
      <c r="H83" s="7" t="e">
        <f t="shared" si="49"/>
        <v>#VALUE!</v>
      </c>
      <c r="I83" s="299" t="e">
        <f t="shared" si="50"/>
        <v>#VALUE!</v>
      </c>
      <c r="J83" s="7"/>
      <c r="O83" s="628"/>
      <c r="P83" s="559"/>
      <c r="Q83" t="s">
        <v>659</v>
      </c>
      <c r="R83" s="7" t="e">
        <f>R81-R82</f>
        <v>#VALUE!</v>
      </c>
      <c r="S83" s="77" t="s">
        <v>657</v>
      </c>
      <c r="T83" s="43"/>
      <c r="U83" s="7" t="e">
        <f>R83/12</f>
        <v>#VALUE!</v>
      </c>
      <c r="V83" s="28" t="s">
        <v>658</v>
      </c>
      <c r="W83" s="27" t="s">
        <v>674</v>
      </c>
      <c r="X83" s="7" t="e">
        <f>X82*X81</f>
        <v>#VALUE!</v>
      </c>
      <c r="Y83" s="28" t="s">
        <v>657</v>
      </c>
      <c r="Z83" s="27"/>
      <c r="AA83" s="7"/>
      <c r="AB83" s="28"/>
      <c r="AC83" s="27"/>
      <c r="AD83" s="7"/>
      <c r="AE83" s="28"/>
      <c r="AF83" s="27" t="s">
        <v>653</v>
      </c>
      <c r="AG83" s="319" t="e">
        <f>AD85</f>
        <v>#VALUE!</v>
      </c>
      <c r="AH83" s="28" t="s">
        <v>663</v>
      </c>
      <c r="AJ83" s="27" t="s">
        <v>671</v>
      </c>
      <c r="AK83" s="321" t="e">
        <f>AK81*AK82</f>
        <v>#VALUE!</v>
      </c>
      <c r="AL83" s="28" t="s">
        <v>665</v>
      </c>
      <c r="AM83" s="27" t="s">
        <v>671</v>
      </c>
      <c r="AN83" s="323" t="e">
        <f>AN82*AN81</f>
        <v>#VALUE!</v>
      </c>
      <c r="AO83" s="28" t="s">
        <v>665</v>
      </c>
      <c r="AP83" s="27" t="s">
        <v>654</v>
      </c>
      <c r="AQ83" s="7" t="e">
        <f>SUM(AQ81:AQ82)</f>
        <v>#VALUE!</v>
      </c>
      <c r="AR83" s="28" t="s">
        <v>665</v>
      </c>
      <c r="AT83" s="27" t="s">
        <v>671</v>
      </c>
      <c r="AU83" s="210" t="e">
        <f>U85</f>
        <v>#VALUE!</v>
      </c>
      <c r="AV83" s="28" t="s">
        <v>694</v>
      </c>
      <c r="AX83" s="628"/>
      <c r="AY83" s="559"/>
      <c r="AZ83" t="s">
        <v>659</v>
      </c>
      <c r="BA83" s="7" t="e">
        <f>BA81-BA82</f>
        <v>#VALUE!</v>
      </c>
      <c r="BB83" s="77" t="s">
        <v>657</v>
      </c>
      <c r="BC83" s="43"/>
      <c r="BD83" s="7" t="e">
        <f>BA83/12</f>
        <v>#VALUE!</v>
      </c>
      <c r="BE83" s="28" t="s">
        <v>658</v>
      </c>
      <c r="BF83" s="27" t="s">
        <v>674</v>
      </c>
      <c r="BG83" s="7" t="e">
        <f>BG82*BG81</f>
        <v>#VALUE!</v>
      </c>
      <c r="BH83" s="28" t="s">
        <v>657</v>
      </c>
      <c r="BI83" s="27"/>
      <c r="BJ83" s="7"/>
      <c r="BK83" s="28"/>
      <c r="BL83" s="27"/>
      <c r="BM83" s="7"/>
      <c r="BN83" s="28"/>
      <c r="BO83" s="27" t="s">
        <v>653</v>
      </c>
      <c r="BP83" s="319" t="e">
        <f>BM85</f>
        <v>#VALUE!</v>
      </c>
      <c r="BQ83" s="28" t="s">
        <v>663</v>
      </c>
      <c r="BS83" s="27" t="s">
        <v>671</v>
      </c>
      <c r="BT83" s="321" t="e">
        <f>BT81*BT82</f>
        <v>#VALUE!</v>
      </c>
      <c r="BU83" s="28" t="s">
        <v>665</v>
      </c>
      <c r="BV83" s="27" t="s">
        <v>671</v>
      </c>
      <c r="BW83" s="323" t="e">
        <f>BW82*BW81</f>
        <v>#VALUE!</v>
      </c>
      <c r="BX83" s="28" t="s">
        <v>665</v>
      </c>
      <c r="BY83" s="27" t="s">
        <v>654</v>
      </c>
      <c r="BZ83" s="7" t="e">
        <f>SUM(BZ81:BZ82)</f>
        <v>#VALUE!</v>
      </c>
      <c r="CA83" s="28" t="s">
        <v>665</v>
      </c>
      <c r="CC83" s="27" t="s">
        <v>671</v>
      </c>
      <c r="CD83" s="210" t="e">
        <f>BD85</f>
        <v>#VALUE!</v>
      </c>
      <c r="CE83" s="28" t="s">
        <v>665</v>
      </c>
    </row>
    <row r="84" spans="2:83" x14ac:dyDescent="0.25">
      <c r="D84" s="12"/>
      <c r="E84" s="12"/>
      <c r="F84" s="12"/>
      <c r="G84" s="302">
        <v>79</v>
      </c>
      <c r="H84" s="7" t="e">
        <f t="shared" si="49"/>
        <v>#VALUE!</v>
      </c>
      <c r="I84" s="299" t="e">
        <f t="shared" si="50"/>
        <v>#VALUE!</v>
      </c>
      <c r="J84" s="7"/>
      <c r="O84" s="628"/>
      <c r="P84" s="559"/>
      <c r="Q84" t="s">
        <v>675</v>
      </c>
      <c r="R84" s="7" t="e">
        <f>ROUND(ML, 3)</f>
        <v>#VALUE!</v>
      </c>
      <c r="S84" s="77" t="s">
        <v>657</v>
      </c>
      <c r="T84" s="43"/>
      <c r="U84" s="7" t="e">
        <f>R84/12</f>
        <v>#VALUE!</v>
      </c>
      <c r="V84" s="28" t="s">
        <v>658</v>
      </c>
      <c r="W84" s="27" t="s">
        <v>660</v>
      </c>
      <c r="X84" s="7">
        <f>VLOOKUP(VS,'List Data'!$A$8:$B$12, 2, FALSE)</f>
        <v>2.1419999999999999</v>
      </c>
      <c r="Y84" s="28" t="s">
        <v>661</v>
      </c>
      <c r="Z84" s="27"/>
      <c r="AA84" s="7"/>
      <c r="AB84" s="28"/>
      <c r="AC84" s="27"/>
      <c r="AD84" s="7"/>
      <c r="AE84" s="28"/>
      <c r="AF84" s="27"/>
      <c r="AH84" s="28"/>
      <c r="AJ84" s="27"/>
      <c r="AK84" s="7"/>
      <c r="AL84" s="28"/>
      <c r="AM84" s="27"/>
      <c r="AO84" s="28"/>
      <c r="AP84" s="27"/>
      <c r="AQ84" s="7"/>
      <c r="AR84" s="28"/>
      <c r="AT84" s="27"/>
      <c r="AU84" s="210"/>
      <c r="AV84" s="28"/>
      <c r="AX84" s="628"/>
      <c r="AY84" s="559"/>
      <c r="AZ84" t="s">
        <v>675</v>
      </c>
      <c r="BA84" s="7" t="e">
        <f>ROUND(ML, 3)</f>
        <v>#VALUE!</v>
      </c>
      <c r="BB84" s="77" t="s">
        <v>657</v>
      </c>
      <c r="BC84" s="43"/>
      <c r="BD84" s="7" t="e">
        <f>BA84/12</f>
        <v>#VALUE!</v>
      </c>
      <c r="BE84" s="28" t="s">
        <v>658</v>
      </c>
      <c r="BF84" s="27" t="s">
        <v>660</v>
      </c>
      <c r="BG84" s="7">
        <f>VLOOKUP(VS,'List Data'!$A$8:$B$12, 2, FALSE)</f>
        <v>2.1419999999999999</v>
      </c>
      <c r="BH84" s="28" t="s">
        <v>661</v>
      </c>
      <c r="BI84" s="27"/>
      <c r="BJ84" s="7"/>
      <c r="BK84" s="28"/>
      <c r="BL84" s="27"/>
      <c r="BM84" s="7"/>
      <c r="BN84" s="28"/>
      <c r="BO84" s="27"/>
      <c r="BQ84" s="28"/>
      <c r="BS84" s="27"/>
      <c r="BT84" s="7"/>
      <c r="BU84" s="28"/>
      <c r="BV84" s="27"/>
      <c r="BX84" s="28"/>
      <c r="BY84" s="27"/>
      <c r="BZ84" s="7"/>
      <c r="CA84" s="28"/>
      <c r="CC84" s="27"/>
      <c r="CD84" s="210"/>
      <c r="CE84" s="28"/>
    </row>
    <row r="85" spans="2:83" x14ac:dyDescent="0.25">
      <c r="D85" s="12"/>
      <c r="E85" s="12"/>
      <c r="F85" s="12"/>
      <c r="G85" s="302">
        <v>80</v>
      </c>
      <c r="H85" s="7" t="e">
        <f t="shared" si="49"/>
        <v>#VALUE!</v>
      </c>
      <c r="I85" s="299" t="e">
        <f t="shared" si="50"/>
        <v>#VALUE!</v>
      </c>
      <c r="J85" s="7"/>
      <c r="O85" s="629"/>
      <c r="P85" s="561"/>
      <c r="Q85" s="30" t="s">
        <v>671</v>
      </c>
      <c r="R85" s="309" t="e">
        <f>R83*R84</f>
        <v>#VALUE!</v>
      </c>
      <c r="S85" s="311" t="s">
        <v>676</v>
      </c>
      <c r="T85" s="313"/>
      <c r="U85" s="309" t="e">
        <f>IF(O81="Exterior Drive Post", (R85/144)-(((GL+GR)*(ML/25.4))/144), R85/144)</f>
        <v>#VALUE!</v>
      </c>
      <c r="V85" s="31" t="s">
        <v>677</v>
      </c>
      <c r="W85" s="29" t="s">
        <v>678</v>
      </c>
      <c r="X85" s="314" t="e">
        <f>X84/12*X83</f>
        <v>#VALUE!</v>
      </c>
      <c r="Y85" s="31" t="s">
        <v>663</v>
      </c>
      <c r="Z85" s="29" t="s">
        <v>678</v>
      </c>
      <c r="AA85" s="315" t="e">
        <f>AA81*AA82</f>
        <v>#VALUE!</v>
      </c>
      <c r="AB85" s="31" t="s">
        <v>663</v>
      </c>
      <c r="AC85" s="29" t="s">
        <v>678</v>
      </c>
      <c r="AD85" s="316" t="e">
        <f>AD81*AD82</f>
        <v>#VALUE!</v>
      </c>
      <c r="AE85" s="31" t="s">
        <v>181</v>
      </c>
      <c r="AF85" s="29" t="s">
        <v>654</v>
      </c>
      <c r="AG85" s="320" t="e">
        <f>IF(O81="Exterior Drive Post", SUM(AG81:AG83)+SDW, SUM(AG81:AG83)+ICW)</f>
        <v>#VALUE!</v>
      </c>
      <c r="AH85" s="31" t="s">
        <v>663</v>
      </c>
      <c r="AI85">
        <v>16</v>
      </c>
      <c r="AJ85" s="29"/>
      <c r="AK85" s="309"/>
      <c r="AL85" s="31"/>
      <c r="AM85" s="29"/>
      <c r="AN85" s="30"/>
      <c r="AO85" s="31"/>
      <c r="AP85" s="29" t="s">
        <v>679</v>
      </c>
      <c r="AQ85" s="324" t="e">
        <f>AQ83*Pult</f>
        <v>#VALUE!</v>
      </c>
      <c r="AR85" s="31" t="s">
        <v>181</v>
      </c>
      <c r="AT85" s="29" t="s">
        <v>662</v>
      </c>
      <c r="AU85" s="339" t="e">
        <f>AU83*AU82</f>
        <v>#VALUE!</v>
      </c>
      <c r="AV85" s="31" t="s">
        <v>181</v>
      </c>
      <c r="AX85" s="629"/>
      <c r="AY85" s="561"/>
      <c r="AZ85" s="30" t="s">
        <v>671</v>
      </c>
      <c r="BA85" s="309" t="e">
        <f>BA83*BA84</f>
        <v>#VALUE!</v>
      </c>
      <c r="BB85" s="311" t="s">
        <v>676</v>
      </c>
      <c r="BC85" s="313"/>
      <c r="BD85" s="309" t="e">
        <f>IF(AX81="Interior Drive Post", (BA85/144)-(((GL+GR)*(ML/25.4))/144), BA85/144)</f>
        <v>#VALUE!</v>
      </c>
      <c r="BE85" s="31" t="s">
        <v>677</v>
      </c>
      <c r="BF85" s="29" t="s">
        <v>678</v>
      </c>
      <c r="BG85" s="314" t="e">
        <f>BG84/12*BG83</f>
        <v>#VALUE!</v>
      </c>
      <c r="BH85" s="31" t="s">
        <v>663</v>
      </c>
      <c r="BI85" s="29" t="s">
        <v>678</v>
      </c>
      <c r="BJ85" s="315" t="e">
        <f>BJ81*BJ82</f>
        <v>#VALUE!</v>
      </c>
      <c r="BK85" s="31" t="s">
        <v>663</v>
      </c>
      <c r="BL85" s="29" t="s">
        <v>678</v>
      </c>
      <c r="BM85" s="316" t="e">
        <f>BM81*BM82</f>
        <v>#VALUE!</v>
      </c>
      <c r="BN85" s="31" t="s">
        <v>181</v>
      </c>
      <c r="BO85" s="29" t="s">
        <v>654</v>
      </c>
      <c r="BP85" s="320" t="e">
        <f>IF(AX81="Interior Drive Post", SUM(BP81:BP83)+SDW, SUM(BP81:BP83)+ICW)</f>
        <v>#VALUE!</v>
      </c>
      <c r="BQ85" s="31" t="s">
        <v>663</v>
      </c>
      <c r="BR85">
        <v>16</v>
      </c>
      <c r="BS85" s="29"/>
      <c r="BT85" s="309"/>
      <c r="BU85" s="31"/>
      <c r="BV85" s="29"/>
      <c r="BW85" s="30"/>
      <c r="BX85" s="31"/>
      <c r="BY85" s="29" t="s">
        <v>679</v>
      </c>
      <c r="BZ85" s="324" t="e">
        <f>BZ83*Pult</f>
        <v>#VALUE!</v>
      </c>
      <c r="CA85" s="31" t="s">
        <v>181</v>
      </c>
      <c r="CC85" s="29" t="s">
        <v>662</v>
      </c>
      <c r="CD85" s="339" t="e">
        <f>CD83*CD82</f>
        <v>#VALUE!</v>
      </c>
      <c r="CE85" s="31" t="s">
        <v>181</v>
      </c>
    </row>
    <row r="86" spans="2:83" x14ac:dyDescent="0.25">
      <c r="D86" s="12"/>
      <c r="E86" s="12"/>
      <c r="F86" s="12"/>
      <c r="G86" s="302">
        <v>81</v>
      </c>
      <c r="H86" s="7" t="e">
        <f t="shared" si="49"/>
        <v>#VALUE!</v>
      </c>
      <c r="I86" s="299" t="e">
        <f t="shared" si="50"/>
        <v>#VALUE!</v>
      </c>
      <c r="J86" s="7"/>
      <c r="O86" s="653" t="str">
        <f>D22</f>
        <v/>
      </c>
      <c r="P86" s="558"/>
      <c r="Q86" s="25" t="s">
        <v>656</v>
      </c>
      <c r="R86" s="297" t="str">
        <f>L22</f>
        <v/>
      </c>
      <c r="S86" s="310" t="s">
        <v>657</v>
      </c>
      <c r="T86" s="312"/>
      <c r="U86" s="297" t="e">
        <f>R86/12</f>
        <v>#VALUE!</v>
      </c>
      <c r="V86" s="26" t="s">
        <v>658</v>
      </c>
      <c r="W86" s="24" t="s">
        <v>659</v>
      </c>
      <c r="X86" s="297" t="e">
        <f>VL</f>
        <v>#VALUE!</v>
      </c>
      <c r="Y86" s="26" t="s">
        <v>657</v>
      </c>
      <c r="Z86" s="24" t="s">
        <v>660</v>
      </c>
      <c r="AA86" s="297">
        <f>VLOOKUP(TS,'List Data'!$A$15:$B$18, 2, FALSE)</f>
        <v>7.8955000000000002</v>
      </c>
      <c r="AB86" s="26" t="s">
        <v>661</v>
      </c>
      <c r="AC86" s="24" t="s">
        <v>662</v>
      </c>
      <c r="AD86" s="297" t="e">
        <f>PL</f>
        <v>#VALUE!</v>
      </c>
      <c r="AE86" s="26" t="s">
        <v>65</v>
      </c>
      <c r="AF86" s="24" t="s">
        <v>651</v>
      </c>
      <c r="AG86" s="318" t="e">
        <f>X90</f>
        <v>#VALUE!</v>
      </c>
      <c r="AH86" s="26" t="s">
        <v>663</v>
      </c>
      <c r="AJ86" s="24" t="s">
        <v>664</v>
      </c>
      <c r="AK86" s="297" t="e">
        <f>ROUND(MT/12,5)</f>
        <v>#VALUE!</v>
      </c>
      <c r="AL86" s="26" t="s">
        <v>658</v>
      </c>
      <c r="AM86" s="24" t="s">
        <v>370</v>
      </c>
      <c r="AN86" s="297">
        <f>IF(OR(TS="5x4, .126", TS="5x4, .134"), 5/12,4/12)</f>
        <v>0.41666666666666669</v>
      </c>
      <c r="AO86" s="26" t="s">
        <v>658</v>
      </c>
      <c r="AP86" s="24" t="s">
        <v>653</v>
      </c>
      <c r="AQ86" s="322" t="e">
        <f>AK88</f>
        <v>#VALUE!</v>
      </c>
      <c r="AR86" s="26" t="s">
        <v>665</v>
      </c>
      <c r="AT86" s="24" t="s">
        <v>666</v>
      </c>
      <c r="AU86" s="338" t="str">
        <f>Theta</f>
        <v>XX</v>
      </c>
      <c r="AV86" s="26" t="s">
        <v>667</v>
      </c>
      <c r="AX86" s="653" t="str">
        <f>D58</f>
        <v/>
      </c>
      <c r="AY86" s="558"/>
      <c r="AZ86" s="25" t="s">
        <v>656</v>
      </c>
      <c r="BA86" s="297" t="str">
        <f>L58</f>
        <v/>
      </c>
      <c r="BB86" s="310" t="s">
        <v>657</v>
      </c>
      <c r="BC86" s="312"/>
      <c r="BD86" s="297" t="e">
        <f>BA86/12</f>
        <v>#VALUE!</v>
      </c>
      <c r="BE86" s="26" t="s">
        <v>658</v>
      </c>
      <c r="BF86" s="24" t="s">
        <v>659</v>
      </c>
      <c r="BG86" s="297" t="e">
        <f>VL</f>
        <v>#VALUE!</v>
      </c>
      <c r="BH86" s="26" t="s">
        <v>657</v>
      </c>
      <c r="BI86" s="24" t="s">
        <v>660</v>
      </c>
      <c r="BJ86" s="297">
        <f>VLOOKUP(TS,'List Data'!$A$15:$B$18, 2, FALSE)</f>
        <v>7.8955000000000002</v>
      </c>
      <c r="BK86" s="26" t="s">
        <v>661</v>
      </c>
      <c r="BL86" s="24" t="s">
        <v>662</v>
      </c>
      <c r="BM86" s="297" t="e">
        <f>PL</f>
        <v>#VALUE!</v>
      </c>
      <c r="BN86" s="26" t="s">
        <v>65</v>
      </c>
      <c r="BO86" s="24" t="s">
        <v>651</v>
      </c>
      <c r="BP86" s="318" t="e">
        <f>BG90</f>
        <v>#VALUE!</v>
      </c>
      <c r="BQ86" s="26" t="s">
        <v>663</v>
      </c>
      <c r="BS86" s="24" t="s">
        <v>664</v>
      </c>
      <c r="BT86" s="297" t="e">
        <f>ROUND(MT/12,5)</f>
        <v>#VALUE!</v>
      </c>
      <c r="BU86" s="26" t="s">
        <v>658</v>
      </c>
      <c r="BV86" s="24" t="s">
        <v>370</v>
      </c>
      <c r="BW86" s="297">
        <f>IF(OR(TS="5x4, .126", TS="5x4, .134"), 5/12,4/12)</f>
        <v>0.41666666666666669</v>
      </c>
      <c r="BX86" s="26" t="s">
        <v>658</v>
      </c>
      <c r="BY86" s="24" t="s">
        <v>653</v>
      </c>
      <c r="BZ86" s="322" t="e">
        <f>BT88</f>
        <v>#VALUE!</v>
      </c>
      <c r="CA86" s="26" t="s">
        <v>665</v>
      </c>
      <c r="CC86" s="24" t="s">
        <v>666</v>
      </c>
      <c r="CD86" s="338" t="str">
        <f>Theta</f>
        <v>XX</v>
      </c>
      <c r="CE86" s="26" t="s">
        <v>667</v>
      </c>
    </row>
    <row r="87" spans="2:83" x14ac:dyDescent="0.25">
      <c r="D87" s="12"/>
      <c r="E87" s="12"/>
      <c r="F87" s="12"/>
      <c r="G87" s="302">
        <v>82</v>
      </c>
      <c r="H87" s="7" t="e">
        <f t="shared" si="49"/>
        <v>#VALUE!</v>
      </c>
      <c r="I87" s="299" t="e">
        <f t="shared" si="50"/>
        <v>#VALUE!</v>
      </c>
      <c r="J87" s="7"/>
      <c r="O87" s="628"/>
      <c r="P87" s="559"/>
      <c r="Q87" t="s">
        <v>668</v>
      </c>
      <c r="R87" s="7" t="str">
        <f>L23</f>
        <v/>
      </c>
      <c r="S87" s="77" t="s">
        <v>657</v>
      </c>
      <c r="T87" s="43"/>
      <c r="U87" s="7" t="e">
        <f>R87/12</f>
        <v>#VALUE!</v>
      </c>
      <c r="V87" s="28" t="s">
        <v>658</v>
      </c>
      <c r="W87" s="27" t="s">
        <v>669</v>
      </c>
      <c r="X87" s="7">
        <f>COUNTIFS($I$6:$I$105, "&lt;="&amp;R86, $I$6:$I$105, "&gt;="&amp;R87)</f>
        <v>0</v>
      </c>
      <c r="Y87" s="28" t="s">
        <v>670</v>
      </c>
      <c r="Z87" s="27" t="s">
        <v>659</v>
      </c>
      <c r="AA87" s="7" t="e">
        <f>IF(O86="Exterior Drive Post", (U88-(TG/12)), U88)</f>
        <v>#VALUE!</v>
      </c>
      <c r="AB87" s="28" t="s">
        <v>658</v>
      </c>
      <c r="AC87" s="27" t="s">
        <v>671</v>
      </c>
      <c r="AD87" s="7" t="e">
        <f>U90</f>
        <v>#VALUE!</v>
      </c>
      <c r="AE87" s="28" t="s">
        <v>665</v>
      </c>
      <c r="AF87" s="27" t="s">
        <v>672</v>
      </c>
      <c r="AG87" s="317" t="e">
        <f>AA90</f>
        <v>#VALUE!</v>
      </c>
      <c r="AH87" s="28" t="s">
        <v>663</v>
      </c>
      <c r="AJ87" s="27" t="s">
        <v>659</v>
      </c>
      <c r="AK87" s="7" t="e">
        <f>IF(O86= "Exterior Drive Post", (U88)-((GL+GR)/12), U88)</f>
        <v>#VALUE!</v>
      </c>
      <c r="AL87" s="28" t="s">
        <v>658</v>
      </c>
      <c r="AM87" s="27" t="s">
        <v>659</v>
      </c>
      <c r="AN87" s="7" t="e">
        <f>AA87</f>
        <v>#VALUE!</v>
      </c>
      <c r="AO87" s="28" t="s">
        <v>658</v>
      </c>
      <c r="AP87" s="27" t="s">
        <v>672</v>
      </c>
      <c r="AQ87" s="323" t="e">
        <f>AN88</f>
        <v>#VALUE!</v>
      </c>
      <c r="AR87" s="28" t="s">
        <v>665</v>
      </c>
      <c r="AT87" s="27" t="s">
        <v>673</v>
      </c>
      <c r="AU87" s="210" t="e">
        <f>RSL*COS(Radians)</f>
        <v>#VALUE!</v>
      </c>
      <c r="AV87" s="28" t="s">
        <v>65</v>
      </c>
      <c r="AX87" s="628"/>
      <c r="AY87" s="559"/>
      <c r="AZ87" t="s">
        <v>668</v>
      </c>
      <c r="BA87" s="7" t="str">
        <f>L59</f>
        <v/>
      </c>
      <c r="BB87" s="77" t="s">
        <v>657</v>
      </c>
      <c r="BC87" s="43"/>
      <c r="BD87" s="7" t="e">
        <f>BA87/12</f>
        <v>#VALUE!</v>
      </c>
      <c r="BE87" s="28" t="s">
        <v>658</v>
      </c>
      <c r="BF87" s="27" t="s">
        <v>669</v>
      </c>
      <c r="BG87" s="7">
        <f>COUNTIFS($I$6:$I$105, "&lt;="&amp;BA86, $I$6:$I$105, "&gt;="&amp;BA87)</f>
        <v>0</v>
      </c>
      <c r="BH87" s="28" t="s">
        <v>670</v>
      </c>
      <c r="BI87" s="27" t="s">
        <v>659</v>
      </c>
      <c r="BJ87" s="7" t="e">
        <f>IF(AX86="Interior Drive Post", (BD88-(TG/12)), BD88)</f>
        <v>#VALUE!</v>
      </c>
      <c r="BK87" s="28" t="s">
        <v>658</v>
      </c>
      <c r="BL87" s="27" t="s">
        <v>671</v>
      </c>
      <c r="BM87" s="7" t="e">
        <f>BD90</f>
        <v>#VALUE!</v>
      </c>
      <c r="BN87" s="28" t="s">
        <v>665</v>
      </c>
      <c r="BO87" s="27" t="s">
        <v>672</v>
      </c>
      <c r="BP87" s="317" t="e">
        <f>BJ90</f>
        <v>#VALUE!</v>
      </c>
      <c r="BQ87" s="28" t="s">
        <v>663</v>
      </c>
      <c r="BS87" s="27" t="s">
        <v>659</v>
      </c>
      <c r="BT87" s="7" t="e">
        <f>IF(AX86= "Interior Drive Post", (BD88)-((GL+GR)/12), BD88)</f>
        <v>#VALUE!</v>
      </c>
      <c r="BU87" s="28" t="s">
        <v>658</v>
      </c>
      <c r="BV87" s="27" t="s">
        <v>659</v>
      </c>
      <c r="BW87" s="7" t="e">
        <f>BJ87</f>
        <v>#VALUE!</v>
      </c>
      <c r="BX87" s="28" t="s">
        <v>658</v>
      </c>
      <c r="BY87" s="27" t="s">
        <v>672</v>
      </c>
      <c r="BZ87" s="323" t="e">
        <f>BW88</f>
        <v>#VALUE!</v>
      </c>
      <c r="CA87" s="28" t="s">
        <v>665</v>
      </c>
      <c r="CC87" s="27" t="s">
        <v>673</v>
      </c>
      <c r="CD87" s="210" t="e">
        <f>RSL*COS(Radians)</f>
        <v>#VALUE!</v>
      </c>
      <c r="CE87" s="28" t="s">
        <v>65</v>
      </c>
    </row>
    <row r="88" spans="2:83" x14ac:dyDescent="0.25">
      <c r="D88" s="12"/>
      <c r="E88" s="12"/>
      <c r="F88" s="12"/>
      <c r="G88" s="302">
        <v>83</v>
      </c>
      <c r="H88" s="7" t="e">
        <f t="shared" si="49"/>
        <v>#VALUE!</v>
      </c>
      <c r="I88" s="299" t="e">
        <f t="shared" si="50"/>
        <v>#VALUE!</v>
      </c>
      <c r="J88" s="7"/>
      <c r="O88" s="628"/>
      <c r="P88" s="559"/>
      <c r="Q88" t="s">
        <v>659</v>
      </c>
      <c r="R88" s="7" t="e">
        <f>R86-R87</f>
        <v>#VALUE!</v>
      </c>
      <c r="S88" s="77" t="s">
        <v>657</v>
      </c>
      <c r="T88" s="43"/>
      <c r="U88" s="7" t="e">
        <f>R88/12</f>
        <v>#VALUE!</v>
      </c>
      <c r="V88" s="28" t="s">
        <v>658</v>
      </c>
      <c r="W88" s="27" t="s">
        <v>674</v>
      </c>
      <c r="X88" s="7" t="e">
        <f>X87*X86</f>
        <v>#VALUE!</v>
      </c>
      <c r="Y88" s="28" t="s">
        <v>657</v>
      </c>
      <c r="Z88" s="27"/>
      <c r="AA88" s="7"/>
      <c r="AB88" s="28"/>
      <c r="AC88" s="27"/>
      <c r="AD88" s="7"/>
      <c r="AE88" s="28"/>
      <c r="AF88" s="27" t="s">
        <v>653</v>
      </c>
      <c r="AG88" s="319" t="e">
        <f>AD90</f>
        <v>#VALUE!</v>
      </c>
      <c r="AH88" s="28" t="s">
        <v>663</v>
      </c>
      <c r="AJ88" s="27" t="s">
        <v>671</v>
      </c>
      <c r="AK88" s="321" t="e">
        <f>AK86*AK87</f>
        <v>#VALUE!</v>
      </c>
      <c r="AL88" s="28" t="s">
        <v>665</v>
      </c>
      <c r="AM88" s="27" t="s">
        <v>671</v>
      </c>
      <c r="AN88" s="323" t="e">
        <f>AN87*AN86</f>
        <v>#VALUE!</v>
      </c>
      <c r="AO88" s="28" t="s">
        <v>665</v>
      </c>
      <c r="AP88" s="27" t="s">
        <v>654</v>
      </c>
      <c r="AQ88" s="7" t="e">
        <f>SUM(AQ86:AQ87)</f>
        <v>#VALUE!</v>
      </c>
      <c r="AR88" s="28" t="s">
        <v>665</v>
      </c>
      <c r="AT88" s="27" t="s">
        <v>671</v>
      </c>
      <c r="AU88" s="210" t="e">
        <f>U90</f>
        <v>#VALUE!</v>
      </c>
      <c r="AV88" s="28" t="s">
        <v>695</v>
      </c>
      <c r="AX88" s="628"/>
      <c r="AY88" s="559"/>
      <c r="AZ88" t="s">
        <v>659</v>
      </c>
      <c r="BA88" s="7" t="e">
        <f>BA86-BA87</f>
        <v>#VALUE!</v>
      </c>
      <c r="BB88" s="77" t="s">
        <v>657</v>
      </c>
      <c r="BC88" s="43"/>
      <c r="BD88" s="7" t="e">
        <f>BA88/12</f>
        <v>#VALUE!</v>
      </c>
      <c r="BE88" s="28" t="s">
        <v>658</v>
      </c>
      <c r="BF88" s="27" t="s">
        <v>674</v>
      </c>
      <c r="BG88" s="7" t="e">
        <f>BG87*BG86</f>
        <v>#VALUE!</v>
      </c>
      <c r="BH88" s="28" t="s">
        <v>657</v>
      </c>
      <c r="BI88" s="27"/>
      <c r="BJ88" s="7"/>
      <c r="BK88" s="28"/>
      <c r="BL88" s="27"/>
      <c r="BM88" s="7"/>
      <c r="BN88" s="28"/>
      <c r="BO88" s="27" t="s">
        <v>653</v>
      </c>
      <c r="BP88" s="319" t="e">
        <f>BM90</f>
        <v>#VALUE!</v>
      </c>
      <c r="BQ88" s="28" t="s">
        <v>663</v>
      </c>
      <c r="BS88" s="27" t="s">
        <v>671</v>
      </c>
      <c r="BT88" s="321" t="e">
        <f>BT86*BT87</f>
        <v>#VALUE!</v>
      </c>
      <c r="BU88" s="28" t="s">
        <v>665</v>
      </c>
      <c r="BV88" s="27" t="s">
        <v>671</v>
      </c>
      <c r="BW88" s="323" t="e">
        <f>BW87*BW86</f>
        <v>#VALUE!</v>
      </c>
      <c r="BX88" s="28" t="s">
        <v>665</v>
      </c>
      <c r="BY88" s="27" t="s">
        <v>654</v>
      </c>
      <c r="BZ88" s="7" t="e">
        <f>SUM(BZ86:BZ87)</f>
        <v>#VALUE!</v>
      </c>
      <c r="CA88" s="28" t="s">
        <v>665</v>
      </c>
      <c r="CC88" s="27" t="s">
        <v>671</v>
      </c>
      <c r="CD88" s="210" t="e">
        <f>BD90</f>
        <v>#VALUE!</v>
      </c>
      <c r="CE88" s="28" t="s">
        <v>665</v>
      </c>
    </row>
    <row r="89" spans="2:83" x14ac:dyDescent="0.25">
      <c r="D89" s="12"/>
      <c r="E89" s="12"/>
      <c r="F89" s="12"/>
      <c r="G89" s="302">
        <v>84</v>
      </c>
      <c r="H89" s="7" t="e">
        <f t="shared" si="49"/>
        <v>#VALUE!</v>
      </c>
      <c r="I89" s="299" t="e">
        <f t="shared" si="50"/>
        <v>#VALUE!</v>
      </c>
      <c r="J89" s="7"/>
      <c r="O89" s="628"/>
      <c r="P89" s="559"/>
      <c r="Q89" t="s">
        <v>675</v>
      </c>
      <c r="R89" s="7" t="e">
        <f>ROUND(ML, 3)</f>
        <v>#VALUE!</v>
      </c>
      <c r="S89" s="77" t="s">
        <v>657</v>
      </c>
      <c r="T89" s="43"/>
      <c r="U89" s="7" t="e">
        <f>R89/12</f>
        <v>#VALUE!</v>
      </c>
      <c r="V89" s="28" t="s">
        <v>658</v>
      </c>
      <c r="W89" s="27" t="s">
        <v>660</v>
      </c>
      <c r="X89" s="7">
        <f>VLOOKUP(VS,'List Data'!$A$8:$B$12, 2, FALSE)</f>
        <v>2.1419999999999999</v>
      </c>
      <c r="Y89" s="28" t="s">
        <v>661</v>
      </c>
      <c r="Z89" s="27"/>
      <c r="AA89" s="7"/>
      <c r="AB89" s="28"/>
      <c r="AC89" s="27"/>
      <c r="AD89" s="7"/>
      <c r="AE89" s="28"/>
      <c r="AF89" s="27"/>
      <c r="AH89" s="28"/>
      <c r="AJ89" s="27"/>
      <c r="AK89" s="7"/>
      <c r="AL89" s="28"/>
      <c r="AM89" s="27"/>
      <c r="AO89" s="28"/>
      <c r="AP89" s="27"/>
      <c r="AQ89" s="7"/>
      <c r="AR89" s="28"/>
      <c r="AT89" s="27"/>
      <c r="AU89" s="210"/>
      <c r="AV89" s="28"/>
      <c r="AX89" s="628"/>
      <c r="AY89" s="559"/>
      <c r="AZ89" t="s">
        <v>675</v>
      </c>
      <c r="BA89" s="7" t="e">
        <f>ROUND(ML, 3)</f>
        <v>#VALUE!</v>
      </c>
      <c r="BB89" s="77" t="s">
        <v>657</v>
      </c>
      <c r="BC89" s="43"/>
      <c r="BD89" s="7" t="e">
        <f>BA89/12</f>
        <v>#VALUE!</v>
      </c>
      <c r="BE89" s="28" t="s">
        <v>658</v>
      </c>
      <c r="BF89" s="27" t="s">
        <v>660</v>
      </c>
      <c r="BG89" s="7">
        <f>VLOOKUP(VS,'List Data'!$A$8:$B$12, 2, FALSE)</f>
        <v>2.1419999999999999</v>
      </c>
      <c r="BH89" s="28" t="s">
        <v>661</v>
      </c>
      <c r="BI89" s="27"/>
      <c r="BJ89" s="7"/>
      <c r="BK89" s="28"/>
      <c r="BL89" s="27"/>
      <c r="BM89" s="7"/>
      <c r="BN89" s="28"/>
      <c r="BO89" s="27"/>
      <c r="BQ89" s="28"/>
      <c r="BS89" s="27"/>
      <c r="BT89" s="7"/>
      <c r="BU89" s="28"/>
      <c r="BV89" s="27"/>
      <c r="BX89" s="28"/>
      <c r="BY89" s="27"/>
      <c r="BZ89" s="7"/>
      <c r="CA89" s="28"/>
      <c r="CC89" s="27"/>
      <c r="CD89" s="210"/>
      <c r="CE89" s="28"/>
    </row>
    <row r="90" spans="2:83" x14ac:dyDescent="0.25">
      <c r="D90" s="12"/>
      <c r="E90" s="12"/>
      <c r="F90" s="12"/>
      <c r="G90" s="302">
        <v>85</v>
      </c>
      <c r="H90" s="7" t="e">
        <f t="shared" si="49"/>
        <v>#VALUE!</v>
      </c>
      <c r="I90" s="299" t="e">
        <f t="shared" si="50"/>
        <v>#VALUE!</v>
      </c>
      <c r="J90" s="7"/>
      <c r="O90" s="629"/>
      <c r="P90" s="561"/>
      <c r="Q90" s="30" t="s">
        <v>671</v>
      </c>
      <c r="R90" s="309" t="e">
        <f>R88*R89</f>
        <v>#VALUE!</v>
      </c>
      <c r="S90" s="311" t="s">
        <v>676</v>
      </c>
      <c r="T90" s="313"/>
      <c r="U90" s="309" t="e">
        <f>IF(O86="Exterior Drive Post", (R90/144)-(((GL+GR)*(ML/25.4))/144), R90/144)</f>
        <v>#VALUE!</v>
      </c>
      <c r="V90" s="31" t="s">
        <v>677</v>
      </c>
      <c r="W90" s="29" t="s">
        <v>678</v>
      </c>
      <c r="X90" s="314" t="e">
        <f>X89/12*X88</f>
        <v>#VALUE!</v>
      </c>
      <c r="Y90" s="31" t="s">
        <v>663</v>
      </c>
      <c r="Z90" s="29" t="s">
        <v>678</v>
      </c>
      <c r="AA90" s="315" t="e">
        <f>AA86*AA87</f>
        <v>#VALUE!</v>
      </c>
      <c r="AB90" s="31" t="s">
        <v>663</v>
      </c>
      <c r="AC90" s="29" t="s">
        <v>678</v>
      </c>
      <c r="AD90" s="316" t="e">
        <f>AD86*AD87</f>
        <v>#VALUE!</v>
      </c>
      <c r="AE90" s="31" t="s">
        <v>181</v>
      </c>
      <c r="AF90" s="29" t="s">
        <v>654</v>
      </c>
      <c r="AG90" s="320" t="e">
        <f>IF(O86="Exterior Drive Post", SUM(AG86:AG88)+SDW, SUM(AG86:AG88)+ICW)</f>
        <v>#VALUE!</v>
      </c>
      <c r="AH90" s="31" t="s">
        <v>663</v>
      </c>
      <c r="AI90">
        <v>17</v>
      </c>
      <c r="AJ90" s="29"/>
      <c r="AK90" s="309"/>
      <c r="AL90" s="31"/>
      <c r="AM90" s="29"/>
      <c r="AN90" s="30"/>
      <c r="AO90" s="31"/>
      <c r="AP90" s="29" t="s">
        <v>679</v>
      </c>
      <c r="AQ90" s="324" t="e">
        <f>AQ88*Pult</f>
        <v>#VALUE!</v>
      </c>
      <c r="AR90" s="31" t="s">
        <v>181</v>
      </c>
      <c r="AT90" s="29" t="s">
        <v>662</v>
      </c>
      <c r="AU90" s="339" t="e">
        <f>AU88*AU87</f>
        <v>#VALUE!</v>
      </c>
      <c r="AV90" s="31" t="s">
        <v>181</v>
      </c>
      <c r="AX90" s="629"/>
      <c r="AY90" s="561"/>
      <c r="AZ90" s="30" t="s">
        <v>671</v>
      </c>
      <c r="BA90" s="309" t="e">
        <f>BA88*BA89</f>
        <v>#VALUE!</v>
      </c>
      <c r="BB90" s="311" t="s">
        <v>676</v>
      </c>
      <c r="BC90" s="313"/>
      <c r="BD90" s="309" t="e">
        <f>IF(AX86="Interior Drive Post", (BA90/144)-(((GL+GR)*(ML/25.4))/144), BA90/144)</f>
        <v>#VALUE!</v>
      </c>
      <c r="BE90" s="31" t="s">
        <v>677</v>
      </c>
      <c r="BF90" s="29" t="s">
        <v>678</v>
      </c>
      <c r="BG90" s="314" t="e">
        <f>BG89/12*BG88</f>
        <v>#VALUE!</v>
      </c>
      <c r="BH90" s="31" t="s">
        <v>663</v>
      </c>
      <c r="BI90" s="29" t="s">
        <v>678</v>
      </c>
      <c r="BJ90" s="315" t="e">
        <f>BJ86*BJ87</f>
        <v>#VALUE!</v>
      </c>
      <c r="BK90" s="31" t="s">
        <v>663</v>
      </c>
      <c r="BL90" s="29" t="s">
        <v>678</v>
      </c>
      <c r="BM90" s="316" t="e">
        <f>BM86*BM87</f>
        <v>#VALUE!</v>
      </c>
      <c r="BN90" s="31" t="s">
        <v>181</v>
      </c>
      <c r="BO90" s="29" t="s">
        <v>654</v>
      </c>
      <c r="BP90" s="320" t="e">
        <f>IF(AX86="Interior Drive Post", SUM(BP86:BP88)+SDW, SUM(BP86:BP88)+ICW)</f>
        <v>#VALUE!</v>
      </c>
      <c r="BQ90" s="31" t="s">
        <v>663</v>
      </c>
      <c r="BR90">
        <v>17</v>
      </c>
      <c r="BS90" s="29"/>
      <c r="BT90" s="309"/>
      <c r="BU90" s="31"/>
      <c r="BV90" s="29"/>
      <c r="BW90" s="30"/>
      <c r="BX90" s="31"/>
      <c r="BY90" s="29" t="s">
        <v>679</v>
      </c>
      <c r="BZ90" s="324" t="e">
        <f>BZ88*Pult</f>
        <v>#VALUE!</v>
      </c>
      <c r="CA90" s="31" t="s">
        <v>181</v>
      </c>
      <c r="CC90" s="29" t="s">
        <v>662</v>
      </c>
      <c r="CD90" s="339" t="e">
        <f>CD88*CD87</f>
        <v>#VALUE!</v>
      </c>
      <c r="CE90" s="31" t="s">
        <v>181</v>
      </c>
    </row>
    <row r="91" spans="2:83" x14ac:dyDescent="0.25">
      <c r="B91" s="12"/>
      <c r="C91" s="12"/>
      <c r="D91" s="12"/>
      <c r="E91" s="12"/>
      <c r="F91" s="12"/>
      <c r="G91" s="302">
        <v>86</v>
      </c>
      <c r="H91" s="7" t="e">
        <f t="shared" si="49"/>
        <v>#VALUE!</v>
      </c>
      <c r="I91" s="299" t="e">
        <f t="shared" si="50"/>
        <v>#VALUE!</v>
      </c>
      <c r="J91" s="7"/>
      <c r="O91" s="653" t="str">
        <f>D23</f>
        <v/>
      </c>
      <c r="P91" s="558"/>
      <c r="Q91" s="25" t="s">
        <v>656</v>
      </c>
      <c r="R91" s="297" t="str">
        <f>L23</f>
        <v/>
      </c>
      <c r="S91" s="310" t="s">
        <v>657</v>
      </c>
      <c r="T91" s="312"/>
      <c r="U91" s="297" t="e">
        <f>R91/12</f>
        <v>#VALUE!</v>
      </c>
      <c r="V91" s="26" t="s">
        <v>658</v>
      </c>
      <c r="W91" s="24" t="s">
        <v>659</v>
      </c>
      <c r="X91" s="297" t="e">
        <f>VL</f>
        <v>#VALUE!</v>
      </c>
      <c r="Y91" s="26" t="s">
        <v>657</v>
      </c>
      <c r="Z91" s="24" t="s">
        <v>660</v>
      </c>
      <c r="AA91" s="297">
        <f>VLOOKUP(TS,'List Data'!$A$15:$B$18, 2, FALSE)</f>
        <v>7.8955000000000002</v>
      </c>
      <c r="AB91" s="26" t="s">
        <v>661</v>
      </c>
      <c r="AC91" s="24" t="s">
        <v>662</v>
      </c>
      <c r="AD91" s="297" t="e">
        <f>PL</f>
        <v>#VALUE!</v>
      </c>
      <c r="AE91" s="26" t="s">
        <v>65</v>
      </c>
      <c r="AF91" s="24" t="s">
        <v>651</v>
      </c>
      <c r="AG91" s="318" t="e">
        <f>X95</f>
        <v>#VALUE!</v>
      </c>
      <c r="AH91" s="26" t="s">
        <v>663</v>
      </c>
      <c r="AJ91" s="24" t="s">
        <v>664</v>
      </c>
      <c r="AK91" s="297" t="e">
        <f>ROUND(MT/12,5)</f>
        <v>#VALUE!</v>
      </c>
      <c r="AL91" s="26" t="s">
        <v>658</v>
      </c>
      <c r="AM91" s="24" t="s">
        <v>370</v>
      </c>
      <c r="AN91" s="297">
        <f>IF(OR(TS="5x4, .126", TS="5x4, .134"), 5/12,4/12)</f>
        <v>0.41666666666666669</v>
      </c>
      <c r="AO91" s="26" t="s">
        <v>658</v>
      </c>
      <c r="AP91" s="24" t="s">
        <v>653</v>
      </c>
      <c r="AQ91" s="322" t="e">
        <f>AK93</f>
        <v>#VALUE!</v>
      </c>
      <c r="AR91" s="26" t="s">
        <v>665</v>
      </c>
      <c r="AT91" s="24" t="s">
        <v>666</v>
      </c>
      <c r="AU91" s="338" t="str">
        <f>Theta</f>
        <v>XX</v>
      </c>
      <c r="AV91" s="26" t="s">
        <v>667</v>
      </c>
      <c r="AX91" s="653" t="str">
        <f>D59</f>
        <v/>
      </c>
      <c r="AY91" s="558"/>
      <c r="AZ91" s="25" t="s">
        <v>656</v>
      </c>
      <c r="BA91" s="297" t="str">
        <f>L59</f>
        <v/>
      </c>
      <c r="BB91" s="310" t="s">
        <v>657</v>
      </c>
      <c r="BC91" s="312"/>
      <c r="BD91" s="297" t="e">
        <f>BA91/12</f>
        <v>#VALUE!</v>
      </c>
      <c r="BE91" s="26" t="s">
        <v>658</v>
      </c>
      <c r="BF91" s="24" t="s">
        <v>659</v>
      </c>
      <c r="BG91" s="297" t="e">
        <f>VL</f>
        <v>#VALUE!</v>
      </c>
      <c r="BH91" s="26" t="s">
        <v>657</v>
      </c>
      <c r="BI91" s="24" t="s">
        <v>660</v>
      </c>
      <c r="BJ91" s="297">
        <f>VLOOKUP(TS,'List Data'!$A$15:$B$18, 2, FALSE)</f>
        <v>7.8955000000000002</v>
      </c>
      <c r="BK91" s="26" t="s">
        <v>661</v>
      </c>
      <c r="BL91" s="24" t="s">
        <v>662</v>
      </c>
      <c r="BM91" s="297" t="e">
        <f>PL</f>
        <v>#VALUE!</v>
      </c>
      <c r="BN91" s="26" t="s">
        <v>65</v>
      </c>
      <c r="BO91" s="24" t="s">
        <v>651</v>
      </c>
      <c r="BP91" s="318" t="e">
        <f>BG95</f>
        <v>#VALUE!</v>
      </c>
      <c r="BQ91" s="26" t="s">
        <v>663</v>
      </c>
      <c r="BS91" s="24" t="s">
        <v>664</v>
      </c>
      <c r="BT91" s="297" t="e">
        <f>ROUND(MT/12,5)</f>
        <v>#VALUE!</v>
      </c>
      <c r="BU91" s="26" t="s">
        <v>658</v>
      </c>
      <c r="BV91" s="24" t="s">
        <v>370</v>
      </c>
      <c r="BW91" s="297">
        <f>IF(OR(TS="5x4, .126", TS="5x4, .134"), 5/12,4/12)</f>
        <v>0.41666666666666669</v>
      </c>
      <c r="BX91" s="26" t="s">
        <v>658</v>
      </c>
      <c r="BY91" s="24" t="s">
        <v>653</v>
      </c>
      <c r="BZ91" s="322" t="e">
        <f>BT93</f>
        <v>#VALUE!</v>
      </c>
      <c r="CA91" s="26" t="s">
        <v>665</v>
      </c>
      <c r="CC91" s="24" t="s">
        <v>666</v>
      </c>
      <c r="CD91" s="338" t="str">
        <f>Theta</f>
        <v>XX</v>
      </c>
      <c r="CE91" s="26" t="s">
        <v>667</v>
      </c>
    </row>
    <row r="92" spans="2:83" x14ac:dyDescent="0.25">
      <c r="B92" s="12"/>
      <c r="C92" s="12"/>
      <c r="D92" s="12"/>
      <c r="E92" s="12"/>
      <c r="F92" s="12"/>
      <c r="G92" s="302">
        <v>87</v>
      </c>
      <c r="H92" s="7" t="e">
        <f t="shared" si="49"/>
        <v>#VALUE!</v>
      </c>
      <c r="I92" s="299" t="e">
        <f t="shared" si="50"/>
        <v>#VALUE!</v>
      </c>
      <c r="J92" s="7"/>
      <c r="O92" s="628"/>
      <c r="P92" s="559"/>
      <c r="Q92" t="s">
        <v>668</v>
      </c>
      <c r="R92" s="7" t="str">
        <f>L24</f>
        <v/>
      </c>
      <c r="S92" s="77" t="s">
        <v>657</v>
      </c>
      <c r="T92" s="43"/>
      <c r="U92" s="7" t="e">
        <f>R92/12</f>
        <v>#VALUE!</v>
      </c>
      <c r="V92" s="28" t="s">
        <v>658</v>
      </c>
      <c r="W92" s="27" t="s">
        <v>669</v>
      </c>
      <c r="X92" s="7">
        <f>COUNTIFS($I$6:$I$105, "&lt;="&amp;R91, $I$6:$I$105, "&gt;="&amp;R92)</f>
        <v>0</v>
      </c>
      <c r="Y92" s="28" t="s">
        <v>670</v>
      </c>
      <c r="Z92" s="27" t="s">
        <v>659</v>
      </c>
      <c r="AA92" s="7" t="e">
        <f>IF(O91="Exterior Drive Post", (U93-(TG/12)), U93)</f>
        <v>#VALUE!</v>
      </c>
      <c r="AB92" s="28" t="s">
        <v>658</v>
      </c>
      <c r="AC92" s="27" t="s">
        <v>671</v>
      </c>
      <c r="AD92" s="7" t="e">
        <f>U95</f>
        <v>#VALUE!</v>
      </c>
      <c r="AE92" s="28" t="s">
        <v>665</v>
      </c>
      <c r="AF92" s="27" t="s">
        <v>672</v>
      </c>
      <c r="AG92" s="317" t="e">
        <f>AA95</f>
        <v>#VALUE!</v>
      </c>
      <c r="AH92" s="28" t="s">
        <v>663</v>
      </c>
      <c r="AJ92" s="27" t="s">
        <v>659</v>
      </c>
      <c r="AK92" s="7" t="e">
        <f>IF(O91= "Exterior Drive Post", (U93)-((GL+GR)/12), U93)</f>
        <v>#VALUE!</v>
      </c>
      <c r="AL92" s="28" t="s">
        <v>658</v>
      </c>
      <c r="AM92" s="27" t="s">
        <v>659</v>
      </c>
      <c r="AN92" s="7" t="e">
        <f>AA92</f>
        <v>#VALUE!</v>
      </c>
      <c r="AO92" s="28" t="s">
        <v>658</v>
      </c>
      <c r="AP92" s="27" t="s">
        <v>672</v>
      </c>
      <c r="AQ92" s="323" t="e">
        <f>AN93</f>
        <v>#VALUE!</v>
      </c>
      <c r="AR92" s="28" t="s">
        <v>665</v>
      </c>
      <c r="AT92" s="27" t="s">
        <v>673</v>
      </c>
      <c r="AU92" s="210" t="e">
        <f>RSL*COS(Radians)</f>
        <v>#VALUE!</v>
      </c>
      <c r="AV92" s="28" t="s">
        <v>65</v>
      </c>
      <c r="AX92" s="628"/>
      <c r="AY92" s="559"/>
      <c r="AZ92" t="s">
        <v>668</v>
      </c>
      <c r="BA92" s="7" t="str">
        <f>L60</f>
        <v/>
      </c>
      <c r="BB92" s="77" t="s">
        <v>657</v>
      </c>
      <c r="BC92" s="43"/>
      <c r="BD92" s="7" t="e">
        <f>BA92/12</f>
        <v>#VALUE!</v>
      </c>
      <c r="BE92" s="28" t="s">
        <v>658</v>
      </c>
      <c r="BF92" s="27" t="s">
        <v>669</v>
      </c>
      <c r="BG92" s="7">
        <f>COUNTIFS($I$6:$I$105, "&lt;="&amp;BA91, $I$6:$I$105, "&gt;="&amp;BA92)</f>
        <v>0</v>
      </c>
      <c r="BH92" s="28" t="s">
        <v>670</v>
      </c>
      <c r="BI92" s="27" t="s">
        <v>659</v>
      </c>
      <c r="BJ92" s="7" t="e">
        <f>IF(AX91="Interior Drive Post", (BD93-(TG/12)), BD93)</f>
        <v>#VALUE!</v>
      </c>
      <c r="BK92" s="28" t="s">
        <v>658</v>
      </c>
      <c r="BL92" s="27" t="s">
        <v>671</v>
      </c>
      <c r="BM92" s="7" t="e">
        <f>BD95</f>
        <v>#VALUE!</v>
      </c>
      <c r="BN92" s="28" t="s">
        <v>665</v>
      </c>
      <c r="BO92" s="27" t="s">
        <v>672</v>
      </c>
      <c r="BP92" s="317" t="e">
        <f>BJ95</f>
        <v>#VALUE!</v>
      </c>
      <c r="BQ92" s="28" t="s">
        <v>663</v>
      </c>
      <c r="BS92" s="27" t="s">
        <v>659</v>
      </c>
      <c r="BT92" s="7" t="e">
        <f>IF(AX91= "Interior Drive Post", (BD93)-((GL+GR)/12), BD93)</f>
        <v>#VALUE!</v>
      </c>
      <c r="BU92" s="28" t="s">
        <v>658</v>
      </c>
      <c r="BV92" s="27" t="s">
        <v>659</v>
      </c>
      <c r="BW92" s="7" t="e">
        <f>BJ92</f>
        <v>#VALUE!</v>
      </c>
      <c r="BX92" s="28" t="s">
        <v>658</v>
      </c>
      <c r="BY92" s="27" t="s">
        <v>672</v>
      </c>
      <c r="BZ92" s="323" t="e">
        <f>BW93</f>
        <v>#VALUE!</v>
      </c>
      <c r="CA92" s="28" t="s">
        <v>665</v>
      </c>
      <c r="CC92" s="27" t="s">
        <v>673</v>
      </c>
      <c r="CD92" s="210" t="e">
        <f>RSL*COS(Radians)</f>
        <v>#VALUE!</v>
      </c>
      <c r="CE92" s="28" t="s">
        <v>65</v>
      </c>
    </row>
    <row r="93" spans="2:83" x14ac:dyDescent="0.25">
      <c r="B93" s="12"/>
      <c r="C93" s="12"/>
      <c r="D93" s="12"/>
      <c r="E93" s="12"/>
      <c r="F93" s="12"/>
      <c r="G93" s="302">
        <v>88</v>
      </c>
      <c r="H93" s="7" t="e">
        <f t="shared" si="49"/>
        <v>#VALUE!</v>
      </c>
      <c r="I93" s="299" t="e">
        <f t="shared" si="50"/>
        <v>#VALUE!</v>
      </c>
      <c r="J93" s="7"/>
      <c r="O93" s="628"/>
      <c r="P93" s="559"/>
      <c r="Q93" t="s">
        <v>659</v>
      </c>
      <c r="R93" s="7" t="e">
        <f>R91-R92</f>
        <v>#VALUE!</v>
      </c>
      <c r="S93" s="77" t="s">
        <v>657</v>
      </c>
      <c r="T93" s="43"/>
      <c r="U93" s="7" t="e">
        <f>R93/12</f>
        <v>#VALUE!</v>
      </c>
      <c r="V93" s="28" t="s">
        <v>658</v>
      </c>
      <c r="W93" s="27" t="s">
        <v>674</v>
      </c>
      <c r="X93" s="7" t="e">
        <f>X92*X91</f>
        <v>#VALUE!</v>
      </c>
      <c r="Y93" s="28" t="s">
        <v>657</v>
      </c>
      <c r="Z93" s="27"/>
      <c r="AA93" s="7"/>
      <c r="AB93" s="28"/>
      <c r="AC93" s="27"/>
      <c r="AD93" s="7"/>
      <c r="AE93" s="28"/>
      <c r="AF93" s="27" t="s">
        <v>653</v>
      </c>
      <c r="AG93" s="319" t="e">
        <f>AD95</f>
        <v>#VALUE!</v>
      </c>
      <c r="AH93" s="28" t="s">
        <v>663</v>
      </c>
      <c r="AJ93" s="27" t="s">
        <v>671</v>
      </c>
      <c r="AK93" s="321" t="e">
        <f>AK91*AK92</f>
        <v>#VALUE!</v>
      </c>
      <c r="AL93" s="28" t="s">
        <v>665</v>
      </c>
      <c r="AM93" s="27" t="s">
        <v>671</v>
      </c>
      <c r="AN93" s="323" t="e">
        <f>AN92*AN91</f>
        <v>#VALUE!</v>
      </c>
      <c r="AO93" s="28" t="s">
        <v>665</v>
      </c>
      <c r="AP93" s="27" t="s">
        <v>654</v>
      </c>
      <c r="AQ93" s="7" t="e">
        <f>SUM(AQ91:AQ92)</f>
        <v>#VALUE!</v>
      </c>
      <c r="AR93" s="28" t="s">
        <v>665</v>
      </c>
      <c r="AT93" s="27" t="s">
        <v>671</v>
      </c>
      <c r="AU93" s="210" t="e">
        <f>U95</f>
        <v>#VALUE!</v>
      </c>
      <c r="AV93" s="28" t="s">
        <v>696</v>
      </c>
      <c r="AX93" s="628"/>
      <c r="AY93" s="559"/>
      <c r="AZ93" t="s">
        <v>659</v>
      </c>
      <c r="BA93" s="7" t="e">
        <f>BA91-BA92</f>
        <v>#VALUE!</v>
      </c>
      <c r="BB93" s="77" t="s">
        <v>657</v>
      </c>
      <c r="BC93" s="43"/>
      <c r="BD93" s="7" t="e">
        <f>BA93/12</f>
        <v>#VALUE!</v>
      </c>
      <c r="BE93" s="28" t="s">
        <v>658</v>
      </c>
      <c r="BF93" s="27" t="s">
        <v>674</v>
      </c>
      <c r="BG93" s="7" t="e">
        <f>BG92*BG91</f>
        <v>#VALUE!</v>
      </c>
      <c r="BH93" s="28" t="s">
        <v>657</v>
      </c>
      <c r="BI93" s="27"/>
      <c r="BJ93" s="7"/>
      <c r="BK93" s="28"/>
      <c r="BL93" s="27"/>
      <c r="BM93" s="7"/>
      <c r="BN93" s="28"/>
      <c r="BO93" s="27" t="s">
        <v>653</v>
      </c>
      <c r="BP93" s="319" t="e">
        <f>BM95</f>
        <v>#VALUE!</v>
      </c>
      <c r="BQ93" s="28" t="s">
        <v>663</v>
      </c>
      <c r="BS93" s="27" t="s">
        <v>671</v>
      </c>
      <c r="BT93" s="321" t="e">
        <f>BT91*BT92</f>
        <v>#VALUE!</v>
      </c>
      <c r="BU93" s="28" t="s">
        <v>665</v>
      </c>
      <c r="BV93" s="27" t="s">
        <v>671</v>
      </c>
      <c r="BW93" s="323" t="e">
        <f>BW92*BW91</f>
        <v>#VALUE!</v>
      </c>
      <c r="BX93" s="28" t="s">
        <v>665</v>
      </c>
      <c r="BY93" s="27" t="s">
        <v>654</v>
      </c>
      <c r="BZ93" s="7" t="e">
        <f>SUM(BZ91:BZ92)</f>
        <v>#VALUE!</v>
      </c>
      <c r="CA93" s="28" t="s">
        <v>665</v>
      </c>
      <c r="CC93" s="27" t="s">
        <v>671</v>
      </c>
      <c r="CD93" s="210" t="e">
        <f>BD95</f>
        <v>#VALUE!</v>
      </c>
      <c r="CE93" s="28" t="s">
        <v>665</v>
      </c>
    </row>
    <row r="94" spans="2:83" x14ac:dyDescent="0.25">
      <c r="B94" s="12"/>
      <c r="C94" s="12"/>
      <c r="D94" s="12"/>
      <c r="E94" s="12"/>
      <c r="F94" s="12"/>
      <c r="G94" s="302">
        <v>89</v>
      </c>
      <c r="H94" s="7" t="e">
        <f t="shared" si="49"/>
        <v>#VALUE!</v>
      </c>
      <c r="I94" s="299" t="e">
        <f t="shared" si="50"/>
        <v>#VALUE!</v>
      </c>
      <c r="J94" s="7"/>
      <c r="O94" s="628"/>
      <c r="P94" s="559"/>
      <c r="Q94" t="s">
        <v>675</v>
      </c>
      <c r="R94" s="7" t="e">
        <f>ROUND(ML, 3)</f>
        <v>#VALUE!</v>
      </c>
      <c r="S94" s="77" t="s">
        <v>657</v>
      </c>
      <c r="T94" s="43"/>
      <c r="U94" s="7" t="e">
        <f>R94/12</f>
        <v>#VALUE!</v>
      </c>
      <c r="V94" s="28" t="s">
        <v>658</v>
      </c>
      <c r="W94" s="27" t="s">
        <v>660</v>
      </c>
      <c r="X94" s="7">
        <f>VLOOKUP(VS,'List Data'!$A$8:$B$12, 2, FALSE)</f>
        <v>2.1419999999999999</v>
      </c>
      <c r="Y94" s="28" t="s">
        <v>661</v>
      </c>
      <c r="Z94" s="27"/>
      <c r="AA94" s="7"/>
      <c r="AB94" s="28"/>
      <c r="AC94" s="27"/>
      <c r="AD94" s="7"/>
      <c r="AE94" s="28"/>
      <c r="AF94" s="27"/>
      <c r="AH94" s="28"/>
      <c r="AJ94" s="27"/>
      <c r="AK94" s="7"/>
      <c r="AL94" s="28"/>
      <c r="AM94" s="27"/>
      <c r="AO94" s="28"/>
      <c r="AP94" s="27"/>
      <c r="AQ94" s="7"/>
      <c r="AR94" s="28"/>
      <c r="AT94" s="27"/>
      <c r="AU94" s="210"/>
      <c r="AV94" s="28"/>
      <c r="AX94" s="628"/>
      <c r="AY94" s="559"/>
      <c r="AZ94" t="s">
        <v>675</v>
      </c>
      <c r="BA94" s="7" t="e">
        <f>ROUND(ML, 3)</f>
        <v>#VALUE!</v>
      </c>
      <c r="BB94" s="77" t="s">
        <v>657</v>
      </c>
      <c r="BC94" s="43"/>
      <c r="BD94" s="7" t="e">
        <f>BA94/12</f>
        <v>#VALUE!</v>
      </c>
      <c r="BE94" s="28" t="s">
        <v>658</v>
      </c>
      <c r="BF94" s="27" t="s">
        <v>660</v>
      </c>
      <c r="BG94" s="7">
        <f>VLOOKUP(VS,'List Data'!$A$8:$B$12, 2, FALSE)</f>
        <v>2.1419999999999999</v>
      </c>
      <c r="BH94" s="28" t="s">
        <v>661</v>
      </c>
      <c r="BI94" s="27"/>
      <c r="BJ94" s="7"/>
      <c r="BK94" s="28"/>
      <c r="BL94" s="27"/>
      <c r="BM94" s="7"/>
      <c r="BN94" s="28"/>
      <c r="BO94" s="27"/>
      <c r="BQ94" s="28"/>
      <c r="BS94" s="27"/>
      <c r="BT94" s="7"/>
      <c r="BU94" s="28"/>
      <c r="BV94" s="27"/>
      <c r="BX94" s="28"/>
      <c r="BY94" s="27"/>
      <c r="BZ94" s="7"/>
      <c r="CA94" s="28"/>
      <c r="CC94" s="27"/>
      <c r="CD94" s="210"/>
      <c r="CE94" s="28"/>
    </row>
    <row r="95" spans="2:83" x14ac:dyDescent="0.25">
      <c r="B95" s="12"/>
      <c r="C95" s="12"/>
      <c r="D95" s="12"/>
      <c r="E95" s="12"/>
      <c r="F95" s="12"/>
      <c r="G95" s="302">
        <v>90</v>
      </c>
      <c r="H95" s="7" t="e">
        <f t="shared" si="49"/>
        <v>#VALUE!</v>
      </c>
      <c r="I95" s="299" t="e">
        <f t="shared" si="50"/>
        <v>#VALUE!</v>
      </c>
      <c r="J95" s="7"/>
      <c r="O95" s="629"/>
      <c r="P95" s="561"/>
      <c r="Q95" s="30" t="s">
        <v>671</v>
      </c>
      <c r="R95" s="309" t="e">
        <f>R93*R94</f>
        <v>#VALUE!</v>
      </c>
      <c r="S95" s="311" t="s">
        <v>676</v>
      </c>
      <c r="T95" s="313"/>
      <c r="U95" s="309" t="e">
        <f>IF(O91="Exterior Drive Post", (R95/144)-(((GL+GR)*(ML/25.4))/144), R95/144)</f>
        <v>#VALUE!</v>
      </c>
      <c r="V95" s="31" t="s">
        <v>677</v>
      </c>
      <c r="W95" s="29" t="s">
        <v>678</v>
      </c>
      <c r="X95" s="314" t="e">
        <f>X94/12*X93</f>
        <v>#VALUE!</v>
      </c>
      <c r="Y95" s="31" t="s">
        <v>663</v>
      </c>
      <c r="Z95" s="29" t="s">
        <v>678</v>
      </c>
      <c r="AA95" s="315" t="e">
        <f>AA91*AA92</f>
        <v>#VALUE!</v>
      </c>
      <c r="AB95" s="31" t="s">
        <v>663</v>
      </c>
      <c r="AC95" s="29" t="s">
        <v>678</v>
      </c>
      <c r="AD95" s="316" t="e">
        <f>AD91*AD92</f>
        <v>#VALUE!</v>
      </c>
      <c r="AE95" s="31" t="s">
        <v>181</v>
      </c>
      <c r="AF95" s="29" t="s">
        <v>654</v>
      </c>
      <c r="AG95" s="320" t="e">
        <f>IF(O91="Exterior Drive Post", SUM(AG91:AG93)+SDW, SUM(AG91:AG93)+ICW)</f>
        <v>#VALUE!</v>
      </c>
      <c r="AH95" s="31" t="s">
        <v>663</v>
      </c>
      <c r="AI95">
        <v>18</v>
      </c>
      <c r="AJ95" s="29"/>
      <c r="AK95" s="309"/>
      <c r="AL95" s="31"/>
      <c r="AM95" s="29"/>
      <c r="AN95" s="30"/>
      <c r="AO95" s="31"/>
      <c r="AP95" s="29" t="s">
        <v>679</v>
      </c>
      <c r="AQ95" s="324" t="e">
        <f>AQ93*Pult</f>
        <v>#VALUE!</v>
      </c>
      <c r="AR95" s="31" t="s">
        <v>181</v>
      </c>
      <c r="AT95" s="29" t="s">
        <v>662</v>
      </c>
      <c r="AU95" s="339" t="e">
        <f>AU93*AU92</f>
        <v>#VALUE!</v>
      </c>
      <c r="AV95" s="31" t="s">
        <v>181</v>
      </c>
      <c r="AX95" s="629"/>
      <c r="AY95" s="561"/>
      <c r="AZ95" s="30" t="s">
        <v>671</v>
      </c>
      <c r="BA95" s="309" t="e">
        <f>BA93*BA94</f>
        <v>#VALUE!</v>
      </c>
      <c r="BB95" s="311" t="s">
        <v>676</v>
      </c>
      <c r="BC95" s="313"/>
      <c r="BD95" s="309" t="e">
        <f>IF(AX91="Interior Drive Post", (BA95/144)-(((GL+GR)*(ML/25.4))/144), BA95/144)</f>
        <v>#VALUE!</v>
      </c>
      <c r="BE95" s="31" t="s">
        <v>677</v>
      </c>
      <c r="BF95" s="29" t="s">
        <v>678</v>
      </c>
      <c r="BG95" s="314" t="e">
        <f>BG94/12*BG93</f>
        <v>#VALUE!</v>
      </c>
      <c r="BH95" s="31" t="s">
        <v>663</v>
      </c>
      <c r="BI95" s="29" t="s">
        <v>678</v>
      </c>
      <c r="BJ95" s="315" t="e">
        <f>BJ91*BJ92</f>
        <v>#VALUE!</v>
      </c>
      <c r="BK95" s="31" t="s">
        <v>663</v>
      </c>
      <c r="BL95" s="29" t="s">
        <v>678</v>
      </c>
      <c r="BM95" s="316" t="e">
        <f>BM91*BM92</f>
        <v>#VALUE!</v>
      </c>
      <c r="BN95" s="31" t="s">
        <v>181</v>
      </c>
      <c r="BO95" s="29" t="s">
        <v>654</v>
      </c>
      <c r="BP95" s="320" t="e">
        <f>IF(AX91="Interior Drive Post", SUM(BP91:BP93)+SDW, SUM(BP91:BP93)+ICW)</f>
        <v>#VALUE!</v>
      </c>
      <c r="BQ95" s="31" t="s">
        <v>663</v>
      </c>
      <c r="BR95">
        <v>18</v>
      </c>
      <c r="BS95" s="29"/>
      <c r="BT95" s="309"/>
      <c r="BU95" s="31"/>
      <c r="BV95" s="29"/>
      <c r="BW95" s="30"/>
      <c r="BX95" s="31"/>
      <c r="BY95" s="29" t="s">
        <v>679</v>
      </c>
      <c r="BZ95" s="324" t="e">
        <f>BZ93*Pult</f>
        <v>#VALUE!</v>
      </c>
      <c r="CA95" s="31" t="s">
        <v>181</v>
      </c>
      <c r="CC95" s="29" t="s">
        <v>662</v>
      </c>
      <c r="CD95" s="339" t="e">
        <f>CD93*CD92</f>
        <v>#VALUE!</v>
      </c>
      <c r="CE95" s="31" t="s">
        <v>181</v>
      </c>
    </row>
    <row r="96" spans="2:83" x14ac:dyDescent="0.25">
      <c r="B96" s="12"/>
      <c r="C96" s="12"/>
      <c r="D96" s="12"/>
      <c r="E96" s="12"/>
      <c r="F96" s="12"/>
      <c r="G96" s="302">
        <v>91</v>
      </c>
      <c r="H96" s="7" t="e">
        <f t="shared" si="49"/>
        <v>#VALUE!</v>
      </c>
      <c r="I96" s="299" t="e">
        <f t="shared" si="50"/>
        <v>#VALUE!</v>
      </c>
      <c r="J96" s="7"/>
      <c r="O96" s="653" t="str">
        <f>D24</f>
        <v/>
      </c>
      <c r="P96" s="558"/>
      <c r="Q96" s="25" t="s">
        <v>656</v>
      </c>
      <c r="R96" s="297" t="str">
        <f>L24</f>
        <v/>
      </c>
      <c r="S96" s="310" t="s">
        <v>657</v>
      </c>
      <c r="T96" s="312"/>
      <c r="U96" s="297" t="e">
        <f>R96/12</f>
        <v>#VALUE!</v>
      </c>
      <c r="V96" s="26" t="s">
        <v>658</v>
      </c>
      <c r="W96" s="24" t="s">
        <v>659</v>
      </c>
      <c r="X96" s="297" t="e">
        <f>VL</f>
        <v>#VALUE!</v>
      </c>
      <c r="Y96" s="26" t="s">
        <v>657</v>
      </c>
      <c r="Z96" s="24" t="s">
        <v>660</v>
      </c>
      <c r="AA96" s="297">
        <f>VLOOKUP(TS,'List Data'!$A$15:$B$18, 2, FALSE)</f>
        <v>7.8955000000000002</v>
      </c>
      <c r="AB96" s="26" t="s">
        <v>661</v>
      </c>
      <c r="AC96" s="24" t="s">
        <v>662</v>
      </c>
      <c r="AD96" s="297" t="e">
        <f>PL</f>
        <v>#VALUE!</v>
      </c>
      <c r="AE96" s="26" t="s">
        <v>65</v>
      </c>
      <c r="AF96" s="24" t="s">
        <v>651</v>
      </c>
      <c r="AG96" s="318" t="e">
        <f>X100</f>
        <v>#VALUE!</v>
      </c>
      <c r="AH96" s="26" t="s">
        <v>663</v>
      </c>
      <c r="AJ96" s="24" t="s">
        <v>664</v>
      </c>
      <c r="AK96" s="297" t="e">
        <f>ROUND(MT/12,5)</f>
        <v>#VALUE!</v>
      </c>
      <c r="AL96" s="26" t="s">
        <v>658</v>
      </c>
      <c r="AM96" s="24" t="s">
        <v>370</v>
      </c>
      <c r="AN96" s="297">
        <f>IF(OR(TS="5x4, .126", TS="5x4, .134"), 5/12,4/12)</f>
        <v>0.41666666666666669</v>
      </c>
      <c r="AO96" s="26" t="s">
        <v>658</v>
      </c>
      <c r="AP96" s="24" t="s">
        <v>653</v>
      </c>
      <c r="AQ96" s="322" t="e">
        <f>AK98</f>
        <v>#VALUE!</v>
      </c>
      <c r="AR96" s="26" t="s">
        <v>665</v>
      </c>
      <c r="AT96" s="24" t="s">
        <v>666</v>
      </c>
      <c r="AU96" s="338" t="str">
        <f>Theta</f>
        <v>XX</v>
      </c>
      <c r="AV96" s="26" t="s">
        <v>667</v>
      </c>
      <c r="AX96" s="653" t="str">
        <f>D60</f>
        <v/>
      </c>
      <c r="AY96" s="558"/>
      <c r="AZ96" s="25" t="s">
        <v>656</v>
      </c>
      <c r="BA96" s="297" t="str">
        <f>L60</f>
        <v/>
      </c>
      <c r="BB96" s="310" t="s">
        <v>657</v>
      </c>
      <c r="BC96" s="312"/>
      <c r="BD96" s="297" t="e">
        <f>BA96/12</f>
        <v>#VALUE!</v>
      </c>
      <c r="BE96" s="26" t="s">
        <v>658</v>
      </c>
      <c r="BF96" s="24" t="s">
        <v>659</v>
      </c>
      <c r="BG96" s="297" t="e">
        <f>VL</f>
        <v>#VALUE!</v>
      </c>
      <c r="BH96" s="26" t="s">
        <v>657</v>
      </c>
      <c r="BI96" s="24" t="s">
        <v>660</v>
      </c>
      <c r="BJ96" s="297">
        <f>VLOOKUP(TS,'List Data'!$A$15:$B$18, 2, FALSE)</f>
        <v>7.8955000000000002</v>
      </c>
      <c r="BK96" s="26" t="s">
        <v>661</v>
      </c>
      <c r="BL96" s="24" t="s">
        <v>662</v>
      </c>
      <c r="BM96" s="297" t="e">
        <f>PL</f>
        <v>#VALUE!</v>
      </c>
      <c r="BN96" s="26" t="s">
        <v>65</v>
      </c>
      <c r="BO96" s="24" t="s">
        <v>651</v>
      </c>
      <c r="BP96" s="318" t="e">
        <f>BG100</f>
        <v>#VALUE!</v>
      </c>
      <c r="BQ96" s="26" t="s">
        <v>663</v>
      </c>
      <c r="BS96" s="24" t="s">
        <v>664</v>
      </c>
      <c r="BT96" s="297" t="e">
        <f>ROUND(MT/12,5)</f>
        <v>#VALUE!</v>
      </c>
      <c r="BU96" s="26" t="s">
        <v>658</v>
      </c>
      <c r="BV96" s="24" t="s">
        <v>370</v>
      </c>
      <c r="BW96" s="297">
        <f>IF(OR(TS="5x4, .126", TS="5x4, .134"), 5/12,4/12)</f>
        <v>0.41666666666666669</v>
      </c>
      <c r="BX96" s="26" t="s">
        <v>658</v>
      </c>
      <c r="BY96" s="24" t="s">
        <v>653</v>
      </c>
      <c r="BZ96" s="322" t="e">
        <f>BT98</f>
        <v>#VALUE!</v>
      </c>
      <c r="CA96" s="26" t="s">
        <v>665</v>
      </c>
      <c r="CC96" s="24" t="s">
        <v>666</v>
      </c>
      <c r="CD96" s="338" t="str">
        <f>Theta</f>
        <v>XX</v>
      </c>
      <c r="CE96" s="26" t="s">
        <v>667</v>
      </c>
    </row>
    <row r="97" spans="2:83" x14ac:dyDescent="0.25">
      <c r="B97" s="12"/>
      <c r="C97" s="12"/>
      <c r="D97" s="12"/>
      <c r="E97" s="12"/>
      <c r="F97" s="12"/>
      <c r="G97" s="302">
        <v>92</v>
      </c>
      <c r="H97" s="7" t="e">
        <f t="shared" si="49"/>
        <v>#VALUE!</v>
      </c>
      <c r="I97" s="299" t="e">
        <f t="shared" si="50"/>
        <v>#VALUE!</v>
      </c>
      <c r="J97" s="7"/>
      <c r="O97" s="628"/>
      <c r="P97" s="559"/>
      <c r="Q97" t="s">
        <v>668</v>
      </c>
      <c r="R97" s="7" t="str">
        <f>L25</f>
        <v/>
      </c>
      <c r="S97" s="77" t="s">
        <v>657</v>
      </c>
      <c r="T97" s="43"/>
      <c r="U97" s="7" t="e">
        <f>R97/12</f>
        <v>#VALUE!</v>
      </c>
      <c r="V97" s="28" t="s">
        <v>658</v>
      </c>
      <c r="W97" s="27" t="s">
        <v>669</v>
      </c>
      <c r="X97" s="7">
        <f>COUNTIFS($I$6:$I$105, "&lt;="&amp;R96, $I$6:$I$105, "&gt;="&amp;R97)</f>
        <v>0</v>
      </c>
      <c r="Y97" s="28" t="s">
        <v>670</v>
      </c>
      <c r="Z97" s="27" t="s">
        <v>659</v>
      </c>
      <c r="AA97" s="7" t="e">
        <f>IF(O96="Exterior Drive Post", (U98-(TG/12)), U98)</f>
        <v>#VALUE!</v>
      </c>
      <c r="AB97" s="28" t="s">
        <v>658</v>
      </c>
      <c r="AC97" s="27" t="s">
        <v>671</v>
      </c>
      <c r="AD97" s="7" t="e">
        <f>U100</f>
        <v>#VALUE!</v>
      </c>
      <c r="AE97" s="28" t="s">
        <v>665</v>
      </c>
      <c r="AF97" s="27" t="s">
        <v>672</v>
      </c>
      <c r="AG97" s="317" t="e">
        <f>AA100</f>
        <v>#VALUE!</v>
      </c>
      <c r="AH97" s="28" t="s">
        <v>663</v>
      </c>
      <c r="AJ97" s="27" t="s">
        <v>659</v>
      </c>
      <c r="AK97" s="7" t="e">
        <f>IF(O96= "Exterior Drive Post", (U98)-((GL+GR)/12), U98)</f>
        <v>#VALUE!</v>
      </c>
      <c r="AL97" s="28" t="s">
        <v>658</v>
      </c>
      <c r="AM97" s="27" t="s">
        <v>659</v>
      </c>
      <c r="AN97" s="7" t="e">
        <f>AA97</f>
        <v>#VALUE!</v>
      </c>
      <c r="AO97" s="28" t="s">
        <v>658</v>
      </c>
      <c r="AP97" s="27" t="s">
        <v>672</v>
      </c>
      <c r="AQ97" s="323" t="e">
        <f>AN98</f>
        <v>#VALUE!</v>
      </c>
      <c r="AR97" s="28" t="s">
        <v>665</v>
      </c>
      <c r="AT97" s="27" t="s">
        <v>673</v>
      </c>
      <c r="AU97" s="210" t="e">
        <f>RSL*COS(Radians)</f>
        <v>#VALUE!</v>
      </c>
      <c r="AV97" s="28" t="s">
        <v>65</v>
      </c>
      <c r="AX97" s="628"/>
      <c r="AY97" s="559"/>
      <c r="AZ97" t="s">
        <v>668</v>
      </c>
      <c r="BA97" s="7" t="str">
        <f>L61</f>
        <v/>
      </c>
      <c r="BB97" s="77" t="s">
        <v>657</v>
      </c>
      <c r="BC97" s="43"/>
      <c r="BD97" s="7" t="e">
        <f>BA97/12</f>
        <v>#VALUE!</v>
      </c>
      <c r="BE97" s="28" t="s">
        <v>658</v>
      </c>
      <c r="BF97" s="27" t="s">
        <v>669</v>
      </c>
      <c r="BG97" s="7">
        <f>COUNTIFS($I$6:$I$105, "&lt;="&amp;BA96, $I$6:$I$105, "&gt;="&amp;BA97)</f>
        <v>0</v>
      </c>
      <c r="BH97" s="28" t="s">
        <v>670</v>
      </c>
      <c r="BI97" s="27" t="s">
        <v>659</v>
      </c>
      <c r="BJ97" s="7" t="e">
        <f>IF(AX96="Interior Drive Post", (BD98-(TG/12)), BD98)</f>
        <v>#VALUE!</v>
      </c>
      <c r="BK97" s="28" t="s">
        <v>658</v>
      </c>
      <c r="BL97" s="27" t="s">
        <v>671</v>
      </c>
      <c r="BM97" s="7" t="e">
        <f>BD100</f>
        <v>#VALUE!</v>
      </c>
      <c r="BN97" s="28" t="s">
        <v>665</v>
      </c>
      <c r="BO97" s="27" t="s">
        <v>672</v>
      </c>
      <c r="BP97" s="317" t="e">
        <f>BJ100</f>
        <v>#VALUE!</v>
      </c>
      <c r="BQ97" s="28" t="s">
        <v>663</v>
      </c>
      <c r="BS97" s="27" t="s">
        <v>659</v>
      </c>
      <c r="BT97" s="7" t="e">
        <f>IF(AX96= "Interior Drive Post", (BD98)-((GL+GR)/12), BD98)</f>
        <v>#VALUE!</v>
      </c>
      <c r="BU97" s="28" t="s">
        <v>658</v>
      </c>
      <c r="BV97" s="27" t="s">
        <v>659</v>
      </c>
      <c r="BW97" s="7" t="e">
        <f>BJ97</f>
        <v>#VALUE!</v>
      </c>
      <c r="BX97" s="28" t="s">
        <v>658</v>
      </c>
      <c r="BY97" s="27" t="s">
        <v>672</v>
      </c>
      <c r="BZ97" s="323" t="e">
        <f>BW98</f>
        <v>#VALUE!</v>
      </c>
      <c r="CA97" s="28" t="s">
        <v>665</v>
      </c>
      <c r="CC97" s="27" t="s">
        <v>673</v>
      </c>
      <c r="CD97" s="210" t="e">
        <f>RSL*COS(Radians)</f>
        <v>#VALUE!</v>
      </c>
      <c r="CE97" s="28" t="s">
        <v>65</v>
      </c>
    </row>
    <row r="98" spans="2:83" x14ac:dyDescent="0.25">
      <c r="B98" s="12"/>
      <c r="C98" s="12"/>
      <c r="D98" s="12"/>
      <c r="E98" s="12"/>
      <c r="F98" s="12"/>
      <c r="G98" s="302">
        <v>93</v>
      </c>
      <c r="H98" s="7" t="e">
        <f t="shared" si="49"/>
        <v>#VALUE!</v>
      </c>
      <c r="I98" s="299" t="e">
        <f t="shared" si="50"/>
        <v>#VALUE!</v>
      </c>
      <c r="J98" s="7"/>
      <c r="O98" s="628"/>
      <c r="P98" s="559"/>
      <c r="Q98" t="s">
        <v>659</v>
      </c>
      <c r="R98" s="7" t="e">
        <f>R96-R97</f>
        <v>#VALUE!</v>
      </c>
      <c r="S98" s="77" t="s">
        <v>657</v>
      </c>
      <c r="T98" s="43"/>
      <c r="U98" s="7" t="e">
        <f>R98/12</f>
        <v>#VALUE!</v>
      </c>
      <c r="V98" s="28" t="s">
        <v>658</v>
      </c>
      <c r="W98" s="27" t="s">
        <v>674</v>
      </c>
      <c r="X98" s="7" t="e">
        <f>X97*X96</f>
        <v>#VALUE!</v>
      </c>
      <c r="Y98" s="28" t="s">
        <v>657</v>
      </c>
      <c r="Z98" s="27"/>
      <c r="AA98" s="7"/>
      <c r="AB98" s="28"/>
      <c r="AC98" s="27"/>
      <c r="AD98" s="7"/>
      <c r="AE98" s="28"/>
      <c r="AF98" s="27" t="s">
        <v>653</v>
      </c>
      <c r="AG98" s="319" t="e">
        <f>AD100</f>
        <v>#VALUE!</v>
      </c>
      <c r="AH98" s="28" t="s">
        <v>663</v>
      </c>
      <c r="AJ98" s="27" t="s">
        <v>671</v>
      </c>
      <c r="AK98" s="321" t="e">
        <f>AK96*AK97</f>
        <v>#VALUE!</v>
      </c>
      <c r="AL98" s="28" t="s">
        <v>665</v>
      </c>
      <c r="AM98" s="27" t="s">
        <v>671</v>
      </c>
      <c r="AN98" s="323" t="e">
        <f>AN97*AN96</f>
        <v>#VALUE!</v>
      </c>
      <c r="AO98" s="28" t="s">
        <v>665</v>
      </c>
      <c r="AP98" s="27" t="s">
        <v>654</v>
      </c>
      <c r="AQ98" s="7" t="e">
        <f>SUM(AQ96:AQ97)</f>
        <v>#VALUE!</v>
      </c>
      <c r="AR98" s="28" t="s">
        <v>665</v>
      </c>
      <c r="AT98" s="27" t="s">
        <v>671</v>
      </c>
      <c r="AU98" s="210" t="e">
        <f>U100</f>
        <v>#VALUE!</v>
      </c>
      <c r="AV98" s="28" t="s">
        <v>697</v>
      </c>
      <c r="AX98" s="628"/>
      <c r="AY98" s="559"/>
      <c r="AZ98" t="s">
        <v>659</v>
      </c>
      <c r="BA98" s="7" t="e">
        <f>BA96-BA97</f>
        <v>#VALUE!</v>
      </c>
      <c r="BB98" s="77" t="s">
        <v>657</v>
      </c>
      <c r="BC98" s="43"/>
      <c r="BD98" s="7" t="e">
        <f>BA98/12</f>
        <v>#VALUE!</v>
      </c>
      <c r="BE98" s="28" t="s">
        <v>658</v>
      </c>
      <c r="BF98" s="27" t="s">
        <v>674</v>
      </c>
      <c r="BG98" s="7" t="e">
        <f>BG97*BG96</f>
        <v>#VALUE!</v>
      </c>
      <c r="BH98" s="28" t="s">
        <v>657</v>
      </c>
      <c r="BI98" s="27"/>
      <c r="BJ98" s="7"/>
      <c r="BK98" s="28"/>
      <c r="BL98" s="27"/>
      <c r="BM98" s="7"/>
      <c r="BN98" s="28"/>
      <c r="BO98" s="27" t="s">
        <v>653</v>
      </c>
      <c r="BP98" s="319" t="e">
        <f>BM100</f>
        <v>#VALUE!</v>
      </c>
      <c r="BQ98" s="28" t="s">
        <v>663</v>
      </c>
      <c r="BS98" s="27" t="s">
        <v>671</v>
      </c>
      <c r="BT98" s="321" t="e">
        <f>BT96*BT97</f>
        <v>#VALUE!</v>
      </c>
      <c r="BU98" s="28" t="s">
        <v>665</v>
      </c>
      <c r="BV98" s="27" t="s">
        <v>671</v>
      </c>
      <c r="BW98" s="323" t="e">
        <f>BW97*BW96</f>
        <v>#VALUE!</v>
      </c>
      <c r="BX98" s="28" t="s">
        <v>665</v>
      </c>
      <c r="BY98" s="27" t="s">
        <v>654</v>
      </c>
      <c r="BZ98" s="7" t="e">
        <f>SUM(BZ96:BZ97)</f>
        <v>#VALUE!</v>
      </c>
      <c r="CA98" s="28" t="s">
        <v>665</v>
      </c>
      <c r="CC98" s="27" t="s">
        <v>671</v>
      </c>
      <c r="CD98" s="210" t="e">
        <f>BD100</f>
        <v>#VALUE!</v>
      </c>
      <c r="CE98" s="28" t="s">
        <v>665</v>
      </c>
    </row>
    <row r="99" spans="2:83" x14ac:dyDescent="0.25">
      <c r="B99" s="12"/>
      <c r="C99" s="12"/>
      <c r="D99" s="12"/>
      <c r="E99" s="12"/>
      <c r="F99" s="12"/>
      <c r="G99" s="302">
        <v>94</v>
      </c>
      <c r="H99" s="7" t="e">
        <f t="shared" si="49"/>
        <v>#VALUE!</v>
      </c>
      <c r="I99" s="299" t="e">
        <f t="shared" si="50"/>
        <v>#VALUE!</v>
      </c>
      <c r="J99" s="7"/>
      <c r="O99" s="628"/>
      <c r="P99" s="559"/>
      <c r="Q99" t="s">
        <v>675</v>
      </c>
      <c r="R99" s="7" t="e">
        <f>ROUND(ML, 3)</f>
        <v>#VALUE!</v>
      </c>
      <c r="S99" s="77" t="s">
        <v>657</v>
      </c>
      <c r="T99" s="43"/>
      <c r="U99" s="7" t="e">
        <f>R99/12</f>
        <v>#VALUE!</v>
      </c>
      <c r="V99" s="28" t="s">
        <v>658</v>
      </c>
      <c r="W99" s="27" t="s">
        <v>660</v>
      </c>
      <c r="X99" s="7">
        <f>VLOOKUP(VS,'List Data'!$A$8:$B$12, 2, FALSE)</f>
        <v>2.1419999999999999</v>
      </c>
      <c r="Y99" s="28" t="s">
        <v>661</v>
      </c>
      <c r="Z99" s="27"/>
      <c r="AA99" s="7"/>
      <c r="AB99" s="28"/>
      <c r="AC99" s="27"/>
      <c r="AD99" s="7"/>
      <c r="AE99" s="28"/>
      <c r="AF99" s="27"/>
      <c r="AH99" s="28"/>
      <c r="AJ99" s="27"/>
      <c r="AK99" s="7"/>
      <c r="AL99" s="28"/>
      <c r="AM99" s="27"/>
      <c r="AO99" s="28"/>
      <c r="AP99" s="27"/>
      <c r="AQ99" s="7"/>
      <c r="AR99" s="28"/>
      <c r="AT99" s="27"/>
      <c r="AU99" s="210"/>
      <c r="AV99" s="28"/>
      <c r="AX99" s="628"/>
      <c r="AY99" s="559"/>
      <c r="AZ99" t="s">
        <v>675</v>
      </c>
      <c r="BA99" s="7" t="e">
        <f>ROUND(ML, 3)</f>
        <v>#VALUE!</v>
      </c>
      <c r="BB99" s="77" t="s">
        <v>657</v>
      </c>
      <c r="BC99" s="43"/>
      <c r="BD99" s="7" t="e">
        <f>BA99/12</f>
        <v>#VALUE!</v>
      </c>
      <c r="BE99" s="28" t="s">
        <v>658</v>
      </c>
      <c r="BF99" s="27" t="s">
        <v>660</v>
      </c>
      <c r="BG99" s="7">
        <f>VLOOKUP(VS,'List Data'!$A$8:$B$12, 2, FALSE)</f>
        <v>2.1419999999999999</v>
      </c>
      <c r="BH99" s="28" t="s">
        <v>661</v>
      </c>
      <c r="BI99" s="27"/>
      <c r="BJ99" s="7"/>
      <c r="BK99" s="28"/>
      <c r="BL99" s="27"/>
      <c r="BM99" s="7"/>
      <c r="BN99" s="28"/>
      <c r="BO99" s="27"/>
      <c r="BQ99" s="28"/>
      <c r="BS99" s="27"/>
      <c r="BT99" s="7"/>
      <c r="BU99" s="28"/>
      <c r="BV99" s="27"/>
      <c r="BX99" s="28"/>
      <c r="BY99" s="27"/>
      <c r="BZ99" s="7"/>
      <c r="CA99" s="28"/>
      <c r="CC99" s="27"/>
      <c r="CD99" s="210"/>
      <c r="CE99" s="28"/>
    </row>
    <row r="100" spans="2:83" x14ac:dyDescent="0.25">
      <c r="B100" s="12"/>
      <c r="C100" s="12"/>
      <c r="D100" s="12"/>
      <c r="E100" s="12" t="s">
        <v>150</v>
      </c>
      <c r="F100" s="12" t="s">
        <v>698</v>
      </c>
      <c r="G100" s="302">
        <v>95</v>
      </c>
      <c r="H100" s="7" t="e">
        <f t="shared" si="49"/>
        <v>#VALUE!</v>
      </c>
      <c r="I100" s="299" t="e">
        <f t="shared" si="50"/>
        <v>#VALUE!</v>
      </c>
      <c r="J100" s="7"/>
      <c r="O100" s="629"/>
      <c r="P100" s="561"/>
      <c r="Q100" s="30" t="s">
        <v>671</v>
      </c>
      <c r="R100" s="309" t="e">
        <f>R98*R99</f>
        <v>#VALUE!</v>
      </c>
      <c r="S100" s="311" t="s">
        <v>676</v>
      </c>
      <c r="T100" s="313"/>
      <c r="U100" s="309" t="e">
        <f>IF(O96="Exterior Drive Post", (R100/144)-(((GL+GR)*(ML/25.4))/144), R100/144)</f>
        <v>#VALUE!</v>
      </c>
      <c r="V100" s="31" t="s">
        <v>677</v>
      </c>
      <c r="W100" s="29" t="s">
        <v>678</v>
      </c>
      <c r="X100" s="314" t="e">
        <f>X99/12*X98</f>
        <v>#VALUE!</v>
      </c>
      <c r="Y100" s="31" t="s">
        <v>663</v>
      </c>
      <c r="Z100" s="29" t="s">
        <v>678</v>
      </c>
      <c r="AA100" s="315" t="e">
        <f>AA96*AA97</f>
        <v>#VALUE!</v>
      </c>
      <c r="AB100" s="31" t="s">
        <v>663</v>
      </c>
      <c r="AC100" s="29" t="s">
        <v>678</v>
      </c>
      <c r="AD100" s="316" t="e">
        <f>AD96*AD97</f>
        <v>#VALUE!</v>
      </c>
      <c r="AE100" s="31" t="s">
        <v>181</v>
      </c>
      <c r="AF100" s="29" t="s">
        <v>654</v>
      </c>
      <c r="AG100" s="320" t="e">
        <f>IF(O96="Exterior Drive Post", SUM(AG96:AG98)+SDW, SUM(AG96:AG98)+ICW)</f>
        <v>#VALUE!</v>
      </c>
      <c r="AH100" s="31" t="s">
        <v>663</v>
      </c>
      <c r="AI100">
        <v>19</v>
      </c>
      <c r="AJ100" s="29"/>
      <c r="AK100" s="309"/>
      <c r="AL100" s="31"/>
      <c r="AM100" s="29"/>
      <c r="AN100" s="30"/>
      <c r="AO100" s="31"/>
      <c r="AP100" s="29" t="s">
        <v>679</v>
      </c>
      <c r="AQ100" s="324" t="e">
        <f>AQ98*Pult</f>
        <v>#VALUE!</v>
      </c>
      <c r="AR100" s="31" t="s">
        <v>181</v>
      </c>
      <c r="AT100" s="29" t="s">
        <v>662</v>
      </c>
      <c r="AU100" s="339" t="e">
        <f>AU98*AU97</f>
        <v>#VALUE!</v>
      </c>
      <c r="AV100" s="31" t="s">
        <v>181</v>
      </c>
      <c r="AX100" s="629"/>
      <c r="AY100" s="561"/>
      <c r="AZ100" s="30" t="s">
        <v>671</v>
      </c>
      <c r="BA100" s="309" t="e">
        <f>BA98*BA99</f>
        <v>#VALUE!</v>
      </c>
      <c r="BB100" s="311" t="s">
        <v>676</v>
      </c>
      <c r="BC100" s="313"/>
      <c r="BD100" s="309" t="e">
        <f>IF(AX96="Interior Drive Post", (BA100/144)-(((GL+GR)*(ML/25.4))/144), BA100/144)</f>
        <v>#VALUE!</v>
      </c>
      <c r="BE100" s="31" t="s">
        <v>677</v>
      </c>
      <c r="BF100" s="29" t="s">
        <v>678</v>
      </c>
      <c r="BG100" s="314" t="e">
        <f>BG99/12*BG98</f>
        <v>#VALUE!</v>
      </c>
      <c r="BH100" s="31" t="s">
        <v>663</v>
      </c>
      <c r="BI100" s="29" t="s">
        <v>678</v>
      </c>
      <c r="BJ100" s="315" t="e">
        <f>BJ96*BJ97</f>
        <v>#VALUE!</v>
      </c>
      <c r="BK100" s="31" t="s">
        <v>663</v>
      </c>
      <c r="BL100" s="29" t="s">
        <v>678</v>
      </c>
      <c r="BM100" s="316" t="e">
        <f>BM96*BM97</f>
        <v>#VALUE!</v>
      </c>
      <c r="BN100" s="31" t="s">
        <v>181</v>
      </c>
      <c r="BO100" s="29" t="s">
        <v>654</v>
      </c>
      <c r="BP100" s="320" t="e">
        <f>IF(AX96="Interior Drive Post", SUM(BP96:BP98)+SDW, SUM(BP96:BP98)+ICW)</f>
        <v>#VALUE!</v>
      </c>
      <c r="BQ100" s="31" t="s">
        <v>663</v>
      </c>
      <c r="BR100">
        <v>19</v>
      </c>
      <c r="BS100" s="29"/>
      <c r="BT100" s="309"/>
      <c r="BU100" s="31"/>
      <c r="BV100" s="29"/>
      <c r="BW100" s="30"/>
      <c r="BX100" s="31"/>
      <c r="BY100" s="29" t="s">
        <v>679</v>
      </c>
      <c r="BZ100" s="324" t="e">
        <f>BZ98*Pult</f>
        <v>#VALUE!</v>
      </c>
      <c r="CA100" s="31" t="s">
        <v>181</v>
      </c>
      <c r="CC100" s="29" t="s">
        <v>662</v>
      </c>
      <c r="CD100" s="339" t="e">
        <f>CD98*CD97</f>
        <v>#VALUE!</v>
      </c>
      <c r="CE100" s="31" t="s">
        <v>181</v>
      </c>
    </row>
    <row r="101" spans="2:83" x14ac:dyDescent="0.25">
      <c r="B101" s="12"/>
      <c r="C101" s="12"/>
      <c r="D101" s="12">
        <f>IF(ABS(F101)&gt;0,1,0)</f>
        <v>0</v>
      </c>
      <c r="E101" s="12">
        <f>SUM(LSE_2:LSE_10)</f>
        <v>0</v>
      </c>
      <c r="F101" s="12">
        <f>-SUM(RSE_10)</f>
        <v>0</v>
      </c>
      <c r="G101" s="302">
        <v>96</v>
      </c>
      <c r="H101" s="7" t="e">
        <f t="shared" si="49"/>
        <v>#VALUE!</v>
      </c>
      <c r="I101" s="299" t="e">
        <f t="shared" si="50"/>
        <v>#VALUE!</v>
      </c>
      <c r="J101" s="7"/>
      <c r="O101" s="653" t="str">
        <f>D25</f>
        <v/>
      </c>
      <c r="P101" s="558"/>
      <c r="Q101" s="25" t="s">
        <v>656</v>
      </c>
      <c r="R101" s="297" t="str">
        <f>L25</f>
        <v/>
      </c>
      <c r="S101" s="310" t="s">
        <v>657</v>
      </c>
      <c r="T101" s="312"/>
      <c r="U101" s="297" t="e">
        <f>R101/12</f>
        <v>#VALUE!</v>
      </c>
      <c r="V101" s="26" t="s">
        <v>658</v>
      </c>
      <c r="W101" s="24" t="s">
        <v>659</v>
      </c>
      <c r="X101" s="297" t="e">
        <f>VL</f>
        <v>#VALUE!</v>
      </c>
      <c r="Y101" s="26" t="s">
        <v>657</v>
      </c>
      <c r="Z101" s="24" t="s">
        <v>660</v>
      </c>
      <c r="AA101" s="297">
        <f>VLOOKUP(TS,'List Data'!$A$15:$B$18, 2, FALSE)</f>
        <v>7.8955000000000002</v>
      </c>
      <c r="AB101" s="26" t="s">
        <v>661</v>
      </c>
      <c r="AC101" s="24" t="s">
        <v>662</v>
      </c>
      <c r="AD101" s="297" t="e">
        <f>PL</f>
        <v>#VALUE!</v>
      </c>
      <c r="AE101" s="26" t="s">
        <v>65</v>
      </c>
      <c r="AF101" s="24" t="s">
        <v>651</v>
      </c>
      <c r="AG101" s="318" t="e">
        <f>X105</f>
        <v>#VALUE!</v>
      </c>
      <c r="AH101" s="26" t="s">
        <v>663</v>
      </c>
      <c r="AJ101" s="24" t="s">
        <v>664</v>
      </c>
      <c r="AK101" s="297" t="e">
        <f>ROUND(MT/12,5)</f>
        <v>#VALUE!</v>
      </c>
      <c r="AL101" s="26" t="s">
        <v>658</v>
      </c>
      <c r="AM101" s="24" t="s">
        <v>370</v>
      </c>
      <c r="AN101" s="297">
        <f>IF(OR(TS="5x4, .126", TS="5x4, .134"), 5/12,4/12)</f>
        <v>0.41666666666666669</v>
      </c>
      <c r="AO101" s="26" t="s">
        <v>658</v>
      </c>
      <c r="AP101" s="24" t="s">
        <v>653</v>
      </c>
      <c r="AQ101" s="322" t="e">
        <f>AK103</f>
        <v>#VALUE!</v>
      </c>
      <c r="AR101" s="26" t="s">
        <v>665</v>
      </c>
      <c r="AT101" s="24" t="s">
        <v>666</v>
      </c>
      <c r="AU101" s="338" t="str">
        <f>Theta</f>
        <v>XX</v>
      </c>
      <c r="AV101" s="26" t="s">
        <v>667</v>
      </c>
      <c r="AX101" s="653" t="str">
        <f>D61</f>
        <v/>
      </c>
      <c r="AY101" s="558"/>
      <c r="AZ101" s="25" t="s">
        <v>656</v>
      </c>
      <c r="BA101" s="297" t="str">
        <f>L61</f>
        <v/>
      </c>
      <c r="BB101" s="310" t="s">
        <v>657</v>
      </c>
      <c r="BC101" s="312"/>
      <c r="BD101" s="297" t="e">
        <f>BA101/12</f>
        <v>#VALUE!</v>
      </c>
      <c r="BE101" s="26" t="s">
        <v>658</v>
      </c>
      <c r="BF101" s="24" t="s">
        <v>659</v>
      </c>
      <c r="BG101" s="297" t="e">
        <f>VL</f>
        <v>#VALUE!</v>
      </c>
      <c r="BH101" s="26" t="s">
        <v>657</v>
      </c>
      <c r="BI101" s="24" t="s">
        <v>660</v>
      </c>
      <c r="BJ101" s="297">
        <f>VLOOKUP(TS,'List Data'!$A$15:$B$18, 2, FALSE)</f>
        <v>7.8955000000000002</v>
      </c>
      <c r="BK101" s="26" t="s">
        <v>661</v>
      </c>
      <c r="BL101" s="24" t="s">
        <v>662</v>
      </c>
      <c r="BM101" s="297" t="e">
        <f>PL</f>
        <v>#VALUE!</v>
      </c>
      <c r="BN101" s="26" t="s">
        <v>65</v>
      </c>
      <c r="BO101" s="24" t="s">
        <v>651</v>
      </c>
      <c r="BP101" s="318" t="e">
        <f>BG105</f>
        <v>#VALUE!</v>
      </c>
      <c r="BQ101" s="26" t="s">
        <v>663</v>
      </c>
      <c r="BS101" s="24" t="s">
        <v>664</v>
      </c>
      <c r="BT101" s="297" t="e">
        <f>ROUND(MT/12,5)</f>
        <v>#VALUE!</v>
      </c>
      <c r="BU101" s="26" t="s">
        <v>658</v>
      </c>
      <c r="BV101" s="24" t="s">
        <v>370</v>
      </c>
      <c r="BW101" s="297">
        <f>IF(OR(TS="5x4, .126", TS="5x4, .134"), 5/12,4/12)</f>
        <v>0.41666666666666669</v>
      </c>
      <c r="BX101" s="26" t="s">
        <v>658</v>
      </c>
      <c r="BY101" s="24" t="s">
        <v>653</v>
      </c>
      <c r="BZ101" s="322" t="e">
        <f>BT103</f>
        <v>#VALUE!</v>
      </c>
      <c r="CA101" s="26" t="s">
        <v>665</v>
      </c>
      <c r="CC101" s="24" t="s">
        <v>666</v>
      </c>
      <c r="CD101" s="338" t="str">
        <f>Theta</f>
        <v>XX</v>
      </c>
      <c r="CE101" s="26" t="s">
        <v>667</v>
      </c>
    </row>
    <row r="102" spans="2:83" x14ac:dyDescent="0.25">
      <c r="B102" s="12"/>
      <c r="C102" s="12"/>
      <c r="D102" s="12">
        <f t="shared" ref="D102:D109" si="51">IF(D101&gt;0,D101+1, IF(ABS(F102)&gt;0,1,0))</f>
        <v>0</v>
      </c>
      <c r="E102" s="12">
        <f>SUM(LSE_3:LSE_10)</f>
        <v>0</v>
      </c>
      <c r="F102" s="12">
        <f>-SUM(RSE_9:RSE_10)</f>
        <v>0</v>
      </c>
      <c r="G102" s="302">
        <v>97</v>
      </c>
      <c r="H102" s="7" t="e">
        <f t="shared" ref="H102:H133" si="52">IF(G102&lt;=(P_Left+P_Right+2), "VP "&amp;G102, "")</f>
        <v>#VALUE!</v>
      </c>
      <c r="I102" s="299" t="e">
        <f t="shared" si="50"/>
        <v>#VALUE!</v>
      </c>
      <c r="J102" s="7"/>
      <c r="O102" s="628"/>
      <c r="P102" s="559"/>
      <c r="Q102" t="s">
        <v>668</v>
      </c>
      <c r="R102" s="7" t="str">
        <f>L26</f>
        <v/>
      </c>
      <c r="S102" s="77" t="s">
        <v>657</v>
      </c>
      <c r="T102" s="43"/>
      <c r="U102" s="7" t="e">
        <f>R102/12</f>
        <v>#VALUE!</v>
      </c>
      <c r="V102" s="28" t="s">
        <v>658</v>
      </c>
      <c r="W102" s="27" t="s">
        <v>669</v>
      </c>
      <c r="X102" s="7">
        <f>COUNTIFS($I$6:$I$105, "&lt;="&amp;R101, $I$6:$I$105, "&gt;="&amp;R102)</f>
        <v>0</v>
      </c>
      <c r="Y102" s="28" t="s">
        <v>670</v>
      </c>
      <c r="Z102" s="27" t="s">
        <v>659</v>
      </c>
      <c r="AA102" s="7" t="e">
        <f>IF(O101="Exterior Drive Post", (U103-(TG/12)), U103)</f>
        <v>#VALUE!</v>
      </c>
      <c r="AB102" s="28" t="s">
        <v>658</v>
      </c>
      <c r="AC102" s="27" t="s">
        <v>671</v>
      </c>
      <c r="AD102" s="7" t="e">
        <f>U105</f>
        <v>#VALUE!</v>
      </c>
      <c r="AE102" s="28" t="s">
        <v>665</v>
      </c>
      <c r="AF102" s="27" t="s">
        <v>672</v>
      </c>
      <c r="AG102" s="317" t="e">
        <f>AA105</f>
        <v>#VALUE!</v>
      </c>
      <c r="AH102" s="28" t="s">
        <v>663</v>
      </c>
      <c r="AJ102" s="27" t="s">
        <v>659</v>
      </c>
      <c r="AK102" s="7" t="e">
        <f>IF(O101= "Exterior Drive Post", (U103)-((GL+GR)/12), U103)</f>
        <v>#VALUE!</v>
      </c>
      <c r="AL102" s="28" t="s">
        <v>658</v>
      </c>
      <c r="AM102" s="27" t="s">
        <v>659</v>
      </c>
      <c r="AN102" s="7" t="e">
        <f>AA102</f>
        <v>#VALUE!</v>
      </c>
      <c r="AO102" s="28" t="s">
        <v>658</v>
      </c>
      <c r="AP102" s="27" t="s">
        <v>672</v>
      </c>
      <c r="AQ102" s="323" t="e">
        <f>AN103</f>
        <v>#VALUE!</v>
      </c>
      <c r="AR102" s="28" t="s">
        <v>665</v>
      </c>
      <c r="AT102" s="27" t="s">
        <v>673</v>
      </c>
      <c r="AU102" s="210" t="e">
        <f>RSL*COS(Radians)</f>
        <v>#VALUE!</v>
      </c>
      <c r="AV102" s="28" t="s">
        <v>65</v>
      </c>
      <c r="AX102" s="628"/>
      <c r="AY102" s="559"/>
      <c r="AZ102" t="s">
        <v>668</v>
      </c>
      <c r="BA102" s="7" t="str">
        <f>L62</f>
        <v/>
      </c>
      <c r="BB102" s="77" t="s">
        <v>657</v>
      </c>
      <c r="BC102" s="43"/>
      <c r="BD102" s="7" t="e">
        <f>BA102/12</f>
        <v>#VALUE!</v>
      </c>
      <c r="BE102" s="28" t="s">
        <v>658</v>
      </c>
      <c r="BF102" s="27" t="s">
        <v>669</v>
      </c>
      <c r="BG102" s="7">
        <f>COUNTIFS($I$6:$I$105, "&lt;="&amp;BA101, $I$6:$I$105, "&gt;="&amp;BA102)</f>
        <v>0</v>
      </c>
      <c r="BH102" s="28" t="s">
        <v>670</v>
      </c>
      <c r="BI102" s="27" t="s">
        <v>659</v>
      </c>
      <c r="BJ102" s="7" t="e">
        <f>IF(AX101="Interior Drive Post", (BD103-(TG/12)), BD103)</f>
        <v>#VALUE!</v>
      </c>
      <c r="BK102" s="28" t="s">
        <v>658</v>
      </c>
      <c r="BL102" s="27" t="s">
        <v>671</v>
      </c>
      <c r="BM102" s="7" t="e">
        <f>BD105</f>
        <v>#VALUE!</v>
      </c>
      <c r="BN102" s="28" t="s">
        <v>665</v>
      </c>
      <c r="BO102" s="27" t="s">
        <v>672</v>
      </c>
      <c r="BP102" s="317" t="e">
        <f>BJ105</f>
        <v>#VALUE!</v>
      </c>
      <c r="BQ102" s="28" t="s">
        <v>663</v>
      </c>
      <c r="BS102" s="27" t="s">
        <v>659</v>
      </c>
      <c r="BT102" s="7" t="e">
        <f>IF(AX101= "Interior Drive Post", (BD103)-((GL+GR)/12), BD103)</f>
        <v>#VALUE!</v>
      </c>
      <c r="BU102" s="28" t="s">
        <v>658</v>
      </c>
      <c r="BV102" s="27" t="s">
        <v>659</v>
      </c>
      <c r="BW102" s="7" t="e">
        <f>BJ102</f>
        <v>#VALUE!</v>
      </c>
      <c r="BX102" s="28" t="s">
        <v>658</v>
      </c>
      <c r="BY102" s="27" t="s">
        <v>672</v>
      </c>
      <c r="BZ102" s="323" t="e">
        <f>BW103</f>
        <v>#VALUE!</v>
      </c>
      <c r="CA102" s="28" t="s">
        <v>665</v>
      </c>
      <c r="CC102" s="27" t="s">
        <v>673</v>
      </c>
      <c r="CD102" s="210" t="e">
        <f>RSL*COS(Radians)</f>
        <v>#VALUE!</v>
      </c>
      <c r="CE102" s="28" t="s">
        <v>65</v>
      </c>
    </row>
    <row r="103" spans="2:83" x14ac:dyDescent="0.25">
      <c r="B103" s="12"/>
      <c r="C103" s="12"/>
      <c r="D103" s="12">
        <f t="shared" si="51"/>
        <v>0</v>
      </c>
      <c r="E103" s="12">
        <f>SUM(LSE_4:LSE_10)</f>
        <v>0</v>
      </c>
      <c r="F103" s="12">
        <f>-SUM(RSE_8:RSE_10)</f>
        <v>0</v>
      </c>
      <c r="G103" s="302">
        <v>98</v>
      </c>
      <c r="H103" s="7" t="e">
        <f t="shared" si="52"/>
        <v>#VALUE!</v>
      </c>
      <c r="I103" s="299" t="e">
        <f t="shared" si="50"/>
        <v>#VALUE!</v>
      </c>
      <c r="J103" s="7"/>
      <c r="O103" s="628"/>
      <c r="P103" s="559"/>
      <c r="Q103" t="s">
        <v>659</v>
      </c>
      <c r="R103" s="7" t="e">
        <f>R101-R102</f>
        <v>#VALUE!</v>
      </c>
      <c r="S103" s="77" t="s">
        <v>657</v>
      </c>
      <c r="T103" s="43"/>
      <c r="U103" s="7" t="e">
        <f>R103/12</f>
        <v>#VALUE!</v>
      </c>
      <c r="V103" s="28" t="s">
        <v>658</v>
      </c>
      <c r="W103" s="27" t="s">
        <v>674</v>
      </c>
      <c r="X103" s="7" t="e">
        <f>X102*X101</f>
        <v>#VALUE!</v>
      </c>
      <c r="Y103" s="28" t="s">
        <v>657</v>
      </c>
      <c r="Z103" s="27"/>
      <c r="AA103" s="7"/>
      <c r="AB103" s="28"/>
      <c r="AC103" s="27"/>
      <c r="AD103" s="7"/>
      <c r="AE103" s="28"/>
      <c r="AF103" s="27" t="s">
        <v>653</v>
      </c>
      <c r="AG103" s="319" t="e">
        <f>AD105</f>
        <v>#VALUE!</v>
      </c>
      <c r="AH103" s="28" t="s">
        <v>663</v>
      </c>
      <c r="AJ103" s="27" t="s">
        <v>671</v>
      </c>
      <c r="AK103" s="321" t="e">
        <f>AK101*AK102</f>
        <v>#VALUE!</v>
      </c>
      <c r="AL103" s="28" t="s">
        <v>665</v>
      </c>
      <c r="AM103" s="27" t="s">
        <v>671</v>
      </c>
      <c r="AN103" s="323" t="e">
        <f>AN102*AN101</f>
        <v>#VALUE!</v>
      </c>
      <c r="AO103" s="28" t="s">
        <v>665</v>
      </c>
      <c r="AP103" s="27" t="s">
        <v>654</v>
      </c>
      <c r="AQ103" s="7" t="e">
        <f>SUM(AQ101:AQ102)</f>
        <v>#VALUE!</v>
      </c>
      <c r="AR103" s="28" t="s">
        <v>665</v>
      </c>
      <c r="AT103" s="27" t="s">
        <v>671</v>
      </c>
      <c r="AU103" s="210" t="e">
        <f>U105</f>
        <v>#VALUE!</v>
      </c>
      <c r="AV103" s="28" t="s">
        <v>699</v>
      </c>
      <c r="AX103" s="628"/>
      <c r="AY103" s="559"/>
      <c r="AZ103" t="s">
        <v>659</v>
      </c>
      <c r="BA103" s="7" t="e">
        <f>BA101-BA102</f>
        <v>#VALUE!</v>
      </c>
      <c r="BB103" s="77" t="s">
        <v>657</v>
      </c>
      <c r="BC103" s="43"/>
      <c r="BD103" s="7" t="e">
        <f>BA103/12</f>
        <v>#VALUE!</v>
      </c>
      <c r="BE103" s="28" t="s">
        <v>658</v>
      </c>
      <c r="BF103" s="27" t="s">
        <v>674</v>
      </c>
      <c r="BG103" s="7" t="e">
        <f>BG102*BG101</f>
        <v>#VALUE!</v>
      </c>
      <c r="BH103" s="28" t="s">
        <v>657</v>
      </c>
      <c r="BI103" s="27"/>
      <c r="BJ103" s="7"/>
      <c r="BK103" s="28"/>
      <c r="BL103" s="27"/>
      <c r="BM103" s="7"/>
      <c r="BN103" s="28"/>
      <c r="BO103" s="27" t="s">
        <v>653</v>
      </c>
      <c r="BP103" s="319" t="e">
        <f>BM105</f>
        <v>#VALUE!</v>
      </c>
      <c r="BQ103" s="28" t="s">
        <v>663</v>
      </c>
      <c r="BS103" s="27" t="s">
        <v>671</v>
      </c>
      <c r="BT103" s="321" t="e">
        <f>BT101*BT102</f>
        <v>#VALUE!</v>
      </c>
      <c r="BU103" s="28" t="s">
        <v>665</v>
      </c>
      <c r="BV103" s="27" t="s">
        <v>671</v>
      </c>
      <c r="BW103" s="323" t="e">
        <f>BW102*BW101</f>
        <v>#VALUE!</v>
      </c>
      <c r="BX103" s="28" t="s">
        <v>665</v>
      </c>
      <c r="BY103" s="27" t="s">
        <v>654</v>
      </c>
      <c r="BZ103" s="7" t="e">
        <f>SUM(BZ101:BZ102)</f>
        <v>#VALUE!</v>
      </c>
      <c r="CA103" s="28" t="s">
        <v>665</v>
      </c>
      <c r="CC103" s="27" t="s">
        <v>671</v>
      </c>
      <c r="CD103" s="210" t="e">
        <f>BD105</f>
        <v>#VALUE!</v>
      </c>
      <c r="CE103" s="28" t="s">
        <v>665</v>
      </c>
    </row>
    <row r="104" spans="2:83" x14ac:dyDescent="0.25">
      <c r="B104" s="12"/>
      <c r="C104" s="12"/>
      <c r="D104" s="12">
        <f t="shared" si="51"/>
        <v>0</v>
      </c>
      <c r="E104" s="12">
        <f>SUM(LSE_5:LSE_10)</f>
        <v>0</v>
      </c>
      <c r="F104" s="12">
        <f>-SUM(RSE_7:RSE_10)</f>
        <v>0</v>
      </c>
      <c r="G104" s="302">
        <v>99</v>
      </c>
      <c r="H104" s="7" t="e">
        <f t="shared" si="52"/>
        <v>#VALUE!</v>
      </c>
      <c r="I104" s="299" t="e">
        <f t="shared" si="50"/>
        <v>#VALUE!</v>
      </c>
      <c r="J104" s="7"/>
      <c r="O104" s="628"/>
      <c r="P104" s="559"/>
      <c r="Q104" t="s">
        <v>675</v>
      </c>
      <c r="R104" s="7" t="e">
        <f>ROUND(ML, 3)</f>
        <v>#VALUE!</v>
      </c>
      <c r="S104" s="77" t="s">
        <v>657</v>
      </c>
      <c r="T104" s="43"/>
      <c r="U104" s="7" t="e">
        <f>R104/12</f>
        <v>#VALUE!</v>
      </c>
      <c r="V104" s="28" t="s">
        <v>658</v>
      </c>
      <c r="W104" s="27" t="s">
        <v>660</v>
      </c>
      <c r="X104" s="7">
        <f>VLOOKUP(VS,'List Data'!$A$8:$B$12, 2, FALSE)</f>
        <v>2.1419999999999999</v>
      </c>
      <c r="Y104" s="28" t="s">
        <v>661</v>
      </c>
      <c r="Z104" s="27"/>
      <c r="AA104" s="7"/>
      <c r="AB104" s="28"/>
      <c r="AC104" s="27"/>
      <c r="AD104" s="7"/>
      <c r="AE104" s="28"/>
      <c r="AF104" s="27"/>
      <c r="AH104" s="28"/>
      <c r="AJ104" s="27"/>
      <c r="AK104" s="7"/>
      <c r="AL104" s="28"/>
      <c r="AM104" s="27"/>
      <c r="AO104" s="28"/>
      <c r="AP104" s="27"/>
      <c r="AQ104" s="7"/>
      <c r="AR104" s="28"/>
      <c r="AT104" s="27"/>
      <c r="AU104" s="210"/>
      <c r="AV104" s="28"/>
      <c r="AX104" s="628"/>
      <c r="AY104" s="559"/>
      <c r="AZ104" t="s">
        <v>675</v>
      </c>
      <c r="BA104" s="7" t="e">
        <f>ROUND(ML, 3)</f>
        <v>#VALUE!</v>
      </c>
      <c r="BB104" s="77" t="s">
        <v>657</v>
      </c>
      <c r="BC104" s="43"/>
      <c r="BD104" s="7" t="e">
        <f>BA104/12</f>
        <v>#VALUE!</v>
      </c>
      <c r="BE104" s="28" t="s">
        <v>658</v>
      </c>
      <c r="BF104" s="27" t="s">
        <v>660</v>
      </c>
      <c r="BG104" s="7">
        <f>VLOOKUP(VS,'List Data'!$A$8:$B$12, 2, FALSE)</f>
        <v>2.1419999999999999</v>
      </c>
      <c r="BH104" s="28" t="s">
        <v>661</v>
      </c>
      <c r="BI104" s="27"/>
      <c r="BJ104" s="7"/>
      <c r="BK104" s="28"/>
      <c r="BL104" s="27"/>
      <c r="BM104" s="7"/>
      <c r="BN104" s="28"/>
      <c r="BO104" s="27"/>
      <c r="BQ104" s="28"/>
      <c r="BS104" s="27"/>
      <c r="BT104" s="7"/>
      <c r="BU104" s="28"/>
      <c r="BV104" s="27"/>
      <c r="BX104" s="28"/>
      <c r="BY104" s="27"/>
      <c r="BZ104" s="7"/>
      <c r="CA104" s="28"/>
      <c r="CC104" s="27"/>
      <c r="CD104" s="210"/>
      <c r="CE104" s="28"/>
    </row>
    <row r="105" spans="2:83" x14ac:dyDescent="0.25">
      <c r="B105" s="12"/>
      <c r="C105" s="12"/>
      <c r="D105" s="12">
        <f t="shared" si="51"/>
        <v>0</v>
      </c>
      <c r="E105" s="12">
        <f>SUM(LSE_6:LSE_10)</f>
        <v>0</v>
      </c>
      <c r="F105" s="12">
        <f>-SUM(RSE_6:RSE_10)</f>
        <v>0</v>
      </c>
      <c r="G105" s="303">
        <v>100</v>
      </c>
      <c r="H105" s="300" t="e">
        <f t="shared" si="52"/>
        <v>#VALUE!</v>
      </c>
      <c r="I105" s="301" t="e">
        <f t="shared" si="50"/>
        <v>#VALUE!</v>
      </c>
      <c r="J105" s="7"/>
      <c r="O105" s="629"/>
      <c r="P105" s="561"/>
      <c r="Q105" s="30" t="s">
        <v>671</v>
      </c>
      <c r="R105" s="309" t="e">
        <f>R103*R104</f>
        <v>#VALUE!</v>
      </c>
      <c r="S105" s="311" t="s">
        <v>676</v>
      </c>
      <c r="T105" s="313"/>
      <c r="U105" s="309" t="e">
        <f>IF(O101="Exterior Drive Post", (R105/144)-(((GL+GR)*(ML/25.4))/144), R105/144)</f>
        <v>#VALUE!</v>
      </c>
      <c r="V105" s="31" t="s">
        <v>677</v>
      </c>
      <c r="W105" s="29" t="s">
        <v>678</v>
      </c>
      <c r="X105" s="314" t="e">
        <f>X104/12*X103</f>
        <v>#VALUE!</v>
      </c>
      <c r="Y105" s="31" t="s">
        <v>663</v>
      </c>
      <c r="Z105" s="29" t="s">
        <v>678</v>
      </c>
      <c r="AA105" s="315" t="e">
        <f>AA101*AA102</f>
        <v>#VALUE!</v>
      </c>
      <c r="AB105" s="31" t="s">
        <v>663</v>
      </c>
      <c r="AC105" s="29" t="s">
        <v>678</v>
      </c>
      <c r="AD105" s="316" t="e">
        <f>AD101*AD102</f>
        <v>#VALUE!</v>
      </c>
      <c r="AE105" s="31" t="s">
        <v>181</v>
      </c>
      <c r="AF105" s="29" t="s">
        <v>654</v>
      </c>
      <c r="AG105" s="320" t="e">
        <f>IF(O101="Exterior Drive Post", SUM(AG101:AG103)+SDW, SUM(AG101:AG103)+ICW)</f>
        <v>#VALUE!</v>
      </c>
      <c r="AH105" s="31" t="s">
        <v>663</v>
      </c>
      <c r="AI105">
        <v>20</v>
      </c>
      <c r="AJ105" s="29"/>
      <c r="AK105" s="309"/>
      <c r="AL105" s="31"/>
      <c r="AM105" s="29"/>
      <c r="AN105" s="30"/>
      <c r="AO105" s="31"/>
      <c r="AP105" s="29" t="s">
        <v>679</v>
      </c>
      <c r="AQ105" s="324" t="e">
        <f>AQ103*Pult</f>
        <v>#VALUE!</v>
      </c>
      <c r="AR105" s="31" t="s">
        <v>181</v>
      </c>
      <c r="AT105" s="29" t="s">
        <v>662</v>
      </c>
      <c r="AU105" s="339" t="e">
        <f>AU103*AU102</f>
        <v>#VALUE!</v>
      </c>
      <c r="AV105" s="31" t="s">
        <v>181</v>
      </c>
      <c r="AX105" s="629"/>
      <c r="AY105" s="561"/>
      <c r="AZ105" s="30" t="s">
        <v>671</v>
      </c>
      <c r="BA105" s="309" t="e">
        <f>BA103*BA104</f>
        <v>#VALUE!</v>
      </c>
      <c r="BB105" s="311" t="s">
        <v>676</v>
      </c>
      <c r="BC105" s="313"/>
      <c r="BD105" s="309" t="e">
        <f>IF(AX101="Interior Drive Post", (BA105/144)-(((GL+GR)*(ML/25.4))/144), BA105/144)</f>
        <v>#VALUE!</v>
      </c>
      <c r="BE105" s="31" t="s">
        <v>677</v>
      </c>
      <c r="BF105" s="29" t="s">
        <v>678</v>
      </c>
      <c r="BG105" s="314" t="e">
        <f>BG104/12*BG103</f>
        <v>#VALUE!</v>
      </c>
      <c r="BH105" s="31" t="s">
        <v>663</v>
      </c>
      <c r="BI105" s="29" t="s">
        <v>678</v>
      </c>
      <c r="BJ105" s="315" t="e">
        <f>BJ101*BJ102</f>
        <v>#VALUE!</v>
      </c>
      <c r="BK105" s="31" t="s">
        <v>663</v>
      </c>
      <c r="BL105" s="29" t="s">
        <v>678</v>
      </c>
      <c r="BM105" s="316" t="e">
        <f>BM101*BM102</f>
        <v>#VALUE!</v>
      </c>
      <c r="BN105" s="31" t="s">
        <v>181</v>
      </c>
      <c r="BO105" s="29" t="s">
        <v>654</v>
      </c>
      <c r="BP105" s="320" t="e">
        <f>IF(AX101="Interior Drive Post", SUM(BP101:BP103)+SDW, SUM(BP101:BP103)+ICW)</f>
        <v>#VALUE!</v>
      </c>
      <c r="BQ105" s="31" t="s">
        <v>663</v>
      </c>
      <c r="BR105">
        <v>20</v>
      </c>
      <c r="BS105" s="29"/>
      <c r="BT105" s="309"/>
      <c r="BU105" s="31"/>
      <c r="BV105" s="29"/>
      <c r="BW105" s="30"/>
      <c r="BX105" s="31"/>
      <c r="BY105" s="29" t="s">
        <v>679</v>
      </c>
      <c r="BZ105" s="324" t="e">
        <f>BZ103*Pult</f>
        <v>#VALUE!</v>
      </c>
      <c r="CA105" s="31" t="s">
        <v>181</v>
      </c>
      <c r="CC105" s="29" t="s">
        <v>662</v>
      </c>
      <c r="CD105" s="339" t="e">
        <f>CD103*CD102</f>
        <v>#VALUE!</v>
      </c>
      <c r="CE105" s="31" t="s">
        <v>181</v>
      </c>
    </row>
    <row r="106" spans="2:83" x14ac:dyDescent="0.25">
      <c r="B106" s="12"/>
      <c r="C106" s="12"/>
      <c r="D106" s="12">
        <f t="shared" si="51"/>
        <v>0</v>
      </c>
      <c r="E106" s="12">
        <f>SUM(LSE_7:LSE_10)</f>
        <v>0</v>
      </c>
      <c r="F106" s="12">
        <f>-SUM(RSE_5:RSE_10)</f>
        <v>0</v>
      </c>
      <c r="O106" s="653" t="str">
        <f>D26</f>
        <v/>
      </c>
      <c r="P106" s="558"/>
      <c r="Q106" s="25" t="s">
        <v>656</v>
      </c>
      <c r="R106" s="297" t="str">
        <f>L26</f>
        <v/>
      </c>
      <c r="S106" s="310" t="s">
        <v>657</v>
      </c>
      <c r="T106" s="312"/>
      <c r="U106" s="297" t="e">
        <f>R106/12</f>
        <v>#VALUE!</v>
      </c>
      <c r="V106" s="26" t="s">
        <v>658</v>
      </c>
      <c r="W106" s="24" t="s">
        <v>659</v>
      </c>
      <c r="X106" s="297" t="e">
        <f>VL</f>
        <v>#VALUE!</v>
      </c>
      <c r="Y106" s="26" t="s">
        <v>657</v>
      </c>
      <c r="Z106" s="24" t="s">
        <v>660</v>
      </c>
      <c r="AA106" s="297">
        <f>VLOOKUP(TS,'List Data'!$A$15:$B$18, 2, FALSE)</f>
        <v>7.8955000000000002</v>
      </c>
      <c r="AB106" s="26" t="s">
        <v>661</v>
      </c>
      <c r="AC106" s="24" t="s">
        <v>662</v>
      </c>
      <c r="AD106" s="297" t="e">
        <f>PL</f>
        <v>#VALUE!</v>
      </c>
      <c r="AE106" s="26" t="s">
        <v>65</v>
      </c>
      <c r="AF106" s="24" t="s">
        <v>651</v>
      </c>
      <c r="AG106" s="318" t="e">
        <f>X110</f>
        <v>#VALUE!</v>
      </c>
      <c r="AH106" s="26" t="s">
        <v>663</v>
      </c>
      <c r="AJ106" s="24" t="s">
        <v>664</v>
      </c>
      <c r="AK106" s="297" t="e">
        <f>ROUND(MT/12,5)</f>
        <v>#VALUE!</v>
      </c>
      <c r="AL106" s="26" t="s">
        <v>658</v>
      </c>
      <c r="AM106" s="24" t="s">
        <v>370</v>
      </c>
      <c r="AN106" s="297">
        <f>IF(OR(TS="5x4, .126", TS="5x4, .134"), 5/12,4/12)</f>
        <v>0.41666666666666669</v>
      </c>
      <c r="AO106" s="26" t="s">
        <v>658</v>
      </c>
      <c r="AP106" s="24" t="s">
        <v>653</v>
      </c>
      <c r="AQ106" s="322" t="e">
        <f>AK108</f>
        <v>#VALUE!</v>
      </c>
      <c r="AR106" s="26" t="s">
        <v>665</v>
      </c>
      <c r="AT106" s="24" t="s">
        <v>666</v>
      </c>
      <c r="AU106" s="338" t="str">
        <f>Theta</f>
        <v>XX</v>
      </c>
      <c r="AV106" s="26" t="s">
        <v>667</v>
      </c>
      <c r="AX106" s="653" t="str">
        <f>D62</f>
        <v/>
      </c>
      <c r="AY106" s="558"/>
      <c r="AZ106" s="25" t="s">
        <v>656</v>
      </c>
      <c r="BA106" s="297" t="str">
        <f>L62</f>
        <v/>
      </c>
      <c r="BB106" s="310" t="s">
        <v>657</v>
      </c>
      <c r="BC106" s="312"/>
      <c r="BD106" s="297" t="e">
        <f>BA106/12</f>
        <v>#VALUE!</v>
      </c>
      <c r="BE106" s="26" t="s">
        <v>658</v>
      </c>
      <c r="BF106" s="24" t="s">
        <v>659</v>
      </c>
      <c r="BG106" s="297" t="e">
        <f>VL</f>
        <v>#VALUE!</v>
      </c>
      <c r="BH106" s="26" t="s">
        <v>657</v>
      </c>
      <c r="BI106" s="24" t="s">
        <v>660</v>
      </c>
      <c r="BJ106" s="297">
        <f>VLOOKUP(TS,'List Data'!$A$15:$B$18, 2, FALSE)</f>
        <v>7.8955000000000002</v>
      </c>
      <c r="BK106" s="26" t="s">
        <v>661</v>
      </c>
      <c r="BL106" s="24" t="s">
        <v>662</v>
      </c>
      <c r="BM106" s="297" t="e">
        <f>PL</f>
        <v>#VALUE!</v>
      </c>
      <c r="BN106" s="26" t="s">
        <v>65</v>
      </c>
      <c r="BO106" s="24" t="s">
        <v>651</v>
      </c>
      <c r="BP106" s="318" t="e">
        <f>BG110</f>
        <v>#VALUE!</v>
      </c>
      <c r="BQ106" s="26" t="s">
        <v>663</v>
      </c>
      <c r="BS106" s="24" t="s">
        <v>664</v>
      </c>
      <c r="BT106" s="297" t="e">
        <f>ROUND(MT/12,5)</f>
        <v>#VALUE!</v>
      </c>
      <c r="BU106" s="26" t="s">
        <v>658</v>
      </c>
      <c r="BV106" s="24" t="s">
        <v>370</v>
      </c>
      <c r="BW106" s="297">
        <f>IF(OR(TS="5x4, .126", TS="5x4, .134"), 5/12,4/12)</f>
        <v>0.41666666666666669</v>
      </c>
      <c r="BX106" s="26" t="s">
        <v>658</v>
      </c>
      <c r="BY106" s="24" t="s">
        <v>653</v>
      </c>
      <c r="BZ106" s="322" t="e">
        <f>BT108</f>
        <v>#VALUE!</v>
      </c>
      <c r="CA106" s="26" t="s">
        <v>665</v>
      </c>
      <c r="CC106" s="24" t="s">
        <v>666</v>
      </c>
      <c r="CD106" s="338" t="str">
        <f>Theta</f>
        <v>XX</v>
      </c>
      <c r="CE106" s="26" t="s">
        <v>667</v>
      </c>
    </row>
    <row r="107" spans="2:83" x14ac:dyDescent="0.25">
      <c r="B107" s="12"/>
      <c r="C107" s="12"/>
      <c r="D107" s="12">
        <f t="shared" si="51"/>
        <v>0</v>
      </c>
      <c r="E107" s="12">
        <f>SUM(LSE_8:LSE_10)</f>
        <v>0</v>
      </c>
      <c r="F107" s="12">
        <f>-SUM(RSE_4:RSE_10)</f>
        <v>0</v>
      </c>
      <c r="O107" s="628"/>
      <c r="P107" s="559"/>
      <c r="Q107" t="s">
        <v>668</v>
      </c>
      <c r="R107" s="7" t="str">
        <f>L27</f>
        <v/>
      </c>
      <c r="S107" s="77" t="s">
        <v>657</v>
      </c>
      <c r="T107" s="43"/>
      <c r="U107" s="7" t="e">
        <f>R107/12</f>
        <v>#VALUE!</v>
      </c>
      <c r="V107" s="28" t="s">
        <v>658</v>
      </c>
      <c r="W107" s="27" t="s">
        <v>669</v>
      </c>
      <c r="X107" s="7">
        <f>COUNTIFS($I$6:$I$105, "&lt;="&amp;R106, $I$6:$I$105, "&gt;="&amp;R107)</f>
        <v>0</v>
      </c>
      <c r="Y107" s="28" t="s">
        <v>670</v>
      </c>
      <c r="Z107" s="27" t="s">
        <v>659</v>
      </c>
      <c r="AA107" s="7" t="e">
        <f>IF(O106="Exterior Drive Post", (U108-(TG/12)), U108)</f>
        <v>#VALUE!</v>
      </c>
      <c r="AB107" s="28" t="s">
        <v>658</v>
      </c>
      <c r="AC107" s="27" t="s">
        <v>671</v>
      </c>
      <c r="AD107" s="7" t="e">
        <f>U110</f>
        <v>#VALUE!</v>
      </c>
      <c r="AE107" s="28" t="s">
        <v>665</v>
      </c>
      <c r="AF107" s="27" t="s">
        <v>672</v>
      </c>
      <c r="AG107" s="317" t="e">
        <f>AA110</f>
        <v>#VALUE!</v>
      </c>
      <c r="AH107" s="28" t="s">
        <v>663</v>
      </c>
      <c r="AJ107" s="27" t="s">
        <v>659</v>
      </c>
      <c r="AK107" s="7" t="e">
        <f>IF(O106= "Exterior Drive Post", (U108)-((GL+GR)/12), U108)</f>
        <v>#VALUE!</v>
      </c>
      <c r="AL107" s="28" t="s">
        <v>658</v>
      </c>
      <c r="AM107" s="27" t="s">
        <v>659</v>
      </c>
      <c r="AN107" s="7" t="e">
        <f>AA107</f>
        <v>#VALUE!</v>
      </c>
      <c r="AO107" s="28" t="s">
        <v>658</v>
      </c>
      <c r="AP107" s="27" t="s">
        <v>672</v>
      </c>
      <c r="AQ107" s="323" t="e">
        <f>AN108</f>
        <v>#VALUE!</v>
      </c>
      <c r="AR107" s="28" t="s">
        <v>665</v>
      </c>
      <c r="AT107" s="27" t="s">
        <v>673</v>
      </c>
      <c r="AU107" s="210" t="e">
        <f>RSL*COS(Radians)</f>
        <v>#VALUE!</v>
      </c>
      <c r="AV107" s="28" t="s">
        <v>65</v>
      </c>
      <c r="AX107" s="628"/>
      <c r="AY107" s="559"/>
      <c r="AZ107" t="s">
        <v>668</v>
      </c>
      <c r="BA107" s="7" t="str">
        <f>L63</f>
        <v/>
      </c>
      <c r="BB107" s="77" t="s">
        <v>657</v>
      </c>
      <c r="BC107" s="43"/>
      <c r="BD107" s="7" t="e">
        <f>BA107/12</f>
        <v>#VALUE!</v>
      </c>
      <c r="BE107" s="28" t="s">
        <v>658</v>
      </c>
      <c r="BF107" s="27" t="s">
        <v>669</v>
      </c>
      <c r="BG107" s="7">
        <f>COUNTIFS($I$6:$I$105, "&lt;="&amp;BA106, $I$6:$I$105, "&gt;="&amp;BA107)</f>
        <v>0</v>
      </c>
      <c r="BH107" s="28" t="s">
        <v>670</v>
      </c>
      <c r="BI107" s="27" t="s">
        <v>659</v>
      </c>
      <c r="BJ107" s="7" t="e">
        <f>IF(AX106="Interior Drive Post", (BD108-(TG/12)), BD108)</f>
        <v>#VALUE!</v>
      </c>
      <c r="BK107" s="28" t="s">
        <v>658</v>
      </c>
      <c r="BL107" s="27" t="s">
        <v>671</v>
      </c>
      <c r="BM107" s="7" t="e">
        <f>BD110</f>
        <v>#VALUE!</v>
      </c>
      <c r="BN107" s="28" t="s">
        <v>665</v>
      </c>
      <c r="BO107" s="27" t="s">
        <v>672</v>
      </c>
      <c r="BP107" s="317" t="e">
        <f>BJ110</f>
        <v>#VALUE!</v>
      </c>
      <c r="BQ107" s="28" t="s">
        <v>663</v>
      </c>
      <c r="BS107" s="27" t="s">
        <v>659</v>
      </c>
      <c r="BT107" s="7" t="e">
        <f>IF(AX106= "Interior Drive Post", (BD108)-((GL+GR)/12), BD108)</f>
        <v>#VALUE!</v>
      </c>
      <c r="BU107" s="28" t="s">
        <v>658</v>
      </c>
      <c r="BV107" s="27" t="s">
        <v>659</v>
      </c>
      <c r="BW107" s="7" t="e">
        <f>BJ107</f>
        <v>#VALUE!</v>
      </c>
      <c r="BX107" s="28" t="s">
        <v>658</v>
      </c>
      <c r="BY107" s="27" t="s">
        <v>672</v>
      </c>
      <c r="BZ107" s="323" t="e">
        <f>BW108</f>
        <v>#VALUE!</v>
      </c>
      <c r="CA107" s="28" t="s">
        <v>665</v>
      </c>
      <c r="CC107" s="27" t="s">
        <v>673</v>
      </c>
      <c r="CD107" s="210" t="e">
        <f>RSL*COS(Radians)</f>
        <v>#VALUE!</v>
      </c>
      <c r="CE107" s="28" t="s">
        <v>65</v>
      </c>
    </row>
    <row r="108" spans="2:83" x14ac:dyDescent="0.25">
      <c r="B108" s="12"/>
      <c r="C108" s="12"/>
      <c r="D108" s="12">
        <f t="shared" si="51"/>
        <v>0</v>
      </c>
      <c r="E108" s="12">
        <f>SUM(LSE_9:LSE_10)</f>
        <v>0</v>
      </c>
      <c r="F108" s="12">
        <f>-SUM(RSE_3:RSE_10)</f>
        <v>0</v>
      </c>
      <c r="O108" s="628"/>
      <c r="P108" s="559"/>
      <c r="Q108" t="s">
        <v>659</v>
      </c>
      <c r="R108" s="7" t="e">
        <f>R106-R107</f>
        <v>#VALUE!</v>
      </c>
      <c r="S108" s="77" t="s">
        <v>657</v>
      </c>
      <c r="T108" s="43"/>
      <c r="U108" s="7" t="e">
        <f>R108/12</f>
        <v>#VALUE!</v>
      </c>
      <c r="V108" s="28" t="s">
        <v>658</v>
      </c>
      <c r="W108" s="27" t="s">
        <v>674</v>
      </c>
      <c r="X108" s="7" t="e">
        <f>X107*X106</f>
        <v>#VALUE!</v>
      </c>
      <c r="Y108" s="28" t="s">
        <v>657</v>
      </c>
      <c r="Z108" s="27"/>
      <c r="AA108" s="7"/>
      <c r="AB108" s="28"/>
      <c r="AC108" s="27"/>
      <c r="AD108" s="7"/>
      <c r="AE108" s="28"/>
      <c r="AF108" s="27" t="s">
        <v>653</v>
      </c>
      <c r="AG108" s="319" t="e">
        <f>AD110</f>
        <v>#VALUE!</v>
      </c>
      <c r="AH108" s="28" t="s">
        <v>663</v>
      </c>
      <c r="AJ108" s="27" t="s">
        <v>671</v>
      </c>
      <c r="AK108" s="321" t="e">
        <f>AK106*AK107</f>
        <v>#VALUE!</v>
      </c>
      <c r="AL108" s="28" t="s">
        <v>665</v>
      </c>
      <c r="AM108" s="27" t="s">
        <v>671</v>
      </c>
      <c r="AN108" s="323" t="e">
        <f>AN107*AN106</f>
        <v>#VALUE!</v>
      </c>
      <c r="AO108" s="28" t="s">
        <v>665</v>
      </c>
      <c r="AP108" s="27" t="s">
        <v>654</v>
      </c>
      <c r="AQ108" s="7" t="e">
        <f>SUM(AQ106:AQ107)</f>
        <v>#VALUE!</v>
      </c>
      <c r="AR108" s="28" t="s">
        <v>665</v>
      </c>
      <c r="AT108" s="27" t="s">
        <v>671</v>
      </c>
      <c r="AU108" s="210" t="e">
        <f>U110</f>
        <v>#VALUE!</v>
      </c>
      <c r="AV108" s="28" t="s">
        <v>700</v>
      </c>
      <c r="AX108" s="628"/>
      <c r="AY108" s="559"/>
      <c r="AZ108" t="s">
        <v>659</v>
      </c>
      <c r="BA108" s="7" t="e">
        <f>BA106-BA107</f>
        <v>#VALUE!</v>
      </c>
      <c r="BB108" s="77" t="s">
        <v>657</v>
      </c>
      <c r="BC108" s="43"/>
      <c r="BD108" s="7" t="e">
        <f>BA108/12</f>
        <v>#VALUE!</v>
      </c>
      <c r="BE108" s="28" t="s">
        <v>658</v>
      </c>
      <c r="BF108" s="27" t="s">
        <v>674</v>
      </c>
      <c r="BG108" s="7" t="e">
        <f>BG107*BG106</f>
        <v>#VALUE!</v>
      </c>
      <c r="BH108" s="28" t="s">
        <v>657</v>
      </c>
      <c r="BI108" s="27"/>
      <c r="BJ108" s="7"/>
      <c r="BK108" s="28"/>
      <c r="BL108" s="27"/>
      <c r="BM108" s="7"/>
      <c r="BN108" s="28"/>
      <c r="BO108" s="27" t="s">
        <v>653</v>
      </c>
      <c r="BP108" s="319" t="e">
        <f>BM110</f>
        <v>#VALUE!</v>
      </c>
      <c r="BQ108" s="28" t="s">
        <v>663</v>
      </c>
      <c r="BS108" s="27" t="s">
        <v>671</v>
      </c>
      <c r="BT108" s="321" t="e">
        <f>BT106*BT107</f>
        <v>#VALUE!</v>
      </c>
      <c r="BU108" s="28" t="s">
        <v>665</v>
      </c>
      <c r="BV108" s="27" t="s">
        <v>671</v>
      </c>
      <c r="BW108" s="323" t="e">
        <f>BW107*BW106</f>
        <v>#VALUE!</v>
      </c>
      <c r="BX108" s="28" t="s">
        <v>665</v>
      </c>
      <c r="BY108" s="27" t="s">
        <v>654</v>
      </c>
      <c r="BZ108" s="7" t="e">
        <f>SUM(BZ106:BZ107)</f>
        <v>#VALUE!</v>
      </c>
      <c r="CA108" s="28" t="s">
        <v>665</v>
      </c>
      <c r="CC108" s="27" t="s">
        <v>671</v>
      </c>
      <c r="CD108" s="210" t="e">
        <f>BD110</f>
        <v>#VALUE!</v>
      </c>
      <c r="CE108" s="28" t="s">
        <v>665</v>
      </c>
    </row>
    <row r="109" spans="2:83" x14ac:dyDescent="0.25">
      <c r="B109" s="12"/>
      <c r="C109" s="12"/>
      <c r="D109" s="12">
        <f t="shared" si="51"/>
        <v>0</v>
      </c>
      <c r="E109" s="12">
        <f>SUM(LSE_10:LSE_10)</f>
        <v>0</v>
      </c>
      <c r="F109" s="12">
        <f>-SUM(RSE_2:RSE_10)</f>
        <v>0</v>
      </c>
      <c r="O109" s="628"/>
      <c r="P109" s="559"/>
      <c r="Q109" t="s">
        <v>675</v>
      </c>
      <c r="R109" s="7" t="e">
        <f>ROUND(ML, 3)</f>
        <v>#VALUE!</v>
      </c>
      <c r="S109" s="77" t="s">
        <v>657</v>
      </c>
      <c r="T109" s="43"/>
      <c r="U109" s="7" t="e">
        <f>R109/12</f>
        <v>#VALUE!</v>
      </c>
      <c r="V109" s="28" t="s">
        <v>658</v>
      </c>
      <c r="W109" s="27" t="s">
        <v>660</v>
      </c>
      <c r="X109" s="7">
        <f>VLOOKUP(VS,'List Data'!$A$8:$B$12, 2, FALSE)</f>
        <v>2.1419999999999999</v>
      </c>
      <c r="Y109" s="28" t="s">
        <v>661</v>
      </c>
      <c r="Z109" s="27"/>
      <c r="AA109" s="7"/>
      <c r="AB109" s="28"/>
      <c r="AC109" s="27"/>
      <c r="AD109" s="7"/>
      <c r="AE109" s="28"/>
      <c r="AF109" s="27"/>
      <c r="AH109" s="28"/>
      <c r="AJ109" s="27"/>
      <c r="AK109" s="7"/>
      <c r="AL109" s="28"/>
      <c r="AM109" s="27"/>
      <c r="AO109" s="28"/>
      <c r="AP109" s="27"/>
      <c r="AQ109" s="7"/>
      <c r="AR109" s="28"/>
      <c r="AT109" s="27"/>
      <c r="AU109" s="210"/>
      <c r="AV109" s="28"/>
      <c r="AX109" s="628"/>
      <c r="AY109" s="559"/>
      <c r="AZ109" t="s">
        <v>675</v>
      </c>
      <c r="BA109" s="7" t="e">
        <f>ROUND(ML, 3)</f>
        <v>#VALUE!</v>
      </c>
      <c r="BB109" s="77" t="s">
        <v>657</v>
      </c>
      <c r="BC109" s="43"/>
      <c r="BD109" s="7" t="e">
        <f>BA109/12</f>
        <v>#VALUE!</v>
      </c>
      <c r="BE109" s="28" t="s">
        <v>658</v>
      </c>
      <c r="BF109" s="27" t="s">
        <v>660</v>
      </c>
      <c r="BG109" s="7">
        <f>VLOOKUP(VS,'List Data'!$A$8:$B$12, 2, FALSE)</f>
        <v>2.1419999999999999</v>
      </c>
      <c r="BH109" s="28" t="s">
        <v>661</v>
      </c>
      <c r="BI109" s="27"/>
      <c r="BJ109" s="7"/>
      <c r="BK109" s="28"/>
      <c r="BL109" s="27"/>
      <c r="BM109" s="7"/>
      <c r="BN109" s="28"/>
      <c r="BO109" s="27"/>
      <c r="BQ109" s="28"/>
      <c r="BS109" s="27"/>
      <c r="BT109" s="7"/>
      <c r="BU109" s="28"/>
      <c r="BV109" s="27"/>
      <c r="BX109" s="28"/>
      <c r="BY109" s="27"/>
      <c r="BZ109" s="7"/>
      <c r="CA109" s="28"/>
      <c r="CC109" s="27"/>
      <c r="CD109" s="210"/>
      <c r="CE109" s="28"/>
    </row>
    <row r="110" spans="2:83" x14ac:dyDescent="0.25">
      <c r="B110" s="12"/>
      <c r="C110" s="12"/>
      <c r="D110" s="12"/>
      <c r="E110" s="12"/>
      <c r="F110" s="12"/>
      <c r="O110" s="629"/>
      <c r="P110" s="561"/>
      <c r="Q110" s="30" t="s">
        <v>671</v>
      </c>
      <c r="R110" s="309" t="e">
        <f>R108*R109</f>
        <v>#VALUE!</v>
      </c>
      <c r="S110" s="311" t="s">
        <v>676</v>
      </c>
      <c r="T110" s="313"/>
      <c r="U110" s="309" t="e">
        <f>IF(O106="Exterior Drive Post", (R110/144)-(((GL+GR)*(ML/25.4))/144), R110/144)</f>
        <v>#VALUE!</v>
      </c>
      <c r="V110" s="31" t="s">
        <v>677</v>
      </c>
      <c r="W110" s="29" t="s">
        <v>678</v>
      </c>
      <c r="X110" s="314" t="e">
        <f>X109/12*X108</f>
        <v>#VALUE!</v>
      </c>
      <c r="Y110" s="31" t="s">
        <v>663</v>
      </c>
      <c r="Z110" s="29" t="s">
        <v>678</v>
      </c>
      <c r="AA110" s="315" t="e">
        <f>AA106*AA107</f>
        <v>#VALUE!</v>
      </c>
      <c r="AB110" s="31" t="s">
        <v>663</v>
      </c>
      <c r="AC110" s="29" t="s">
        <v>678</v>
      </c>
      <c r="AD110" s="316" t="e">
        <f>AD106*AD107</f>
        <v>#VALUE!</v>
      </c>
      <c r="AE110" s="31" t="s">
        <v>181</v>
      </c>
      <c r="AF110" s="29" t="s">
        <v>654</v>
      </c>
      <c r="AG110" s="320" t="e">
        <f>IF(O106="Exterior Drive Post", SUM(AG106:AG108)+SDW, SUM(AG106:AG108)+ICW)</f>
        <v>#VALUE!</v>
      </c>
      <c r="AH110" s="31" t="s">
        <v>663</v>
      </c>
      <c r="AI110">
        <v>21</v>
      </c>
      <c r="AJ110" s="29"/>
      <c r="AK110" s="309"/>
      <c r="AL110" s="31"/>
      <c r="AM110" s="29"/>
      <c r="AN110" s="30"/>
      <c r="AO110" s="31"/>
      <c r="AP110" s="29" t="s">
        <v>679</v>
      </c>
      <c r="AQ110" s="324" t="e">
        <f>AQ108*Pult</f>
        <v>#VALUE!</v>
      </c>
      <c r="AR110" s="31" t="s">
        <v>181</v>
      </c>
      <c r="AT110" s="29" t="s">
        <v>662</v>
      </c>
      <c r="AU110" s="339" t="e">
        <f>AU108*AU107</f>
        <v>#VALUE!</v>
      </c>
      <c r="AV110" s="31" t="s">
        <v>181</v>
      </c>
      <c r="AX110" s="629"/>
      <c r="AY110" s="561"/>
      <c r="AZ110" s="30" t="s">
        <v>671</v>
      </c>
      <c r="BA110" s="309" t="e">
        <f>BA108*BA109</f>
        <v>#VALUE!</v>
      </c>
      <c r="BB110" s="311" t="s">
        <v>676</v>
      </c>
      <c r="BC110" s="313"/>
      <c r="BD110" s="309" t="e">
        <f>IF(AX106="Interior Drive Post", (BA110/144)-(((GL+GR)*(ML/25.4))/144), BA110/144)</f>
        <v>#VALUE!</v>
      </c>
      <c r="BE110" s="31" t="s">
        <v>677</v>
      </c>
      <c r="BF110" s="29" t="s">
        <v>678</v>
      </c>
      <c r="BG110" s="314" t="e">
        <f>BG109/12*BG108</f>
        <v>#VALUE!</v>
      </c>
      <c r="BH110" s="31" t="s">
        <v>663</v>
      </c>
      <c r="BI110" s="29" t="s">
        <v>678</v>
      </c>
      <c r="BJ110" s="315" t="e">
        <f>BJ106*BJ107</f>
        <v>#VALUE!</v>
      </c>
      <c r="BK110" s="31" t="s">
        <v>663</v>
      </c>
      <c r="BL110" s="29" t="s">
        <v>678</v>
      </c>
      <c r="BM110" s="316" t="e">
        <f>BM106*BM107</f>
        <v>#VALUE!</v>
      </c>
      <c r="BN110" s="31" t="s">
        <v>181</v>
      </c>
      <c r="BO110" s="29" t="s">
        <v>654</v>
      </c>
      <c r="BP110" s="320" t="e">
        <f>IF(AX106="Interior Drive Post", SUM(BP106:BP108)+SDW, SUM(BP106:BP108)+ICW)</f>
        <v>#VALUE!</v>
      </c>
      <c r="BQ110" s="31" t="s">
        <v>663</v>
      </c>
      <c r="BR110">
        <v>21</v>
      </c>
      <c r="BS110" s="29"/>
      <c r="BT110" s="309"/>
      <c r="BU110" s="31"/>
      <c r="BV110" s="29"/>
      <c r="BW110" s="30"/>
      <c r="BX110" s="31"/>
      <c r="BY110" s="29" t="s">
        <v>679</v>
      </c>
      <c r="BZ110" s="324" t="e">
        <f>BZ108*Pult</f>
        <v>#VALUE!</v>
      </c>
      <c r="CA110" s="31" t="s">
        <v>181</v>
      </c>
      <c r="CC110" s="29" t="s">
        <v>662</v>
      </c>
      <c r="CD110" s="339" t="e">
        <f>CD108*CD107</f>
        <v>#VALUE!</v>
      </c>
      <c r="CE110" s="31" t="s">
        <v>181</v>
      </c>
    </row>
    <row r="111" spans="2:83" x14ac:dyDescent="0.25">
      <c r="B111" s="12"/>
      <c r="C111" s="12"/>
      <c r="D111" s="12"/>
      <c r="E111" s="12"/>
      <c r="F111" s="12"/>
      <c r="O111" s="653" t="str">
        <f>D27</f>
        <v/>
      </c>
      <c r="P111" s="558"/>
      <c r="Q111" s="25" t="s">
        <v>656</v>
      </c>
      <c r="R111" s="297" t="str">
        <f>L27</f>
        <v/>
      </c>
      <c r="S111" s="310" t="s">
        <v>657</v>
      </c>
      <c r="T111" s="312"/>
      <c r="U111" s="297" t="e">
        <f>R111/12</f>
        <v>#VALUE!</v>
      </c>
      <c r="V111" s="26" t="s">
        <v>658</v>
      </c>
      <c r="W111" s="24" t="s">
        <v>659</v>
      </c>
      <c r="X111" s="297" t="e">
        <f>VL</f>
        <v>#VALUE!</v>
      </c>
      <c r="Y111" s="26" t="s">
        <v>657</v>
      </c>
      <c r="Z111" s="24" t="s">
        <v>660</v>
      </c>
      <c r="AA111" s="297">
        <f>VLOOKUP(TS,'List Data'!$A$15:$B$18, 2, FALSE)</f>
        <v>7.8955000000000002</v>
      </c>
      <c r="AB111" s="26" t="s">
        <v>661</v>
      </c>
      <c r="AC111" s="24" t="s">
        <v>662</v>
      </c>
      <c r="AD111" s="297" t="e">
        <f>PL</f>
        <v>#VALUE!</v>
      </c>
      <c r="AE111" s="26" t="s">
        <v>65</v>
      </c>
      <c r="AF111" s="24" t="s">
        <v>651</v>
      </c>
      <c r="AG111" s="318" t="e">
        <f>X115</f>
        <v>#VALUE!</v>
      </c>
      <c r="AH111" s="26" t="s">
        <v>663</v>
      </c>
      <c r="AJ111" s="24" t="s">
        <v>664</v>
      </c>
      <c r="AK111" s="297" t="e">
        <f>ROUND(MT/12,5)</f>
        <v>#VALUE!</v>
      </c>
      <c r="AL111" s="26" t="s">
        <v>658</v>
      </c>
      <c r="AM111" s="24" t="s">
        <v>370</v>
      </c>
      <c r="AN111" s="297">
        <f>IF(OR(TS="5x4, .126", TS="5x4, .134"), 5/12,4/12)</f>
        <v>0.41666666666666669</v>
      </c>
      <c r="AO111" s="26" t="s">
        <v>658</v>
      </c>
      <c r="AP111" s="24" t="s">
        <v>653</v>
      </c>
      <c r="AQ111" s="322" t="e">
        <f>AK113</f>
        <v>#VALUE!</v>
      </c>
      <c r="AR111" s="26" t="s">
        <v>665</v>
      </c>
      <c r="AT111" s="24" t="s">
        <v>666</v>
      </c>
      <c r="AU111" s="338" t="str">
        <f>Theta</f>
        <v>XX</v>
      </c>
      <c r="AV111" s="26" t="s">
        <v>667</v>
      </c>
      <c r="AX111" s="653" t="str">
        <f>D63</f>
        <v/>
      </c>
      <c r="AY111" s="558"/>
      <c r="AZ111" s="25" t="s">
        <v>656</v>
      </c>
      <c r="BA111" s="297" t="str">
        <f>L63</f>
        <v/>
      </c>
      <c r="BB111" s="310" t="s">
        <v>657</v>
      </c>
      <c r="BC111" s="312"/>
      <c r="BD111" s="297" t="e">
        <f>BA111/12</f>
        <v>#VALUE!</v>
      </c>
      <c r="BE111" s="26" t="s">
        <v>658</v>
      </c>
      <c r="BF111" s="24" t="s">
        <v>659</v>
      </c>
      <c r="BG111" s="297" t="e">
        <f>VL</f>
        <v>#VALUE!</v>
      </c>
      <c r="BH111" s="26" t="s">
        <v>657</v>
      </c>
      <c r="BI111" s="24" t="s">
        <v>660</v>
      </c>
      <c r="BJ111" s="297">
        <f>VLOOKUP(TS,'List Data'!$A$15:$B$18, 2, FALSE)</f>
        <v>7.8955000000000002</v>
      </c>
      <c r="BK111" s="26" t="s">
        <v>661</v>
      </c>
      <c r="BL111" s="24" t="s">
        <v>662</v>
      </c>
      <c r="BM111" s="297" t="e">
        <f>PL</f>
        <v>#VALUE!</v>
      </c>
      <c r="BN111" s="26" t="s">
        <v>65</v>
      </c>
      <c r="BO111" s="24" t="s">
        <v>651</v>
      </c>
      <c r="BP111" s="318" t="e">
        <f>BG115</f>
        <v>#VALUE!</v>
      </c>
      <c r="BQ111" s="26" t="s">
        <v>663</v>
      </c>
      <c r="BS111" s="24" t="s">
        <v>664</v>
      </c>
      <c r="BT111" s="297" t="e">
        <f>ROUND(MT/12,5)</f>
        <v>#VALUE!</v>
      </c>
      <c r="BU111" s="26" t="s">
        <v>658</v>
      </c>
      <c r="BV111" s="24" t="s">
        <v>370</v>
      </c>
      <c r="BW111" s="297">
        <f>IF(OR(TS="5x4, .126", TS="5x4, .134"), 5/12,4/12)</f>
        <v>0.41666666666666669</v>
      </c>
      <c r="BX111" s="26" t="s">
        <v>658</v>
      </c>
      <c r="BY111" s="24" t="s">
        <v>653</v>
      </c>
      <c r="BZ111" s="322" t="e">
        <f>BT113</f>
        <v>#VALUE!</v>
      </c>
      <c r="CA111" s="26" t="s">
        <v>665</v>
      </c>
      <c r="CC111" s="24" t="s">
        <v>666</v>
      </c>
      <c r="CD111" s="338" t="str">
        <f>Theta</f>
        <v>XX</v>
      </c>
      <c r="CE111" s="26" t="s">
        <v>667</v>
      </c>
    </row>
    <row r="112" spans="2:83" x14ac:dyDescent="0.25">
      <c r="B112" s="12"/>
      <c r="C112" s="12"/>
      <c r="D112" s="12"/>
      <c r="E112" s="12"/>
      <c r="F112" s="12"/>
      <c r="O112" s="628"/>
      <c r="P112" s="559"/>
      <c r="Q112" t="s">
        <v>668</v>
      </c>
      <c r="R112" s="7" t="str">
        <f>L28</f>
        <v/>
      </c>
      <c r="S112" s="77" t="s">
        <v>657</v>
      </c>
      <c r="T112" s="43"/>
      <c r="U112" s="7" t="e">
        <f>R112/12</f>
        <v>#VALUE!</v>
      </c>
      <c r="V112" s="28" t="s">
        <v>658</v>
      </c>
      <c r="W112" s="27" t="s">
        <v>669</v>
      </c>
      <c r="X112" s="7">
        <f>COUNTIFS($I$6:$I$105, "&lt;="&amp;R111, $I$6:$I$105, "&gt;="&amp;R112)</f>
        <v>0</v>
      </c>
      <c r="Y112" s="28" t="s">
        <v>670</v>
      </c>
      <c r="Z112" s="27" t="s">
        <v>659</v>
      </c>
      <c r="AA112" s="7" t="e">
        <f>IF(O111="Exterior Drive Post", (U113-(TG/12)), U113)</f>
        <v>#VALUE!</v>
      </c>
      <c r="AB112" s="28" t="s">
        <v>658</v>
      </c>
      <c r="AC112" s="27" t="s">
        <v>671</v>
      </c>
      <c r="AD112" s="7" t="e">
        <f>U115</f>
        <v>#VALUE!</v>
      </c>
      <c r="AE112" s="28" t="s">
        <v>665</v>
      </c>
      <c r="AF112" s="27" t="s">
        <v>672</v>
      </c>
      <c r="AG112" s="317" t="e">
        <f>AA115</f>
        <v>#VALUE!</v>
      </c>
      <c r="AH112" s="28" t="s">
        <v>663</v>
      </c>
      <c r="AJ112" s="27" t="s">
        <v>659</v>
      </c>
      <c r="AK112" s="7" t="e">
        <f>IF(O111= "Exterior Drive Post", (U113)-((GL+GR)/12), U113)</f>
        <v>#VALUE!</v>
      </c>
      <c r="AL112" s="28" t="s">
        <v>658</v>
      </c>
      <c r="AM112" s="27" t="s">
        <v>659</v>
      </c>
      <c r="AN112" s="7" t="e">
        <f>AA112</f>
        <v>#VALUE!</v>
      </c>
      <c r="AO112" s="28" t="s">
        <v>658</v>
      </c>
      <c r="AP112" s="27" t="s">
        <v>672</v>
      </c>
      <c r="AQ112" s="323" t="e">
        <f>AN113</f>
        <v>#VALUE!</v>
      </c>
      <c r="AR112" s="28" t="s">
        <v>665</v>
      </c>
      <c r="AT112" s="27" t="s">
        <v>673</v>
      </c>
      <c r="AU112" s="210" t="e">
        <f>RSL*COS(Radians)</f>
        <v>#VALUE!</v>
      </c>
      <c r="AV112" s="28" t="s">
        <v>65</v>
      </c>
      <c r="AX112" s="628"/>
      <c r="AY112" s="559"/>
      <c r="AZ112" t="s">
        <v>668</v>
      </c>
      <c r="BA112" s="7" t="str">
        <f>L64</f>
        <v/>
      </c>
      <c r="BB112" s="77" t="s">
        <v>657</v>
      </c>
      <c r="BC112" s="43"/>
      <c r="BD112" s="7" t="e">
        <f>BA112/12</f>
        <v>#VALUE!</v>
      </c>
      <c r="BE112" s="28" t="s">
        <v>658</v>
      </c>
      <c r="BF112" s="27" t="s">
        <v>669</v>
      </c>
      <c r="BG112" s="7">
        <f>COUNTIFS($I$6:$I$105, "&lt;="&amp;BA111, $I$6:$I$105, "&gt;="&amp;BA112)</f>
        <v>0</v>
      </c>
      <c r="BH112" s="28" t="s">
        <v>670</v>
      </c>
      <c r="BI112" s="27" t="s">
        <v>659</v>
      </c>
      <c r="BJ112" s="7" t="e">
        <f>IF(AX111="Interior Drive Post", (BD113-(TG/12)), BD113)</f>
        <v>#VALUE!</v>
      </c>
      <c r="BK112" s="28" t="s">
        <v>658</v>
      </c>
      <c r="BL112" s="27" t="s">
        <v>671</v>
      </c>
      <c r="BM112" s="7" t="e">
        <f>BD115</f>
        <v>#VALUE!</v>
      </c>
      <c r="BN112" s="28" t="s">
        <v>665</v>
      </c>
      <c r="BO112" s="27" t="s">
        <v>672</v>
      </c>
      <c r="BP112" s="317" t="e">
        <f>BJ115</f>
        <v>#VALUE!</v>
      </c>
      <c r="BQ112" s="28" t="s">
        <v>663</v>
      </c>
      <c r="BS112" s="27" t="s">
        <v>659</v>
      </c>
      <c r="BT112" s="7" t="e">
        <f>IF(AX111= "Interior Drive Post", (BD113)-((GL+GR)/12), BD113)</f>
        <v>#VALUE!</v>
      </c>
      <c r="BU112" s="28" t="s">
        <v>658</v>
      </c>
      <c r="BV112" s="27" t="s">
        <v>659</v>
      </c>
      <c r="BW112" s="7" t="e">
        <f>BJ112</f>
        <v>#VALUE!</v>
      </c>
      <c r="BX112" s="28" t="s">
        <v>658</v>
      </c>
      <c r="BY112" s="27" t="s">
        <v>672</v>
      </c>
      <c r="BZ112" s="323" t="e">
        <f>BW113</f>
        <v>#VALUE!</v>
      </c>
      <c r="CA112" s="28" t="s">
        <v>665</v>
      </c>
      <c r="CC112" s="27" t="s">
        <v>673</v>
      </c>
      <c r="CD112" s="210" t="e">
        <f>RSL*COS(Radians)</f>
        <v>#VALUE!</v>
      </c>
      <c r="CE112" s="28" t="s">
        <v>65</v>
      </c>
    </row>
    <row r="113" spans="2:83" x14ac:dyDescent="0.25">
      <c r="B113" s="12"/>
      <c r="C113" s="12"/>
      <c r="D113" s="12"/>
      <c r="E113" s="12"/>
      <c r="F113" s="12"/>
      <c r="O113" s="628"/>
      <c r="P113" s="559"/>
      <c r="Q113" t="s">
        <v>659</v>
      </c>
      <c r="R113" s="7" t="e">
        <f>R111-R112</f>
        <v>#VALUE!</v>
      </c>
      <c r="S113" s="77" t="s">
        <v>657</v>
      </c>
      <c r="T113" s="43"/>
      <c r="U113" s="7" t="e">
        <f>R113/12</f>
        <v>#VALUE!</v>
      </c>
      <c r="V113" s="28" t="s">
        <v>658</v>
      </c>
      <c r="W113" s="27" t="s">
        <v>674</v>
      </c>
      <c r="X113" s="7" t="e">
        <f>X112*X111</f>
        <v>#VALUE!</v>
      </c>
      <c r="Y113" s="28" t="s">
        <v>657</v>
      </c>
      <c r="Z113" s="27"/>
      <c r="AA113" s="7"/>
      <c r="AB113" s="28"/>
      <c r="AC113" s="27"/>
      <c r="AD113" s="7"/>
      <c r="AE113" s="28"/>
      <c r="AF113" s="27" t="s">
        <v>653</v>
      </c>
      <c r="AG113" s="319" t="e">
        <f>AD115</f>
        <v>#VALUE!</v>
      </c>
      <c r="AH113" s="28" t="s">
        <v>663</v>
      </c>
      <c r="AJ113" s="27" t="s">
        <v>671</v>
      </c>
      <c r="AK113" s="321" t="e">
        <f>AK111*AK112</f>
        <v>#VALUE!</v>
      </c>
      <c r="AL113" s="28" t="s">
        <v>665</v>
      </c>
      <c r="AM113" s="27" t="s">
        <v>671</v>
      </c>
      <c r="AN113" s="323" t="e">
        <f>AN112*AN111</f>
        <v>#VALUE!</v>
      </c>
      <c r="AO113" s="28" t="s">
        <v>665</v>
      </c>
      <c r="AP113" s="27" t="s">
        <v>654</v>
      </c>
      <c r="AQ113" s="7" t="e">
        <f>SUM(AQ111:AQ112)</f>
        <v>#VALUE!</v>
      </c>
      <c r="AR113" s="28" t="s">
        <v>665</v>
      </c>
      <c r="AT113" s="27" t="s">
        <v>671</v>
      </c>
      <c r="AU113" s="210" t="e">
        <f>U115</f>
        <v>#VALUE!</v>
      </c>
      <c r="AV113" s="28" t="s">
        <v>701</v>
      </c>
      <c r="AX113" s="628"/>
      <c r="AY113" s="559"/>
      <c r="AZ113" t="s">
        <v>659</v>
      </c>
      <c r="BA113" s="7" t="e">
        <f>BA111-BA112</f>
        <v>#VALUE!</v>
      </c>
      <c r="BB113" s="77" t="s">
        <v>657</v>
      </c>
      <c r="BC113" s="43"/>
      <c r="BD113" s="7" t="e">
        <f>BA113/12</f>
        <v>#VALUE!</v>
      </c>
      <c r="BE113" s="28" t="s">
        <v>658</v>
      </c>
      <c r="BF113" s="27" t="s">
        <v>674</v>
      </c>
      <c r="BG113" s="7" t="e">
        <f>BG112*BG111</f>
        <v>#VALUE!</v>
      </c>
      <c r="BH113" s="28" t="s">
        <v>657</v>
      </c>
      <c r="BI113" s="27"/>
      <c r="BJ113" s="7"/>
      <c r="BK113" s="28"/>
      <c r="BL113" s="27"/>
      <c r="BM113" s="7"/>
      <c r="BN113" s="28"/>
      <c r="BO113" s="27" t="s">
        <v>653</v>
      </c>
      <c r="BP113" s="319" t="e">
        <f>BM115</f>
        <v>#VALUE!</v>
      </c>
      <c r="BQ113" s="28" t="s">
        <v>663</v>
      </c>
      <c r="BS113" s="27" t="s">
        <v>671</v>
      </c>
      <c r="BT113" s="321" t="e">
        <f>BT111*BT112</f>
        <v>#VALUE!</v>
      </c>
      <c r="BU113" s="28" t="s">
        <v>665</v>
      </c>
      <c r="BV113" s="27" t="s">
        <v>671</v>
      </c>
      <c r="BW113" s="323" t="e">
        <f>BW112*BW111</f>
        <v>#VALUE!</v>
      </c>
      <c r="BX113" s="28" t="s">
        <v>665</v>
      </c>
      <c r="BY113" s="27" t="s">
        <v>654</v>
      </c>
      <c r="BZ113" s="7" t="e">
        <f>SUM(BZ111:BZ112)</f>
        <v>#VALUE!</v>
      </c>
      <c r="CA113" s="28" t="s">
        <v>665</v>
      </c>
      <c r="CC113" s="27" t="s">
        <v>671</v>
      </c>
      <c r="CD113" s="210" t="e">
        <f>BD115</f>
        <v>#VALUE!</v>
      </c>
      <c r="CE113" s="28" t="s">
        <v>665</v>
      </c>
    </row>
    <row r="114" spans="2:83" x14ac:dyDescent="0.25">
      <c r="B114" s="12"/>
      <c r="C114" s="12"/>
      <c r="D114" s="12"/>
      <c r="E114" s="12"/>
      <c r="F114" s="12"/>
      <c r="O114" s="628"/>
      <c r="P114" s="559"/>
      <c r="Q114" t="s">
        <v>675</v>
      </c>
      <c r="R114" s="7" t="e">
        <f>ROUND(ML, 3)</f>
        <v>#VALUE!</v>
      </c>
      <c r="S114" s="77" t="s">
        <v>657</v>
      </c>
      <c r="T114" s="43"/>
      <c r="U114" s="7" t="e">
        <f>R114/12</f>
        <v>#VALUE!</v>
      </c>
      <c r="V114" s="28" t="s">
        <v>658</v>
      </c>
      <c r="W114" s="27" t="s">
        <v>660</v>
      </c>
      <c r="X114" s="7">
        <f>VLOOKUP(VS,'List Data'!$A$8:$B$12, 2, FALSE)</f>
        <v>2.1419999999999999</v>
      </c>
      <c r="Y114" s="28" t="s">
        <v>661</v>
      </c>
      <c r="Z114" s="27"/>
      <c r="AA114" s="7"/>
      <c r="AB114" s="28"/>
      <c r="AC114" s="27"/>
      <c r="AD114" s="7"/>
      <c r="AE114" s="28"/>
      <c r="AF114" s="27"/>
      <c r="AH114" s="28"/>
      <c r="AJ114" s="27"/>
      <c r="AK114" s="7"/>
      <c r="AL114" s="28"/>
      <c r="AM114" s="27"/>
      <c r="AO114" s="28"/>
      <c r="AP114" s="27"/>
      <c r="AQ114" s="7"/>
      <c r="AR114" s="28"/>
      <c r="AT114" s="27"/>
      <c r="AU114" s="210"/>
      <c r="AV114" s="28"/>
      <c r="AX114" s="628"/>
      <c r="AY114" s="559"/>
      <c r="AZ114" t="s">
        <v>675</v>
      </c>
      <c r="BA114" s="7" t="e">
        <f>ROUND(ML, 3)</f>
        <v>#VALUE!</v>
      </c>
      <c r="BB114" s="77" t="s">
        <v>657</v>
      </c>
      <c r="BC114" s="43"/>
      <c r="BD114" s="7" t="e">
        <f>BA114/12</f>
        <v>#VALUE!</v>
      </c>
      <c r="BE114" s="28" t="s">
        <v>658</v>
      </c>
      <c r="BF114" s="27" t="s">
        <v>660</v>
      </c>
      <c r="BG114" s="7">
        <f>VLOOKUP(VS,'List Data'!$A$8:$B$12, 2, FALSE)</f>
        <v>2.1419999999999999</v>
      </c>
      <c r="BH114" s="28" t="s">
        <v>661</v>
      </c>
      <c r="BI114" s="27"/>
      <c r="BJ114" s="7"/>
      <c r="BK114" s="28"/>
      <c r="BL114" s="27"/>
      <c r="BM114" s="7"/>
      <c r="BN114" s="28"/>
      <c r="BO114" s="27"/>
      <c r="BQ114" s="28"/>
      <c r="BS114" s="27"/>
      <c r="BT114" s="7"/>
      <c r="BU114" s="28"/>
      <c r="BV114" s="27"/>
      <c r="BX114" s="28"/>
      <c r="BY114" s="27"/>
      <c r="BZ114" s="7"/>
      <c r="CA114" s="28"/>
      <c r="CC114" s="27"/>
      <c r="CD114" s="210"/>
      <c r="CE114" s="28"/>
    </row>
    <row r="115" spans="2:83" x14ac:dyDescent="0.25">
      <c r="B115" s="12"/>
      <c r="C115" s="12"/>
      <c r="D115" s="12"/>
      <c r="E115" s="12"/>
      <c r="F115" s="12"/>
      <c r="O115" s="629"/>
      <c r="P115" s="561"/>
      <c r="Q115" s="30" t="s">
        <v>671</v>
      </c>
      <c r="R115" s="309" t="e">
        <f>R113*R114</f>
        <v>#VALUE!</v>
      </c>
      <c r="S115" s="311" t="s">
        <v>676</v>
      </c>
      <c r="T115" s="313"/>
      <c r="U115" s="309" t="e">
        <f>IF(O111="Exterior Drive Post", (R115/144)-(((GL+GR)*(ML/25.4))/144), R115/144)</f>
        <v>#VALUE!</v>
      </c>
      <c r="V115" s="31" t="s">
        <v>677</v>
      </c>
      <c r="W115" s="29" t="s">
        <v>678</v>
      </c>
      <c r="X115" s="314" t="e">
        <f>X114/12*X113</f>
        <v>#VALUE!</v>
      </c>
      <c r="Y115" s="31" t="s">
        <v>663</v>
      </c>
      <c r="Z115" s="29" t="s">
        <v>678</v>
      </c>
      <c r="AA115" s="315" t="e">
        <f>AA111*AA112</f>
        <v>#VALUE!</v>
      </c>
      <c r="AB115" s="31" t="s">
        <v>663</v>
      </c>
      <c r="AC115" s="29" t="s">
        <v>678</v>
      </c>
      <c r="AD115" s="316" t="e">
        <f>AD111*AD112</f>
        <v>#VALUE!</v>
      </c>
      <c r="AE115" s="31" t="s">
        <v>181</v>
      </c>
      <c r="AF115" s="29" t="s">
        <v>654</v>
      </c>
      <c r="AG115" s="320" t="e">
        <f>IF(O111="Exterior Drive Post", SUM(AG111:AG113)+SDW, SUM(AG111:AG113)+ICW)</f>
        <v>#VALUE!</v>
      </c>
      <c r="AH115" s="31" t="s">
        <v>663</v>
      </c>
      <c r="AI115">
        <v>22</v>
      </c>
      <c r="AJ115" s="29"/>
      <c r="AK115" s="309"/>
      <c r="AL115" s="31"/>
      <c r="AM115" s="29"/>
      <c r="AN115" s="30"/>
      <c r="AO115" s="31"/>
      <c r="AP115" s="29" t="s">
        <v>679</v>
      </c>
      <c r="AQ115" s="324" t="e">
        <f>AQ113*Pult</f>
        <v>#VALUE!</v>
      </c>
      <c r="AR115" s="31" t="s">
        <v>181</v>
      </c>
      <c r="AT115" s="29" t="s">
        <v>662</v>
      </c>
      <c r="AU115" s="339" t="e">
        <f>AU113*AU112</f>
        <v>#VALUE!</v>
      </c>
      <c r="AV115" s="31" t="s">
        <v>181</v>
      </c>
      <c r="AX115" s="629"/>
      <c r="AY115" s="561"/>
      <c r="AZ115" s="30" t="s">
        <v>671</v>
      </c>
      <c r="BA115" s="309" t="e">
        <f>BA113*BA114</f>
        <v>#VALUE!</v>
      </c>
      <c r="BB115" s="311" t="s">
        <v>676</v>
      </c>
      <c r="BC115" s="313"/>
      <c r="BD115" s="309" t="e">
        <f>IF(AX111="Interior Drive Post", (BA115/144)-(((GL+GR)*(ML/25.4))/144), BA115/144)</f>
        <v>#VALUE!</v>
      </c>
      <c r="BE115" s="31" t="s">
        <v>677</v>
      </c>
      <c r="BF115" s="29" t="s">
        <v>678</v>
      </c>
      <c r="BG115" s="314" t="e">
        <f>BG114/12*BG113</f>
        <v>#VALUE!</v>
      </c>
      <c r="BH115" s="31" t="s">
        <v>663</v>
      </c>
      <c r="BI115" s="29" t="s">
        <v>678</v>
      </c>
      <c r="BJ115" s="315" t="e">
        <f>BJ111*BJ112</f>
        <v>#VALUE!</v>
      </c>
      <c r="BK115" s="31" t="s">
        <v>663</v>
      </c>
      <c r="BL115" s="29" t="s">
        <v>678</v>
      </c>
      <c r="BM115" s="316" t="e">
        <f>BM111*BM112</f>
        <v>#VALUE!</v>
      </c>
      <c r="BN115" s="31" t="s">
        <v>181</v>
      </c>
      <c r="BO115" s="29" t="s">
        <v>654</v>
      </c>
      <c r="BP115" s="320" t="e">
        <f>IF(AX111="Interior Drive Post", SUM(BP111:BP113)+SDW, SUM(BP111:BP113)+ICW)</f>
        <v>#VALUE!</v>
      </c>
      <c r="BQ115" s="31" t="s">
        <v>663</v>
      </c>
      <c r="BR115">
        <v>22</v>
      </c>
      <c r="BS115" s="29"/>
      <c r="BT115" s="309"/>
      <c r="BU115" s="31"/>
      <c r="BV115" s="29"/>
      <c r="BW115" s="30"/>
      <c r="BX115" s="31"/>
      <c r="BY115" s="29" t="s">
        <v>679</v>
      </c>
      <c r="BZ115" s="324" t="e">
        <f>BZ113*Pult</f>
        <v>#VALUE!</v>
      </c>
      <c r="CA115" s="31" t="s">
        <v>181</v>
      </c>
      <c r="CC115" s="29" t="s">
        <v>662</v>
      </c>
      <c r="CD115" s="339" t="e">
        <f>CD113*CD112</f>
        <v>#VALUE!</v>
      </c>
      <c r="CE115" s="31" t="s">
        <v>181</v>
      </c>
    </row>
    <row r="116" spans="2:83" x14ac:dyDescent="0.25">
      <c r="B116" s="12"/>
      <c r="C116" s="12"/>
      <c r="D116" s="12"/>
      <c r="E116" s="12"/>
      <c r="F116" s="12"/>
      <c r="O116" s="653" t="str">
        <f>D28</f>
        <v/>
      </c>
      <c r="P116" s="558"/>
      <c r="Q116" s="25" t="s">
        <v>656</v>
      </c>
      <c r="R116" s="297" t="str">
        <f>L28</f>
        <v/>
      </c>
      <c r="S116" s="310" t="s">
        <v>657</v>
      </c>
      <c r="T116" s="312"/>
      <c r="U116" s="297" t="e">
        <f>R116/12</f>
        <v>#VALUE!</v>
      </c>
      <c r="V116" s="26" t="s">
        <v>658</v>
      </c>
      <c r="W116" s="24" t="s">
        <v>659</v>
      </c>
      <c r="X116" s="297" t="e">
        <f>VL</f>
        <v>#VALUE!</v>
      </c>
      <c r="Y116" s="26" t="s">
        <v>657</v>
      </c>
      <c r="Z116" s="24" t="s">
        <v>660</v>
      </c>
      <c r="AA116" s="297">
        <f>VLOOKUP(TS,'List Data'!$A$15:$B$18, 2, FALSE)</f>
        <v>7.8955000000000002</v>
      </c>
      <c r="AB116" s="26" t="s">
        <v>661</v>
      </c>
      <c r="AC116" s="24" t="s">
        <v>662</v>
      </c>
      <c r="AD116" s="297" t="e">
        <f>PL</f>
        <v>#VALUE!</v>
      </c>
      <c r="AE116" s="26" t="s">
        <v>65</v>
      </c>
      <c r="AF116" s="24" t="s">
        <v>651</v>
      </c>
      <c r="AG116" s="318" t="e">
        <f>X120</f>
        <v>#VALUE!</v>
      </c>
      <c r="AH116" s="26" t="s">
        <v>663</v>
      </c>
      <c r="AJ116" s="24" t="s">
        <v>664</v>
      </c>
      <c r="AK116" s="297" t="e">
        <f>ROUND(MT/12,5)</f>
        <v>#VALUE!</v>
      </c>
      <c r="AL116" s="26" t="s">
        <v>658</v>
      </c>
      <c r="AM116" s="24" t="s">
        <v>370</v>
      </c>
      <c r="AN116" s="297">
        <f>IF(OR(TS="5x4, .126", TS="5x4, .134"), 5/12,4/12)</f>
        <v>0.41666666666666669</v>
      </c>
      <c r="AO116" s="26" t="s">
        <v>658</v>
      </c>
      <c r="AP116" s="24" t="s">
        <v>653</v>
      </c>
      <c r="AQ116" s="322" t="e">
        <f>AK118</f>
        <v>#VALUE!</v>
      </c>
      <c r="AR116" s="26" t="s">
        <v>665</v>
      </c>
      <c r="AT116" s="24" t="s">
        <v>666</v>
      </c>
      <c r="AU116" s="338" t="str">
        <f>Theta</f>
        <v>XX</v>
      </c>
      <c r="AV116" s="26" t="s">
        <v>667</v>
      </c>
      <c r="AX116" s="653" t="str">
        <f>D64</f>
        <v/>
      </c>
      <c r="AY116" s="558"/>
      <c r="AZ116" s="25" t="s">
        <v>656</v>
      </c>
      <c r="BA116" s="297" t="str">
        <f>L64</f>
        <v/>
      </c>
      <c r="BB116" s="310" t="s">
        <v>657</v>
      </c>
      <c r="BC116" s="312"/>
      <c r="BD116" s="297" t="e">
        <f>BA116/12</f>
        <v>#VALUE!</v>
      </c>
      <c r="BE116" s="26" t="s">
        <v>658</v>
      </c>
      <c r="BF116" s="24" t="s">
        <v>659</v>
      </c>
      <c r="BG116" s="297" t="e">
        <f>VL</f>
        <v>#VALUE!</v>
      </c>
      <c r="BH116" s="26" t="s">
        <v>657</v>
      </c>
      <c r="BI116" s="24" t="s">
        <v>660</v>
      </c>
      <c r="BJ116" s="297">
        <f>VLOOKUP(TS,'List Data'!$A$15:$B$18, 2, FALSE)</f>
        <v>7.8955000000000002</v>
      </c>
      <c r="BK116" s="26" t="s">
        <v>661</v>
      </c>
      <c r="BL116" s="24" t="s">
        <v>662</v>
      </c>
      <c r="BM116" s="297" t="e">
        <f>PL</f>
        <v>#VALUE!</v>
      </c>
      <c r="BN116" s="26" t="s">
        <v>65</v>
      </c>
      <c r="BO116" s="24" t="s">
        <v>651</v>
      </c>
      <c r="BP116" s="318" t="e">
        <f>BG120</f>
        <v>#VALUE!</v>
      </c>
      <c r="BQ116" s="26" t="s">
        <v>663</v>
      </c>
      <c r="BS116" s="24" t="s">
        <v>664</v>
      </c>
      <c r="BT116" s="297" t="e">
        <f>ROUND(MT/12,5)</f>
        <v>#VALUE!</v>
      </c>
      <c r="BU116" s="26" t="s">
        <v>658</v>
      </c>
      <c r="BV116" s="24" t="s">
        <v>370</v>
      </c>
      <c r="BW116" s="297">
        <f>IF(OR(TS="5x4, .126", TS="5x4, .134"), 5/12,4/12)</f>
        <v>0.41666666666666669</v>
      </c>
      <c r="BX116" s="26" t="s">
        <v>658</v>
      </c>
      <c r="BY116" s="24" t="s">
        <v>653</v>
      </c>
      <c r="BZ116" s="322" t="e">
        <f>BT118</f>
        <v>#VALUE!</v>
      </c>
      <c r="CA116" s="26" t="s">
        <v>665</v>
      </c>
      <c r="CC116" s="24" t="s">
        <v>666</v>
      </c>
      <c r="CD116" s="338" t="str">
        <f>Theta</f>
        <v>XX</v>
      </c>
      <c r="CE116" s="26" t="s">
        <v>667</v>
      </c>
    </row>
    <row r="117" spans="2:83" x14ac:dyDescent="0.25">
      <c r="B117" s="12"/>
      <c r="C117" s="12"/>
      <c r="D117" s="12"/>
      <c r="E117" s="12"/>
      <c r="F117" s="12"/>
      <c r="O117" s="628"/>
      <c r="P117" s="559"/>
      <c r="Q117" t="s">
        <v>668</v>
      </c>
      <c r="R117" s="7" t="str">
        <f>L29</f>
        <v/>
      </c>
      <c r="S117" s="77" t="s">
        <v>657</v>
      </c>
      <c r="T117" s="43"/>
      <c r="U117" s="7" t="e">
        <f>R117/12</f>
        <v>#VALUE!</v>
      </c>
      <c r="V117" s="28" t="s">
        <v>658</v>
      </c>
      <c r="W117" s="27" t="s">
        <v>669</v>
      </c>
      <c r="X117" s="7">
        <f>COUNTIFS($I$6:$I$105, "&lt;="&amp;R116, $I$6:$I$105, "&gt;="&amp;R117)</f>
        <v>0</v>
      </c>
      <c r="Y117" s="28" t="s">
        <v>670</v>
      </c>
      <c r="Z117" s="27" t="s">
        <v>659</v>
      </c>
      <c r="AA117" s="7" t="e">
        <f>IF(O116="Exterior Drive Post", (U118-(TG/12)), U118)</f>
        <v>#VALUE!</v>
      </c>
      <c r="AB117" s="28" t="s">
        <v>658</v>
      </c>
      <c r="AC117" s="27" t="s">
        <v>671</v>
      </c>
      <c r="AD117" s="7" t="e">
        <f>U120</f>
        <v>#VALUE!</v>
      </c>
      <c r="AE117" s="28" t="s">
        <v>665</v>
      </c>
      <c r="AF117" s="27" t="s">
        <v>672</v>
      </c>
      <c r="AG117" s="317" t="e">
        <f>AA120</f>
        <v>#VALUE!</v>
      </c>
      <c r="AH117" s="28" t="s">
        <v>663</v>
      </c>
      <c r="AJ117" s="27" t="s">
        <v>659</v>
      </c>
      <c r="AK117" s="7" t="e">
        <f>IF(O116= "Exterior Drive Post", (U118)-((GL+GR)/12), U118)</f>
        <v>#VALUE!</v>
      </c>
      <c r="AL117" s="28" t="s">
        <v>658</v>
      </c>
      <c r="AM117" s="27" t="s">
        <v>659</v>
      </c>
      <c r="AN117" s="7" t="e">
        <f>AA117</f>
        <v>#VALUE!</v>
      </c>
      <c r="AO117" s="28" t="s">
        <v>658</v>
      </c>
      <c r="AP117" s="27" t="s">
        <v>672</v>
      </c>
      <c r="AQ117" s="323" t="e">
        <f>AN118</f>
        <v>#VALUE!</v>
      </c>
      <c r="AR117" s="28" t="s">
        <v>665</v>
      </c>
      <c r="AT117" s="27" t="s">
        <v>673</v>
      </c>
      <c r="AU117" s="210" t="e">
        <f>RSL*COS(Radians)</f>
        <v>#VALUE!</v>
      </c>
      <c r="AV117" s="28" t="s">
        <v>65</v>
      </c>
      <c r="AX117" s="628"/>
      <c r="AY117" s="559"/>
      <c r="AZ117" t="s">
        <v>668</v>
      </c>
      <c r="BA117" s="7" t="str">
        <f>L65</f>
        <v/>
      </c>
      <c r="BB117" s="77" t="s">
        <v>657</v>
      </c>
      <c r="BC117" s="43"/>
      <c r="BD117" s="7" t="e">
        <f>BA117/12</f>
        <v>#VALUE!</v>
      </c>
      <c r="BE117" s="28" t="s">
        <v>658</v>
      </c>
      <c r="BF117" s="27" t="s">
        <v>669</v>
      </c>
      <c r="BG117" s="7">
        <f>COUNTIFS($I$6:$I$105, "&lt;="&amp;BA116, $I$6:$I$105, "&gt;="&amp;BA117)</f>
        <v>0</v>
      </c>
      <c r="BH117" s="28" t="s">
        <v>670</v>
      </c>
      <c r="BI117" s="27" t="s">
        <v>659</v>
      </c>
      <c r="BJ117" s="7" t="e">
        <f>IF(AX116="Interior Drive Post", (BD118-(TG/12)), BD118)</f>
        <v>#VALUE!</v>
      </c>
      <c r="BK117" s="28" t="s">
        <v>658</v>
      </c>
      <c r="BL117" s="27" t="s">
        <v>671</v>
      </c>
      <c r="BM117" s="7" t="e">
        <f>BD120</f>
        <v>#VALUE!</v>
      </c>
      <c r="BN117" s="28" t="s">
        <v>665</v>
      </c>
      <c r="BO117" s="27" t="s">
        <v>672</v>
      </c>
      <c r="BP117" s="317" t="e">
        <f>BJ120</f>
        <v>#VALUE!</v>
      </c>
      <c r="BQ117" s="28" t="s">
        <v>663</v>
      </c>
      <c r="BS117" s="27" t="s">
        <v>659</v>
      </c>
      <c r="BT117" s="7" t="e">
        <f>IF(AX116= "Interior Drive Post", (BD118)-((GL+GR)/12), BD118)</f>
        <v>#VALUE!</v>
      </c>
      <c r="BU117" s="28" t="s">
        <v>658</v>
      </c>
      <c r="BV117" s="27" t="s">
        <v>659</v>
      </c>
      <c r="BW117" s="7" t="e">
        <f>BJ117</f>
        <v>#VALUE!</v>
      </c>
      <c r="BX117" s="28" t="s">
        <v>658</v>
      </c>
      <c r="BY117" s="27" t="s">
        <v>672</v>
      </c>
      <c r="BZ117" s="323" t="e">
        <f>BW118</f>
        <v>#VALUE!</v>
      </c>
      <c r="CA117" s="28" t="s">
        <v>665</v>
      </c>
      <c r="CC117" s="27" t="s">
        <v>673</v>
      </c>
      <c r="CD117" s="210" t="e">
        <f>RSL*COS(Radians)</f>
        <v>#VALUE!</v>
      </c>
      <c r="CE117" s="28" t="s">
        <v>65</v>
      </c>
    </row>
    <row r="118" spans="2:83" x14ac:dyDescent="0.25">
      <c r="B118" s="12"/>
      <c r="C118" s="12"/>
      <c r="D118" s="12"/>
      <c r="E118" s="12" t="s">
        <v>150</v>
      </c>
      <c r="F118" s="12" t="s">
        <v>698</v>
      </c>
      <c r="O118" s="628"/>
      <c r="P118" s="559"/>
      <c r="Q118" t="s">
        <v>659</v>
      </c>
      <c r="R118" s="7" t="e">
        <f>R116-R117</f>
        <v>#VALUE!</v>
      </c>
      <c r="S118" s="77" t="s">
        <v>657</v>
      </c>
      <c r="T118" s="43"/>
      <c r="U118" s="7" t="e">
        <f>R118/12</f>
        <v>#VALUE!</v>
      </c>
      <c r="V118" s="28" t="s">
        <v>658</v>
      </c>
      <c r="W118" s="27" t="s">
        <v>674</v>
      </c>
      <c r="X118" s="7" t="e">
        <f>X117*X116</f>
        <v>#VALUE!</v>
      </c>
      <c r="Y118" s="28" t="s">
        <v>657</v>
      </c>
      <c r="Z118" s="27"/>
      <c r="AA118" s="7"/>
      <c r="AB118" s="28"/>
      <c r="AC118" s="27"/>
      <c r="AD118" s="7"/>
      <c r="AE118" s="28"/>
      <c r="AF118" s="27" t="s">
        <v>653</v>
      </c>
      <c r="AG118" s="319" t="e">
        <f>AD120</f>
        <v>#VALUE!</v>
      </c>
      <c r="AH118" s="28" t="s">
        <v>663</v>
      </c>
      <c r="AJ118" s="27" t="s">
        <v>671</v>
      </c>
      <c r="AK118" s="321" t="e">
        <f>AK116*AK117</f>
        <v>#VALUE!</v>
      </c>
      <c r="AL118" s="28" t="s">
        <v>665</v>
      </c>
      <c r="AM118" s="27" t="s">
        <v>671</v>
      </c>
      <c r="AN118" s="323" t="e">
        <f>AN117*AN116</f>
        <v>#VALUE!</v>
      </c>
      <c r="AO118" s="28" t="s">
        <v>665</v>
      </c>
      <c r="AP118" s="27" t="s">
        <v>654</v>
      </c>
      <c r="AQ118" s="7" t="e">
        <f>SUM(AQ116:AQ117)</f>
        <v>#VALUE!</v>
      </c>
      <c r="AR118" s="28" t="s">
        <v>665</v>
      </c>
      <c r="AT118" s="27" t="s">
        <v>671</v>
      </c>
      <c r="AU118" s="210" t="e">
        <f>U120</f>
        <v>#VALUE!</v>
      </c>
      <c r="AV118" s="28" t="s">
        <v>702</v>
      </c>
      <c r="AX118" s="628"/>
      <c r="AY118" s="559"/>
      <c r="AZ118" t="s">
        <v>659</v>
      </c>
      <c r="BA118" s="7" t="e">
        <f>BA116-BA117</f>
        <v>#VALUE!</v>
      </c>
      <c r="BB118" s="77" t="s">
        <v>657</v>
      </c>
      <c r="BC118" s="43"/>
      <c r="BD118" s="7" t="e">
        <f>BA118/12</f>
        <v>#VALUE!</v>
      </c>
      <c r="BE118" s="28" t="s">
        <v>658</v>
      </c>
      <c r="BF118" s="27" t="s">
        <v>674</v>
      </c>
      <c r="BG118" s="7" t="e">
        <f>BG117*BG116</f>
        <v>#VALUE!</v>
      </c>
      <c r="BH118" s="28" t="s">
        <v>657</v>
      </c>
      <c r="BI118" s="27"/>
      <c r="BJ118" s="7"/>
      <c r="BK118" s="28"/>
      <c r="BL118" s="27"/>
      <c r="BM118" s="7"/>
      <c r="BN118" s="28"/>
      <c r="BO118" s="27" t="s">
        <v>653</v>
      </c>
      <c r="BP118" s="319" t="e">
        <f>BM120</f>
        <v>#VALUE!</v>
      </c>
      <c r="BQ118" s="28" t="s">
        <v>663</v>
      </c>
      <c r="BS118" s="27" t="s">
        <v>671</v>
      </c>
      <c r="BT118" s="321" t="e">
        <f>BT116*BT117</f>
        <v>#VALUE!</v>
      </c>
      <c r="BU118" s="28" t="s">
        <v>665</v>
      </c>
      <c r="BV118" s="27" t="s">
        <v>671</v>
      </c>
      <c r="BW118" s="323" t="e">
        <f>BW117*BW116</f>
        <v>#VALUE!</v>
      </c>
      <c r="BX118" s="28" t="s">
        <v>665</v>
      </c>
      <c r="BY118" s="27" t="s">
        <v>654</v>
      </c>
      <c r="BZ118" s="7" t="e">
        <f>SUM(BZ116:BZ117)</f>
        <v>#VALUE!</v>
      </c>
      <c r="CA118" s="28" t="s">
        <v>665</v>
      </c>
      <c r="CC118" s="27" t="s">
        <v>671</v>
      </c>
      <c r="CD118" s="210" t="e">
        <f>BD120</f>
        <v>#VALUE!</v>
      </c>
      <c r="CE118" s="28" t="s">
        <v>665</v>
      </c>
    </row>
    <row r="119" spans="2:83" x14ac:dyDescent="0.25">
      <c r="B119" s="12"/>
      <c r="C119" s="12"/>
      <c r="D119" s="12">
        <f>IF(ABS(F119)&gt;0,1,0)</f>
        <v>0</v>
      </c>
      <c r="E119" s="12">
        <f>SUM(LSI_2:LSI_10)</f>
        <v>0</v>
      </c>
      <c r="F119" s="12">
        <f>-SUM(RSI_10)</f>
        <v>0</v>
      </c>
      <c r="O119" s="628"/>
      <c r="P119" s="559"/>
      <c r="Q119" t="s">
        <v>675</v>
      </c>
      <c r="R119" s="7" t="e">
        <f>ROUND(ML, 3)</f>
        <v>#VALUE!</v>
      </c>
      <c r="S119" s="77" t="s">
        <v>657</v>
      </c>
      <c r="T119" s="43"/>
      <c r="U119" s="7" t="e">
        <f>R119/12</f>
        <v>#VALUE!</v>
      </c>
      <c r="V119" s="28" t="s">
        <v>658</v>
      </c>
      <c r="W119" s="27" t="s">
        <v>660</v>
      </c>
      <c r="X119" s="7">
        <f>VLOOKUP(VS,'List Data'!$A$8:$B$12, 2, FALSE)</f>
        <v>2.1419999999999999</v>
      </c>
      <c r="Y119" s="28" t="s">
        <v>661</v>
      </c>
      <c r="Z119" s="27"/>
      <c r="AA119" s="7"/>
      <c r="AB119" s="28"/>
      <c r="AC119" s="27"/>
      <c r="AD119" s="7"/>
      <c r="AE119" s="28"/>
      <c r="AF119" s="27"/>
      <c r="AH119" s="28"/>
      <c r="AJ119" s="27"/>
      <c r="AK119" s="7"/>
      <c r="AL119" s="28"/>
      <c r="AM119" s="27"/>
      <c r="AO119" s="28"/>
      <c r="AP119" s="27"/>
      <c r="AQ119" s="7"/>
      <c r="AR119" s="28"/>
      <c r="AT119" s="27"/>
      <c r="AU119" s="210"/>
      <c r="AV119" s="28"/>
      <c r="AX119" s="628"/>
      <c r="AY119" s="559"/>
      <c r="AZ119" t="s">
        <v>675</v>
      </c>
      <c r="BA119" s="7" t="e">
        <f>ROUND(ML, 3)</f>
        <v>#VALUE!</v>
      </c>
      <c r="BB119" s="77" t="s">
        <v>657</v>
      </c>
      <c r="BC119" s="43"/>
      <c r="BD119" s="7" t="e">
        <f>BA119/12</f>
        <v>#VALUE!</v>
      </c>
      <c r="BE119" s="28" t="s">
        <v>658</v>
      </c>
      <c r="BF119" s="27" t="s">
        <v>660</v>
      </c>
      <c r="BG119" s="7">
        <f>VLOOKUP(VS,'List Data'!$A$8:$B$12, 2, FALSE)</f>
        <v>2.1419999999999999</v>
      </c>
      <c r="BH119" s="28" t="s">
        <v>661</v>
      </c>
      <c r="BI119" s="27"/>
      <c r="BJ119" s="7"/>
      <c r="BK119" s="28"/>
      <c r="BL119" s="27"/>
      <c r="BM119" s="7"/>
      <c r="BN119" s="28"/>
      <c r="BO119" s="27"/>
      <c r="BQ119" s="28"/>
      <c r="BS119" s="27"/>
      <c r="BT119" s="7"/>
      <c r="BU119" s="28"/>
      <c r="BV119" s="27"/>
      <c r="BX119" s="28"/>
      <c r="BY119" s="27"/>
      <c r="BZ119" s="7"/>
      <c r="CA119" s="28"/>
      <c r="CC119" s="27"/>
      <c r="CD119" s="210"/>
      <c r="CE119" s="28"/>
    </row>
    <row r="120" spans="2:83" x14ac:dyDescent="0.25">
      <c r="B120" s="12"/>
      <c r="C120" s="12"/>
      <c r="D120" s="12">
        <f t="shared" ref="D120:D127" si="53">IF(D119&gt;0,D119+1, IF(ABS(F120)&gt;0,1,0))</f>
        <v>0</v>
      </c>
      <c r="E120" s="12">
        <f>SUM(LSI_3:LSI_10)</f>
        <v>0</v>
      </c>
      <c r="F120" s="12">
        <f>-SUM(RSI_9:RSI_10)</f>
        <v>0</v>
      </c>
      <c r="O120" s="629"/>
      <c r="P120" s="561"/>
      <c r="Q120" s="30" t="s">
        <v>671</v>
      </c>
      <c r="R120" s="309" t="e">
        <f>R118*R119</f>
        <v>#VALUE!</v>
      </c>
      <c r="S120" s="311" t="s">
        <v>676</v>
      </c>
      <c r="T120" s="313"/>
      <c r="U120" s="309" t="e">
        <f>IF(O116="Exterior Drive Post", (R120/144)-(((GL+GR)*(ML/25.4))/144), R120/144)</f>
        <v>#VALUE!</v>
      </c>
      <c r="V120" s="31" t="s">
        <v>677</v>
      </c>
      <c r="W120" s="29" t="s">
        <v>678</v>
      </c>
      <c r="X120" s="314" t="e">
        <f>X119/12*X118</f>
        <v>#VALUE!</v>
      </c>
      <c r="Y120" s="31" t="s">
        <v>663</v>
      </c>
      <c r="Z120" s="29" t="s">
        <v>678</v>
      </c>
      <c r="AA120" s="315" t="e">
        <f>AA116*AA117</f>
        <v>#VALUE!</v>
      </c>
      <c r="AB120" s="31" t="s">
        <v>663</v>
      </c>
      <c r="AC120" s="29" t="s">
        <v>678</v>
      </c>
      <c r="AD120" s="316" t="e">
        <f>AD116*AD117</f>
        <v>#VALUE!</v>
      </c>
      <c r="AE120" s="31" t="s">
        <v>181</v>
      </c>
      <c r="AF120" s="29" t="s">
        <v>654</v>
      </c>
      <c r="AG120" s="320" t="e">
        <f>IF(O116="Exterior Drive Post", SUM(AG116:AG118)+SDW, SUM(AG116:AG118)+ICW)</f>
        <v>#VALUE!</v>
      </c>
      <c r="AH120" s="31" t="s">
        <v>663</v>
      </c>
      <c r="AI120">
        <v>23</v>
      </c>
      <c r="AJ120" s="29"/>
      <c r="AK120" s="309"/>
      <c r="AL120" s="31"/>
      <c r="AM120" s="29"/>
      <c r="AN120" s="30"/>
      <c r="AO120" s="31"/>
      <c r="AP120" s="29" t="s">
        <v>679</v>
      </c>
      <c r="AQ120" s="324" t="e">
        <f>AQ118*Pult</f>
        <v>#VALUE!</v>
      </c>
      <c r="AR120" s="31" t="s">
        <v>181</v>
      </c>
      <c r="AT120" s="29" t="s">
        <v>662</v>
      </c>
      <c r="AU120" s="339" t="e">
        <f>AU118*AU117</f>
        <v>#VALUE!</v>
      </c>
      <c r="AV120" s="31" t="s">
        <v>181</v>
      </c>
      <c r="AX120" s="629"/>
      <c r="AY120" s="561"/>
      <c r="AZ120" s="30" t="s">
        <v>671</v>
      </c>
      <c r="BA120" s="309" t="e">
        <f>BA118*BA119</f>
        <v>#VALUE!</v>
      </c>
      <c r="BB120" s="311" t="s">
        <v>676</v>
      </c>
      <c r="BC120" s="313"/>
      <c r="BD120" s="309" t="e">
        <f>IF(AX116="Interior Drive Post", (BA120/144)-(((GL+GR)*(ML/25.4))/144), BA120/144)</f>
        <v>#VALUE!</v>
      </c>
      <c r="BE120" s="31" t="s">
        <v>677</v>
      </c>
      <c r="BF120" s="29" t="s">
        <v>678</v>
      </c>
      <c r="BG120" s="314" t="e">
        <f>BG119/12*BG118</f>
        <v>#VALUE!</v>
      </c>
      <c r="BH120" s="31" t="s">
        <v>663</v>
      </c>
      <c r="BI120" s="29" t="s">
        <v>678</v>
      </c>
      <c r="BJ120" s="315" t="e">
        <f>BJ116*BJ117</f>
        <v>#VALUE!</v>
      </c>
      <c r="BK120" s="31" t="s">
        <v>663</v>
      </c>
      <c r="BL120" s="29" t="s">
        <v>678</v>
      </c>
      <c r="BM120" s="316" t="e">
        <f>BM116*BM117</f>
        <v>#VALUE!</v>
      </c>
      <c r="BN120" s="31" t="s">
        <v>181</v>
      </c>
      <c r="BO120" s="29" t="s">
        <v>654</v>
      </c>
      <c r="BP120" s="320" t="e">
        <f>IF(AX116="Interior Drive Post", SUM(BP116:BP118)+SDW, SUM(BP116:BP118)+ICW)</f>
        <v>#VALUE!</v>
      </c>
      <c r="BQ120" s="31" t="s">
        <v>663</v>
      </c>
      <c r="BR120">
        <v>23</v>
      </c>
      <c r="BS120" s="29"/>
      <c r="BT120" s="309"/>
      <c r="BU120" s="31"/>
      <c r="BV120" s="29"/>
      <c r="BW120" s="30"/>
      <c r="BX120" s="31"/>
      <c r="BY120" s="29" t="s">
        <v>679</v>
      </c>
      <c r="BZ120" s="324" t="e">
        <f>BZ118*Pult</f>
        <v>#VALUE!</v>
      </c>
      <c r="CA120" s="31" t="s">
        <v>181</v>
      </c>
      <c r="CC120" s="29" t="s">
        <v>662</v>
      </c>
      <c r="CD120" s="339" t="e">
        <f>CD118*CD117</f>
        <v>#VALUE!</v>
      </c>
      <c r="CE120" s="31" t="s">
        <v>181</v>
      </c>
    </row>
    <row r="121" spans="2:83" x14ac:dyDescent="0.25">
      <c r="B121" s="12"/>
      <c r="C121" s="12"/>
      <c r="D121" s="12">
        <f t="shared" si="53"/>
        <v>0</v>
      </c>
      <c r="E121" s="12">
        <f>SUM(LSI_4:LSI_10)</f>
        <v>0</v>
      </c>
      <c r="F121" s="12">
        <f>-SUM(RSI_8:RSI_10)</f>
        <v>0</v>
      </c>
      <c r="O121" s="653" t="str">
        <f>D29</f>
        <v/>
      </c>
      <c r="P121" s="558"/>
      <c r="Q121" s="25" t="s">
        <v>656</v>
      </c>
      <c r="R121" s="297" t="str">
        <f>L29</f>
        <v/>
      </c>
      <c r="S121" s="310" t="s">
        <v>657</v>
      </c>
      <c r="T121" s="312"/>
      <c r="U121" s="297" t="e">
        <f>R121/12</f>
        <v>#VALUE!</v>
      </c>
      <c r="V121" s="26" t="s">
        <v>658</v>
      </c>
      <c r="W121" s="24" t="s">
        <v>659</v>
      </c>
      <c r="X121" s="297" t="e">
        <f>VL</f>
        <v>#VALUE!</v>
      </c>
      <c r="Y121" s="26" t="s">
        <v>657</v>
      </c>
      <c r="Z121" s="24" t="s">
        <v>660</v>
      </c>
      <c r="AA121" s="297">
        <f>VLOOKUP(TS,'List Data'!$A$15:$B$18, 2, FALSE)</f>
        <v>7.8955000000000002</v>
      </c>
      <c r="AB121" s="26" t="s">
        <v>661</v>
      </c>
      <c r="AC121" s="24" t="s">
        <v>662</v>
      </c>
      <c r="AD121" s="297" t="e">
        <f>PL</f>
        <v>#VALUE!</v>
      </c>
      <c r="AE121" s="26" t="s">
        <v>65</v>
      </c>
      <c r="AF121" s="24" t="s">
        <v>651</v>
      </c>
      <c r="AG121" s="318" t="e">
        <f>X125</f>
        <v>#VALUE!</v>
      </c>
      <c r="AH121" s="26" t="s">
        <v>663</v>
      </c>
      <c r="AJ121" s="24" t="s">
        <v>664</v>
      </c>
      <c r="AK121" s="297" t="e">
        <f>ROUND(MT/12,5)</f>
        <v>#VALUE!</v>
      </c>
      <c r="AL121" s="26" t="s">
        <v>658</v>
      </c>
      <c r="AM121" s="24" t="s">
        <v>370</v>
      </c>
      <c r="AN121" s="297">
        <f>IF(OR(TS="5x4, .126", TS="5x4, .134"), 5/12,4/12)</f>
        <v>0.41666666666666669</v>
      </c>
      <c r="AO121" s="26" t="s">
        <v>658</v>
      </c>
      <c r="AP121" s="24" t="s">
        <v>653</v>
      </c>
      <c r="AQ121" s="322" t="e">
        <f>AK123</f>
        <v>#VALUE!</v>
      </c>
      <c r="AR121" s="26" t="s">
        <v>665</v>
      </c>
      <c r="AT121" s="24" t="s">
        <v>666</v>
      </c>
      <c r="AU121" s="338" t="str">
        <f>Theta</f>
        <v>XX</v>
      </c>
      <c r="AV121" s="26" t="s">
        <v>667</v>
      </c>
      <c r="AX121" s="653" t="str">
        <f>D65</f>
        <v/>
      </c>
      <c r="AY121" s="558"/>
      <c r="AZ121" s="25" t="s">
        <v>656</v>
      </c>
      <c r="BA121" s="297" t="str">
        <f>L65</f>
        <v/>
      </c>
      <c r="BB121" s="310" t="s">
        <v>657</v>
      </c>
      <c r="BC121" s="312"/>
      <c r="BD121" s="297" t="e">
        <f>BA121/12</f>
        <v>#VALUE!</v>
      </c>
      <c r="BE121" s="26" t="s">
        <v>658</v>
      </c>
      <c r="BF121" s="24" t="s">
        <v>659</v>
      </c>
      <c r="BG121" s="297" t="e">
        <f>VL</f>
        <v>#VALUE!</v>
      </c>
      <c r="BH121" s="26" t="s">
        <v>657</v>
      </c>
      <c r="BI121" s="24" t="s">
        <v>660</v>
      </c>
      <c r="BJ121" s="297">
        <f>VLOOKUP(TS,'List Data'!$A$15:$B$18, 2, FALSE)</f>
        <v>7.8955000000000002</v>
      </c>
      <c r="BK121" s="26" t="s">
        <v>661</v>
      </c>
      <c r="BL121" s="24" t="s">
        <v>662</v>
      </c>
      <c r="BM121" s="297" t="e">
        <f>PL</f>
        <v>#VALUE!</v>
      </c>
      <c r="BN121" s="26" t="s">
        <v>65</v>
      </c>
      <c r="BO121" s="24" t="s">
        <v>651</v>
      </c>
      <c r="BP121" s="318" t="e">
        <f>BG125</f>
        <v>#VALUE!</v>
      </c>
      <c r="BQ121" s="26" t="s">
        <v>663</v>
      </c>
      <c r="BS121" s="24" t="s">
        <v>664</v>
      </c>
      <c r="BT121" s="297" t="e">
        <f>ROUND(MT/12,5)</f>
        <v>#VALUE!</v>
      </c>
      <c r="BU121" s="26" t="s">
        <v>658</v>
      </c>
      <c r="BV121" s="24" t="s">
        <v>370</v>
      </c>
      <c r="BW121" s="297">
        <f>IF(OR(TS="5x4, .126", TS="5x4, .134"), 5/12,4/12)</f>
        <v>0.41666666666666669</v>
      </c>
      <c r="BX121" s="26" t="s">
        <v>658</v>
      </c>
      <c r="BY121" s="24" t="s">
        <v>653</v>
      </c>
      <c r="BZ121" s="322" t="e">
        <f>BT123</f>
        <v>#VALUE!</v>
      </c>
      <c r="CA121" s="26" t="s">
        <v>665</v>
      </c>
      <c r="CC121" s="24" t="s">
        <v>666</v>
      </c>
      <c r="CD121" s="338" t="str">
        <f>Theta</f>
        <v>XX</v>
      </c>
      <c r="CE121" s="26" t="s">
        <v>667</v>
      </c>
    </row>
    <row r="122" spans="2:83" x14ac:dyDescent="0.25">
      <c r="B122" s="12"/>
      <c r="C122" s="12"/>
      <c r="D122" s="12">
        <f t="shared" si="53"/>
        <v>0</v>
      </c>
      <c r="E122" s="12">
        <f>SUM(LSI_5:LSI_10)</f>
        <v>0</v>
      </c>
      <c r="F122" s="12">
        <f>-SUM(RSI_7:RSI_10)</f>
        <v>0</v>
      </c>
      <c r="O122" s="628"/>
      <c r="P122" s="559"/>
      <c r="Q122" t="s">
        <v>668</v>
      </c>
      <c r="R122" s="7" t="str">
        <f>L30</f>
        <v/>
      </c>
      <c r="S122" s="77" t="s">
        <v>657</v>
      </c>
      <c r="T122" s="43"/>
      <c r="U122" s="7" t="e">
        <f>R122/12</f>
        <v>#VALUE!</v>
      </c>
      <c r="V122" s="28" t="s">
        <v>658</v>
      </c>
      <c r="W122" s="27" t="s">
        <v>669</v>
      </c>
      <c r="X122" s="7">
        <f>COUNTIFS($I$6:$I$105, "&lt;="&amp;R121, $I$6:$I$105, "&gt;="&amp;R122)</f>
        <v>0</v>
      </c>
      <c r="Y122" s="28" t="s">
        <v>670</v>
      </c>
      <c r="Z122" s="27" t="s">
        <v>659</v>
      </c>
      <c r="AA122" s="7" t="e">
        <f>IF(O121="Exterior Drive Post", (U123-(TG/12)), U123)</f>
        <v>#VALUE!</v>
      </c>
      <c r="AB122" s="28" t="s">
        <v>658</v>
      </c>
      <c r="AC122" s="27" t="s">
        <v>671</v>
      </c>
      <c r="AD122" s="7" t="e">
        <f>U125</f>
        <v>#VALUE!</v>
      </c>
      <c r="AE122" s="28" t="s">
        <v>665</v>
      </c>
      <c r="AF122" s="27" t="s">
        <v>672</v>
      </c>
      <c r="AG122" s="317" t="e">
        <f>AA125</f>
        <v>#VALUE!</v>
      </c>
      <c r="AH122" s="28" t="s">
        <v>663</v>
      </c>
      <c r="AJ122" s="27" t="s">
        <v>659</v>
      </c>
      <c r="AK122" s="7" t="e">
        <f>IF(O121= "Exterior Drive Post", (U123)-((GL+GR)/12), U123)</f>
        <v>#VALUE!</v>
      </c>
      <c r="AL122" s="28" t="s">
        <v>658</v>
      </c>
      <c r="AM122" s="27" t="s">
        <v>659</v>
      </c>
      <c r="AN122" s="7" t="e">
        <f>AA122</f>
        <v>#VALUE!</v>
      </c>
      <c r="AO122" s="28" t="s">
        <v>658</v>
      </c>
      <c r="AP122" s="27" t="s">
        <v>672</v>
      </c>
      <c r="AQ122" s="323" t="e">
        <f>AN123</f>
        <v>#VALUE!</v>
      </c>
      <c r="AR122" s="28" t="s">
        <v>665</v>
      </c>
      <c r="AT122" s="27" t="s">
        <v>673</v>
      </c>
      <c r="AU122" s="210" t="e">
        <f>RSL*COS(Radians)</f>
        <v>#VALUE!</v>
      </c>
      <c r="AV122" s="28" t="s">
        <v>65</v>
      </c>
      <c r="AX122" s="628"/>
      <c r="AY122" s="559"/>
      <c r="AZ122" t="s">
        <v>668</v>
      </c>
      <c r="BA122" s="7" t="str">
        <f>L66</f>
        <v/>
      </c>
      <c r="BB122" s="77" t="s">
        <v>657</v>
      </c>
      <c r="BC122" s="43"/>
      <c r="BD122" s="7" t="e">
        <f>BA122/12</f>
        <v>#VALUE!</v>
      </c>
      <c r="BE122" s="28" t="s">
        <v>658</v>
      </c>
      <c r="BF122" s="27" t="s">
        <v>669</v>
      </c>
      <c r="BG122" s="7">
        <f>COUNTIFS($I$6:$I$105, "&lt;="&amp;BA121, $I$6:$I$105, "&gt;="&amp;BA122)</f>
        <v>0</v>
      </c>
      <c r="BH122" s="28" t="s">
        <v>670</v>
      </c>
      <c r="BI122" s="27" t="s">
        <v>659</v>
      </c>
      <c r="BJ122" s="7" t="e">
        <f>IF(AX121="Interior Drive Post", (BD123-(TG/12)), BD123)</f>
        <v>#VALUE!</v>
      </c>
      <c r="BK122" s="28" t="s">
        <v>658</v>
      </c>
      <c r="BL122" s="27" t="s">
        <v>671</v>
      </c>
      <c r="BM122" s="7" t="e">
        <f>BD125</f>
        <v>#VALUE!</v>
      </c>
      <c r="BN122" s="28" t="s">
        <v>665</v>
      </c>
      <c r="BO122" s="27" t="s">
        <v>672</v>
      </c>
      <c r="BP122" s="317" t="e">
        <f>BJ125</f>
        <v>#VALUE!</v>
      </c>
      <c r="BQ122" s="28" t="s">
        <v>663</v>
      </c>
      <c r="BS122" s="27" t="s">
        <v>659</v>
      </c>
      <c r="BT122" s="7" t="e">
        <f>IF(AX121= "Interior Drive Post", (BD123)-((GL+GR)/12), BD123)</f>
        <v>#VALUE!</v>
      </c>
      <c r="BU122" s="28" t="s">
        <v>658</v>
      </c>
      <c r="BV122" s="27" t="s">
        <v>659</v>
      </c>
      <c r="BW122" s="7" t="e">
        <f>BJ122</f>
        <v>#VALUE!</v>
      </c>
      <c r="BX122" s="28" t="s">
        <v>658</v>
      </c>
      <c r="BY122" s="27" t="s">
        <v>672</v>
      </c>
      <c r="BZ122" s="323" t="e">
        <f>BW123</f>
        <v>#VALUE!</v>
      </c>
      <c r="CA122" s="28" t="s">
        <v>665</v>
      </c>
      <c r="CC122" s="27" t="s">
        <v>673</v>
      </c>
      <c r="CD122" s="210" t="e">
        <f>RSL*COS(Radians)</f>
        <v>#VALUE!</v>
      </c>
      <c r="CE122" s="28" t="s">
        <v>65</v>
      </c>
    </row>
    <row r="123" spans="2:83" x14ac:dyDescent="0.25">
      <c r="B123" s="12"/>
      <c r="C123" s="12"/>
      <c r="D123" s="12">
        <f t="shared" si="53"/>
        <v>0</v>
      </c>
      <c r="E123" s="12">
        <f>SUM(LSI_6:LSI_10)</f>
        <v>0</v>
      </c>
      <c r="F123" s="12">
        <f>-SUM(RSI_6:RSI_10)</f>
        <v>0</v>
      </c>
      <c r="O123" s="628"/>
      <c r="P123" s="559"/>
      <c r="Q123" t="s">
        <v>659</v>
      </c>
      <c r="R123" s="7" t="e">
        <f>R121-R122</f>
        <v>#VALUE!</v>
      </c>
      <c r="S123" s="77" t="s">
        <v>657</v>
      </c>
      <c r="T123" s="43"/>
      <c r="U123" s="7" t="e">
        <f>R123/12</f>
        <v>#VALUE!</v>
      </c>
      <c r="V123" s="28" t="s">
        <v>658</v>
      </c>
      <c r="W123" s="27" t="s">
        <v>674</v>
      </c>
      <c r="X123" s="7" t="e">
        <f>X122*X121</f>
        <v>#VALUE!</v>
      </c>
      <c r="Y123" s="28" t="s">
        <v>657</v>
      </c>
      <c r="Z123" s="27"/>
      <c r="AA123" s="7"/>
      <c r="AB123" s="28"/>
      <c r="AC123" s="27"/>
      <c r="AD123" s="7"/>
      <c r="AE123" s="28"/>
      <c r="AF123" s="27" t="s">
        <v>653</v>
      </c>
      <c r="AG123" s="319" t="e">
        <f>AD125</f>
        <v>#VALUE!</v>
      </c>
      <c r="AH123" s="28" t="s">
        <v>663</v>
      </c>
      <c r="AJ123" s="27" t="s">
        <v>671</v>
      </c>
      <c r="AK123" s="321" t="e">
        <f>AK121*AK122</f>
        <v>#VALUE!</v>
      </c>
      <c r="AL123" s="28" t="s">
        <v>665</v>
      </c>
      <c r="AM123" s="27" t="s">
        <v>671</v>
      </c>
      <c r="AN123" s="323" t="e">
        <f>AN122*AN121</f>
        <v>#VALUE!</v>
      </c>
      <c r="AO123" s="28" t="s">
        <v>665</v>
      </c>
      <c r="AP123" s="27" t="s">
        <v>654</v>
      </c>
      <c r="AQ123" s="7" t="e">
        <f>SUM(AQ121:AQ122)</f>
        <v>#VALUE!</v>
      </c>
      <c r="AR123" s="28" t="s">
        <v>665</v>
      </c>
      <c r="AT123" s="27" t="s">
        <v>671</v>
      </c>
      <c r="AU123" s="210" t="e">
        <f>U125</f>
        <v>#VALUE!</v>
      </c>
      <c r="AV123" s="28" t="s">
        <v>703</v>
      </c>
      <c r="AX123" s="628"/>
      <c r="AY123" s="559"/>
      <c r="AZ123" t="s">
        <v>659</v>
      </c>
      <c r="BA123" s="7" t="e">
        <f>BA121-BA122</f>
        <v>#VALUE!</v>
      </c>
      <c r="BB123" s="77" t="s">
        <v>657</v>
      </c>
      <c r="BC123" s="43"/>
      <c r="BD123" s="7" t="e">
        <f>BA123/12</f>
        <v>#VALUE!</v>
      </c>
      <c r="BE123" s="28" t="s">
        <v>658</v>
      </c>
      <c r="BF123" s="27" t="s">
        <v>674</v>
      </c>
      <c r="BG123" s="7" t="e">
        <f>BG122*BG121</f>
        <v>#VALUE!</v>
      </c>
      <c r="BH123" s="28" t="s">
        <v>657</v>
      </c>
      <c r="BI123" s="27"/>
      <c r="BJ123" s="7"/>
      <c r="BK123" s="28"/>
      <c r="BL123" s="27"/>
      <c r="BM123" s="7"/>
      <c r="BN123" s="28"/>
      <c r="BO123" s="27" t="s">
        <v>653</v>
      </c>
      <c r="BP123" s="319" t="e">
        <f>BM125</f>
        <v>#VALUE!</v>
      </c>
      <c r="BQ123" s="28" t="s">
        <v>663</v>
      </c>
      <c r="BS123" s="27" t="s">
        <v>671</v>
      </c>
      <c r="BT123" s="321" t="e">
        <f>BT121*BT122</f>
        <v>#VALUE!</v>
      </c>
      <c r="BU123" s="28" t="s">
        <v>665</v>
      </c>
      <c r="BV123" s="27" t="s">
        <v>671</v>
      </c>
      <c r="BW123" s="323" t="e">
        <f>BW122*BW121</f>
        <v>#VALUE!</v>
      </c>
      <c r="BX123" s="28" t="s">
        <v>665</v>
      </c>
      <c r="BY123" s="27" t="s">
        <v>654</v>
      </c>
      <c r="BZ123" s="7" t="e">
        <f>SUM(BZ121:BZ122)</f>
        <v>#VALUE!</v>
      </c>
      <c r="CA123" s="28" t="s">
        <v>665</v>
      </c>
      <c r="CC123" s="27" t="s">
        <v>671</v>
      </c>
      <c r="CD123" s="210" t="e">
        <f>BD125</f>
        <v>#VALUE!</v>
      </c>
      <c r="CE123" s="28" t="s">
        <v>665</v>
      </c>
    </row>
    <row r="124" spans="2:83" x14ac:dyDescent="0.25">
      <c r="B124" s="12"/>
      <c r="C124" s="12"/>
      <c r="D124" s="12">
        <f t="shared" si="53"/>
        <v>0</v>
      </c>
      <c r="E124" s="12">
        <f>SUM(LSI_7:LSI_10)</f>
        <v>0</v>
      </c>
      <c r="F124" s="12">
        <f>-SUM(RSI_5:RSI_10)</f>
        <v>0</v>
      </c>
      <c r="O124" s="628"/>
      <c r="P124" s="559"/>
      <c r="Q124" t="s">
        <v>675</v>
      </c>
      <c r="R124" s="7" t="e">
        <f>ROUND(ML, 3)</f>
        <v>#VALUE!</v>
      </c>
      <c r="S124" s="77" t="s">
        <v>657</v>
      </c>
      <c r="T124" s="43"/>
      <c r="U124" s="7" t="e">
        <f>R124/12</f>
        <v>#VALUE!</v>
      </c>
      <c r="V124" s="28" t="s">
        <v>658</v>
      </c>
      <c r="W124" s="27" t="s">
        <v>660</v>
      </c>
      <c r="X124" s="7">
        <f>VLOOKUP(VS,'List Data'!$A$8:$B$12, 2, FALSE)</f>
        <v>2.1419999999999999</v>
      </c>
      <c r="Y124" s="28" t="s">
        <v>661</v>
      </c>
      <c r="Z124" s="27"/>
      <c r="AA124" s="7"/>
      <c r="AB124" s="28"/>
      <c r="AC124" s="27"/>
      <c r="AD124" s="7"/>
      <c r="AE124" s="28"/>
      <c r="AF124" s="27"/>
      <c r="AH124" s="28"/>
      <c r="AJ124" s="27"/>
      <c r="AK124" s="7"/>
      <c r="AL124" s="28"/>
      <c r="AM124" s="27"/>
      <c r="AO124" s="28"/>
      <c r="AP124" s="27"/>
      <c r="AQ124" s="7"/>
      <c r="AR124" s="28"/>
      <c r="AT124" s="27"/>
      <c r="AU124" s="210"/>
      <c r="AV124" s="28"/>
      <c r="AX124" s="628"/>
      <c r="AY124" s="559"/>
      <c r="AZ124" t="s">
        <v>675</v>
      </c>
      <c r="BA124" s="7" t="e">
        <f>ROUND(ML, 3)</f>
        <v>#VALUE!</v>
      </c>
      <c r="BB124" s="77" t="s">
        <v>657</v>
      </c>
      <c r="BC124" s="43"/>
      <c r="BD124" s="7" t="e">
        <f>BA124/12</f>
        <v>#VALUE!</v>
      </c>
      <c r="BE124" s="28" t="s">
        <v>658</v>
      </c>
      <c r="BF124" s="27" t="s">
        <v>660</v>
      </c>
      <c r="BG124" s="7">
        <f>VLOOKUP(VS,'List Data'!$A$8:$B$12, 2, FALSE)</f>
        <v>2.1419999999999999</v>
      </c>
      <c r="BH124" s="28" t="s">
        <v>661</v>
      </c>
      <c r="BI124" s="27"/>
      <c r="BJ124" s="7"/>
      <c r="BK124" s="28"/>
      <c r="BL124" s="27"/>
      <c r="BM124" s="7"/>
      <c r="BN124" s="28"/>
      <c r="BO124" s="27"/>
      <c r="BQ124" s="28"/>
      <c r="BS124" s="27"/>
      <c r="BT124" s="7"/>
      <c r="BU124" s="28"/>
      <c r="BV124" s="27"/>
      <c r="BX124" s="28"/>
      <c r="BY124" s="27"/>
      <c r="BZ124" s="7"/>
      <c r="CA124" s="28"/>
      <c r="CC124" s="27"/>
      <c r="CD124" s="210"/>
      <c r="CE124" s="28"/>
    </row>
    <row r="125" spans="2:83" x14ac:dyDescent="0.25">
      <c r="B125" s="12"/>
      <c r="C125" s="12"/>
      <c r="D125" s="12">
        <f t="shared" si="53"/>
        <v>0</v>
      </c>
      <c r="E125" s="12">
        <f>SUM(LSI_8:LSI_10)</f>
        <v>0</v>
      </c>
      <c r="F125" s="12">
        <f>-SUM(RSI_4:RSI_10)</f>
        <v>0</v>
      </c>
      <c r="O125" s="629"/>
      <c r="P125" s="561"/>
      <c r="Q125" s="30" t="s">
        <v>671</v>
      </c>
      <c r="R125" s="309" t="e">
        <f>R123*R124</f>
        <v>#VALUE!</v>
      </c>
      <c r="S125" s="311" t="s">
        <v>676</v>
      </c>
      <c r="T125" s="313"/>
      <c r="U125" s="309" t="e">
        <f>IF(O121="Exterior Drive Post", (R125/144)-(((GL+GR)*(ML/25.4))/144), R125/144)</f>
        <v>#VALUE!</v>
      </c>
      <c r="V125" s="31" t="s">
        <v>677</v>
      </c>
      <c r="W125" s="29" t="s">
        <v>678</v>
      </c>
      <c r="X125" s="314" t="e">
        <f>X124/12*X123</f>
        <v>#VALUE!</v>
      </c>
      <c r="Y125" s="31" t="s">
        <v>663</v>
      </c>
      <c r="Z125" s="29" t="s">
        <v>678</v>
      </c>
      <c r="AA125" s="315" t="e">
        <f>AA121*AA122</f>
        <v>#VALUE!</v>
      </c>
      <c r="AB125" s="31" t="s">
        <v>663</v>
      </c>
      <c r="AC125" s="29" t="s">
        <v>678</v>
      </c>
      <c r="AD125" s="316" t="e">
        <f>AD121*AD122</f>
        <v>#VALUE!</v>
      </c>
      <c r="AE125" s="31" t="s">
        <v>181</v>
      </c>
      <c r="AF125" s="29" t="s">
        <v>654</v>
      </c>
      <c r="AG125" s="320" t="e">
        <f>IF(O121="Exterior Drive Post", SUM(AG121:AG123)+SDW, SUM(AG121:AG123)+ICW)</f>
        <v>#VALUE!</v>
      </c>
      <c r="AH125" s="31" t="s">
        <v>663</v>
      </c>
      <c r="AI125">
        <v>24</v>
      </c>
      <c r="AJ125" s="29"/>
      <c r="AK125" s="309"/>
      <c r="AL125" s="31"/>
      <c r="AM125" s="29"/>
      <c r="AN125" s="30"/>
      <c r="AO125" s="31"/>
      <c r="AP125" s="29" t="s">
        <v>679</v>
      </c>
      <c r="AQ125" s="324" t="e">
        <f>AQ123*Pult</f>
        <v>#VALUE!</v>
      </c>
      <c r="AR125" s="31" t="s">
        <v>181</v>
      </c>
      <c r="AT125" s="29" t="s">
        <v>662</v>
      </c>
      <c r="AU125" s="339" t="e">
        <f>AU123*AU122</f>
        <v>#VALUE!</v>
      </c>
      <c r="AV125" s="31" t="s">
        <v>181</v>
      </c>
      <c r="AX125" s="629"/>
      <c r="AY125" s="561"/>
      <c r="AZ125" s="30" t="s">
        <v>671</v>
      </c>
      <c r="BA125" s="309" t="e">
        <f>BA123*BA124</f>
        <v>#VALUE!</v>
      </c>
      <c r="BB125" s="311" t="s">
        <v>676</v>
      </c>
      <c r="BC125" s="313"/>
      <c r="BD125" s="309" t="e">
        <f>IF(AX121="Interior Drive Post", (BA125/144)-(((GL+GR)*(ML/25.4))/144), BA125/144)</f>
        <v>#VALUE!</v>
      </c>
      <c r="BE125" s="31" t="s">
        <v>677</v>
      </c>
      <c r="BF125" s="29" t="s">
        <v>678</v>
      </c>
      <c r="BG125" s="314" t="e">
        <f>BG124/12*BG123</f>
        <v>#VALUE!</v>
      </c>
      <c r="BH125" s="31" t="s">
        <v>663</v>
      </c>
      <c r="BI125" s="29" t="s">
        <v>678</v>
      </c>
      <c r="BJ125" s="315" t="e">
        <f>BJ121*BJ122</f>
        <v>#VALUE!</v>
      </c>
      <c r="BK125" s="31" t="s">
        <v>663</v>
      </c>
      <c r="BL125" s="29" t="s">
        <v>678</v>
      </c>
      <c r="BM125" s="316" t="e">
        <f>BM121*BM122</f>
        <v>#VALUE!</v>
      </c>
      <c r="BN125" s="31" t="s">
        <v>181</v>
      </c>
      <c r="BO125" s="29" t="s">
        <v>654</v>
      </c>
      <c r="BP125" s="320" t="e">
        <f>IF(AX121="Interior Drive Post", SUM(BP121:BP123)+SDW, SUM(BP121:BP123)+ICW)</f>
        <v>#VALUE!</v>
      </c>
      <c r="BQ125" s="31" t="s">
        <v>663</v>
      </c>
      <c r="BR125">
        <v>24</v>
      </c>
      <c r="BS125" s="29"/>
      <c r="BT125" s="309"/>
      <c r="BU125" s="31"/>
      <c r="BV125" s="29"/>
      <c r="BW125" s="30"/>
      <c r="BX125" s="31"/>
      <c r="BY125" s="29" t="s">
        <v>679</v>
      </c>
      <c r="BZ125" s="324" t="e">
        <f>BZ123*Pult</f>
        <v>#VALUE!</v>
      </c>
      <c r="CA125" s="31" t="s">
        <v>181</v>
      </c>
      <c r="CC125" s="29" t="s">
        <v>662</v>
      </c>
      <c r="CD125" s="339" t="e">
        <f>CD123*CD122</f>
        <v>#VALUE!</v>
      </c>
      <c r="CE125" s="31" t="s">
        <v>181</v>
      </c>
    </row>
    <row r="126" spans="2:83" x14ac:dyDescent="0.25">
      <c r="B126" s="12"/>
      <c r="C126" s="12"/>
      <c r="D126" s="12">
        <f t="shared" si="53"/>
        <v>0</v>
      </c>
      <c r="E126" s="12">
        <f>SUM(LSI_9:LSI_10)</f>
        <v>0</v>
      </c>
      <c r="F126" s="12">
        <f>-SUM(RSI_3:RSI_10)</f>
        <v>0</v>
      </c>
      <c r="O126" s="653" t="str">
        <f>D30</f>
        <v/>
      </c>
      <c r="P126" s="558"/>
      <c r="Q126" s="25" t="s">
        <v>656</v>
      </c>
      <c r="R126" s="297" t="str">
        <f>L30</f>
        <v/>
      </c>
      <c r="S126" s="310" t="s">
        <v>657</v>
      </c>
      <c r="T126" s="312"/>
      <c r="U126" s="297" t="e">
        <f>R126/12</f>
        <v>#VALUE!</v>
      </c>
      <c r="V126" s="26" t="s">
        <v>658</v>
      </c>
      <c r="W126" s="24" t="s">
        <v>659</v>
      </c>
      <c r="X126" s="297" t="e">
        <f>VL</f>
        <v>#VALUE!</v>
      </c>
      <c r="Y126" s="26" t="s">
        <v>657</v>
      </c>
      <c r="Z126" s="24" t="s">
        <v>660</v>
      </c>
      <c r="AA126" s="297">
        <f>VLOOKUP(TS,'List Data'!$A$15:$B$18, 2, FALSE)</f>
        <v>7.8955000000000002</v>
      </c>
      <c r="AB126" s="26" t="s">
        <v>661</v>
      </c>
      <c r="AC126" s="24" t="s">
        <v>662</v>
      </c>
      <c r="AD126" s="297" t="e">
        <f>PL</f>
        <v>#VALUE!</v>
      </c>
      <c r="AE126" s="26" t="s">
        <v>65</v>
      </c>
      <c r="AF126" s="24" t="s">
        <v>651</v>
      </c>
      <c r="AG126" s="318" t="e">
        <f>X130</f>
        <v>#VALUE!</v>
      </c>
      <c r="AH126" s="26" t="s">
        <v>663</v>
      </c>
      <c r="AJ126" s="24" t="s">
        <v>664</v>
      </c>
      <c r="AK126" s="297" t="e">
        <f>ROUND(MT/12,5)</f>
        <v>#VALUE!</v>
      </c>
      <c r="AL126" s="26" t="s">
        <v>658</v>
      </c>
      <c r="AM126" s="24" t="s">
        <v>370</v>
      </c>
      <c r="AN126" s="297">
        <f>IF(OR(TS="5x4, .126", TS="5x4, .134"), 5/12,4/12)</f>
        <v>0.41666666666666669</v>
      </c>
      <c r="AO126" s="26" t="s">
        <v>658</v>
      </c>
      <c r="AP126" s="24" t="s">
        <v>653</v>
      </c>
      <c r="AQ126" s="322" t="e">
        <f>AK128</f>
        <v>#VALUE!</v>
      </c>
      <c r="AR126" s="26" t="s">
        <v>665</v>
      </c>
      <c r="AT126" s="24" t="s">
        <v>666</v>
      </c>
      <c r="AU126" s="338" t="str">
        <f>Theta</f>
        <v>XX</v>
      </c>
      <c r="AV126" s="26" t="s">
        <v>667</v>
      </c>
      <c r="AX126" s="653" t="str">
        <f>D66</f>
        <v/>
      </c>
      <c r="AY126" s="558"/>
      <c r="AZ126" s="25" t="s">
        <v>656</v>
      </c>
      <c r="BA126" s="297" t="str">
        <f>L66</f>
        <v/>
      </c>
      <c r="BB126" s="310" t="s">
        <v>657</v>
      </c>
      <c r="BC126" s="312"/>
      <c r="BD126" s="297" t="e">
        <f>BA126/12</f>
        <v>#VALUE!</v>
      </c>
      <c r="BE126" s="26" t="s">
        <v>658</v>
      </c>
      <c r="BF126" s="24" t="s">
        <v>659</v>
      </c>
      <c r="BG126" s="297" t="e">
        <f>VL</f>
        <v>#VALUE!</v>
      </c>
      <c r="BH126" s="26" t="s">
        <v>657</v>
      </c>
      <c r="BI126" s="24" t="s">
        <v>660</v>
      </c>
      <c r="BJ126" s="297">
        <f>VLOOKUP(TS,'List Data'!$A$15:$B$18, 2, FALSE)</f>
        <v>7.8955000000000002</v>
      </c>
      <c r="BK126" s="26" t="s">
        <v>661</v>
      </c>
      <c r="BL126" s="24" t="s">
        <v>662</v>
      </c>
      <c r="BM126" s="297" t="e">
        <f>PL</f>
        <v>#VALUE!</v>
      </c>
      <c r="BN126" s="26" t="s">
        <v>65</v>
      </c>
      <c r="BO126" s="24" t="s">
        <v>651</v>
      </c>
      <c r="BP126" s="318" t="e">
        <f>BG130</f>
        <v>#VALUE!</v>
      </c>
      <c r="BQ126" s="26" t="s">
        <v>663</v>
      </c>
      <c r="BS126" s="24" t="s">
        <v>664</v>
      </c>
      <c r="BT126" s="297" t="e">
        <f>ROUND(MT/12,5)</f>
        <v>#VALUE!</v>
      </c>
      <c r="BU126" s="26" t="s">
        <v>658</v>
      </c>
      <c r="BV126" s="24" t="s">
        <v>370</v>
      </c>
      <c r="BW126" s="297">
        <f>IF(OR(TS="5x4, .126", TS="5x4, .134"), 5/12,4/12)</f>
        <v>0.41666666666666669</v>
      </c>
      <c r="BX126" s="26" t="s">
        <v>658</v>
      </c>
      <c r="BY126" s="24" t="s">
        <v>653</v>
      </c>
      <c r="BZ126" s="322" t="e">
        <f>BT128</f>
        <v>#VALUE!</v>
      </c>
      <c r="CA126" s="26" t="s">
        <v>665</v>
      </c>
      <c r="CC126" s="24" t="s">
        <v>666</v>
      </c>
      <c r="CD126" s="338" t="str">
        <f>Theta</f>
        <v>XX</v>
      </c>
      <c r="CE126" s="26" t="s">
        <v>667</v>
      </c>
    </row>
    <row r="127" spans="2:83" x14ac:dyDescent="0.25">
      <c r="B127" s="12"/>
      <c r="C127" s="12"/>
      <c r="D127" s="12">
        <f t="shared" si="53"/>
        <v>0</v>
      </c>
      <c r="E127" s="12">
        <f>SUM(LSI_10:LSI_10)</f>
        <v>0</v>
      </c>
      <c r="F127" s="12">
        <f>-SUM(RSI_2:RSI_10)</f>
        <v>0</v>
      </c>
      <c r="O127" s="628"/>
      <c r="P127" s="559"/>
      <c r="Q127" t="s">
        <v>668</v>
      </c>
      <c r="R127" s="7" t="str">
        <f>L31</f>
        <v/>
      </c>
      <c r="S127" s="77" t="s">
        <v>657</v>
      </c>
      <c r="T127" s="43"/>
      <c r="U127" s="7" t="e">
        <f>R127/12</f>
        <v>#VALUE!</v>
      </c>
      <c r="V127" s="28" t="s">
        <v>658</v>
      </c>
      <c r="W127" s="27" t="s">
        <v>669</v>
      </c>
      <c r="X127" s="7">
        <f>COUNTIFS($I$6:$I$105, "&lt;="&amp;R126, $I$6:$I$105, "&gt;="&amp;R127)</f>
        <v>0</v>
      </c>
      <c r="Y127" s="28" t="s">
        <v>670</v>
      </c>
      <c r="Z127" s="27" t="s">
        <v>659</v>
      </c>
      <c r="AA127" s="7" t="e">
        <f>IF(O126="Exterior Drive Post", (U128-(TG/12)), U128)</f>
        <v>#VALUE!</v>
      </c>
      <c r="AB127" s="28" t="s">
        <v>658</v>
      </c>
      <c r="AC127" s="27" t="s">
        <v>671</v>
      </c>
      <c r="AD127" s="7" t="e">
        <f>U130</f>
        <v>#VALUE!</v>
      </c>
      <c r="AE127" s="28" t="s">
        <v>665</v>
      </c>
      <c r="AF127" s="27" t="s">
        <v>672</v>
      </c>
      <c r="AG127" s="317" t="e">
        <f>AA130</f>
        <v>#VALUE!</v>
      </c>
      <c r="AH127" s="28" t="s">
        <v>663</v>
      </c>
      <c r="AJ127" s="27" t="s">
        <v>659</v>
      </c>
      <c r="AK127" s="7" t="e">
        <f>IF(O126= "Exterior Drive Post", (U128)-((GL+GR)/12), U128)</f>
        <v>#VALUE!</v>
      </c>
      <c r="AL127" s="28" t="s">
        <v>658</v>
      </c>
      <c r="AM127" s="27" t="s">
        <v>659</v>
      </c>
      <c r="AN127" s="7" t="e">
        <f>AA127</f>
        <v>#VALUE!</v>
      </c>
      <c r="AO127" s="28" t="s">
        <v>658</v>
      </c>
      <c r="AP127" s="27" t="s">
        <v>672</v>
      </c>
      <c r="AQ127" s="323" t="e">
        <f>AN128</f>
        <v>#VALUE!</v>
      </c>
      <c r="AR127" s="28" t="s">
        <v>665</v>
      </c>
      <c r="AT127" s="27" t="s">
        <v>673</v>
      </c>
      <c r="AU127" s="210" t="e">
        <f>RSL*COS(Radians)</f>
        <v>#VALUE!</v>
      </c>
      <c r="AV127" s="28" t="s">
        <v>65</v>
      </c>
      <c r="AX127" s="628"/>
      <c r="AY127" s="559"/>
      <c r="AZ127" t="s">
        <v>668</v>
      </c>
      <c r="BA127" s="7" t="str">
        <f>L67</f>
        <v/>
      </c>
      <c r="BB127" s="77" t="s">
        <v>657</v>
      </c>
      <c r="BC127" s="43"/>
      <c r="BD127" s="7" t="e">
        <f>BA127/12</f>
        <v>#VALUE!</v>
      </c>
      <c r="BE127" s="28" t="s">
        <v>658</v>
      </c>
      <c r="BF127" s="27" t="s">
        <v>669</v>
      </c>
      <c r="BG127" s="7">
        <f>COUNTIFS($I$6:$I$105, "&lt;="&amp;BA126, $I$6:$I$105, "&gt;="&amp;BA127)</f>
        <v>0</v>
      </c>
      <c r="BH127" s="28" t="s">
        <v>670</v>
      </c>
      <c r="BI127" s="27" t="s">
        <v>659</v>
      </c>
      <c r="BJ127" s="7" t="e">
        <f>IF(AX126="Interior Drive Post", (BD128-(TG/12)), BD128)</f>
        <v>#VALUE!</v>
      </c>
      <c r="BK127" s="28" t="s">
        <v>658</v>
      </c>
      <c r="BL127" s="27" t="s">
        <v>671</v>
      </c>
      <c r="BM127" s="7" t="e">
        <f>BD130</f>
        <v>#VALUE!</v>
      </c>
      <c r="BN127" s="28" t="s">
        <v>665</v>
      </c>
      <c r="BO127" s="27" t="s">
        <v>672</v>
      </c>
      <c r="BP127" s="317" t="e">
        <f>BJ130</f>
        <v>#VALUE!</v>
      </c>
      <c r="BQ127" s="28" t="s">
        <v>663</v>
      </c>
      <c r="BS127" s="27" t="s">
        <v>659</v>
      </c>
      <c r="BT127" s="7" t="e">
        <f>IF(AX126= "Interior Drive Post", (BD128)-((GL+GR)/12), BD128)</f>
        <v>#VALUE!</v>
      </c>
      <c r="BU127" s="28" t="s">
        <v>658</v>
      </c>
      <c r="BV127" s="27" t="s">
        <v>659</v>
      </c>
      <c r="BW127" s="7" t="e">
        <f>BJ127</f>
        <v>#VALUE!</v>
      </c>
      <c r="BX127" s="28" t="s">
        <v>658</v>
      </c>
      <c r="BY127" s="27" t="s">
        <v>672</v>
      </c>
      <c r="BZ127" s="323" t="e">
        <f>BW128</f>
        <v>#VALUE!</v>
      </c>
      <c r="CA127" s="28" t="s">
        <v>665</v>
      </c>
      <c r="CC127" s="27" t="s">
        <v>673</v>
      </c>
      <c r="CD127" s="210" t="e">
        <f>RSL*COS(Radians)</f>
        <v>#VALUE!</v>
      </c>
      <c r="CE127" s="28" t="s">
        <v>65</v>
      </c>
    </row>
    <row r="128" spans="2:83" x14ac:dyDescent="0.25">
      <c r="B128" s="12"/>
      <c r="C128" s="12"/>
      <c r="D128" s="12"/>
      <c r="E128" s="12"/>
      <c r="F128" s="12"/>
      <c r="O128" s="628"/>
      <c r="P128" s="559"/>
      <c r="Q128" t="s">
        <v>659</v>
      </c>
      <c r="R128" s="7" t="e">
        <f>R126-R127</f>
        <v>#VALUE!</v>
      </c>
      <c r="S128" s="77" t="s">
        <v>657</v>
      </c>
      <c r="T128" s="43"/>
      <c r="U128" s="7" t="e">
        <f>R128/12</f>
        <v>#VALUE!</v>
      </c>
      <c r="V128" s="28" t="s">
        <v>658</v>
      </c>
      <c r="W128" s="27" t="s">
        <v>674</v>
      </c>
      <c r="X128" s="7" t="e">
        <f>X127*X126</f>
        <v>#VALUE!</v>
      </c>
      <c r="Y128" s="28" t="s">
        <v>657</v>
      </c>
      <c r="Z128" s="27"/>
      <c r="AA128" s="7"/>
      <c r="AB128" s="28"/>
      <c r="AC128" s="27"/>
      <c r="AD128" s="7"/>
      <c r="AE128" s="28"/>
      <c r="AF128" s="27" t="s">
        <v>653</v>
      </c>
      <c r="AG128" s="319" t="e">
        <f>AD130</f>
        <v>#VALUE!</v>
      </c>
      <c r="AH128" s="28" t="s">
        <v>663</v>
      </c>
      <c r="AJ128" s="27" t="s">
        <v>671</v>
      </c>
      <c r="AK128" s="321" t="e">
        <f>AK126*AK127</f>
        <v>#VALUE!</v>
      </c>
      <c r="AL128" s="28" t="s">
        <v>665</v>
      </c>
      <c r="AM128" s="27" t="s">
        <v>671</v>
      </c>
      <c r="AN128" s="323" t="e">
        <f>AN127*AN126</f>
        <v>#VALUE!</v>
      </c>
      <c r="AO128" s="28" t="s">
        <v>665</v>
      </c>
      <c r="AP128" s="27" t="s">
        <v>654</v>
      </c>
      <c r="AQ128" s="7" t="e">
        <f>SUM(AQ126:AQ127)</f>
        <v>#VALUE!</v>
      </c>
      <c r="AR128" s="28" t="s">
        <v>665</v>
      </c>
      <c r="AT128" s="27" t="s">
        <v>671</v>
      </c>
      <c r="AU128" s="210" t="e">
        <f>U130</f>
        <v>#VALUE!</v>
      </c>
      <c r="AV128" s="28" t="s">
        <v>704</v>
      </c>
      <c r="AX128" s="628"/>
      <c r="AY128" s="559"/>
      <c r="AZ128" t="s">
        <v>659</v>
      </c>
      <c r="BA128" s="7" t="e">
        <f>BA126-BA127</f>
        <v>#VALUE!</v>
      </c>
      <c r="BB128" s="77" t="s">
        <v>657</v>
      </c>
      <c r="BC128" s="43"/>
      <c r="BD128" s="7" t="e">
        <f>BA128/12</f>
        <v>#VALUE!</v>
      </c>
      <c r="BE128" s="28" t="s">
        <v>658</v>
      </c>
      <c r="BF128" s="27" t="s">
        <v>674</v>
      </c>
      <c r="BG128" s="7" t="e">
        <f>BG127*BG126</f>
        <v>#VALUE!</v>
      </c>
      <c r="BH128" s="28" t="s">
        <v>657</v>
      </c>
      <c r="BI128" s="27"/>
      <c r="BJ128" s="7"/>
      <c r="BK128" s="28"/>
      <c r="BL128" s="27"/>
      <c r="BM128" s="7"/>
      <c r="BN128" s="28"/>
      <c r="BO128" s="27" t="s">
        <v>653</v>
      </c>
      <c r="BP128" s="319" t="e">
        <f>BM130</f>
        <v>#VALUE!</v>
      </c>
      <c r="BQ128" s="28" t="s">
        <v>663</v>
      </c>
      <c r="BS128" s="27" t="s">
        <v>671</v>
      </c>
      <c r="BT128" s="321" t="e">
        <f>BT126*BT127</f>
        <v>#VALUE!</v>
      </c>
      <c r="BU128" s="28" t="s">
        <v>665</v>
      </c>
      <c r="BV128" s="27" t="s">
        <v>671</v>
      </c>
      <c r="BW128" s="323" t="e">
        <f>BW127*BW126</f>
        <v>#VALUE!</v>
      </c>
      <c r="BX128" s="28" t="s">
        <v>665</v>
      </c>
      <c r="BY128" s="27" t="s">
        <v>654</v>
      </c>
      <c r="BZ128" s="7" t="e">
        <f>SUM(BZ126:BZ127)</f>
        <v>#VALUE!</v>
      </c>
      <c r="CA128" s="28" t="s">
        <v>665</v>
      </c>
      <c r="CC128" s="27" t="s">
        <v>671</v>
      </c>
      <c r="CD128" s="210" t="e">
        <f>BD130</f>
        <v>#VALUE!</v>
      </c>
      <c r="CE128" s="28" t="s">
        <v>665</v>
      </c>
    </row>
    <row r="129" spans="2:83" x14ac:dyDescent="0.25">
      <c r="B129" s="12"/>
      <c r="C129" s="12"/>
      <c r="D129" s="12"/>
      <c r="E129" s="12"/>
      <c r="F129" s="12"/>
      <c r="O129" s="628"/>
      <c r="P129" s="559"/>
      <c r="Q129" t="s">
        <v>675</v>
      </c>
      <c r="R129" s="7" t="e">
        <f>ROUND(ML, 3)</f>
        <v>#VALUE!</v>
      </c>
      <c r="S129" s="77" t="s">
        <v>657</v>
      </c>
      <c r="T129" s="43"/>
      <c r="U129" s="7" t="e">
        <f>R129/12</f>
        <v>#VALUE!</v>
      </c>
      <c r="V129" s="28" t="s">
        <v>658</v>
      </c>
      <c r="W129" s="27" t="s">
        <v>660</v>
      </c>
      <c r="X129" s="7">
        <f>VLOOKUP(VS,'List Data'!$A$8:$B$12, 2, FALSE)</f>
        <v>2.1419999999999999</v>
      </c>
      <c r="Y129" s="28" t="s">
        <v>661</v>
      </c>
      <c r="Z129" s="27"/>
      <c r="AA129" s="7"/>
      <c r="AB129" s="28"/>
      <c r="AC129" s="27"/>
      <c r="AD129" s="7"/>
      <c r="AE129" s="28"/>
      <c r="AF129" s="27"/>
      <c r="AH129" s="28"/>
      <c r="AJ129" s="27"/>
      <c r="AK129" s="7"/>
      <c r="AL129" s="28"/>
      <c r="AM129" s="27"/>
      <c r="AO129" s="28"/>
      <c r="AP129" s="27"/>
      <c r="AQ129" s="7"/>
      <c r="AR129" s="28"/>
      <c r="AT129" s="27"/>
      <c r="AU129" s="210"/>
      <c r="AV129" s="28"/>
      <c r="AX129" s="628"/>
      <c r="AY129" s="559"/>
      <c r="AZ129" t="s">
        <v>675</v>
      </c>
      <c r="BA129" s="7" t="e">
        <f>ROUND(ML, 3)</f>
        <v>#VALUE!</v>
      </c>
      <c r="BB129" s="77" t="s">
        <v>657</v>
      </c>
      <c r="BC129" s="43"/>
      <c r="BD129" s="7" t="e">
        <f>BA129/12</f>
        <v>#VALUE!</v>
      </c>
      <c r="BE129" s="28" t="s">
        <v>658</v>
      </c>
      <c r="BF129" s="27" t="s">
        <v>660</v>
      </c>
      <c r="BG129" s="7">
        <f>VLOOKUP(VS,'List Data'!$A$8:$B$12, 2, FALSE)</f>
        <v>2.1419999999999999</v>
      </c>
      <c r="BH129" s="28" t="s">
        <v>661</v>
      </c>
      <c r="BI129" s="27"/>
      <c r="BJ129" s="7"/>
      <c r="BK129" s="28"/>
      <c r="BL129" s="27"/>
      <c r="BM129" s="7"/>
      <c r="BN129" s="28"/>
      <c r="BO129" s="27"/>
      <c r="BQ129" s="28"/>
      <c r="BS129" s="27"/>
      <c r="BT129" s="7"/>
      <c r="BU129" s="28"/>
      <c r="BV129" s="27"/>
      <c r="BX129" s="28"/>
      <c r="BY129" s="27"/>
      <c r="BZ129" s="7"/>
      <c r="CA129" s="28"/>
      <c r="CC129" s="27"/>
      <c r="CD129" s="210"/>
      <c r="CE129" s="28"/>
    </row>
    <row r="130" spans="2:83" x14ac:dyDescent="0.25">
      <c r="B130" s="12"/>
      <c r="C130" s="12"/>
      <c r="D130" s="12"/>
      <c r="E130" s="12"/>
      <c r="F130" s="12"/>
      <c r="O130" s="629"/>
      <c r="P130" s="561"/>
      <c r="Q130" s="30" t="s">
        <v>671</v>
      </c>
      <c r="R130" s="309" t="e">
        <f>R128*R129</f>
        <v>#VALUE!</v>
      </c>
      <c r="S130" s="311" t="s">
        <v>676</v>
      </c>
      <c r="T130" s="313"/>
      <c r="U130" s="309" t="e">
        <f>IF(O126="Exterior Drive Post", (R130/144)-(((GL+GR)*(ML/25.4))/144), R130/144)</f>
        <v>#VALUE!</v>
      </c>
      <c r="V130" s="31" t="s">
        <v>677</v>
      </c>
      <c r="W130" s="29" t="s">
        <v>678</v>
      </c>
      <c r="X130" s="314" t="e">
        <f>X129/12*X128</f>
        <v>#VALUE!</v>
      </c>
      <c r="Y130" s="31" t="s">
        <v>663</v>
      </c>
      <c r="Z130" s="29" t="s">
        <v>678</v>
      </c>
      <c r="AA130" s="315" t="e">
        <f>AA126*AA127</f>
        <v>#VALUE!</v>
      </c>
      <c r="AB130" s="31" t="s">
        <v>663</v>
      </c>
      <c r="AC130" s="29" t="s">
        <v>678</v>
      </c>
      <c r="AD130" s="316" t="e">
        <f>AD126*AD127</f>
        <v>#VALUE!</v>
      </c>
      <c r="AE130" s="31" t="s">
        <v>181</v>
      </c>
      <c r="AF130" s="29" t="s">
        <v>654</v>
      </c>
      <c r="AG130" s="320" t="e">
        <f>IF(O126="Exterior Drive Post", SUM(AG126:AG128)+SDW, SUM(AG126:AG128)+ICW)</f>
        <v>#VALUE!</v>
      </c>
      <c r="AH130" s="31" t="s">
        <v>663</v>
      </c>
      <c r="AI130">
        <v>25</v>
      </c>
      <c r="AJ130" s="29"/>
      <c r="AK130" s="309"/>
      <c r="AL130" s="31"/>
      <c r="AM130" s="29"/>
      <c r="AN130" s="30"/>
      <c r="AO130" s="31"/>
      <c r="AP130" s="29" t="s">
        <v>679</v>
      </c>
      <c r="AQ130" s="324" t="e">
        <f>AQ128*Pult</f>
        <v>#VALUE!</v>
      </c>
      <c r="AR130" s="31" t="s">
        <v>181</v>
      </c>
      <c r="AT130" s="29" t="s">
        <v>662</v>
      </c>
      <c r="AU130" s="339" t="e">
        <f>AU128*AU127</f>
        <v>#VALUE!</v>
      </c>
      <c r="AV130" s="31" t="s">
        <v>181</v>
      </c>
      <c r="AX130" s="629"/>
      <c r="AY130" s="561"/>
      <c r="AZ130" s="30" t="s">
        <v>671</v>
      </c>
      <c r="BA130" s="309" t="e">
        <f>BA128*BA129</f>
        <v>#VALUE!</v>
      </c>
      <c r="BB130" s="311" t="s">
        <v>676</v>
      </c>
      <c r="BC130" s="313"/>
      <c r="BD130" s="309" t="e">
        <f>IF(AX126="Interior Drive Post", (BA130/144)-(((GL+GR)*(ML/25.4))/144), BA130/144)</f>
        <v>#VALUE!</v>
      </c>
      <c r="BE130" s="31" t="s">
        <v>677</v>
      </c>
      <c r="BF130" s="29" t="s">
        <v>678</v>
      </c>
      <c r="BG130" s="314" t="e">
        <f>BG129/12*BG128</f>
        <v>#VALUE!</v>
      </c>
      <c r="BH130" s="31" t="s">
        <v>663</v>
      </c>
      <c r="BI130" s="29" t="s">
        <v>678</v>
      </c>
      <c r="BJ130" s="315" t="e">
        <f>BJ126*BJ127</f>
        <v>#VALUE!</v>
      </c>
      <c r="BK130" s="31" t="s">
        <v>663</v>
      </c>
      <c r="BL130" s="29" t="s">
        <v>678</v>
      </c>
      <c r="BM130" s="316" t="e">
        <f>BM126*BM127</f>
        <v>#VALUE!</v>
      </c>
      <c r="BN130" s="31" t="s">
        <v>181</v>
      </c>
      <c r="BO130" s="29" t="s">
        <v>654</v>
      </c>
      <c r="BP130" s="320" t="e">
        <f>IF(AX126="Interior Drive Post", SUM(BP126:BP128)+SDW, SUM(BP126:BP128)+ICW)</f>
        <v>#VALUE!</v>
      </c>
      <c r="BQ130" s="31" t="s">
        <v>663</v>
      </c>
      <c r="BR130">
        <v>25</v>
      </c>
      <c r="BS130" s="29"/>
      <c r="BT130" s="309"/>
      <c r="BU130" s="31"/>
      <c r="BV130" s="29"/>
      <c r="BW130" s="30"/>
      <c r="BX130" s="31"/>
      <c r="BY130" s="29" t="s">
        <v>679</v>
      </c>
      <c r="BZ130" s="324" t="e">
        <f>BZ128*Pult</f>
        <v>#VALUE!</v>
      </c>
      <c r="CA130" s="31" t="s">
        <v>181</v>
      </c>
      <c r="CC130" s="29" t="s">
        <v>662</v>
      </c>
      <c r="CD130" s="339" t="e">
        <f>CD128*CD127</f>
        <v>#VALUE!</v>
      </c>
      <c r="CE130" s="31" t="s">
        <v>181</v>
      </c>
    </row>
    <row r="131" spans="2:83" x14ac:dyDescent="0.25">
      <c r="B131" s="12"/>
      <c r="C131" s="12"/>
      <c r="D131" s="12"/>
      <c r="E131" s="12"/>
      <c r="F131" s="12"/>
      <c r="O131" s="653" t="str">
        <f>D31</f>
        <v/>
      </c>
      <c r="P131" s="558"/>
      <c r="Q131" s="25" t="s">
        <v>656</v>
      </c>
      <c r="R131" s="297" t="str">
        <f>L31</f>
        <v/>
      </c>
      <c r="S131" s="310" t="s">
        <v>657</v>
      </c>
      <c r="T131" s="312"/>
      <c r="U131" s="297" t="e">
        <f>R131/12</f>
        <v>#VALUE!</v>
      </c>
      <c r="V131" s="26" t="s">
        <v>658</v>
      </c>
      <c r="W131" s="24" t="s">
        <v>659</v>
      </c>
      <c r="X131" s="297" t="e">
        <f>VL</f>
        <v>#VALUE!</v>
      </c>
      <c r="Y131" s="26" t="s">
        <v>657</v>
      </c>
      <c r="Z131" s="24" t="s">
        <v>660</v>
      </c>
      <c r="AA131" s="297">
        <f>VLOOKUP(TS,'List Data'!$A$15:$B$18, 2, FALSE)</f>
        <v>7.8955000000000002</v>
      </c>
      <c r="AB131" s="26" t="s">
        <v>661</v>
      </c>
      <c r="AC131" s="24" t="s">
        <v>662</v>
      </c>
      <c r="AD131" s="297" t="e">
        <f>PL</f>
        <v>#VALUE!</v>
      </c>
      <c r="AE131" s="26" t="s">
        <v>65</v>
      </c>
      <c r="AF131" s="24" t="s">
        <v>651</v>
      </c>
      <c r="AG131" s="318" t="e">
        <f>X135</f>
        <v>#VALUE!</v>
      </c>
      <c r="AH131" s="26" t="s">
        <v>663</v>
      </c>
      <c r="AJ131" s="24" t="s">
        <v>664</v>
      </c>
      <c r="AK131" s="297" t="e">
        <f>ROUND(MT/12,5)</f>
        <v>#VALUE!</v>
      </c>
      <c r="AL131" s="26" t="s">
        <v>658</v>
      </c>
      <c r="AM131" s="24" t="s">
        <v>370</v>
      </c>
      <c r="AN131" s="297">
        <f>IF(OR(TS="5x4, .126", TS="5x4, .134"), 5/12,4/12)</f>
        <v>0.41666666666666669</v>
      </c>
      <c r="AO131" s="26" t="s">
        <v>658</v>
      </c>
      <c r="AP131" s="24" t="s">
        <v>653</v>
      </c>
      <c r="AQ131" s="322" t="e">
        <f>AK133</f>
        <v>#VALUE!</v>
      </c>
      <c r="AR131" s="26" t="s">
        <v>665</v>
      </c>
      <c r="AT131" s="24" t="s">
        <v>666</v>
      </c>
      <c r="AU131" s="338" t="str">
        <f>Theta</f>
        <v>XX</v>
      </c>
      <c r="AV131" s="26" t="s">
        <v>667</v>
      </c>
      <c r="AX131" s="653" t="str">
        <f>D67</f>
        <v/>
      </c>
      <c r="AY131" s="558"/>
      <c r="AZ131" s="25" t="s">
        <v>656</v>
      </c>
      <c r="BA131" s="297" t="str">
        <f>L67</f>
        <v/>
      </c>
      <c r="BB131" s="310" t="s">
        <v>657</v>
      </c>
      <c r="BC131" s="312"/>
      <c r="BD131" s="297" t="e">
        <f>BA131/12</f>
        <v>#VALUE!</v>
      </c>
      <c r="BE131" s="26" t="s">
        <v>658</v>
      </c>
      <c r="BF131" s="24" t="s">
        <v>659</v>
      </c>
      <c r="BG131" s="297" t="e">
        <f>VL</f>
        <v>#VALUE!</v>
      </c>
      <c r="BH131" s="26" t="s">
        <v>657</v>
      </c>
      <c r="BI131" s="24" t="s">
        <v>660</v>
      </c>
      <c r="BJ131" s="297">
        <f>VLOOKUP(TS,'List Data'!$A$15:$B$18, 2, FALSE)</f>
        <v>7.8955000000000002</v>
      </c>
      <c r="BK131" s="26" t="s">
        <v>661</v>
      </c>
      <c r="BL131" s="24" t="s">
        <v>662</v>
      </c>
      <c r="BM131" s="297" t="e">
        <f>PL</f>
        <v>#VALUE!</v>
      </c>
      <c r="BN131" s="26" t="s">
        <v>65</v>
      </c>
      <c r="BO131" s="24" t="s">
        <v>651</v>
      </c>
      <c r="BP131" s="318" t="e">
        <f>BG135</f>
        <v>#VALUE!</v>
      </c>
      <c r="BQ131" s="26" t="s">
        <v>663</v>
      </c>
      <c r="BS131" s="24" t="s">
        <v>664</v>
      </c>
      <c r="BT131" s="297" t="e">
        <f>ROUND(MT/12,5)</f>
        <v>#VALUE!</v>
      </c>
      <c r="BU131" s="26" t="s">
        <v>658</v>
      </c>
      <c r="BV131" s="24" t="s">
        <v>370</v>
      </c>
      <c r="BW131" s="297">
        <f>IF(OR(TS="5x4, .126", TS="5x4, .134"), 5/12,4/12)</f>
        <v>0.41666666666666669</v>
      </c>
      <c r="BX131" s="26" t="s">
        <v>658</v>
      </c>
      <c r="BY131" s="24" t="s">
        <v>653</v>
      </c>
      <c r="BZ131" s="322" t="e">
        <f>BT133</f>
        <v>#VALUE!</v>
      </c>
      <c r="CA131" s="26" t="s">
        <v>665</v>
      </c>
      <c r="CC131" s="24" t="s">
        <v>666</v>
      </c>
      <c r="CD131" s="338" t="str">
        <f>Theta</f>
        <v>XX</v>
      </c>
      <c r="CE131" s="26" t="s">
        <v>667</v>
      </c>
    </row>
    <row r="132" spans="2:83" x14ac:dyDescent="0.25">
      <c r="O132" s="628"/>
      <c r="P132" s="559"/>
      <c r="Q132" t="s">
        <v>668</v>
      </c>
      <c r="R132" s="7" t="str">
        <f>L32</f>
        <v/>
      </c>
      <c r="S132" s="77" t="s">
        <v>657</v>
      </c>
      <c r="T132" s="43"/>
      <c r="U132" s="7" t="e">
        <f>R132/12</f>
        <v>#VALUE!</v>
      </c>
      <c r="V132" s="28" t="s">
        <v>658</v>
      </c>
      <c r="W132" s="27" t="s">
        <v>669</v>
      </c>
      <c r="X132" s="7">
        <f>COUNTIFS($I$6:$I$105, "&lt;="&amp;R131, $I$6:$I$105, "&gt;="&amp;R132)</f>
        <v>0</v>
      </c>
      <c r="Y132" s="28" t="s">
        <v>670</v>
      </c>
      <c r="Z132" s="27" t="s">
        <v>659</v>
      </c>
      <c r="AA132" s="7" t="e">
        <f>IF(O131="Exterior Drive Post", (U133-(TG/12)), U133)</f>
        <v>#VALUE!</v>
      </c>
      <c r="AB132" s="28" t="s">
        <v>658</v>
      </c>
      <c r="AC132" s="27" t="s">
        <v>671</v>
      </c>
      <c r="AD132" s="7" t="e">
        <f>U135</f>
        <v>#VALUE!</v>
      </c>
      <c r="AE132" s="28" t="s">
        <v>665</v>
      </c>
      <c r="AF132" s="27" t="s">
        <v>672</v>
      </c>
      <c r="AG132" s="317" t="e">
        <f>AA135</f>
        <v>#VALUE!</v>
      </c>
      <c r="AH132" s="28" t="s">
        <v>663</v>
      </c>
      <c r="AJ132" s="27" t="s">
        <v>659</v>
      </c>
      <c r="AK132" s="7" t="e">
        <f>IF(O131= "Exterior Drive Post", (U133)-((GL+GR)/12), U133)</f>
        <v>#VALUE!</v>
      </c>
      <c r="AL132" s="28" t="s">
        <v>658</v>
      </c>
      <c r="AM132" s="27" t="s">
        <v>659</v>
      </c>
      <c r="AN132" s="7" t="e">
        <f>AA132</f>
        <v>#VALUE!</v>
      </c>
      <c r="AO132" s="28" t="s">
        <v>658</v>
      </c>
      <c r="AP132" s="27" t="s">
        <v>672</v>
      </c>
      <c r="AQ132" s="323" t="e">
        <f>AN133</f>
        <v>#VALUE!</v>
      </c>
      <c r="AR132" s="28" t="s">
        <v>665</v>
      </c>
      <c r="AT132" s="27" t="s">
        <v>673</v>
      </c>
      <c r="AU132" s="210" t="e">
        <f>RSL*COS(Radians)</f>
        <v>#VALUE!</v>
      </c>
      <c r="AV132" s="28" t="s">
        <v>65</v>
      </c>
      <c r="AX132" s="628"/>
      <c r="AY132" s="559"/>
      <c r="AZ132" t="s">
        <v>668</v>
      </c>
      <c r="BA132" s="7" t="str">
        <f>L68</f>
        <v/>
      </c>
      <c r="BB132" s="77" t="s">
        <v>657</v>
      </c>
      <c r="BC132" s="43"/>
      <c r="BD132" s="7" t="e">
        <f>BA132/12</f>
        <v>#VALUE!</v>
      </c>
      <c r="BE132" s="28" t="s">
        <v>658</v>
      </c>
      <c r="BF132" s="27" t="s">
        <v>669</v>
      </c>
      <c r="BG132" s="7">
        <f>COUNTIFS($I$6:$I$105, "&lt;="&amp;BA131, $I$6:$I$105, "&gt;="&amp;BA132)</f>
        <v>0</v>
      </c>
      <c r="BH132" s="28" t="s">
        <v>670</v>
      </c>
      <c r="BI132" s="27" t="s">
        <v>659</v>
      </c>
      <c r="BJ132" s="7" t="e">
        <f>IF(AX131="Interior Drive Post", (BD133-(TG/12)), BD133)</f>
        <v>#VALUE!</v>
      </c>
      <c r="BK132" s="28" t="s">
        <v>658</v>
      </c>
      <c r="BL132" s="27" t="s">
        <v>671</v>
      </c>
      <c r="BM132" s="7" t="e">
        <f>BD135</f>
        <v>#VALUE!</v>
      </c>
      <c r="BN132" s="28" t="s">
        <v>665</v>
      </c>
      <c r="BO132" s="27" t="s">
        <v>672</v>
      </c>
      <c r="BP132" s="317" t="e">
        <f>BJ135</f>
        <v>#VALUE!</v>
      </c>
      <c r="BQ132" s="28" t="s">
        <v>663</v>
      </c>
      <c r="BS132" s="27" t="s">
        <v>659</v>
      </c>
      <c r="BT132" s="7" t="e">
        <f>IF(AX131= "Interior Drive Post", (BD133)-((GL+GR)/12), BD133)</f>
        <v>#VALUE!</v>
      </c>
      <c r="BU132" s="28" t="s">
        <v>658</v>
      </c>
      <c r="BV132" s="27" t="s">
        <v>659</v>
      </c>
      <c r="BW132" s="7" t="e">
        <f>BJ132</f>
        <v>#VALUE!</v>
      </c>
      <c r="BX132" s="28" t="s">
        <v>658</v>
      </c>
      <c r="BY132" s="27" t="s">
        <v>672</v>
      </c>
      <c r="BZ132" s="323" t="e">
        <f>BW133</f>
        <v>#VALUE!</v>
      </c>
      <c r="CA132" s="28" t="s">
        <v>665</v>
      </c>
      <c r="CC132" s="27" t="s">
        <v>673</v>
      </c>
      <c r="CD132" s="210" t="e">
        <f>RSL*COS(Radians)</f>
        <v>#VALUE!</v>
      </c>
      <c r="CE132" s="28" t="s">
        <v>65</v>
      </c>
    </row>
    <row r="133" spans="2:83" x14ac:dyDescent="0.25">
      <c r="O133" s="628"/>
      <c r="P133" s="559"/>
      <c r="Q133" t="s">
        <v>659</v>
      </c>
      <c r="R133" s="7" t="e">
        <f>R131-R132</f>
        <v>#VALUE!</v>
      </c>
      <c r="S133" s="77" t="s">
        <v>657</v>
      </c>
      <c r="T133" s="43"/>
      <c r="U133" s="7" t="e">
        <f>R133/12</f>
        <v>#VALUE!</v>
      </c>
      <c r="V133" s="28" t="s">
        <v>658</v>
      </c>
      <c r="W133" s="27" t="s">
        <v>674</v>
      </c>
      <c r="X133" s="7" t="e">
        <f>X132*X131</f>
        <v>#VALUE!</v>
      </c>
      <c r="Y133" s="28" t="s">
        <v>657</v>
      </c>
      <c r="Z133" s="27"/>
      <c r="AA133" s="7"/>
      <c r="AB133" s="28"/>
      <c r="AC133" s="27"/>
      <c r="AD133" s="7"/>
      <c r="AE133" s="28"/>
      <c r="AF133" s="27" t="s">
        <v>653</v>
      </c>
      <c r="AG133" s="319" t="e">
        <f>AD135</f>
        <v>#VALUE!</v>
      </c>
      <c r="AH133" s="28" t="s">
        <v>663</v>
      </c>
      <c r="AJ133" s="27" t="s">
        <v>671</v>
      </c>
      <c r="AK133" s="321" t="e">
        <f>AK131*AK132</f>
        <v>#VALUE!</v>
      </c>
      <c r="AL133" s="28" t="s">
        <v>665</v>
      </c>
      <c r="AM133" s="27" t="s">
        <v>671</v>
      </c>
      <c r="AN133" s="323" t="e">
        <f>AN132*AN131</f>
        <v>#VALUE!</v>
      </c>
      <c r="AO133" s="28" t="s">
        <v>665</v>
      </c>
      <c r="AP133" s="27" t="s">
        <v>654</v>
      </c>
      <c r="AQ133" s="7" t="e">
        <f>SUM(AQ131:AQ132)</f>
        <v>#VALUE!</v>
      </c>
      <c r="AR133" s="28" t="s">
        <v>665</v>
      </c>
      <c r="AT133" s="27" t="s">
        <v>671</v>
      </c>
      <c r="AU133" s="210" t="e">
        <f>U135</f>
        <v>#VALUE!</v>
      </c>
      <c r="AV133" s="28" t="s">
        <v>705</v>
      </c>
      <c r="AX133" s="628"/>
      <c r="AY133" s="559"/>
      <c r="AZ133" t="s">
        <v>659</v>
      </c>
      <c r="BA133" s="7" t="e">
        <f>BA131-BA132</f>
        <v>#VALUE!</v>
      </c>
      <c r="BB133" s="77" t="s">
        <v>657</v>
      </c>
      <c r="BC133" s="43"/>
      <c r="BD133" s="7" t="e">
        <f>BA133/12</f>
        <v>#VALUE!</v>
      </c>
      <c r="BE133" s="28" t="s">
        <v>658</v>
      </c>
      <c r="BF133" s="27" t="s">
        <v>674</v>
      </c>
      <c r="BG133" s="7" t="e">
        <f>BG132*BG131</f>
        <v>#VALUE!</v>
      </c>
      <c r="BH133" s="28" t="s">
        <v>657</v>
      </c>
      <c r="BI133" s="27"/>
      <c r="BJ133" s="7"/>
      <c r="BK133" s="28"/>
      <c r="BL133" s="27"/>
      <c r="BM133" s="7"/>
      <c r="BN133" s="28"/>
      <c r="BO133" s="27" t="s">
        <v>653</v>
      </c>
      <c r="BP133" s="319" t="e">
        <f>BM135</f>
        <v>#VALUE!</v>
      </c>
      <c r="BQ133" s="28" t="s">
        <v>663</v>
      </c>
      <c r="BS133" s="27" t="s">
        <v>671</v>
      </c>
      <c r="BT133" s="321" t="e">
        <f>BT131*BT132</f>
        <v>#VALUE!</v>
      </c>
      <c r="BU133" s="28" t="s">
        <v>665</v>
      </c>
      <c r="BV133" s="27" t="s">
        <v>671</v>
      </c>
      <c r="BW133" s="323" t="e">
        <f>BW132*BW131</f>
        <v>#VALUE!</v>
      </c>
      <c r="BX133" s="28" t="s">
        <v>665</v>
      </c>
      <c r="BY133" s="27" t="s">
        <v>654</v>
      </c>
      <c r="BZ133" s="7" t="e">
        <f>SUM(BZ131:BZ132)</f>
        <v>#VALUE!</v>
      </c>
      <c r="CA133" s="28" t="s">
        <v>665</v>
      </c>
      <c r="CC133" s="27" t="s">
        <v>671</v>
      </c>
      <c r="CD133" s="210" t="e">
        <f>BD135</f>
        <v>#VALUE!</v>
      </c>
      <c r="CE133" s="28" t="s">
        <v>665</v>
      </c>
    </row>
    <row r="134" spans="2:83" x14ac:dyDescent="0.25">
      <c r="O134" s="628"/>
      <c r="P134" s="559"/>
      <c r="Q134" t="s">
        <v>675</v>
      </c>
      <c r="R134" s="7" t="e">
        <f>ROUND(ML, 3)</f>
        <v>#VALUE!</v>
      </c>
      <c r="S134" s="77" t="s">
        <v>657</v>
      </c>
      <c r="T134" s="43"/>
      <c r="U134" s="7" t="e">
        <f>R134/12</f>
        <v>#VALUE!</v>
      </c>
      <c r="V134" s="28" t="s">
        <v>658</v>
      </c>
      <c r="W134" s="27" t="s">
        <v>660</v>
      </c>
      <c r="X134" s="7">
        <f>VLOOKUP(VS,'List Data'!$A$8:$B$12, 2, FALSE)</f>
        <v>2.1419999999999999</v>
      </c>
      <c r="Y134" s="28" t="s">
        <v>661</v>
      </c>
      <c r="Z134" s="27"/>
      <c r="AA134" s="7"/>
      <c r="AB134" s="28"/>
      <c r="AC134" s="27"/>
      <c r="AD134" s="7"/>
      <c r="AE134" s="28"/>
      <c r="AF134" s="27"/>
      <c r="AH134" s="28"/>
      <c r="AJ134" s="27"/>
      <c r="AK134" s="7"/>
      <c r="AL134" s="28"/>
      <c r="AM134" s="27"/>
      <c r="AO134" s="28"/>
      <c r="AP134" s="27"/>
      <c r="AQ134" s="7"/>
      <c r="AR134" s="28"/>
      <c r="AT134" s="27"/>
      <c r="AU134" s="210"/>
      <c r="AV134" s="28"/>
      <c r="AX134" s="628"/>
      <c r="AY134" s="559"/>
      <c r="AZ134" t="s">
        <v>675</v>
      </c>
      <c r="BA134" s="7" t="e">
        <f>ROUND(ML, 3)</f>
        <v>#VALUE!</v>
      </c>
      <c r="BB134" s="77" t="s">
        <v>657</v>
      </c>
      <c r="BC134" s="43"/>
      <c r="BD134" s="7" t="e">
        <f>BA134/12</f>
        <v>#VALUE!</v>
      </c>
      <c r="BE134" s="28" t="s">
        <v>658</v>
      </c>
      <c r="BF134" s="27" t="s">
        <v>660</v>
      </c>
      <c r="BG134" s="7">
        <f>VLOOKUP(VS,'List Data'!$A$8:$B$12, 2, FALSE)</f>
        <v>2.1419999999999999</v>
      </c>
      <c r="BH134" s="28" t="s">
        <v>661</v>
      </c>
      <c r="BI134" s="27"/>
      <c r="BJ134" s="7"/>
      <c r="BK134" s="28"/>
      <c r="BL134" s="27"/>
      <c r="BM134" s="7"/>
      <c r="BN134" s="28"/>
      <c r="BO134" s="27"/>
      <c r="BQ134" s="28"/>
      <c r="BS134" s="27"/>
      <c r="BT134" s="7"/>
      <c r="BU134" s="28"/>
      <c r="BV134" s="27"/>
      <c r="BX134" s="28"/>
      <c r="BY134" s="27"/>
      <c r="BZ134" s="7"/>
      <c r="CA134" s="28"/>
      <c r="CC134" s="27"/>
      <c r="CD134" s="210"/>
      <c r="CE134" s="28"/>
    </row>
    <row r="135" spans="2:83" x14ac:dyDescent="0.25">
      <c r="O135" s="629"/>
      <c r="P135" s="561"/>
      <c r="Q135" s="30" t="s">
        <v>671</v>
      </c>
      <c r="R135" s="309" t="e">
        <f>R133*R134</f>
        <v>#VALUE!</v>
      </c>
      <c r="S135" s="311" t="s">
        <v>676</v>
      </c>
      <c r="T135" s="313"/>
      <c r="U135" s="309" t="e">
        <f>IF(O131="Exterior Drive Post", (R135/144)-(((GL+GR)*(ML/25.4))/144), R135/144)</f>
        <v>#VALUE!</v>
      </c>
      <c r="V135" s="31" t="s">
        <v>677</v>
      </c>
      <c r="W135" s="29" t="s">
        <v>678</v>
      </c>
      <c r="X135" s="314" t="e">
        <f>X134/12*X133</f>
        <v>#VALUE!</v>
      </c>
      <c r="Y135" s="31" t="s">
        <v>663</v>
      </c>
      <c r="Z135" s="29" t="s">
        <v>678</v>
      </c>
      <c r="AA135" s="315" t="e">
        <f>AA131*AA132</f>
        <v>#VALUE!</v>
      </c>
      <c r="AB135" s="31" t="s">
        <v>663</v>
      </c>
      <c r="AC135" s="29" t="s">
        <v>678</v>
      </c>
      <c r="AD135" s="316" t="e">
        <f>AD131*AD132</f>
        <v>#VALUE!</v>
      </c>
      <c r="AE135" s="31" t="s">
        <v>181</v>
      </c>
      <c r="AF135" s="29" t="s">
        <v>654</v>
      </c>
      <c r="AG135" s="320" t="e">
        <f>IF(O131="Exterior Drive Post", SUM(AG131:AG133)+SDW, SUM(AG131:AG133)+ICW)</f>
        <v>#VALUE!</v>
      </c>
      <c r="AH135" s="31" t="s">
        <v>663</v>
      </c>
      <c r="AI135">
        <v>26</v>
      </c>
      <c r="AJ135" s="29"/>
      <c r="AK135" s="309"/>
      <c r="AL135" s="31"/>
      <c r="AM135" s="29"/>
      <c r="AN135" s="30"/>
      <c r="AO135" s="31"/>
      <c r="AP135" s="29" t="s">
        <v>679</v>
      </c>
      <c r="AQ135" s="324" t="e">
        <f>AQ133*Pult</f>
        <v>#VALUE!</v>
      </c>
      <c r="AR135" s="31" t="s">
        <v>181</v>
      </c>
      <c r="AT135" s="29" t="s">
        <v>662</v>
      </c>
      <c r="AU135" s="339" t="e">
        <f>AU133*AU132</f>
        <v>#VALUE!</v>
      </c>
      <c r="AV135" s="31" t="s">
        <v>181</v>
      </c>
      <c r="AX135" s="629"/>
      <c r="AY135" s="561"/>
      <c r="AZ135" s="30" t="s">
        <v>671</v>
      </c>
      <c r="BA135" s="309" t="e">
        <f>BA133*BA134</f>
        <v>#VALUE!</v>
      </c>
      <c r="BB135" s="311" t="s">
        <v>676</v>
      </c>
      <c r="BC135" s="313"/>
      <c r="BD135" s="309" t="e">
        <f>IF(AX131="Interior Drive Post", (BA135/144)-(((GL+GR)*(ML/25.4))/144), BA135/144)</f>
        <v>#VALUE!</v>
      </c>
      <c r="BE135" s="31" t="s">
        <v>677</v>
      </c>
      <c r="BF135" s="29" t="s">
        <v>678</v>
      </c>
      <c r="BG135" s="314" t="e">
        <f>BG134/12*BG133</f>
        <v>#VALUE!</v>
      </c>
      <c r="BH135" s="31" t="s">
        <v>663</v>
      </c>
      <c r="BI135" s="29" t="s">
        <v>678</v>
      </c>
      <c r="BJ135" s="315" t="e">
        <f>BJ131*BJ132</f>
        <v>#VALUE!</v>
      </c>
      <c r="BK135" s="31" t="s">
        <v>663</v>
      </c>
      <c r="BL135" s="29" t="s">
        <v>678</v>
      </c>
      <c r="BM135" s="316" t="e">
        <f>BM131*BM132</f>
        <v>#VALUE!</v>
      </c>
      <c r="BN135" s="31" t="s">
        <v>181</v>
      </c>
      <c r="BO135" s="29" t="s">
        <v>654</v>
      </c>
      <c r="BP135" s="320" t="e">
        <f>IF(AX131="Interior Drive Post", SUM(BP131:BP133)+SDW, SUM(BP131:BP133)+ICW)</f>
        <v>#VALUE!</v>
      </c>
      <c r="BQ135" s="31" t="s">
        <v>663</v>
      </c>
      <c r="BR135">
        <v>26</v>
      </c>
      <c r="BS135" s="29"/>
      <c r="BT135" s="309"/>
      <c r="BU135" s="31"/>
      <c r="BV135" s="29"/>
      <c r="BW135" s="30"/>
      <c r="BX135" s="31"/>
      <c r="BY135" s="29" t="s">
        <v>679</v>
      </c>
      <c r="BZ135" s="324" t="e">
        <f>BZ133*Pult</f>
        <v>#VALUE!</v>
      </c>
      <c r="CA135" s="31" t="s">
        <v>181</v>
      </c>
      <c r="CC135" s="29" t="s">
        <v>662</v>
      </c>
      <c r="CD135" s="339" t="e">
        <f>CD133*CD132</f>
        <v>#VALUE!</v>
      </c>
      <c r="CE135" s="31" t="s">
        <v>181</v>
      </c>
    </row>
    <row r="136" spans="2:83" x14ac:dyDescent="0.25">
      <c r="O136" s="653" t="str">
        <f>D32</f>
        <v/>
      </c>
      <c r="P136" s="558"/>
      <c r="Q136" s="25" t="s">
        <v>656</v>
      </c>
      <c r="R136" s="297" t="str">
        <f>L32</f>
        <v/>
      </c>
      <c r="S136" s="310" t="s">
        <v>657</v>
      </c>
      <c r="T136" s="312"/>
      <c r="U136" s="297" t="e">
        <f>R136/12</f>
        <v>#VALUE!</v>
      </c>
      <c r="V136" s="26" t="s">
        <v>658</v>
      </c>
      <c r="W136" s="24" t="s">
        <v>659</v>
      </c>
      <c r="X136" s="297" t="e">
        <f>VL</f>
        <v>#VALUE!</v>
      </c>
      <c r="Y136" s="26" t="s">
        <v>657</v>
      </c>
      <c r="Z136" s="24" t="s">
        <v>660</v>
      </c>
      <c r="AA136" s="297">
        <f>VLOOKUP(TS,'List Data'!$A$15:$B$18, 2, FALSE)</f>
        <v>7.8955000000000002</v>
      </c>
      <c r="AB136" s="26" t="s">
        <v>661</v>
      </c>
      <c r="AC136" s="24" t="s">
        <v>662</v>
      </c>
      <c r="AD136" s="297" t="e">
        <f>PL</f>
        <v>#VALUE!</v>
      </c>
      <c r="AE136" s="26" t="s">
        <v>65</v>
      </c>
      <c r="AF136" s="24" t="s">
        <v>651</v>
      </c>
      <c r="AG136" s="318" t="e">
        <f>X140</f>
        <v>#VALUE!</v>
      </c>
      <c r="AH136" s="26" t="s">
        <v>663</v>
      </c>
      <c r="AJ136" s="24" t="s">
        <v>664</v>
      </c>
      <c r="AK136" s="297" t="e">
        <f>ROUND(MT/12,5)</f>
        <v>#VALUE!</v>
      </c>
      <c r="AL136" s="26" t="s">
        <v>658</v>
      </c>
      <c r="AM136" s="24" t="s">
        <v>370</v>
      </c>
      <c r="AN136" s="297">
        <f>IF(OR(TS="5x4, .126", TS="5x4, .134"), 5/12,4/12)</f>
        <v>0.41666666666666669</v>
      </c>
      <c r="AO136" s="26" t="s">
        <v>658</v>
      </c>
      <c r="AP136" s="24" t="s">
        <v>653</v>
      </c>
      <c r="AQ136" s="322" t="e">
        <f>AK138</f>
        <v>#VALUE!</v>
      </c>
      <c r="AR136" s="26" t="s">
        <v>665</v>
      </c>
      <c r="AT136" s="24" t="s">
        <v>666</v>
      </c>
      <c r="AU136" s="338" t="str">
        <f>Theta</f>
        <v>XX</v>
      </c>
      <c r="AV136" s="26" t="s">
        <v>667</v>
      </c>
      <c r="AX136" s="653" t="str">
        <f>D68</f>
        <v/>
      </c>
      <c r="AY136" s="558"/>
      <c r="AZ136" s="25" t="s">
        <v>656</v>
      </c>
      <c r="BA136" s="297" t="str">
        <f>L68</f>
        <v/>
      </c>
      <c r="BB136" s="310" t="s">
        <v>657</v>
      </c>
      <c r="BC136" s="312"/>
      <c r="BD136" s="297" t="e">
        <f>BA136/12</f>
        <v>#VALUE!</v>
      </c>
      <c r="BE136" s="26" t="s">
        <v>658</v>
      </c>
      <c r="BF136" s="24" t="s">
        <v>659</v>
      </c>
      <c r="BG136" s="297" t="e">
        <f>VL</f>
        <v>#VALUE!</v>
      </c>
      <c r="BH136" s="26" t="s">
        <v>657</v>
      </c>
      <c r="BI136" s="24" t="s">
        <v>660</v>
      </c>
      <c r="BJ136" s="297">
        <f>VLOOKUP(TS,'List Data'!$A$15:$B$18, 2, FALSE)</f>
        <v>7.8955000000000002</v>
      </c>
      <c r="BK136" s="26" t="s">
        <v>661</v>
      </c>
      <c r="BL136" s="24" t="s">
        <v>662</v>
      </c>
      <c r="BM136" s="297" t="e">
        <f>PL</f>
        <v>#VALUE!</v>
      </c>
      <c r="BN136" s="26" t="s">
        <v>65</v>
      </c>
      <c r="BO136" s="24" t="s">
        <v>651</v>
      </c>
      <c r="BP136" s="318" t="e">
        <f>BG140</f>
        <v>#VALUE!</v>
      </c>
      <c r="BQ136" s="26" t="s">
        <v>663</v>
      </c>
      <c r="BS136" s="24" t="s">
        <v>664</v>
      </c>
      <c r="BT136" s="297" t="e">
        <f>ROUND(MT/12,5)</f>
        <v>#VALUE!</v>
      </c>
      <c r="BU136" s="26" t="s">
        <v>658</v>
      </c>
      <c r="BV136" s="24" t="s">
        <v>370</v>
      </c>
      <c r="BW136" s="297">
        <f>IF(OR(TS="5x4, .126", TS="5x4, .134"), 5/12,4/12)</f>
        <v>0.41666666666666669</v>
      </c>
      <c r="BX136" s="26" t="s">
        <v>658</v>
      </c>
      <c r="BY136" s="24" t="s">
        <v>653</v>
      </c>
      <c r="BZ136" s="322" t="e">
        <f>BT138</f>
        <v>#VALUE!</v>
      </c>
      <c r="CA136" s="26" t="s">
        <v>665</v>
      </c>
      <c r="CC136" s="24" t="s">
        <v>666</v>
      </c>
      <c r="CD136" s="338" t="str">
        <f>Theta</f>
        <v>XX</v>
      </c>
      <c r="CE136" s="26" t="s">
        <v>667</v>
      </c>
    </row>
    <row r="137" spans="2:83" x14ac:dyDescent="0.25">
      <c r="O137" s="628"/>
      <c r="P137" s="559"/>
      <c r="Q137" t="s">
        <v>668</v>
      </c>
      <c r="R137" s="7" t="str">
        <f>L33</f>
        <v/>
      </c>
      <c r="S137" s="77" t="s">
        <v>657</v>
      </c>
      <c r="T137" s="43"/>
      <c r="U137" s="7" t="e">
        <f>R137/12</f>
        <v>#VALUE!</v>
      </c>
      <c r="V137" s="28" t="s">
        <v>658</v>
      </c>
      <c r="W137" s="27" t="s">
        <v>669</v>
      </c>
      <c r="X137" s="7">
        <f>COUNTIFS($I$6:$I$105, "&lt;="&amp;R136, $I$6:$I$105, "&gt;="&amp;R137)</f>
        <v>0</v>
      </c>
      <c r="Y137" s="28" t="s">
        <v>670</v>
      </c>
      <c r="Z137" s="27" t="s">
        <v>659</v>
      </c>
      <c r="AA137" s="7" t="e">
        <f>IF(O136="Exterior Drive Post", (U138-(TG/12)), U138)</f>
        <v>#VALUE!</v>
      </c>
      <c r="AB137" s="28" t="s">
        <v>658</v>
      </c>
      <c r="AC137" s="27" t="s">
        <v>671</v>
      </c>
      <c r="AD137" s="7" t="e">
        <f>U140</f>
        <v>#VALUE!</v>
      </c>
      <c r="AE137" s="28" t="s">
        <v>665</v>
      </c>
      <c r="AF137" s="27" t="s">
        <v>672</v>
      </c>
      <c r="AG137" s="317" t="e">
        <f>AA140</f>
        <v>#VALUE!</v>
      </c>
      <c r="AH137" s="28" t="s">
        <v>663</v>
      </c>
      <c r="AJ137" s="27" t="s">
        <v>659</v>
      </c>
      <c r="AK137" s="7" t="e">
        <f>IF(O136= "Exterior Drive Post", (U138)-((GL+GR)/12), U138)</f>
        <v>#VALUE!</v>
      </c>
      <c r="AL137" s="28" t="s">
        <v>658</v>
      </c>
      <c r="AM137" s="27" t="s">
        <v>659</v>
      </c>
      <c r="AN137" s="7" t="e">
        <f>AA137</f>
        <v>#VALUE!</v>
      </c>
      <c r="AO137" s="28" t="s">
        <v>658</v>
      </c>
      <c r="AP137" s="27" t="s">
        <v>672</v>
      </c>
      <c r="AQ137" s="323" t="e">
        <f>AN138</f>
        <v>#VALUE!</v>
      </c>
      <c r="AR137" s="28" t="s">
        <v>665</v>
      </c>
      <c r="AT137" s="27" t="s">
        <v>673</v>
      </c>
      <c r="AU137" s="210" t="e">
        <f>RSL*COS(Radians)</f>
        <v>#VALUE!</v>
      </c>
      <c r="AV137" s="28" t="s">
        <v>65</v>
      </c>
      <c r="AX137" s="628"/>
      <c r="AY137" s="559"/>
      <c r="AZ137" t="s">
        <v>668</v>
      </c>
      <c r="BA137" s="7" t="str">
        <f>L69</f>
        <v/>
      </c>
      <c r="BB137" s="77" t="s">
        <v>657</v>
      </c>
      <c r="BC137" s="43"/>
      <c r="BD137" s="7" t="e">
        <f>BA137/12</f>
        <v>#VALUE!</v>
      </c>
      <c r="BE137" s="28" t="s">
        <v>658</v>
      </c>
      <c r="BF137" s="27" t="s">
        <v>669</v>
      </c>
      <c r="BG137" s="7">
        <f>COUNTIFS($I$6:$I$105, "&lt;="&amp;BA136, $I$6:$I$105, "&gt;="&amp;BA137)</f>
        <v>0</v>
      </c>
      <c r="BH137" s="28" t="s">
        <v>670</v>
      </c>
      <c r="BI137" s="27" t="s">
        <v>659</v>
      </c>
      <c r="BJ137" s="7" t="e">
        <f>IF(AX136="Interior Drive Post", (BD138-(TG/12)), BD138)</f>
        <v>#VALUE!</v>
      </c>
      <c r="BK137" s="28" t="s">
        <v>658</v>
      </c>
      <c r="BL137" s="27" t="s">
        <v>671</v>
      </c>
      <c r="BM137" s="7" t="e">
        <f>BD140</f>
        <v>#VALUE!</v>
      </c>
      <c r="BN137" s="28" t="s">
        <v>665</v>
      </c>
      <c r="BO137" s="27" t="s">
        <v>672</v>
      </c>
      <c r="BP137" s="317" t="e">
        <f>BJ140</f>
        <v>#VALUE!</v>
      </c>
      <c r="BQ137" s="28" t="s">
        <v>663</v>
      </c>
      <c r="BS137" s="27" t="s">
        <v>659</v>
      </c>
      <c r="BT137" s="7" t="e">
        <f>IF(AX136= "Interior Drive Post", (BD138)-((GL+GR)/12), BD138)</f>
        <v>#VALUE!</v>
      </c>
      <c r="BU137" s="28" t="s">
        <v>658</v>
      </c>
      <c r="BV137" s="27" t="s">
        <v>659</v>
      </c>
      <c r="BW137" s="7" t="e">
        <f>BJ137</f>
        <v>#VALUE!</v>
      </c>
      <c r="BX137" s="28" t="s">
        <v>658</v>
      </c>
      <c r="BY137" s="27" t="s">
        <v>672</v>
      </c>
      <c r="BZ137" s="323" t="e">
        <f>BW138</f>
        <v>#VALUE!</v>
      </c>
      <c r="CA137" s="28" t="s">
        <v>665</v>
      </c>
      <c r="CC137" s="27" t="s">
        <v>673</v>
      </c>
      <c r="CD137" s="210" t="e">
        <f>RSL*COS(Radians)</f>
        <v>#VALUE!</v>
      </c>
      <c r="CE137" s="28" t="s">
        <v>65</v>
      </c>
    </row>
    <row r="138" spans="2:83" x14ac:dyDescent="0.25">
      <c r="O138" s="628"/>
      <c r="P138" s="559"/>
      <c r="Q138" t="s">
        <v>659</v>
      </c>
      <c r="R138" s="7" t="e">
        <f>R136-R137</f>
        <v>#VALUE!</v>
      </c>
      <c r="S138" s="77" t="s">
        <v>657</v>
      </c>
      <c r="T138" s="43"/>
      <c r="U138" s="7" t="e">
        <f>R138/12</f>
        <v>#VALUE!</v>
      </c>
      <c r="V138" s="28" t="s">
        <v>658</v>
      </c>
      <c r="W138" s="27" t="s">
        <v>674</v>
      </c>
      <c r="X138" s="7" t="e">
        <f>X137*X136</f>
        <v>#VALUE!</v>
      </c>
      <c r="Y138" s="28" t="s">
        <v>657</v>
      </c>
      <c r="Z138" s="27"/>
      <c r="AA138" s="7"/>
      <c r="AB138" s="28"/>
      <c r="AC138" s="27"/>
      <c r="AD138" s="7"/>
      <c r="AE138" s="28"/>
      <c r="AF138" s="27" t="s">
        <v>653</v>
      </c>
      <c r="AG138" s="319" t="e">
        <f>AD140</f>
        <v>#VALUE!</v>
      </c>
      <c r="AH138" s="28" t="s">
        <v>663</v>
      </c>
      <c r="AJ138" s="27" t="s">
        <v>671</v>
      </c>
      <c r="AK138" s="321" t="e">
        <f>AK136*AK137</f>
        <v>#VALUE!</v>
      </c>
      <c r="AL138" s="28" t="s">
        <v>665</v>
      </c>
      <c r="AM138" s="27" t="s">
        <v>671</v>
      </c>
      <c r="AN138" s="323" t="e">
        <f>AN137*AN136</f>
        <v>#VALUE!</v>
      </c>
      <c r="AO138" s="28" t="s">
        <v>665</v>
      </c>
      <c r="AP138" s="27" t="s">
        <v>654</v>
      </c>
      <c r="AQ138" s="7" t="e">
        <f>SUM(AQ136:AQ137)</f>
        <v>#VALUE!</v>
      </c>
      <c r="AR138" s="28" t="s">
        <v>665</v>
      </c>
      <c r="AT138" s="27" t="s">
        <v>671</v>
      </c>
      <c r="AU138" s="210" t="e">
        <f>U140</f>
        <v>#VALUE!</v>
      </c>
      <c r="AV138" s="28" t="s">
        <v>706</v>
      </c>
      <c r="AX138" s="628"/>
      <c r="AY138" s="559"/>
      <c r="AZ138" t="s">
        <v>659</v>
      </c>
      <c r="BA138" s="7" t="e">
        <f>BA136-BA137</f>
        <v>#VALUE!</v>
      </c>
      <c r="BB138" s="77" t="s">
        <v>657</v>
      </c>
      <c r="BC138" s="43"/>
      <c r="BD138" s="7" t="e">
        <f>BA138/12</f>
        <v>#VALUE!</v>
      </c>
      <c r="BE138" s="28" t="s">
        <v>658</v>
      </c>
      <c r="BF138" s="27" t="s">
        <v>674</v>
      </c>
      <c r="BG138" s="7" t="e">
        <f>BG137*BG136</f>
        <v>#VALUE!</v>
      </c>
      <c r="BH138" s="28" t="s">
        <v>657</v>
      </c>
      <c r="BI138" s="27"/>
      <c r="BJ138" s="7"/>
      <c r="BK138" s="28"/>
      <c r="BL138" s="27"/>
      <c r="BM138" s="7"/>
      <c r="BN138" s="28"/>
      <c r="BO138" s="27" t="s">
        <v>653</v>
      </c>
      <c r="BP138" s="319" t="e">
        <f>BM140</f>
        <v>#VALUE!</v>
      </c>
      <c r="BQ138" s="28" t="s">
        <v>663</v>
      </c>
      <c r="BS138" s="27" t="s">
        <v>671</v>
      </c>
      <c r="BT138" s="321" t="e">
        <f>BT136*BT137</f>
        <v>#VALUE!</v>
      </c>
      <c r="BU138" s="28" t="s">
        <v>665</v>
      </c>
      <c r="BV138" s="27" t="s">
        <v>671</v>
      </c>
      <c r="BW138" s="323" t="e">
        <f>BW137*BW136</f>
        <v>#VALUE!</v>
      </c>
      <c r="BX138" s="28" t="s">
        <v>665</v>
      </c>
      <c r="BY138" s="27" t="s">
        <v>654</v>
      </c>
      <c r="BZ138" s="7" t="e">
        <f>SUM(BZ136:BZ137)</f>
        <v>#VALUE!</v>
      </c>
      <c r="CA138" s="28" t="s">
        <v>665</v>
      </c>
      <c r="CC138" s="27" t="s">
        <v>671</v>
      </c>
      <c r="CD138" s="210" t="e">
        <f>BD140</f>
        <v>#VALUE!</v>
      </c>
      <c r="CE138" s="28" t="s">
        <v>665</v>
      </c>
    </row>
    <row r="139" spans="2:83" x14ac:dyDescent="0.25">
      <c r="O139" s="628"/>
      <c r="P139" s="559"/>
      <c r="Q139" t="s">
        <v>675</v>
      </c>
      <c r="R139" s="7" t="e">
        <f>ROUND(ML, 3)</f>
        <v>#VALUE!</v>
      </c>
      <c r="S139" s="77" t="s">
        <v>657</v>
      </c>
      <c r="T139" s="43"/>
      <c r="U139" s="7" t="e">
        <f>R139/12</f>
        <v>#VALUE!</v>
      </c>
      <c r="V139" s="28" t="s">
        <v>658</v>
      </c>
      <c r="W139" s="27" t="s">
        <v>660</v>
      </c>
      <c r="X139" s="7">
        <f>VLOOKUP(VS,'List Data'!$A$8:$B$12, 2, FALSE)</f>
        <v>2.1419999999999999</v>
      </c>
      <c r="Y139" s="28" t="s">
        <v>661</v>
      </c>
      <c r="Z139" s="27"/>
      <c r="AA139" s="7"/>
      <c r="AB139" s="28"/>
      <c r="AC139" s="27"/>
      <c r="AD139" s="7"/>
      <c r="AE139" s="28"/>
      <c r="AF139" s="27"/>
      <c r="AH139" s="28"/>
      <c r="AJ139" s="27"/>
      <c r="AK139" s="7"/>
      <c r="AL139" s="28"/>
      <c r="AM139" s="27"/>
      <c r="AO139" s="28"/>
      <c r="AP139" s="27"/>
      <c r="AQ139" s="7"/>
      <c r="AR139" s="28"/>
      <c r="AT139" s="27"/>
      <c r="AU139" s="210"/>
      <c r="AV139" s="28"/>
      <c r="AX139" s="628"/>
      <c r="AY139" s="559"/>
      <c r="AZ139" t="s">
        <v>675</v>
      </c>
      <c r="BA139" s="7" t="e">
        <f>ROUND(ML, 3)</f>
        <v>#VALUE!</v>
      </c>
      <c r="BB139" s="77" t="s">
        <v>657</v>
      </c>
      <c r="BC139" s="43"/>
      <c r="BD139" s="7" t="e">
        <f>BA139/12</f>
        <v>#VALUE!</v>
      </c>
      <c r="BE139" s="28" t="s">
        <v>658</v>
      </c>
      <c r="BF139" s="27" t="s">
        <v>660</v>
      </c>
      <c r="BG139" s="7">
        <f>VLOOKUP(VS,'List Data'!$A$8:$B$12, 2, FALSE)</f>
        <v>2.1419999999999999</v>
      </c>
      <c r="BH139" s="28" t="s">
        <v>661</v>
      </c>
      <c r="BI139" s="27"/>
      <c r="BJ139" s="7"/>
      <c r="BK139" s="28"/>
      <c r="BL139" s="27"/>
      <c r="BM139" s="7"/>
      <c r="BN139" s="28"/>
      <c r="BO139" s="27"/>
      <c r="BQ139" s="28"/>
      <c r="BS139" s="27"/>
      <c r="BT139" s="7"/>
      <c r="BU139" s="28"/>
      <c r="BV139" s="27"/>
      <c r="BX139" s="28"/>
      <c r="BY139" s="27"/>
      <c r="BZ139" s="7"/>
      <c r="CA139" s="28"/>
      <c r="CC139" s="27"/>
      <c r="CD139" s="210"/>
      <c r="CE139" s="28"/>
    </row>
    <row r="140" spans="2:83" x14ac:dyDescent="0.25">
      <c r="O140" s="629"/>
      <c r="P140" s="561"/>
      <c r="Q140" s="30" t="s">
        <v>671</v>
      </c>
      <c r="R140" s="309" t="e">
        <f>R138*R139</f>
        <v>#VALUE!</v>
      </c>
      <c r="S140" s="311" t="s">
        <v>676</v>
      </c>
      <c r="T140" s="313"/>
      <c r="U140" s="309" t="e">
        <f>IF(O136="Exterior Drive Post", (R140/144)-(((GL+GR)*(ML/25.4))/144), R140/144)</f>
        <v>#VALUE!</v>
      </c>
      <c r="V140" s="31" t="s">
        <v>677</v>
      </c>
      <c r="W140" s="29" t="s">
        <v>678</v>
      </c>
      <c r="X140" s="314" t="e">
        <f>X139/12*X138</f>
        <v>#VALUE!</v>
      </c>
      <c r="Y140" s="31" t="s">
        <v>663</v>
      </c>
      <c r="Z140" s="29" t="s">
        <v>678</v>
      </c>
      <c r="AA140" s="315" t="e">
        <f>AA136*AA137</f>
        <v>#VALUE!</v>
      </c>
      <c r="AB140" s="31" t="s">
        <v>663</v>
      </c>
      <c r="AC140" s="29" t="s">
        <v>678</v>
      </c>
      <c r="AD140" s="316" t="e">
        <f>AD136*AD137</f>
        <v>#VALUE!</v>
      </c>
      <c r="AE140" s="31" t="s">
        <v>181</v>
      </c>
      <c r="AF140" s="29" t="s">
        <v>654</v>
      </c>
      <c r="AG140" s="320" t="e">
        <f>IF(O136="Exterior Drive Post", SUM(AG136:AG138)+SDW, SUM(AG136:AG138)+ICW)</f>
        <v>#VALUE!</v>
      </c>
      <c r="AH140" s="31" t="s">
        <v>663</v>
      </c>
      <c r="AI140">
        <v>27</v>
      </c>
      <c r="AJ140" s="29"/>
      <c r="AK140" s="309"/>
      <c r="AL140" s="31"/>
      <c r="AM140" s="29"/>
      <c r="AN140" s="30"/>
      <c r="AO140" s="31"/>
      <c r="AP140" s="29" t="s">
        <v>679</v>
      </c>
      <c r="AQ140" s="324" t="e">
        <f>AQ138*Pult</f>
        <v>#VALUE!</v>
      </c>
      <c r="AR140" s="31" t="s">
        <v>181</v>
      </c>
      <c r="AT140" s="29" t="s">
        <v>662</v>
      </c>
      <c r="AU140" s="339" t="e">
        <f>AU138*AU137</f>
        <v>#VALUE!</v>
      </c>
      <c r="AV140" s="31" t="s">
        <v>181</v>
      </c>
      <c r="AX140" s="629"/>
      <c r="AY140" s="561"/>
      <c r="AZ140" s="30" t="s">
        <v>671</v>
      </c>
      <c r="BA140" s="309" t="e">
        <f>BA138*BA139</f>
        <v>#VALUE!</v>
      </c>
      <c r="BB140" s="311" t="s">
        <v>676</v>
      </c>
      <c r="BC140" s="313"/>
      <c r="BD140" s="309" t="e">
        <f>IF(AX136="Interior Drive Post", (BA140/144)-(((GL+GR)*(ML/25.4))/144), BA140/144)</f>
        <v>#VALUE!</v>
      </c>
      <c r="BE140" s="31" t="s">
        <v>677</v>
      </c>
      <c r="BF140" s="29" t="s">
        <v>678</v>
      </c>
      <c r="BG140" s="314" t="e">
        <f>BG139/12*BG138</f>
        <v>#VALUE!</v>
      </c>
      <c r="BH140" s="31" t="s">
        <v>663</v>
      </c>
      <c r="BI140" s="29" t="s">
        <v>678</v>
      </c>
      <c r="BJ140" s="315" t="e">
        <f>BJ136*BJ137</f>
        <v>#VALUE!</v>
      </c>
      <c r="BK140" s="31" t="s">
        <v>663</v>
      </c>
      <c r="BL140" s="29" t="s">
        <v>678</v>
      </c>
      <c r="BM140" s="316" t="e">
        <f>BM136*BM137</f>
        <v>#VALUE!</v>
      </c>
      <c r="BN140" s="31" t="s">
        <v>181</v>
      </c>
      <c r="BO140" s="29" t="s">
        <v>654</v>
      </c>
      <c r="BP140" s="320" t="e">
        <f>IF(AX136="Interior Drive Post", SUM(BP136:BP138)+SDW, SUM(BP136:BP138)+ICW)</f>
        <v>#VALUE!</v>
      </c>
      <c r="BQ140" s="31" t="s">
        <v>663</v>
      </c>
      <c r="BR140">
        <v>27</v>
      </c>
      <c r="BS140" s="29"/>
      <c r="BT140" s="309"/>
      <c r="BU140" s="31"/>
      <c r="BV140" s="29"/>
      <c r="BW140" s="30"/>
      <c r="BX140" s="31"/>
      <c r="BY140" s="29" t="s">
        <v>679</v>
      </c>
      <c r="BZ140" s="324" t="e">
        <f>BZ138*Pult</f>
        <v>#VALUE!</v>
      </c>
      <c r="CA140" s="31" t="s">
        <v>181</v>
      </c>
      <c r="CC140" s="29" t="s">
        <v>662</v>
      </c>
      <c r="CD140" s="339" t="e">
        <f>CD138*CD137</f>
        <v>#VALUE!</v>
      </c>
      <c r="CE140" s="31" t="s">
        <v>181</v>
      </c>
    </row>
    <row r="141" spans="2:83" x14ac:dyDescent="0.25">
      <c r="O141" s="653" t="str">
        <f>D33</f>
        <v/>
      </c>
      <c r="P141" s="558"/>
      <c r="Q141" s="25" t="s">
        <v>656</v>
      </c>
      <c r="R141" s="297" t="str">
        <f>L33</f>
        <v/>
      </c>
      <c r="S141" s="310" t="s">
        <v>657</v>
      </c>
      <c r="T141" s="312"/>
      <c r="U141" s="297" t="e">
        <f>R141/12</f>
        <v>#VALUE!</v>
      </c>
      <c r="V141" s="26" t="s">
        <v>658</v>
      </c>
      <c r="W141" s="24" t="s">
        <v>659</v>
      </c>
      <c r="X141" s="297" t="e">
        <f>VL</f>
        <v>#VALUE!</v>
      </c>
      <c r="Y141" s="26" t="s">
        <v>657</v>
      </c>
      <c r="Z141" s="24" t="s">
        <v>660</v>
      </c>
      <c r="AA141" s="297">
        <f>VLOOKUP(TS,'List Data'!$A$15:$B$18, 2, FALSE)</f>
        <v>7.8955000000000002</v>
      </c>
      <c r="AB141" s="26" t="s">
        <v>661</v>
      </c>
      <c r="AC141" s="24" t="s">
        <v>662</v>
      </c>
      <c r="AD141" s="297" t="e">
        <f>PL</f>
        <v>#VALUE!</v>
      </c>
      <c r="AE141" s="26" t="s">
        <v>65</v>
      </c>
      <c r="AF141" s="24" t="s">
        <v>651</v>
      </c>
      <c r="AG141" s="318" t="e">
        <f>X145</f>
        <v>#VALUE!</v>
      </c>
      <c r="AH141" s="26" t="s">
        <v>663</v>
      </c>
      <c r="AJ141" s="24" t="s">
        <v>664</v>
      </c>
      <c r="AK141" s="297" t="e">
        <f>ROUND(MT/12,5)</f>
        <v>#VALUE!</v>
      </c>
      <c r="AL141" s="26" t="s">
        <v>658</v>
      </c>
      <c r="AM141" s="24" t="s">
        <v>370</v>
      </c>
      <c r="AN141" s="297">
        <f>IF(OR(TS="5x4, .126", TS="5x4, .134"), 5/12,4/12)</f>
        <v>0.41666666666666669</v>
      </c>
      <c r="AO141" s="26" t="s">
        <v>658</v>
      </c>
      <c r="AP141" s="24" t="s">
        <v>653</v>
      </c>
      <c r="AQ141" s="322" t="e">
        <f>AK143</f>
        <v>#VALUE!</v>
      </c>
      <c r="AR141" s="26" t="s">
        <v>665</v>
      </c>
      <c r="AT141" s="24" t="s">
        <v>666</v>
      </c>
      <c r="AU141" s="338" t="str">
        <f>Theta</f>
        <v>XX</v>
      </c>
      <c r="AV141" s="26" t="s">
        <v>667</v>
      </c>
      <c r="AX141" s="653" t="str">
        <f>D69</f>
        <v/>
      </c>
      <c r="AY141" s="558"/>
      <c r="AZ141" s="25" t="s">
        <v>656</v>
      </c>
      <c r="BA141" s="297" t="str">
        <f>L69</f>
        <v/>
      </c>
      <c r="BB141" s="310" t="s">
        <v>657</v>
      </c>
      <c r="BC141" s="312"/>
      <c r="BD141" s="297" t="e">
        <f>BA141/12</f>
        <v>#VALUE!</v>
      </c>
      <c r="BE141" s="26" t="s">
        <v>658</v>
      </c>
      <c r="BF141" s="24" t="s">
        <v>659</v>
      </c>
      <c r="BG141" s="297" t="e">
        <f>VL</f>
        <v>#VALUE!</v>
      </c>
      <c r="BH141" s="26" t="s">
        <v>657</v>
      </c>
      <c r="BI141" s="24" t="s">
        <v>660</v>
      </c>
      <c r="BJ141" s="297">
        <f>VLOOKUP(TS,'List Data'!$A$15:$B$18, 2, FALSE)</f>
        <v>7.8955000000000002</v>
      </c>
      <c r="BK141" s="26" t="s">
        <v>661</v>
      </c>
      <c r="BL141" s="24" t="s">
        <v>662</v>
      </c>
      <c r="BM141" s="297" t="e">
        <f>PL</f>
        <v>#VALUE!</v>
      </c>
      <c r="BN141" s="26" t="s">
        <v>65</v>
      </c>
      <c r="BO141" s="24" t="s">
        <v>651</v>
      </c>
      <c r="BP141" s="318" t="e">
        <f>BG145</f>
        <v>#VALUE!</v>
      </c>
      <c r="BQ141" s="26" t="s">
        <v>663</v>
      </c>
      <c r="BS141" s="24" t="s">
        <v>664</v>
      </c>
      <c r="BT141" s="297" t="e">
        <f>ROUND(MT/12,5)</f>
        <v>#VALUE!</v>
      </c>
      <c r="BU141" s="26" t="s">
        <v>658</v>
      </c>
      <c r="BV141" s="24" t="s">
        <v>370</v>
      </c>
      <c r="BW141" s="297">
        <f>IF(OR(TS="5x4, .126", TS="5x4, .134"), 5/12,4/12)</f>
        <v>0.41666666666666669</v>
      </c>
      <c r="BX141" s="26" t="s">
        <v>658</v>
      </c>
      <c r="BY141" s="24" t="s">
        <v>653</v>
      </c>
      <c r="BZ141" s="322" t="e">
        <f>BT143</f>
        <v>#VALUE!</v>
      </c>
      <c r="CA141" s="26" t="s">
        <v>665</v>
      </c>
      <c r="CC141" s="24" t="s">
        <v>666</v>
      </c>
      <c r="CD141" s="338" t="str">
        <f>Theta</f>
        <v>XX</v>
      </c>
      <c r="CE141" s="26" t="s">
        <v>667</v>
      </c>
    </row>
    <row r="142" spans="2:83" x14ac:dyDescent="0.25">
      <c r="O142" s="628"/>
      <c r="P142" s="559"/>
      <c r="Q142" t="s">
        <v>668</v>
      </c>
      <c r="R142" s="7" t="str">
        <f>L34</f>
        <v/>
      </c>
      <c r="S142" s="77" t="s">
        <v>657</v>
      </c>
      <c r="T142" s="43"/>
      <c r="U142" s="7" t="e">
        <f>R142/12</f>
        <v>#VALUE!</v>
      </c>
      <c r="V142" s="28" t="s">
        <v>658</v>
      </c>
      <c r="W142" s="27" t="s">
        <v>669</v>
      </c>
      <c r="X142" s="7">
        <f>COUNTIFS($I$6:$I$105, "&lt;="&amp;R141, $I$6:$I$105, "&gt;="&amp;R142)</f>
        <v>0</v>
      </c>
      <c r="Y142" s="28" t="s">
        <v>670</v>
      </c>
      <c r="Z142" s="27" t="s">
        <v>659</v>
      </c>
      <c r="AA142" s="7" t="e">
        <f>IF(O141="Exterior Drive Post", (U143-(TG/12)), U143)</f>
        <v>#VALUE!</v>
      </c>
      <c r="AB142" s="28" t="s">
        <v>658</v>
      </c>
      <c r="AC142" s="27" t="s">
        <v>671</v>
      </c>
      <c r="AD142" s="7" t="e">
        <f>U145</f>
        <v>#VALUE!</v>
      </c>
      <c r="AE142" s="28" t="s">
        <v>665</v>
      </c>
      <c r="AF142" s="27" t="s">
        <v>672</v>
      </c>
      <c r="AG142" s="317" t="e">
        <f>AA145</f>
        <v>#VALUE!</v>
      </c>
      <c r="AH142" s="28" t="s">
        <v>663</v>
      </c>
      <c r="AJ142" s="27" t="s">
        <v>659</v>
      </c>
      <c r="AK142" s="7" t="e">
        <f>IF(O141= "Exterior Drive Post", (U143)-((GL+GR)/12), U143)</f>
        <v>#VALUE!</v>
      </c>
      <c r="AL142" s="28" t="s">
        <v>658</v>
      </c>
      <c r="AM142" s="27" t="s">
        <v>659</v>
      </c>
      <c r="AN142" s="7" t="e">
        <f>AA142</f>
        <v>#VALUE!</v>
      </c>
      <c r="AO142" s="28" t="s">
        <v>658</v>
      </c>
      <c r="AP142" s="27" t="s">
        <v>672</v>
      </c>
      <c r="AQ142" s="323" t="e">
        <f>AN143</f>
        <v>#VALUE!</v>
      </c>
      <c r="AR142" s="28" t="s">
        <v>665</v>
      </c>
      <c r="AT142" s="27" t="s">
        <v>673</v>
      </c>
      <c r="AU142" s="210" t="e">
        <f>RSL*COS(Radians)</f>
        <v>#VALUE!</v>
      </c>
      <c r="AV142" s="28" t="s">
        <v>65</v>
      </c>
      <c r="AX142" s="628"/>
      <c r="AY142" s="559"/>
      <c r="AZ142" t="s">
        <v>668</v>
      </c>
      <c r="BA142" s="7" t="str">
        <f>L70</f>
        <v/>
      </c>
      <c r="BB142" s="77" t="s">
        <v>657</v>
      </c>
      <c r="BC142" s="43"/>
      <c r="BD142" s="7" t="e">
        <f>BA142/12</f>
        <v>#VALUE!</v>
      </c>
      <c r="BE142" s="28" t="s">
        <v>658</v>
      </c>
      <c r="BF142" s="27" t="s">
        <v>669</v>
      </c>
      <c r="BG142" s="7">
        <f>COUNTIFS($I$6:$I$105, "&lt;="&amp;BA141, $I$6:$I$105, "&gt;="&amp;BA142)</f>
        <v>0</v>
      </c>
      <c r="BH142" s="28" t="s">
        <v>670</v>
      </c>
      <c r="BI142" s="27" t="s">
        <v>659</v>
      </c>
      <c r="BJ142" s="7" t="e">
        <f>IF(AX141="Interior Drive Post", (BD143-(TG/12)), BD143)</f>
        <v>#VALUE!</v>
      </c>
      <c r="BK142" s="28" t="s">
        <v>658</v>
      </c>
      <c r="BL142" s="27" t="s">
        <v>671</v>
      </c>
      <c r="BM142" s="7" t="e">
        <f>BD145</f>
        <v>#VALUE!</v>
      </c>
      <c r="BN142" s="28" t="s">
        <v>665</v>
      </c>
      <c r="BO142" s="27" t="s">
        <v>672</v>
      </c>
      <c r="BP142" s="317" t="e">
        <f>BJ145</f>
        <v>#VALUE!</v>
      </c>
      <c r="BQ142" s="28" t="s">
        <v>663</v>
      </c>
      <c r="BS142" s="27" t="s">
        <v>659</v>
      </c>
      <c r="BT142" s="7" t="e">
        <f>IF(AX141= "Interior Drive Post", (BD143)-((GL+GR)/12), BD143)</f>
        <v>#VALUE!</v>
      </c>
      <c r="BU142" s="28" t="s">
        <v>658</v>
      </c>
      <c r="BV142" s="27" t="s">
        <v>659</v>
      </c>
      <c r="BW142" s="7" t="e">
        <f>BJ142</f>
        <v>#VALUE!</v>
      </c>
      <c r="BX142" s="28" t="s">
        <v>658</v>
      </c>
      <c r="BY142" s="27" t="s">
        <v>672</v>
      </c>
      <c r="BZ142" s="323" t="e">
        <f>BW143</f>
        <v>#VALUE!</v>
      </c>
      <c r="CA142" s="28" t="s">
        <v>665</v>
      </c>
      <c r="CC142" s="27" t="s">
        <v>673</v>
      </c>
      <c r="CD142" s="210" t="e">
        <f>RSL*COS(Radians)</f>
        <v>#VALUE!</v>
      </c>
      <c r="CE142" s="28" t="s">
        <v>65</v>
      </c>
    </row>
    <row r="143" spans="2:83" x14ac:dyDescent="0.25">
      <c r="O143" s="628"/>
      <c r="P143" s="559"/>
      <c r="Q143" t="s">
        <v>659</v>
      </c>
      <c r="R143" s="7" t="e">
        <f>R141-R142</f>
        <v>#VALUE!</v>
      </c>
      <c r="S143" s="77" t="s">
        <v>657</v>
      </c>
      <c r="T143" s="43"/>
      <c r="U143" s="7" t="e">
        <f>R143/12</f>
        <v>#VALUE!</v>
      </c>
      <c r="V143" s="28" t="s">
        <v>658</v>
      </c>
      <c r="W143" s="27" t="s">
        <v>674</v>
      </c>
      <c r="X143" s="7" t="e">
        <f>X142*X141</f>
        <v>#VALUE!</v>
      </c>
      <c r="Y143" s="28" t="s">
        <v>657</v>
      </c>
      <c r="Z143" s="27"/>
      <c r="AA143" s="7"/>
      <c r="AB143" s="28"/>
      <c r="AC143" s="27"/>
      <c r="AD143" s="7"/>
      <c r="AE143" s="28"/>
      <c r="AF143" s="27" t="s">
        <v>653</v>
      </c>
      <c r="AG143" s="319" t="e">
        <f>AD145</f>
        <v>#VALUE!</v>
      </c>
      <c r="AH143" s="28" t="s">
        <v>663</v>
      </c>
      <c r="AJ143" s="27" t="s">
        <v>671</v>
      </c>
      <c r="AK143" s="321" t="e">
        <f>AK141*AK142</f>
        <v>#VALUE!</v>
      </c>
      <c r="AL143" s="28" t="s">
        <v>665</v>
      </c>
      <c r="AM143" s="27" t="s">
        <v>671</v>
      </c>
      <c r="AN143" s="323" t="e">
        <f>AN142*AN141</f>
        <v>#VALUE!</v>
      </c>
      <c r="AO143" s="28" t="s">
        <v>665</v>
      </c>
      <c r="AP143" s="27" t="s">
        <v>654</v>
      </c>
      <c r="AQ143" s="7" t="e">
        <f>SUM(AQ141:AQ142)</f>
        <v>#VALUE!</v>
      </c>
      <c r="AR143" s="28" t="s">
        <v>665</v>
      </c>
      <c r="AT143" s="27" t="s">
        <v>671</v>
      </c>
      <c r="AU143" s="210" t="e">
        <f>U145</f>
        <v>#VALUE!</v>
      </c>
      <c r="AV143" s="28" t="s">
        <v>707</v>
      </c>
      <c r="AX143" s="628"/>
      <c r="AY143" s="559"/>
      <c r="AZ143" t="s">
        <v>659</v>
      </c>
      <c r="BA143" s="7" t="e">
        <f>BA141-BA142</f>
        <v>#VALUE!</v>
      </c>
      <c r="BB143" s="77" t="s">
        <v>657</v>
      </c>
      <c r="BC143" s="43"/>
      <c r="BD143" s="7" t="e">
        <f>BA143/12</f>
        <v>#VALUE!</v>
      </c>
      <c r="BE143" s="28" t="s">
        <v>658</v>
      </c>
      <c r="BF143" s="27" t="s">
        <v>674</v>
      </c>
      <c r="BG143" s="7" t="e">
        <f>BG142*BG141</f>
        <v>#VALUE!</v>
      </c>
      <c r="BH143" s="28" t="s">
        <v>657</v>
      </c>
      <c r="BI143" s="27"/>
      <c r="BJ143" s="7"/>
      <c r="BK143" s="28"/>
      <c r="BL143" s="27"/>
      <c r="BM143" s="7"/>
      <c r="BN143" s="28"/>
      <c r="BO143" s="27" t="s">
        <v>653</v>
      </c>
      <c r="BP143" s="319" t="e">
        <f>BM145</f>
        <v>#VALUE!</v>
      </c>
      <c r="BQ143" s="28" t="s">
        <v>663</v>
      </c>
      <c r="BS143" s="27" t="s">
        <v>671</v>
      </c>
      <c r="BT143" s="321" t="e">
        <f>BT141*BT142</f>
        <v>#VALUE!</v>
      </c>
      <c r="BU143" s="28" t="s">
        <v>665</v>
      </c>
      <c r="BV143" s="27" t="s">
        <v>671</v>
      </c>
      <c r="BW143" s="323" t="e">
        <f>BW142*BW141</f>
        <v>#VALUE!</v>
      </c>
      <c r="BX143" s="28" t="s">
        <v>665</v>
      </c>
      <c r="BY143" s="27" t="s">
        <v>654</v>
      </c>
      <c r="BZ143" s="7" t="e">
        <f>SUM(BZ141:BZ142)</f>
        <v>#VALUE!</v>
      </c>
      <c r="CA143" s="28" t="s">
        <v>665</v>
      </c>
      <c r="CC143" s="27" t="s">
        <v>671</v>
      </c>
      <c r="CD143" s="210" t="e">
        <f>BD145</f>
        <v>#VALUE!</v>
      </c>
      <c r="CE143" s="28" t="s">
        <v>665</v>
      </c>
    </row>
    <row r="144" spans="2:83" x14ac:dyDescent="0.25">
      <c r="O144" s="628"/>
      <c r="P144" s="559"/>
      <c r="Q144" t="s">
        <v>675</v>
      </c>
      <c r="R144" s="7" t="e">
        <f>ROUND(ML, 3)</f>
        <v>#VALUE!</v>
      </c>
      <c r="S144" s="77" t="s">
        <v>657</v>
      </c>
      <c r="T144" s="43"/>
      <c r="U144" s="7" t="e">
        <f>R144/12</f>
        <v>#VALUE!</v>
      </c>
      <c r="V144" s="28" t="s">
        <v>658</v>
      </c>
      <c r="W144" s="27" t="s">
        <v>660</v>
      </c>
      <c r="X144" s="7">
        <f>VLOOKUP(VS,'List Data'!$A$8:$B$12, 2, FALSE)</f>
        <v>2.1419999999999999</v>
      </c>
      <c r="Y144" s="28" t="s">
        <v>661</v>
      </c>
      <c r="Z144" s="27"/>
      <c r="AA144" s="7"/>
      <c r="AB144" s="28"/>
      <c r="AC144" s="27"/>
      <c r="AD144" s="7"/>
      <c r="AE144" s="28"/>
      <c r="AF144" s="27"/>
      <c r="AH144" s="28"/>
      <c r="AJ144" s="27"/>
      <c r="AK144" s="7"/>
      <c r="AL144" s="28"/>
      <c r="AM144" s="27"/>
      <c r="AO144" s="28"/>
      <c r="AP144" s="27"/>
      <c r="AQ144" s="7"/>
      <c r="AR144" s="28"/>
      <c r="AT144" s="27"/>
      <c r="AU144" s="210"/>
      <c r="AV144" s="28"/>
      <c r="AX144" s="628"/>
      <c r="AY144" s="559"/>
      <c r="AZ144" t="s">
        <v>675</v>
      </c>
      <c r="BA144" s="7" t="e">
        <f>ROUND(ML, 3)</f>
        <v>#VALUE!</v>
      </c>
      <c r="BB144" s="77" t="s">
        <v>657</v>
      </c>
      <c r="BC144" s="43"/>
      <c r="BD144" s="7" t="e">
        <f>BA144/12</f>
        <v>#VALUE!</v>
      </c>
      <c r="BE144" s="28" t="s">
        <v>658</v>
      </c>
      <c r="BF144" s="27" t="s">
        <v>660</v>
      </c>
      <c r="BG144" s="7">
        <f>VLOOKUP(VS,'List Data'!$A$8:$B$12, 2, FALSE)</f>
        <v>2.1419999999999999</v>
      </c>
      <c r="BH144" s="28" t="s">
        <v>661</v>
      </c>
      <c r="BI144" s="27"/>
      <c r="BJ144" s="7"/>
      <c r="BK144" s="28"/>
      <c r="BL144" s="27"/>
      <c r="BM144" s="7"/>
      <c r="BN144" s="28"/>
      <c r="BO144" s="27"/>
      <c r="BQ144" s="28"/>
      <c r="BS144" s="27"/>
      <c r="BT144" s="7"/>
      <c r="BU144" s="28"/>
      <c r="BV144" s="27"/>
      <c r="BX144" s="28"/>
      <c r="BY144" s="27"/>
      <c r="BZ144" s="7"/>
      <c r="CA144" s="28"/>
      <c r="CC144" s="27"/>
      <c r="CD144" s="210"/>
      <c r="CE144" s="28"/>
    </row>
    <row r="145" spans="15:83" x14ac:dyDescent="0.25">
      <c r="O145" s="629"/>
      <c r="P145" s="561"/>
      <c r="Q145" s="30" t="s">
        <v>671</v>
      </c>
      <c r="R145" s="309" t="e">
        <f>R143*R144</f>
        <v>#VALUE!</v>
      </c>
      <c r="S145" s="311" t="s">
        <v>676</v>
      </c>
      <c r="T145" s="313"/>
      <c r="U145" s="309" t="e">
        <f>IF(O141="Exterior Drive Post", (R145/144)-(((GL+GR)*(ML/25.4))/144), R145/144)</f>
        <v>#VALUE!</v>
      </c>
      <c r="V145" s="31" t="s">
        <v>677</v>
      </c>
      <c r="W145" s="29" t="s">
        <v>678</v>
      </c>
      <c r="X145" s="314" t="e">
        <f>X144/12*X143</f>
        <v>#VALUE!</v>
      </c>
      <c r="Y145" s="31" t="s">
        <v>663</v>
      </c>
      <c r="Z145" s="29" t="s">
        <v>678</v>
      </c>
      <c r="AA145" s="315" t="e">
        <f>AA141*AA142</f>
        <v>#VALUE!</v>
      </c>
      <c r="AB145" s="31" t="s">
        <v>663</v>
      </c>
      <c r="AC145" s="29" t="s">
        <v>678</v>
      </c>
      <c r="AD145" s="316" t="e">
        <f>AD141*AD142</f>
        <v>#VALUE!</v>
      </c>
      <c r="AE145" s="31" t="s">
        <v>181</v>
      </c>
      <c r="AF145" s="29" t="s">
        <v>654</v>
      </c>
      <c r="AG145" s="320" t="e">
        <f>IF(O141="Exterior Drive Post", SUM(AG141:AG143)+SDW, SUM(AG141:AG143)+ICW)</f>
        <v>#VALUE!</v>
      </c>
      <c r="AH145" s="31" t="s">
        <v>663</v>
      </c>
      <c r="AI145">
        <v>28</v>
      </c>
      <c r="AJ145" s="29"/>
      <c r="AK145" s="309"/>
      <c r="AL145" s="31"/>
      <c r="AM145" s="29"/>
      <c r="AN145" s="30"/>
      <c r="AO145" s="31"/>
      <c r="AP145" s="29" t="s">
        <v>679</v>
      </c>
      <c r="AQ145" s="324" t="e">
        <f>AQ143*Pult</f>
        <v>#VALUE!</v>
      </c>
      <c r="AR145" s="31" t="s">
        <v>181</v>
      </c>
      <c r="AT145" s="29" t="s">
        <v>662</v>
      </c>
      <c r="AU145" s="339" t="e">
        <f>AU143*AU142</f>
        <v>#VALUE!</v>
      </c>
      <c r="AV145" s="31" t="s">
        <v>181</v>
      </c>
      <c r="AX145" s="629"/>
      <c r="AY145" s="561"/>
      <c r="AZ145" s="30" t="s">
        <v>671</v>
      </c>
      <c r="BA145" s="309" t="e">
        <f>BA143*BA144</f>
        <v>#VALUE!</v>
      </c>
      <c r="BB145" s="311" t="s">
        <v>676</v>
      </c>
      <c r="BC145" s="313"/>
      <c r="BD145" s="309" t="e">
        <f>IF(AX141="Interior Drive Post", (BA145/144)-(((GL+GR)*(ML/25.4))/144), BA145/144)</f>
        <v>#VALUE!</v>
      </c>
      <c r="BE145" s="31" t="s">
        <v>677</v>
      </c>
      <c r="BF145" s="29" t="s">
        <v>678</v>
      </c>
      <c r="BG145" s="314" t="e">
        <f>BG144/12*BG143</f>
        <v>#VALUE!</v>
      </c>
      <c r="BH145" s="31" t="s">
        <v>663</v>
      </c>
      <c r="BI145" s="29" t="s">
        <v>678</v>
      </c>
      <c r="BJ145" s="315" t="e">
        <f>BJ141*BJ142</f>
        <v>#VALUE!</v>
      </c>
      <c r="BK145" s="31" t="s">
        <v>663</v>
      </c>
      <c r="BL145" s="29" t="s">
        <v>678</v>
      </c>
      <c r="BM145" s="316" t="e">
        <f>BM141*BM142</f>
        <v>#VALUE!</v>
      </c>
      <c r="BN145" s="31" t="s">
        <v>181</v>
      </c>
      <c r="BO145" s="29" t="s">
        <v>654</v>
      </c>
      <c r="BP145" s="320" t="e">
        <f>IF(AX141="Interior Drive Post", SUM(BP141:BP143)+SDW, SUM(BP141:BP143)+ICW)</f>
        <v>#VALUE!</v>
      </c>
      <c r="BQ145" s="31" t="s">
        <v>663</v>
      </c>
      <c r="BR145">
        <v>28</v>
      </c>
      <c r="BS145" s="29"/>
      <c r="BT145" s="309"/>
      <c r="BU145" s="31"/>
      <c r="BV145" s="29"/>
      <c r="BW145" s="30"/>
      <c r="BX145" s="31"/>
      <c r="BY145" s="29" t="s">
        <v>679</v>
      </c>
      <c r="BZ145" s="324" t="e">
        <f>BZ143*Pult</f>
        <v>#VALUE!</v>
      </c>
      <c r="CA145" s="31" t="s">
        <v>181</v>
      </c>
      <c r="CC145" s="29" t="s">
        <v>662</v>
      </c>
      <c r="CD145" s="339" t="e">
        <f>CD143*CD142</f>
        <v>#VALUE!</v>
      </c>
      <c r="CE145" s="31" t="s">
        <v>181</v>
      </c>
    </row>
    <row r="146" spans="15:83" x14ac:dyDescent="0.25">
      <c r="O146" s="653" t="str">
        <f>D34</f>
        <v/>
      </c>
      <c r="P146" s="558"/>
      <c r="Q146" s="25" t="s">
        <v>656</v>
      </c>
      <c r="R146" s="297" t="str">
        <f>L34</f>
        <v/>
      </c>
      <c r="S146" s="310" t="s">
        <v>657</v>
      </c>
      <c r="T146" s="312"/>
      <c r="U146" s="297" t="e">
        <f>R146/12</f>
        <v>#VALUE!</v>
      </c>
      <c r="V146" s="26" t="s">
        <v>658</v>
      </c>
      <c r="W146" s="24" t="s">
        <v>659</v>
      </c>
      <c r="X146" s="297" t="e">
        <f>VL</f>
        <v>#VALUE!</v>
      </c>
      <c r="Y146" s="26" t="s">
        <v>657</v>
      </c>
      <c r="Z146" s="24" t="s">
        <v>660</v>
      </c>
      <c r="AA146" s="297">
        <f>VLOOKUP(TS,'List Data'!$A$15:$B$18, 2, FALSE)</f>
        <v>7.8955000000000002</v>
      </c>
      <c r="AB146" s="26" t="s">
        <v>661</v>
      </c>
      <c r="AC146" s="24" t="s">
        <v>662</v>
      </c>
      <c r="AD146" s="297" t="e">
        <f>PL</f>
        <v>#VALUE!</v>
      </c>
      <c r="AE146" s="26" t="s">
        <v>65</v>
      </c>
      <c r="AF146" s="24" t="s">
        <v>651</v>
      </c>
      <c r="AG146" s="318" t="e">
        <f>X150</f>
        <v>#VALUE!</v>
      </c>
      <c r="AH146" s="26" t="s">
        <v>663</v>
      </c>
      <c r="AJ146" s="24" t="s">
        <v>664</v>
      </c>
      <c r="AK146" s="297" t="e">
        <f>ROUND(MT/12,5)</f>
        <v>#VALUE!</v>
      </c>
      <c r="AL146" s="26" t="s">
        <v>658</v>
      </c>
      <c r="AM146" s="24" t="s">
        <v>370</v>
      </c>
      <c r="AN146" s="297">
        <f>IF(OR(TS="5x4, .126", TS="5x4, .134"), 5/12,4/12)</f>
        <v>0.41666666666666669</v>
      </c>
      <c r="AO146" s="26" t="s">
        <v>658</v>
      </c>
      <c r="AP146" s="24" t="s">
        <v>653</v>
      </c>
      <c r="AQ146" s="322" t="e">
        <f>AK148</f>
        <v>#VALUE!</v>
      </c>
      <c r="AR146" s="26" t="s">
        <v>665</v>
      </c>
      <c r="AT146" s="24" t="s">
        <v>666</v>
      </c>
      <c r="AU146" s="338" t="str">
        <f>Theta</f>
        <v>XX</v>
      </c>
      <c r="AV146" s="26" t="s">
        <v>667</v>
      </c>
      <c r="AX146" s="653" t="str">
        <f>D70</f>
        <v/>
      </c>
      <c r="AY146" s="558"/>
      <c r="AZ146" s="25" t="s">
        <v>656</v>
      </c>
      <c r="BA146" s="297" t="str">
        <f>L70</f>
        <v/>
      </c>
      <c r="BB146" s="310" t="s">
        <v>657</v>
      </c>
      <c r="BC146" s="312"/>
      <c r="BD146" s="297" t="e">
        <f>BA146/12</f>
        <v>#VALUE!</v>
      </c>
      <c r="BE146" s="26" t="s">
        <v>658</v>
      </c>
      <c r="BF146" s="24" t="s">
        <v>659</v>
      </c>
      <c r="BG146" s="297" t="e">
        <f>VL</f>
        <v>#VALUE!</v>
      </c>
      <c r="BH146" s="26" t="s">
        <v>657</v>
      </c>
      <c r="BI146" s="24" t="s">
        <v>660</v>
      </c>
      <c r="BJ146" s="297">
        <f>VLOOKUP(TS,'List Data'!$A$15:$B$18, 2, FALSE)</f>
        <v>7.8955000000000002</v>
      </c>
      <c r="BK146" s="26" t="s">
        <v>661</v>
      </c>
      <c r="BL146" s="24" t="s">
        <v>662</v>
      </c>
      <c r="BM146" s="297" t="e">
        <f>PL</f>
        <v>#VALUE!</v>
      </c>
      <c r="BN146" s="26" t="s">
        <v>65</v>
      </c>
      <c r="BO146" s="24" t="s">
        <v>651</v>
      </c>
      <c r="BP146" s="318" t="e">
        <f>BG150</f>
        <v>#VALUE!</v>
      </c>
      <c r="BQ146" s="26" t="s">
        <v>663</v>
      </c>
      <c r="BS146" s="24" t="s">
        <v>664</v>
      </c>
      <c r="BT146" s="297" t="e">
        <f>ROUND(MT/12,5)</f>
        <v>#VALUE!</v>
      </c>
      <c r="BU146" s="26" t="s">
        <v>658</v>
      </c>
      <c r="BV146" s="24" t="s">
        <v>370</v>
      </c>
      <c r="BW146" s="297">
        <f>IF(OR(TS="5x4, .126", TS="5x4, .134"), 5/12,4/12)</f>
        <v>0.41666666666666669</v>
      </c>
      <c r="BX146" s="26" t="s">
        <v>658</v>
      </c>
      <c r="BY146" s="24" t="s">
        <v>653</v>
      </c>
      <c r="BZ146" s="322" t="e">
        <f>BT148</f>
        <v>#VALUE!</v>
      </c>
      <c r="CA146" s="26" t="s">
        <v>665</v>
      </c>
      <c r="CC146" s="24" t="s">
        <v>666</v>
      </c>
      <c r="CD146" s="338" t="str">
        <f>Theta</f>
        <v>XX</v>
      </c>
      <c r="CE146" s="26" t="s">
        <v>667</v>
      </c>
    </row>
    <row r="147" spans="15:83" x14ac:dyDescent="0.25">
      <c r="O147" s="628"/>
      <c r="P147" s="559"/>
      <c r="Q147" t="s">
        <v>668</v>
      </c>
      <c r="R147" s="7" t="str">
        <f>L35</f>
        <v/>
      </c>
      <c r="S147" s="77" t="s">
        <v>657</v>
      </c>
      <c r="T147" s="43"/>
      <c r="U147" s="7" t="e">
        <f>R147/12</f>
        <v>#VALUE!</v>
      </c>
      <c r="V147" s="28" t="s">
        <v>658</v>
      </c>
      <c r="W147" s="27" t="s">
        <v>669</v>
      </c>
      <c r="X147" s="7">
        <f>COUNTIFS($I$6:$I$105, "&lt;="&amp;R146, $I$6:$I$105, "&gt;="&amp;R147)</f>
        <v>0</v>
      </c>
      <c r="Y147" s="28" t="s">
        <v>670</v>
      </c>
      <c r="Z147" s="27" t="s">
        <v>659</v>
      </c>
      <c r="AA147" s="7" t="e">
        <f>IF(O146="Exterior Drive Post", (U148-(TG/12)), U148)</f>
        <v>#VALUE!</v>
      </c>
      <c r="AB147" s="28" t="s">
        <v>658</v>
      </c>
      <c r="AC147" s="27" t="s">
        <v>671</v>
      </c>
      <c r="AD147" s="7" t="e">
        <f>U150</f>
        <v>#VALUE!</v>
      </c>
      <c r="AE147" s="28" t="s">
        <v>665</v>
      </c>
      <c r="AF147" s="27" t="s">
        <v>672</v>
      </c>
      <c r="AG147" s="317" t="e">
        <f>AA150</f>
        <v>#VALUE!</v>
      </c>
      <c r="AH147" s="28" t="s">
        <v>663</v>
      </c>
      <c r="AJ147" s="27" t="s">
        <v>659</v>
      </c>
      <c r="AK147" s="7" t="e">
        <f>IF(O146= "Exterior Drive Post", (U148)-((GL+GR)/12), U148)</f>
        <v>#VALUE!</v>
      </c>
      <c r="AL147" s="28" t="s">
        <v>658</v>
      </c>
      <c r="AM147" s="27" t="s">
        <v>659</v>
      </c>
      <c r="AN147" s="7" t="e">
        <f>AA147</f>
        <v>#VALUE!</v>
      </c>
      <c r="AO147" s="28" t="s">
        <v>658</v>
      </c>
      <c r="AP147" s="27" t="s">
        <v>672</v>
      </c>
      <c r="AQ147" s="323" t="e">
        <f>AN148</f>
        <v>#VALUE!</v>
      </c>
      <c r="AR147" s="28" t="s">
        <v>665</v>
      </c>
      <c r="AT147" s="27" t="s">
        <v>673</v>
      </c>
      <c r="AU147" s="210" t="e">
        <f>RSL*COS(Radians)</f>
        <v>#VALUE!</v>
      </c>
      <c r="AV147" s="28" t="s">
        <v>65</v>
      </c>
      <c r="AX147" s="628"/>
      <c r="AY147" s="559"/>
      <c r="AZ147" t="s">
        <v>668</v>
      </c>
      <c r="BA147" s="7" t="str">
        <f>L71</f>
        <v/>
      </c>
      <c r="BB147" s="77" t="s">
        <v>657</v>
      </c>
      <c r="BC147" s="43"/>
      <c r="BD147" s="7" t="e">
        <f>BA147/12</f>
        <v>#VALUE!</v>
      </c>
      <c r="BE147" s="28" t="s">
        <v>658</v>
      </c>
      <c r="BF147" s="27" t="s">
        <v>669</v>
      </c>
      <c r="BG147" s="7">
        <f>COUNTIFS($I$6:$I$105, "&lt;="&amp;BA146, $I$6:$I$105, "&gt;="&amp;BA147)</f>
        <v>0</v>
      </c>
      <c r="BH147" s="28" t="s">
        <v>670</v>
      </c>
      <c r="BI147" s="27" t="s">
        <v>659</v>
      </c>
      <c r="BJ147" s="7" t="e">
        <f>IF(AX146="Interior Drive Post", (BD148-(TG/12)), BD148)</f>
        <v>#VALUE!</v>
      </c>
      <c r="BK147" s="28" t="s">
        <v>658</v>
      </c>
      <c r="BL147" s="27" t="s">
        <v>671</v>
      </c>
      <c r="BM147" s="7" t="e">
        <f>BD150</f>
        <v>#VALUE!</v>
      </c>
      <c r="BN147" s="28" t="s">
        <v>665</v>
      </c>
      <c r="BO147" s="27" t="s">
        <v>672</v>
      </c>
      <c r="BP147" s="317" t="e">
        <f>BJ150</f>
        <v>#VALUE!</v>
      </c>
      <c r="BQ147" s="28" t="s">
        <v>663</v>
      </c>
      <c r="BS147" s="27" t="s">
        <v>659</v>
      </c>
      <c r="BT147" s="7" t="e">
        <f>IF(AX146= "Interior Drive Post", (BD148)-((GL+GR)/12), BD148)</f>
        <v>#VALUE!</v>
      </c>
      <c r="BU147" s="28" t="s">
        <v>658</v>
      </c>
      <c r="BV147" s="27" t="s">
        <v>659</v>
      </c>
      <c r="BW147" s="7" t="e">
        <f>BJ147</f>
        <v>#VALUE!</v>
      </c>
      <c r="BX147" s="28" t="s">
        <v>658</v>
      </c>
      <c r="BY147" s="27" t="s">
        <v>672</v>
      </c>
      <c r="BZ147" s="323" t="e">
        <f>BW148</f>
        <v>#VALUE!</v>
      </c>
      <c r="CA147" s="28" t="s">
        <v>665</v>
      </c>
      <c r="CC147" s="27" t="s">
        <v>673</v>
      </c>
      <c r="CD147" s="210" t="e">
        <f>RSL*COS(Radians)</f>
        <v>#VALUE!</v>
      </c>
      <c r="CE147" s="28" t="s">
        <v>65</v>
      </c>
    </row>
    <row r="148" spans="15:83" x14ac:dyDescent="0.25">
      <c r="O148" s="628"/>
      <c r="P148" s="559"/>
      <c r="Q148" t="s">
        <v>659</v>
      </c>
      <c r="R148" s="7" t="e">
        <f>R146-R147</f>
        <v>#VALUE!</v>
      </c>
      <c r="S148" s="77" t="s">
        <v>657</v>
      </c>
      <c r="T148" s="43"/>
      <c r="U148" s="7" t="e">
        <f>R148/12</f>
        <v>#VALUE!</v>
      </c>
      <c r="V148" s="28" t="s">
        <v>658</v>
      </c>
      <c r="W148" s="27" t="s">
        <v>674</v>
      </c>
      <c r="X148" s="7" t="e">
        <f>X147*X146</f>
        <v>#VALUE!</v>
      </c>
      <c r="Y148" s="28" t="s">
        <v>657</v>
      </c>
      <c r="Z148" s="27"/>
      <c r="AA148" s="7"/>
      <c r="AB148" s="28"/>
      <c r="AC148" s="27"/>
      <c r="AD148" s="7"/>
      <c r="AE148" s="28"/>
      <c r="AF148" s="27" t="s">
        <v>653</v>
      </c>
      <c r="AG148" s="319" t="e">
        <f>AD150</f>
        <v>#VALUE!</v>
      </c>
      <c r="AH148" s="28" t="s">
        <v>663</v>
      </c>
      <c r="AJ148" s="27" t="s">
        <v>671</v>
      </c>
      <c r="AK148" s="321" t="e">
        <f>AK146*AK147</f>
        <v>#VALUE!</v>
      </c>
      <c r="AL148" s="28" t="s">
        <v>665</v>
      </c>
      <c r="AM148" s="27" t="s">
        <v>671</v>
      </c>
      <c r="AN148" s="323" t="e">
        <f>AN147*AN146</f>
        <v>#VALUE!</v>
      </c>
      <c r="AO148" s="28" t="s">
        <v>665</v>
      </c>
      <c r="AP148" s="27" t="s">
        <v>654</v>
      </c>
      <c r="AQ148" s="7" t="e">
        <f>SUM(AQ146:AQ147)</f>
        <v>#VALUE!</v>
      </c>
      <c r="AR148" s="28" t="s">
        <v>665</v>
      </c>
      <c r="AT148" s="27" t="s">
        <v>671</v>
      </c>
      <c r="AU148" s="210" t="e">
        <f>U150</f>
        <v>#VALUE!</v>
      </c>
      <c r="AV148" s="28" t="s">
        <v>708</v>
      </c>
      <c r="AX148" s="628"/>
      <c r="AY148" s="559"/>
      <c r="AZ148" t="s">
        <v>659</v>
      </c>
      <c r="BA148" s="7" t="e">
        <f>BA146-BA147</f>
        <v>#VALUE!</v>
      </c>
      <c r="BB148" s="77" t="s">
        <v>657</v>
      </c>
      <c r="BC148" s="43"/>
      <c r="BD148" s="7" t="e">
        <f>BA148/12</f>
        <v>#VALUE!</v>
      </c>
      <c r="BE148" s="28" t="s">
        <v>658</v>
      </c>
      <c r="BF148" s="27" t="s">
        <v>674</v>
      </c>
      <c r="BG148" s="7" t="e">
        <f>BG147*BG146</f>
        <v>#VALUE!</v>
      </c>
      <c r="BH148" s="28" t="s">
        <v>657</v>
      </c>
      <c r="BI148" s="27"/>
      <c r="BJ148" s="7"/>
      <c r="BK148" s="28"/>
      <c r="BL148" s="27"/>
      <c r="BM148" s="7"/>
      <c r="BN148" s="28"/>
      <c r="BO148" s="27" t="s">
        <v>653</v>
      </c>
      <c r="BP148" s="319" t="e">
        <f>BM150</f>
        <v>#VALUE!</v>
      </c>
      <c r="BQ148" s="28" t="s">
        <v>663</v>
      </c>
      <c r="BS148" s="27" t="s">
        <v>671</v>
      </c>
      <c r="BT148" s="321" t="e">
        <f>BT146*BT147</f>
        <v>#VALUE!</v>
      </c>
      <c r="BU148" s="28" t="s">
        <v>665</v>
      </c>
      <c r="BV148" s="27" t="s">
        <v>671</v>
      </c>
      <c r="BW148" s="323" t="e">
        <f>BW147*BW146</f>
        <v>#VALUE!</v>
      </c>
      <c r="BX148" s="28" t="s">
        <v>665</v>
      </c>
      <c r="BY148" s="27" t="s">
        <v>654</v>
      </c>
      <c r="BZ148" s="7" t="e">
        <f>SUM(BZ146:BZ147)</f>
        <v>#VALUE!</v>
      </c>
      <c r="CA148" s="28" t="s">
        <v>665</v>
      </c>
      <c r="CC148" s="27" t="s">
        <v>671</v>
      </c>
      <c r="CD148" s="210" t="e">
        <f>BD150</f>
        <v>#VALUE!</v>
      </c>
      <c r="CE148" s="28" t="s">
        <v>665</v>
      </c>
    </row>
    <row r="149" spans="15:83" x14ac:dyDescent="0.25">
      <c r="O149" s="628"/>
      <c r="P149" s="559"/>
      <c r="Q149" t="s">
        <v>675</v>
      </c>
      <c r="R149" s="7" t="e">
        <f>ROUND(ML, 3)</f>
        <v>#VALUE!</v>
      </c>
      <c r="S149" s="77" t="s">
        <v>657</v>
      </c>
      <c r="T149" s="43"/>
      <c r="U149" s="7" t="e">
        <f>R149/12</f>
        <v>#VALUE!</v>
      </c>
      <c r="V149" s="28" t="s">
        <v>658</v>
      </c>
      <c r="W149" s="27" t="s">
        <v>660</v>
      </c>
      <c r="X149" s="7">
        <f>VLOOKUP(VS,'List Data'!$A$8:$B$12, 2, FALSE)</f>
        <v>2.1419999999999999</v>
      </c>
      <c r="Y149" s="28" t="s">
        <v>661</v>
      </c>
      <c r="Z149" s="27"/>
      <c r="AA149" s="7"/>
      <c r="AB149" s="28"/>
      <c r="AC149" s="27"/>
      <c r="AD149" s="7"/>
      <c r="AE149" s="28"/>
      <c r="AF149" s="27"/>
      <c r="AH149" s="28"/>
      <c r="AJ149" s="27"/>
      <c r="AK149" s="7"/>
      <c r="AL149" s="28"/>
      <c r="AM149" s="27"/>
      <c r="AO149" s="28"/>
      <c r="AP149" s="27"/>
      <c r="AQ149" s="7"/>
      <c r="AR149" s="28"/>
      <c r="AT149" s="27"/>
      <c r="AU149" s="210"/>
      <c r="AV149" s="28"/>
      <c r="AX149" s="628"/>
      <c r="AY149" s="559"/>
      <c r="AZ149" t="s">
        <v>675</v>
      </c>
      <c r="BA149" s="7" t="e">
        <f>ROUND(ML, 3)</f>
        <v>#VALUE!</v>
      </c>
      <c r="BB149" s="77" t="s">
        <v>657</v>
      </c>
      <c r="BC149" s="43"/>
      <c r="BD149" s="7" t="e">
        <f>BA149/12</f>
        <v>#VALUE!</v>
      </c>
      <c r="BE149" s="28" t="s">
        <v>658</v>
      </c>
      <c r="BF149" s="27" t="s">
        <v>660</v>
      </c>
      <c r="BG149" s="7">
        <f>VLOOKUP(VS,'List Data'!$A$8:$B$12, 2, FALSE)</f>
        <v>2.1419999999999999</v>
      </c>
      <c r="BH149" s="28" t="s">
        <v>661</v>
      </c>
      <c r="BI149" s="27"/>
      <c r="BJ149" s="7"/>
      <c r="BK149" s="28"/>
      <c r="BL149" s="27"/>
      <c r="BM149" s="7"/>
      <c r="BN149" s="28"/>
      <c r="BO149" s="27"/>
      <c r="BQ149" s="28"/>
      <c r="BS149" s="27"/>
      <c r="BT149" s="7"/>
      <c r="BU149" s="28"/>
      <c r="BV149" s="27"/>
      <c r="BX149" s="28"/>
      <c r="BY149" s="27"/>
      <c r="BZ149" s="7"/>
      <c r="CA149" s="28"/>
      <c r="CC149" s="27"/>
      <c r="CD149" s="210"/>
      <c r="CE149" s="28"/>
    </row>
    <row r="150" spans="15:83" x14ac:dyDescent="0.25">
      <c r="O150" s="629"/>
      <c r="P150" s="561"/>
      <c r="Q150" s="30" t="s">
        <v>671</v>
      </c>
      <c r="R150" s="309" t="e">
        <f>R148*R149</f>
        <v>#VALUE!</v>
      </c>
      <c r="S150" s="311" t="s">
        <v>676</v>
      </c>
      <c r="T150" s="313"/>
      <c r="U150" s="309" t="e">
        <f>IF(O146="Exterior Drive Post", (R150/144)-(((GL+GR)*(ML/25.4))/144), R150/144)</f>
        <v>#VALUE!</v>
      </c>
      <c r="V150" s="31" t="s">
        <v>677</v>
      </c>
      <c r="W150" s="29" t="s">
        <v>678</v>
      </c>
      <c r="X150" s="314" t="e">
        <f>X149/12*X148</f>
        <v>#VALUE!</v>
      </c>
      <c r="Y150" s="31" t="s">
        <v>663</v>
      </c>
      <c r="Z150" s="29" t="s">
        <v>678</v>
      </c>
      <c r="AA150" s="315" t="e">
        <f>AA146*AA147</f>
        <v>#VALUE!</v>
      </c>
      <c r="AB150" s="31" t="s">
        <v>663</v>
      </c>
      <c r="AC150" s="29" t="s">
        <v>678</v>
      </c>
      <c r="AD150" s="316" t="e">
        <f>AD146*AD147</f>
        <v>#VALUE!</v>
      </c>
      <c r="AE150" s="31" t="s">
        <v>181</v>
      </c>
      <c r="AF150" s="29" t="s">
        <v>654</v>
      </c>
      <c r="AG150" s="320" t="e">
        <f>IF(O146="Exterior Drive Post", SUM(AG146:AG148)+SDW, SUM(AG146:AG148)+ICW)</f>
        <v>#VALUE!</v>
      </c>
      <c r="AH150" s="31" t="s">
        <v>663</v>
      </c>
      <c r="AI150">
        <v>29</v>
      </c>
      <c r="AJ150" s="29"/>
      <c r="AK150" s="309"/>
      <c r="AL150" s="31"/>
      <c r="AM150" s="29"/>
      <c r="AN150" s="30"/>
      <c r="AO150" s="31"/>
      <c r="AP150" s="29" t="s">
        <v>679</v>
      </c>
      <c r="AQ150" s="324" t="e">
        <f>AQ148*Pult</f>
        <v>#VALUE!</v>
      </c>
      <c r="AR150" s="31" t="s">
        <v>181</v>
      </c>
      <c r="AT150" s="29" t="s">
        <v>662</v>
      </c>
      <c r="AU150" s="339" t="e">
        <f>AU148*AU147</f>
        <v>#VALUE!</v>
      </c>
      <c r="AV150" s="31" t="s">
        <v>181</v>
      </c>
      <c r="AX150" s="629"/>
      <c r="AY150" s="561"/>
      <c r="AZ150" s="30" t="s">
        <v>671</v>
      </c>
      <c r="BA150" s="309" t="e">
        <f>BA148*BA149</f>
        <v>#VALUE!</v>
      </c>
      <c r="BB150" s="311" t="s">
        <v>676</v>
      </c>
      <c r="BC150" s="313"/>
      <c r="BD150" s="309" t="e">
        <f>IF(AX146="Interior Drive Post", (BA150/144)-(((GL+GR)*(ML/25.4))/144), BA150/144)</f>
        <v>#VALUE!</v>
      </c>
      <c r="BE150" s="31" t="s">
        <v>677</v>
      </c>
      <c r="BF150" s="29" t="s">
        <v>678</v>
      </c>
      <c r="BG150" s="314" t="e">
        <f>BG149/12*BG148</f>
        <v>#VALUE!</v>
      </c>
      <c r="BH150" s="31" t="s">
        <v>663</v>
      </c>
      <c r="BI150" s="29" t="s">
        <v>678</v>
      </c>
      <c r="BJ150" s="315" t="e">
        <f>BJ146*BJ147</f>
        <v>#VALUE!</v>
      </c>
      <c r="BK150" s="31" t="s">
        <v>663</v>
      </c>
      <c r="BL150" s="29" t="s">
        <v>678</v>
      </c>
      <c r="BM150" s="316" t="e">
        <f>BM146*BM147</f>
        <v>#VALUE!</v>
      </c>
      <c r="BN150" s="31" t="s">
        <v>181</v>
      </c>
      <c r="BO150" s="29" t="s">
        <v>654</v>
      </c>
      <c r="BP150" s="320" t="e">
        <f>IF(AX146="Interior Drive Post", SUM(BP146:BP148)+SDW, SUM(BP146:BP148)+ICW)</f>
        <v>#VALUE!</v>
      </c>
      <c r="BQ150" s="31" t="s">
        <v>663</v>
      </c>
      <c r="BR150">
        <v>29</v>
      </c>
      <c r="BS150" s="29"/>
      <c r="BT150" s="309"/>
      <c r="BU150" s="31"/>
      <c r="BV150" s="29"/>
      <c r="BW150" s="30"/>
      <c r="BX150" s="31"/>
      <c r="BY150" s="29" t="s">
        <v>679</v>
      </c>
      <c r="BZ150" s="324" t="e">
        <f>BZ148*Pult</f>
        <v>#VALUE!</v>
      </c>
      <c r="CA150" s="31" t="s">
        <v>181</v>
      </c>
      <c r="CC150" s="29" t="s">
        <v>662</v>
      </c>
      <c r="CD150" s="339" t="e">
        <f>CD148*CD147</f>
        <v>#VALUE!</v>
      </c>
      <c r="CE150" s="31" t="s">
        <v>181</v>
      </c>
    </row>
    <row r="151" spans="15:83" x14ac:dyDescent="0.25">
      <c r="O151" s="653" t="str">
        <f>D35</f>
        <v/>
      </c>
      <c r="P151" s="558"/>
      <c r="Q151" s="25" t="s">
        <v>656</v>
      </c>
      <c r="R151" s="297" t="str">
        <f>L35</f>
        <v/>
      </c>
      <c r="S151" s="310" t="s">
        <v>657</v>
      </c>
      <c r="T151" s="312"/>
      <c r="U151" s="297" t="e">
        <f>R151/12</f>
        <v>#VALUE!</v>
      </c>
      <c r="V151" s="26" t="s">
        <v>658</v>
      </c>
      <c r="W151" s="24" t="s">
        <v>659</v>
      </c>
      <c r="X151" s="297" t="e">
        <f>VL</f>
        <v>#VALUE!</v>
      </c>
      <c r="Y151" s="26" t="s">
        <v>657</v>
      </c>
      <c r="Z151" s="24" t="s">
        <v>660</v>
      </c>
      <c r="AA151" s="297">
        <f>VLOOKUP(TS,'List Data'!$A$15:$B$18, 2, FALSE)</f>
        <v>7.8955000000000002</v>
      </c>
      <c r="AB151" s="26" t="s">
        <v>661</v>
      </c>
      <c r="AC151" s="24" t="s">
        <v>662</v>
      </c>
      <c r="AD151" s="297" t="e">
        <f>PL</f>
        <v>#VALUE!</v>
      </c>
      <c r="AE151" s="26" t="s">
        <v>65</v>
      </c>
      <c r="AF151" s="24" t="s">
        <v>651</v>
      </c>
      <c r="AG151" s="318" t="e">
        <f>X155</f>
        <v>#VALUE!</v>
      </c>
      <c r="AH151" s="26" t="s">
        <v>663</v>
      </c>
      <c r="AJ151" s="24" t="s">
        <v>664</v>
      </c>
      <c r="AK151" s="297" t="e">
        <f>ROUND(MT/12,5)</f>
        <v>#VALUE!</v>
      </c>
      <c r="AL151" s="26" t="s">
        <v>658</v>
      </c>
      <c r="AM151" s="24" t="s">
        <v>370</v>
      </c>
      <c r="AN151" s="297">
        <f>IF(OR(TS="5x4, .126", TS="5x4, .134"), 5/12,4/12)</f>
        <v>0.41666666666666669</v>
      </c>
      <c r="AO151" s="26" t="s">
        <v>658</v>
      </c>
      <c r="AP151" s="24" t="s">
        <v>653</v>
      </c>
      <c r="AQ151" s="322" t="e">
        <f>AK153</f>
        <v>#VALUE!</v>
      </c>
      <c r="AR151" s="26" t="s">
        <v>665</v>
      </c>
      <c r="AT151" s="24" t="s">
        <v>666</v>
      </c>
      <c r="AU151" s="338" t="str">
        <f>Theta</f>
        <v>XX</v>
      </c>
      <c r="AV151" s="26" t="s">
        <v>667</v>
      </c>
      <c r="AX151" s="653" t="str">
        <f>D71</f>
        <v/>
      </c>
      <c r="AY151" s="558"/>
      <c r="AZ151" s="25" t="s">
        <v>656</v>
      </c>
      <c r="BA151" s="297" t="str">
        <f>L71</f>
        <v/>
      </c>
      <c r="BB151" s="310" t="s">
        <v>657</v>
      </c>
      <c r="BC151" s="312"/>
      <c r="BD151" s="297" t="e">
        <f>BA151/12</f>
        <v>#VALUE!</v>
      </c>
      <c r="BE151" s="26" t="s">
        <v>658</v>
      </c>
      <c r="BF151" s="24" t="s">
        <v>659</v>
      </c>
      <c r="BG151" s="297" t="e">
        <f>VL</f>
        <v>#VALUE!</v>
      </c>
      <c r="BH151" s="26" t="s">
        <v>657</v>
      </c>
      <c r="BI151" s="24" t="s">
        <v>660</v>
      </c>
      <c r="BJ151" s="297">
        <f>VLOOKUP(TS,'List Data'!$A$15:$B$18, 2, FALSE)</f>
        <v>7.8955000000000002</v>
      </c>
      <c r="BK151" s="26" t="s">
        <v>661</v>
      </c>
      <c r="BL151" s="24" t="s">
        <v>662</v>
      </c>
      <c r="BM151" s="297" t="e">
        <f>PL</f>
        <v>#VALUE!</v>
      </c>
      <c r="BN151" s="26" t="s">
        <v>65</v>
      </c>
      <c r="BO151" s="24" t="s">
        <v>651</v>
      </c>
      <c r="BP151" s="318" t="e">
        <f>BG155</f>
        <v>#VALUE!</v>
      </c>
      <c r="BQ151" s="26" t="s">
        <v>663</v>
      </c>
      <c r="BS151" s="24" t="s">
        <v>664</v>
      </c>
      <c r="BT151" s="297" t="e">
        <f>ROUND(MT/12,5)</f>
        <v>#VALUE!</v>
      </c>
      <c r="BU151" s="26" t="s">
        <v>658</v>
      </c>
      <c r="BV151" s="24" t="s">
        <v>370</v>
      </c>
      <c r="BW151" s="297">
        <f>IF(OR(TS="5x4, .126", TS="5x4, .134"), 5/12,4/12)</f>
        <v>0.41666666666666669</v>
      </c>
      <c r="BX151" s="26" t="s">
        <v>658</v>
      </c>
      <c r="BY151" s="24" t="s">
        <v>653</v>
      </c>
      <c r="BZ151" s="322" t="e">
        <f>BT153</f>
        <v>#VALUE!</v>
      </c>
      <c r="CA151" s="26" t="s">
        <v>665</v>
      </c>
      <c r="CC151" s="24" t="s">
        <v>666</v>
      </c>
      <c r="CD151" s="338" t="str">
        <f>Theta</f>
        <v>XX</v>
      </c>
      <c r="CE151" s="26" t="s">
        <v>667</v>
      </c>
    </row>
    <row r="152" spans="15:83" x14ac:dyDescent="0.25">
      <c r="O152" s="628"/>
      <c r="P152" s="559"/>
      <c r="Q152" t="s">
        <v>668</v>
      </c>
      <c r="R152" s="7" t="str">
        <f>L36</f>
        <v/>
      </c>
      <c r="S152" s="77" t="s">
        <v>657</v>
      </c>
      <c r="T152" s="43"/>
      <c r="U152" s="7" t="e">
        <f>R152/12</f>
        <v>#VALUE!</v>
      </c>
      <c r="V152" s="28" t="s">
        <v>658</v>
      </c>
      <c r="W152" s="27" t="s">
        <v>669</v>
      </c>
      <c r="X152" s="7">
        <f>COUNTIFS($I$6:$I$105, "&lt;="&amp;R151, $I$6:$I$105, "&gt;="&amp;R152)</f>
        <v>0</v>
      </c>
      <c r="Y152" s="28" t="s">
        <v>670</v>
      </c>
      <c r="Z152" s="27" t="s">
        <v>659</v>
      </c>
      <c r="AA152" s="7" t="e">
        <f>IF(O151="Exterior Drive Post", (U153-(TG/12)), U153)</f>
        <v>#VALUE!</v>
      </c>
      <c r="AB152" s="28" t="s">
        <v>658</v>
      </c>
      <c r="AC152" s="27" t="s">
        <v>671</v>
      </c>
      <c r="AD152" s="7" t="e">
        <f>U155</f>
        <v>#VALUE!</v>
      </c>
      <c r="AE152" s="28" t="s">
        <v>665</v>
      </c>
      <c r="AF152" s="27" t="s">
        <v>672</v>
      </c>
      <c r="AG152" s="317" t="e">
        <f>AA155</f>
        <v>#VALUE!</v>
      </c>
      <c r="AH152" s="28" t="s">
        <v>663</v>
      </c>
      <c r="AJ152" s="27" t="s">
        <v>659</v>
      </c>
      <c r="AK152" s="7" t="e">
        <f>IF(O151= "Exterior Drive Post", (U153)-((GL+GR)/12), U153)</f>
        <v>#VALUE!</v>
      </c>
      <c r="AL152" s="28" t="s">
        <v>658</v>
      </c>
      <c r="AM152" s="27" t="s">
        <v>659</v>
      </c>
      <c r="AN152" s="7" t="e">
        <f>AA152</f>
        <v>#VALUE!</v>
      </c>
      <c r="AO152" s="28" t="s">
        <v>658</v>
      </c>
      <c r="AP152" s="27" t="s">
        <v>672</v>
      </c>
      <c r="AQ152" s="323" t="e">
        <f>AN153</f>
        <v>#VALUE!</v>
      </c>
      <c r="AR152" s="28" t="s">
        <v>665</v>
      </c>
      <c r="AT152" s="27" t="s">
        <v>673</v>
      </c>
      <c r="AU152" s="210" t="e">
        <f>RSL*COS(Radians)</f>
        <v>#VALUE!</v>
      </c>
      <c r="AV152" s="28" t="s">
        <v>65</v>
      </c>
      <c r="AX152" s="628"/>
      <c r="AY152" s="559"/>
      <c r="AZ152" t="s">
        <v>668</v>
      </c>
      <c r="BA152" s="7" t="str">
        <f>L72</f>
        <v/>
      </c>
      <c r="BB152" s="77" t="s">
        <v>657</v>
      </c>
      <c r="BC152" s="43"/>
      <c r="BD152" s="7" t="e">
        <f>BA152/12</f>
        <v>#VALUE!</v>
      </c>
      <c r="BE152" s="28" t="s">
        <v>658</v>
      </c>
      <c r="BF152" s="27" t="s">
        <v>669</v>
      </c>
      <c r="BG152" s="7">
        <f>COUNTIFS($I$6:$I$105, "&lt;="&amp;BA151, $I$6:$I$105, "&gt;="&amp;BA152)</f>
        <v>0</v>
      </c>
      <c r="BH152" s="28" t="s">
        <v>670</v>
      </c>
      <c r="BI152" s="27" t="s">
        <v>659</v>
      </c>
      <c r="BJ152" s="7" t="e">
        <f>IF(AX151="Interior Drive Post", (BD153-(TG/12)), BD153)</f>
        <v>#VALUE!</v>
      </c>
      <c r="BK152" s="28" t="s">
        <v>658</v>
      </c>
      <c r="BL152" s="27" t="s">
        <v>671</v>
      </c>
      <c r="BM152" s="7" t="e">
        <f>BD155</f>
        <v>#VALUE!</v>
      </c>
      <c r="BN152" s="28" t="s">
        <v>665</v>
      </c>
      <c r="BO152" s="27" t="s">
        <v>672</v>
      </c>
      <c r="BP152" s="317" t="e">
        <f>BJ155</f>
        <v>#VALUE!</v>
      </c>
      <c r="BQ152" s="28" t="s">
        <v>663</v>
      </c>
      <c r="BS152" s="27" t="s">
        <v>659</v>
      </c>
      <c r="BT152" s="7" t="e">
        <f>IF(AX151= "Interior Drive Post", (BD153)-((GL+GR)/12), BD153)</f>
        <v>#VALUE!</v>
      </c>
      <c r="BU152" s="28" t="s">
        <v>658</v>
      </c>
      <c r="BV152" s="27" t="s">
        <v>659</v>
      </c>
      <c r="BW152" s="7" t="e">
        <f>BJ152</f>
        <v>#VALUE!</v>
      </c>
      <c r="BX152" s="28" t="s">
        <v>658</v>
      </c>
      <c r="BY152" s="27" t="s">
        <v>672</v>
      </c>
      <c r="BZ152" s="323" t="e">
        <f>BW153</f>
        <v>#VALUE!</v>
      </c>
      <c r="CA152" s="28" t="s">
        <v>665</v>
      </c>
      <c r="CC152" s="27" t="s">
        <v>673</v>
      </c>
      <c r="CD152" s="210" t="e">
        <f>RSL*COS(Radians)</f>
        <v>#VALUE!</v>
      </c>
      <c r="CE152" s="28" t="s">
        <v>65</v>
      </c>
    </row>
    <row r="153" spans="15:83" x14ac:dyDescent="0.25">
      <c r="O153" s="628"/>
      <c r="P153" s="559"/>
      <c r="Q153" t="s">
        <v>659</v>
      </c>
      <c r="R153" s="7" t="e">
        <f>R151-R152</f>
        <v>#VALUE!</v>
      </c>
      <c r="S153" s="77" t="s">
        <v>657</v>
      </c>
      <c r="T153" s="43"/>
      <c r="U153" s="7" t="e">
        <f>R153/12</f>
        <v>#VALUE!</v>
      </c>
      <c r="V153" s="28" t="s">
        <v>658</v>
      </c>
      <c r="W153" s="27" t="s">
        <v>674</v>
      </c>
      <c r="X153" s="7" t="e">
        <f>X152*X151</f>
        <v>#VALUE!</v>
      </c>
      <c r="Y153" s="28" t="s">
        <v>657</v>
      </c>
      <c r="Z153" s="27"/>
      <c r="AA153" s="7"/>
      <c r="AB153" s="28"/>
      <c r="AC153" s="27"/>
      <c r="AD153" s="7"/>
      <c r="AE153" s="28"/>
      <c r="AF153" s="27" t="s">
        <v>653</v>
      </c>
      <c r="AG153" s="319" t="e">
        <f>AD155</f>
        <v>#VALUE!</v>
      </c>
      <c r="AH153" s="28" t="s">
        <v>663</v>
      </c>
      <c r="AJ153" s="27" t="s">
        <v>671</v>
      </c>
      <c r="AK153" s="321" t="e">
        <f>AK151*AK152</f>
        <v>#VALUE!</v>
      </c>
      <c r="AL153" s="28" t="s">
        <v>665</v>
      </c>
      <c r="AM153" s="27" t="s">
        <v>671</v>
      </c>
      <c r="AN153" s="323" t="e">
        <f>AN152*AN151</f>
        <v>#VALUE!</v>
      </c>
      <c r="AO153" s="28" t="s">
        <v>665</v>
      </c>
      <c r="AP153" s="27" t="s">
        <v>654</v>
      </c>
      <c r="AQ153" s="7" t="e">
        <f>SUM(AQ151:AQ152)</f>
        <v>#VALUE!</v>
      </c>
      <c r="AR153" s="28" t="s">
        <v>665</v>
      </c>
      <c r="AT153" s="27" t="s">
        <v>671</v>
      </c>
      <c r="AU153" s="210" t="e">
        <f>U155</f>
        <v>#VALUE!</v>
      </c>
      <c r="AV153" s="28" t="s">
        <v>709</v>
      </c>
      <c r="AX153" s="628"/>
      <c r="AY153" s="559"/>
      <c r="AZ153" t="s">
        <v>659</v>
      </c>
      <c r="BA153" s="7" t="e">
        <f>BA151-BA152</f>
        <v>#VALUE!</v>
      </c>
      <c r="BB153" s="77" t="s">
        <v>657</v>
      </c>
      <c r="BC153" s="43"/>
      <c r="BD153" s="7" t="e">
        <f>BA153/12</f>
        <v>#VALUE!</v>
      </c>
      <c r="BE153" s="28" t="s">
        <v>658</v>
      </c>
      <c r="BF153" s="27" t="s">
        <v>674</v>
      </c>
      <c r="BG153" s="7" t="e">
        <f>BG152*BG151</f>
        <v>#VALUE!</v>
      </c>
      <c r="BH153" s="28" t="s">
        <v>657</v>
      </c>
      <c r="BI153" s="27"/>
      <c r="BJ153" s="7"/>
      <c r="BK153" s="28"/>
      <c r="BL153" s="27"/>
      <c r="BM153" s="7"/>
      <c r="BN153" s="28"/>
      <c r="BO153" s="27" t="s">
        <v>653</v>
      </c>
      <c r="BP153" s="319" t="e">
        <f>BM155</f>
        <v>#VALUE!</v>
      </c>
      <c r="BQ153" s="28" t="s">
        <v>663</v>
      </c>
      <c r="BS153" s="27" t="s">
        <v>671</v>
      </c>
      <c r="BT153" s="321" t="e">
        <f>BT151*BT152</f>
        <v>#VALUE!</v>
      </c>
      <c r="BU153" s="28" t="s">
        <v>665</v>
      </c>
      <c r="BV153" s="27" t="s">
        <v>671</v>
      </c>
      <c r="BW153" s="323" t="e">
        <f>BW152*BW151</f>
        <v>#VALUE!</v>
      </c>
      <c r="BX153" s="28" t="s">
        <v>665</v>
      </c>
      <c r="BY153" s="27" t="s">
        <v>654</v>
      </c>
      <c r="BZ153" s="7" t="e">
        <f>SUM(BZ151:BZ152)</f>
        <v>#VALUE!</v>
      </c>
      <c r="CA153" s="28" t="s">
        <v>665</v>
      </c>
      <c r="CC153" s="27" t="s">
        <v>671</v>
      </c>
      <c r="CD153" s="210" t="e">
        <f>BD155</f>
        <v>#VALUE!</v>
      </c>
      <c r="CE153" s="28" t="s">
        <v>665</v>
      </c>
    </row>
    <row r="154" spans="15:83" x14ac:dyDescent="0.25">
      <c r="O154" s="628"/>
      <c r="P154" s="559"/>
      <c r="Q154" t="s">
        <v>675</v>
      </c>
      <c r="R154" s="7" t="e">
        <f>ROUND(ML, 3)</f>
        <v>#VALUE!</v>
      </c>
      <c r="S154" s="77" t="s">
        <v>657</v>
      </c>
      <c r="T154" s="43"/>
      <c r="U154" s="7" t="e">
        <f>R154/12</f>
        <v>#VALUE!</v>
      </c>
      <c r="V154" s="28" t="s">
        <v>658</v>
      </c>
      <c r="W154" s="27" t="s">
        <v>660</v>
      </c>
      <c r="X154" s="7">
        <f>VLOOKUP(VS,'List Data'!$A$8:$B$12, 2, FALSE)</f>
        <v>2.1419999999999999</v>
      </c>
      <c r="Y154" s="28" t="s">
        <v>661</v>
      </c>
      <c r="Z154" s="27"/>
      <c r="AA154" s="7"/>
      <c r="AB154" s="28"/>
      <c r="AC154" s="27"/>
      <c r="AD154" s="7"/>
      <c r="AE154" s="28"/>
      <c r="AF154" s="27"/>
      <c r="AH154" s="28"/>
      <c r="AJ154" s="27"/>
      <c r="AK154" s="7"/>
      <c r="AL154" s="28"/>
      <c r="AM154" s="27"/>
      <c r="AO154" s="28"/>
      <c r="AP154" s="27"/>
      <c r="AQ154" s="7"/>
      <c r="AR154" s="28"/>
      <c r="AT154" s="27"/>
      <c r="AU154" s="210"/>
      <c r="AV154" s="28"/>
      <c r="AX154" s="628"/>
      <c r="AY154" s="559"/>
      <c r="AZ154" t="s">
        <v>675</v>
      </c>
      <c r="BA154" s="7" t="e">
        <f>ROUND(ML, 3)</f>
        <v>#VALUE!</v>
      </c>
      <c r="BB154" s="77" t="s">
        <v>657</v>
      </c>
      <c r="BC154" s="43"/>
      <c r="BD154" s="7" t="e">
        <f>BA154/12</f>
        <v>#VALUE!</v>
      </c>
      <c r="BE154" s="28" t="s">
        <v>658</v>
      </c>
      <c r="BF154" s="27" t="s">
        <v>660</v>
      </c>
      <c r="BG154" s="7">
        <f>VLOOKUP(VS,'List Data'!$A$8:$B$12, 2, FALSE)</f>
        <v>2.1419999999999999</v>
      </c>
      <c r="BH154" s="28" t="s">
        <v>661</v>
      </c>
      <c r="BI154" s="27"/>
      <c r="BJ154" s="7"/>
      <c r="BK154" s="28"/>
      <c r="BL154" s="27"/>
      <c r="BM154" s="7"/>
      <c r="BN154" s="28"/>
      <c r="BO154" s="27"/>
      <c r="BQ154" s="28"/>
      <c r="BS154" s="27"/>
      <c r="BT154" s="7"/>
      <c r="BU154" s="28"/>
      <c r="BV154" s="27"/>
      <c r="BX154" s="28"/>
      <c r="BY154" s="27"/>
      <c r="BZ154" s="7"/>
      <c r="CA154" s="28"/>
      <c r="CC154" s="27"/>
      <c r="CD154" s="210"/>
      <c r="CE154" s="28"/>
    </row>
    <row r="155" spans="15:83" x14ac:dyDescent="0.25">
      <c r="O155" s="629"/>
      <c r="P155" s="561"/>
      <c r="Q155" s="30" t="s">
        <v>671</v>
      </c>
      <c r="R155" s="309" t="e">
        <f>R153*R154</f>
        <v>#VALUE!</v>
      </c>
      <c r="S155" s="311" t="s">
        <v>676</v>
      </c>
      <c r="T155" s="313"/>
      <c r="U155" s="309" t="e">
        <f>IF(O151="Exterior Drive Post", (R155/144)-(((GL+GR)*(ML/25.4))/144), R155/144)</f>
        <v>#VALUE!</v>
      </c>
      <c r="V155" s="31" t="s">
        <v>677</v>
      </c>
      <c r="W155" s="29" t="s">
        <v>678</v>
      </c>
      <c r="X155" s="314" t="e">
        <f>X154/12*X153</f>
        <v>#VALUE!</v>
      </c>
      <c r="Y155" s="31" t="s">
        <v>663</v>
      </c>
      <c r="Z155" s="29" t="s">
        <v>678</v>
      </c>
      <c r="AA155" s="315" t="e">
        <f>AA151*AA152</f>
        <v>#VALUE!</v>
      </c>
      <c r="AB155" s="31" t="s">
        <v>663</v>
      </c>
      <c r="AC155" s="29" t="s">
        <v>678</v>
      </c>
      <c r="AD155" s="316" t="e">
        <f>AD151*AD152</f>
        <v>#VALUE!</v>
      </c>
      <c r="AE155" s="31" t="s">
        <v>181</v>
      </c>
      <c r="AF155" s="29" t="s">
        <v>654</v>
      </c>
      <c r="AG155" s="320" t="e">
        <f>IF(O151="Exterior Drive Post", SUM(AG151:AG153)+SDW, SUM(AG151:AG153)+ICW)</f>
        <v>#VALUE!</v>
      </c>
      <c r="AH155" s="31" t="s">
        <v>663</v>
      </c>
      <c r="AI155">
        <v>30</v>
      </c>
      <c r="AJ155" s="29"/>
      <c r="AK155" s="309"/>
      <c r="AL155" s="31"/>
      <c r="AM155" s="29"/>
      <c r="AN155" s="30"/>
      <c r="AO155" s="31"/>
      <c r="AP155" s="29" t="s">
        <v>679</v>
      </c>
      <c r="AQ155" s="324" t="e">
        <f>AQ153*Pult</f>
        <v>#VALUE!</v>
      </c>
      <c r="AR155" s="31" t="s">
        <v>181</v>
      </c>
      <c r="AT155" s="29" t="s">
        <v>662</v>
      </c>
      <c r="AU155" s="339" t="e">
        <f>AU153*AU152</f>
        <v>#VALUE!</v>
      </c>
      <c r="AV155" s="31" t="s">
        <v>181</v>
      </c>
      <c r="AX155" s="629"/>
      <c r="AY155" s="561"/>
      <c r="AZ155" s="30" t="s">
        <v>671</v>
      </c>
      <c r="BA155" s="309" t="e">
        <f>BA153*BA154</f>
        <v>#VALUE!</v>
      </c>
      <c r="BB155" s="311" t="s">
        <v>676</v>
      </c>
      <c r="BC155" s="313"/>
      <c r="BD155" s="309" t="e">
        <f>IF(AX151="Interior Drive Post", (BA155/144)-(((GL+GR)*(ML/25.4))/144), BA155/144)</f>
        <v>#VALUE!</v>
      </c>
      <c r="BE155" s="31" t="s">
        <v>677</v>
      </c>
      <c r="BF155" s="29" t="s">
        <v>678</v>
      </c>
      <c r="BG155" s="314" t="e">
        <f>BG154/12*BG153</f>
        <v>#VALUE!</v>
      </c>
      <c r="BH155" s="31" t="s">
        <v>663</v>
      </c>
      <c r="BI155" s="29" t="s">
        <v>678</v>
      </c>
      <c r="BJ155" s="315" t="e">
        <f>BJ151*BJ152</f>
        <v>#VALUE!</v>
      </c>
      <c r="BK155" s="31" t="s">
        <v>663</v>
      </c>
      <c r="BL155" s="29" t="s">
        <v>678</v>
      </c>
      <c r="BM155" s="316" t="e">
        <f>BM151*BM152</f>
        <v>#VALUE!</v>
      </c>
      <c r="BN155" s="31" t="s">
        <v>181</v>
      </c>
      <c r="BO155" s="29" t="s">
        <v>654</v>
      </c>
      <c r="BP155" s="320" t="e">
        <f>IF(AX151="Interior Drive Post", SUM(BP151:BP153)+SDW, SUM(BP151:BP153)+ICW)</f>
        <v>#VALUE!</v>
      </c>
      <c r="BQ155" s="31" t="s">
        <v>663</v>
      </c>
      <c r="BR155">
        <v>30</v>
      </c>
      <c r="BS155" s="29"/>
      <c r="BT155" s="309"/>
      <c r="BU155" s="31"/>
      <c r="BV155" s="29"/>
      <c r="BW155" s="30"/>
      <c r="BX155" s="31"/>
      <c r="BY155" s="29" t="s">
        <v>679</v>
      </c>
      <c r="BZ155" s="324" t="e">
        <f>BZ153*Pult</f>
        <v>#VALUE!</v>
      </c>
      <c r="CA155" s="31" t="s">
        <v>181</v>
      </c>
      <c r="CC155" s="29" t="s">
        <v>662</v>
      </c>
      <c r="CD155" s="339" t="e">
        <f>CD153*CD152</f>
        <v>#VALUE!</v>
      </c>
      <c r="CE155" s="31" t="s">
        <v>181</v>
      </c>
    </row>
    <row r="156" spans="15:83" x14ac:dyDescent="0.25">
      <c r="O156" s="653" t="str">
        <f>D36</f>
        <v/>
      </c>
      <c r="P156" s="558"/>
      <c r="Q156" s="25" t="s">
        <v>656</v>
      </c>
      <c r="R156" s="297" t="str">
        <f>L36</f>
        <v/>
      </c>
      <c r="S156" s="310" t="s">
        <v>657</v>
      </c>
      <c r="T156" s="312"/>
      <c r="U156" s="297" t="e">
        <f>R156/12</f>
        <v>#VALUE!</v>
      </c>
      <c r="V156" s="26" t="s">
        <v>658</v>
      </c>
      <c r="W156" s="24" t="s">
        <v>659</v>
      </c>
      <c r="X156" s="297" t="e">
        <f>VL</f>
        <v>#VALUE!</v>
      </c>
      <c r="Y156" s="26" t="s">
        <v>657</v>
      </c>
      <c r="Z156" s="24" t="s">
        <v>660</v>
      </c>
      <c r="AA156" s="297">
        <f>VLOOKUP(TS,'List Data'!$A$15:$B$18, 2, FALSE)</f>
        <v>7.8955000000000002</v>
      </c>
      <c r="AB156" s="26" t="s">
        <v>661</v>
      </c>
      <c r="AC156" s="24" t="s">
        <v>662</v>
      </c>
      <c r="AD156" s="297" t="e">
        <f>PL</f>
        <v>#VALUE!</v>
      </c>
      <c r="AE156" s="26" t="s">
        <v>65</v>
      </c>
      <c r="AF156" s="24" t="s">
        <v>651</v>
      </c>
      <c r="AG156" s="318" t="e">
        <f>X160</f>
        <v>#VALUE!</v>
      </c>
      <c r="AH156" s="26" t="s">
        <v>663</v>
      </c>
      <c r="AJ156" s="24" t="s">
        <v>664</v>
      </c>
      <c r="AK156" s="297" t="e">
        <f>ROUND(MT/12,5)</f>
        <v>#VALUE!</v>
      </c>
      <c r="AL156" s="26" t="s">
        <v>658</v>
      </c>
      <c r="AM156" s="24" t="s">
        <v>370</v>
      </c>
      <c r="AN156" s="297">
        <f>IF(OR(TS="5x4, .126", TS="5x4, .134"), 5/12,4/12)</f>
        <v>0.41666666666666669</v>
      </c>
      <c r="AO156" s="26" t="s">
        <v>658</v>
      </c>
      <c r="AP156" s="24" t="s">
        <v>653</v>
      </c>
      <c r="AQ156" s="322" t="e">
        <f>AK158</f>
        <v>#VALUE!</v>
      </c>
      <c r="AR156" s="26" t="s">
        <v>665</v>
      </c>
      <c r="AT156" s="24" t="s">
        <v>666</v>
      </c>
      <c r="AU156" s="338" t="str">
        <f>Theta</f>
        <v>XX</v>
      </c>
      <c r="AV156" s="26" t="s">
        <v>667</v>
      </c>
      <c r="AX156" s="653" t="str">
        <f>D72</f>
        <v/>
      </c>
      <c r="AY156" s="558"/>
      <c r="AZ156" s="25" t="s">
        <v>656</v>
      </c>
      <c r="BA156" s="297" t="str">
        <f>L72</f>
        <v/>
      </c>
      <c r="BB156" s="310" t="s">
        <v>657</v>
      </c>
      <c r="BC156" s="312"/>
      <c r="BD156" s="297" t="e">
        <f>BA156/12</f>
        <v>#VALUE!</v>
      </c>
      <c r="BE156" s="26" t="s">
        <v>658</v>
      </c>
      <c r="BF156" s="24" t="s">
        <v>659</v>
      </c>
      <c r="BG156" s="297" t="e">
        <f>VL</f>
        <v>#VALUE!</v>
      </c>
      <c r="BH156" s="26" t="s">
        <v>657</v>
      </c>
      <c r="BI156" s="24" t="s">
        <v>660</v>
      </c>
      <c r="BJ156" s="297">
        <f>VLOOKUP(TS,'List Data'!$A$15:$B$18, 2, FALSE)</f>
        <v>7.8955000000000002</v>
      </c>
      <c r="BK156" s="26" t="s">
        <v>661</v>
      </c>
      <c r="BL156" s="24" t="s">
        <v>662</v>
      </c>
      <c r="BM156" s="297" t="e">
        <f>PL</f>
        <v>#VALUE!</v>
      </c>
      <c r="BN156" s="26" t="s">
        <v>65</v>
      </c>
      <c r="BO156" s="24" t="s">
        <v>651</v>
      </c>
      <c r="BP156" s="318" t="e">
        <f>BG160</f>
        <v>#VALUE!</v>
      </c>
      <c r="BQ156" s="26" t="s">
        <v>663</v>
      </c>
      <c r="BS156" s="24" t="s">
        <v>664</v>
      </c>
      <c r="BT156" s="297" t="e">
        <f>ROUND(MT/12,5)</f>
        <v>#VALUE!</v>
      </c>
      <c r="BU156" s="26" t="s">
        <v>658</v>
      </c>
      <c r="BV156" s="24" t="s">
        <v>370</v>
      </c>
      <c r="BW156" s="297">
        <f>IF(OR(TS="5x4, .126", TS="5x4, .134"), 5/12,4/12)</f>
        <v>0.41666666666666669</v>
      </c>
      <c r="BX156" s="26" t="s">
        <v>658</v>
      </c>
      <c r="BY156" s="24" t="s">
        <v>653</v>
      </c>
      <c r="BZ156" s="322" t="e">
        <f>BT158</f>
        <v>#VALUE!</v>
      </c>
      <c r="CA156" s="26" t="s">
        <v>665</v>
      </c>
      <c r="CC156" s="24" t="s">
        <v>666</v>
      </c>
      <c r="CD156" s="338" t="str">
        <f>Theta</f>
        <v>XX</v>
      </c>
      <c r="CE156" s="26" t="s">
        <v>667</v>
      </c>
    </row>
    <row r="157" spans="15:83" x14ac:dyDescent="0.25">
      <c r="O157" s="628"/>
      <c r="P157" s="559"/>
      <c r="Q157" t="s">
        <v>668</v>
      </c>
      <c r="R157" s="7" t="str">
        <f>L37</f>
        <v/>
      </c>
      <c r="S157" s="77" t="s">
        <v>657</v>
      </c>
      <c r="T157" s="43"/>
      <c r="U157" s="7" t="e">
        <f>R157/12</f>
        <v>#VALUE!</v>
      </c>
      <c r="V157" s="28" t="s">
        <v>658</v>
      </c>
      <c r="W157" s="27" t="s">
        <v>669</v>
      </c>
      <c r="X157" s="7">
        <f>COUNTIFS($I$6:$I$105, "&lt;="&amp;R156, $I$6:$I$105, "&gt;="&amp;R157)</f>
        <v>0</v>
      </c>
      <c r="Y157" s="28" t="s">
        <v>670</v>
      </c>
      <c r="Z157" s="27" t="s">
        <v>659</v>
      </c>
      <c r="AA157" s="7" t="e">
        <f>IF(O156="Exterior Drive Post", (U158-(TG/12)), U158)</f>
        <v>#VALUE!</v>
      </c>
      <c r="AB157" s="28" t="s">
        <v>658</v>
      </c>
      <c r="AC157" s="27" t="s">
        <v>671</v>
      </c>
      <c r="AD157" s="7" t="e">
        <f>U160</f>
        <v>#VALUE!</v>
      </c>
      <c r="AE157" s="28" t="s">
        <v>665</v>
      </c>
      <c r="AF157" s="27" t="s">
        <v>672</v>
      </c>
      <c r="AG157" s="317" t="e">
        <f>AA160</f>
        <v>#VALUE!</v>
      </c>
      <c r="AH157" s="28" t="s">
        <v>663</v>
      </c>
      <c r="AJ157" s="27" t="s">
        <v>659</v>
      </c>
      <c r="AK157" s="7" t="e">
        <f>IF(O156= "Exterior Drive Post", (U158)-((GL+GR)/12), U158)</f>
        <v>#VALUE!</v>
      </c>
      <c r="AL157" s="28" t="s">
        <v>658</v>
      </c>
      <c r="AM157" s="27" t="s">
        <v>659</v>
      </c>
      <c r="AN157" s="7" t="e">
        <f>AA157</f>
        <v>#VALUE!</v>
      </c>
      <c r="AO157" s="28" t="s">
        <v>658</v>
      </c>
      <c r="AP157" s="27" t="s">
        <v>672</v>
      </c>
      <c r="AQ157" s="323" t="e">
        <f>AN158</f>
        <v>#VALUE!</v>
      </c>
      <c r="AR157" s="28" t="s">
        <v>665</v>
      </c>
      <c r="AT157" s="27" t="s">
        <v>673</v>
      </c>
      <c r="AU157" s="210" t="e">
        <f>RSL*COS(Radians)</f>
        <v>#VALUE!</v>
      </c>
      <c r="AV157" s="28" t="s">
        <v>65</v>
      </c>
      <c r="AX157" s="628"/>
      <c r="AY157" s="559"/>
      <c r="AZ157" t="s">
        <v>668</v>
      </c>
      <c r="BA157" s="7" t="str">
        <f>L73</f>
        <v/>
      </c>
      <c r="BB157" s="77" t="s">
        <v>657</v>
      </c>
      <c r="BC157" s="43"/>
      <c r="BD157" s="7" t="e">
        <f>BA157/12</f>
        <v>#VALUE!</v>
      </c>
      <c r="BE157" s="28" t="s">
        <v>658</v>
      </c>
      <c r="BF157" s="27" t="s">
        <v>669</v>
      </c>
      <c r="BG157" s="7">
        <f>COUNTIFS($I$6:$I$105, "&lt;="&amp;BA156, $I$6:$I$105, "&gt;="&amp;BA157)</f>
        <v>0</v>
      </c>
      <c r="BH157" s="28" t="s">
        <v>670</v>
      </c>
      <c r="BI157" s="27" t="s">
        <v>659</v>
      </c>
      <c r="BJ157" s="7" t="e">
        <f>IF(AX156="Interior Drive Post", (BD158-(TG/12)), BD158)</f>
        <v>#VALUE!</v>
      </c>
      <c r="BK157" s="28" t="s">
        <v>658</v>
      </c>
      <c r="BL157" s="27" t="s">
        <v>671</v>
      </c>
      <c r="BM157" s="7" t="e">
        <f>BD160</f>
        <v>#VALUE!</v>
      </c>
      <c r="BN157" s="28" t="s">
        <v>665</v>
      </c>
      <c r="BO157" s="27" t="s">
        <v>672</v>
      </c>
      <c r="BP157" s="317" t="e">
        <f>BJ160</f>
        <v>#VALUE!</v>
      </c>
      <c r="BQ157" s="28" t="s">
        <v>663</v>
      </c>
      <c r="BS157" s="27" t="s">
        <v>659</v>
      </c>
      <c r="BT157" s="7" t="e">
        <f>IF(AX156= "Interior Drive Post", (BD158)-((GL+GR)/12), BD158)</f>
        <v>#VALUE!</v>
      </c>
      <c r="BU157" s="28" t="s">
        <v>658</v>
      </c>
      <c r="BV157" s="27" t="s">
        <v>659</v>
      </c>
      <c r="BW157" s="7" t="e">
        <f>BJ157</f>
        <v>#VALUE!</v>
      </c>
      <c r="BX157" s="28" t="s">
        <v>658</v>
      </c>
      <c r="BY157" s="27" t="s">
        <v>672</v>
      </c>
      <c r="BZ157" s="323" t="e">
        <f>BW158</f>
        <v>#VALUE!</v>
      </c>
      <c r="CA157" s="28" t="s">
        <v>665</v>
      </c>
      <c r="CC157" s="27" t="s">
        <v>673</v>
      </c>
      <c r="CD157" s="210" t="e">
        <f>RSL*COS(Radians)</f>
        <v>#VALUE!</v>
      </c>
      <c r="CE157" s="28" t="s">
        <v>65</v>
      </c>
    </row>
    <row r="158" spans="15:83" x14ac:dyDescent="0.25">
      <c r="O158" s="628"/>
      <c r="P158" s="559"/>
      <c r="Q158" t="s">
        <v>659</v>
      </c>
      <c r="R158" s="7" t="e">
        <f>R156-R157</f>
        <v>#VALUE!</v>
      </c>
      <c r="S158" s="77" t="s">
        <v>657</v>
      </c>
      <c r="T158" s="43"/>
      <c r="U158" s="7" t="e">
        <f>R158/12</f>
        <v>#VALUE!</v>
      </c>
      <c r="V158" s="28" t="s">
        <v>658</v>
      </c>
      <c r="W158" s="27" t="s">
        <v>674</v>
      </c>
      <c r="X158" s="7" t="e">
        <f>X157*X156</f>
        <v>#VALUE!</v>
      </c>
      <c r="Y158" s="28" t="s">
        <v>657</v>
      </c>
      <c r="Z158" s="27"/>
      <c r="AA158" s="7"/>
      <c r="AB158" s="28"/>
      <c r="AC158" s="27"/>
      <c r="AD158" s="7"/>
      <c r="AE158" s="28"/>
      <c r="AF158" s="27" t="s">
        <v>653</v>
      </c>
      <c r="AG158" s="319" t="e">
        <f>AD160</f>
        <v>#VALUE!</v>
      </c>
      <c r="AH158" s="28" t="s">
        <v>663</v>
      </c>
      <c r="AJ158" s="27" t="s">
        <v>671</v>
      </c>
      <c r="AK158" s="321" t="e">
        <f>AK156*AK157</f>
        <v>#VALUE!</v>
      </c>
      <c r="AL158" s="28" t="s">
        <v>665</v>
      </c>
      <c r="AM158" s="27" t="s">
        <v>671</v>
      </c>
      <c r="AN158" s="323" t="e">
        <f>AN157*AN156</f>
        <v>#VALUE!</v>
      </c>
      <c r="AO158" s="28" t="s">
        <v>665</v>
      </c>
      <c r="AP158" s="27" t="s">
        <v>654</v>
      </c>
      <c r="AQ158" s="7" t="e">
        <f>SUM(AQ156:AQ157)</f>
        <v>#VALUE!</v>
      </c>
      <c r="AR158" s="28" t="s">
        <v>665</v>
      </c>
      <c r="AT158" s="27" t="s">
        <v>671</v>
      </c>
      <c r="AU158" s="210" t="e">
        <f>U160</f>
        <v>#VALUE!</v>
      </c>
      <c r="AV158" s="28" t="s">
        <v>710</v>
      </c>
      <c r="AX158" s="628"/>
      <c r="AY158" s="559"/>
      <c r="AZ158" t="s">
        <v>659</v>
      </c>
      <c r="BA158" s="7" t="e">
        <f>BA156-BA157</f>
        <v>#VALUE!</v>
      </c>
      <c r="BB158" s="77" t="s">
        <v>657</v>
      </c>
      <c r="BC158" s="43"/>
      <c r="BD158" s="7" t="e">
        <f>BA158/12</f>
        <v>#VALUE!</v>
      </c>
      <c r="BE158" s="28" t="s">
        <v>658</v>
      </c>
      <c r="BF158" s="27" t="s">
        <v>674</v>
      </c>
      <c r="BG158" s="7" t="e">
        <f>BG157*BG156</f>
        <v>#VALUE!</v>
      </c>
      <c r="BH158" s="28" t="s">
        <v>657</v>
      </c>
      <c r="BI158" s="27"/>
      <c r="BJ158" s="7"/>
      <c r="BK158" s="28"/>
      <c r="BL158" s="27"/>
      <c r="BM158" s="7"/>
      <c r="BN158" s="28"/>
      <c r="BO158" s="27" t="s">
        <v>653</v>
      </c>
      <c r="BP158" s="319" t="e">
        <f>BM160</f>
        <v>#VALUE!</v>
      </c>
      <c r="BQ158" s="28" t="s">
        <v>663</v>
      </c>
      <c r="BS158" s="27" t="s">
        <v>671</v>
      </c>
      <c r="BT158" s="321" t="e">
        <f>BT156*BT157</f>
        <v>#VALUE!</v>
      </c>
      <c r="BU158" s="28" t="s">
        <v>665</v>
      </c>
      <c r="BV158" s="27" t="s">
        <v>671</v>
      </c>
      <c r="BW158" s="323" t="e">
        <f>BW157*BW156</f>
        <v>#VALUE!</v>
      </c>
      <c r="BX158" s="28" t="s">
        <v>665</v>
      </c>
      <c r="BY158" s="27" t="s">
        <v>654</v>
      </c>
      <c r="BZ158" s="7" t="e">
        <f>SUM(BZ156:BZ157)</f>
        <v>#VALUE!</v>
      </c>
      <c r="CA158" s="28" t="s">
        <v>665</v>
      </c>
      <c r="CC158" s="27" t="s">
        <v>671</v>
      </c>
      <c r="CD158" s="210" t="e">
        <f>BD160</f>
        <v>#VALUE!</v>
      </c>
      <c r="CE158" s="28" t="s">
        <v>665</v>
      </c>
    </row>
    <row r="159" spans="15:83" x14ac:dyDescent="0.25">
      <c r="O159" s="628"/>
      <c r="P159" s="559"/>
      <c r="Q159" t="s">
        <v>675</v>
      </c>
      <c r="R159" s="7" t="e">
        <f>ROUND(ML, 3)</f>
        <v>#VALUE!</v>
      </c>
      <c r="S159" s="77" t="s">
        <v>657</v>
      </c>
      <c r="T159" s="43"/>
      <c r="U159" s="7" t="e">
        <f>R159/12</f>
        <v>#VALUE!</v>
      </c>
      <c r="V159" s="28" t="s">
        <v>658</v>
      </c>
      <c r="W159" s="27" t="s">
        <v>660</v>
      </c>
      <c r="X159" s="7">
        <f>VLOOKUP(VS,'List Data'!$A$8:$B$12, 2, FALSE)</f>
        <v>2.1419999999999999</v>
      </c>
      <c r="Y159" s="28" t="s">
        <v>661</v>
      </c>
      <c r="Z159" s="27"/>
      <c r="AA159" s="7"/>
      <c r="AB159" s="28"/>
      <c r="AC159" s="27"/>
      <c r="AD159" s="7"/>
      <c r="AE159" s="28"/>
      <c r="AF159" s="27"/>
      <c r="AH159" s="28"/>
      <c r="AJ159" s="27"/>
      <c r="AK159" s="7"/>
      <c r="AL159" s="28"/>
      <c r="AM159" s="27"/>
      <c r="AO159" s="28"/>
      <c r="AP159" s="27"/>
      <c r="AQ159" s="7"/>
      <c r="AR159" s="28"/>
      <c r="AT159" s="27"/>
      <c r="AU159" s="210"/>
      <c r="AV159" s="28"/>
      <c r="AX159" s="628"/>
      <c r="AY159" s="559"/>
      <c r="AZ159" t="s">
        <v>675</v>
      </c>
      <c r="BA159" s="7" t="e">
        <f>ROUND(ML, 3)</f>
        <v>#VALUE!</v>
      </c>
      <c r="BB159" s="77" t="s">
        <v>657</v>
      </c>
      <c r="BC159" s="43"/>
      <c r="BD159" s="7" t="e">
        <f>BA159/12</f>
        <v>#VALUE!</v>
      </c>
      <c r="BE159" s="28" t="s">
        <v>658</v>
      </c>
      <c r="BF159" s="27" t="s">
        <v>660</v>
      </c>
      <c r="BG159" s="7">
        <f>VLOOKUP(VS,'List Data'!$A$8:$B$12, 2, FALSE)</f>
        <v>2.1419999999999999</v>
      </c>
      <c r="BH159" s="28" t="s">
        <v>661</v>
      </c>
      <c r="BI159" s="27"/>
      <c r="BJ159" s="7"/>
      <c r="BK159" s="28"/>
      <c r="BL159" s="27"/>
      <c r="BM159" s="7"/>
      <c r="BN159" s="28"/>
      <c r="BO159" s="27"/>
      <c r="BQ159" s="28"/>
      <c r="BS159" s="27"/>
      <c r="BT159" s="7"/>
      <c r="BU159" s="28"/>
      <c r="BV159" s="27"/>
      <c r="BX159" s="28"/>
      <c r="BY159" s="27"/>
      <c r="BZ159" s="7"/>
      <c r="CA159" s="28"/>
      <c r="CC159" s="27"/>
      <c r="CD159" s="210"/>
      <c r="CE159" s="28"/>
    </row>
    <row r="160" spans="15:83" x14ac:dyDescent="0.25">
      <c r="O160" s="629"/>
      <c r="P160" s="561"/>
      <c r="Q160" s="30" t="s">
        <v>671</v>
      </c>
      <c r="R160" s="309" t="e">
        <f>R158*R159</f>
        <v>#VALUE!</v>
      </c>
      <c r="S160" s="311" t="s">
        <v>676</v>
      </c>
      <c r="T160" s="313"/>
      <c r="U160" s="309" t="e">
        <f>IF(O156="Exterior Drive Post", (R160/144)-(((GL+GR)*(ML/25.4))/144), R160/144)</f>
        <v>#VALUE!</v>
      </c>
      <c r="V160" s="31" t="s">
        <v>677</v>
      </c>
      <c r="W160" s="29" t="s">
        <v>678</v>
      </c>
      <c r="X160" s="314" t="e">
        <f>X159/12*X158</f>
        <v>#VALUE!</v>
      </c>
      <c r="Y160" s="31" t="s">
        <v>663</v>
      </c>
      <c r="Z160" s="29" t="s">
        <v>678</v>
      </c>
      <c r="AA160" s="315" t="e">
        <f>AA156*AA157</f>
        <v>#VALUE!</v>
      </c>
      <c r="AB160" s="31" t="s">
        <v>663</v>
      </c>
      <c r="AC160" s="29" t="s">
        <v>678</v>
      </c>
      <c r="AD160" s="316" t="e">
        <f>AD156*AD157</f>
        <v>#VALUE!</v>
      </c>
      <c r="AE160" s="31" t="s">
        <v>181</v>
      </c>
      <c r="AF160" s="29" t="s">
        <v>654</v>
      </c>
      <c r="AG160" s="320" t="e">
        <f>IF(O156="Exterior Drive Post", SUM(AG156:AG158)+SDW, SUM(AG156:AG158)+ICW)</f>
        <v>#VALUE!</v>
      </c>
      <c r="AH160" s="31" t="s">
        <v>663</v>
      </c>
      <c r="AI160">
        <v>31</v>
      </c>
      <c r="AJ160" s="29"/>
      <c r="AK160" s="309"/>
      <c r="AL160" s="31"/>
      <c r="AM160" s="29"/>
      <c r="AN160" s="30"/>
      <c r="AO160" s="31"/>
      <c r="AP160" s="29" t="s">
        <v>679</v>
      </c>
      <c r="AQ160" s="324" t="e">
        <f>AQ158*Pult</f>
        <v>#VALUE!</v>
      </c>
      <c r="AR160" s="31" t="s">
        <v>181</v>
      </c>
      <c r="AT160" s="29" t="s">
        <v>662</v>
      </c>
      <c r="AU160" s="339" t="e">
        <f>AU158*AU157</f>
        <v>#VALUE!</v>
      </c>
      <c r="AV160" s="31" t="s">
        <v>181</v>
      </c>
      <c r="AX160" s="629"/>
      <c r="AY160" s="561"/>
      <c r="AZ160" s="30" t="s">
        <v>671</v>
      </c>
      <c r="BA160" s="309" t="e">
        <f>BA158*BA159</f>
        <v>#VALUE!</v>
      </c>
      <c r="BB160" s="311" t="s">
        <v>676</v>
      </c>
      <c r="BC160" s="313"/>
      <c r="BD160" s="309" t="e">
        <f>IF(AX156="Interior Drive Post", (BA160/144)-(((GL+GR)*(ML/25.4))/144), BA160/144)</f>
        <v>#VALUE!</v>
      </c>
      <c r="BE160" s="31" t="s">
        <v>677</v>
      </c>
      <c r="BF160" s="29" t="s">
        <v>678</v>
      </c>
      <c r="BG160" s="314" t="e">
        <f>BG159/12*BG158</f>
        <v>#VALUE!</v>
      </c>
      <c r="BH160" s="31" t="s">
        <v>663</v>
      </c>
      <c r="BI160" s="29" t="s">
        <v>678</v>
      </c>
      <c r="BJ160" s="315" t="e">
        <f>BJ156*BJ157</f>
        <v>#VALUE!</v>
      </c>
      <c r="BK160" s="31" t="s">
        <v>663</v>
      </c>
      <c r="BL160" s="29" t="s">
        <v>678</v>
      </c>
      <c r="BM160" s="316" t="e">
        <f>BM156*BM157</f>
        <v>#VALUE!</v>
      </c>
      <c r="BN160" s="31" t="s">
        <v>181</v>
      </c>
      <c r="BO160" s="29" t="s">
        <v>654</v>
      </c>
      <c r="BP160" s="320" t="e">
        <f>IF(AX156="Interior Drive Post", SUM(BP156:BP158)+SDW, SUM(BP156:BP158)+ICW)</f>
        <v>#VALUE!</v>
      </c>
      <c r="BQ160" s="31" t="s">
        <v>663</v>
      </c>
      <c r="BR160">
        <v>31</v>
      </c>
      <c r="BS160" s="29"/>
      <c r="BT160" s="309"/>
      <c r="BU160" s="31"/>
      <c r="BV160" s="29"/>
      <c r="BW160" s="30"/>
      <c r="BX160" s="31"/>
      <c r="BY160" s="29" t="s">
        <v>679</v>
      </c>
      <c r="BZ160" s="324" t="e">
        <f>BZ158*Pult</f>
        <v>#VALUE!</v>
      </c>
      <c r="CA160" s="31" t="s">
        <v>181</v>
      </c>
      <c r="CC160" s="29" t="s">
        <v>662</v>
      </c>
      <c r="CD160" s="339" t="e">
        <f>CD158*CD157</f>
        <v>#VALUE!</v>
      </c>
      <c r="CE160" s="31" t="s">
        <v>181</v>
      </c>
    </row>
    <row r="166" spans="1:45" ht="15" customHeight="1" x14ac:dyDescent="0.25">
      <c r="A166" s="58" t="e">
        <f>MOD(LSR, 157.48)</f>
        <v>#VALUE!</v>
      </c>
      <c r="AR166" s="158" t="str">
        <f>IFERROR(IF('Wind Calcs'!AQ6 &gt; ROUND($A$166,3), ROUND('Wind Calcs'!AQ6-157.48,3), IF('Wind Calcs'!AQ6 = ROUND($A$166,3), 0, IF('Wind Calcs'!AQ6 = 0, $A$167, IF(AND('Wind Calcs'!AQ6 &lt;=0, 'Wind Calcs'!AQ6 &gt; -RSR+157.48), 'Wind Calcs'!AQ6 - 157.48, "")))), "")</f>
        <v/>
      </c>
      <c r="AS166" s="330"/>
    </row>
    <row r="167" spans="1:45" ht="15" customHeight="1" x14ac:dyDescent="0.25">
      <c r="A167" s="58" t="e">
        <f>-MOD(RSR, 157.48)</f>
        <v>#VALUE!</v>
      </c>
    </row>
    <row r="168" spans="1:45" ht="15" customHeight="1" x14ac:dyDescent="0.25"/>
    <row r="169" spans="1:45" ht="15" customHeight="1" x14ac:dyDescent="0.25"/>
    <row r="170" spans="1:45" ht="15" customHeight="1" x14ac:dyDescent="0.25"/>
    <row r="171" spans="1:45" ht="15" customHeight="1" x14ac:dyDescent="0.25"/>
    <row r="172" spans="1:45" ht="15" customHeight="1" x14ac:dyDescent="0.25"/>
    <row r="173" spans="1:45" ht="15" customHeight="1" x14ac:dyDescent="0.25"/>
    <row r="174" spans="1:45" ht="15" customHeight="1" x14ac:dyDescent="0.25"/>
    <row r="175" spans="1:45" ht="15" customHeight="1" x14ac:dyDescent="0.25"/>
    <row r="176" spans="1:45"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sheetData>
  <mergeCells count="157">
    <mergeCell ref="B38:E40"/>
    <mergeCell ref="L27:M27"/>
    <mergeCell ref="BY5:CA5"/>
    <mergeCell ref="AZ3:BQ4"/>
    <mergeCell ref="L36:M36"/>
    <mergeCell ref="BS5:BU5"/>
    <mergeCell ref="O156:P160"/>
    <mergeCell ref="L51:M51"/>
    <mergeCell ref="AX11:AY15"/>
    <mergeCell ref="L54:M54"/>
    <mergeCell ref="O26:P30"/>
    <mergeCell ref="O41:P45"/>
    <mergeCell ref="O146:P150"/>
    <mergeCell ref="L41:M41"/>
    <mergeCell ref="L63:M63"/>
    <mergeCell ref="AX61:AY65"/>
    <mergeCell ref="O16:P20"/>
    <mergeCell ref="L56:M56"/>
    <mergeCell ref="L34:M34"/>
    <mergeCell ref="O126:P130"/>
    <mergeCell ref="L49:M49"/>
    <mergeCell ref="CG3:EF3"/>
    <mergeCell ref="O21:P25"/>
    <mergeCell ref="AX141:AY145"/>
    <mergeCell ref="O131:P135"/>
    <mergeCell ref="L67:M67"/>
    <mergeCell ref="AX51:AY55"/>
    <mergeCell ref="O106:P110"/>
    <mergeCell ref="O121:P125"/>
    <mergeCell ref="L37:M37"/>
    <mergeCell ref="L13:M13"/>
    <mergeCell ref="O96:P100"/>
    <mergeCell ref="AT3:AV4"/>
    <mergeCell ref="Q3:AH4"/>
    <mergeCell ref="BS3:CA4"/>
    <mergeCell ref="AJ5:AL5"/>
    <mergeCell ref="L62:M62"/>
    <mergeCell ref="L15:M15"/>
    <mergeCell ref="L71:M71"/>
    <mergeCell ref="L23:M23"/>
    <mergeCell ref="O101:P105"/>
    <mergeCell ref="K2:M4"/>
    <mergeCell ref="L55:M55"/>
    <mergeCell ref="AX36:AY40"/>
    <mergeCell ref="L64:M64"/>
    <mergeCell ref="O141:P145"/>
    <mergeCell ref="L10:M10"/>
    <mergeCell ref="L50:M50"/>
    <mergeCell ref="L25:M25"/>
    <mergeCell ref="CC5:CE5"/>
    <mergeCell ref="L60:M60"/>
    <mergeCell ref="L9:M9"/>
    <mergeCell ref="L52:M52"/>
    <mergeCell ref="AX16:AY20"/>
    <mergeCell ref="AX121:AY125"/>
    <mergeCell ref="L11:M11"/>
    <mergeCell ref="AX126:AY130"/>
    <mergeCell ref="AX71:AY75"/>
    <mergeCell ref="AX101:AY105"/>
    <mergeCell ref="L73:M73"/>
    <mergeCell ref="W5:Y5"/>
    <mergeCell ref="BV5:BX5"/>
    <mergeCell ref="O51:P55"/>
    <mergeCell ref="AP5:AR5"/>
    <mergeCell ref="O76:P80"/>
    <mergeCell ref="O91:P95"/>
    <mergeCell ref="AX146:AY150"/>
    <mergeCell ref="O61:P65"/>
    <mergeCell ref="L61:M61"/>
    <mergeCell ref="L70:M70"/>
    <mergeCell ref="L48:M48"/>
    <mergeCell ref="AT5:AV5"/>
    <mergeCell ref="O81:P85"/>
    <mergeCell ref="L32:M32"/>
    <mergeCell ref="AZ5:BE5"/>
    <mergeCell ref="L47:M47"/>
    <mergeCell ref="L43:M43"/>
    <mergeCell ref="L24:M24"/>
    <mergeCell ref="BI5:BK5"/>
    <mergeCell ref="L18:M18"/>
    <mergeCell ref="L33:M33"/>
    <mergeCell ref="O116:P120"/>
    <mergeCell ref="AX31:AY35"/>
    <mergeCell ref="L8:M8"/>
    <mergeCell ref="AX111:AY115"/>
    <mergeCell ref="AX151:AY155"/>
    <mergeCell ref="G2:I4"/>
    <mergeCell ref="CC3:CE4"/>
    <mergeCell ref="L7:M7"/>
    <mergeCell ref="L16:M16"/>
    <mergeCell ref="AM5:AO5"/>
    <mergeCell ref="L57:M57"/>
    <mergeCell ref="O136:P140"/>
    <mergeCell ref="O86:P90"/>
    <mergeCell ref="O6:P10"/>
    <mergeCell ref="AX6:AY10"/>
    <mergeCell ref="L42:M42"/>
    <mergeCell ref="O151:P155"/>
    <mergeCell ref="AX46:AY50"/>
    <mergeCell ref="BO5:BQ5"/>
    <mergeCell ref="O36:P40"/>
    <mergeCell ref="L30:M30"/>
    <mergeCell ref="AX96:AY100"/>
    <mergeCell ref="L20:M20"/>
    <mergeCell ref="BF5:BH5"/>
    <mergeCell ref="AX41:AY45"/>
    <mergeCell ref="L69:M69"/>
    <mergeCell ref="L44:M44"/>
    <mergeCell ref="AX106:AY110"/>
    <mergeCell ref="B2:E4"/>
    <mergeCell ref="BL5:BN5"/>
    <mergeCell ref="AX116:AY120"/>
    <mergeCell ref="O31:P35"/>
    <mergeCell ref="L31:M31"/>
    <mergeCell ref="O71:P75"/>
    <mergeCell ref="AX66:AY70"/>
    <mergeCell ref="L72:M72"/>
    <mergeCell ref="L21:M21"/>
    <mergeCell ref="L65:M65"/>
    <mergeCell ref="L22:M22"/>
    <mergeCell ref="O56:P60"/>
    <mergeCell ref="AX56:AY60"/>
    <mergeCell ref="AX91:AY95"/>
    <mergeCell ref="L59:M59"/>
    <mergeCell ref="L6:M6"/>
    <mergeCell ref="O46:P50"/>
    <mergeCell ref="L46:M46"/>
    <mergeCell ref="L26:M26"/>
    <mergeCell ref="AX21:AY25"/>
    <mergeCell ref="L35:M35"/>
    <mergeCell ref="AX86:AY90"/>
    <mergeCell ref="L58:M58"/>
    <mergeCell ref="AJ3:AR4"/>
    <mergeCell ref="L17:M17"/>
    <mergeCell ref="O11:P15"/>
    <mergeCell ref="AC5:AE5"/>
    <mergeCell ref="Q5:V5"/>
    <mergeCell ref="O66:P70"/>
    <mergeCell ref="L66:M66"/>
    <mergeCell ref="AX156:AY160"/>
    <mergeCell ref="L19:M19"/>
    <mergeCell ref="L53:M53"/>
    <mergeCell ref="L28:M28"/>
    <mergeCell ref="O111:P115"/>
    <mergeCell ref="AX131:AY135"/>
    <mergeCell ref="AX26:AY30"/>
    <mergeCell ref="L12:M12"/>
    <mergeCell ref="L68:M68"/>
    <mergeCell ref="AF5:AH5"/>
    <mergeCell ref="Z5:AB5"/>
    <mergeCell ref="AX81:AY85"/>
    <mergeCell ref="L5:M5"/>
    <mergeCell ref="L45:M45"/>
    <mergeCell ref="L14:M14"/>
    <mergeCell ref="L29:M29"/>
    <mergeCell ref="AX76:AY80"/>
    <mergeCell ref="AX136:AY140"/>
  </mergeCells>
  <pageMargins left="0.7" right="0.7" top="0.75" bottom="0.75" header="0.3" footer="0.3"/>
  <pageSetup orientation="portrait" horizontalDpi="1200" verticalDpi="120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dimension ref="A1:AR206"/>
  <sheetViews>
    <sheetView workbookViewId="0">
      <selection activeCell="B26" sqref="B26"/>
    </sheetView>
  </sheetViews>
  <sheetFormatPr defaultRowHeight="15" x14ac:dyDescent="0.25"/>
  <sheetData>
    <row r="1" spans="1:43" x14ac:dyDescent="0.25">
      <c r="B1">
        <f>Post_NE+3</f>
        <v>2</v>
      </c>
    </row>
    <row r="2" spans="1:43" x14ac:dyDescent="0.25">
      <c r="B2" t="e">
        <f>TotS+3</f>
        <v>#VALUE!</v>
      </c>
    </row>
    <row r="3" spans="1:43" x14ac:dyDescent="0.25">
      <c r="B3">
        <f>Post_NI+3</f>
        <v>2</v>
      </c>
      <c r="C3" t="s">
        <v>711</v>
      </c>
    </row>
    <row r="4" spans="1:43" x14ac:dyDescent="0.25">
      <c r="A4">
        <v>738.60378923041105</v>
      </c>
      <c r="C4" t="s">
        <v>712</v>
      </c>
      <c r="D4">
        <v>208.69969590682379</v>
      </c>
    </row>
    <row r="5" spans="1:43" x14ac:dyDescent="0.25">
      <c r="C5" t="s">
        <v>713</v>
      </c>
      <c r="D5">
        <v>92.718416232124213</v>
      </c>
    </row>
    <row r="6" spans="1:43" x14ac:dyDescent="0.25">
      <c r="B6" s="664" t="s">
        <v>714</v>
      </c>
      <c r="C6" s="558"/>
      <c r="D6" s="143" t="e">
        <f>LSR</f>
        <v>#VALUE!</v>
      </c>
      <c r="E6" s="327" t="str">
        <f>IFERROR(IF(D6 &gt; ROUND('Top of Pile Load Calcs'!$A$166,3), ROUND(D6-157.48,3), IF(D6 = ROUND('Top of Pile Load Calcs'!$A$166,3), 0, IF(D6 = 0, 'Top of Pile Load Calcs'!$A$167, IF(AND(D6 &lt;=0, D6 &gt; -RSR+157.48), D6 - 157.48, "")))), "")</f>
        <v/>
      </c>
      <c r="F6" s="327" t="str">
        <f>IFERROR(IF(E6 &gt; ROUND('Top of Pile Load Calcs'!$A$166,3), ROUND(E6-157.48,3), IF(E6 = ROUND('Top of Pile Load Calcs'!$A$166,3), 0, IF(E6 = 0, 'Top of Pile Load Calcs'!$A$167, IF(AND(E6 &lt;=0, E6 &gt; -RSR+157.48), E6 - 157.48, "")))), "")</f>
        <v/>
      </c>
      <c r="G6" s="327" t="str">
        <f>IFERROR(IF(F6 &gt; ROUND('Top of Pile Load Calcs'!$A$166,3), ROUND(F6-157.48,3), IF(F6 = ROUND('Top of Pile Load Calcs'!$A$166,3), 0, IF(F6 = 0, 'Top of Pile Load Calcs'!$A$167, IF(AND(F6 &lt;=0, F6 &gt; -RSR+157.48), F6 - 157.48, "")))), "")</f>
        <v/>
      </c>
      <c r="H6" s="327" t="str">
        <f>IFERROR(IF(G6 &gt; ROUND('Top of Pile Load Calcs'!$A$166,3), ROUND(G6-157.48,3), IF(G6 = ROUND('Top of Pile Load Calcs'!$A$166,3), 0, IF(G6 = 0, 'Top of Pile Load Calcs'!$A$167, IF(AND(G6 &lt;=0, G6 &gt; -RSR+157.48), G6 - 157.48, "")))), "")</f>
        <v/>
      </c>
      <c r="I6" s="327" t="str">
        <f>IFERROR(IF(H6 &gt; ROUND('Top of Pile Load Calcs'!$A$166,3), ROUND(H6-157.48,3), IF(H6 = ROUND('Top of Pile Load Calcs'!$A$166,3), 0, IF(H6 = 0, 'Top of Pile Load Calcs'!$A$167, IF(AND(H6 &lt;=0, H6 &gt; -RSR+157.48), H6 - 157.48, "")))), "")</f>
        <v/>
      </c>
      <c r="J6" s="327" t="str">
        <f>IFERROR(IF(I6 &gt; ROUND('Top of Pile Load Calcs'!$A$166,3), ROUND(I6-157.48,3), IF(I6 = ROUND('Top of Pile Load Calcs'!$A$166,3), 0, IF(I6 = 0, 'Top of Pile Load Calcs'!$A$167, IF(AND(I6 &lt;=0, I6 &gt; -RSR+157.48), I6 - 157.48, "")))), "")</f>
        <v/>
      </c>
      <c r="K6" s="327" t="str">
        <f>IFERROR(IF(J6 &gt; ROUND('Top of Pile Load Calcs'!$A$166,3), ROUND(J6-157.48,3), IF(J6 = ROUND('Top of Pile Load Calcs'!$A$166,3), 0, IF(J6 = 0, 'Top of Pile Load Calcs'!$A$167, IF(AND(J6 &lt;=0, J6 &gt; -RSR+157.48), J6 - 157.48, "")))), "")</f>
        <v/>
      </c>
      <c r="L6" s="327" t="str">
        <f>IFERROR(IF(K6 &gt; ROUND('Top of Pile Load Calcs'!$A$166,3), ROUND(K6-157.48,3), IF(K6 = ROUND('Top of Pile Load Calcs'!$A$166,3), 0, IF(K6 = 0, 'Top of Pile Load Calcs'!$A$167, IF(AND(K6 &lt;=0, K6 &gt; -RSR+157.48), K6 - 157.48, "")))), "")</f>
        <v/>
      </c>
      <c r="M6" s="327" t="str">
        <f>IFERROR(IF(L6 &gt; ROUND('Top of Pile Load Calcs'!$A$166,3), ROUND(L6-157.48,3), IF(L6 = ROUND('Top of Pile Load Calcs'!$A$166,3), 0, IF(L6 = 0, 'Top of Pile Load Calcs'!$A$167, IF(AND(L6 &lt;=0, L6 &gt; -RSR+157.48), L6 - 157.48, "")))), "")</f>
        <v/>
      </c>
      <c r="N6" s="327" t="str">
        <f>IFERROR(IF(M6 &gt; ROUND('Top of Pile Load Calcs'!$A$166,3), ROUND(M6-157.48,3), IF(M6 = ROUND('Top of Pile Load Calcs'!$A$166,3), 0, IF(M6 = 0, 'Top of Pile Load Calcs'!$A$167, IF(AND(M6 &lt;=0, M6 &gt; -RSR+157.48), M6 - 157.48, "")))), "")</f>
        <v/>
      </c>
      <c r="O6" s="327" t="str">
        <f>IFERROR(IF(N6 &gt; ROUND('Top of Pile Load Calcs'!$A$166,3), ROUND(N6-157.48,3), IF(N6 = ROUND('Top of Pile Load Calcs'!$A$166,3), 0, IF(N6 = 0, 'Top of Pile Load Calcs'!$A$167, IF(AND(N6 &lt;=0, N6 &gt; -RSR+157.48), N6 - 157.48, "")))), "")</f>
        <v/>
      </c>
      <c r="P6" s="327" t="str">
        <f>IFERROR(IF(O6 &gt; ROUND('Top of Pile Load Calcs'!$A$166,3), ROUND(O6-157.48,3), IF(O6 = ROUND('Top of Pile Load Calcs'!$A$166,3), 0, IF(O6 = 0, 'Top of Pile Load Calcs'!$A$167, IF(AND(O6 &lt;=0, O6 &gt; -RSR+157.48), O6 - 157.48, "")))), "")</f>
        <v/>
      </c>
      <c r="Q6" s="327" t="str">
        <f>IFERROR(IF(P6 &gt; ROUND('Top of Pile Load Calcs'!$A$166,3), ROUND(P6-157.48,3), IF(P6 = ROUND('Top of Pile Load Calcs'!$A$166,3), 0, IF(P6 = 0, 'Top of Pile Load Calcs'!$A$167, IF(AND(P6 &lt;=0, P6 &gt; -RSR+157.48), P6 - 157.48, "")))), "")</f>
        <v/>
      </c>
      <c r="R6" s="327" t="str">
        <f>IFERROR(IF(Q6 &gt; ROUND('Top of Pile Load Calcs'!$A$166,3), ROUND(Q6-157.48,3), IF(Q6 = ROUND('Top of Pile Load Calcs'!$A$166,3), 0, IF(Q6 = 0, 'Top of Pile Load Calcs'!$A$167, IF(AND(Q6 &lt;=0, Q6 &gt; -RSR+157.48), Q6 - 157.48, "")))), "")</f>
        <v/>
      </c>
      <c r="S6" s="327" t="str">
        <f>IFERROR(IF(R6 &gt; ROUND('Top of Pile Load Calcs'!$A$166,3), ROUND(R6-157.48,3), IF(R6 = ROUND('Top of Pile Load Calcs'!$A$166,3), 0, IF(R6 = 0, 'Top of Pile Load Calcs'!$A$167, IF(AND(R6 &lt;=0, R6 &gt; -RSR+157.48), R6 - 157.48, "")))), "")</f>
        <v/>
      </c>
      <c r="T6" s="327" t="str">
        <f>IFERROR(IF(S6 &gt; ROUND('Top of Pile Load Calcs'!$A$166,3), ROUND(S6-157.48,3), IF(S6 = ROUND('Top of Pile Load Calcs'!$A$166,3), 0, IF(S6 = 0, 'Top of Pile Load Calcs'!$A$167, IF(AND(S6 &lt;=0, S6 &gt; -RSR+157.48), S6 - 157.48, "")))), "")</f>
        <v/>
      </c>
      <c r="U6" s="327" t="str">
        <f>IFERROR(IF(T6 &gt; ROUND('Top of Pile Load Calcs'!$A$166,3), ROUND(T6-157.48,3), IF(T6 = ROUND('Top of Pile Load Calcs'!$A$166,3), 0, IF(T6 = 0, 'Top of Pile Load Calcs'!$A$167, IF(AND(T6 &lt;=0, T6 &gt; -RSR+157.48), T6 - 157.48, "")))), "")</f>
        <v/>
      </c>
      <c r="V6" s="327" t="str">
        <f>IFERROR(IF(U6 &gt; ROUND('Top of Pile Load Calcs'!$A$166,3), ROUND(U6-157.48,3), IF(U6 = ROUND('Top of Pile Load Calcs'!$A$166,3), 0, IF(U6 = 0, 'Top of Pile Load Calcs'!$A$167, IF(AND(U6 &lt;=0, U6 &gt; -RSR+157.48), U6 - 157.48, "")))), "")</f>
        <v/>
      </c>
      <c r="W6" s="327" t="str">
        <f>IFERROR(IF(V6 &gt; ROUND('Top of Pile Load Calcs'!$A$166,3), ROUND(V6-157.48,3), IF(V6 = ROUND('Top of Pile Load Calcs'!$A$166,3), 0, IF(V6 = 0, 'Top of Pile Load Calcs'!$A$167, IF(AND(V6 &lt;=0, V6 &gt; -RSR+157.48), V6 - 157.48, "")))), "")</f>
        <v/>
      </c>
      <c r="X6" s="327" t="str">
        <f>IFERROR(IF(W6 &gt; ROUND('Top of Pile Load Calcs'!$A$166,3), ROUND(W6-157.48,3), IF(W6 = ROUND('Top of Pile Load Calcs'!$A$166,3), 0, IF(W6 = 0, 'Top of Pile Load Calcs'!$A$167, IF(AND(W6 &lt;=0, W6 &gt; -RSR+157.48), W6 - 157.48, "")))), "")</f>
        <v/>
      </c>
      <c r="Y6" s="327" t="str">
        <f>IFERROR(IF(X6 &gt; ROUND('Top of Pile Load Calcs'!$A$166,3), ROUND(X6-157.48,3), IF(X6 = ROUND('Top of Pile Load Calcs'!$A$166,3), 0, IF(X6 = 0, 'Top of Pile Load Calcs'!$A$167, IF(AND(X6 &lt;=0, X6 &gt; -RSR+157.48), X6 - 157.48, "")))), "")</f>
        <v/>
      </c>
      <c r="Z6" s="326" t="str">
        <f>IFERROR(IF(Y6 &gt; ROUND('Top of Pile Load Calcs'!$A$166,3), ROUND(Y6-157.48,3), IF(Y6 = ROUND('Top of Pile Load Calcs'!$A$166,3), 0, IF(Y6 = 0, 'Top of Pile Load Calcs'!$A$167, IF(AND(Y6 &lt;=0, Y6 &gt; -RSR+157.48), Y6 - 157.48, "")))), "")</f>
        <v/>
      </c>
      <c r="AA6" s="326" t="str">
        <f>IFERROR(IF(Z6 &gt; ROUND('Top of Pile Load Calcs'!$A$166,3), ROUND(Z6-157.48,3), IF(Z6 = ROUND('Top of Pile Load Calcs'!$A$166,3), 0, IF(Z6 = 0, 'Top of Pile Load Calcs'!$A$167, IF(AND(Z6 &lt;=0, Z6 &gt; -RSR+157.48), Z6 - 157.48, "")))), "")</f>
        <v/>
      </c>
      <c r="AB6" s="326" t="str">
        <f>IFERROR(IF(AA6 &gt; ROUND('Top of Pile Load Calcs'!$A$166,3), ROUND(AA6-157.48,3), IF(AA6 = ROUND('Top of Pile Load Calcs'!$A$166,3), 0, IF(AA6 = 0, 'Top of Pile Load Calcs'!$A$167, IF(AND(AA6 &lt;=0, AA6 &gt; -RSR+157.48), AA6 - 157.48, "")))), "")</f>
        <v/>
      </c>
      <c r="AC6" s="326" t="str">
        <f>IFERROR(IF(AB6 &gt; ROUND('Top of Pile Load Calcs'!$A$166,3), ROUND(AB6-157.48,3), IF(AB6 = ROUND('Top of Pile Load Calcs'!$A$166,3), 0, IF(AB6 = 0, 'Top of Pile Load Calcs'!$A$167, IF(AND(AB6 &lt;=0, AB6 &gt; -RSR+157.48), AB6 - 157.48, "")))), "")</f>
        <v/>
      </c>
      <c r="AD6" s="326" t="str">
        <f>IFERROR(IF(AC6 &gt; ROUND('Top of Pile Load Calcs'!$A$166,3), ROUND(AC6-157.48,3), IF(AC6 = ROUND('Top of Pile Load Calcs'!$A$166,3), 0, IF(AC6 = 0, 'Top of Pile Load Calcs'!$A$167, IF(AND(AC6 &lt;=0, AC6 &gt; -RSR+157.48), AC6 - 157.48, "")))), "")</f>
        <v/>
      </c>
      <c r="AE6" s="326" t="str">
        <f>IFERROR(IF(AD6 &gt; ROUND('Top of Pile Load Calcs'!$A$166,3), ROUND(AD6-157.48,3), IF(AD6 = ROUND('Top of Pile Load Calcs'!$A$166,3), 0, IF(AD6 = 0, 'Top of Pile Load Calcs'!$A$167, IF(AND(AD6 &lt;=0, AD6 &gt; -RSR+157.48), AD6 - 157.48, "")))), "")</f>
        <v/>
      </c>
      <c r="AF6" s="326" t="str">
        <f>IFERROR(IF(AE6 &gt; ROUND('Top of Pile Load Calcs'!$A$166,3), ROUND(AE6-157.48,3), IF(AE6 = ROUND('Top of Pile Load Calcs'!$A$166,3), 0, IF(AE6 = 0, 'Top of Pile Load Calcs'!$A$167, IF(AND(AE6 &lt;=0, AE6 &gt; -RSR+157.48), AE6 - 157.48, "")))), "")</f>
        <v/>
      </c>
      <c r="AG6" s="326" t="str">
        <f>IFERROR(IF(AF6 &gt; ROUND('Top of Pile Load Calcs'!$A$166,3), ROUND(AF6-157.48,3), IF(AF6 = ROUND('Top of Pile Load Calcs'!$A$166,3), 0, IF(AF6 = 0, 'Top of Pile Load Calcs'!$A$167, IF(AND(AF6 &lt;=0, AF6 &gt; -RSR+157.48), AF6 - 157.48, "")))), "")</f>
        <v/>
      </c>
      <c r="AH6" s="326" t="str">
        <f>IFERROR(IF(AG6 &gt; ROUND('Top of Pile Load Calcs'!$A$166,3), ROUND(AG6-157.48,3), IF(AG6 = ROUND('Top of Pile Load Calcs'!$A$166,3), 0, IF(AG6 = 0, 'Top of Pile Load Calcs'!$A$167, IF(AND(AG6 &lt;=0, AG6 &gt; -RSR+157.48), AG6 - 157.48, "")))), "")</f>
        <v/>
      </c>
      <c r="AI6" s="326" t="str">
        <f>IFERROR(IF(AH6 &gt; ROUND('Top of Pile Load Calcs'!$A$166,3), ROUND(AH6-157.48,3), IF(AH6 = ROUND('Top of Pile Load Calcs'!$A$166,3), 0, IF(AH6 = 0, 'Top of Pile Load Calcs'!$A$167, IF(AND(AH6 &lt;=0, AH6 &gt; -RSR+157.48), AH6 - 157.48, "")))), "")</f>
        <v/>
      </c>
      <c r="AJ6" s="326" t="str">
        <f>IFERROR(IF(AI6 &gt; ROUND('Top of Pile Load Calcs'!$A$166,3), ROUND(AI6-157.48,3), IF(AI6 = ROUND('Top of Pile Load Calcs'!$A$166,3), 0, IF(AI6 = 0, 'Top of Pile Load Calcs'!$A$167, IF(AND(AI6 &lt;=0, AI6 &gt; -RSR+157.48), AI6 - 157.48, "")))), "")</f>
        <v/>
      </c>
      <c r="AK6" s="326" t="str">
        <f>IFERROR(IF(AJ6 &gt; ROUND('Top of Pile Load Calcs'!$A$166,3), ROUND(AJ6-157.48,3), IF(AJ6 = ROUND('Top of Pile Load Calcs'!$A$166,3), 0, IF(AJ6 = 0, 'Top of Pile Load Calcs'!$A$167, IF(AND(AJ6 &lt;=0, AJ6 &gt; -RSR+157.48), AJ6 - 157.48, "")))), "")</f>
        <v/>
      </c>
      <c r="AL6" s="326" t="str">
        <f>IFERROR(IF(AK6 &gt; ROUND('Top of Pile Load Calcs'!$A$166,3), ROUND(AK6-157.48,3), IF(AK6 = ROUND('Top of Pile Load Calcs'!$A$166,3), 0, IF(AK6 = 0, 'Top of Pile Load Calcs'!$A$167, IF(AND(AK6 &lt;=0, AK6 &gt; -RSR+157.48), AK6 - 157.48, "")))), "")</f>
        <v/>
      </c>
      <c r="AM6" s="326" t="str">
        <f>IFERROR(IF(AL6 &gt; ROUND('Top of Pile Load Calcs'!$A$166,3), ROUND(AL6-157.48,3), IF(AL6 = ROUND('Top of Pile Load Calcs'!$A$166,3), 0, IF(AL6 = 0, 'Top of Pile Load Calcs'!$A$167, IF(AND(AL6 &lt;=0, AL6 &gt; -RSR+157.48), AL6 - 157.48, "")))), "")</f>
        <v/>
      </c>
      <c r="AN6" s="326" t="str">
        <f>IFERROR(IF(AM6 &gt; ROUND('Top of Pile Load Calcs'!$A$166,3), ROUND(AM6-157.48,3), IF(AM6 = ROUND('Top of Pile Load Calcs'!$A$166,3), 0, IF(AM6 = 0, 'Top of Pile Load Calcs'!$A$167, IF(AND(AM6 &lt;=0, AM6 &gt; -RSR+157.48), AM6 - 157.48, "")))), "")</f>
        <v/>
      </c>
      <c r="AO6" s="326" t="str">
        <f>IFERROR(IF(AN6 &gt; ROUND('Top of Pile Load Calcs'!$A$166,3), ROUND(AN6-157.48,3), IF(AN6 = ROUND('Top of Pile Load Calcs'!$A$166,3), 0, IF(AN6 = 0, 'Top of Pile Load Calcs'!$A$167, IF(AND(AN6 &lt;=0, AN6 &gt; -RSR+157.48), AN6 - 157.48, "")))), "")</f>
        <v/>
      </c>
      <c r="AP6" s="326" t="str">
        <f>IFERROR(IF(AO6 &gt; ROUND('Top of Pile Load Calcs'!$A$166,3), ROUND(AO6-157.48,3), IF(AO6 = ROUND('Top of Pile Load Calcs'!$A$166,3), 0, IF(AO6 = 0, 'Top of Pile Load Calcs'!$A$167, IF(AND(AO6 &lt;=0, AO6 &gt; -RSR+157.48), AO6 - 157.48, "")))), "")</f>
        <v/>
      </c>
      <c r="AQ6" s="326" t="str">
        <f>IFERROR(IF(AP6 &gt; ROUND('Top of Pile Load Calcs'!$A$166,3), ROUND(AP6-157.48,3), IF(AP6 = ROUND('Top of Pile Load Calcs'!$A$166,3), 0, IF(AP6 = 0, 'Top of Pile Load Calcs'!$A$167, IF(AND(AP6 &lt;=0, AP6 &gt; -RSR+157.48), AP6 - 157.48, "")))), "")</f>
        <v/>
      </c>
    </row>
    <row r="7" spans="1:43" x14ac:dyDescent="0.25">
      <c r="B7" s="560"/>
      <c r="C7" s="561"/>
      <c r="D7" s="143" t="e">
        <f t="shared" ref="D7:AP7" si="0">IF(AND(D6 &lt; (-RSR+158.748), D6 &gt; (-RSR+156.48)), -RSR, E6)</f>
        <v>#VALUE!</v>
      </c>
      <c r="E7" s="9" t="e">
        <f t="shared" si="0"/>
        <v>#VALUE!</v>
      </c>
      <c r="F7" s="9" t="e">
        <f t="shared" si="0"/>
        <v>#VALUE!</v>
      </c>
      <c r="G7" s="9" t="e">
        <f t="shared" si="0"/>
        <v>#VALUE!</v>
      </c>
      <c r="H7" s="9" t="e">
        <f t="shared" si="0"/>
        <v>#VALUE!</v>
      </c>
      <c r="I7" s="9" t="e">
        <f t="shared" si="0"/>
        <v>#VALUE!</v>
      </c>
      <c r="J7" s="9" t="e">
        <f t="shared" si="0"/>
        <v>#VALUE!</v>
      </c>
      <c r="K7" s="9" t="e">
        <f t="shared" si="0"/>
        <v>#VALUE!</v>
      </c>
      <c r="L7" s="9" t="e">
        <f t="shared" si="0"/>
        <v>#VALUE!</v>
      </c>
      <c r="M7" s="9" t="e">
        <f t="shared" si="0"/>
        <v>#VALUE!</v>
      </c>
      <c r="N7" s="325" t="e">
        <f t="shared" si="0"/>
        <v>#VALUE!</v>
      </c>
      <c r="O7" s="9" t="e">
        <f t="shared" si="0"/>
        <v>#VALUE!</v>
      </c>
      <c r="P7" s="9" t="e">
        <f t="shared" si="0"/>
        <v>#VALUE!</v>
      </c>
      <c r="Q7" s="9" t="e">
        <f t="shared" si="0"/>
        <v>#VALUE!</v>
      </c>
      <c r="R7" s="9" t="e">
        <f t="shared" si="0"/>
        <v>#VALUE!</v>
      </c>
      <c r="S7" s="9" t="e">
        <f t="shared" si="0"/>
        <v>#VALUE!</v>
      </c>
      <c r="T7" s="9" t="e">
        <f t="shared" si="0"/>
        <v>#VALUE!</v>
      </c>
      <c r="U7" s="9" t="e">
        <f t="shared" si="0"/>
        <v>#VALUE!</v>
      </c>
      <c r="V7" s="9" t="e">
        <f t="shared" si="0"/>
        <v>#VALUE!</v>
      </c>
      <c r="W7" s="9" t="e">
        <f t="shared" si="0"/>
        <v>#VALUE!</v>
      </c>
      <c r="X7" s="9" t="e">
        <f t="shared" si="0"/>
        <v>#VALUE!</v>
      </c>
      <c r="Y7" s="9" t="e">
        <f t="shared" si="0"/>
        <v>#VALUE!</v>
      </c>
      <c r="Z7" s="9" t="e">
        <f t="shared" si="0"/>
        <v>#VALUE!</v>
      </c>
      <c r="AA7" s="9" t="e">
        <f t="shared" si="0"/>
        <v>#VALUE!</v>
      </c>
      <c r="AB7" s="9" t="e">
        <f t="shared" si="0"/>
        <v>#VALUE!</v>
      </c>
      <c r="AC7" s="9" t="e">
        <f t="shared" si="0"/>
        <v>#VALUE!</v>
      </c>
      <c r="AD7" s="9" t="e">
        <f t="shared" si="0"/>
        <v>#VALUE!</v>
      </c>
      <c r="AE7" s="9" t="e">
        <f t="shared" si="0"/>
        <v>#VALUE!</v>
      </c>
      <c r="AF7" s="9" t="e">
        <f t="shared" si="0"/>
        <v>#VALUE!</v>
      </c>
      <c r="AG7" s="9" t="e">
        <f t="shared" si="0"/>
        <v>#VALUE!</v>
      </c>
      <c r="AH7" s="9" t="e">
        <f t="shared" si="0"/>
        <v>#VALUE!</v>
      </c>
      <c r="AI7" s="9" t="e">
        <f t="shared" si="0"/>
        <v>#VALUE!</v>
      </c>
      <c r="AJ7" s="9" t="e">
        <f t="shared" si="0"/>
        <v>#VALUE!</v>
      </c>
      <c r="AK7" s="9" t="e">
        <f t="shared" si="0"/>
        <v>#VALUE!</v>
      </c>
      <c r="AL7" s="9" t="e">
        <f t="shared" si="0"/>
        <v>#VALUE!</v>
      </c>
      <c r="AM7" s="9" t="e">
        <f t="shared" si="0"/>
        <v>#VALUE!</v>
      </c>
      <c r="AN7" s="9" t="e">
        <f t="shared" si="0"/>
        <v>#VALUE!</v>
      </c>
      <c r="AO7" s="9" t="e">
        <f t="shared" si="0"/>
        <v>#VALUE!</v>
      </c>
      <c r="AP7" s="9" t="e">
        <f t="shared" si="0"/>
        <v>#VALUE!</v>
      </c>
      <c r="AQ7" s="9" t="e">
        <f>IF(AND(AQ6 &lt; (-RSR+158.748), AQ6 &gt; (-RSR+156.48)), -RSR, 'Top of Pile Load Calcs'!AR166)</f>
        <v>#VALUE!</v>
      </c>
    </row>
    <row r="9" spans="1:43" x14ac:dyDescent="0.25">
      <c r="B9" s="665" t="s">
        <v>715</v>
      </c>
      <c r="C9" s="563"/>
      <c r="D9" s="9" t="str">
        <f t="shared" ref="D9:AQ9" si="1">IFERROR(IF(D7=0, ABS((D6-D7)/12)-(GL/12),IF(D6=0, ABS((D6-D7)/12)-(GR/12), ABS((D6-D7)/12))), "")</f>
        <v/>
      </c>
      <c r="E9" s="9" t="str">
        <f t="shared" si="1"/>
        <v/>
      </c>
      <c r="F9" s="9" t="str">
        <f t="shared" si="1"/>
        <v/>
      </c>
      <c r="G9" s="9" t="str">
        <f t="shared" si="1"/>
        <v/>
      </c>
      <c r="H9" s="9" t="str">
        <f t="shared" si="1"/>
        <v/>
      </c>
      <c r="I9" s="9" t="str">
        <f t="shared" si="1"/>
        <v/>
      </c>
      <c r="J9" s="9" t="str">
        <f t="shared" si="1"/>
        <v/>
      </c>
      <c r="K9" s="9" t="str">
        <f t="shared" si="1"/>
        <v/>
      </c>
      <c r="L9" s="9" t="str">
        <f t="shared" si="1"/>
        <v/>
      </c>
      <c r="M9" s="9" t="str">
        <f t="shared" si="1"/>
        <v/>
      </c>
      <c r="N9" s="9" t="str">
        <f t="shared" si="1"/>
        <v/>
      </c>
      <c r="O9" s="9" t="str">
        <f t="shared" si="1"/>
        <v/>
      </c>
      <c r="P9" s="9" t="str">
        <f t="shared" si="1"/>
        <v/>
      </c>
      <c r="Q9" s="9" t="str">
        <f t="shared" si="1"/>
        <v/>
      </c>
      <c r="R9" s="9" t="str">
        <f t="shared" si="1"/>
        <v/>
      </c>
      <c r="S9" s="9" t="str">
        <f t="shared" si="1"/>
        <v/>
      </c>
      <c r="T9" s="9" t="str">
        <f t="shared" si="1"/>
        <v/>
      </c>
      <c r="U9" s="9" t="str">
        <f t="shared" si="1"/>
        <v/>
      </c>
      <c r="V9" s="9" t="str">
        <f t="shared" si="1"/>
        <v/>
      </c>
      <c r="W9" s="9" t="str">
        <f t="shared" si="1"/>
        <v/>
      </c>
      <c r="X9" s="9" t="str">
        <f t="shared" si="1"/>
        <v/>
      </c>
      <c r="Y9" s="9" t="str">
        <f t="shared" si="1"/>
        <v/>
      </c>
      <c r="Z9" s="9" t="str">
        <f t="shared" si="1"/>
        <v/>
      </c>
      <c r="AA9" s="9" t="str">
        <f t="shared" si="1"/>
        <v/>
      </c>
      <c r="AB9" s="9" t="str">
        <f t="shared" si="1"/>
        <v/>
      </c>
      <c r="AC9" s="9" t="str">
        <f t="shared" si="1"/>
        <v/>
      </c>
      <c r="AD9" s="9" t="str">
        <f t="shared" si="1"/>
        <v/>
      </c>
      <c r="AE9" s="9" t="str">
        <f t="shared" si="1"/>
        <v/>
      </c>
      <c r="AF9" s="9" t="str">
        <f t="shared" si="1"/>
        <v/>
      </c>
      <c r="AG9" s="9" t="str">
        <f t="shared" si="1"/>
        <v/>
      </c>
      <c r="AH9" s="9" t="str">
        <f t="shared" si="1"/>
        <v/>
      </c>
      <c r="AI9" s="9" t="str">
        <f t="shared" si="1"/>
        <v/>
      </c>
      <c r="AJ9" s="9" t="str">
        <f t="shared" si="1"/>
        <v/>
      </c>
      <c r="AK9" s="9" t="str">
        <f t="shared" si="1"/>
        <v/>
      </c>
      <c r="AL9" s="9" t="str">
        <f t="shared" si="1"/>
        <v/>
      </c>
      <c r="AM9" s="9" t="str">
        <f t="shared" si="1"/>
        <v/>
      </c>
      <c r="AN9" s="9" t="str">
        <f t="shared" si="1"/>
        <v/>
      </c>
      <c r="AO9" s="9" t="str">
        <f t="shared" si="1"/>
        <v/>
      </c>
      <c r="AP9" s="9" t="str">
        <f t="shared" si="1"/>
        <v/>
      </c>
      <c r="AQ9" s="9" t="str">
        <f t="shared" si="1"/>
        <v/>
      </c>
    </row>
    <row r="10" spans="1:43" x14ac:dyDescent="0.25">
      <c r="B10" s="664" t="s">
        <v>716</v>
      </c>
      <c r="C10" s="558"/>
      <c r="D10" s="209" t="str">
        <f t="shared" ref="D10:AQ10" si="2">IFERROR(D9*(ML/4/12), "")</f>
        <v/>
      </c>
      <c r="E10" s="209" t="str">
        <f t="shared" si="2"/>
        <v/>
      </c>
      <c r="F10" s="209" t="str">
        <f t="shared" si="2"/>
        <v/>
      </c>
      <c r="G10" s="209" t="str">
        <f t="shared" si="2"/>
        <v/>
      </c>
      <c r="H10" s="209" t="str">
        <f t="shared" si="2"/>
        <v/>
      </c>
      <c r="I10" s="209" t="str">
        <f t="shared" si="2"/>
        <v/>
      </c>
      <c r="J10" s="209" t="str">
        <f t="shared" si="2"/>
        <v/>
      </c>
      <c r="K10" s="209" t="str">
        <f t="shared" si="2"/>
        <v/>
      </c>
      <c r="L10" s="209" t="str">
        <f t="shared" si="2"/>
        <v/>
      </c>
      <c r="M10" s="209" t="str">
        <f t="shared" si="2"/>
        <v/>
      </c>
      <c r="N10" s="209" t="str">
        <f t="shared" si="2"/>
        <v/>
      </c>
      <c r="O10" s="209" t="str">
        <f t="shared" si="2"/>
        <v/>
      </c>
      <c r="P10" s="209" t="str">
        <f t="shared" si="2"/>
        <v/>
      </c>
      <c r="Q10" s="209" t="str">
        <f t="shared" si="2"/>
        <v/>
      </c>
      <c r="R10" s="209" t="str">
        <f t="shared" si="2"/>
        <v/>
      </c>
      <c r="S10" s="209" t="str">
        <f t="shared" si="2"/>
        <v/>
      </c>
      <c r="T10" s="209" t="str">
        <f t="shared" si="2"/>
        <v/>
      </c>
      <c r="U10" s="209" t="str">
        <f t="shared" si="2"/>
        <v/>
      </c>
      <c r="V10" s="209" t="str">
        <f t="shared" si="2"/>
        <v/>
      </c>
      <c r="W10" s="209" t="str">
        <f t="shared" si="2"/>
        <v/>
      </c>
      <c r="X10" s="209" t="str">
        <f t="shared" si="2"/>
        <v/>
      </c>
      <c r="Y10" s="209" t="str">
        <f t="shared" si="2"/>
        <v/>
      </c>
      <c r="Z10" s="209" t="str">
        <f t="shared" si="2"/>
        <v/>
      </c>
      <c r="AA10" s="209" t="str">
        <f t="shared" si="2"/>
        <v/>
      </c>
      <c r="AB10" s="209" t="str">
        <f t="shared" si="2"/>
        <v/>
      </c>
      <c r="AC10" s="209" t="str">
        <f t="shared" si="2"/>
        <v/>
      </c>
      <c r="AD10" s="209" t="str">
        <f t="shared" si="2"/>
        <v/>
      </c>
      <c r="AE10" s="209" t="str">
        <f t="shared" si="2"/>
        <v/>
      </c>
      <c r="AF10" s="209" t="str">
        <f t="shared" si="2"/>
        <v/>
      </c>
      <c r="AG10" s="209" t="str">
        <f t="shared" si="2"/>
        <v/>
      </c>
      <c r="AH10" s="209" t="str">
        <f t="shared" si="2"/>
        <v/>
      </c>
      <c r="AI10" s="209" t="str">
        <f t="shared" si="2"/>
        <v/>
      </c>
      <c r="AJ10" s="209" t="str">
        <f t="shared" si="2"/>
        <v/>
      </c>
      <c r="AK10" s="209" t="str">
        <f t="shared" si="2"/>
        <v/>
      </c>
      <c r="AL10" s="209" t="str">
        <f t="shared" si="2"/>
        <v/>
      </c>
      <c r="AM10" s="209" t="str">
        <f t="shared" si="2"/>
        <v/>
      </c>
      <c r="AN10" s="209" t="str">
        <f t="shared" si="2"/>
        <v/>
      </c>
      <c r="AO10" s="209" t="str">
        <f t="shared" si="2"/>
        <v/>
      </c>
      <c r="AP10" s="209" t="str">
        <f t="shared" si="2"/>
        <v/>
      </c>
      <c r="AQ10" s="209" t="str">
        <f t="shared" si="2"/>
        <v/>
      </c>
    </row>
    <row r="11" spans="1:43" x14ac:dyDescent="0.25">
      <c r="B11" s="555"/>
      <c r="C11" s="559"/>
      <c r="D11" s="209" t="str">
        <f t="shared" ref="D11:AQ11" si="3">IFERROR(D9*(ML/4/12), "")</f>
        <v/>
      </c>
      <c r="E11" s="209" t="str">
        <f t="shared" si="3"/>
        <v/>
      </c>
      <c r="F11" s="209" t="str">
        <f t="shared" si="3"/>
        <v/>
      </c>
      <c r="G11" s="209" t="str">
        <f t="shared" si="3"/>
        <v/>
      </c>
      <c r="H11" s="209" t="str">
        <f t="shared" si="3"/>
        <v/>
      </c>
      <c r="I11" s="209" t="str">
        <f t="shared" si="3"/>
        <v/>
      </c>
      <c r="J11" s="209" t="str">
        <f t="shared" si="3"/>
        <v/>
      </c>
      <c r="K11" s="209" t="str">
        <f t="shared" si="3"/>
        <v/>
      </c>
      <c r="L11" s="209" t="str">
        <f t="shared" si="3"/>
        <v/>
      </c>
      <c r="M11" s="209" t="str">
        <f t="shared" si="3"/>
        <v/>
      </c>
      <c r="N11" s="209" t="str">
        <f t="shared" si="3"/>
        <v/>
      </c>
      <c r="O11" s="209" t="str">
        <f t="shared" si="3"/>
        <v/>
      </c>
      <c r="P11" s="209" t="str">
        <f t="shared" si="3"/>
        <v/>
      </c>
      <c r="Q11" s="209" t="str">
        <f t="shared" si="3"/>
        <v/>
      </c>
      <c r="R11" s="209" t="str">
        <f t="shared" si="3"/>
        <v/>
      </c>
      <c r="S11" s="209" t="str">
        <f t="shared" si="3"/>
        <v/>
      </c>
      <c r="T11" s="209" t="str">
        <f t="shared" si="3"/>
        <v/>
      </c>
      <c r="U11" s="209" t="str">
        <f t="shared" si="3"/>
        <v/>
      </c>
      <c r="V11" s="209" t="str">
        <f t="shared" si="3"/>
        <v/>
      </c>
      <c r="W11" s="209" t="str">
        <f t="shared" si="3"/>
        <v/>
      </c>
      <c r="X11" s="209" t="str">
        <f t="shared" si="3"/>
        <v/>
      </c>
      <c r="Y11" s="209" t="str">
        <f t="shared" si="3"/>
        <v/>
      </c>
      <c r="Z11" s="209" t="str">
        <f t="shared" si="3"/>
        <v/>
      </c>
      <c r="AA11" s="209" t="str">
        <f t="shared" si="3"/>
        <v/>
      </c>
      <c r="AB11" s="209" t="str">
        <f t="shared" si="3"/>
        <v/>
      </c>
      <c r="AC11" s="209" t="str">
        <f t="shared" si="3"/>
        <v/>
      </c>
      <c r="AD11" s="209" t="str">
        <f t="shared" si="3"/>
        <v/>
      </c>
      <c r="AE11" s="209" t="str">
        <f t="shared" si="3"/>
        <v/>
      </c>
      <c r="AF11" s="209" t="str">
        <f t="shared" si="3"/>
        <v/>
      </c>
      <c r="AG11" s="209" t="str">
        <f t="shared" si="3"/>
        <v/>
      </c>
      <c r="AH11" s="209" t="str">
        <f t="shared" si="3"/>
        <v/>
      </c>
      <c r="AI11" s="209" t="str">
        <f t="shared" si="3"/>
        <v/>
      </c>
      <c r="AJ11" s="209" t="str">
        <f t="shared" si="3"/>
        <v/>
      </c>
      <c r="AK11" s="209" t="str">
        <f t="shared" si="3"/>
        <v/>
      </c>
      <c r="AL11" s="209" t="str">
        <f t="shared" si="3"/>
        <v/>
      </c>
      <c r="AM11" s="209" t="str">
        <f t="shared" si="3"/>
        <v/>
      </c>
      <c r="AN11" s="209" t="str">
        <f t="shared" si="3"/>
        <v/>
      </c>
      <c r="AO11" s="209" t="str">
        <f t="shared" si="3"/>
        <v/>
      </c>
      <c r="AP11" s="209" t="str">
        <f t="shared" si="3"/>
        <v/>
      </c>
      <c r="AQ11" s="209" t="str">
        <f t="shared" si="3"/>
        <v/>
      </c>
    </row>
    <row r="12" spans="1:43" x14ac:dyDescent="0.25">
      <c r="B12" s="555"/>
      <c r="C12" s="559"/>
      <c r="D12" s="209" t="str">
        <f t="shared" ref="D12:AQ12" si="4">IFERROR(D9*(ML/4/12), "")</f>
        <v/>
      </c>
      <c r="E12" s="209" t="str">
        <f t="shared" si="4"/>
        <v/>
      </c>
      <c r="F12" s="209" t="str">
        <f t="shared" si="4"/>
        <v/>
      </c>
      <c r="G12" s="209" t="str">
        <f t="shared" si="4"/>
        <v/>
      </c>
      <c r="H12" s="209" t="str">
        <f t="shared" si="4"/>
        <v/>
      </c>
      <c r="I12" s="209" t="str">
        <f t="shared" si="4"/>
        <v/>
      </c>
      <c r="J12" s="209" t="str">
        <f t="shared" si="4"/>
        <v/>
      </c>
      <c r="K12" s="209" t="str">
        <f t="shared" si="4"/>
        <v/>
      </c>
      <c r="L12" s="209" t="str">
        <f t="shared" si="4"/>
        <v/>
      </c>
      <c r="M12" s="209" t="str">
        <f t="shared" si="4"/>
        <v/>
      </c>
      <c r="N12" s="209" t="str">
        <f t="shared" si="4"/>
        <v/>
      </c>
      <c r="O12" s="209" t="str">
        <f t="shared" si="4"/>
        <v/>
      </c>
      <c r="P12" s="209" t="str">
        <f t="shared" si="4"/>
        <v/>
      </c>
      <c r="Q12" s="209" t="str">
        <f t="shared" si="4"/>
        <v/>
      </c>
      <c r="R12" s="209" t="str">
        <f t="shared" si="4"/>
        <v/>
      </c>
      <c r="S12" s="209" t="str">
        <f t="shared" si="4"/>
        <v/>
      </c>
      <c r="T12" s="209" t="str">
        <f t="shared" si="4"/>
        <v/>
      </c>
      <c r="U12" s="209" t="str">
        <f t="shared" si="4"/>
        <v/>
      </c>
      <c r="V12" s="209" t="str">
        <f t="shared" si="4"/>
        <v/>
      </c>
      <c r="W12" s="209" t="str">
        <f t="shared" si="4"/>
        <v/>
      </c>
      <c r="X12" s="209" t="str">
        <f t="shared" si="4"/>
        <v/>
      </c>
      <c r="Y12" s="209" t="str">
        <f t="shared" si="4"/>
        <v/>
      </c>
      <c r="Z12" s="209" t="str">
        <f t="shared" si="4"/>
        <v/>
      </c>
      <c r="AA12" s="209" t="str">
        <f t="shared" si="4"/>
        <v/>
      </c>
      <c r="AB12" s="209" t="str">
        <f t="shared" si="4"/>
        <v/>
      </c>
      <c r="AC12" s="209" t="str">
        <f t="shared" si="4"/>
        <v/>
      </c>
      <c r="AD12" s="209" t="str">
        <f t="shared" si="4"/>
        <v/>
      </c>
      <c r="AE12" s="209" t="str">
        <f t="shared" si="4"/>
        <v/>
      </c>
      <c r="AF12" s="209" t="str">
        <f t="shared" si="4"/>
        <v/>
      </c>
      <c r="AG12" s="209" t="str">
        <f t="shared" si="4"/>
        <v/>
      </c>
      <c r="AH12" s="209" t="str">
        <f t="shared" si="4"/>
        <v/>
      </c>
      <c r="AI12" s="209" t="str">
        <f t="shared" si="4"/>
        <v/>
      </c>
      <c r="AJ12" s="209" t="str">
        <f t="shared" si="4"/>
        <v/>
      </c>
      <c r="AK12" s="209" t="str">
        <f t="shared" si="4"/>
        <v/>
      </c>
      <c r="AL12" s="209" t="str">
        <f t="shared" si="4"/>
        <v/>
      </c>
      <c r="AM12" s="209" t="str">
        <f t="shared" si="4"/>
        <v/>
      </c>
      <c r="AN12" s="209" t="str">
        <f t="shared" si="4"/>
        <v/>
      </c>
      <c r="AO12" s="209" t="str">
        <f t="shared" si="4"/>
        <v/>
      </c>
      <c r="AP12" s="209" t="str">
        <f t="shared" si="4"/>
        <v/>
      </c>
      <c r="AQ12" s="209" t="str">
        <f t="shared" si="4"/>
        <v/>
      </c>
    </row>
    <row r="13" spans="1:43" x14ac:dyDescent="0.25">
      <c r="B13" s="560"/>
      <c r="C13" s="561"/>
      <c r="D13" s="209" t="str">
        <f t="shared" ref="D13:AQ13" si="5">IFERROR(D9*(ML/4/12), "")</f>
        <v/>
      </c>
      <c r="E13" s="209" t="str">
        <f t="shared" si="5"/>
        <v/>
      </c>
      <c r="F13" s="209" t="str">
        <f t="shared" si="5"/>
        <v/>
      </c>
      <c r="G13" s="209" t="str">
        <f t="shared" si="5"/>
        <v/>
      </c>
      <c r="H13" s="209" t="str">
        <f t="shared" si="5"/>
        <v/>
      </c>
      <c r="I13" s="209" t="str">
        <f t="shared" si="5"/>
        <v/>
      </c>
      <c r="J13" s="209" t="str">
        <f t="shared" si="5"/>
        <v/>
      </c>
      <c r="K13" s="209" t="str">
        <f t="shared" si="5"/>
        <v/>
      </c>
      <c r="L13" s="209" t="str">
        <f t="shared" si="5"/>
        <v/>
      </c>
      <c r="M13" s="209" t="str">
        <f t="shared" si="5"/>
        <v/>
      </c>
      <c r="N13" s="209" t="str">
        <f t="shared" si="5"/>
        <v/>
      </c>
      <c r="O13" s="209" t="str">
        <f t="shared" si="5"/>
        <v/>
      </c>
      <c r="P13" s="209" t="str">
        <f t="shared" si="5"/>
        <v/>
      </c>
      <c r="Q13" s="209" t="str">
        <f t="shared" si="5"/>
        <v/>
      </c>
      <c r="R13" s="209" t="str">
        <f t="shared" si="5"/>
        <v/>
      </c>
      <c r="S13" s="209" t="str">
        <f t="shared" si="5"/>
        <v/>
      </c>
      <c r="T13" s="209" t="str">
        <f t="shared" si="5"/>
        <v/>
      </c>
      <c r="U13" s="209" t="str">
        <f t="shared" si="5"/>
        <v/>
      </c>
      <c r="V13" s="209" t="str">
        <f t="shared" si="5"/>
        <v/>
      </c>
      <c r="W13" s="209" t="str">
        <f t="shared" si="5"/>
        <v/>
      </c>
      <c r="X13" s="209" t="str">
        <f t="shared" si="5"/>
        <v/>
      </c>
      <c r="Y13" s="209" t="str">
        <f t="shared" si="5"/>
        <v/>
      </c>
      <c r="Z13" s="209" t="str">
        <f t="shared" si="5"/>
        <v/>
      </c>
      <c r="AA13" s="209" t="str">
        <f t="shared" si="5"/>
        <v/>
      </c>
      <c r="AB13" s="209" t="str">
        <f t="shared" si="5"/>
        <v/>
      </c>
      <c r="AC13" s="209" t="str">
        <f t="shared" si="5"/>
        <v/>
      </c>
      <c r="AD13" s="209" t="str">
        <f t="shared" si="5"/>
        <v/>
      </c>
      <c r="AE13" s="209" t="str">
        <f t="shared" si="5"/>
        <v/>
      </c>
      <c r="AF13" s="209" t="str">
        <f t="shared" si="5"/>
        <v/>
      </c>
      <c r="AG13" s="209" t="str">
        <f t="shared" si="5"/>
        <v/>
      </c>
      <c r="AH13" s="209" t="str">
        <f t="shared" si="5"/>
        <v/>
      </c>
      <c r="AI13" s="209" t="str">
        <f t="shared" si="5"/>
        <v/>
      </c>
      <c r="AJ13" s="209" t="str">
        <f t="shared" si="5"/>
        <v/>
      </c>
      <c r="AK13" s="209" t="str">
        <f t="shared" si="5"/>
        <v/>
      </c>
      <c r="AL13" s="209" t="str">
        <f t="shared" si="5"/>
        <v/>
      </c>
      <c r="AM13" s="209" t="str">
        <f t="shared" si="5"/>
        <v/>
      </c>
      <c r="AN13" s="209" t="str">
        <f t="shared" si="5"/>
        <v/>
      </c>
      <c r="AO13" s="209" t="str">
        <f t="shared" si="5"/>
        <v/>
      </c>
      <c r="AP13" s="209" t="str">
        <f t="shared" si="5"/>
        <v/>
      </c>
      <c r="AQ13" s="209" t="str">
        <f t="shared" si="5"/>
        <v/>
      </c>
    </row>
    <row r="14" spans="1:43" x14ac:dyDescent="0.25">
      <c r="D14">
        <v>1</v>
      </c>
      <c r="E14">
        <v>2</v>
      </c>
      <c r="F14">
        <v>3</v>
      </c>
      <c r="G14">
        <v>4</v>
      </c>
      <c r="H14">
        <v>5</v>
      </c>
      <c r="I14">
        <v>6</v>
      </c>
      <c r="J14">
        <v>7</v>
      </c>
      <c r="K14">
        <v>8</v>
      </c>
      <c r="L14">
        <v>9</v>
      </c>
      <c r="M14">
        <v>10</v>
      </c>
      <c r="N14">
        <v>11</v>
      </c>
      <c r="O14">
        <v>12</v>
      </c>
      <c r="P14">
        <v>13</v>
      </c>
      <c r="Q14">
        <v>14</v>
      </c>
      <c r="R14">
        <v>15</v>
      </c>
      <c r="S14">
        <v>16</v>
      </c>
      <c r="T14">
        <v>17</v>
      </c>
      <c r="U14">
        <v>18</v>
      </c>
      <c r="V14">
        <v>19</v>
      </c>
      <c r="W14">
        <v>20</v>
      </c>
      <c r="X14">
        <v>21</v>
      </c>
      <c r="Y14">
        <v>22</v>
      </c>
      <c r="Z14">
        <v>23</v>
      </c>
      <c r="AA14">
        <v>24</v>
      </c>
      <c r="AB14">
        <v>25</v>
      </c>
      <c r="AC14">
        <v>26</v>
      </c>
      <c r="AD14">
        <v>27</v>
      </c>
      <c r="AE14">
        <v>28</v>
      </c>
      <c r="AF14">
        <v>29</v>
      </c>
      <c r="AG14">
        <v>30</v>
      </c>
      <c r="AH14">
        <v>31</v>
      </c>
      <c r="AI14">
        <v>32</v>
      </c>
      <c r="AJ14">
        <v>33</v>
      </c>
      <c r="AK14">
        <v>34</v>
      </c>
      <c r="AL14">
        <v>35</v>
      </c>
      <c r="AM14">
        <v>36</v>
      </c>
      <c r="AN14">
        <v>37</v>
      </c>
      <c r="AO14">
        <v>38</v>
      </c>
      <c r="AP14">
        <v>39</v>
      </c>
      <c r="AQ14">
        <v>40</v>
      </c>
    </row>
    <row r="15" spans="1:43" ht="45" customHeight="1" x14ac:dyDescent="0.25">
      <c r="B15" s="666" t="s">
        <v>717</v>
      </c>
      <c r="C15" s="554"/>
      <c r="D15" s="329" t="str">
        <f>'Top of Pile Load Calcs'!D6</f>
        <v/>
      </c>
      <c r="E15" s="328" t="str">
        <f>'Top of Pile Load Calcs'!D7</f>
        <v/>
      </c>
      <c r="F15" s="328" t="str">
        <f>'Top of Pile Load Calcs'!D8</f>
        <v/>
      </c>
      <c r="G15" s="328" t="str">
        <f>'Top of Pile Load Calcs'!D9</f>
        <v/>
      </c>
      <c r="H15" s="328" t="str">
        <f>'Top of Pile Load Calcs'!D10</f>
        <v/>
      </c>
      <c r="I15" s="328" t="str">
        <f>'Top of Pile Load Calcs'!D11</f>
        <v/>
      </c>
      <c r="J15" s="328" t="str">
        <f>'Top of Pile Load Calcs'!D12</f>
        <v/>
      </c>
      <c r="K15" s="328" t="str">
        <f>'Top of Pile Load Calcs'!D13</f>
        <v/>
      </c>
      <c r="L15" s="328" t="str">
        <f>'Top of Pile Load Calcs'!D14</f>
        <v/>
      </c>
      <c r="M15" s="328" t="str">
        <f>'Top of Pile Load Calcs'!D15</f>
        <v/>
      </c>
      <c r="N15" s="328" t="str">
        <f>'Top of Pile Load Calcs'!D16</f>
        <v/>
      </c>
      <c r="O15" s="328" t="str">
        <f>'Top of Pile Load Calcs'!D17</f>
        <v/>
      </c>
      <c r="P15" s="328" t="str">
        <f>'Top of Pile Load Calcs'!D18</f>
        <v/>
      </c>
      <c r="Q15" s="328" t="str">
        <f>'Top of Pile Load Calcs'!D19</f>
        <v/>
      </c>
      <c r="R15" s="328" t="str">
        <f>'Top of Pile Load Calcs'!D20</f>
        <v/>
      </c>
      <c r="S15" s="328" t="str">
        <f>'Top of Pile Load Calcs'!D21</f>
        <v/>
      </c>
      <c r="T15" s="328" t="str">
        <f>'Top of Pile Load Calcs'!D22</f>
        <v/>
      </c>
      <c r="U15" s="328" t="str">
        <f>'Top of Pile Load Calcs'!D23</f>
        <v/>
      </c>
      <c r="V15" s="328" t="str">
        <f>'Top of Pile Load Calcs'!D24</f>
        <v/>
      </c>
      <c r="W15" s="328" t="str">
        <f>'Top of Pile Load Calcs'!D25</f>
        <v/>
      </c>
      <c r="X15" s="328" t="str">
        <f>'Top of Pile Load Calcs'!D26</f>
        <v/>
      </c>
      <c r="Y15" s="328" t="str">
        <f>'Top of Pile Load Calcs'!D27</f>
        <v/>
      </c>
      <c r="Z15" s="328" t="str">
        <f>'Top of Pile Load Calcs'!D28</f>
        <v/>
      </c>
      <c r="AA15" s="328" t="str">
        <f>'Top of Pile Load Calcs'!D29</f>
        <v/>
      </c>
      <c r="AB15" s="328" t="str">
        <f>'Top of Pile Load Calcs'!D30</f>
        <v/>
      </c>
      <c r="AC15" s="328" t="str">
        <f>'Top of Pile Load Calcs'!D31</f>
        <v/>
      </c>
      <c r="AD15" s="328" t="str">
        <f>'Top of Pile Load Calcs'!D32</f>
        <v/>
      </c>
      <c r="AE15" s="328" t="str">
        <f>'Top of Pile Load Calcs'!D33</f>
        <v/>
      </c>
      <c r="AF15" s="328" t="str">
        <f>'Top of Pile Load Calcs'!D34</f>
        <v/>
      </c>
      <c r="AG15" s="328" t="str">
        <f>'Top of Pile Load Calcs'!D35</f>
        <v/>
      </c>
      <c r="AH15" s="328" t="str">
        <f>'Top of Pile Load Calcs'!D36</f>
        <v/>
      </c>
      <c r="AI15" s="229"/>
      <c r="AJ15" s="229"/>
      <c r="AK15" s="229"/>
      <c r="AL15" s="229"/>
      <c r="AM15" s="229"/>
      <c r="AN15" s="229"/>
      <c r="AO15" s="229"/>
      <c r="AP15" s="229"/>
      <c r="AQ15" s="229"/>
    </row>
    <row r="16" spans="1:43" x14ac:dyDescent="0.25">
      <c r="B16" s="660" t="s">
        <v>718</v>
      </c>
      <c r="C16" s="558"/>
      <c r="D16" s="143" t="str">
        <f>'Top of Pile Load Calcs'!L6</f>
        <v/>
      </c>
      <c r="E16" s="9" t="str">
        <f>IF('Top of Pile Load Calcs'!L8="","",'Top of Pile Load Calcs'!L7)</f>
        <v/>
      </c>
      <c r="F16" s="9" t="str">
        <f>IF('Top of Pile Load Calcs'!L9="","",'Top of Pile Load Calcs'!L8)</f>
        <v/>
      </c>
      <c r="G16" s="9" t="str">
        <f>IF('Top of Pile Load Calcs'!L10="","",'Top of Pile Load Calcs'!L9)</f>
        <v/>
      </c>
      <c r="H16" s="9" t="str">
        <f>IF('Top of Pile Load Calcs'!L11="","",'Top of Pile Load Calcs'!L10)</f>
        <v/>
      </c>
      <c r="I16" s="9" t="str">
        <f>IF('Top of Pile Load Calcs'!L12="","",'Top of Pile Load Calcs'!L11)</f>
        <v/>
      </c>
      <c r="J16" s="9" t="str">
        <f>IF('Top of Pile Load Calcs'!L13="","",'Top of Pile Load Calcs'!L12)</f>
        <v/>
      </c>
      <c r="K16" s="9" t="str">
        <f>IF('Top of Pile Load Calcs'!L14="","",'Top of Pile Load Calcs'!L13)</f>
        <v/>
      </c>
      <c r="L16" s="9" t="str">
        <f>IF('Top of Pile Load Calcs'!L15="","",'Top of Pile Load Calcs'!L14)</f>
        <v/>
      </c>
      <c r="M16" s="9" t="str">
        <f>IF('Top of Pile Load Calcs'!L16="","",'Top of Pile Load Calcs'!L15)</f>
        <v/>
      </c>
      <c r="N16" s="9" t="str">
        <f>IF('Top of Pile Load Calcs'!L17="","",'Top of Pile Load Calcs'!L16)</f>
        <v/>
      </c>
      <c r="O16" s="9" t="str">
        <f>IF('Top of Pile Load Calcs'!L18="","",'Top of Pile Load Calcs'!L17)</f>
        <v/>
      </c>
      <c r="P16" s="9" t="str">
        <f>IF('Top of Pile Load Calcs'!L19="","",'Top of Pile Load Calcs'!L18)</f>
        <v/>
      </c>
      <c r="Q16" s="9" t="str">
        <f>IF('Top of Pile Load Calcs'!L20="","",'Top of Pile Load Calcs'!L19)</f>
        <v/>
      </c>
      <c r="R16" s="9" t="str">
        <f>IF('Top of Pile Load Calcs'!L21="","",'Top of Pile Load Calcs'!L20)</f>
        <v/>
      </c>
      <c r="S16" s="9" t="str">
        <f>IF('Top of Pile Load Calcs'!L22="","",'Top of Pile Load Calcs'!L21)</f>
        <v/>
      </c>
      <c r="T16" s="9" t="str">
        <f>IF('Top of Pile Load Calcs'!L23="","",'Top of Pile Load Calcs'!L22)</f>
        <v/>
      </c>
      <c r="U16" s="9" t="str">
        <f>IF('Top of Pile Load Calcs'!L24="","",'Top of Pile Load Calcs'!L23)</f>
        <v/>
      </c>
      <c r="V16" s="9" t="str">
        <f>IF('Top of Pile Load Calcs'!L25="","",'Top of Pile Load Calcs'!L24)</f>
        <v/>
      </c>
      <c r="W16" s="9" t="str">
        <f>IF('Top of Pile Load Calcs'!L26="","",'Top of Pile Load Calcs'!L25)</f>
        <v/>
      </c>
      <c r="X16" s="9" t="str">
        <f>IF('Top of Pile Load Calcs'!L27="","",'Top of Pile Load Calcs'!L26)</f>
        <v/>
      </c>
      <c r="Y16" s="9" t="str">
        <f>IF('Top of Pile Load Calcs'!L28="","",'Top of Pile Load Calcs'!L27)</f>
        <v/>
      </c>
      <c r="Z16" s="9" t="str">
        <f>IF('Top of Pile Load Calcs'!L29="","",'Top of Pile Load Calcs'!L28)</f>
        <v/>
      </c>
      <c r="AA16" s="9" t="str">
        <f>IF('Top of Pile Load Calcs'!L30="","",'Top of Pile Load Calcs'!L29)</f>
        <v/>
      </c>
      <c r="AB16" s="9" t="str">
        <f>IF('Top of Pile Load Calcs'!L31="","",'Top of Pile Load Calcs'!L30)</f>
        <v/>
      </c>
      <c r="AC16" s="9" t="str">
        <f>IF('Top of Pile Load Calcs'!L32="","",'Top of Pile Load Calcs'!L31)</f>
        <v/>
      </c>
      <c r="AD16" s="9" t="str">
        <f>IF('Top of Pile Load Calcs'!L33="","",'Top of Pile Load Calcs'!L32)</f>
        <v/>
      </c>
      <c r="AE16" s="9" t="str">
        <f>IF('Top of Pile Load Calcs'!L34="","",'Top of Pile Load Calcs'!L33)</f>
        <v/>
      </c>
      <c r="AF16" s="9" t="str">
        <f>IF('Top of Pile Load Calcs'!L35="","",'Top of Pile Load Calcs'!L34)</f>
        <v/>
      </c>
      <c r="AG16" s="9" t="str">
        <f>IF('Top of Pile Load Calcs'!L36="","",'Top of Pile Load Calcs'!L35)</f>
        <v/>
      </c>
      <c r="AH16" s="9" t="str">
        <f>IF('Top of Pile Load Calcs'!L37="","",'Top of Pile Load Calcs'!L36)</f>
        <v/>
      </c>
    </row>
    <row r="17" spans="2:43" x14ac:dyDescent="0.25">
      <c r="B17" s="629"/>
      <c r="C17" s="561"/>
      <c r="D17" s="143" t="str">
        <f>'Top of Pile Load Calcs'!L7</f>
        <v/>
      </c>
      <c r="E17" s="9" t="str">
        <f>'Top of Pile Load Calcs'!L8</f>
        <v/>
      </c>
      <c r="F17" s="9" t="str">
        <f>'Top of Pile Load Calcs'!L9</f>
        <v/>
      </c>
      <c r="G17" s="9" t="str">
        <f>'Top of Pile Load Calcs'!L10</f>
        <v/>
      </c>
      <c r="H17" s="9" t="str">
        <f>'Top of Pile Load Calcs'!L11</f>
        <v/>
      </c>
      <c r="I17" s="9" t="str">
        <f>'Top of Pile Load Calcs'!L12</f>
        <v/>
      </c>
      <c r="J17" s="9" t="str">
        <f>'Top of Pile Load Calcs'!L13</f>
        <v/>
      </c>
      <c r="K17" s="9" t="str">
        <f>'Top of Pile Load Calcs'!L14</f>
        <v/>
      </c>
      <c r="L17" s="9" t="str">
        <f>'Top of Pile Load Calcs'!L15</f>
        <v/>
      </c>
      <c r="M17" s="9" t="str">
        <f>'Top of Pile Load Calcs'!L16</f>
        <v/>
      </c>
      <c r="N17" s="9" t="str">
        <f>'Top of Pile Load Calcs'!L17</f>
        <v/>
      </c>
      <c r="O17" s="9" t="str">
        <f>'Top of Pile Load Calcs'!L18</f>
        <v/>
      </c>
      <c r="P17" s="9" t="str">
        <f>'Top of Pile Load Calcs'!L19</f>
        <v/>
      </c>
      <c r="Q17" s="9" t="str">
        <f>'Top of Pile Load Calcs'!L20</f>
        <v/>
      </c>
      <c r="R17" s="9" t="str">
        <f>'Top of Pile Load Calcs'!L21</f>
        <v/>
      </c>
      <c r="S17" s="9" t="str">
        <f>'Top of Pile Load Calcs'!L22</f>
        <v/>
      </c>
      <c r="T17" s="9" t="str">
        <f>'Top of Pile Load Calcs'!L23</f>
        <v/>
      </c>
      <c r="U17" s="9" t="str">
        <f>'Top of Pile Load Calcs'!L24</f>
        <v/>
      </c>
      <c r="V17" s="9" t="str">
        <f>'Top of Pile Load Calcs'!L25</f>
        <v/>
      </c>
      <c r="W17" s="9" t="str">
        <f>'Top of Pile Load Calcs'!L26</f>
        <v/>
      </c>
      <c r="X17" s="9" t="str">
        <f>'Top of Pile Load Calcs'!L27</f>
        <v/>
      </c>
      <c r="Y17" s="9" t="str">
        <f>'Top of Pile Load Calcs'!L28</f>
        <v/>
      </c>
      <c r="Z17" s="9" t="str">
        <f>'Top of Pile Load Calcs'!L29</f>
        <v/>
      </c>
      <c r="AA17" s="9" t="str">
        <f>'Top of Pile Load Calcs'!L30</f>
        <v/>
      </c>
      <c r="AB17" s="9" t="str">
        <f>'Top of Pile Load Calcs'!L31</f>
        <v/>
      </c>
      <c r="AC17" s="9" t="str">
        <f>'Top of Pile Load Calcs'!L32</f>
        <v/>
      </c>
      <c r="AD17" s="9" t="str">
        <f>'Top of Pile Load Calcs'!L33</f>
        <v/>
      </c>
      <c r="AE17" s="9" t="str">
        <f>'Top of Pile Load Calcs'!L34</f>
        <v/>
      </c>
      <c r="AF17" s="9" t="str">
        <f>'Top of Pile Load Calcs'!L35</f>
        <v/>
      </c>
      <c r="AG17" s="9" t="str">
        <f>'Top of Pile Load Calcs'!L36</f>
        <v/>
      </c>
      <c r="AH17" s="9" t="str">
        <f>'Top of Pile Load Calcs'!L37</f>
        <v/>
      </c>
    </row>
    <row r="18" spans="2:43" ht="45" customHeight="1" x14ac:dyDescent="0.25">
      <c r="B18" s="660" t="s">
        <v>717</v>
      </c>
      <c r="C18" s="563"/>
      <c r="D18" s="329" t="str">
        <f>'Top of Pile Load Calcs'!D42</f>
        <v/>
      </c>
      <c r="E18" s="328" t="str">
        <f>'Top of Pile Load Calcs'!D43</f>
        <v/>
      </c>
      <c r="F18" s="328" t="str">
        <f>'Top of Pile Load Calcs'!D44</f>
        <v/>
      </c>
      <c r="G18" s="328" t="str">
        <f>'Top of Pile Load Calcs'!D45</f>
        <v/>
      </c>
      <c r="H18" s="328" t="str">
        <f>'Top of Pile Load Calcs'!D46</f>
        <v/>
      </c>
      <c r="I18" s="328" t="str">
        <f>'Top of Pile Load Calcs'!D47</f>
        <v/>
      </c>
      <c r="J18" s="328" t="str">
        <f>'Top of Pile Load Calcs'!D48</f>
        <v/>
      </c>
      <c r="K18" s="328" t="str">
        <f>'Top of Pile Load Calcs'!D49</f>
        <v/>
      </c>
      <c r="L18" s="328" t="str">
        <f>'Top of Pile Load Calcs'!D50</f>
        <v/>
      </c>
      <c r="M18" s="328" t="str">
        <f>'Top of Pile Load Calcs'!D51</f>
        <v/>
      </c>
      <c r="N18" s="328" t="str">
        <f>'Top of Pile Load Calcs'!D52</f>
        <v/>
      </c>
      <c r="O18" s="328" t="str">
        <f>'Top of Pile Load Calcs'!D53</f>
        <v/>
      </c>
      <c r="P18" s="328" t="str">
        <f>'Top of Pile Load Calcs'!D54</f>
        <v/>
      </c>
      <c r="Q18" s="328" t="str">
        <f>'Top of Pile Load Calcs'!D55</f>
        <v/>
      </c>
      <c r="R18" s="328" t="str">
        <f>'Top of Pile Load Calcs'!D56</f>
        <v/>
      </c>
      <c r="S18" s="328" t="str">
        <f>'Top of Pile Load Calcs'!D57</f>
        <v/>
      </c>
      <c r="T18" s="328" t="str">
        <f>'Top of Pile Load Calcs'!D58</f>
        <v/>
      </c>
      <c r="U18" s="328" t="str">
        <f>'Top of Pile Load Calcs'!D59</f>
        <v/>
      </c>
      <c r="V18" s="328" t="str">
        <f>'Top of Pile Load Calcs'!D60</f>
        <v/>
      </c>
      <c r="W18" s="328" t="str">
        <f>'Top of Pile Load Calcs'!D61</f>
        <v/>
      </c>
      <c r="X18" s="328" t="str">
        <f>'Top of Pile Load Calcs'!D62</f>
        <v/>
      </c>
      <c r="Y18" s="328" t="str">
        <f>'Top of Pile Load Calcs'!D63</f>
        <v/>
      </c>
      <c r="Z18" s="328" t="str">
        <f>'Top of Pile Load Calcs'!D64</f>
        <v/>
      </c>
      <c r="AA18" s="328" t="str">
        <f>'Top of Pile Load Calcs'!D65</f>
        <v/>
      </c>
      <c r="AB18" s="328" t="str">
        <f>'Top of Pile Load Calcs'!D66</f>
        <v/>
      </c>
      <c r="AC18" s="328" t="str">
        <f>'Top of Pile Load Calcs'!D67</f>
        <v/>
      </c>
      <c r="AD18" s="328" t="str">
        <f>'Top of Pile Load Calcs'!D68</f>
        <v/>
      </c>
      <c r="AE18" s="328" t="str">
        <f>'Top of Pile Load Calcs'!D69</f>
        <v/>
      </c>
      <c r="AF18" s="328" t="str">
        <f>'Top of Pile Load Calcs'!D70</f>
        <v/>
      </c>
      <c r="AG18" s="328" t="str">
        <f>'Top of Pile Load Calcs'!D71</f>
        <v/>
      </c>
      <c r="AH18" s="328" t="str">
        <f>'Top of Pile Load Calcs'!D72</f>
        <v/>
      </c>
    </row>
    <row r="19" spans="2:43" x14ac:dyDescent="0.25">
      <c r="B19" s="562" t="s">
        <v>719</v>
      </c>
      <c r="C19" s="558"/>
      <c r="D19" s="143" t="str">
        <f>'Top of Pile Load Calcs'!L42</f>
        <v/>
      </c>
      <c r="E19" s="9" t="str">
        <f>IF('Top of Pile Load Calcs'!L44="","",'Top of Pile Load Calcs'!L43)</f>
        <v/>
      </c>
      <c r="F19" s="9" t="str">
        <f>IF('Top of Pile Load Calcs'!L45="","",'Top of Pile Load Calcs'!L44)</f>
        <v/>
      </c>
      <c r="G19" s="9" t="str">
        <f>IF('Top of Pile Load Calcs'!L46="","",'Top of Pile Load Calcs'!L45)</f>
        <v/>
      </c>
      <c r="H19" s="9" t="str">
        <f>IF('Top of Pile Load Calcs'!L47="","",'Top of Pile Load Calcs'!L46)</f>
        <v/>
      </c>
      <c r="I19" s="9" t="str">
        <f>IF('Top of Pile Load Calcs'!L48="","",'Top of Pile Load Calcs'!L47)</f>
        <v/>
      </c>
      <c r="J19" s="9" t="str">
        <f>IF('Top of Pile Load Calcs'!L49="","",'Top of Pile Load Calcs'!L48)</f>
        <v/>
      </c>
      <c r="K19" s="9" t="str">
        <f>IF('Top of Pile Load Calcs'!L50="","",'Top of Pile Load Calcs'!L49)</f>
        <v/>
      </c>
      <c r="L19" s="9" t="str">
        <f>IF('Top of Pile Load Calcs'!L51="","",'Top of Pile Load Calcs'!L50)</f>
        <v/>
      </c>
      <c r="M19" s="9" t="str">
        <f>IF('Top of Pile Load Calcs'!L52="","",'Top of Pile Load Calcs'!L51)</f>
        <v/>
      </c>
      <c r="N19" s="9" t="str">
        <f>IF('Top of Pile Load Calcs'!L53="","",'Top of Pile Load Calcs'!L52)</f>
        <v/>
      </c>
      <c r="O19" s="9" t="str">
        <f>IF('Top of Pile Load Calcs'!L54="","",'Top of Pile Load Calcs'!L53)</f>
        <v/>
      </c>
      <c r="P19" s="9" t="str">
        <f>IF('Top of Pile Load Calcs'!L55="","",'Top of Pile Load Calcs'!L54)</f>
        <v/>
      </c>
      <c r="Q19" s="9" t="str">
        <f>IF('Top of Pile Load Calcs'!L56="","",'Top of Pile Load Calcs'!L55)</f>
        <v/>
      </c>
      <c r="R19" s="9" t="str">
        <f>IF('Top of Pile Load Calcs'!L57="","",'Top of Pile Load Calcs'!L56)</f>
        <v/>
      </c>
      <c r="S19" s="9" t="str">
        <f>IF('Top of Pile Load Calcs'!L58="","",'Top of Pile Load Calcs'!L57)</f>
        <v/>
      </c>
      <c r="T19" s="9" t="str">
        <f>IF('Top of Pile Load Calcs'!L59="","",'Top of Pile Load Calcs'!L58)</f>
        <v/>
      </c>
      <c r="U19" s="9" t="str">
        <f>IF('Top of Pile Load Calcs'!L60="","",'Top of Pile Load Calcs'!L59)</f>
        <v/>
      </c>
      <c r="V19" s="9" t="str">
        <f>IF('Top of Pile Load Calcs'!L61="","",'Top of Pile Load Calcs'!L60)</f>
        <v/>
      </c>
      <c r="W19" s="9" t="str">
        <f>IF('Top of Pile Load Calcs'!L62="","",'Top of Pile Load Calcs'!L61)</f>
        <v/>
      </c>
      <c r="X19" s="9" t="str">
        <f>IF('Top of Pile Load Calcs'!L63="","",'Top of Pile Load Calcs'!L62)</f>
        <v/>
      </c>
      <c r="Y19" s="9" t="str">
        <f>IF('Top of Pile Load Calcs'!L64="","",'Top of Pile Load Calcs'!L63)</f>
        <v/>
      </c>
      <c r="Z19" s="9" t="str">
        <f>IF('Top of Pile Load Calcs'!L65="","",'Top of Pile Load Calcs'!L64)</f>
        <v/>
      </c>
      <c r="AA19" s="9" t="str">
        <f>IF('Top of Pile Load Calcs'!L66="","",'Top of Pile Load Calcs'!L65)</f>
        <v/>
      </c>
      <c r="AB19" s="9" t="str">
        <f>IF('Top of Pile Load Calcs'!L67="","",'Top of Pile Load Calcs'!L66)</f>
        <v/>
      </c>
      <c r="AC19" s="9" t="str">
        <f>IF('Top of Pile Load Calcs'!L68="","",'Top of Pile Load Calcs'!L67)</f>
        <v/>
      </c>
      <c r="AD19" s="9" t="str">
        <f>IF('Top of Pile Load Calcs'!L69="","",'Top of Pile Load Calcs'!L68)</f>
        <v/>
      </c>
      <c r="AE19" s="9" t="str">
        <f>IF('Top of Pile Load Calcs'!L70="","",'Top of Pile Load Calcs'!L69)</f>
        <v/>
      </c>
      <c r="AF19" s="9" t="str">
        <f>IF('Top of Pile Load Calcs'!L71="","",'Top of Pile Load Calcs'!L70)</f>
        <v/>
      </c>
      <c r="AG19" s="9" t="str">
        <f>IF('Top of Pile Load Calcs'!L72="","",'Top of Pile Load Calcs'!L71)</f>
        <v/>
      </c>
      <c r="AH19" s="9" t="str">
        <f>IF('Top of Pile Load Calcs'!L73="","",'Top of Pile Load Calcs'!L72)</f>
        <v/>
      </c>
      <c r="AI19" s="58">
        <v>32</v>
      </c>
      <c r="AJ19" s="58">
        <v>33</v>
      </c>
      <c r="AK19" s="58">
        <v>34</v>
      </c>
      <c r="AL19" s="58">
        <v>35</v>
      </c>
      <c r="AM19" s="58">
        <v>36</v>
      </c>
      <c r="AN19" s="58">
        <v>37</v>
      </c>
      <c r="AO19" s="58">
        <v>38</v>
      </c>
      <c r="AP19" s="58">
        <v>39</v>
      </c>
      <c r="AQ19" s="58">
        <v>40</v>
      </c>
    </row>
    <row r="20" spans="2:43" x14ac:dyDescent="0.25">
      <c r="B20" s="629"/>
      <c r="C20" s="561"/>
      <c r="D20" s="143" t="str">
        <f>'Top of Pile Load Calcs'!L43</f>
        <v/>
      </c>
      <c r="E20" s="9" t="str">
        <f>'Top of Pile Load Calcs'!L44</f>
        <v/>
      </c>
      <c r="F20" s="9" t="str">
        <f>'Top of Pile Load Calcs'!L45</f>
        <v/>
      </c>
      <c r="G20" s="9" t="str">
        <f>'Top of Pile Load Calcs'!L46</f>
        <v/>
      </c>
      <c r="H20" s="9" t="str">
        <f>'Top of Pile Load Calcs'!L47</f>
        <v/>
      </c>
      <c r="I20" s="9" t="str">
        <f>'Top of Pile Load Calcs'!L48</f>
        <v/>
      </c>
      <c r="J20" s="9" t="str">
        <f>'Top of Pile Load Calcs'!L49</f>
        <v/>
      </c>
      <c r="K20" s="9" t="str">
        <f>'Top of Pile Load Calcs'!L50</f>
        <v/>
      </c>
      <c r="L20" s="9" t="str">
        <f>'Top of Pile Load Calcs'!L51</f>
        <v/>
      </c>
      <c r="M20" s="9" t="str">
        <f>'Top of Pile Load Calcs'!L52</f>
        <v/>
      </c>
      <c r="N20" s="9" t="str">
        <f>'Top of Pile Load Calcs'!L53</f>
        <v/>
      </c>
      <c r="O20" s="9" t="str">
        <f>'Top of Pile Load Calcs'!L54</f>
        <v/>
      </c>
      <c r="P20" s="9" t="str">
        <f>'Top of Pile Load Calcs'!L55</f>
        <v/>
      </c>
      <c r="Q20" s="9" t="str">
        <f>'Top of Pile Load Calcs'!L56</f>
        <v/>
      </c>
      <c r="R20" s="9" t="str">
        <f>'Top of Pile Load Calcs'!L57</f>
        <v/>
      </c>
      <c r="S20" s="9" t="str">
        <f>'Top of Pile Load Calcs'!L58</f>
        <v/>
      </c>
      <c r="T20" s="9" t="str">
        <f>'Top of Pile Load Calcs'!L59</f>
        <v/>
      </c>
      <c r="U20" s="9" t="str">
        <f>'Top of Pile Load Calcs'!L60</f>
        <v/>
      </c>
      <c r="V20" s="9" t="str">
        <f>'Top of Pile Load Calcs'!L61</f>
        <v/>
      </c>
      <c r="W20" s="9" t="str">
        <f>'Top of Pile Load Calcs'!L62</f>
        <v/>
      </c>
      <c r="X20" s="9" t="str">
        <f>'Top of Pile Load Calcs'!L63</f>
        <v/>
      </c>
      <c r="Y20" s="9" t="str">
        <f>'Top of Pile Load Calcs'!L64</f>
        <v/>
      </c>
      <c r="Z20" s="9" t="str">
        <f>'Top of Pile Load Calcs'!L65</f>
        <v/>
      </c>
      <c r="AA20" s="9" t="str">
        <f>'Top of Pile Load Calcs'!L66</f>
        <v/>
      </c>
      <c r="AB20" s="9" t="str">
        <f>'Top of Pile Load Calcs'!L67</f>
        <v/>
      </c>
      <c r="AC20" s="9" t="str">
        <f>'Top of Pile Load Calcs'!L68</f>
        <v/>
      </c>
      <c r="AD20" s="9" t="str">
        <f>'Top of Pile Load Calcs'!L69</f>
        <v/>
      </c>
      <c r="AE20" s="9" t="str">
        <f>'Top of Pile Load Calcs'!L70</f>
        <v/>
      </c>
      <c r="AF20" s="9" t="str">
        <f>'Top of Pile Load Calcs'!L71</f>
        <v/>
      </c>
      <c r="AG20" s="9" t="str">
        <f>'Top of Pile Load Calcs'!L72</f>
        <v/>
      </c>
      <c r="AH20" s="9" t="str">
        <f>'Top of Pile Load Calcs'!L73</f>
        <v/>
      </c>
      <c r="AI20" s="58"/>
      <c r="AJ20" s="58"/>
      <c r="AK20" s="58"/>
      <c r="AL20" s="58"/>
      <c r="AM20" s="58"/>
      <c r="AN20" s="58"/>
      <c r="AO20" s="58"/>
      <c r="AP20" s="58"/>
      <c r="AQ20" s="58"/>
    </row>
    <row r="21" spans="2:43" x14ac:dyDescent="0.25">
      <c r="D21" s="12" t="e">
        <f t="shared" ref="D21:AQ21" si="6">IF(AND(D14=LS,ISODD(TotS)),D14+1,D14)</f>
        <v>#VALUE!</v>
      </c>
      <c r="E21" s="12" t="e">
        <f t="shared" si="6"/>
        <v>#VALUE!</v>
      </c>
      <c r="F21" s="12" t="e">
        <f t="shared" si="6"/>
        <v>#VALUE!</v>
      </c>
      <c r="G21" s="12" t="e">
        <f t="shared" si="6"/>
        <v>#VALUE!</v>
      </c>
      <c r="H21" s="12" t="e">
        <f t="shared" si="6"/>
        <v>#VALUE!</v>
      </c>
      <c r="I21" s="12" t="e">
        <f t="shared" si="6"/>
        <v>#VALUE!</v>
      </c>
      <c r="J21" s="12" t="e">
        <f t="shared" si="6"/>
        <v>#VALUE!</v>
      </c>
      <c r="K21" s="12" t="e">
        <f t="shared" si="6"/>
        <v>#VALUE!</v>
      </c>
      <c r="L21" s="12" t="e">
        <f t="shared" si="6"/>
        <v>#VALUE!</v>
      </c>
      <c r="M21" s="12" t="e">
        <f t="shared" si="6"/>
        <v>#VALUE!</v>
      </c>
      <c r="N21" s="12" t="e">
        <f t="shared" si="6"/>
        <v>#VALUE!</v>
      </c>
      <c r="O21" s="12" t="e">
        <f t="shared" si="6"/>
        <v>#VALUE!</v>
      </c>
      <c r="P21" s="12" t="e">
        <f t="shared" si="6"/>
        <v>#VALUE!</v>
      </c>
      <c r="Q21" s="12" t="e">
        <f t="shared" si="6"/>
        <v>#VALUE!</v>
      </c>
      <c r="R21" s="12" t="e">
        <f t="shared" si="6"/>
        <v>#VALUE!</v>
      </c>
      <c r="S21" s="12" t="e">
        <f t="shared" si="6"/>
        <v>#VALUE!</v>
      </c>
      <c r="T21" s="12" t="e">
        <f t="shared" si="6"/>
        <v>#VALUE!</v>
      </c>
      <c r="U21" s="12" t="e">
        <f t="shared" si="6"/>
        <v>#VALUE!</v>
      </c>
      <c r="V21" s="12" t="e">
        <f t="shared" si="6"/>
        <v>#VALUE!</v>
      </c>
      <c r="W21" s="12" t="e">
        <f t="shared" si="6"/>
        <v>#VALUE!</v>
      </c>
      <c r="X21" s="12" t="e">
        <f t="shared" si="6"/>
        <v>#VALUE!</v>
      </c>
      <c r="Y21" s="12" t="e">
        <f t="shared" si="6"/>
        <v>#VALUE!</v>
      </c>
      <c r="Z21" s="12" t="e">
        <f t="shared" si="6"/>
        <v>#VALUE!</v>
      </c>
      <c r="AA21" s="12" t="e">
        <f t="shared" si="6"/>
        <v>#VALUE!</v>
      </c>
      <c r="AB21" s="12" t="e">
        <f t="shared" si="6"/>
        <v>#VALUE!</v>
      </c>
      <c r="AC21" s="12" t="e">
        <f t="shared" si="6"/>
        <v>#VALUE!</v>
      </c>
      <c r="AD21" s="12" t="e">
        <f t="shared" si="6"/>
        <v>#VALUE!</v>
      </c>
      <c r="AE21" s="12" t="e">
        <f t="shared" si="6"/>
        <v>#VALUE!</v>
      </c>
      <c r="AF21" s="12" t="e">
        <f t="shared" si="6"/>
        <v>#VALUE!</v>
      </c>
      <c r="AG21" s="12" t="e">
        <f t="shared" si="6"/>
        <v>#VALUE!</v>
      </c>
      <c r="AH21" s="12" t="e">
        <f t="shared" si="6"/>
        <v>#VALUE!</v>
      </c>
      <c r="AI21" s="12" t="e">
        <f t="shared" si="6"/>
        <v>#VALUE!</v>
      </c>
      <c r="AJ21" s="12" t="e">
        <f t="shared" si="6"/>
        <v>#VALUE!</v>
      </c>
      <c r="AK21" s="12" t="e">
        <f t="shared" si="6"/>
        <v>#VALUE!</v>
      </c>
      <c r="AL21" s="12" t="e">
        <f t="shared" si="6"/>
        <v>#VALUE!</v>
      </c>
      <c r="AM21" s="12" t="e">
        <f t="shared" si="6"/>
        <v>#VALUE!</v>
      </c>
      <c r="AN21" s="12" t="e">
        <f t="shared" si="6"/>
        <v>#VALUE!</v>
      </c>
      <c r="AO21" s="12" t="e">
        <f t="shared" si="6"/>
        <v>#VALUE!</v>
      </c>
      <c r="AP21" s="12" t="e">
        <f t="shared" si="6"/>
        <v>#VALUE!</v>
      </c>
      <c r="AQ21" s="12" t="e">
        <f t="shared" si="6"/>
        <v>#VALUE!</v>
      </c>
    </row>
    <row r="22" spans="2:43" x14ac:dyDescent="0.25">
      <c r="B22" s="663" t="s">
        <v>720</v>
      </c>
      <c r="C22" s="572"/>
      <c r="D22" s="9" t="str">
        <f>'GCN_Post 1.0'!I467</f>
        <v/>
      </c>
      <c r="E22" s="9" t="str">
        <f>IFERROR(IF('GCN_Post 1.0'!J467="",HLOOKUP((TotS)-E21+1, 'GCN_Post 1.0'!$E$464:$X$506,4,TRUE), 'GCN_Post 1.0'!J467),"")</f>
        <v/>
      </c>
      <c r="F22" s="9" t="str">
        <f>IFERROR(IF('GCN_Post 1.0'!K467="",HLOOKUP((TotS)-F21+1, 'GCN_Post 1.0'!$E$464:$X$506,4,TRUE), 'GCN_Post 1.0'!K467),"")</f>
        <v/>
      </c>
      <c r="G22" s="9" t="str">
        <f>IFERROR(IF('GCN_Post 1.0'!L467="",HLOOKUP((TotS)-G21+1, 'GCN_Post 1.0'!$E$464:$X$506,4,TRUE), 'GCN_Post 1.0'!L467),"")</f>
        <v/>
      </c>
      <c r="H22" s="9" t="str">
        <f>IFERROR(IF('GCN_Post 1.0'!M467="",HLOOKUP((TotS)-H21+1, 'GCN_Post 1.0'!$E$464:$X$506,4,TRUE), 'GCN_Post 1.0'!M467),"")</f>
        <v/>
      </c>
      <c r="I22" s="9" t="str">
        <f>IFERROR(IF('GCN_Post 1.0'!N467="",HLOOKUP((TotS)-I21+1, 'GCN_Post 1.0'!$E$464:$X$506,4,TRUE), 'GCN_Post 1.0'!N467),"")</f>
        <v/>
      </c>
      <c r="J22" s="9" t="str">
        <f>IFERROR(IF('GCN_Post 1.0'!O467="",HLOOKUP((TotS)-J21+1, 'GCN_Post 1.0'!$E$464:$X$506,4,TRUE), 'GCN_Post 1.0'!O467),"")</f>
        <v/>
      </c>
      <c r="K22" s="9" t="str">
        <f>IFERROR(IF('GCN_Post 1.0'!P467="",HLOOKUP((TotS)-K21+1, 'GCN_Post 1.0'!$E$464:$X$506,4,TRUE), 'GCN_Post 1.0'!P467),"")</f>
        <v/>
      </c>
      <c r="L22" s="9" t="str">
        <f>IFERROR(IF('GCN_Post 1.0'!Q467="",HLOOKUP((TotS)-L21+1, 'GCN_Post 1.0'!$E$464:$X$506,4,TRUE), 'GCN_Post 1.0'!Q467),"")</f>
        <v/>
      </c>
      <c r="M22" s="9" t="str">
        <f>IFERROR(IF('GCN_Post 1.0'!R467="",HLOOKUP((TotS)-M21+1, 'GCN_Post 1.0'!$E$464:$X$506,4,TRUE), 'GCN_Post 1.0'!R467),"")</f>
        <v/>
      </c>
      <c r="N22" s="9" t="str">
        <f>IFERROR(IF('GCN_Post 1.0'!S467="",HLOOKUP((TotS)-N21+1, 'GCN_Post 1.0'!$E$464:$X$506,4,TRUE), 'GCN_Post 1.0'!S467),"")</f>
        <v/>
      </c>
      <c r="O22" s="9" t="str">
        <f>IFERROR(IF('GCN_Post 1.0'!T467="",HLOOKUP((TotS)-O21+1, 'GCN_Post 1.0'!$E$464:$X$506,4,TRUE), 'GCN_Post 1.0'!T467),"")</f>
        <v/>
      </c>
      <c r="P22" s="9" t="str">
        <f>IFERROR(IF('GCN_Post 1.0'!U467="",HLOOKUP((TotS)-P21+1, 'GCN_Post 1.0'!$E$464:$X$506,4,TRUE), 'GCN_Post 1.0'!U467),"")</f>
        <v/>
      </c>
      <c r="Q22" s="9" t="str">
        <f>IFERROR(IF('GCN_Post 1.0'!V467="",HLOOKUP((TotS)-Q21+1, 'GCN_Post 1.0'!$E$464:$X$506,4,TRUE), 'GCN_Post 1.0'!V467),"")</f>
        <v/>
      </c>
      <c r="R22" s="9" t="str">
        <f>IFERROR(IF('GCN_Post 1.0'!W467="",HLOOKUP((TotS)-R21+1, 'GCN_Post 1.0'!$E$464:$X$506,4,TRUE), 'GCN_Post 1.0'!W467),"")</f>
        <v/>
      </c>
      <c r="S22" s="9" t="str">
        <f>IFERROR(IF('GCN_Post 1.0'!X467="",HLOOKUP((TotS)-S21+1, 'GCN_Post 1.0'!$E$464:$X$506,4,TRUE), 'GCN_Post 1.0'!X467),"")</f>
        <v/>
      </c>
      <c r="T22" s="9" t="str">
        <f>IFERROR(IF('GCN_Post 1.0'!Y467="",HLOOKUP((TotS)-T21+1, 'GCN_Post 1.0'!$E$464:$X$506,4,TRUE), 'GCN_Post 1.0'!Y467),"")</f>
        <v/>
      </c>
      <c r="U22" s="9" t="str">
        <f>IFERROR(IF('GCN_Post 1.0'!Z467="",HLOOKUP((TotS)-U21+1, 'GCN_Post 1.0'!$E$464:$X$506,4,TRUE), 'GCN_Post 1.0'!Z467),"")</f>
        <v/>
      </c>
      <c r="V22" s="9" t="str">
        <f>IFERROR(IF('GCN_Post 1.0'!AA467="",HLOOKUP((TotS)-V21+1, 'GCN_Post 1.0'!$E$464:$X$506,4,TRUE), 'GCN_Post 1.0'!AA467),"")</f>
        <v/>
      </c>
      <c r="W22" s="9" t="str">
        <f>IFERROR(IF('GCN_Post 1.0'!AB467="",HLOOKUP((TotS)-W21+1, 'GCN_Post 1.0'!$E$464:$X$506,4,TRUE), 'GCN_Post 1.0'!AB467),"")</f>
        <v/>
      </c>
      <c r="X22" s="9" t="str">
        <f>IFERROR(IF('GCN_Post 1.0'!AC467="",HLOOKUP((TotS)-X21+1, 'GCN_Post 1.0'!$E$464:$X$506,4,TRUE), 'GCN_Post 1.0'!AC467),"")</f>
        <v/>
      </c>
      <c r="Y22" s="9" t="str">
        <f>IFERROR(IF('GCN_Post 1.0'!AD467="",HLOOKUP((TotS)-Y21+1, 'GCN_Post 1.0'!$E$464:$X$506,4,TRUE), 'GCN_Post 1.0'!AD467),"")</f>
        <v/>
      </c>
      <c r="Z22" s="9" t="str">
        <f>IFERROR(IF('GCN_Post 1.0'!AE467="",HLOOKUP((TotS)-Z21+1, 'GCN_Post 1.0'!$E$464:$X$506,4,TRUE), 'GCN_Post 1.0'!AE467),"")</f>
        <v/>
      </c>
      <c r="AA22" s="9" t="str">
        <f>IFERROR(IF('GCN_Post 1.0'!AF467="",HLOOKUP((TotS)-AA21+1, 'GCN_Post 1.0'!$E$464:$X$506,4,TRUE), 'GCN_Post 1.0'!AF467),"")</f>
        <v/>
      </c>
      <c r="AB22" s="9" t="str">
        <f>IFERROR(IF('GCN_Post 1.0'!AG467="",HLOOKUP((TotS)-AB21+1, 'GCN_Post 1.0'!$E$464:$X$506,4,TRUE), 'GCN_Post 1.0'!AG467),"")</f>
        <v/>
      </c>
      <c r="AC22" s="9" t="str">
        <f>IFERROR(IF('GCN_Post 1.0'!AH467="",HLOOKUP((TotS)-AC21+1, 'GCN_Post 1.0'!$E$464:$X$506,4,TRUE), 'GCN_Post 1.0'!AH467),"")</f>
        <v/>
      </c>
      <c r="AD22" s="9" t="str">
        <f>IFERROR(IF('GCN_Post 1.0'!AI467="",HLOOKUP((TotS)-AD21+1, 'GCN_Post 1.0'!$E$464:$X$506,4,TRUE), 'GCN_Post 1.0'!AI467),"")</f>
        <v/>
      </c>
      <c r="AE22" s="9" t="str">
        <f>IFERROR(IF('GCN_Post 1.0'!AJ467="",HLOOKUP((TotS)-AE21+1, 'GCN_Post 1.0'!$E$464:$X$506,4,TRUE), 'GCN_Post 1.0'!AJ467),"")</f>
        <v/>
      </c>
      <c r="AF22" s="9" t="str">
        <f>IFERROR(IF('GCN_Post 1.0'!AK467="",HLOOKUP((TotS)-AF21+1, 'GCN_Post 1.0'!$E$464:$X$506,4,TRUE), 'GCN_Post 1.0'!AK467),"")</f>
        <v/>
      </c>
      <c r="AG22" s="9" t="str">
        <f>IFERROR(IF('GCN_Post 1.0'!AL467="",HLOOKUP((TotS)-AG21+1, 'GCN_Post 1.0'!$E$464:$X$506,4,TRUE), 'GCN_Post 1.0'!AL467),"")</f>
        <v/>
      </c>
      <c r="AH22" s="9" t="str">
        <f>IFERROR(IF('GCN_Post 1.0'!AM467="",HLOOKUP((TotS)-AH21+1, 'GCN_Post 1.0'!$E$464:$X$506,4,TRUE), 'GCN_Post 1.0'!AM467),"")</f>
        <v/>
      </c>
      <c r="AI22" s="9" t="str">
        <f>IFERROR(IF('GCN_Post 1.0'!AN467="",HLOOKUP((TotS)-AI21+1, 'GCN_Post 1.0'!$E$464:$X$506,4,TRUE), 'GCN_Post 1.0'!AN467),"")</f>
        <v/>
      </c>
      <c r="AJ22" s="9" t="str">
        <f>IFERROR(IF('GCN_Post 1.0'!AO467="",HLOOKUP((TotS)-AJ21+1, 'GCN_Post 1.0'!$E$464:$X$506,4,TRUE), 'GCN_Post 1.0'!AO467),"")</f>
        <v/>
      </c>
      <c r="AK22" s="9" t="str">
        <f>IFERROR(IF('GCN_Post 1.0'!AP467="",HLOOKUP((TotS)-AK21+1, 'GCN_Post 1.0'!$E$464:$X$506,4,TRUE), 'GCN_Post 1.0'!AP467),"")</f>
        <v/>
      </c>
      <c r="AL22" s="9" t="str">
        <f>IFERROR(IF('GCN_Post 1.0'!AQ467="",HLOOKUP((TotS)-AL21+1, 'GCN_Post 1.0'!$E$464:$X$506,4,TRUE), 'GCN_Post 1.0'!AQ467),"")</f>
        <v/>
      </c>
      <c r="AM22" s="9" t="str">
        <f>IFERROR(IF('GCN_Post 1.0'!AR467="",HLOOKUP((TotS)-AM21+1, 'GCN_Post 1.0'!$E$464:$X$506,4,TRUE), 'GCN_Post 1.0'!AR467),"")</f>
        <v/>
      </c>
      <c r="AN22" s="9" t="str">
        <f>IFERROR(IF('GCN_Post 1.0'!AS467="",HLOOKUP((TotS)-AN21+1, 'GCN_Post 1.0'!$E$464:$X$506,4,TRUE), 'GCN_Post 1.0'!AS467),"")</f>
        <v/>
      </c>
      <c r="AO22" s="9" t="str">
        <f>IFERROR(IF('GCN_Post 1.0'!AT467="",HLOOKUP((TotS)-AO21+1, 'GCN_Post 1.0'!$E$464:$X$506,4,TRUE), 'GCN_Post 1.0'!AT467),"")</f>
        <v/>
      </c>
      <c r="AP22" s="9" t="str">
        <f>IFERROR(IF('GCN_Post 1.0'!AU467="",HLOOKUP((TotS)-AP21+1, 'GCN_Post 1.0'!$E$464:$X$506,4,TRUE), 'GCN_Post 1.0'!AU467),"")</f>
        <v/>
      </c>
      <c r="AQ22" s="9" t="str">
        <f>IFERROR(IF('GCN_Post 1.0'!AV467="",HLOOKUP((TotS)-AQ21+1, 'GCN_Post 1.0'!$E$464:$X$506,4,TRUE), 'GCN_Post 1.0'!AV467),"")</f>
        <v/>
      </c>
    </row>
    <row r="23" spans="2:43" x14ac:dyDescent="0.25">
      <c r="B23" s="555"/>
      <c r="C23" s="565"/>
      <c r="D23" s="9" t="str">
        <f>'GCN_Post 1.0'!I468</f>
        <v/>
      </c>
      <c r="E23" s="9" t="str">
        <f>IFERROR(IF('GCN_Post 1.0'!J468="",HLOOKUP((TotS)-E21+1, 'GCN_Post 1.0'!$E$464:$X$506,5,TRUE), 'GCN_Post 1.0'!J468),"")</f>
        <v/>
      </c>
      <c r="F23" s="9" t="str">
        <f>IFERROR(IF('GCN_Post 1.0'!K468="",HLOOKUP((TotS)-F21+1, 'GCN_Post 1.0'!$E$464:$X$506,5,TRUE), 'GCN_Post 1.0'!K468),"")</f>
        <v/>
      </c>
      <c r="G23" s="9" t="str">
        <f>IFERROR(IF('GCN_Post 1.0'!L468="",HLOOKUP((TotS)-G21+1, 'GCN_Post 1.0'!$E$464:$X$506,5,TRUE), 'GCN_Post 1.0'!L468),"")</f>
        <v/>
      </c>
      <c r="H23" s="9" t="str">
        <f>IFERROR(IF('GCN_Post 1.0'!M468="",HLOOKUP((TotS)-H21+1, 'GCN_Post 1.0'!$E$464:$X$506,5,TRUE), 'GCN_Post 1.0'!M468),"")</f>
        <v/>
      </c>
      <c r="I23" s="9" t="str">
        <f>IFERROR(IF('GCN_Post 1.0'!N468="",HLOOKUP((TotS)-I21+1, 'GCN_Post 1.0'!$E$464:$X$506,5,TRUE), 'GCN_Post 1.0'!N468),"")</f>
        <v/>
      </c>
      <c r="J23" s="9" t="str">
        <f>IFERROR(IF('GCN_Post 1.0'!O468="",HLOOKUP((TotS)-J21+1, 'GCN_Post 1.0'!$E$464:$X$506,5,TRUE), 'GCN_Post 1.0'!O468),"")</f>
        <v/>
      </c>
      <c r="K23" s="9" t="str">
        <f>IFERROR(IF('GCN_Post 1.0'!P468="",HLOOKUP((TotS)-K21+1, 'GCN_Post 1.0'!$E$464:$X$506,5,TRUE), 'GCN_Post 1.0'!P468),"")</f>
        <v/>
      </c>
      <c r="L23" s="9" t="str">
        <f>IFERROR(IF('GCN_Post 1.0'!Q468="",HLOOKUP((TotS)-L21+1, 'GCN_Post 1.0'!$E$464:$X$506,5,TRUE), 'GCN_Post 1.0'!Q468),"")</f>
        <v/>
      </c>
      <c r="M23" s="9" t="str">
        <f>IFERROR(IF('GCN_Post 1.0'!R468="",HLOOKUP((TotS)-M21+1, 'GCN_Post 1.0'!$E$464:$X$506,5,TRUE), 'GCN_Post 1.0'!R468),"")</f>
        <v/>
      </c>
      <c r="N23" s="9" t="str">
        <f>IFERROR(IF('GCN_Post 1.0'!S468="",HLOOKUP((TotS)-N21+1, 'GCN_Post 1.0'!$E$464:$X$506,5,TRUE), 'GCN_Post 1.0'!S468),"")</f>
        <v/>
      </c>
      <c r="O23" s="9" t="str">
        <f>IFERROR(IF('GCN_Post 1.0'!T468="",HLOOKUP((TotS)-O21+1, 'GCN_Post 1.0'!$E$464:$X$506,5,TRUE), 'GCN_Post 1.0'!T468),"")</f>
        <v/>
      </c>
      <c r="P23" s="9" t="str">
        <f>IFERROR(IF('GCN_Post 1.0'!U468="",HLOOKUP((TotS)-P21+1, 'GCN_Post 1.0'!$E$464:$X$506,5,TRUE), 'GCN_Post 1.0'!U468),"")</f>
        <v/>
      </c>
      <c r="Q23" s="9" t="str">
        <f>IFERROR(IF('GCN_Post 1.0'!V468="",HLOOKUP((TotS)-Q21+1, 'GCN_Post 1.0'!$E$464:$X$506,5,TRUE), 'GCN_Post 1.0'!V468),"")</f>
        <v/>
      </c>
      <c r="R23" s="9" t="str">
        <f>IFERROR(IF('GCN_Post 1.0'!W468="",HLOOKUP((TotS)-R21+1, 'GCN_Post 1.0'!$E$464:$X$506,5,TRUE), 'GCN_Post 1.0'!W468),"")</f>
        <v/>
      </c>
      <c r="S23" s="9" t="str">
        <f>IFERROR(IF('GCN_Post 1.0'!X468="",HLOOKUP((TotS)-S21+1, 'GCN_Post 1.0'!$E$464:$X$506,5,TRUE), 'GCN_Post 1.0'!X468),"")</f>
        <v/>
      </c>
      <c r="T23" s="9" t="str">
        <f>IFERROR(IF('GCN_Post 1.0'!Y468="",HLOOKUP((TotS)-T21+1, 'GCN_Post 1.0'!$E$464:$X$506,5,TRUE), 'GCN_Post 1.0'!Y468),"")</f>
        <v/>
      </c>
      <c r="U23" s="9" t="str">
        <f>IFERROR(IF('GCN_Post 1.0'!Z468="",HLOOKUP((TotS)-U21+1, 'GCN_Post 1.0'!$E$464:$X$506,5,TRUE), 'GCN_Post 1.0'!Z468),"")</f>
        <v/>
      </c>
      <c r="V23" s="9" t="str">
        <f>IFERROR(IF('GCN_Post 1.0'!AA468="",HLOOKUP((TotS)-V21+1, 'GCN_Post 1.0'!$E$464:$X$506,5,TRUE), 'GCN_Post 1.0'!AA468),"")</f>
        <v/>
      </c>
      <c r="W23" s="9" t="str">
        <f>IFERROR(IF('GCN_Post 1.0'!AB468="",HLOOKUP((TotS)-W21+1, 'GCN_Post 1.0'!$E$464:$X$506,5,TRUE), 'GCN_Post 1.0'!AB468),"")</f>
        <v/>
      </c>
      <c r="X23" s="9" t="str">
        <f>IFERROR(IF('GCN_Post 1.0'!AC468="",HLOOKUP((TotS)-X21+1, 'GCN_Post 1.0'!$E$464:$X$506,5,TRUE), 'GCN_Post 1.0'!AC468),"")</f>
        <v/>
      </c>
      <c r="Y23" s="9" t="str">
        <f>IFERROR(IF('GCN_Post 1.0'!AD468="",HLOOKUP((TotS)-Y21+1, 'GCN_Post 1.0'!$E$464:$X$506,5,TRUE), 'GCN_Post 1.0'!AD468),"")</f>
        <v/>
      </c>
      <c r="Z23" s="9" t="str">
        <f>IFERROR(IF('GCN_Post 1.0'!AE468="",HLOOKUP((TotS)-Z21+1, 'GCN_Post 1.0'!$E$464:$X$506,5,TRUE), 'GCN_Post 1.0'!AE468),"")</f>
        <v/>
      </c>
      <c r="AA23" s="9" t="str">
        <f>IFERROR(IF('GCN_Post 1.0'!AF468="",HLOOKUP((TotS)-AA21+1, 'GCN_Post 1.0'!$E$464:$X$506,5,TRUE), 'GCN_Post 1.0'!AF468),"")</f>
        <v/>
      </c>
      <c r="AB23" s="9" t="str">
        <f>IFERROR(IF('GCN_Post 1.0'!AG468="",HLOOKUP((TotS)-AB21+1, 'GCN_Post 1.0'!$E$464:$X$506,5,TRUE), 'GCN_Post 1.0'!AG468),"")</f>
        <v/>
      </c>
      <c r="AC23" s="9" t="str">
        <f>IFERROR(IF('GCN_Post 1.0'!AH468="",HLOOKUP((TotS)-AC21+1, 'GCN_Post 1.0'!$E$464:$X$506,5,TRUE), 'GCN_Post 1.0'!AH468),"")</f>
        <v/>
      </c>
      <c r="AD23" s="9" t="str">
        <f>IFERROR(IF('GCN_Post 1.0'!AI468="",HLOOKUP((TotS)-AD21+1, 'GCN_Post 1.0'!$E$464:$X$506,5,TRUE), 'GCN_Post 1.0'!AI468),"")</f>
        <v/>
      </c>
      <c r="AE23" s="9" t="str">
        <f>IFERROR(IF('GCN_Post 1.0'!AJ468="",HLOOKUP((TotS)-AE21+1, 'GCN_Post 1.0'!$E$464:$X$506,5,TRUE), 'GCN_Post 1.0'!AJ468),"")</f>
        <v/>
      </c>
      <c r="AF23" s="9" t="str">
        <f>IFERROR(IF('GCN_Post 1.0'!AK468="",HLOOKUP((TotS)-AF21+1, 'GCN_Post 1.0'!$E$464:$X$506,5,TRUE), 'GCN_Post 1.0'!AK468),"")</f>
        <v/>
      </c>
      <c r="AG23" s="9" t="str">
        <f>IFERROR(IF('GCN_Post 1.0'!AL468="",HLOOKUP((TotS)-AG21+1, 'GCN_Post 1.0'!$E$464:$X$506,5,TRUE), 'GCN_Post 1.0'!AL468),"")</f>
        <v/>
      </c>
      <c r="AH23" s="9" t="str">
        <f>IFERROR(IF('GCN_Post 1.0'!AM468="",HLOOKUP((TotS)-AH21+1, 'GCN_Post 1.0'!$E$464:$X$506,5,TRUE), 'GCN_Post 1.0'!AM468),"")</f>
        <v/>
      </c>
      <c r="AI23" s="9" t="str">
        <f>IFERROR(IF('GCN_Post 1.0'!AN468="",HLOOKUP((TotS)-AI21+1, 'GCN_Post 1.0'!$E$464:$X$506,5,TRUE), 'GCN_Post 1.0'!AN468),"")</f>
        <v/>
      </c>
      <c r="AJ23" s="9" t="str">
        <f>IFERROR(IF('GCN_Post 1.0'!AO468="",HLOOKUP((TotS)-AJ21+1, 'GCN_Post 1.0'!$E$464:$X$506,5,TRUE), 'GCN_Post 1.0'!AO468),"")</f>
        <v/>
      </c>
      <c r="AK23" s="9" t="str">
        <f>IFERROR(IF('GCN_Post 1.0'!AP468="",HLOOKUP((TotS)-AK21+1, 'GCN_Post 1.0'!$E$464:$X$506,5,TRUE), 'GCN_Post 1.0'!AP468),"")</f>
        <v/>
      </c>
      <c r="AL23" s="9" t="str">
        <f>IFERROR(IF('GCN_Post 1.0'!AQ468="",HLOOKUP((TotS)-AL21+1, 'GCN_Post 1.0'!$E$464:$X$506,5,TRUE), 'GCN_Post 1.0'!AQ468),"")</f>
        <v/>
      </c>
      <c r="AM23" s="9" t="str">
        <f>IFERROR(IF('GCN_Post 1.0'!AR468="",HLOOKUP((TotS)-AM21+1, 'GCN_Post 1.0'!$E$464:$X$506,5,TRUE), 'GCN_Post 1.0'!AR468),"")</f>
        <v/>
      </c>
      <c r="AN23" s="9" t="str">
        <f>IFERROR(IF('GCN_Post 1.0'!AS468="",HLOOKUP((TotS)-AN21+1, 'GCN_Post 1.0'!$E$464:$X$506,5,TRUE), 'GCN_Post 1.0'!AS468),"")</f>
        <v/>
      </c>
      <c r="AO23" s="9" t="str">
        <f>IFERROR(IF('GCN_Post 1.0'!AT468="",HLOOKUP((TotS)-AO21+1, 'GCN_Post 1.0'!$E$464:$X$506,5,TRUE), 'GCN_Post 1.0'!AT468),"")</f>
        <v/>
      </c>
      <c r="AP23" s="9" t="str">
        <f>IFERROR(IF('GCN_Post 1.0'!AU468="",HLOOKUP((TotS)-AP21+1, 'GCN_Post 1.0'!$E$464:$X$506,5,TRUE), 'GCN_Post 1.0'!AU468),"")</f>
        <v/>
      </c>
      <c r="AQ23" s="9" t="str">
        <f>IFERROR(IF('GCN_Post 1.0'!AV468="",HLOOKUP((TotS)-AQ21+1, 'GCN_Post 1.0'!$E$464:$X$506,5,TRUE), 'GCN_Post 1.0'!AV468),"")</f>
        <v/>
      </c>
    </row>
    <row r="24" spans="2:43" x14ac:dyDescent="0.25">
      <c r="B24" s="555"/>
      <c r="C24" s="565"/>
      <c r="D24" s="9" t="str">
        <f>'GCN_Post 1.0'!I469</f>
        <v/>
      </c>
      <c r="E24" s="9" t="str">
        <f>IFERROR(IF('GCN_Post 1.0'!J469="",HLOOKUP((TotS)-E21+1, 'GCN_Post 1.0'!$E$464:$X$506,6,TRUE), 'GCN_Post 1.0'!J469),"")</f>
        <v/>
      </c>
      <c r="F24" s="9" t="str">
        <f>IFERROR(IF('GCN_Post 1.0'!K469="",HLOOKUP((TotS)-F21+1, 'GCN_Post 1.0'!$E$464:$X$506,6,TRUE), 'GCN_Post 1.0'!K469),"")</f>
        <v/>
      </c>
      <c r="G24" s="9" t="str">
        <f>IFERROR(IF('GCN_Post 1.0'!L469="",HLOOKUP((TotS)-G21+1, 'GCN_Post 1.0'!$E$464:$X$506,6,TRUE), 'GCN_Post 1.0'!L469),"")</f>
        <v/>
      </c>
      <c r="H24" s="9" t="str">
        <f>IFERROR(IF('GCN_Post 1.0'!M469="",HLOOKUP((TotS)-H21+1, 'GCN_Post 1.0'!$E$464:$X$506,6,TRUE), 'GCN_Post 1.0'!M469),"")</f>
        <v/>
      </c>
      <c r="I24" s="9" t="str">
        <f>IFERROR(IF('GCN_Post 1.0'!N469="",HLOOKUP((TotS)-I21+1, 'GCN_Post 1.0'!$E$464:$X$506,6,TRUE), 'GCN_Post 1.0'!N469),"")</f>
        <v/>
      </c>
      <c r="J24" s="9" t="str">
        <f>IFERROR(IF('GCN_Post 1.0'!O469="",HLOOKUP((TotS)-J21+1, 'GCN_Post 1.0'!$E$464:$X$506,6,TRUE), 'GCN_Post 1.0'!O469),"")</f>
        <v/>
      </c>
      <c r="K24" s="9" t="str">
        <f>IFERROR(IF('GCN_Post 1.0'!P469="",HLOOKUP((TotS)-K21+1, 'GCN_Post 1.0'!$E$464:$X$506,6,TRUE), 'GCN_Post 1.0'!P469),"")</f>
        <v/>
      </c>
      <c r="L24" s="9" t="str">
        <f>IFERROR(IF('GCN_Post 1.0'!Q469="",HLOOKUP((TotS)-L21+1, 'GCN_Post 1.0'!$E$464:$X$506,6,TRUE), 'GCN_Post 1.0'!Q469),"")</f>
        <v/>
      </c>
      <c r="M24" s="9" t="str">
        <f>IFERROR(IF('GCN_Post 1.0'!R469="",HLOOKUP((TotS)-M21+1, 'GCN_Post 1.0'!$E$464:$X$506,6,TRUE), 'GCN_Post 1.0'!R469),"")</f>
        <v/>
      </c>
      <c r="N24" s="9" t="str">
        <f>IFERROR(IF('GCN_Post 1.0'!S469="",HLOOKUP((TotS)-N21+1, 'GCN_Post 1.0'!$E$464:$X$506,6,TRUE), 'GCN_Post 1.0'!S469),"")</f>
        <v/>
      </c>
      <c r="O24" s="9" t="str">
        <f>IFERROR(IF('GCN_Post 1.0'!T469="",HLOOKUP((TotS)-O21+1, 'GCN_Post 1.0'!$E$464:$X$506,6,TRUE), 'GCN_Post 1.0'!T469),"")</f>
        <v/>
      </c>
      <c r="P24" s="9" t="str">
        <f>IFERROR(IF('GCN_Post 1.0'!U469="",HLOOKUP((TotS)-P21+1, 'GCN_Post 1.0'!$E$464:$X$506,6,TRUE), 'GCN_Post 1.0'!U469),"")</f>
        <v/>
      </c>
      <c r="Q24" s="9" t="str">
        <f>IFERROR(IF('GCN_Post 1.0'!V469="",HLOOKUP((TotS)-Q21+1, 'GCN_Post 1.0'!$E$464:$X$506,6,TRUE), 'GCN_Post 1.0'!V469),"")</f>
        <v/>
      </c>
      <c r="R24" s="9" t="str">
        <f>IFERROR(IF('GCN_Post 1.0'!W469="",HLOOKUP((TotS)-R21+1, 'GCN_Post 1.0'!$E$464:$X$506,6,TRUE), 'GCN_Post 1.0'!W469),"")</f>
        <v/>
      </c>
      <c r="S24" s="9" t="str">
        <f>IFERROR(IF('GCN_Post 1.0'!X469="",HLOOKUP((TotS)-S21+1, 'GCN_Post 1.0'!$E$464:$X$506,6,TRUE), 'GCN_Post 1.0'!X469),"")</f>
        <v/>
      </c>
      <c r="T24" s="9" t="str">
        <f>IFERROR(IF('GCN_Post 1.0'!Y469="",HLOOKUP((TotS)-T21+1, 'GCN_Post 1.0'!$E$464:$X$506,6,TRUE), 'GCN_Post 1.0'!Y469),"")</f>
        <v/>
      </c>
      <c r="U24" s="9" t="str">
        <f>IFERROR(IF('GCN_Post 1.0'!Z469="",HLOOKUP((TotS)-U21+1, 'GCN_Post 1.0'!$E$464:$X$506,6,TRUE), 'GCN_Post 1.0'!Z469),"")</f>
        <v/>
      </c>
      <c r="V24" s="9" t="str">
        <f>IFERROR(IF('GCN_Post 1.0'!AA469="",HLOOKUP((TotS)-V21+1, 'GCN_Post 1.0'!$E$464:$X$506,6,TRUE), 'GCN_Post 1.0'!AA469),"")</f>
        <v/>
      </c>
      <c r="W24" s="9" t="str">
        <f>IFERROR(IF('GCN_Post 1.0'!AB469="",HLOOKUP((TotS)-W21+1, 'GCN_Post 1.0'!$E$464:$X$506,6,TRUE), 'GCN_Post 1.0'!AB469),"")</f>
        <v/>
      </c>
      <c r="X24" s="9" t="str">
        <f>IFERROR(IF('GCN_Post 1.0'!AC469="",HLOOKUP((TotS)-X21+1, 'GCN_Post 1.0'!$E$464:$X$506,6,TRUE), 'GCN_Post 1.0'!AC469),"")</f>
        <v/>
      </c>
      <c r="Y24" s="9" t="str">
        <f>IFERROR(IF('GCN_Post 1.0'!AD469="",HLOOKUP((TotS)-Y21+1, 'GCN_Post 1.0'!$E$464:$X$506,6,TRUE), 'GCN_Post 1.0'!AD469),"")</f>
        <v/>
      </c>
      <c r="Z24" s="9" t="str">
        <f>IFERROR(IF('GCN_Post 1.0'!AE469="",HLOOKUP((TotS)-Z21+1, 'GCN_Post 1.0'!$E$464:$X$506,6,TRUE), 'GCN_Post 1.0'!AE469),"")</f>
        <v/>
      </c>
      <c r="AA24" s="9" t="str">
        <f>IFERROR(IF('GCN_Post 1.0'!AF469="",HLOOKUP((TotS)-AA21+1, 'GCN_Post 1.0'!$E$464:$X$506,6,TRUE), 'GCN_Post 1.0'!AF469),"")</f>
        <v/>
      </c>
      <c r="AB24" s="9" t="str">
        <f>IFERROR(IF('GCN_Post 1.0'!AG469="",HLOOKUP((TotS)-AB21+1, 'GCN_Post 1.0'!$E$464:$X$506,6,TRUE), 'GCN_Post 1.0'!AG469),"")</f>
        <v/>
      </c>
      <c r="AC24" s="9" t="str">
        <f>IFERROR(IF('GCN_Post 1.0'!AH469="",HLOOKUP((TotS)-AC21+1, 'GCN_Post 1.0'!$E$464:$X$506,6,TRUE), 'GCN_Post 1.0'!AH469),"")</f>
        <v/>
      </c>
      <c r="AD24" s="9" t="str">
        <f>IFERROR(IF('GCN_Post 1.0'!AI469="",HLOOKUP((TotS)-AD21+1, 'GCN_Post 1.0'!$E$464:$X$506,6,TRUE), 'GCN_Post 1.0'!AI469),"")</f>
        <v/>
      </c>
      <c r="AE24" s="9" t="str">
        <f>IFERROR(IF('GCN_Post 1.0'!AJ469="",HLOOKUP((TotS)-AE21+1, 'GCN_Post 1.0'!$E$464:$X$506,6,TRUE), 'GCN_Post 1.0'!AJ469),"")</f>
        <v/>
      </c>
      <c r="AF24" s="9" t="str">
        <f>IFERROR(IF('GCN_Post 1.0'!AK469="",HLOOKUP((TotS)-AF21+1, 'GCN_Post 1.0'!$E$464:$X$506,6,TRUE), 'GCN_Post 1.0'!AK469),"")</f>
        <v/>
      </c>
      <c r="AG24" s="9" t="str">
        <f>IFERROR(IF('GCN_Post 1.0'!AL469="",HLOOKUP((TotS)-AG21+1, 'GCN_Post 1.0'!$E$464:$X$506,6,TRUE), 'GCN_Post 1.0'!AL469),"")</f>
        <v/>
      </c>
      <c r="AH24" s="9" t="str">
        <f>IFERROR(IF('GCN_Post 1.0'!AM469="",HLOOKUP((TotS)-AH21+1, 'GCN_Post 1.0'!$E$464:$X$506,6,TRUE), 'GCN_Post 1.0'!AM469),"")</f>
        <v/>
      </c>
      <c r="AI24" s="9" t="str">
        <f>IFERROR(IF('GCN_Post 1.0'!AN469="",HLOOKUP((TotS)-AI21+1, 'GCN_Post 1.0'!$E$464:$X$506,6,TRUE), 'GCN_Post 1.0'!AN469),"")</f>
        <v/>
      </c>
      <c r="AJ24" s="9" t="str">
        <f>IFERROR(IF('GCN_Post 1.0'!AO469="",HLOOKUP((TotS)-AJ21+1, 'GCN_Post 1.0'!$E$464:$X$506,6,TRUE), 'GCN_Post 1.0'!AO469),"")</f>
        <v/>
      </c>
      <c r="AK24" s="9" t="str">
        <f>IFERROR(IF('GCN_Post 1.0'!AP469="",HLOOKUP((TotS)-AK21+1, 'GCN_Post 1.0'!$E$464:$X$506,6,TRUE), 'GCN_Post 1.0'!AP469),"")</f>
        <v/>
      </c>
      <c r="AL24" s="9" t="str">
        <f>IFERROR(IF('GCN_Post 1.0'!AQ469="",HLOOKUP((TotS)-AL21+1, 'GCN_Post 1.0'!$E$464:$X$506,6,TRUE), 'GCN_Post 1.0'!AQ469),"")</f>
        <v/>
      </c>
      <c r="AM24" s="9" t="str">
        <f>IFERROR(IF('GCN_Post 1.0'!AR469="",HLOOKUP((TotS)-AM21+1, 'GCN_Post 1.0'!$E$464:$X$506,6,TRUE), 'GCN_Post 1.0'!AR469),"")</f>
        <v/>
      </c>
      <c r="AN24" s="9" t="str">
        <f>IFERROR(IF('GCN_Post 1.0'!AS469="",HLOOKUP((TotS)-AN21+1, 'GCN_Post 1.0'!$E$464:$X$506,6,TRUE), 'GCN_Post 1.0'!AS469),"")</f>
        <v/>
      </c>
      <c r="AO24" s="9" t="str">
        <f>IFERROR(IF('GCN_Post 1.0'!AT469="",HLOOKUP((TotS)-AO21+1, 'GCN_Post 1.0'!$E$464:$X$506,6,TRUE), 'GCN_Post 1.0'!AT469),"")</f>
        <v/>
      </c>
      <c r="AP24" s="9" t="str">
        <f>IFERROR(IF('GCN_Post 1.0'!AU469="",HLOOKUP((TotS)-AP21+1, 'GCN_Post 1.0'!$E$464:$X$506,6,TRUE), 'GCN_Post 1.0'!AU469),"")</f>
        <v/>
      </c>
      <c r="AQ24" s="9" t="str">
        <f>IFERROR(IF('GCN_Post 1.0'!AV469="",HLOOKUP((TotS)-AQ21+1, 'GCN_Post 1.0'!$E$464:$X$506,6,TRUE), 'GCN_Post 1.0'!AV469),"")</f>
        <v/>
      </c>
    </row>
    <row r="25" spans="2:43" x14ac:dyDescent="0.25">
      <c r="B25" s="560"/>
      <c r="C25" s="601"/>
      <c r="D25" s="9" t="str">
        <f>'GCN_Post 1.0'!I470</f>
        <v/>
      </c>
      <c r="E25" s="9" t="str">
        <f>IFERROR(IF('GCN_Post 1.0'!J470="",HLOOKUP((TotS)-E21+1, 'GCN_Post 1.0'!$E$464:$X$506,7,TRUE), 'GCN_Post 1.0'!J470),"")</f>
        <v/>
      </c>
      <c r="F25" s="9" t="str">
        <f>IFERROR(IF('GCN_Post 1.0'!K470="",HLOOKUP((TotS)-F21+1, 'GCN_Post 1.0'!$E$464:$X$506,7,TRUE), 'GCN_Post 1.0'!K470),"")</f>
        <v/>
      </c>
      <c r="G25" s="9" t="str">
        <f>IFERROR(IF('GCN_Post 1.0'!L470="",HLOOKUP((TotS)-G21+1, 'GCN_Post 1.0'!$E$464:$X$506,7,TRUE), 'GCN_Post 1.0'!L470),"")</f>
        <v/>
      </c>
      <c r="H25" s="9" t="str">
        <f>IFERROR(IF('GCN_Post 1.0'!M470="",HLOOKUP((TotS)-H21+1, 'GCN_Post 1.0'!$E$464:$X$506,7,TRUE), 'GCN_Post 1.0'!M470),"")</f>
        <v/>
      </c>
      <c r="I25" s="9" t="str">
        <f>IFERROR(IF('GCN_Post 1.0'!N470="",HLOOKUP((TotS)-I21+1, 'GCN_Post 1.0'!$E$464:$X$506,7,TRUE), 'GCN_Post 1.0'!N470),"")</f>
        <v/>
      </c>
      <c r="J25" s="9" t="str">
        <f>IFERROR(IF('GCN_Post 1.0'!O470="",HLOOKUP((TotS)-J21+1, 'GCN_Post 1.0'!$E$464:$X$506,7,TRUE), 'GCN_Post 1.0'!O470),"")</f>
        <v/>
      </c>
      <c r="K25" s="9" t="str">
        <f>IFERROR(IF('GCN_Post 1.0'!P470="",HLOOKUP((TotS)-K21+1, 'GCN_Post 1.0'!$E$464:$X$506,7,TRUE), 'GCN_Post 1.0'!P470),"")</f>
        <v/>
      </c>
      <c r="L25" s="9" t="str">
        <f>IFERROR(IF('GCN_Post 1.0'!Q470="",HLOOKUP((TotS)-L21+1, 'GCN_Post 1.0'!$E$464:$X$506,7,TRUE), 'GCN_Post 1.0'!Q470),"")</f>
        <v/>
      </c>
      <c r="M25" s="9" t="str">
        <f>IFERROR(IF('GCN_Post 1.0'!R470="",HLOOKUP((TotS)-M21+1, 'GCN_Post 1.0'!$E$464:$X$506,7,TRUE), 'GCN_Post 1.0'!R470),"")</f>
        <v/>
      </c>
      <c r="N25" s="9" t="str">
        <f>IFERROR(IF('GCN_Post 1.0'!S470="",HLOOKUP((TotS)-N21+1, 'GCN_Post 1.0'!$E$464:$X$506,7,TRUE), 'GCN_Post 1.0'!S470),"")</f>
        <v/>
      </c>
      <c r="O25" s="9" t="str">
        <f>IFERROR(IF('GCN_Post 1.0'!T470="",HLOOKUP((TotS)-O21+1, 'GCN_Post 1.0'!$E$464:$X$506,7,TRUE), 'GCN_Post 1.0'!T470),"")</f>
        <v/>
      </c>
      <c r="P25" s="9" t="str">
        <f>IFERROR(IF('GCN_Post 1.0'!U470="",HLOOKUP((TotS)-P21+1, 'GCN_Post 1.0'!$E$464:$X$506,7,TRUE), 'GCN_Post 1.0'!U470),"")</f>
        <v/>
      </c>
      <c r="Q25" s="9" t="str">
        <f>IFERROR(IF('GCN_Post 1.0'!V470="",HLOOKUP((TotS)-Q21+1, 'GCN_Post 1.0'!$E$464:$X$506,7,TRUE), 'GCN_Post 1.0'!V470),"")</f>
        <v/>
      </c>
      <c r="R25" s="9" t="str">
        <f>IFERROR(IF('GCN_Post 1.0'!W470="",HLOOKUP((TotS)-R21+1, 'GCN_Post 1.0'!$E$464:$X$506,7,TRUE), 'GCN_Post 1.0'!W470),"")</f>
        <v/>
      </c>
      <c r="S25" s="9" t="str">
        <f>IFERROR(IF('GCN_Post 1.0'!X470="",HLOOKUP((TotS)-S21+1, 'GCN_Post 1.0'!$E$464:$X$506,7,TRUE), 'GCN_Post 1.0'!X470),"")</f>
        <v/>
      </c>
      <c r="T25" s="9" t="str">
        <f>IFERROR(IF('GCN_Post 1.0'!Y470="",HLOOKUP((TotS)-T21+1, 'GCN_Post 1.0'!$E$464:$X$506,7,TRUE), 'GCN_Post 1.0'!Y470),"")</f>
        <v/>
      </c>
      <c r="U25" s="9" t="str">
        <f>IFERROR(IF('GCN_Post 1.0'!Z470="",HLOOKUP((TotS)-U21+1, 'GCN_Post 1.0'!$E$464:$X$506,7,TRUE), 'GCN_Post 1.0'!Z470),"")</f>
        <v/>
      </c>
      <c r="V25" s="9" t="str">
        <f>IFERROR(IF('GCN_Post 1.0'!AA470="",HLOOKUP((TotS)-V21+1, 'GCN_Post 1.0'!$E$464:$X$506,7,TRUE), 'GCN_Post 1.0'!AA470),"")</f>
        <v/>
      </c>
      <c r="W25" s="9" t="str">
        <f>IFERROR(IF('GCN_Post 1.0'!AB470="",HLOOKUP((TotS)-W21+1, 'GCN_Post 1.0'!$E$464:$X$506,7,TRUE), 'GCN_Post 1.0'!AB470),"")</f>
        <v/>
      </c>
      <c r="X25" s="9" t="str">
        <f>IFERROR(IF('GCN_Post 1.0'!AC470="",HLOOKUP((TotS)-X21+1, 'GCN_Post 1.0'!$E$464:$X$506,7,TRUE), 'GCN_Post 1.0'!AC470),"")</f>
        <v/>
      </c>
      <c r="Y25" s="9" t="str">
        <f>IFERROR(IF('GCN_Post 1.0'!AD470="",HLOOKUP((TotS)-Y21+1, 'GCN_Post 1.0'!$E$464:$X$506,7,TRUE), 'GCN_Post 1.0'!AD470),"")</f>
        <v/>
      </c>
      <c r="Z25" s="9" t="str">
        <f>IFERROR(IF('GCN_Post 1.0'!AE470="",HLOOKUP((TotS)-Z21+1, 'GCN_Post 1.0'!$E$464:$X$506,7,TRUE), 'GCN_Post 1.0'!AE470),"")</f>
        <v/>
      </c>
      <c r="AA25" s="9" t="str">
        <f>IFERROR(IF('GCN_Post 1.0'!AF470="",HLOOKUP((TotS)-AA21+1, 'GCN_Post 1.0'!$E$464:$X$506,7,TRUE), 'GCN_Post 1.0'!AF470),"")</f>
        <v/>
      </c>
      <c r="AB25" s="9" t="str">
        <f>IFERROR(IF('GCN_Post 1.0'!AG470="",HLOOKUP((TotS)-AB21+1, 'GCN_Post 1.0'!$E$464:$X$506,7,TRUE), 'GCN_Post 1.0'!AG470),"")</f>
        <v/>
      </c>
      <c r="AC25" s="9" t="str">
        <f>IFERROR(IF('GCN_Post 1.0'!AH470="",HLOOKUP((TotS)-AC21+1, 'GCN_Post 1.0'!$E$464:$X$506,7,TRUE), 'GCN_Post 1.0'!AH470),"")</f>
        <v/>
      </c>
      <c r="AD25" s="9" t="str">
        <f>IFERROR(IF('GCN_Post 1.0'!AI470="",HLOOKUP((TotS)-AD21+1, 'GCN_Post 1.0'!$E$464:$X$506,7,TRUE), 'GCN_Post 1.0'!AI470),"")</f>
        <v/>
      </c>
      <c r="AE25" s="9" t="str">
        <f>IFERROR(IF('GCN_Post 1.0'!AJ470="",HLOOKUP((TotS)-AE21+1, 'GCN_Post 1.0'!$E$464:$X$506,7,TRUE), 'GCN_Post 1.0'!AJ470),"")</f>
        <v/>
      </c>
      <c r="AF25" s="9" t="str">
        <f>IFERROR(IF('GCN_Post 1.0'!AK470="",HLOOKUP((TotS)-AF21+1, 'GCN_Post 1.0'!$E$464:$X$506,7,TRUE), 'GCN_Post 1.0'!AK470),"")</f>
        <v/>
      </c>
      <c r="AG25" s="9" t="str">
        <f>IFERROR(IF('GCN_Post 1.0'!AL470="",HLOOKUP((TotS)-AG21+1, 'GCN_Post 1.0'!$E$464:$X$506,7,TRUE), 'GCN_Post 1.0'!AL470),"")</f>
        <v/>
      </c>
      <c r="AH25" s="9" t="str">
        <f>IFERROR(IF('GCN_Post 1.0'!AM470="",HLOOKUP((TotS)-AH21+1, 'GCN_Post 1.0'!$E$464:$X$506,7,TRUE), 'GCN_Post 1.0'!AM470),"")</f>
        <v/>
      </c>
      <c r="AI25" s="9" t="str">
        <f>IFERROR(IF('GCN_Post 1.0'!AN470="",HLOOKUP((TotS)-AI21+1, 'GCN_Post 1.0'!$E$464:$X$506,7,TRUE), 'GCN_Post 1.0'!AN470),"")</f>
        <v/>
      </c>
      <c r="AJ25" s="9" t="str">
        <f>IFERROR(IF('GCN_Post 1.0'!AO470="",HLOOKUP((TotS)-AJ21+1, 'GCN_Post 1.0'!$E$464:$X$506,7,TRUE), 'GCN_Post 1.0'!AO470),"")</f>
        <v/>
      </c>
      <c r="AK25" s="9" t="str">
        <f>IFERROR(IF('GCN_Post 1.0'!AP470="",HLOOKUP((TotS)-AK21+1, 'GCN_Post 1.0'!$E$464:$X$506,7,TRUE), 'GCN_Post 1.0'!AP470),"")</f>
        <v/>
      </c>
      <c r="AL25" s="9" t="str">
        <f>IFERROR(IF('GCN_Post 1.0'!AQ470="",HLOOKUP((TotS)-AL21+1, 'GCN_Post 1.0'!$E$464:$X$506,7,TRUE), 'GCN_Post 1.0'!AQ470),"")</f>
        <v/>
      </c>
      <c r="AM25" s="9" t="str">
        <f>IFERROR(IF('GCN_Post 1.0'!AR470="",HLOOKUP((TotS)-AM21+1, 'GCN_Post 1.0'!$E$464:$X$506,7,TRUE), 'GCN_Post 1.0'!AR470),"")</f>
        <v/>
      </c>
      <c r="AN25" s="9" t="str">
        <f>IFERROR(IF('GCN_Post 1.0'!AS470="",HLOOKUP((TotS)-AN21+1, 'GCN_Post 1.0'!$E$464:$X$506,7,TRUE), 'GCN_Post 1.0'!AS470),"")</f>
        <v/>
      </c>
      <c r="AO25" s="9" t="str">
        <f>IFERROR(IF('GCN_Post 1.0'!AT470="",HLOOKUP((TotS)-AO21+1, 'GCN_Post 1.0'!$E$464:$X$506,7,TRUE), 'GCN_Post 1.0'!AT470),"")</f>
        <v/>
      </c>
      <c r="AP25" s="9" t="str">
        <f>IFERROR(IF('GCN_Post 1.0'!AU470="",HLOOKUP((TotS)-AP21+1, 'GCN_Post 1.0'!$E$464:$X$506,7,TRUE), 'GCN_Post 1.0'!AU470),"")</f>
        <v/>
      </c>
      <c r="AQ25" s="9" t="str">
        <f>IFERROR(IF('GCN_Post 1.0'!AV470="",HLOOKUP((TotS)-AQ21+1, 'GCN_Post 1.0'!$E$464:$X$506,7,TRUE), 'GCN_Post 1.0'!AV470),"")</f>
        <v/>
      </c>
    </row>
    <row r="27" spans="2:43" ht="15" customHeight="1" x14ac:dyDescent="0.25">
      <c r="B27" s="663" t="s">
        <v>721</v>
      </c>
      <c r="C27" s="572"/>
      <c r="D27" s="9" t="str">
        <f>'GCN_Post 1.0'!I471</f>
        <v/>
      </c>
      <c r="E27" s="9" t="str">
        <f>IFERROR(IF(E21&gt;TS, "", IF('GCN_Post 1.0'!J471="",HLOOKUP((TotS)-E21+1,'GCN_Post 1.0'!$E$464:$X$506,8,TRUE), 'GCN_Post 1.0'!J471)), "")</f>
        <v/>
      </c>
      <c r="F27" s="9" t="str">
        <f>IFERROR(IF(F21&gt;TS, "", IF('GCN_Post 1.0'!K471="",HLOOKUP((TotS)-F21+1,'GCN_Post 1.0'!$E$464:$X$506,8,TRUE), 'GCN_Post 1.0'!K471)), "")</f>
        <v/>
      </c>
      <c r="G27" s="9" t="str">
        <f>IFERROR(IF(G21&gt;TS, "", IF('GCN_Post 1.0'!L471="",HLOOKUP((TotS)-G21+1,'GCN_Post 1.0'!$E$464:$X$506,8,TRUE), 'GCN_Post 1.0'!L471)), "")</f>
        <v/>
      </c>
      <c r="H27" s="9" t="str">
        <f>IFERROR(IF(H21&gt;TS, "", IF('GCN_Post 1.0'!M471="",HLOOKUP((TotS)-H21+1,'GCN_Post 1.0'!$E$464:$X$506,8,TRUE), 'GCN_Post 1.0'!M471)), "")</f>
        <v/>
      </c>
      <c r="I27" s="9" t="str">
        <f>IFERROR(IF(I21&gt;TS, "", IF('GCN_Post 1.0'!N471="",HLOOKUP((TotS)-I21+1,'GCN_Post 1.0'!$E$464:$X$506,8,TRUE), 'GCN_Post 1.0'!N471)), "")</f>
        <v/>
      </c>
      <c r="J27" s="9" t="str">
        <f>IFERROR(IF(J21&gt;TS, "", IF('GCN_Post 1.0'!O471="",HLOOKUP((TotS)-J21+1,'GCN_Post 1.0'!$E$464:$X$506,8,TRUE), 'GCN_Post 1.0'!O471)), "")</f>
        <v/>
      </c>
      <c r="K27" s="9" t="str">
        <f>IFERROR(IF(K21&gt;TS, "", IF('GCN_Post 1.0'!P471="",HLOOKUP((TotS)-K21+1,'GCN_Post 1.0'!$E$464:$X$506,8,TRUE), 'GCN_Post 1.0'!P471)), "")</f>
        <v/>
      </c>
      <c r="L27" s="9" t="str">
        <f>IFERROR(IF(L21&gt;TS, "", IF('GCN_Post 1.0'!Q471="",HLOOKUP((TotS)-L21+1,'GCN_Post 1.0'!$E$464:$X$506,8,TRUE), 'GCN_Post 1.0'!Q471)), "")</f>
        <v/>
      </c>
      <c r="M27" s="9" t="str">
        <f>IFERROR(IF(M21&gt;TS, "", IF('GCN_Post 1.0'!R471="",HLOOKUP((TotS)-M21+1,'GCN_Post 1.0'!$E$464:$X$506,8,TRUE), 'GCN_Post 1.0'!R471)), "")</f>
        <v/>
      </c>
      <c r="N27" s="9" t="str">
        <f>IFERROR(IF(N21&gt;TS, "", IF('GCN_Post 1.0'!S471="",HLOOKUP((TotS)-N21+1,'GCN_Post 1.0'!$E$464:$X$506,8,TRUE), 'GCN_Post 1.0'!S471)), "")</f>
        <v/>
      </c>
      <c r="O27" s="9" t="str">
        <f>IFERROR(IF(O21&gt;TS, "", IF('GCN_Post 1.0'!T471="",HLOOKUP((TotS)-O21+1,'GCN_Post 1.0'!$E$464:$X$506,8,TRUE), 'GCN_Post 1.0'!T471)), "")</f>
        <v/>
      </c>
      <c r="P27" s="9" t="str">
        <f>IFERROR(IF(P21&gt;TS, "", IF('GCN_Post 1.0'!U471="",HLOOKUP((TotS)-P21+1,'GCN_Post 1.0'!$E$464:$X$506,8,TRUE), 'GCN_Post 1.0'!U471)), "")</f>
        <v/>
      </c>
      <c r="Q27" s="9" t="str">
        <f>IFERROR(IF(Q21&gt;TS, "", IF('GCN_Post 1.0'!V471="",HLOOKUP((TotS)-Q21+1,'GCN_Post 1.0'!$E$464:$X$506,8,TRUE), 'GCN_Post 1.0'!V471)), "")</f>
        <v/>
      </c>
      <c r="R27" s="9" t="str">
        <f>IFERROR(IF(R21&gt;TS, "", IF('GCN_Post 1.0'!W471="",HLOOKUP((TotS)-R21+1,'GCN_Post 1.0'!$E$464:$X$506,8,TRUE), 'GCN_Post 1.0'!W471)), "")</f>
        <v/>
      </c>
      <c r="S27" s="9" t="str">
        <f>IFERROR(IF(S21&gt;TS, "", IF('GCN_Post 1.0'!X471="",HLOOKUP((TotS)-S21+1,'GCN_Post 1.0'!$E$464:$X$506,8,TRUE), 'GCN_Post 1.0'!X471)), "")</f>
        <v/>
      </c>
      <c r="T27" s="9" t="str">
        <f>IFERROR(IF(T21&gt;TS, "", IF('GCN_Post 1.0'!Y471="",HLOOKUP((TotS)-T21+1,'GCN_Post 1.0'!$E$464:$X$506,8,TRUE), 'GCN_Post 1.0'!Y471)), "")</f>
        <v/>
      </c>
      <c r="U27" s="9" t="str">
        <f>IFERROR(IF(U21&gt;TS, "", IF('GCN_Post 1.0'!Z471="",HLOOKUP((TotS)-U21+1,'GCN_Post 1.0'!$E$464:$X$506,8,TRUE), 'GCN_Post 1.0'!Z471)), "")</f>
        <v/>
      </c>
      <c r="V27" s="9" t="str">
        <f>IFERROR(IF(V21&gt;TS, "", IF('GCN_Post 1.0'!AA471="",HLOOKUP((TotS)-V21+1,'GCN_Post 1.0'!$E$464:$X$506,8,TRUE), 'GCN_Post 1.0'!AA471)), "")</f>
        <v/>
      </c>
      <c r="W27" s="9" t="str">
        <f>IFERROR(IF(W21&gt;TS, "", IF('GCN_Post 1.0'!AB471="",HLOOKUP((TotS)-W21+1,'GCN_Post 1.0'!$E$464:$X$506,8,TRUE), 'GCN_Post 1.0'!AB471)), "")</f>
        <v/>
      </c>
      <c r="X27" s="9" t="str">
        <f>IFERROR(IF(X21&gt;TS, "", IF('GCN_Post 1.0'!AC471="",HLOOKUP((TotS)-X21+1,'GCN_Post 1.0'!$E$464:$X$506,8,TRUE), 'GCN_Post 1.0'!AC471)), "")</f>
        <v/>
      </c>
      <c r="Y27" s="9" t="str">
        <f>IFERROR(IF(Y21&gt;TS, "", IF('GCN_Post 1.0'!AD471="",HLOOKUP((TotS)-Y21+1,'GCN_Post 1.0'!$E$464:$X$506,8,TRUE), 'GCN_Post 1.0'!AD471)), "")</f>
        <v/>
      </c>
      <c r="Z27" s="9" t="str">
        <f>IFERROR(IF(Z21&gt;TS, "", IF('GCN_Post 1.0'!AE471="",HLOOKUP((TotS)-Z21+1,'GCN_Post 1.0'!$E$464:$X$506,8,TRUE), 'GCN_Post 1.0'!AE471)), "")</f>
        <v/>
      </c>
      <c r="AA27" s="9" t="str">
        <f>IFERROR(IF(AA21&gt;TS, "", IF('GCN_Post 1.0'!AF471="",HLOOKUP((TotS)-AA21+1,'GCN_Post 1.0'!$E$464:$X$506,8,TRUE), 'GCN_Post 1.0'!AF471)), "")</f>
        <v/>
      </c>
      <c r="AB27" s="9" t="str">
        <f>IFERROR(IF(AB21&gt;TS, "", IF('GCN_Post 1.0'!AG471="",HLOOKUP((TotS)-AB21+1,'GCN_Post 1.0'!$E$464:$X$506,8,TRUE), 'GCN_Post 1.0'!AG471)), "")</f>
        <v/>
      </c>
      <c r="AC27" s="9" t="str">
        <f>IFERROR(IF(AC21&gt;TS, "", IF('GCN_Post 1.0'!AH471="",HLOOKUP((TotS)-AC21+1,'GCN_Post 1.0'!$E$464:$X$506,8,TRUE), 'GCN_Post 1.0'!AH471)), "")</f>
        <v/>
      </c>
      <c r="AD27" s="9" t="str">
        <f>IFERROR(IF(AD21&gt;TS, "", IF('GCN_Post 1.0'!AI471="",HLOOKUP((TotS)-AD21+1,'GCN_Post 1.0'!$E$464:$X$506,8,TRUE), 'GCN_Post 1.0'!AI471)), "")</f>
        <v/>
      </c>
      <c r="AE27" s="9" t="str">
        <f>IFERROR(IF(AE21&gt;TS, "", IF('GCN_Post 1.0'!AJ471="",HLOOKUP((TotS)-AE21+1,'GCN_Post 1.0'!$E$464:$X$506,8,TRUE), 'GCN_Post 1.0'!AJ471)), "")</f>
        <v/>
      </c>
      <c r="AF27" s="9" t="str">
        <f>IFERROR(IF(AF21&gt;TS, "", IF('GCN_Post 1.0'!AK471="",HLOOKUP((TotS)-AF21+1,'GCN_Post 1.0'!$E$464:$X$506,8,TRUE), 'GCN_Post 1.0'!AK471)), "")</f>
        <v/>
      </c>
      <c r="AG27" s="9" t="str">
        <f>IFERROR(IF(AG21&gt;TS, "", IF('GCN_Post 1.0'!AL471="",HLOOKUP((TotS)-AG21+1,'GCN_Post 1.0'!$E$464:$X$506,8,TRUE), 'GCN_Post 1.0'!AL471)), "")</f>
        <v/>
      </c>
      <c r="AH27" s="9" t="str">
        <f>IFERROR(IF(AH21&gt;TS, "", IF('GCN_Post 1.0'!AM471="",HLOOKUP((TotS)-AH21+1,'GCN_Post 1.0'!$E$464:$X$506,8,TRUE), 'GCN_Post 1.0'!AM471)), "")</f>
        <v/>
      </c>
      <c r="AI27" s="9" t="str">
        <f>IFERROR(IF(AI21&gt;TS, "", IF('GCN_Post 1.0'!AN471="",HLOOKUP((TotS)-AI21+1,'GCN_Post 1.0'!$E$464:$X$506,8,TRUE), 'GCN_Post 1.0'!AN471)), "")</f>
        <v/>
      </c>
      <c r="AJ27" s="9" t="str">
        <f>IFERROR(IF(AJ21&gt;TS, "", IF('GCN_Post 1.0'!AO471="",HLOOKUP((TotS)-AJ21+1,'GCN_Post 1.0'!$E$464:$X$506,8,TRUE), 'GCN_Post 1.0'!AO471)), "")</f>
        <v/>
      </c>
      <c r="AK27" s="9" t="str">
        <f>IFERROR(IF(AK21&gt;TS, "", IF('GCN_Post 1.0'!AP471="",HLOOKUP((TotS)-AK21+1,'GCN_Post 1.0'!$E$464:$X$506,8,TRUE), 'GCN_Post 1.0'!AP471)), "")</f>
        <v/>
      </c>
      <c r="AL27" s="9" t="str">
        <f>IFERROR(IF(AL21&gt;TS, "", IF('GCN_Post 1.0'!AQ471="",HLOOKUP((TotS)-AL21+1,'GCN_Post 1.0'!$E$464:$X$506,8,TRUE), 'GCN_Post 1.0'!AQ471)), "")</f>
        <v/>
      </c>
      <c r="AM27" s="9" t="str">
        <f>IFERROR(IF(AM21&gt;TS, "", IF('GCN_Post 1.0'!AR471="",HLOOKUP((TotS)-AM21+1,'GCN_Post 1.0'!$E$464:$X$506,8,TRUE), 'GCN_Post 1.0'!AR471)), "")</f>
        <v/>
      </c>
      <c r="AN27" s="9" t="str">
        <f>IFERROR(IF(AN21&gt;TS, "", IF('GCN_Post 1.0'!AS471="",HLOOKUP((TotS)-AN21+1,'GCN_Post 1.0'!$E$464:$X$506,8,TRUE), 'GCN_Post 1.0'!AS471)), "")</f>
        <v/>
      </c>
      <c r="AO27" s="9" t="str">
        <f>IFERROR(IF(AO21&gt;TS, "", IF('GCN_Post 1.0'!AT471="",HLOOKUP((TotS)-AO21+1,'GCN_Post 1.0'!$E$464:$X$506,8,TRUE), 'GCN_Post 1.0'!AT471)), "")</f>
        <v/>
      </c>
      <c r="AP27" s="9" t="str">
        <f>IFERROR(IF(AP21&gt;TS, "", IF('GCN_Post 1.0'!AU471="",HLOOKUP((TotS)-AP21+1,'GCN_Post 1.0'!$E$464:$X$506,8,TRUE), 'GCN_Post 1.0'!AU471)), "")</f>
        <v/>
      </c>
      <c r="AQ27" s="9" t="str">
        <f>IFERROR(IF(AQ21&gt;TS, "", IF('GCN_Post 1.0'!AV471="",HLOOKUP((TotS)-AQ21+1,'GCN_Post 1.0'!$E$464:$X$506,8,TRUE), 'GCN_Post 1.0'!AV471)), "")</f>
        <v/>
      </c>
    </row>
    <row r="28" spans="2:43" x14ac:dyDescent="0.25">
      <c r="B28" s="555"/>
      <c r="C28" s="565"/>
      <c r="D28" s="9" t="str">
        <f>'GCN_Post 1.0'!I472</f>
        <v/>
      </c>
      <c r="E28" s="9" t="str">
        <f>IFERROR(IF(E21&gt;TS, "", IF('GCN_Post 1.0'!J472="",HLOOKUP((TotS)-E21+1,'GCN_Post 1.0'!$E$464:$X$506,9,TRUE), 'GCN_Post 1.0'!J472)), "")</f>
        <v/>
      </c>
      <c r="F28" s="9" t="str">
        <f>IFERROR(IF(F21&gt;TS, "", IF('GCN_Post 1.0'!K472="",HLOOKUP((TotS)-F21+1,'GCN_Post 1.0'!$E$464:$X$506,9,TRUE), 'GCN_Post 1.0'!K472)), "")</f>
        <v/>
      </c>
      <c r="G28" s="9" t="str">
        <f>IFERROR(IF(G21&gt;TS, "", IF('GCN_Post 1.0'!L472="",HLOOKUP((TotS)-G21+1,'GCN_Post 1.0'!$E$464:$X$506,9,TRUE), 'GCN_Post 1.0'!L472)), "")</f>
        <v/>
      </c>
      <c r="H28" s="9" t="str">
        <f>IFERROR(IF(H21&gt;TS, "", IF('GCN_Post 1.0'!M472="",HLOOKUP((TotS)-H21+1,'GCN_Post 1.0'!$E$464:$X$506,9,TRUE), 'GCN_Post 1.0'!M472)), "")</f>
        <v/>
      </c>
      <c r="I28" s="9" t="str">
        <f>IFERROR(IF(I21&gt;TS, "", IF('GCN_Post 1.0'!N472="",HLOOKUP((TotS)-I21+1,'GCN_Post 1.0'!$E$464:$X$506,9,TRUE), 'GCN_Post 1.0'!N472)), "")</f>
        <v/>
      </c>
      <c r="J28" s="9" t="str">
        <f>IFERROR(IF(J21&gt;TS, "", IF('GCN_Post 1.0'!O472="",HLOOKUP((TotS)-J21+1,'GCN_Post 1.0'!$E$464:$X$506,9,TRUE), 'GCN_Post 1.0'!O472)), "")</f>
        <v/>
      </c>
      <c r="K28" s="9" t="str">
        <f>IFERROR(IF(K21&gt;TS, "", IF('GCN_Post 1.0'!P472="",HLOOKUP((TotS)-K21+1,'GCN_Post 1.0'!$E$464:$X$506,9,TRUE), 'GCN_Post 1.0'!P472)), "")</f>
        <v/>
      </c>
      <c r="L28" s="9" t="str">
        <f>IFERROR(IF(L21&gt;TS, "", IF('GCN_Post 1.0'!Q472="",HLOOKUP((TotS)-L21+1,'GCN_Post 1.0'!$E$464:$X$506,9,TRUE), 'GCN_Post 1.0'!Q472)), "")</f>
        <v/>
      </c>
      <c r="M28" s="9" t="str">
        <f>IFERROR(IF(M21&gt;TS, "", IF('GCN_Post 1.0'!R472="",HLOOKUP((TotS)-M21+1,'GCN_Post 1.0'!$E$464:$X$506,9,TRUE), 'GCN_Post 1.0'!R472)), "")</f>
        <v/>
      </c>
      <c r="N28" s="9" t="str">
        <f>IFERROR(IF(N21&gt;TS, "", IF('GCN_Post 1.0'!S472="",HLOOKUP((TotS)-N21+1,'GCN_Post 1.0'!$E$464:$X$506,9,TRUE), 'GCN_Post 1.0'!S472)), "")</f>
        <v/>
      </c>
      <c r="O28" s="9" t="str">
        <f>IFERROR(IF(O21&gt;TS, "", IF('GCN_Post 1.0'!T472="",HLOOKUP((TotS)-O21+1,'GCN_Post 1.0'!$E$464:$X$506,9,TRUE), 'GCN_Post 1.0'!T472)), "")</f>
        <v/>
      </c>
      <c r="P28" s="9" t="str">
        <f>IFERROR(IF(P21&gt;TS, "", IF('GCN_Post 1.0'!U472="",HLOOKUP((TotS)-P21+1,'GCN_Post 1.0'!$E$464:$X$506,9,TRUE), 'GCN_Post 1.0'!U472)), "")</f>
        <v/>
      </c>
      <c r="Q28" s="9" t="str">
        <f>IFERROR(IF(Q21&gt;TS, "", IF('GCN_Post 1.0'!V472="",HLOOKUP((TotS)-Q21+1,'GCN_Post 1.0'!$E$464:$X$506,9,TRUE), 'GCN_Post 1.0'!V472)), "")</f>
        <v/>
      </c>
      <c r="R28" s="9" t="str">
        <f>IFERROR(IF(R21&gt;TS, "", IF('GCN_Post 1.0'!W472="",HLOOKUP((TotS)-R21+1,'GCN_Post 1.0'!$E$464:$X$506,9,TRUE), 'GCN_Post 1.0'!W472)), "")</f>
        <v/>
      </c>
      <c r="S28" s="9" t="str">
        <f>IFERROR(IF(S21&gt;TS, "", IF('GCN_Post 1.0'!X472="",HLOOKUP((TotS)-S21+1,'GCN_Post 1.0'!$E$464:$X$506,9,TRUE), 'GCN_Post 1.0'!X472)), "")</f>
        <v/>
      </c>
      <c r="T28" s="9" t="str">
        <f>IFERROR(IF(T21&gt;TS, "", IF('GCN_Post 1.0'!Y472="",HLOOKUP((TotS)-T21+1,'GCN_Post 1.0'!$E$464:$X$506,9,TRUE), 'GCN_Post 1.0'!Y472)), "")</f>
        <v/>
      </c>
      <c r="U28" s="9" t="str">
        <f>IFERROR(IF(U21&gt;TS, "", IF('GCN_Post 1.0'!Z472="",HLOOKUP((TotS)-U21+1,'GCN_Post 1.0'!$E$464:$X$506,9,TRUE), 'GCN_Post 1.0'!Z472)), "")</f>
        <v/>
      </c>
      <c r="V28" s="9" t="str">
        <f>IFERROR(IF(V21&gt;TS, "", IF('GCN_Post 1.0'!AA472="",HLOOKUP((TotS)-V21+1,'GCN_Post 1.0'!$E$464:$X$506,9,TRUE), 'GCN_Post 1.0'!AA472)), "")</f>
        <v/>
      </c>
      <c r="W28" s="9" t="str">
        <f>IFERROR(IF(W21&gt;TS, "", IF('GCN_Post 1.0'!AB472="",HLOOKUP((TotS)-W21+1,'GCN_Post 1.0'!$E$464:$X$506,9,TRUE), 'GCN_Post 1.0'!AB472)), "")</f>
        <v/>
      </c>
      <c r="X28" s="9" t="str">
        <f>IFERROR(IF(X21&gt;TS, "", IF('GCN_Post 1.0'!AC472="",HLOOKUP((TotS)-X21+1,'GCN_Post 1.0'!$E$464:$X$506,9,TRUE), 'GCN_Post 1.0'!AC472)), "")</f>
        <v/>
      </c>
      <c r="Y28" s="9" t="str">
        <f>IFERROR(IF(Y21&gt;TS, "", IF('GCN_Post 1.0'!AD472="",HLOOKUP((TotS)-Y21+1,'GCN_Post 1.0'!$E$464:$X$506,9,TRUE), 'GCN_Post 1.0'!AD472)), "")</f>
        <v/>
      </c>
      <c r="Z28" s="9" t="str">
        <f>IFERROR(IF(Z21&gt;TS, "", IF('GCN_Post 1.0'!AE472="",HLOOKUP((TotS)-Z21+1,'GCN_Post 1.0'!$E$464:$X$506,9,TRUE), 'GCN_Post 1.0'!AE472)), "")</f>
        <v/>
      </c>
      <c r="AA28" s="9" t="str">
        <f>IFERROR(IF(AA21&gt;TS, "", IF('GCN_Post 1.0'!AF472="",HLOOKUP((TotS)-AA21+1,'GCN_Post 1.0'!$E$464:$X$506,9,TRUE), 'GCN_Post 1.0'!AF472)), "")</f>
        <v/>
      </c>
      <c r="AB28" s="9" t="str">
        <f>IFERROR(IF(AB21&gt;TS, "", IF('GCN_Post 1.0'!AG472="",HLOOKUP((TotS)-AB21+1,'GCN_Post 1.0'!$E$464:$X$506,9,TRUE), 'GCN_Post 1.0'!AG472)), "")</f>
        <v/>
      </c>
      <c r="AC28" s="9" t="str">
        <f>IFERROR(IF(AC21&gt;TS, "", IF('GCN_Post 1.0'!AH472="",HLOOKUP((TotS)-AC21+1,'GCN_Post 1.0'!$E$464:$X$506,9,TRUE), 'GCN_Post 1.0'!AH472)), "")</f>
        <v/>
      </c>
      <c r="AD28" s="9" t="str">
        <f>IFERROR(IF(AD21&gt;TS, "", IF('GCN_Post 1.0'!AI472="",HLOOKUP((TotS)-AD21+1,'GCN_Post 1.0'!$E$464:$X$506,9,TRUE), 'GCN_Post 1.0'!AI472)), "")</f>
        <v/>
      </c>
      <c r="AE28" s="9" t="str">
        <f>IFERROR(IF(AE21&gt;TS, "", IF('GCN_Post 1.0'!AJ472="",HLOOKUP((TotS)-AE21+1,'GCN_Post 1.0'!$E$464:$X$506,9,TRUE), 'GCN_Post 1.0'!AJ472)), "")</f>
        <v/>
      </c>
      <c r="AF28" s="9" t="str">
        <f>IFERROR(IF(AF21&gt;TS, "", IF('GCN_Post 1.0'!AK472="",HLOOKUP((TotS)-AF21+1,'GCN_Post 1.0'!$E$464:$X$506,9,TRUE), 'GCN_Post 1.0'!AK472)), "")</f>
        <v/>
      </c>
      <c r="AG28" s="9" t="str">
        <f>IFERROR(IF(AG21&gt;TS, "", IF('GCN_Post 1.0'!AL472="",HLOOKUP((TotS)-AG21+1,'GCN_Post 1.0'!$E$464:$X$506,9,TRUE), 'GCN_Post 1.0'!AL472)), "")</f>
        <v/>
      </c>
      <c r="AH28" s="9" t="str">
        <f>IFERROR(IF(AH21&gt;TS, "", IF('GCN_Post 1.0'!AM472="",HLOOKUP((TotS)-AH21+1,'GCN_Post 1.0'!$E$464:$X$506,9,TRUE), 'GCN_Post 1.0'!AM472)), "")</f>
        <v/>
      </c>
      <c r="AI28" s="9" t="str">
        <f>IFERROR(IF(AI21&gt;TS, "", IF('GCN_Post 1.0'!AN472="",HLOOKUP((TotS)-AI21+1,'GCN_Post 1.0'!$E$464:$X$506,9,TRUE), 'GCN_Post 1.0'!AN472)), "")</f>
        <v/>
      </c>
      <c r="AJ28" s="9" t="str">
        <f>IFERROR(IF(AJ21&gt;TS, "", IF('GCN_Post 1.0'!AO472="",HLOOKUP((TotS)-AJ21+1,'GCN_Post 1.0'!$E$464:$X$506,9,TRUE), 'GCN_Post 1.0'!AO472)), "")</f>
        <v/>
      </c>
      <c r="AK28" s="9" t="str">
        <f>IFERROR(IF(AK21&gt;TS, "", IF('GCN_Post 1.0'!AP472="",HLOOKUP((TotS)-AK21+1,'GCN_Post 1.0'!$E$464:$X$506,9,TRUE), 'GCN_Post 1.0'!AP472)), "")</f>
        <v/>
      </c>
      <c r="AL28" s="9" t="str">
        <f>IFERROR(IF(AL21&gt;TS, "", IF('GCN_Post 1.0'!AQ472="",HLOOKUP((TotS)-AL21+1,'GCN_Post 1.0'!$E$464:$X$506,9,TRUE), 'GCN_Post 1.0'!AQ472)), "")</f>
        <v/>
      </c>
      <c r="AM28" s="9" t="str">
        <f>IFERROR(IF(AM21&gt;TS, "", IF('GCN_Post 1.0'!AR472="",HLOOKUP((TotS)-AM21+1,'GCN_Post 1.0'!$E$464:$X$506,9,TRUE), 'GCN_Post 1.0'!AR472)), "")</f>
        <v/>
      </c>
      <c r="AN28" s="9" t="str">
        <f>IFERROR(IF(AN21&gt;TS, "", IF('GCN_Post 1.0'!AS472="",HLOOKUP((TotS)-AN21+1,'GCN_Post 1.0'!$E$464:$X$506,9,TRUE), 'GCN_Post 1.0'!AS472)), "")</f>
        <v/>
      </c>
      <c r="AO28" s="9" t="str">
        <f>IFERROR(IF(AO21&gt;TS, "", IF('GCN_Post 1.0'!AT472="",HLOOKUP((TotS)-AO21+1,'GCN_Post 1.0'!$E$464:$X$506,9,TRUE), 'GCN_Post 1.0'!AT472)), "")</f>
        <v/>
      </c>
      <c r="AP28" s="9" t="str">
        <f>IFERROR(IF(AP21&gt;TS, "", IF('GCN_Post 1.0'!AU472="",HLOOKUP((TotS)-AP21+1,'GCN_Post 1.0'!$E$464:$X$506,9,TRUE), 'GCN_Post 1.0'!AU472)), "")</f>
        <v/>
      </c>
      <c r="AQ28" s="9" t="str">
        <f>IFERROR(IF(AQ21&gt;TS, "", IF('GCN_Post 1.0'!AV472="",HLOOKUP((TotS)-AQ21+1,'GCN_Post 1.0'!$E$464:$X$506,9,TRUE), 'GCN_Post 1.0'!AV472)), "")</f>
        <v/>
      </c>
    </row>
    <row r="29" spans="2:43" x14ac:dyDescent="0.25">
      <c r="B29" s="555"/>
      <c r="C29" s="565"/>
      <c r="D29" s="9" t="str">
        <f>'GCN_Post 1.0'!I473</f>
        <v/>
      </c>
      <c r="E29" s="9" t="str">
        <f>IFERROR(IF(E21&gt;TS, "", IF('GCN_Post 1.0'!J473="",HLOOKUP((TotS)-E21+1,'GCN_Post 1.0'!$E$464:$X$506,10,TRUE), 'GCN_Post 1.0'!J473)), "")</f>
        <v/>
      </c>
      <c r="F29" s="9" t="str">
        <f>IFERROR(IF(F21&gt;TS, "", IF('GCN_Post 1.0'!K473="",HLOOKUP((TotS)-F21+1,'GCN_Post 1.0'!$E$464:$X$506,10,TRUE), 'GCN_Post 1.0'!K473)), "")</f>
        <v/>
      </c>
      <c r="G29" s="9" t="str">
        <f>IFERROR(IF(G21&gt;TS, "", IF('GCN_Post 1.0'!L473="",HLOOKUP((TotS)-G21+1,'GCN_Post 1.0'!$E$464:$X$506,10,TRUE), 'GCN_Post 1.0'!L473)), "")</f>
        <v/>
      </c>
      <c r="H29" s="9" t="str">
        <f>IFERROR(IF(H21&gt;TS, "", IF('GCN_Post 1.0'!M473="",HLOOKUP((TotS)-H21+1,'GCN_Post 1.0'!$E$464:$X$506,10,TRUE), 'GCN_Post 1.0'!M473)), "")</f>
        <v/>
      </c>
      <c r="I29" s="9" t="str">
        <f>IFERROR(IF(I21&gt;TS, "", IF('GCN_Post 1.0'!N473="",HLOOKUP((TotS)-I21+1,'GCN_Post 1.0'!$E$464:$X$506,10,TRUE), 'GCN_Post 1.0'!N473)), "")</f>
        <v/>
      </c>
      <c r="J29" s="9" t="str">
        <f>IFERROR(IF(J21&gt;TS, "", IF('GCN_Post 1.0'!O473="",HLOOKUP((TotS)-J21+1,'GCN_Post 1.0'!$E$464:$X$506,10,TRUE), 'GCN_Post 1.0'!O473)), "")</f>
        <v/>
      </c>
      <c r="K29" s="9" t="str">
        <f>IFERROR(IF(K21&gt;TS, "", IF('GCN_Post 1.0'!P473="",HLOOKUP((TotS)-K21+1,'GCN_Post 1.0'!$E$464:$X$506,10,TRUE), 'GCN_Post 1.0'!P473)), "")</f>
        <v/>
      </c>
      <c r="L29" s="9" t="str">
        <f>IFERROR(IF(L21&gt;TS, "", IF('GCN_Post 1.0'!Q473="",HLOOKUP((TotS)-L21+1,'GCN_Post 1.0'!$E$464:$X$506,10,TRUE), 'GCN_Post 1.0'!Q473)), "")</f>
        <v/>
      </c>
      <c r="M29" s="9" t="str">
        <f>IFERROR(IF(M21&gt;TS, "", IF('GCN_Post 1.0'!R473="",HLOOKUP((TotS)-M21+1,'GCN_Post 1.0'!$E$464:$X$506,10,TRUE), 'GCN_Post 1.0'!R473)), "")</f>
        <v/>
      </c>
      <c r="N29" s="9" t="str">
        <f>IFERROR(IF(N21&gt;TS, "", IF('GCN_Post 1.0'!S473="",HLOOKUP((TotS)-N21+1,'GCN_Post 1.0'!$E$464:$X$506,10,TRUE), 'GCN_Post 1.0'!S473)), "")</f>
        <v/>
      </c>
      <c r="O29" s="9" t="str">
        <f>IFERROR(IF(O21&gt;TS, "", IF('GCN_Post 1.0'!T473="",HLOOKUP((TotS)-O21+1,'GCN_Post 1.0'!$E$464:$X$506,10,TRUE), 'GCN_Post 1.0'!T473)), "")</f>
        <v/>
      </c>
      <c r="P29" s="9" t="str">
        <f>IFERROR(IF(P21&gt;TS, "", IF('GCN_Post 1.0'!U473="",HLOOKUP((TotS)-P21+1,'GCN_Post 1.0'!$E$464:$X$506,10,TRUE), 'GCN_Post 1.0'!U473)), "")</f>
        <v/>
      </c>
      <c r="Q29" s="9" t="str">
        <f>IFERROR(IF(Q21&gt;TS, "", IF('GCN_Post 1.0'!V473="",HLOOKUP((TotS)-Q21+1,'GCN_Post 1.0'!$E$464:$X$506,10,TRUE), 'GCN_Post 1.0'!V473)), "")</f>
        <v/>
      </c>
      <c r="R29" s="9" t="str">
        <f>IFERROR(IF(R21&gt;TS, "", IF('GCN_Post 1.0'!W473="",HLOOKUP((TotS)-R21+1,'GCN_Post 1.0'!$E$464:$X$506,10,TRUE), 'GCN_Post 1.0'!W473)), "")</f>
        <v/>
      </c>
      <c r="S29" s="9" t="str">
        <f>IFERROR(IF(S21&gt;TS, "", IF('GCN_Post 1.0'!X473="",HLOOKUP((TotS)-S21+1,'GCN_Post 1.0'!$E$464:$X$506,10,TRUE), 'GCN_Post 1.0'!X473)), "")</f>
        <v/>
      </c>
      <c r="T29" s="9" t="str">
        <f>IFERROR(IF(T21&gt;TS, "", IF('GCN_Post 1.0'!Y473="",HLOOKUP((TotS)-T21+1,'GCN_Post 1.0'!$E$464:$X$506,10,TRUE), 'GCN_Post 1.0'!Y473)), "")</f>
        <v/>
      </c>
      <c r="U29" s="9" t="str">
        <f>IFERROR(IF(U21&gt;TS, "", IF('GCN_Post 1.0'!Z473="",HLOOKUP((TotS)-U21+1,'GCN_Post 1.0'!$E$464:$X$506,10,TRUE), 'GCN_Post 1.0'!Z473)), "")</f>
        <v/>
      </c>
      <c r="V29" s="9" t="str">
        <f>IFERROR(IF(V21&gt;TS, "", IF('GCN_Post 1.0'!AA473="",HLOOKUP((TotS)-V21+1,'GCN_Post 1.0'!$E$464:$X$506,10,TRUE), 'GCN_Post 1.0'!AA473)), "")</f>
        <v/>
      </c>
      <c r="W29" s="9" t="str">
        <f>IFERROR(IF(W21&gt;TS, "", IF('GCN_Post 1.0'!AB473="",HLOOKUP((TotS)-W21+1,'GCN_Post 1.0'!$E$464:$X$506,10,TRUE), 'GCN_Post 1.0'!AB473)), "")</f>
        <v/>
      </c>
      <c r="X29" s="9" t="str">
        <f>IFERROR(IF(X21&gt;TS, "", IF('GCN_Post 1.0'!AC473="",HLOOKUP((TotS)-X21+1,'GCN_Post 1.0'!$E$464:$X$506,10,TRUE), 'GCN_Post 1.0'!AC473)), "")</f>
        <v/>
      </c>
      <c r="Y29" s="9" t="str">
        <f>IFERROR(IF(Y21&gt;TS, "", IF('GCN_Post 1.0'!AD473="",HLOOKUP((TotS)-Y21+1,'GCN_Post 1.0'!$E$464:$X$506,10,TRUE), 'GCN_Post 1.0'!AD473)), "")</f>
        <v/>
      </c>
      <c r="Z29" s="9" t="str">
        <f>IFERROR(IF(Z21&gt;TS, "", IF('GCN_Post 1.0'!AE473="",HLOOKUP((TotS)-Z21+1,'GCN_Post 1.0'!$E$464:$X$506,10,TRUE), 'GCN_Post 1.0'!AE473)), "")</f>
        <v/>
      </c>
      <c r="AA29" s="9" t="str">
        <f>IFERROR(IF(AA21&gt;TS, "", IF('GCN_Post 1.0'!AF473="",HLOOKUP((TotS)-AA21+1,'GCN_Post 1.0'!$E$464:$X$506,10,TRUE), 'GCN_Post 1.0'!AF473)), "")</f>
        <v/>
      </c>
      <c r="AB29" s="9" t="str">
        <f>IFERROR(IF(AB21&gt;TS, "", IF('GCN_Post 1.0'!AG473="",HLOOKUP((TotS)-AB21+1,'GCN_Post 1.0'!$E$464:$X$506,10,TRUE), 'GCN_Post 1.0'!AG473)), "")</f>
        <v/>
      </c>
      <c r="AC29" s="9" t="str">
        <f>IFERROR(IF(AC21&gt;TS, "", IF('GCN_Post 1.0'!AH473="",HLOOKUP((TotS)-AC21+1,'GCN_Post 1.0'!$E$464:$X$506,10,TRUE), 'GCN_Post 1.0'!AH473)), "")</f>
        <v/>
      </c>
      <c r="AD29" s="9" t="str">
        <f>IFERROR(IF(AD21&gt;TS, "", IF('GCN_Post 1.0'!AI473="",HLOOKUP((TotS)-AD21+1,'GCN_Post 1.0'!$E$464:$X$506,10,TRUE), 'GCN_Post 1.0'!AI473)), "")</f>
        <v/>
      </c>
      <c r="AE29" s="9" t="str">
        <f>IFERROR(IF(AE21&gt;TS, "", IF('GCN_Post 1.0'!AJ473="",HLOOKUP((TotS)-AE21+1,'GCN_Post 1.0'!$E$464:$X$506,10,TRUE), 'GCN_Post 1.0'!AJ473)), "")</f>
        <v/>
      </c>
      <c r="AF29" s="9" t="str">
        <f>IFERROR(IF(AF21&gt;TS, "", IF('GCN_Post 1.0'!AK473="",HLOOKUP((TotS)-AF21+1,'GCN_Post 1.0'!$E$464:$X$506,10,TRUE), 'GCN_Post 1.0'!AK473)), "")</f>
        <v/>
      </c>
      <c r="AG29" s="9" t="str">
        <f>IFERROR(IF(AG21&gt;TS, "", IF('GCN_Post 1.0'!AL473="",HLOOKUP((TotS)-AG21+1,'GCN_Post 1.0'!$E$464:$X$506,10,TRUE), 'GCN_Post 1.0'!AL473)), "")</f>
        <v/>
      </c>
      <c r="AH29" s="9" t="str">
        <f>IFERROR(IF(AH21&gt;TS, "", IF('GCN_Post 1.0'!AM473="",HLOOKUP((TotS)-AH21+1,'GCN_Post 1.0'!$E$464:$X$506,10,TRUE), 'GCN_Post 1.0'!AM473)), "")</f>
        <v/>
      </c>
      <c r="AI29" s="9" t="str">
        <f>IFERROR(IF(AI21&gt;TS, "", IF('GCN_Post 1.0'!AN473="",HLOOKUP((TotS)-AI21+1,'GCN_Post 1.0'!$E$464:$X$506,10,TRUE), 'GCN_Post 1.0'!AN473)), "")</f>
        <v/>
      </c>
      <c r="AJ29" s="9" t="str">
        <f>IFERROR(IF(AJ21&gt;TS, "", IF('GCN_Post 1.0'!AO473="",HLOOKUP((TotS)-AJ21+1,'GCN_Post 1.0'!$E$464:$X$506,10,TRUE), 'GCN_Post 1.0'!AO473)), "")</f>
        <v/>
      </c>
      <c r="AK29" s="9" t="str">
        <f>IFERROR(IF(AK21&gt;TS, "", IF('GCN_Post 1.0'!AP473="",HLOOKUP((TotS)-AK21+1,'GCN_Post 1.0'!$E$464:$X$506,10,TRUE), 'GCN_Post 1.0'!AP473)), "")</f>
        <v/>
      </c>
      <c r="AL29" s="9" t="str">
        <f>IFERROR(IF(AL21&gt;TS, "", IF('GCN_Post 1.0'!AQ473="",HLOOKUP((TotS)-AL21+1,'GCN_Post 1.0'!$E$464:$X$506,10,TRUE), 'GCN_Post 1.0'!AQ473)), "")</f>
        <v/>
      </c>
      <c r="AM29" s="9" t="str">
        <f>IFERROR(IF(AM21&gt;TS, "", IF('GCN_Post 1.0'!AR473="",HLOOKUP((TotS)-AM21+1,'GCN_Post 1.0'!$E$464:$X$506,10,TRUE), 'GCN_Post 1.0'!AR473)), "")</f>
        <v/>
      </c>
      <c r="AN29" s="9" t="str">
        <f>IFERROR(IF(AN21&gt;TS, "", IF('GCN_Post 1.0'!AS473="",HLOOKUP((TotS)-AN21+1,'GCN_Post 1.0'!$E$464:$X$506,10,TRUE), 'GCN_Post 1.0'!AS473)), "")</f>
        <v/>
      </c>
      <c r="AO29" s="9" t="str">
        <f>IFERROR(IF(AO21&gt;TS, "", IF('GCN_Post 1.0'!AT473="",HLOOKUP((TotS)-AO21+1,'GCN_Post 1.0'!$E$464:$X$506,10,TRUE), 'GCN_Post 1.0'!AT473)), "")</f>
        <v/>
      </c>
      <c r="AP29" s="9" t="str">
        <f>IFERROR(IF(AP21&gt;TS, "", IF('GCN_Post 1.0'!AU473="",HLOOKUP((TotS)-AP21+1,'GCN_Post 1.0'!$E$464:$X$506,10,TRUE), 'GCN_Post 1.0'!AU473)), "")</f>
        <v/>
      </c>
      <c r="AQ29" s="9" t="str">
        <f>IFERROR(IF(AQ21&gt;TS, "", IF('GCN_Post 1.0'!AV473="",HLOOKUP((TotS)-AQ21+1,'GCN_Post 1.0'!$E$464:$X$506,10,TRUE), 'GCN_Post 1.0'!AV473)), "")</f>
        <v/>
      </c>
    </row>
    <row r="30" spans="2:43" x14ac:dyDescent="0.25">
      <c r="B30" s="560"/>
      <c r="C30" s="601"/>
      <c r="D30" s="9" t="str">
        <f>'GCN_Post 1.0'!I474</f>
        <v/>
      </c>
      <c r="E30" s="9" t="str">
        <f>IFERROR(IF(E21&gt;TS, "", IF('GCN_Post 1.0'!J474="",HLOOKUP((TotS)-E21+1,'GCN_Post 1.0'!$E$464:$X$506,11,TRUE), 'GCN_Post 1.0'!J474)), "")</f>
        <v/>
      </c>
      <c r="F30" s="9" t="str">
        <f>IFERROR(IF(F21&gt;TS, "", IF('GCN_Post 1.0'!K474="",HLOOKUP((TotS)-F21+1,'GCN_Post 1.0'!$E$464:$X$506,11,TRUE), 'GCN_Post 1.0'!K474)), "")</f>
        <v/>
      </c>
      <c r="G30" s="9" t="str">
        <f>IFERROR(IF(G21&gt;TS, "", IF('GCN_Post 1.0'!L474="",HLOOKUP((TotS)-G21+1,'GCN_Post 1.0'!$E$464:$X$506,11,TRUE), 'GCN_Post 1.0'!L474)), "")</f>
        <v/>
      </c>
      <c r="H30" s="9" t="str">
        <f>IFERROR(IF(H21&gt;TS, "", IF('GCN_Post 1.0'!M474="",HLOOKUP((TotS)-H21+1,'GCN_Post 1.0'!$E$464:$X$506,11,TRUE), 'GCN_Post 1.0'!M474)), "")</f>
        <v/>
      </c>
      <c r="I30" s="9" t="str">
        <f>IFERROR(IF(I21&gt;TS, "", IF('GCN_Post 1.0'!N474="",HLOOKUP((TotS)-I21+1,'GCN_Post 1.0'!$E$464:$X$506,11,TRUE), 'GCN_Post 1.0'!N474)), "")</f>
        <v/>
      </c>
      <c r="J30" s="9" t="str">
        <f>IFERROR(IF(J21&gt;TS, "", IF('GCN_Post 1.0'!O474="",HLOOKUP((TotS)-J21+1,'GCN_Post 1.0'!$E$464:$X$506,11,TRUE), 'GCN_Post 1.0'!O474)), "")</f>
        <v/>
      </c>
      <c r="K30" s="9" t="str">
        <f>IFERROR(IF(K21&gt;TS, "", IF('GCN_Post 1.0'!P474="",HLOOKUP((TotS)-K21+1,'GCN_Post 1.0'!$E$464:$X$506,11,TRUE), 'GCN_Post 1.0'!P474)), "")</f>
        <v/>
      </c>
      <c r="L30" s="9" t="str">
        <f>IFERROR(IF(L21&gt;TS, "", IF('GCN_Post 1.0'!Q474="",HLOOKUP((TotS)-L21+1,'GCN_Post 1.0'!$E$464:$X$506,11,TRUE), 'GCN_Post 1.0'!Q474)), "")</f>
        <v/>
      </c>
      <c r="M30" s="9" t="str">
        <f>IFERROR(IF(M21&gt;TS, "", IF('GCN_Post 1.0'!R474="",HLOOKUP((TotS)-M21+1,'GCN_Post 1.0'!$E$464:$X$506,11,TRUE), 'GCN_Post 1.0'!R474)), "")</f>
        <v/>
      </c>
      <c r="N30" s="9" t="str">
        <f>IFERROR(IF(N21&gt;TS, "", IF('GCN_Post 1.0'!S474="",HLOOKUP((TotS)-N21+1,'GCN_Post 1.0'!$E$464:$X$506,11,TRUE), 'GCN_Post 1.0'!S474)), "")</f>
        <v/>
      </c>
      <c r="O30" s="9" t="str">
        <f>IFERROR(IF(O21&gt;TS, "", IF('GCN_Post 1.0'!T474="",HLOOKUP((TotS)-O21+1,'GCN_Post 1.0'!$E$464:$X$506,11,TRUE), 'GCN_Post 1.0'!T474)), "")</f>
        <v/>
      </c>
      <c r="P30" s="9" t="str">
        <f>IFERROR(IF(P21&gt;TS, "", IF('GCN_Post 1.0'!U474="",HLOOKUP((TotS)-P21+1,'GCN_Post 1.0'!$E$464:$X$506,11,TRUE), 'GCN_Post 1.0'!U474)), "")</f>
        <v/>
      </c>
      <c r="Q30" s="9" t="str">
        <f>IFERROR(IF(Q21&gt;TS, "", IF('GCN_Post 1.0'!V474="",HLOOKUP((TotS)-Q21+1,'GCN_Post 1.0'!$E$464:$X$506,11,TRUE), 'GCN_Post 1.0'!V474)), "")</f>
        <v/>
      </c>
      <c r="R30" s="9" t="str">
        <f>IFERROR(IF(R21&gt;TS, "", IF('GCN_Post 1.0'!W474="",HLOOKUP((TotS)-R21+1,'GCN_Post 1.0'!$E$464:$X$506,11,TRUE), 'GCN_Post 1.0'!W474)), "")</f>
        <v/>
      </c>
      <c r="S30" s="9" t="str">
        <f>IFERROR(IF(S21&gt;TS, "", IF('GCN_Post 1.0'!X474="",HLOOKUP((TotS)-S21+1,'GCN_Post 1.0'!$E$464:$X$506,11,TRUE), 'GCN_Post 1.0'!X474)), "")</f>
        <v/>
      </c>
      <c r="T30" s="9" t="str">
        <f>IFERROR(IF(T21&gt;TS, "", IF('GCN_Post 1.0'!Y474="",HLOOKUP((TotS)-T21+1,'GCN_Post 1.0'!$E$464:$X$506,11,TRUE), 'GCN_Post 1.0'!Y474)), "")</f>
        <v/>
      </c>
      <c r="U30" s="9" t="str">
        <f>IFERROR(IF(U21&gt;TS, "", IF('GCN_Post 1.0'!Z474="",HLOOKUP((TotS)-U21+1,'GCN_Post 1.0'!$E$464:$X$506,11,TRUE), 'GCN_Post 1.0'!Z474)), "")</f>
        <v/>
      </c>
      <c r="V30" s="9" t="str">
        <f>IFERROR(IF(V21&gt;TS, "", IF('GCN_Post 1.0'!AA474="",HLOOKUP((TotS)-V21+1,'GCN_Post 1.0'!$E$464:$X$506,11,TRUE), 'GCN_Post 1.0'!AA474)), "")</f>
        <v/>
      </c>
      <c r="W30" s="9" t="str">
        <f>IFERROR(IF(W21&gt;TS, "", IF('GCN_Post 1.0'!AB474="",HLOOKUP((TotS)-W21+1,'GCN_Post 1.0'!$E$464:$X$506,11,TRUE), 'GCN_Post 1.0'!AB474)), "")</f>
        <v/>
      </c>
      <c r="X30" s="9" t="str">
        <f>IFERROR(IF(X21&gt;TS, "", IF('GCN_Post 1.0'!AC474="",HLOOKUP((TotS)-X21+1,'GCN_Post 1.0'!$E$464:$X$506,11,TRUE), 'GCN_Post 1.0'!AC474)), "")</f>
        <v/>
      </c>
      <c r="Y30" s="9" t="str">
        <f>IFERROR(IF(Y21&gt;TS, "", IF('GCN_Post 1.0'!AD474="",HLOOKUP((TotS)-Y21+1,'GCN_Post 1.0'!$E$464:$X$506,11,TRUE), 'GCN_Post 1.0'!AD474)), "")</f>
        <v/>
      </c>
      <c r="Z30" s="9" t="str">
        <f>IFERROR(IF(Z21&gt;TS, "", IF('GCN_Post 1.0'!AE474="",HLOOKUP((TotS)-Z21+1,'GCN_Post 1.0'!$E$464:$X$506,11,TRUE), 'GCN_Post 1.0'!AE474)), "")</f>
        <v/>
      </c>
      <c r="AA30" s="9" t="str">
        <f>IFERROR(IF(AA21&gt;TS, "", IF('GCN_Post 1.0'!AF474="",HLOOKUP((TotS)-AA21+1,'GCN_Post 1.0'!$E$464:$X$506,11,TRUE), 'GCN_Post 1.0'!AF474)), "")</f>
        <v/>
      </c>
      <c r="AB30" s="9" t="str">
        <f>IFERROR(IF(AB21&gt;TS, "", IF('GCN_Post 1.0'!AG474="",HLOOKUP((TotS)-AB21+1,'GCN_Post 1.0'!$E$464:$X$506,11,TRUE), 'GCN_Post 1.0'!AG474)), "")</f>
        <v/>
      </c>
      <c r="AC30" s="9" t="str">
        <f>IFERROR(IF(AC21&gt;TS, "", IF('GCN_Post 1.0'!AH474="",HLOOKUP((TotS)-AC21+1,'GCN_Post 1.0'!$E$464:$X$506,11,TRUE), 'GCN_Post 1.0'!AH474)), "")</f>
        <v/>
      </c>
      <c r="AD30" s="9" t="str">
        <f>IFERROR(IF(AD21&gt;TS, "", IF('GCN_Post 1.0'!AI474="",HLOOKUP((TotS)-AD21+1,'GCN_Post 1.0'!$E$464:$X$506,11,TRUE), 'GCN_Post 1.0'!AI474)), "")</f>
        <v/>
      </c>
      <c r="AE30" s="9" t="str">
        <f>IFERROR(IF(AE21&gt;TS, "", IF('GCN_Post 1.0'!AJ474="",HLOOKUP((TotS)-AE21+1,'GCN_Post 1.0'!$E$464:$X$506,11,TRUE), 'GCN_Post 1.0'!AJ474)), "")</f>
        <v/>
      </c>
      <c r="AF30" s="9" t="str">
        <f>IFERROR(IF(AF21&gt;TS, "", IF('GCN_Post 1.0'!AK474="",HLOOKUP((TotS)-AF21+1,'GCN_Post 1.0'!$E$464:$X$506,11,TRUE), 'GCN_Post 1.0'!AK474)), "")</f>
        <v/>
      </c>
      <c r="AG30" s="9" t="str">
        <f>IFERROR(IF(AG21&gt;TS, "", IF('GCN_Post 1.0'!AL474="",HLOOKUP((TotS)-AG21+1,'GCN_Post 1.0'!$E$464:$X$506,11,TRUE), 'GCN_Post 1.0'!AL474)), "")</f>
        <v/>
      </c>
      <c r="AH30" s="9" t="str">
        <f>IFERROR(IF(AH21&gt;TS, "", IF('GCN_Post 1.0'!AM474="",HLOOKUP((TotS)-AH21+1,'GCN_Post 1.0'!$E$464:$X$506,11,TRUE), 'GCN_Post 1.0'!AM474)), "")</f>
        <v/>
      </c>
      <c r="AI30" s="9" t="str">
        <f>IFERROR(IF(AI21&gt;TS, "", IF('GCN_Post 1.0'!AN474="",HLOOKUP((TotS)-AI21+1,'GCN_Post 1.0'!$E$464:$X$506,11,TRUE), 'GCN_Post 1.0'!AN474)), "")</f>
        <v/>
      </c>
      <c r="AJ30" s="9" t="str">
        <f>IFERROR(IF(AJ21&gt;TS, "", IF('GCN_Post 1.0'!AO474="",HLOOKUP((TotS)-AJ21+1,'GCN_Post 1.0'!$E$464:$X$506,11,TRUE), 'GCN_Post 1.0'!AO474)), "")</f>
        <v/>
      </c>
      <c r="AK30" s="9" t="str">
        <f>IFERROR(IF(AK21&gt;TS, "", IF('GCN_Post 1.0'!AP474="",HLOOKUP((TotS)-AK21+1,'GCN_Post 1.0'!$E$464:$X$506,11,TRUE), 'GCN_Post 1.0'!AP474)), "")</f>
        <v/>
      </c>
      <c r="AL30" s="9" t="str">
        <f>IFERROR(IF(AL21&gt;TS, "", IF('GCN_Post 1.0'!AQ474="",HLOOKUP((TotS)-AL21+1,'GCN_Post 1.0'!$E$464:$X$506,11,TRUE), 'GCN_Post 1.0'!AQ474)), "")</f>
        <v/>
      </c>
      <c r="AM30" s="9" t="str">
        <f>IFERROR(IF(AM21&gt;TS, "", IF('GCN_Post 1.0'!AR474="",HLOOKUP((TotS)-AM21+1,'GCN_Post 1.0'!$E$464:$X$506,11,TRUE), 'GCN_Post 1.0'!AR474)), "")</f>
        <v/>
      </c>
      <c r="AN30" s="9" t="str">
        <f>IFERROR(IF(AN21&gt;TS, "", IF('GCN_Post 1.0'!AS474="",HLOOKUP((TotS)-AN21+1,'GCN_Post 1.0'!$E$464:$X$506,11,TRUE), 'GCN_Post 1.0'!AS474)), "")</f>
        <v/>
      </c>
      <c r="AO30" s="9" t="str">
        <f>IFERROR(IF(AO21&gt;TS, "", IF('GCN_Post 1.0'!AT474="",HLOOKUP((TotS)-AO21+1,'GCN_Post 1.0'!$E$464:$X$506,11,TRUE), 'GCN_Post 1.0'!AT474)), "")</f>
        <v/>
      </c>
      <c r="AP30" s="9" t="str">
        <f>IFERROR(IF(AP21&gt;TS, "", IF('GCN_Post 1.0'!AU474="",HLOOKUP((TotS)-AP21+1,'GCN_Post 1.0'!$E$464:$X$506,11,TRUE), 'GCN_Post 1.0'!AU474)), "")</f>
        <v/>
      </c>
      <c r="AQ30" s="9" t="str">
        <f>IFERROR(IF(AQ21&gt;TS, "", IF('GCN_Post 1.0'!AV474="",HLOOKUP((TotS)-AQ21+1,'GCN_Post 1.0'!$E$464:$X$506,11,TRUE), 'GCN_Post 1.0'!AV474)), "")</f>
        <v/>
      </c>
    </row>
    <row r="32" spans="2:43" ht="15" customHeight="1" x14ac:dyDescent="0.25">
      <c r="B32" s="663" t="s">
        <v>722</v>
      </c>
      <c r="C32" s="572"/>
      <c r="D32" s="9" t="str">
        <f>'GCN_Post 1.0'!I475</f>
        <v/>
      </c>
      <c r="E32" s="9" t="str">
        <f>IFERROR(IF('GCN_Post 1.0'!J475="",HLOOKUP((TotS)-E21+1, 'GCN_Post 1.0'!$E$464:$X$506,12,TRUE), 'GCN_Post 1.0'!J475),"")</f>
        <v/>
      </c>
      <c r="F32" s="9" t="str">
        <f>IFERROR(IF('GCN_Post 1.0'!K475="",HLOOKUP((TotS)-F21+1, 'GCN_Post 1.0'!$E$464:$X$506,12,TRUE), 'GCN_Post 1.0'!K475),"")</f>
        <v/>
      </c>
      <c r="G32" s="9" t="str">
        <f>IFERROR(IF('GCN_Post 1.0'!L475="",HLOOKUP((TotS)-G21+1, 'GCN_Post 1.0'!$E$464:$X$506,12,TRUE), 'GCN_Post 1.0'!L475),"")</f>
        <v/>
      </c>
      <c r="H32" s="9" t="str">
        <f>IFERROR(IF('GCN_Post 1.0'!M475="",HLOOKUP((TotS)-H21+1, 'GCN_Post 1.0'!$E$464:$X$506,12,TRUE), 'GCN_Post 1.0'!M475),"")</f>
        <v/>
      </c>
      <c r="I32" s="9" t="str">
        <f>IFERROR(IF('GCN_Post 1.0'!N475="",HLOOKUP((TotS)-I21+1, 'GCN_Post 1.0'!$E$464:$X$506,12,TRUE), 'GCN_Post 1.0'!N475),"")</f>
        <v/>
      </c>
      <c r="J32" s="9" t="str">
        <f>IFERROR(IF('GCN_Post 1.0'!O475="",HLOOKUP((TotS)-J21+1, 'GCN_Post 1.0'!$E$464:$X$506,12,TRUE), 'GCN_Post 1.0'!O475),"")</f>
        <v/>
      </c>
      <c r="K32" s="9" t="str">
        <f>IFERROR(IF('GCN_Post 1.0'!P475="",HLOOKUP((TotS)-K21+1, 'GCN_Post 1.0'!$E$464:$X$506,12,TRUE), 'GCN_Post 1.0'!P475),"")</f>
        <v/>
      </c>
      <c r="L32" s="9" t="str">
        <f>IFERROR(IF('GCN_Post 1.0'!Q475="",HLOOKUP((TotS)-L21+1, 'GCN_Post 1.0'!$E$464:$X$506,12,TRUE), 'GCN_Post 1.0'!Q475),"")</f>
        <v/>
      </c>
      <c r="M32" s="9" t="str">
        <f>IFERROR(IF('GCN_Post 1.0'!R475="",HLOOKUP((TotS)-M21+1, 'GCN_Post 1.0'!$E$464:$X$506,12,TRUE), 'GCN_Post 1.0'!R475),"")</f>
        <v/>
      </c>
      <c r="N32" s="9" t="str">
        <f>IFERROR(IF('GCN_Post 1.0'!S475="",HLOOKUP((TotS)-N21+1, 'GCN_Post 1.0'!$E$464:$X$506,12,TRUE), 'GCN_Post 1.0'!S475),"")</f>
        <v/>
      </c>
      <c r="O32" s="9" t="str">
        <f>IFERROR(IF('GCN_Post 1.0'!T475="",HLOOKUP((TotS)-O21+1, 'GCN_Post 1.0'!$E$464:$X$506,12,TRUE), 'GCN_Post 1.0'!T475),"")</f>
        <v/>
      </c>
      <c r="P32" s="9" t="str">
        <f>IFERROR(IF('GCN_Post 1.0'!U475="",HLOOKUP((TotS)-P21+1, 'GCN_Post 1.0'!$E$464:$X$506,12,TRUE), 'GCN_Post 1.0'!U475),"")</f>
        <v/>
      </c>
      <c r="Q32" s="9" t="str">
        <f>IFERROR(IF('GCN_Post 1.0'!V475="",HLOOKUP((TotS)-Q21+1, 'GCN_Post 1.0'!$E$464:$X$506,12,TRUE), 'GCN_Post 1.0'!V475),"")</f>
        <v/>
      </c>
      <c r="R32" s="9" t="str">
        <f>IFERROR(IF('GCN_Post 1.0'!W475="",HLOOKUP((TotS)-R21+1, 'GCN_Post 1.0'!$E$464:$X$506,12,TRUE), 'GCN_Post 1.0'!W475),"")</f>
        <v/>
      </c>
      <c r="S32" s="9" t="str">
        <f>IFERROR(IF('GCN_Post 1.0'!X475="",HLOOKUP((TotS)-S21+1, 'GCN_Post 1.0'!$E$464:$X$506,12,TRUE), 'GCN_Post 1.0'!X475),"")</f>
        <v/>
      </c>
      <c r="T32" s="9" t="str">
        <f>IFERROR(IF('GCN_Post 1.0'!Y475="",HLOOKUP((TotS)-T21+1, 'GCN_Post 1.0'!$E$464:$X$506,12,TRUE), 'GCN_Post 1.0'!Y475),"")</f>
        <v/>
      </c>
      <c r="U32" s="9" t="str">
        <f>IFERROR(IF('GCN_Post 1.0'!Z475="",HLOOKUP((TotS)-U21+1, 'GCN_Post 1.0'!$E$464:$X$506,12,TRUE), 'GCN_Post 1.0'!Z475),"")</f>
        <v/>
      </c>
      <c r="V32" s="9" t="str">
        <f>IFERROR(IF('GCN_Post 1.0'!AA475="",HLOOKUP((TotS)-V21+1, 'GCN_Post 1.0'!$E$464:$X$506,12,TRUE), 'GCN_Post 1.0'!AA475),"")</f>
        <v/>
      </c>
      <c r="W32" s="9" t="str">
        <f>IFERROR(IF('GCN_Post 1.0'!AB475="",HLOOKUP((TotS)-W21+1, 'GCN_Post 1.0'!$E$464:$X$506,12,TRUE), 'GCN_Post 1.0'!AB475),"")</f>
        <v/>
      </c>
      <c r="X32" s="9" t="str">
        <f>IFERROR(IF('GCN_Post 1.0'!AC475="",HLOOKUP((TotS)-X21+1, 'GCN_Post 1.0'!$E$464:$X$506,12,TRUE), 'GCN_Post 1.0'!AC475),"")</f>
        <v/>
      </c>
      <c r="Y32" s="9" t="str">
        <f>IFERROR(IF('GCN_Post 1.0'!AD475="",HLOOKUP((TotS)-Y21+1, 'GCN_Post 1.0'!$E$464:$X$506,12,TRUE), 'GCN_Post 1.0'!AD475),"")</f>
        <v/>
      </c>
      <c r="Z32" s="9" t="str">
        <f>IFERROR(IF('GCN_Post 1.0'!AE475="",HLOOKUP((TotS)-Z21+1, 'GCN_Post 1.0'!$E$464:$X$506,12,TRUE), 'GCN_Post 1.0'!AE475),"")</f>
        <v/>
      </c>
      <c r="AA32" s="9" t="str">
        <f>IFERROR(IF('GCN_Post 1.0'!AF475="",HLOOKUP((TotS)-AA21+1, 'GCN_Post 1.0'!$E$464:$X$506,12,TRUE), 'GCN_Post 1.0'!AF475),"")</f>
        <v/>
      </c>
      <c r="AB32" s="9" t="str">
        <f>IFERROR(IF('GCN_Post 1.0'!AG475="",HLOOKUP((TotS)-AB21+1, 'GCN_Post 1.0'!$E$464:$X$506,12,TRUE), 'GCN_Post 1.0'!AG475),"")</f>
        <v/>
      </c>
      <c r="AC32" s="9" t="str">
        <f>IFERROR(IF('GCN_Post 1.0'!AH475="",HLOOKUP((TotS)-AC21+1, 'GCN_Post 1.0'!$E$464:$X$506,12,TRUE), 'GCN_Post 1.0'!AH475),"")</f>
        <v/>
      </c>
      <c r="AD32" s="9" t="str">
        <f>IFERROR(IF('GCN_Post 1.0'!AI475="",HLOOKUP((TotS)-AD21+1, 'GCN_Post 1.0'!$E$464:$X$506,12,TRUE), 'GCN_Post 1.0'!AI475),"")</f>
        <v/>
      </c>
      <c r="AE32" s="9" t="str">
        <f>IFERROR(IF('GCN_Post 1.0'!AJ475="",HLOOKUP((TotS)-AE21+1, 'GCN_Post 1.0'!$E$464:$X$506,12,TRUE), 'GCN_Post 1.0'!AJ475),"")</f>
        <v/>
      </c>
      <c r="AF32" s="9" t="str">
        <f>IFERROR(IF('GCN_Post 1.0'!AK475="",HLOOKUP((TotS)-AF21+1, 'GCN_Post 1.0'!$E$464:$X$506,12,TRUE), 'GCN_Post 1.0'!AK475),"")</f>
        <v/>
      </c>
      <c r="AG32" s="9" t="str">
        <f>IFERROR(IF('GCN_Post 1.0'!AL475="",HLOOKUP((TotS)-AG21+1, 'GCN_Post 1.0'!$E$464:$X$506,12,TRUE), 'GCN_Post 1.0'!AL475),"")</f>
        <v/>
      </c>
      <c r="AH32" s="9" t="str">
        <f>IFERROR(IF('GCN_Post 1.0'!AM475="",HLOOKUP((TotS)-AH21+1, 'GCN_Post 1.0'!$E$464:$X$506,12,TRUE), 'GCN_Post 1.0'!AM475),"")</f>
        <v/>
      </c>
      <c r="AI32" s="9" t="str">
        <f>IFERROR(IF('GCN_Post 1.0'!AN475="",HLOOKUP((TotS)-AI21+1, 'GCN_Post 1.0'!$E$464:$X$506,12,TRUE), 'GCN_Post 1.0'!AN475),"")</f>
        <v/>
      </c>
      <c r="AJ32" s="9" t="str">
        <f>IFERROR(IF('GCN_Post 1.0'!AO475="",HLOOKUP((TotS)-AJ21+1, 'GCN_Post 1.0'!$E$464:$X$506,12,TRUE), 'GCN_Post 1.0'!AO475),"")</f>
        <v/>
      </c>
      <c r="AK32" s="9" t="str">
        <f>IFERROR(IF('GCN_Post 1.0'!AP475="",HLOOKUP((TotS)-AK21+1, 'GCN_Post 1.0'!$E$464:$X$506,12,TRUE), 'GCN_Post 1.0'!AP475),"")</f>
        <v/>
      </c>
      <c r="AL32" s="9" t="str">
        <f>IFERROR(IF('GCN_Post 1.0'!AQ475="",HLOOKUP((TotS)-AL21+1, 'GCN_Post 1.0'!$E$464:$X$506,12,TRUE), 'GCN_Post 1.0'!AQ475),"")</f>
        <v/>
      </c>
      <c r="AM32" s="9" t="str">
        <f>IFERROR(IF('GCN_Post 1.0'!AR475="",HLOOKUP((TotS)-AM21+1, 'GCN_Post 1.0'!$E$464:$X$506,12,TRUE), 'GCN_Post 1.0'!AR475),"")</f>
        <v/>
      </c>
      <c r="AN32" s="9" t="str">
        <f>IFERROR(IF('GCN_Post 1.0'!AS475="",HLOOKUP((TotS)-AN21+1, 'GCN_Post 1.0'!$E$464:$X$506,12,TRUE), 'GCN_Post 1.0'!AS475),"")</f>
        <v/>
      </c>
      <c r="AO32" s="9" t="str">
        <f>IFERROR(IF('GCN_Post 1.0'!AT475="",HLOOKUP((TotS)-AO21+1, 'GCN_Post 1.0'!$E$464:$X$506,12,TRUE), 'GCN_Post 1.0'!AT475),"")</f>
        <v/>
      </c>
      <c r="AP32" s="9" t="str">
        <f>IFERROR(IF('GCN_Post 1.0'!AU475="",HLOOKUP((TotS)-AP21+1, 'GCN_Post 1.0'!$E$464:$X$506,12,TRUE), 'GCN_Post 1.0'!AU475),"")</f>
        <v/>
      </c>
      <c r="AQ32" s="9" t="str">
        <f>IFERROR(IF('GCN_Post 1.0'!AV475="",HLOOKUP((TotS)-AQ21+1, 'GCN_Post 1.0'!$E$464:$X$506,12,TRUE), 'GCN_Post 1.0'!AV475),"")</f>
        <v/>
      </c>
    </row>
    <row r="33" spans="2:43" x14ac:dyDescent="0.25">
      <c r="B33" s="555"/>
      <c r="C33" s="565"/>
      <c r="D33" s="9" t="str">
        <f>'GCN_Post 1.0'!I476</f>
        <v/>
      </c>
      <c r="E33" s="9" t="str">
        <f>IFERROR(IF('GCN_Post 1.0'!J476="",HLOOKUP((TotS)-E21+1, 'GCN_Post 1.0'!$E$464:$X$506,13,TRUE), 'GCN_Post 1.0'!J476),"")</f>
        <v/>
      </c>
      <c r="F33" s="9" t="str">
        <f>IFERROR(IF('GCN_Post 1.0'!K476="",HLOOKUP((TotS)-F21+1, 'GCN_Post 1.0'!$E$464:$X$506,13,TRUE), 'GCN_Post 1.0'!K476),"")</f>
        <v/>
      </c>
      <c r="G33" s="9" t="str">
        <f>IFERROR(IF('GCN_Post 1.0'!L476="",HLOOKUP((TotS)-G21+1, 'GCN_Post 1.0'!$E$464:$X$506,13,TRUE), 'GCN_Post 1.0'!L476),"")</f>
        <v/>
      </c>
      <c r="H33" s="9" t="str">
        <f>IFERROR(IF('GCN_Post 1.0'!M476="",HLOOKUP((TotS)-H21+1, 'GCN_Post 1.0'!$E$464:$X$506,13,TRUE), 'GCN_Post 1.0'!M476),"")</f>
        <v/>
      </c>
      <c r="I33" s="9" t="str">
        <f>IFERROR(IF('GCN_Post 1.0'!N476="",HLOOKUP((TotS)-I21+1, 'GCN_Post 1.0'!$E$464:$X$506,13,TRUE), 'GCN_Post 1.0'!N476),"")</f>
        <v/>
      </c>
      <c r="J33" s="9" t="str">
        <f>IFERROR(IF('GCN_Post 1.0'!O476="",HLOOKUP((TotS)-J21+1, 'GCN_Post 1.0'!$E$464:$X$506,13,TRUE), 'GCN_Post 1.0'!O476),"")</f>
        <v/>
      </c>
      <c r="K33" s="9" t="str">
        <f>IFERROR(IF('GCN_Post 1.0'!P476="",HLOOKUP((TotS)-K21+1, 'GCN_Post 1.0'!$E$464:$X$506,13,TRUE), 'GCN_Post 1.0'!P476),"")</f>
        <v/>
      </c>
      <c r="L33" s="9" t="str">
        <f>IFERROR(IF('GCN_Post 1.0'!Q476="",HLOOKUP((TotS)-L21+1, 'GCN_Post 1.0'!$E$464:$X$506,13,TRUE), 'GCN_Post 1.0'!Q476),"")</f>
        <v/>
      </c>
      <c r="M33" s="9" t="str">
        <f>IFERROR(IF('GCN_Post 1.0'!R476="",HLOOKUP((TotS)-M21+1, 'GCN_Post 1.0'!$E$464:$X$506,13,TRUE), 'GCN_Post 1.0'!R476),"")</f>
        <v/>
      </c>
      <c r="N33" s="9" t="str">
        <f>IFERROR(IF('GCN_Post 1.0'!S476="",HLOOKUP((TotS)-N21+1, 'GCN_Post 1.0'!$E$464:$X$506,13,TRUE), 'GCN_Post 1.0'!S476),"")</f>
        <v/>
      </c>
      <c r="O33" s="9" t="str">
        <f>IFERROR(IF('GCN_Post 1.0'!T476="",HLOOKUP((TotS)-O21+1, 'GCN_Post 1.0'!$E$464:$X$506,13,TRUE), 'GCN_Post 1.0'!T476),"")</f>
        <v/>
      </c>
      <c r="P33" s="9" t="str">
        <f>IFERROR(IF('GCN_Post 1.0'!U476="",HLOOKUP((TotS)-P21+1, 'GCN_Post 1.0'!$E$464:$X$506,13,TRUE), 'GCN_Post 1.0'!U476),"")</f>
        <v/>
      </c>
      <c r="Q33" s="9" t="str">
        <f>IFERROR(IF('GCN_Post 1.0'!V476="",HLOOKUP((TotS)-Q21+1, 'GCN_Post 1.0'!$E$464:$X$506,13,TRUE), 'GCN_Post 1.0'!V476),"")</f>
        <v/>
      </c>
      <c r="R33" s="9" t="str">
        <f>IFERROR(IF('GCN_Post 1.0'!W476="",HLOOKUP((TotS)-R21+1, 'GCN_Post 1.0'!$E$464:$X$506,13,TRUE), 'GCN_Post 1.0'!W476),"")</f>
        <v/>
      </c>
      <c r="S33" s="9" t="str">
        <f>IFERROR(IF('GCN_Post 1.0'!X476="",HLOOKUP((TotS)-S21+1, 'GCN_Post 1.0'!$E$464:$X$506,13,TRUE), 'GCN_Post 1.0'!X476),"")</f>
        <v/>
      </c>
      <c r="T33" s="9" t="str">
        <f>IFERROR(IF('GCN_Post 1.0'!Y476="",HLOOKUP((TotS)-T21+1, 'GCN_Post 1.0'!$E$464:$X$506,13,TRUE), 'GCN_Post 1.0'!Y476),"")</f>
        <v/>
      </c>
      <c r="U33" s="9" t="str">
        <f>IFERROR(IF('GCN_Post 1.0'!Z476="",HLOOKUP((TotS)-U21+1, 'GCN_Post 1.0'!$E$464:$X$506,13,TRUE), 'GCN_Post 1.0'!Z476),"")</f>
        <v/>
      </c>
      <c r="V33" s="9" t="str">
        <f>IFERROR(IF('GCN_Post 1.0'!AA476="",HLOOKUP((TotS)-V21+1, 'GCN_Post 1.0'!$E$464:$X$506,13,TRUE), 'GCN_Post 1.0'!AA476),"")</f>
        <v/>
      </c>
      <c r="W33" s="9" t="str">
        <f>IFERROR(IF('GCN_Post 1.0'!AB476="",HLOOKUP((TotS)-W21+1, 'GCN_Post 1.0'!$E$464:$X$506,13,TRUE), 'GCN_Post 1.0'!AB476),"")</f>
        <v/>
      </c>
      <c r="X33" s="9" t="str">
        <f>IFERROR(IF('GCN_Post 1.0'!AC476="",HLOOKUP((TotS)-X21+1, 'GCN_Post 1.0'!$E$464:$X$506,13,TRUE), 'GCN_Post 1.0'!AC476),"")</f>
        <v/>
      </c>
      <c r="Y33" s="9" t="str">
        <f>IFERROR(IF('GCN_Post 1.0'!AD476="",HLOOKUP((TotS)-Y21+1, 'GCN_Post 1.0'!$E$464:$X$506,13,TRUE), 'GCN_Post 1.0'!AD476),"")</f>
        <v/>
      </c>
      <c r="Z33" s="9" t="str">
        <f>IFERROR(IF('GCN_Post 1.0'!AE476="",HLOOKUP((TotS)-Z21+1, 'GCN_Post 1.0'!$E$464:$X$506,13,TRUE), 'GCN_Post 1.0'!AE476),"")</f>
        <v/>
      </c>
      <c r="AA33" s="9" t="str">
        <f>IFERROR(IF('GCN_Post 1.0'!AF476="",HLOOKUP((TotS)-AA21+1, 'GCN_Post 1.0'!$E$464:$X$506,13,TRUE), 'GCN_Post 1.0'!AF476),"")</f>
        <v/>
      </c>
      <c r="AB33" s="9" t="str">
        <f>IFERROR(IF('GCN_Post 1.0'!AG476="",HLOOKUP((TotS)-AB21+1, 'GCN_Post 1.0'!$E$464:$X$506,13,TRUE), 'GCN_Post 1.0'!AG476),"")</f>
        <v/>
      </c>
      <c r="AC33" s="9" t="str">
        <f>IFERROR(IF('GCN_Post 1.0'!AH476="",HLOOKUP((TotS)-AC21+1, 'GCN_Post 1.0'!$E$464:$X$506,13,TRUE), 'GCN_Post 1.0'!AH476),"")</f>
        <v/>
      </c>
      <c r="AD33" s="9" t="str">
        <f>IFERROR(IF('GCN_Post 1.0'!AI476="",HLOOKUP((TotS)-AD21+1, 'GCN_Post 1.0'!$E$464:$X$506,13,TRUE), 'GCN_Post 1.0'!AI476),"")</f>
        <v/>
      </c>
      <c r="AE33" s="9" t="str">
        <f>IFERROR(IF('GCN_Post 1.0'!AJ476="",HLOOKUP((TotS)-AE21+1, 'GCN_Post 1.0'!$E$464:$X$506,13,TRUE), 'GCN_Post 1.0'!AJ476),"")</f>
        <v/>
      </c>
      <c r="AF33" s="9" t="str">
        <f>IFERROR(IF('GCN_Post 1.0'!AK476="",HLOOKUP((TotS)-AF21+1, 'GCN_Post 1.0'!$E$464:$X$506,13,TRUE), 'GCN_Post 1.0'!AK476),"")</f>
        <v/>
      </c>
      <c r="AG33" s="9" t="str">
        <f>IFERROR(IF('GCN_Post 1.0'!AL476="",HLOOKUP((TotS)-AG21+1, 'GCN_Post 1.0'!$E$464:$X$506,13,TRUE), 'GCN_Post 1.0'!AL476),"")</f>
        <v/>
      </c>
      <c r="AH33" s="9" t="str">
        <f>IFERROR(IF('GCN_Post 1.0'!AM476="",HLOOKUP((TotS)-AH21+1, 'GCN_Post 1.0'!$E$464:$X$506,13,TRUE), 'GCN_Post 1.0'!AM476),"")</f>
        <v/>
      </c>
      <c r="AI33" s="9" t="str">
        <f>IFERROR(IF('GCN_Post 1.0'!AN476="",HLOOKUP((TotS)-AI21+1, 'GCN_Post 1.0'!$E$464:$X$506,13,TRUE), 'GCN_Post 1.0'!AN476),"")</f>
        <v/>
      </c>
      <c r="AJ33" s="9" t="str">
        <f>IFERROR(IF('GCN_Post 1.0'!AO476="",HLOOKUP((TotS)-AJ21+1, 'GCN_Post 1.0'!$E$464:$X$506,13,TRUE), 'GCN_Post 1.0'!AO476),"")</f>
        <v/>
      </c>
      <c r="AK33" s="9" t="str">
        <f>IFERROR(IF('GCN_Post 1.0'!AP476="",HLOOKUP((TotS)-AK21+1, 'GCN_Post 1.0'!$E$464:$X$506,13,TRUE), 'GCN_Post 1.0'!AP476),"")</f>
        <v/>
      </c>
      <c r="AL33" s="9" t="str">
        <f>IFERROR(IF('GCN_Post 1.0'!AQ476="",HLOOKUP((TotS)-AL21+1, 'GCN_Post 1.0'!$E$464:$X$506,13,TRUE), 'GCN_Post 1.0'!AQ476),"")</f>
        <v/>
      </c>
      <c r="AM33" s="9" t="str">
        <f>IFERROR(IF('GCN_Post 1.0'!AR476="",HLOOKUP((TotS)-AM21+1, 'GCN_Post 1.0'!$E$464:$X$506,13,TRUE), 'GCN_Post 1.0'!AR476),"")</f>
        <v/>
      </c>
      <c r="AN33" s="9" t="str">
        <f>IFERROR(IF('GCN_Post 1.0'!AS476="",HLOOKUP((TotS)-AN21+1, 'GCN_Post 1.0'!$E$464:$X$506,13,TRUE), 'GCN_Post 1.0'!AS476),"")</f>
        <v/>
      </c>
      <c r="AO33" s="9" t="str">
        <f>IFERROR(IF('GCN_Post 1.0'!AT476="",HLOOKUP((TotS)-AO21+1, 'GCN_Post 1.0'!$E$464:$X$506,13,TRUE), 'GCN_Post 1.0'!AT476),"")</f>
        <v/>
      </c>
      <c r="AP33" s="9" t="str">
        <f>IFERROR(IF('GCN_Post 1.0'!AU476="",HLOOKUP((TotS)-AP21+1, 'GCN_Post 1.0'!$E$464:$X$506,13,TRUE), 'GCN_Post 1.0'!AU476),"")</f>
        <v/>
      </c>
      <c r="AQ33" s="9" t="str">
        <f>IFERROR(IF('GCN_Post 1.0'!AV476="",HLOOKUP((TotS)-AQ21+1, 'GCN_Post 1.0'!$E$464:$X$506,13,TRUE), 'GCN_Post 1.0'!AV476),"")</f>
        <v/>
      </c>
    </row>
    <row r="34" spans="2:43" x14ac:dyDescent="0.25">
      <c r="B34" s="555"/>
      <c r="C34" s="565"/>
      <c r="D34" s="9" t="str">
        <f>'GCN_Post 1.0'!I477</f>
        <v/>
      </c>
      <c r="E34" s="9" t="str">
        <f>IFERROR(IF('GCN_Post 1.0'!J477="",HLOOKUP((TotS)-E21+1, 'GCN_Post 1.0'!$E$464:$X$506,14,TRUE), 'GCN_Post 1.0'!J477),"")</f>
        <v/>
      </c>
      <c r="F34" s="9" t="str">
        <f>IFERROR(IF('GCN_Post 1.0'!K477="",HLOOKUP((TotS)-F21+1, 'GCN_Post 1.0'!$E$464:$X$506,14,TRUE), 'GCN_Post 1.0'!K477),"")</f>
        <v/>
      </c>
      <c r="G34" s="9" t="str">
        <f>IFERROR(IF('GCN_Post 1.0'!L477="",HLOOKUP((TotS)-G21+1, 'GCN_Post 1.0'!$E$464:$X$506,14,TRUE), 'GCN_Post 1.0'!L477),"")</f>
        <v/>
      </c>
      <c r="H34" s="9" t="str">
        <f>IFERROR(IF('GCN_Post 1.0'!M477="",HLOOKUP((TotS)-H21+1, 'GCN_Post 1.0'!$E$464:$X$506,14,TRUE), 'GCN_Post 1.0'!M477),"")</f>
        <v/>
      </c>
      <c r="I34" s="9" t="str">
        <f>IFERROR(IF('GCN_Post 1.0'!N477="",HLOOKUP((TotS)-I21+1, 'GCN_Post 1.0'!$E$464:$X$506,14,TRUE), 'GCN_Post 1.0'!N477),"")</f>
        <v/>
      </c>
      <c r="J34" s="9" t="str">
        <f>IFERROR(IF('GCN_Post 1.0'!O477="",HLOOKUP((TotS)-J21+1, 'GCN_Post 1.0'!$E$464:$X$506,14,TRUE), 'GCN_Post 1.0'!O477),"")</f>
        <v/>
      </c>
      <c r="K34" s="9" t="str">
        <f>IFERROR(IF('GCN_Post 1.0'!P477="",HLOOKUP((TotS)-K21+1, 'GCN_Post 1.0'!$E$464:$X$506,14,TRUE), 'GCN_Post 1.0'!P477),"")</f>
        <v/>
      </c>
      <c r="L34" s="9" t="str">
        <f>IFERROR(IF('GCN_Post 1.0'!Q477="",HLOOKUP((TotS)-L21+1, 'GCN_Post 1.0'!$E$464:$X$506,14,TRUE), 'GCN_Post 1.0'!Q477),"")</f>
        <v/>
      </c>
      <c r="M34" s="9" t="str">
        <f>IFERROR(IF('GCN_Post 1.0'!R477="",HLOOKUP((TotS)-M21+1, 'GCN_Post 1.0'!$E$464:$X$506,14,TRUE), 'GCN_Post 1.0'!R477),"")</f>
        <v/>
      </c>
      <c r="N34" s="9" t="str">
        <f>IFERROR(IF('GCN_Post 1.0'!S477="",HLOOKUP((TotS)-N21+1, 'GCN_Post 1.0'!$E$464:$X$506,14,TRUE), 'GCN_Post 1.0'!S477),"")</f>
        <v/>
      </c>
      <c r="O34" s="9" t="str">
        <f>IFERROR(IF('GCN_Post 1.0'!T477="",HLOOKUP((TotS)-O21+1, 'GCN_Post 1.0'!$E$464:$X$506,14,TRUE), 'GCN_Post 1.0'!T477),"")</f>
        <v/>
      </c>
      <c r="P34" s="9" t="str">
        <f>IFERROR(IF('GCN_Post 1.0'!U477="",HLOOKUP((TotS)-P21+1, 'GCN_Post 1.0'!$E$464:$X$506,14,TRUE), 'GCN_Post 1.0'!U477),"")</f>
        <v/>
      </c>
      <c r="Q34" s="9" t="str">
        <f>IFERROR(IF('GCN_Post 1.0'!V477="",HLOOKUP((TotS)-Q21+1, 'GCN_Post 1.0'!$E$464:$X$506,14,TRUE), 'GCN_Post 1.0'!V477),"")</f>
        <v/>
      </c>
      <c r="R34" s="9" t="str">
        <f>IFERROR(IF('GCN_Post 1.0'!W477="",HLOOKUP((TotS)-R21+1, 'GCN_Post 1.0'!$E$464:$X$506,14,TRUE), 'GCN_Post 1.0'!W477),"")</f>
        <v/>
      </c>
      <c r="S34" s="9" t="str">
        <f>IFERROR(IF('GCN_Post 1.0'!X477="",HLOOKUP((TotS)-S21+1, 'GCN_Post 1.0'!$E$464:$X$506,14,TRUE), 'GCN_Post 1.0'!X477),"")</f>
        <v/>
      </c>
      <c r="T34" s="9" t="str">
        <f>IFERROR(IF('GCN_Post 1.0'!Y477="",HLOOKUP((TotS)-T21+1, 'GCN_Post 1.0'!$E$464:$X$506,14,TRUE), 'GCN_Post 1.0'!Y477),"")</f>
        <v/>
      </c>
      <c r="U34" s="9" t="str">
        <f>IFERROR(IF('GCN_Post 1.0'!Z477="",HLOOKUP((TotS)-U21+1, 'GCN_Post 1.0'!$E$464:$X$506,14,TRUE), 'GCN_Post 1.0'!Z477),"")</f>
        <v/>
      </c>
      <c r="V34" s="9" t="str">
        <f>IFERROR(IF('GCN_Post 1.0'!AA477="",HLOOKUP((TotS)-V21+1, 'GCN_Post 1.0'!$E$464:$X$506,14,TRUE), 'GCN_Post 1.0'!AA477),"")</f>
        <v/>
      </c>
      <c r="W34" s="9" t="str">
        <f>IFERROR(IF('GCN_Post 1.0'!AB477="",HLOOKUP((TotS)-W21+1, 'GCN_Post 1.0'!$E$464:$X$506,14,TRUE), 'GCN_Post 1.0'!AB477),"")</f>
        <v/>
      </c>
      <c r="X34" s="9" t="str">
        <f>IFERROR(IF('GCN_Post 1.0'!AC477="",HLOOKUP((TotS)-X21+1, 'GCN_Post 1.0'!$E$464:$X$506,14,TRUE), 'GCN_Post 1.0'!AC477),"")</f>
        <v/>
      </c>
      <c r="Y34" s="9" t="str">
        <f>IFERROR(IF('GCN_Post 1.0'!AD477="",HLOOKUP((TotS)-Y21+1, 'GCN_Post 1.0'!$E$464:$X$506,14,TRUE), 'GCN_Post 1.0'!AD477),"")</f>
        <v/>
      </c>
      <c r="Z34" s="9" t="str">
        <f>IFERROR(IF('GCN_Post 1.0'!AE477="",HLOOKUP((TotS)-Z21+1, 'GCN_Post 1.0'!$E$464:$X$506,14,TRUE), 'GCN_Post 1.0'!AE477),"")</f>
        <v/>
      </c>
      <c r="AA34" s="9" t="str">
        <f>IFERROR(IF('GCN_Post 1.0'!AF477="",HLOOKUP((TotS)-AA21+1, 'GCN_Post 1.0'!$E$464:$X$506,14,TRUE), 'GCN_Post 1.0'!AF477),"")</f>
        <v/>
      </c>
      <c r="AB34" s="9" t="str">
        <f>IFERROR(IF('GCN_Post 1.0'!AG477="",HLOOKUP((TotS)-AB21+1, 'GCN_Post 1.0'!$E$464:$X$506,14,TRUE), 'GCN_Post 1.0'!AG477),"")</f>
        <v/>
      </c>
      <c r="AC34" s="9" t="str">
        <f>IFERROR(IF('GCN_Post 1.0'!AH477="",HLOOKUP((TotS)-AC21+1, 'GCN_Post 1.0'!$E$464:$X$506,14,TRUE), 'GCN_Post 1.0'!AH477),"")</f>
        <v/>
      </c>
      <c r="AD34" s="9" t="str">
        <f>IFERROR(IF('GCN_Post 1.0'!AI477="",HLOOKUP((TotS)-AD21+1, 'GCN_Post 1.0'!$E$464:$X$506,14,TRUE), 'GCN_Post 1.0'!AI477),"")</f>
        <v/>
      </c>
      <c r="AE34" s="9" t="str">
        <f>IFERROR(IF('GCN_Post 1.0'!AJ477="",HLOOKUP((TotS)-AE21+1, 'GCN_Post 1.0'!$E$464:$X$506,14,TRUE), 'GCN_Post 1.0'!AJ477),"")</f>
        <v/>
      </c>
      <c r="AF34" s="9" t="str">
        <f>IFERROR(IF('GCN_Post 1.0'!AK477="",HLOOKUP((TotS)-AF21+1, 'GCN_Post 1.0'!$E$464:$X$506,14,TRUE), 'GCN_Post 1.0'!AK477),"")</f>
        <v/>
      </c>
      <c r="AG34" s="9" t="str">
        <f>IFERROR(IF('GCN_Post 1.0'!AL477="",HLOOKUP((TotS)-AG21+1, 'GCN_Post 1.0'!$E$464:$X$506,14,TRUE), 'GCN_Post 1.0'!AL477),"")</f>
        <v/>
      </c>
      <c r="AH34" s="9" t="str">
        <f>IFERROR(IF('GCN_Post 1.0'!AM477="",HLOOKUP((TotS)-AH21+1, 'GCN_Post 1.0'!$E$464:$X$506,14,TRUE), 'GCN_Post 1.0'!AM477),"")</f>
        <v/>
      </c>
      <c r="AI34" s="9" t="str">
        <f>IFERROR(IF('GCN_Post 1.0'!AN477="",HLOOKUP((TotS)-AI21+1, 'GCN_Post 1.0'!$E$464:$X$506,14,TRUE), 'GCN_Post 1.0'!AN477),"")</f>
        <v/>
      </c>
      <c r="AJ34" s="9" t="str">
        <f>IFERROR(IF('GCN_Post 1.0'!AO477="",HLOOKUP((TotS)-AJ21+1, 'GCN_Post 1.0'!$E$464:$X$506,14,TRUE), 'GCN_Post 1.0'!AO477),"")</f>
        <v/>
      </c>
      <c r="AK34" s="9" t="str">
        <f>IFERROR(IF('GCN_Post 1.0'!AP477="",HLOOKUP((TotS)-AK21+1, 'GCN_Post 1.0'!$E$464:$X$506,14,TRUE), 'GCN_Post 1.0'!AP477),"")</f>
        <v/>
      </c>
      <c r="AL34" s="9" t="str">
        <f>IFERROR(IF('GCN_Post 1.0'!AQ477="",HLOOKUP((TotS)-AL21+1, 'GCN_Post 1.0'!$E$464:$X$506,14,TRUE), 'GCN_Post 1.0'!AQ477),"")</f>
        <v/>
      </c>
      <c r="AM34" s="9" t="str">
        <f>IFERROR(IF('GCN_Post 1.0'!AR477="",HLOOKUP((TotS)-AM21+1, 'GCN_Post 1.0'!$E$464:$X$506,14,TRUE), 'GCN_Post 1.0'!AR477),"")</f>
        <v/>
      </c>
      <c r="AN34" s="9" t="str">
        <f>IFERROR(IF('GCN_Post 1.0'!AS477="",HLOOKUP((TotS)-AN21+1, 'GCN_Post 1.0'!$E$464:$X$506,14,TRUE), 'GCN_Post 1.0'!AS477),"")</f>
        <v/>
      </c>
      <c r="AO34" s="9" t="str">
        <f>IFERROR(IF('GCN_Post 1.0'!AT477="",HLOOKUP((TotS)-AO21+1, 'GCN_Post 1.0'!$E$464:$X$506,14,TRUE), 'GCN_Post 1.0'!AT477),"")</f>
        <v/>
      </c>
      <c r="AP34" s="9" t="str">
        <f>IFERROR(IF('GCN_Post 1.0'!AU477="",HLOOKUP((TotS)-AP21+1, 'GCN_Post 1.0'!$E$464:$X$506,14,TRUE), 'GCN_Post 1.0'!AU477),"")</f>
        <v/>
      </c>
      <c r="AQ34" s="9" t="str">
        <f>IFERROR(IF('GCN_Post 1.0'!AV477="",HLOOKUP((TotS)-AQ21+1, 'GCN_Post 1.0'!$E$464:$X$506,14,TRUE), 'GCN_Post 1.0'!AV477),"")</f>
        <v/>
      </c>
    </row>
    <row r="35" spans="2:43" x14ac:dyDescent="0.25">
      <c r="B35" s="560"/>
      <c r="C35" s="601"/>
      <c r="D35" s="9" t="str">
        <f>'GCN_Post 1.0'!I478</f>
        <v/>
      </c>
      <c r="E35" s="9" t="str">
        <f>IFERROR(IF('GCN_Post 1.0'!J478="",HLOOKUP((TotS)-E21+1, 'GCN_Post 1.0'!$E$464:$X$506,15,TRUE), 'GCN_Post 1.0'!J478),"")</f>
        <v/>
      </c>
      <c r="F35" s="9" t="str">
        <f>IFERROR(IF('GCN_Post 1.0'!K478="",HLOOKUP((TotS)-F21+1, 'GCN_Post 1.0'!$E$464:$X$506,15,TRUE), 'GCN_Post 1.0'!K478),"")</f>
        <v/>
      </c>
      <c r="G35" s="9" t="str">
        <f>IFERROR(IF('GCN_Post 1.0'!L478="",HLOOKUP((TotS)-G21+1, 'GCN_Post 1.0'!$E$464:$X$506,15,TRUE), 'GCN_Post 1.0'!L478),"")</f>
        <v/>
      </c>
      <c r="H35" s="9" t="str">
        <f>IFERROR(IF('GCN_Post 1.0'!M478="",HLOOKUP((TotS)-H21+1, 'GCN_Post 1.0'!$E$464:$X$506,15,TRUE), 'GCN_Post 1.0'!M478),"")</f>
        <v/>
      </c>
      <c r="I35" s="9" t="str">
        <f>IFERROR(IF('GCN_Post 1.0'!N478="",HLOOKUP((TotS)-I21+1, 'GCN_Post 1.0'!$E$464:$X$506,15,TRUE), 'GCN_Post 1.0'!N478),"")</f>
        <v/>
      </c>
      <c r="J35" s="9" t="str">
        <f>IFERROR(IF('GCN_Post 1.0'!O478="",HLOOKUP((TotS)-J21+1, 'GCN_Post 1.0'!$E$464:$X$506,15,TRUE), 'GCN_Post 1.0'!O478),"")</f>
        <v/>
      </c>
      <c r="K35" s="9" t="str">
        <f>IFERROR(IF('GCN_Post 1.0'!P478="",HLOOKUP((TotS)-K21+1, 'GCN_Post 1.0'!$E$464:$X$506,15,TRUE), 'GCN_Post 1.0'!P478),"")</f>
        <v/>
      </c>
      <c r="L35" s="9" t="str">
        <f>IFERROR(IF('GCN_Post 1.0'!Q478="",HLOOKUP((TotS)-L21+1, 'GCN_Post 1.0'!$E$464:$X$506,15,TRUE), 'GCN_Post 1.0'!Q478),"")</f>
        <v/>
      </c>
      <c r="M35" s="9" t="str">
        <f>IFERROR(IF('GCN_Post 1.0'!R478="",HLOOKUP((TotS)-M21+1, 'GCN_Post 1.0'!$E$464:$X$506,15,TRUE), 'GCN_Post 1.0'!R478),"")</f>
        <v/>
      </c>
      <c r="N35" s="9" t="str">
        <f>IFERROR(IF('GCN_Post 1.0'!S478="",HLOOKUP((TotS)-N21+1, 'GCN_Post 1.0'!$E$464:$X$506,15,TRUE), 'GCN_Post 1.0'!S478),"")</f>
        <v/>
      </c>
      <c r="O35" s="9" t="str">
        <f>IFERROR(IF('GCN_Post 1.0'!T478="",HLOOKUP((TotS)-O21+1, 'GCN_Post 1.0'!$E$464:$X$506,15,TRUE), 'GCN_Post 1.0'!T478),"")</f>
        <v/>
      </c>
      <c r="P35" s="9" t="str">
        <f>IFERROR(IF('GCN_Post 1.0'!U478="",HLOOKUP((TotS)-P21+1, 'GCN_Post 1.0'!$E$464:$X$506,15,TRUE), 'GCN_Post 1.0'!U478),"")</f>
        <v/>
      </c>
      <c r="Q35" s="9" t="str">
        <f>IFERROR(IF('GCN_Post 1.0'!V478="",HLOOKUP((TotS)-Q21+1, 'GCN_Post 1.0'!$E$464:$X$506,15,TRUE), 'GCN_Post 1.0'!V478),"")</f>
        <v/>
      </c>
      <c r="R35" s="9" t="str">
        <f>IFERROR(IF('GCN_Post 1.0'!W478="",HLOOKUP((TotS)-R21+1, 'GCN_Post 1.0'!$E$464:$X$506,15,TRUE), 'GCN_Post 1.0'!W478),"")</f>
        <v/>
      </c>
      <c r="S35" s="9" t="str">
        <f>IFERROR(IF('GCN_Post 1.0'!X478="",HLOOKUP((TotS)-S21+1, 'GCN_Post 1.0'!$E$464:$X$506,15,TRUE), 'GCN_Post 1.0'!X478),"")</f>
        <v/>
      </c>
      <c r="T35" s="9" t="str">
        <f>IFERROR(IF('GCN_Post 1.0'!Y478="",HLOOKUP((TotS)-T21+1, 'GCN_Post 1.0'!$E$464:$X$506,15,TRUE), 'GCN_Post 1.0'!Y478),"")</f>
        <v/>
      </c>
      <c r="U35" s="9" t="str">
        <f>IFERROR(IF('GCN_Post 1.0'!Z478="",HLOOKUP((TotS)-U21+1, 'GCN_Post 1.0'!$E$464:$X$506,15,TRUE), 'GCN_Post 1.0'!Z478),"")</f>
        <v/>
      </c>
      <c r="V35" s="9" t="str">
        <f>IFERROR(IF('GCN_Post 1.0'!AA478="",HLOOKUP((TotS)-V21+1, 'GCN_Post 1.0'!$E$464:$X$506,15,TRUE), 'GCN_Post 1.0'!AA478),"")</f>
        <v/>
      </c>
      <c r="W35" s="9" t="str">
        <f>IFERROR(IF('GCN_Post 1.0'!AB478="",HLOOKUP((TotS)-W21+1, 'GCN_Post 1.0'!$E$464:$X$506,15,TRUE), 'GCN_Post 1.0'!AB478),"")</f>
        <v/>
      </c>
      <c r="X35" s="9" t="str">
        <f>IFERROR(IF('GCN_Post 1.0'!AC478="",HLOOKUP((TotS)-X21+1, 'GCN_Post 1.0'!$E$464:$X$506,15,TRUE), 'GCN_Post 1.0'!AC478),"")</f>
        <v/>
      </c>
      <c r="Y35" s="9" t="str">
        <f>IFERROR(IF('GCN_Post 1.0'!AD478="",HLOOKUP((TotS)-Y21+1, 'GCN_Post 1.0'!$E$464:$X$506,15,TRUE), 'GCN_Post 1.0'!AD478),"")</f>
        <v/>
      </c>
      <c r="Z35" s="9" t="str">
        <f>IFERROR(IF('GCN_Post 1.0'!AE478="",HLOOKUP((TotS)-Z21+1, 'GCN_Post 1.0'!$E$464:$X$506,15,TRUE), 'GCN_Post 1.0'!AE478),"")</f>
        <v/>
      </c>
      <c r="AA35" s="9" t="str">
        <f>IFERROR(IF('GCN_Post 1.0'!AF478="",HLOOKUP((TotS)-AA21+1, 'GCN_Post 1.0'!$E$464:$X$506,15,TRUE), 'GCN_Post 1.0'!AF478),"")</f>
        <v/>
      </c>
      <c r="AB35" s="9" t="str">
        <f>IFERROR(IF('GCN_Post 1.0'!AG478="",HLOOKUP((TotS)-AB21+1, 'GCN_Post 1.0'!$E$464:$X$506,15,TRUE), 'GCN_Post 1.0'!AG478),"")</f>
        <v/>
      </c>
      <c r="AC35" s="9" t="str">
        <f>IFERROR(IF('GCN_Post 1.0'!AH478="",HLOOKUP((TotS)-AC21+1, 'GCN_Post 1.0'!$E$464:$X$506,15,TRUE), 'GCN_Post 1.0'!AH478),"")</f>
        <v/>
      </c>
      <c r="AD35" s="9" t="str">
        <f>IFERROR(IF('GCN_Post 1.0'!AI478="",HLOOKUP((TotS)-AD21+1, 'GCN_Post 1.0'!$E$464:$X$506,15,TRUE), 'GCN_Post 1.0'!AI478),"")</f>
        <v/>
      </c>
      <c r="AE35" s="9" t="str">
        <f>IFERROR(IF('GCN_Post 1.0'!AJ478="",HLOOKUP((TotS)-AE21+1, 'GCN_Post 1.0'!$E$464:$X$506,15,TRUE), 'GCN_Post 1.0'!AJ478),"")</f>
        <v/>
      </c>
      <c r="AF35" s="9" t="str">
        <f>IFERROR(IF('GCN_Post 1.0'!AK478="",HLOOKUP((TotS)-AF21+1, 'GCN_Post 1.0'!$E$464:$X$506,15,TRUE), 'GCN_Post 1.0'!AK478),"")</f>
        <v/>
      </c>
      <c r="AG35" s="9" t="str">
        <f>IFERROR(IF('GCN_Post 1.0'!AL478="",HLOOKUP((TotS)-AG21+1, 'GCN_Post 1.0'!$E$464:$X$506,15,TRUE), 'GCN_Post 1.0'!AL478),"")</f>
        <v/>
      </c>
      <c r="AH35" s="9" t="str">
        <f>IFERROR(IF('GCN_Post 1.0'!AM478="",HLOOKUP((TotS)-AH21+1, 'GCN_Post 1.0'!$E$464:$X$506,15,TRUE), 'GCN_Post 1.0'!AM478),"")</f>
        <v/>
      </c>
      <c r="AI35" s="9" t="str">
        <f>IFERROR(IF('GCN_Post 1.0'!AN478="",HLOOKUP((TotS)-AI21+1, 'GCN_Post 1.0'!$E$464:$X$506,15,TRUE), 'GCN_Post 1.0'!AN478),"")</f>
        <v/>
      </c>
      <c r="AJ35" s="9" t="str">
        <f>IFERROR(IF('GCN_Post 1.0'!AO478="",HLOOKUP((TotS)-AJ21+1, 'GCN_Post 1.0'!$E$464:$X$506,15,TRUE), 'GCN_Post 1.0'!AO478),"")</f>
        <v/>
      </c>
      <c r="AK35" s="9" t="str">
        <f>IFERROR(IF('GCN_Post 1.0'!AP478="",HLOOKUP((TotS)-AK21+1, 'GCN_Post 1.0'!$E$464:$X$506,15,TRUE), 'GCN_Post 1.0'!AP478),"")</f>
        <v/>
      </c>
      <c r="AL35" s="9" t="str">
        <f>IFERROR(IF('GCN_Post 1.0'!AQ478="",HLOOKUP((TotS)-AL21+1, 'GCN_Post 1.0'!$E$464:$X$506,15,TRUE), 'GCN_Post 1.0'!AQ478),"")</f>
        <v/>
      </c>
      <c r="AM35" s="9" t="str">
        <f>IFERROR(IF('GCN_Post 1.0'!AR478="",HLOOKUP((TotS)-AM21+1, 'GCN_Post 1.0'!$E$464:$X$506,15,TRUE), 'GCN_Post 1.0'!AR478),"")</f>
        <v/>
      </c>
      <c r="AN35" s="9" t="str">
        <f>IFERROR(IF('GCN_Post 1.0'!AS478="",HLOOKUP((TotS)-AN21+1, 'GCN_Post 1.0'!$E$464:$X$506,15,TRUE), 'GCN_Post 1.0'!AS478),"")</f>
        <v/>
      </c>
      <c r="AO35" s="9" t="str">
        <f>IFERROR(IF('GCN_Post 1.0'!AT478="",HLOOKUP((TotS)-AO21+1, 'GCN_Post 1.0'!$E$464:$X$506,15,TRUE), 'GCN_Post 1.0'!AT478),"")</f>
        <v/>
      </c>
      <c r="AP35" s="9" t="str">
        <f>IFERROR(IF('GCN_Post 1.0'!AU478="",HLOOKUP((TotS)-AP21+1, 'GCN_Post 1.0'!$E$464:$X$506,15,TRUE), 'GCN_Post 1.0'!AU478),"")</f>
        <v/>
      </c>
      <c r="AQ35" s="9" t="str">
        <f>IFERROR(IF('GCN_Post 1.0'!AV478="",HLOOKUP((TotS)-AQ21+1, 'GCN_Post 1.0'!$E$464:$X$506,15,TRUE), 'GCN_Post 1.0'!AV478),"")</f>
        <v/>
      </c>
    </row>
    <row r="37" spans="2:43" ht="15" customHeight="1" x14ac:dyDescent="0.25">
      <c r="B37" s="663" t="s">
        <v>723</v>
      </c>
      <c r="C37" s="572"/>
      <c r="D37" s="9" t="str">
        <f>'GCN_Post 1.0'!I479</f>
        <v/>
      </c>
      <c r="E37" s="9" t="str">
        <f>IFERROR(IF(E21&gt;TS, "", IF('GCN_Post 1.0'!J479="",HLOOKUP((TotS)-E21+1,'GCN_Post 1.0'!$E$464:$X$506,16,TRUE), 'GCN_Post 1.0'!J479)), "")</f>
        <v/>
      </c>
      <c r="F37" s="9" t="str">
        <f>IFERROR(IF(F21&gt;TS, "", IF('GCN_Post 1.0'!K479="",HLOOKUP((TotS)-F21+1,'GCN_Post 1.0'!$E$464:$X$506,16,TRUE), 'GCN_Post 1.0'!K479)), "")</f>
        <v/>
      </c>
      <c r="G37" s="9" t="str">
        <f>IFERROR(IF(G21&gt;TS, "", IF('GCN_Post 1.0'!L479="",HLOOKUP((TotS)-G21+1,'GCN_Post 1.0'!$E$464:$X$506,16,TRUE), 'GCN_Post 1.0'!L479)), "")</f>
        <v/>
      </c>
      <c r="H37" s="9" t="str">
        <f>IFERROR(IF(H21&gt;TS, "", IF('GCN_Post 1.0'!M479="",HLOOKUP((TotS)-H21+1,'GCN_Post 1.0'!$E$464:$X$506,16,TRUE), 'GCN_Post 1.0'!M479)), "")</f>
        <v/>
      </c>
      <c r="I37" s="9" t="str">
        <f>IFERROR(IF(I21&gt;TS, "", IF('GCN_Post 1.0'!N479="",HLOOKUP((TotS)-I21+1,'GCN_Post 1.0'!$E$464:$X$506,16,TRUE), 'GCN_Post 1.0'!N479)), "")</f>
        <v/>
      </c>
      <c r="J37" s="9" t="str">
        <f>IFERROR(IF(J21&gt;TS, "", IF('GCN_Post 1.0'!O479="",HLOOKUP((TotS)-J21+1,'GCN_Post 1.0'!$E$464:$X$506,16,TRUE), 'GCN_Post 1.0'!O479)), "")</f>
        <v/>
      </c>
      <c r="K37" s="9" t="str">
        <f>IFERROR(IF(K21&gt;TS, "", IF('GCN_Post 1.0'!P479="",HLOOKUP((TotS)-K21+1,'GCN_Post 1.0'!$E$464:$X$506,16,TRUE), 'GCN_Post 1.0'!P479)), "")</f>
        <v/>
      </c>
      <c r="L37" s="9" t="str">
        <f>IFERROR(IF(L21&gt;TS, "", IF('GCN_Post 1.0'!Q479="",HLOOKUP((TotS)-L21+1,'GCN_Post 1.0'!$E$464:$X$506,16,TRUE), 'GCN_Post 1.0'!Q479)), "")</f>
        <v/>
      </c>
      <c r="M37" s="9" t="str">
        <f>IFERROR(IF(M21&gt;TS, "", IF('GCN_Post 1.0'!R479="",HLOOKUP((TotS)-M21+1,'GCN_Post 1.0'!$E$464:$X$506,16,TRUE), 'GCN_Post 1.0'!R479)), "")</f>
        <v/>
      </c>
      <c r="N37" s="9" t="str">
        <f>IFERROR(IF(N21&gt;TS, "", IF('GCN_Post 1.0'!S479="",HLOOKUP((TotS)-N21+1,'GCN_Post 1.0'!$E$464:$X$506,16,TRUE), 'GCN_Post 1.0'!S479)), "")</f>
        <v/>
      </c>
      <c r="O37" s="9" t="str">
        <f>IFERROR(IF(O21&gt;TS, "", IF('GCN_Post 1.0'!T479="",HLOOKUP((TotS)-O21+1,'GCN_Post 1.0'!$E$464:$X$506,16,TRUE), 'GCN_Post 1.0'!T479)), "")</f>
        <v/>
      </c>
      <c r="P37" s="9" t="str">
        <f>IFERROR(IF(P21&gt;TS, "", IF('GCN_Post 1.0'!U479="",HLOOKUP((TotS)-P21+1,'GCN_Post 1.0'!$E$464:$X$506,16,TRUE), 'GCN_Post 1.0'!U479)), "")</f>
        <v/>
      </c>
      <c r="Q37" s="9" t="str">
        <f>IFERROR(IF(Q21&gt;TS, "", IF('GCN_Post 1.0'!V479="",HLOOKUP((TotS)-Q21+1,'GCN_Post 1.0'!$E$464:$X$506,16,TRUE), 'GCN_Post 1.0'!V479)), "")</f>
        <v/>
      </c>
      <c r="R37" s="9" t="str">
        <f>IFERROR(IF(R21&gt;TS, "", IF('GCN_Post 1.0'!W479="",HLOOKUP((TotS)-R21+1,'GCN_Post 1.0'!$E$464:$X$506,16,TRUE), 'GCN_Post 1.0'!W479)), "")</f>
        <v/>
      </c>
      <c r="S37" s="9" t="str">
        <f>IFERROR(IF(S21&gt;TS, "", IF('GCN_Post 1.0'!X479="",HLOOKUP((TotS)-S21+1,'GCN_Post 1.0'!$E$464:$X$506,16,TRUE), 'GCN_Post 1.0'!X479)), "")</f>
        <v/>
      </c>
      <c r="T37" s="9" t="str">
        <f>IFERROR(IF(T21&gt;TS, "", IF('GCN_Post 1.0'!Y479="",HLOOKUP((TotS)-T21+1,'GCN_Post 1.0'!$E$464:$X$506,16,TRUE), 'GCN_Post 1.0'!Y479)), "")</f>
        <v/>
      </c>
      <c r="U37" s="9" t="str">
        <f>IFERROR(IF(U21&gt;TS, "", IF('GCN_Post 1.0'!Z479="",HLOOKUP((TotS)-U21+1,'GCN_Post 1.0'!$E$464:$X$506,16,TRUE), 'GCN_Post 1.0'!Z479)), "")</f>
        <v/>
      </c>
      <c r="V37" s="9" t="str">
        <f>IFERROR(IF(V21&gt;TS, "", IF('GCN_Post 1.0'!AA479="",HLOOKUP((TotS)-V21+1,'GCN_Post 1.0'!$E$464:$X$506,16,TRUE), 'GCN_Post 1.0'!AA479)), "")</f>
        <v/>
      </c>
      <c r="W37" s="9" t="str">
        <f>IFERROR(IF(W21&gt;TS, "", IF('GCN_Post 1.0'!AB479="",HLOOKUP((TotS)-W21+1,'GCN_Post 1.0'!$E$464:$X$506,16,TRUE), 'GCN_Post 1.0'!AB479)), "")</f>
        <v/>
      </c>
      <c r="X37" s="9" t="str">
        <f>IFERROR(IF(X21&gt;TS, "", IF('GCN_Post 1.0'!AC479="",HLOOKUP((TotS)-X21+1,'GCN_Post 1.0'!$E$464:$X$506,16,TRUE), 'GCN_Post 1.0'!AC479)), "")</f>
        <v/>
      </c>
      <c r="Y37" s="9" t="str">
        <f>IFERROR(IF(Y21&gt;TS, "", IF('GCN_Post 1.0'!AD479="",HLOOKUP((TotS)-Y21+1,'GCN_Post 1.0'!$E$464:$X$506,16,TRUE), 'GCN_Post 1.0'!AD479)), "")</f>
        <v/>
      </c>
      <c r="Z37" s="9" t="str">
        <f>IFERROR(IF(Z21&gt;TS, "", IF('GCN_Post 1.0'!AE479="",HLOOKUP((TotS)-Z21+1,'GCN_Post 1.0'!$E$464:$X$506,16,TRUE), 'GCN_Post 1.0'!AE479)), "")</f>
        <v/>
      </c>
      <c r="AA37" s="9" t="str">
        <f>IFERROR(IF(AA21&gt;TS, "", IF('GCN_Post 1.0'!AF479="",HLOOKUP((TotS)-AA21+1,'GCN_Post 1.0'!$E$464:$X$506,16,TRUE), 'GCN_Post 1.0'!AF479)), "")</f>
        <v/>
      </c>
      <c r="AB37" s="9" t="str">
        <f>IFERROR(IF(AB21&gt;TS, "", IF('GCN_Post 1.0'!AG479="",HLOOKUP((TotS)-AB21+1,'GCN_Post 1.0'!$E$464:$X$506,16,TRUE), 'GCN_Post 1.0'!AG479)), "")</f>
        <v/>
      </c>
      <c r="AC37" s="9" t="str">
        <f>IFERROR(IF(AC21&gt;TS, "", IF('GCN_Post 1.0'!AH479="",HLOOKUP((TotS)-AC21+1,'GCN_Post 1.0'!$E$464:$X$506,16,TRUE), 'GCN_Post 1.0'!AH479)), "")</f>
        <v/>
      </c>
      <c r="AD37" s="9" t="str">
        <f>IFERROR(IF(AD21&gt;TS, "", IF('GCN_Post 1.0'!AI479="",HLOOKUP((TotS)-AD21+1,'GCN_Post 1.0'!$E$464:$X$506,16,TRUE), 'GCN_Post 1.0'!AI479)), "")</f>
        <v/>
      </c>
      <c r="AE37" s="9" t="str">
        <f>IFERROR(IF(AE21&gt;TS, "", IF('GCN_Post 1.0'!AJ479="",HLOOKUP((TotS)-AE21+1,'GCN_Post 1.0'!$E$464:$X$506,16,TRUE), 'GCN_Post 1.0'!AJ479)), "")</f>
        <v/>
      </c>
      <c r="AF37" s="9" t="str">
        <f>IFERROR(IF(AF21&gt;TS, "", IF('GCN_Post 1.0'!AK479="",HLOOKUP((TotS)-AF21+1,'GCN_Post 1.0'!$E$464:$X$506,16,TRUE), 'GCN_Post 1.0'!AK479)), "")</f>
        <v/>
      </c>
      <c r="AG37" s="9" t="str">
        <f>IFERROR(IF(AG21&gt;TS, "", IF('GCN_Post 1.0'!AL479="",HLOOKUP((TotS)-AG21+1,'GCN_Post 1.0'!$E$464:$X$506,16,TRUE), 'GCN_Post 1.0'!AL479)), "")</f>
        <v/>
      </c>
      <c r="AH37" s="9" t="str">
        <f>IFERROR(IF(AH21&gt;TS, "", IF('GCN_Post 1.0'!AM479="",HLOOKUP((TotS)-AH21+1,'GCN_Post 1.0'!$E$464:$X$506,16,TRUE), 'GCN_Post 1.0'!AM479)), "")</f>
        <v/>
      </c>
      <c r="AI37" s="9" t="str">
        <f>IFERROR(IF(AI21&gt;TS, "", IF('GCN_Post 1.0'!AN479="",HLOOKUP((TotS)-AI21+1,'GCN_Post 1.0'!$E$464:$X$506,16,TRUE), 'GCN_Post 1.0'!AN479)), "")</f>
        <v/>
      </c>
      <c r="AJ37" s="9" t="str">
        <f>IFERROR(IF(AJ21&gt;TS, "", IF('GCN_Post 1.0'!AO479="",HLOOKUP((TotS)-AJ21+1,'GCN_Post 1.0'!$E$464:$X$506,16,TRUE), 'GCN_Post 1.0'!AO479)), "")</f>
        <v/>
      </c>
      <c r="AK37" s="9" t="str">
        <f>IFERROR(IF(AK21&gt;TS, "", IF('GCN_Post 1.0'!AP479="",HLOOKUP((TotS)-AK21+1,'GCN_Post 1.0'!$E$464:$X$506,16,TRUE), 'GCN_Post 1.0'!AP479)), "")</f>
        <v/>
      </c>
      <c r="AL37" s="9" t="str">
        <f>IFERROR(IF(AL21&gt;TS, "", IF('GCN_Post 1.0'!AQ479="",HLOOKUP((TotS)-AL21+1,'GCN_Post 1.0'!$E$464:$X$506,16,TRUE), 'GCN_Post 1.0'!AQ479)), "")</f>
        <v/>
      </c>
      <c r="AM37" s="9" t="str">
        <f>IFERROR(IF(AM21&gt;TS, "", IF('GCN_Post 1.0'!AR479="",HLOOKUP((TotS)-AM21+1,'GCN_Post 1.0'!$E$464:$X$506,16,TRUE), 'GCN_Post 1.0'!AR479)), "")</f>
        <v/>
      </c>
      <c r="AN37" s="9" t="str">
        <f>IFERROR(IF(AN21&gt;TS, "", IF('GCN_Post 1.0'!AS479="",HLOOKUP((TotS)-AN21+1,'GCN_Post 1.0'!$E$464:$X$506,16,TRUE), 'GCN_Post 1.0'!AS479)), "")</f>
        <v/>
      </c>
      <c r="AO37" s="9" t="str">
        <f>IFERROR(IF(AO21&gt;TS, "", IF('GCN_Post 1.0'!AT479="",HLOOKUP((TotS)-AO21+1,'GCN_Post 1.0'!$E$464:$X$506,16,TRUE), 'GCN_Post 1.0'!AT479)), "")</f>
        <v/>
      </c>
      <c r="AP37" s="9" t="str">
        <f>IFERROR(IF(AP21&gt;TS, "", IF('GCN_Post 1.0'!AU479="",HLOOKUP((TotS)-AP21+1,'GCN_Post 1.0'!$E$464:$X$506,16,TRUE), 'GCN_Post 1.0'!AU479)), "")</f>
        <v/>
      </c>
      <c r="AQ37" s="9" t="str">
        <f>IFERROR(IF(AQ21&gt;TS, "", IF('GCN_Post 1.0'!AV479="",HLOOKUP((TotS)-AQ21+1,'GCN_Post 1.0'!$E$464:$X$506,16,TRUE), 'GCN_Post 1.0'!AV479)), "")</f>
        <v/>
      </c>
    </row>
    <row r="38" spans="2:43" x14ac:dyDescent="0.25">
      <c r="B38" s="555"/>
      <c r="C38" s="565"/>
      <c r="D38" s="9" t="str">
        <f>'GCN_Post 1.0'!I480</f>
        <v/>
      </c>
      <c r="E38" s="9" t="str">
        <f>IFERROR(IF(E21&gt;TS, "", IF('GCN_Post 1.0'!J480="",HLOOKUP((TotS)-E21+1,'GCN_Post 1.0'!$E$464:$X$506,17,TRUE), 'GCN_Post 1.0'!J480)), "")</f>
        <v/>
      </c>
      <c r="F38" s="9" t="str">
        <f>IFERROR(IF(F21&gt;TS, "", IF('GCN_Post 1.0'!K480="",HLOOKUP((TotS)-F21+1,'GCN_Post 1.0'!$E$464:$X$506,17,TRUE), 'GCN_Post 1.0'!K480)), "")</f>
        <v/>
      </c>
      <c r="G38" s="9" t="str">
        <f>IFERROR(IF(G21&gt;TS, "", IF('GCN_Post 1.0'!L480="",HLOOKUP((TotS)-G21+1,'GCN_Post 1.0'!$E$464:$X$506,17,TRUE), 'GCN_Post 1.0'!L480)), "")</f>
        <v/>
      </c>
      <c r="H38" s="9" t="str">
        <f>IFERROR(IF(H21&gt;TS, "", IF('GCN_Post 1.0'!M480="",HLOOKUP((TotS)-H21+1,'GCN_Post 1.0'!$E$464:$X$506,17,TRUE), 'GCN_Post 1.0'!M480)), "")</f>
        <v/>
      </c>
      <c r="I38" s="9" t="str">
        <f>IFERROR(IF(I21&gt;TS, "", IF('GCN_Post 1.0'!N480="",HLOOKUP((TotS)-I21+1,'GCN_Post 1.0'!$E$464:$X$506,17,TRUE), 'GCN_Post 1.0'!N480)), "")</f>
        <v/>
      </c>
      <c r="J38" s="9" t="str">
        <f>IFERROR(IF(J21&gt;TS, "", IF('GCN_Post 1.0'!O480="",HLOOKUP((TotS)-J21+1,'GCN_Post 1.0'!$E$464:$X$506,17,TRUE), 'GCN_Post 1.0'!O480)), "")</f>
        <v/>
      </c>
      <c r="K38" s="9" t="str">
        <f>IFERROR(IF(K21&gt;TS, "", IF('GCN_Post 1.0'!P480="",HLOOKUP((TotS)-K21+1,'GCN_Post 1.0'!$E$464:$X$506,17,TRUE), 'GCN_Post 1.0'!P480)), "")</f>
        <v/>
      </c>
      <c r="L38" s="9" t="str">
        <f>IFERROR(IF(L21&gt;TS, "", IF('GCN_Post 1.0'!Q480="",HLOOKUP((TotS)-L21+1,'GCN_Post 1.0'!$E$464:$X$506,17,TRUE), 'GCN_Post 1.0'!Q480)), "")</f>
        <v/>
      </c>
      <c r="M38" s="9" t="str">
        <f>IFERROR(IF(M21&gt;TS, "", IF('GCN_Post 1.0'!R480="",HLOOKUP((TotS)-M21+1,'GCN_Post 1.0'!$E$464:$X$506,17,TRUE), 'GCN_Post 1.0'!R480)), "")</f>
        <v/>
      </c>
      <c r="N38" s="9" t="str">
        <f>IFERROR(IF(N21&gt;TS, "", IF('GCN_Post 1.0'!S480="",HLOOKUP((TotS)-N21+1,'GCN_Post 1.0'!$E$464:$X$506,17,TRUE), 'GCN_Post 1.0'!S480)), "")</f>
        <v/>
      </c>
      <c r="O38" s="9" t="str">
        <f>IFERROR(IF(O21&gt;TS, "", IF('GCN_Post 1.0'!T480="",HLOOKUP((TotS)-O21+1,'GCN_Post 1.0'!$E$464:$X$506,17,TRUE), 'GCN_Post 1.0'!T480)), "")</f>
        <v/>
      </c>
      <c r="P38" s="9" t="str">
        <f>IFERROR(IF(P21&gt;TS, "", IF('GCN_Post 1.0'!U480="",HLOOKUP((TotS)-P21+1,'GCN_Post 1.0'!$E$464:$X$506,17,TRUE), 'GCN_Post 1.0'!U480)), "")</f>
        <v/>
      </c>
      <c r="Q38" s="9" t="str">
        <f>IFERROR(IF(Q21&gt;TS, "", IF('GCN_Post 1.0'!V480="",HLOOKUP((TotS)-Q21+1,'GCN_Post 1.0'!$E$464:$X$506,17,TRUE), 'GCN_Post 1.0'!V480)), "")</f>
        <v/>
      </c>
      <c r="R38" s="9" t="str">
        <f>IFERROR(IF(R21&gt;TS, "", IF('GCN_Post 1.0'!W480="",HLOOKUP((TotS)-R21+1,'GCN_Post 1.0'!$E$464:$X$506,17,TRUE), 'GCN_Post 1.0'!W480)), "")</f>
        <v/>
      </c>
      <c r="S38" s="9" t="str">
        <f>IFERROR(IF(S21&gt;TS, "", IF('GCN_Post 1.0'!X480="",HLOOKUP((TotS)-S21+1,'GCN_Post 1.0'!$E$464:$X$506,17,TRUE), 'GCN_Post 1.0'!X480)), "")</f>
        <v/>
      </c>
      <c r="T38" s="9" t="str">
        <f>IFERROR(IF(T21&gt;TS, "", IF('GCN_Post 1.0'!Y480="",HLOOKUP((TotS)-T21+1,'GCN_Post 1.0'!$E$464:$X$506,17,TRUE), 'GCN_Post 1.0'!Y480)), "")</f>
        <v/>
      </c>
      <c r="U38" s="9" t="str">
        <f>IFERROR(IF(U21&gt;TS, "", IF('GCN_Post 1.0'!Z480="",HLOOKUP((TotS)-U21+1,'GCN_Post 1.0'!$E$464:$X$506,17,TRUE), 'GCN_Post 1.0'!Z480)), "")</f>
        <v/>
      </c>
      <c r="V38" s="9" t="str">
        <f>IFERROR(IF(V21&gt;TS, "", IF('GCN_Post 1.0'!AA480="",HLOOKUP((TotS)-V21+1,'GCN_Post 1.0'!$E$464:$X$506,17,TRUE), 'GCN_Post 1.0'!AA480)), "")</f>
        <v/>
      </c>
      <c r="W38" s="9" t="str">
        <f>IFERROR(IF(W21&gt;TS, "", IF('GCN_Post 1.0'!AB480="",HLOOKUP((TotS)-W21+1,'GCN_Post 1.0'!$E$464:$X$506,17,TRUE), 'GCN_Post 1.0'!AB480)), "")</f>
        <v/>
      </c>
      <c r="X38" s="9" t="str">
        <f>IFERROR(IF(X21&gt;TS, "", IF('GCN_Post 1.0'!AC480="",HLOOKUP((TotS)-X21+1,'GCN_Post 1.0'!$E$464:$X$506,17,TRUE), 'GCN_Post 1.0'!AC480)), "")</f>
        <v/>
      </c>
      <c r="Y38" s="9" t="str">
        <f>IFERROR(IF(Y21&gt;TS, "", IF('GCN_Post 1.0'!AD480="",HLOOKUP((TotS)-Y21+1,'GCN_Post 1.0'!$E$464:$X$506,17,TRUE), 'GCN_Post 1.0'!AD480)), "")</f>
        <v/>
      </c>
      <c r="Z38" s="9" t="str">
        <f>IFERROR(IF(Z21&gt;TS, "", IF('GCN_Post 1.0'!AE480="",HLOOKUP((TotS)-Z21+1,'GCN_Post 1.0'!$E$464:$X$506,17,TRUE), 'GCN_Post 1.0'!AE480)), "")</f>
        <v/>
      </c>
      <c r="AA38" s="9" t="str">
        <f>IFERROR(IF(AA21&gt;TS, "", IF('GCN_Post 1.0'!AF480="",HLOOKUP((TotS)-AA21+1,'GCN_Post 1.0'!$E$464:$X$506,17,TRUE), 'GCN_Post 1.0'!AF480)), "")</f>
        <v/>
      </c>
      <c r="AB38" s="9" t="str">
        <f>IFERROR(IF(AB21&gt;TS, "", IF('GCN_Post 1.0'!AG480="",HLOOKUP((TotS)-AB21+1,'GCN_Post 1.0'!$E$464:$X$506,17,TRUE), 'GCN_Post 1.0'!AG480)), "")</f>
        <v/>
      </c>
      <c r="AC38" s="9" t="str">
        <f>IFERROR(IF(AC21&gt;TS, "", IF('GCN_Post 1.0'!AH480="",HLOOKUP((TotS)-AC21+1,'GCN_Post 1.0'!$E$464:$X$506,17,TRUE), 'GCN_Post 1.0'!AH480)), "")</f>
        <v/>
      </c>
      <c r="AD38" s="9" t="str">
        <f>IFERROR(IF(AD21&gt;TS, "", IF('GCN_Post 1.0'!AI480="",HLOOKUP((TotS)-AD21+1,'GCN_Post 1.0'!$E$464:$X$506,17,TRUE), 'GCN_Post 1.0'!AI480)), "")</f>
        <v/>
      </c>
      <c r="AE38" s="9" t="str">
        <f>IFERROR(IF(AE21&gt;TS, "", IF('GCN_Post 1.0'!AJ480="",HLOOKUP((TotS)-AE21+1,'GCN_Post 1.0'!$E$464:$X$506,17,TRUE), 'GCN_Post 1.0'!AJ480)), "")</f>
        <v/>
      </c>
      <c r="AF38" s="9" t="str">
        <f>IFERROR(IF(AF21&gt;TS, "", IF('GCN_Post 1.0'!AK480="",HLOOKUP((TotS)-AF21+1,'GCN_Post 1.0'!$E$464:$X$506,17,TRUE), 'GCN_Post 1.0'!AK480)), "")</f>
        <v/>
      </c>
      <c r="AG38" s="9" t="str">
        <f>IFERROR(IF(AG21&gt;TS, "", IF('GCN_Post 1.0'!AL480="",HLOOKUP((TotS)-AG21+1,'GCN_Post 1.0'!$E$464:$X$506,17,TRUE), 'GCN_Post 1.0'!AL480)), "")</f>
        <v/>
      </c>
      <c r="AH38" s="9" t="str">
        <f>IFERROR(IF(AH21&gt;TS, "", IF('GCN_Post 1.0'!AM480="",HLOOKUP((TotS)-AH21+1,'GCN_Post 1.0'!$E$464:$X$506,17,TRUE), 'GCN_Post 1.0'!AM480)), "")</f>
        <v/>
      </c>
      <c r="AI38" s="9" t="str">
        <f>IFERROR(IF(AI21&gt;TS, "", IF('GCN_Post 1.0'!AN480="",HLOOKUP((TotS)-AI21+1,'GCN_Post 1.0'!$E$464:$X$506,17,TRUE), 'GCN_Post 1.0'!AN480)), "")</f>
        <v/>
      </c>
      <c r="AJ38" s="9" t="str">
        <f>IFERROR(IF(AJ21&gt;TS, "", IF('GCN_Post 1.0'!AO480="",HLOOKUP((TotS)-AJ21+1,'GCN_Post 1.0'!$E$464:$X$506,17,TRUE), 'GCN_Post 1.0'!AO480)), "")</f>
        <v/>
      </c>
      <c r="AK38" s="9" t="str">
        <f>IFERROR(IF(AK21&gt;TS, "", IF('GCN_Post 1.0'!AP480="",HLOOKUP((TotS)-AK21+1,'GCN_Post 1.0'!$E$464:$X$506,17,TRUE), 'GCN_Post 1.0'!AP480)), "")</f>
        <v/>
      </c>
      <c r="AL38" s="9" t="str">
        <f>IFERROR(IF(AL21&gt;TS, "", IF('GCN_Post 1.0'!AQ480="",HLOOKUP((TotS)-AL21+1,'GCN_Post 1.0'!$E$464:$X$506,17,TRUE), 'GCN_Post 1.0'!AQ480)), "")</f>
        <v/>
      </c>
      <c r="AM38" s="9" t="str">
        <f>IFERROR(IF(AM21&gt;TS, "", IF('GCN_Post 1.0'!AR480="",HLOOKUP((TotS)-AM21+1,'GCN_Post 1.0'!$E$464:$X$506,17,TRUE), 'GCN_Post 1.0'!AR480)), "")</f>
        <v/>
      </c>
      <c r="AN38" s="9" t="str">
        <f>IFERROR(IF(AN21&gt;TS, "", IF('GCN_Post 1.0'!AS480="",HLOOKUP((TotS)-AN21+1,'GCN_Post 1.0'!$E$464:$X$506,17,TRUE), 'GCN_Post 1.0'!AS480)), "")</f>
        <v/>
      </c>
      <c r="AO38" s="9" t="str">
        <f>IFERROR(IF(AO21&gt;TS, "", IF('GCN_Post 1.0'!AT480="",HLOOKUP((TotS)-AO21+1,'GCN_Post 1.0'!$E$464:$X$506,17,TRUE), 'GCN_Post 1.0'!AT480)), "")</f>
        <v/>
      </c>
      <c r="AP38" s="9" t="str">
        <f>IFERROR(IF(AP21&gt;TS, "", IF('GCN_Post 1.0'!AU480="",HLOOKUP((TotS)-AP21+1,'GCN_Post 1.0'!$E$464:$X$506,17,TRUE), 'GCN_Post 1.0'!AU480)), "")</f>
        <v/>
      </c>
      <c r="AQ38" s="9" t="str">
        <f>IFERROR(IF(AQ21&gt;TS, "", IF('GCN_Post 1.0'!AV480="",HLOOKUP((TotS)-AQ21+1,'GCN_Post 1.0'!$E$464:$X$506,17,TRUE), 'GCN_Post 1.0'!AV480)), "")</f>
        <v/>
      </c>
    </row>
    <row r="39" spans="2:43" x14ac:dyDescent="0.25">
      <c r="B39" s="555"/>
      <c r="C39" s="565"/>
      <c r="D39" s="9" t="str">
        <f>'GCN_Post 1.0'!I481</f>
        <v/>
      </c>
      <c r="E39" s="9" t="str">
        <f>IFERROR(IF(E21&gt;TS, "", IF('GCN_Post 1.0'!J481="",HLOOKUP((TotS)-E21+1,'GCN_Post 1.0'!$E$464:$X$506,18,TRUE), 'GCN_Post 1.0'!J481)), "")</f>
        <v/>
      </c>
      <c r="F39" s="9" t="str">
        <f>IFERROR(IF(F21&gt;TS, "", IF('GCN_Post 1.0'!K481="",HLOOKUP((TotS)-F21+1,'GCN_Post 1.0'!$E$464:$X$506,18,TRUE), 'GCN_Post 1.0'!K481)), "")</f>
        <v/>
      </c>
      <c r="G39" s="9" t="str">
        <f>IFERROR(IF(G21&gt;TS, "", IF('GCN_Post 1.0'!L481="",HLOOKUP((TotS)-G21+1,'GCN_Post 1.0'!$E$464:$X$506,18,TRUE), 'GCN_Post 1.0'!L481)), "")</f>
        <v/>
      </c>
      <c r="H39" s="9" t="str">
        <f>IFERROR(IF(H21&gt;TS, "", IF('GCN_Post 1.0'!M481="",HLOOKUP((TotS)-H21+1,'GCN_Post 1.0'!$E$464:$X$506,18,TRUE), 'GCN_Post 1.0'!M481)), "")</f>
        <v/>
      </c>
      <c r="I39" s="9" t="str">
        <f>IFERROR(IF(I21&gt;TS, "", IF('GCN_Post 1.0'!N481="",HLOOKUP((TotS)-I21+1,'GCN_Post 1.0'!$E$464:$X$506,18,TRUE), 'GCN_Post 1.0'!N481)), "")</f>
        <v/>
      </c>
      <c r="J39" s="9" t="str">
        <f>IFERROR(IF(J21&gt;TS, "", IF('GCN_Post 1.0'!O481="",HLOOKUP((TotS)-J21+1,'GCN_Post 1.0'!$E$464:$X$506,18,TRUE), 'GCN_Post 1.0'!O481)), "")</f>
        <v/>
      </c>
      <c r="K39" s="9" t="str">
        <f>IFERROR(IF(K21&gt;TS, "", IF('GCN_Post 1.0'!P481="",HLOOKUP((TotS)-K21+1,'GCN_Post 1.0'!$E$464:$X$506,18,TRUE), 'GCN_Post 1.0'!P481)), "")</f>
        <v/>
      </c>
      <c r="L39" s="9" t="str">
        <f>IFERROR(IF(L21&gt;TS, "", IF('GCN_Post 1.0'!Q481="",HLOOKUP((TotS)-L21+1,'GCN_Post 1.0'!$E$464:$X$506,18,TRUE), 'GCN_Post 1.0'!Q481)), "")</f>
        <v/>
      </c>
      <c r="M39" s="9" t="str">
        <f>IFERROR(IF(M21&gt;TS, "", IF('GCN_Post 1.0'!R481="",HLOOKUP((TotS)-M21+1,'GCN_Post 1.0'!$E$464:$X$506,18,TRUE), 'GCN_Post 1.0'!R481)), "")</f>
        <v/>
      </c>
      <c r="N39" s="9" t="str">
        <f>IFERROR(IF(N21&gt;TS, "", IF('GCN_Post 1.0'!S481="",HLOOKUP((TotS)-N21+1,'GCN_Post 1.0'!$E$464:$X$506,18,TRUE), 'GCN_Post 1.0'!S481)), "")</f>
        <v/>
      </c>
      <c r="O39" s="9" t="str">
        <f>IFERROR(IF(O21&gt;TS, "", IF('GCN_Post 1.0'!T481="",HLOOKUP((TotS)-O21+1,'GCN_Post 1.0'!$E$464:$X$506,18,TRUE), 'GCN_Post 1.0'!T481)), "")</f>
        <v/>
      </c>
      <c r="P39" s="9" t="str">
        <f>IFERROR(IF(P21&gt;TS, "", IF('GCN_Post 1.0'!U481="",HLOOKUP((TotS)-P21+1,'GCN_Post 1.0'!$E$464:$X$506,18,TRUE), 'GCN_Post 1.0'!U481)), "")</f>
        <v/>
      </c>
      <c r="Q39" s="9" t="str">
        <f>IFERROR(IF(Q21&gt;TS, "", IF('GCN_Post 1.0'!V481="",HLOOKUP((TotS)-Q21+1,'GCN_Post 1.0'!$E$464:$X$506,18,TRUE), 'GCN_Post 1.0'!V481)), "")</f>
        <v/>
      </c>
      <c r="R39" s="9" t="str">
        <f>IFERROR(IF(R21&gt;TS, "", IF('GCN_Post 1.0'!W481="",HLOOKUP((TotS)-R21+1,'GCN_Post 1.0'!$E$464:$X$506,18,TRUE), 'GCN_Post 1.0'!W481)), "")</f>
        <v/>
      </c>
      <c r="S39" s="9" t="str">
        <f>IFERROR(IF(S21&gt;TS, "", IF('GCN_Post 1.0'!X481="",HLOOKUP((TotS)-S21+1,'GCN_Post 1.0'!$E$464:$X$506,18,TRUE), 'GCN_Post 1.0'!X481)), "")</f>
        <v/>
      </c>
      <c r="T39" s="9" t="str">
        <f>IFERROR(IF(T21&gt;TS, "", IF('GCN_Post 1.0'!Y481="",HLOOKUP((TotS)-T21+1,'GCN_Post 1.0'!$E$464:$X$506,18,TRUE), 'GCN_Post 1.0'!Y481)), "")</f>
        <v/>
      </c>
      <c r="U39" s="9" t="str">
        <f>IFERROR(IF(U21&gt;TS, "", IF('GCN_Post 1.0'!Z481="",HLOOKUP((TotS)-U21+1,'GCN_Post 1.0'!$E$464:$X$506,18,TRUE), 'GCN_Post 1.0'!Z481)), "")</f>
        <v/>
      </c>
      <c r="V39" s="9" t="str">
        <f>IFERROR(IF(V21&gt;TS, "", IF('GCN_Post 1.0'!AA481="",HLOOKUP((TotS)-V21+1,'GCN_Post 1.0'!$E$464:$X$506,18,TRUE), 'GCN_Post 1.0'!AA481)), "")</f>
        <v/>
      </c>
      <c r="W39" s="9" t="str">
        <f>IFERROR(IF(W21&gt;TS, "", IF('GCN_Post 1.0'!AB481="",HLOOKUP((TotS)-W21+1,'GCN_Post 1.0'!$E$464:$X$506,18,TRUE), 'GCN_Post 1.0'!AB481)), "")</f>
        <v/>
      </c>
      <c r="X39" s="9" t="str">
        <f>IFERROR(IF(X21&gt;TS, "", IF('GCN_Post 1.0'!AC481="",HLOOKUP((TotS)-X21+1,'GCN_Post 1.0'!$E$464:$X$506,18,TRUE), 'GCN_Post 1.0'!AC481)), "")</f>
        <v/>
      </c>
      <c r="Y39" s="9" t="str">
        <f>IFERROR(IF(Y21&gt;TS, "", IF('GCN_Post 1.0'!AD481="",HLOOKUP((TotS)-Y21+1,'GCN_Post 1.0'!$E$464:$X$506,18,TRUE), 'GCN_Post 1.0'!AD481)), "")</f>
        <v/>
      </c>
      <c r="Z39" s="9" t="str">
        <f>IFERROR(IF(Z21&gt;TS, "", IF('GCN_Post 1.0'!AE481="",HLOOKUP((TotS)-Z21+1,'GCN_Post 1.0'!$E$464:$X$506,18,TRUE), 'GCN_Post 1.0'!AE481)), "")</f>
        <v/>
      </c>
      <c r="AA39" s="9" t="str">
        <f>IFERROR(IF(AA21&gt;TS, "", IF('GCN_Post 1.0'!AF481="",HLOOKUP((TotS)-AA21+1,'GCN_Post 1.0'!$E$464:$X$506,18,TRUE), 'GCN_Post 1.0'!AF481)), "")</f>
        <v/>
      </c>
      <c r="AB39" s="9" t="str">
        <f>IFERROR(IF(AB21&gt;TS, "", IF('GCN_Post 1.0'!AG481="",HLOOKUP((TotS)-AB21+1,'GCN_Post 1.0'!$E$464:$X$506,18,TRUE), 'GCN_Post 1.0'!AG481)), "")</f>
        <v/>
      </c>
      <c r="AC39" s="9" t="str">
        <f>IFERROR(IF(AC21&gt;TS, "", IF('GCN_Post 1.0'!AH481="",HLOOKUP((TotS)-AC21+1,'GCN_Post 1.0'!$E$464:$X$506,18,TRUE), 'GCN_Post 1.0'!AH481)), "")</f>
        <v/>
      </c>
      <c r="AD39" s="9" t="str">
        <f>IFERROR(IF(AD21&gt;TS, "", IF('GCN_Post 1.0'!AI481="",HLOOKUP((TotS)-AD21+1,'GCN_Post 1.0'!$E$464:$X$506,18,TRUE), 'GCN_Post 1.0'!AI481)), "")</f>
        <v/>
      </c>
      <c r="AE39" s="9" t="str">
        <f>IFERROR(IF(AE21&gt;TS, "", IF('GCN_Post 1.0'!AJ481="",HLOOKUP((TotS)-AE21+1,'GCN_Post 1.0'!$E$464:$X$506,18,TRUE), 'GCN_Post 1.0'!AJ481)), "")</f>
        <v/>
      </c>
      <c r="AF39" s="9" t="str">
        <f>IFERROR(IF(AF21&gt;TS, "", IF('GCN_Post 1.0'!AK481="",HLOOKUP((TotS)-AF21+1,'GCN_Post 1.0'!$E$464:$X$506,18,TRUE), 'GCN_Post 1.0'!AK481)), "")</f>
        <v/>
      </c>
      <c r="AG39" s="9" t="str">
        <f>IFERROR(IF(AG21&gt;TS, "", IF('GCN_Post 1.0'!AL481="",HLOOKUP((TotS)-AG21+1,'GCN_Post 1.0'!$E$464:$X$506,18,TRUE), 'GCN_Post 1.0'!AL481)), "")</f>
        <v/>
      </c>
      <c r="AH39" s="9" t="str">
        <f>IFERROR(IF(AH21&gt;TS, "", IF('GCN_Post 1.0'!AM481="",HLOOKUP((TotS)-AH21+1,'GCN_Post 1.0'!$E$464:$X$506,18,TRUE), 'GCN_Post 1.0'!AM481)), "")</f>
        <v/>
      </c>
      <c r="AI39" s="9" t="str">
        <f>IFERROR(IF(AI21&gt;TS, "", IF('GCN_Post 1.0'!AN481="",HLOOKUP((TotS)-AI21+1,'GCN_Post 1.0'!$E$464:$X$506,18,TRUE), 'GCN_Post 1.0'!AN481)), "")</f>
        <v/>
      </c>
      <c r="AJ39" s="9" t="str">
        <f>IFERROR(IF(AJ21&gt;TS, "", IF('GCN_Post 1.0'!AO481="",HLOOKUP((TotS)-AJ21+1,'GCN_Post 1.0'!$E$464:$X$506,18,TRUE), 'GCN_Post 1.0'!AO481)), "")</f>
        <v/>
      </c>
      <c r="AK39" s="9" t="str">
        <f>IFERROR(IF(AK21&gt;TS, "", IF('GCN_Post 1.0'!AP481="",HLOOKUP((TotS)-AK21+1,'GCN_Post 1.0'!$E$464:$X$506,18,TRUE), 'GCN_Post 1.0'!AP481)), "")</f>
        <v/>
      </c>
      <c r="AL39" s="9" t="str">
        <f>IFERROR(IF(AL21&gt;TS, "", IF('GCN_Post 1.0'!AQ481="",HLOOKUP((TotS)-AL21+1,'GCN_Post 1.0'!$E$464:$X$506,18,TRUE), 'GCN_Post 1.0'!AQ481)), "")</f>
        <v/>
      </c>
      <c r="AM39" s="9" t="str">
        <f>IFERROR(IF(AM21&gt;TS, "", IF('GCN_Post 1.0'!AR481="",HLOOKUP((TotS)-AM21+1,'GCN_Post 1.0'!$E$464:$X$506,18,TRUE), 'GCN_Post 1.0'!AR481)), "")</f>
        <v/>
      </c>
      <c r="AN39" s="9" t="str">
        <f>IFERROR(IF(AN21&gt;TS, "", IF('GCN_Post 1.0'!AS481="",HLOOKUP((TotS)-AN21+1,'GCN_Post 1.0'!$E$464:$X$506,18,TRUE), 'GCN_Post 1.0'!AS481)), "")</f>
        <v/>
      </c>
      <c r="AO39" s="9" t="str">
        <f>IFERROR(IF(AO21&gt;TS, "", IF('GCN_Post 1.0'!AT481="",HLOOKUP((TotS)-AO21+1,'GCN_Post 1.0'!$E$464:$X$506,18,TRUE), 'GCN_Post 1.0'!AT481)), "")</f>
        <v/>
      </c>
      <c r="AP39" s="9" t="str">
        <f>IFERROR(IF(AP21&gt;TS, "", IF('GCN_Post 1.0'!AU481="",HLOOKUP((TotS)-AP21+1,'GCN_Post 1.0'!$E$464:$X$506,18,TRUE), 'GCN_Post 1.0'!AU481)), "")</f>
        <v/>
      </c>
      <c r="AQ39" s="9" t="str">
        <f>IFERROR(IF(AQ21&gt;TS, "", IF('GCN_Post 1.0'!AV481="",HLOOKUP((TotS)-AQ21+1,'GCN_Post 1.0'!$E$464:$X$506,18,TRUE), 'GCN_Post 1.0'!AV481)), "")</f>
        <v/>
      </c>
    </row>
    <row r="40" spans="2:43" x14ac:dyDescent="0.25">
      <c r="B40" s="560"/>
      <c r="C40" s="601"/>
      <c r="D40" s="9" t="str">
        <f>'GCN_Post 1.0'!I482</f>
        <v/>
      </c>
      <c r="E40" s="9" t="str">
        <f>IFERROR(IF(E21&gt;TS, "", IF('GCN_Post 1.0'!J482="",HLOOKUP((TotS)-E21+1,'GCN_Post 1.0'!$E$464:$X$506,19,TRUE), 'GCN_Post 1.0'!J482)), "")</f>
        <v/>
      </c>
      <c r="F40" s="9" t="str">
        <f>IFERROR(IF(F21&gt;TS, "", IF('GCN_Post 1.0'!K482="",HLOOKUP((TotS)-F21+1,'GCN_Post 1.0'!$E$464:$X$506,19,TRUE), 'GCN_Post 1.0'!K482)), "")</f>
        <v/>
      </c>
      <c r="G40" s="9" t="str">
        <f>IFERROR(IF(G21&gt;TS, "", IF('GCN_Post 1.0'!L482="",HLOOKUP((TotS)-G21+1,'GCN_Post 1.0'!$E$464:$X$506,19,TRUE), 'GCN_Post 1.0'!L482)), "")</f>
        <v/>
      </c>
      <c r="H40" s="9" t="str">
        <f>IFERROR(IF(H21&gt;TS, "", IF('GCN_Post 1.0'!M482="",HLOOKUP((TotS)-H21+1,'GCN_Post 1.0'!$E$464:$X$506,19,TRUE), 'GCN_Post 1.0'!M482)), "")</f>
        <v/>
      </c>
      <c r="I40" s="9" t="str">
        <f>IFERROR(IF(I21&gt;TS, "", IF('GCN_Post 1.0'!N482="",HLOOKUP((TotS)-I21+1,'GCN_Post 1.0'!$E$464:$X$506,19,TRUE), 'GCN_Post 1.0'!N482)), "")</f>
        <v/>
      </c>
      <c r="J40" s="9" t="str">
        <f>IFERROR(IF(J21&gt;TS, "", IF('GCN_Post 1.0'!O482="",HLOOKUP((TotS)-J21+1,'GCN_Post 1.0'!$E$464:$X$506,19,TRUE), 'GCN_Post 1.0'!O482)), "")</f>
        <v/>
      </c>
      <c r="K40" s="9" t="str">
        <f>IFERROR(IF(K21&gt;TS, "", IF('GCN_Post 1.0'!P482="",HLOOKUP((TotS)-K21+1,'GCN_Post 1.0'!$E$464:$X$506,19,TRUE), 'GCN_Post 1.0'!P482)), "")</f>
        <v/>
      </c>
      <c r="L40" s="9" t="str">
        <f>IFERROR(IF(L21&gt;TS, "", IF('GCN_Post 1.0'!Q482="",HLOOKUP((TotS)-L21+1,'GCN_Post 1.0'!$E$464:$X$506,19,TRUE), 'GCN_Post 1.0'!Q482)), "")</f>
        <v/>
      </c>
      <c r="M40" s="9" t="str">
        <f>IFERROR(IF(M21&gt;TS, "", IF('GCN_Post 1.0'!R482="",HLOOKUP((TotS)-M21+1,'GCN_Post 1.0'!$E$464:$X$506,19,TRUE), 'GCN_Post 1.0'!R482)), "")</f>
        <v/>
      </c>
      <c r="N40" s="9" t="str">
        <f>IFERROR(IF(N21&gt;TS, "", IF('GCN_Post 1.0'!S482="",HLOOKUP((TotS)-N21+1,'GCN_Post 1.0'!$E$464:$X$506,19,TRUE), 'GCN_Post 1.0'!S482)), "")</f>
        <v/>
      </c>
      <c r="O40" s="9" t="str">
        <f>IFERROR(IF(O21&gt;TS, "", IF('GCN_Post 1.0'!T482="",HLOOKUP((TotS)-O21+1,'GCN_Post 1.0'!$E$464:$X$506,19,TRUE), 'GCN_Post 1.0'!T482)), "")</f>
        <v/>
      </c>
      <c r="P40" s="9" t="str">
        <f>IFERROR(IF(P21&gt;TS, "", IF('GCN_Post 1.0'!U482="",HLOOKUP((TotS)-P21+1,'GCN_Post 1.0'!$E$464:$X$506,19,TRUE), 'GCN_Post 1.0'!U482)), "")</f>
        <v/>
      </c>
      <c r="Q40" s="9" t="str">
        <f>IFERROR(IF(Q21&gt;TS, "", IF('GCN_Post 1.0'!V482="",HLOOKUP((TotS)-Q21+1,'GCN_Post 1.0'!$E$464:$X$506,19,TRUE), 'GCN_Post 1.0'!V482)), "")</f>
        <v/>
      </c>
      <c r="R40" s="9" t="str">
        <f>IFERROR(IF(R21&gt;TS, "", IF('GCN_Post 1.0'!W482="",HLOOKUP((TotS)-R21+1,'GCN_Post 1.0'!$E$464:$X$506,19,TRUE), 'GCN_Post 1.0'!W482)), "")</f>
        <v/>
      </c>
      <c r="S40" s="9" t="str">
        <f>IFERROR(IF(S21&gt;TS, "", IF('GCN_Post 1.0'!X482="",HLOOKUP((TotS)-S21+1,'GCN_Post 1.0'!$E$464:$X$506,19,TRUE), 'GCN_Post 1.0'!X482)), "")</f>
        <v/>
      </c>
      <c r="T40" s="9" t="str">
        <f>IFERROR(IF(T21&gt;TS, "", IF('GCN_Post 1.0'!Y482="",HLOOKUP((TotS)-T21+1,'GCN_Post 1.0'!$E$464:$X$506,19,TRUE), 'GCN_Post 1.0'!Y482)), "")</f>
        <v/>
      </c>
      <c r="U40" s="9" t="str">
        <f>IFERROR(IF(U21&gt;TS, "", IF('GCN_Post 1.0'!Z482="",HLOOKUP((TotS)-U21+1,'GCN_Post 1.0'!$E$464:$X$506,19,TRUE), 'GCN_Post 1.0'!Z482)), "")</f>
        <v/>
      </c>
      <c r="V40" s="9" t="str">
        <f>IFERROR(IF(V21&gt;TS, "", IF('GCN_Post 1.0'!AA482="",HLOOKUP((TotS)-V21+1,'GCN_Post 1.0'!$E$464:$X$506,19,TRUE), 'GCN_Post 1.0'!AA482)), "")</f>
        <v/>
      </c>
      <c r="W40" s="9" t="str">
        <f>IFERROR(IF(W21&gt;TS, "", IF('GCN_Post 1.0'!AB482="",HLOOKUP((TotS)-W21+1,'GCN_Post 1.0'!$E$464:$X$506,19,TRUE), 'GCN_Post 1.0'!AB482)), "")</f>
        <v/>
      </c>
      <c r="X40" s="9" t="str">
        <f>IFERROR(IF(X21&gt;TS, "", IF('GCN_Post 1.0'!AC482="",HLOOKUP((TotS)-X21+1,'GCN_Post 1.0'!$E$464:$X$506,19,TRUE), 'GCN_Post 1.0'!AC482)), "")</f>
        <v/>
      </c>
      <c r="Y40" s="9" t="str">
        <f>IFERROR(IF(Y21&gt;TS, "", IF('GCN_Post 1.0'!AD482="",HLOOKUP((TotS)-Y21+1,'GCN_Post 1.0'!$E$464:$X$506,19,TRUE), 'GCN_Post 1.0'!AD482)), "")</f>
        <v/>
      </c>
      <c r="Z40" s="9" t="str">
        <f>IFERROR(IF(Z21&gt;TS, "", IF('GCN_Post 1.0'!AE482="",HLOOKUP((TotS)-Z21+1,'GCN_Post 1.0'!$E$464:$X$506,19,TRUE), 'GCN_Post 1.0'!AE482)), "")</f>
        <v/>
      </c>
      <c r="AA40" s="9" t="str">
        <f>IFERROR(IF(AA21&gt;TS, "", IF('GCN_Post 1.0'!AF482="",HLOOKUP((TotS)-AA21+1,'GCN_Post 1.0'!$E$464:$X$506,19,TRUE), 'GCN_Post 1.0'!AF482)), "")</f>
        <v/>
      </c>
      <c r="AB40" s="9" t="str">
        <f>IFERROR(IF(AB21&gt;TS, "", IF('GCN_Post 1.0'!AG482="",HLOOKUP((TotS)-AB21+1,'GCN_Post 1.0'!$E$464:$X$506,19,TRUE), 'GCN_Post 1.0'!AG482)), "")</f>
        <v/>
      </c>
      <c r="AC40" s="9" t="str">
        <f>IFERROR(IF(AC21&gt;TS, "", IF('GCN_Post 1.0'!AH482="",HLOOKUP((TotS)-AC21+1,'GCN_Post 1.0'!$E$464:$X$506,19,TRUE), 'GCN_Post 1.0'!AH482)), "")</f>
        <v/>
      </c>
      <c r="AD40" s="9" t="str">
        <f>IFERROR(IF(AD21&gt;TS, "", IF('GCN_Post 1.0'!AI482="",HLOOKUP((TotS)-AD21+1,'GCN_Post 1.0'!$E$464:$X$506,19,TRUE), 'GCN_Post 1.0'!AI482)), "")</f>
        <v/>
      </c>
      <c r="AE40" s="9" t="str">
        <f>IFERROR(IF(AE21&gt;TS, "", IF('GCN_Post 1.0'!AJ482="",HLOOKUP((TotS)-AE21+1,'GCN_Post 1.0'!$E$464:$X$506,19,TRUE), 'GCN_Post 1.0'!AJ482)), "")</f>
        <v/>
      </c>
      <c r="AF40" s="9" t="str">
        <f>IFERROR(IF(AF21&gt;TS, "", IF('GCN_Post 1.0'!AK482="",HLOOKUP((TotS)-AF21+1,'GCN_Post 1.0'!$E$464:$X$506,19,TRUE), 'GCN_Post 1.0'!AK482)), "")</f>
        <v/>
      </c>
      <c r="AG40" s="9" t="str">
        <f>IFERROR(IF(AG21&gt;TS, "", IF('GCN_Post 1.0'!AL482="",HLOOKUP((TotS)-AG21+1,'GCN_Post 1.0'!$E$464:$X$506,19,TRUE), 'GCN_Post 1.0'!AL482)), "")</f>
        <v/>
      </c>
      <c r="AH40" s="9" t="str">
        <f>IFERROR(IF(AH21&gt;TS, "", IF('GCN_Post 1.0'!AM482="",HLOOKUP((TotS)-AH21+1,'GCN_Post 1.0'!$E$464:$X$506,19,TRUE), 'GCN_Post 1.0'!AM482)), "")</f>
        <v/>
      </c>
      <c r="AI40" s="9" t="str">
        <f>IFERROR(IF(AI21&gt;TS, "", IF('GCN_Post 1.0'!AN482="",HLOOKUP((TotS)-AI21+1,'GCN_Post 1.0'!$E$464:$X$506,19,TRUE), 'GCN_Post 1.0'!AN482)), "")</f>
        <v/>
      </c>
      <c r="AJ40" s="9" t="str">
        <f>IFERROR(IF(AJ21&gt;TS, "", IF('GCN_Post 1.0'!AO482="",HLOOKUP((TotS)-AJ21+1,'GCN_Post 1.0'!$E$464:$X$506,19,TRUE), 'GCN_Post 1.0'!AO482)), "")</f>
        <v/>
      </c>
      <c r="AK40" s="9" t="str">
        <f>IFERROR(IF(AK21&gt;TS, "", IF('GCN_Post 1.0'!AP482="",HLOOKUP((TotS)-AK21+1,'GCN_Post 1.0'!$E$464:$X$506,19,TRUE), 'GCN_Post 1.0'!AP482)), "")</f>
        <v/>
      </c>
      <c r="AL40" s="9" t="str">
        <f>IFERROR(IF(AL21&gt;TS, "", IF('GCN_Post 1.0'!AQ482="",HLOOKUP((TotS)-AL21+1,'GCN_Post 1.0'!$E$464:$X$506,19,TRUE), 'GCN_Post 1.0'!AQ482)), "")</f>
        <v/>
      </c>
      <c r="AM40" s="9" t="str">
        <f>IFERROR(IF(AM21&gt;TS, "", IF('GCN_Post 1.0'!AR482="",HLOOKUP((TotS)-AM21+1,'GCN_Post 1.0'!$E$464:$X$506,19,TRUE), 'GCN_Post 1.0'!AR482)), "")</f>
        <v/>
      </c>
      <c r="AN40" s="9" t="str">
        <f>IFERROR(IF(AN21&gt;TS, "", IF('GCN_Post 1.0'!AS482="",HLOOKUP((TotS)-AN21+1,'GCN_Post 1.0'!$E$464:$X$506,19,TRUE), 'GCN_Post 1.0'!AS482)), "")</f>
        <v/>
      </c>
      <c r="AO40" s="9" t="str">
        <f>IFERROR(IF(AO21&gt;TS, "", IF('GCN_Post 1.0'!AT482="",HLOOKUP((TotS)-AO21+1,'GCN_Post 1.0'!$E$464:$X$506,19,TRUE), 'GCN_Post 1.0'!AT482)), "")</f>
        <v/>
      </c>
      <c r="AP40" s="9" t="str">
        <f>IFERROR(IF(AP21&gt;TS, "", IF('GCN_Post 1.0'!AU482="",HLOOKUP((TotS)-AP21+1,'GCN_Post 1.0'!$E$464:$X$506,19,TRUE), 'GCN_Post 1.0'!AU482)), "")</f>
        <v/>
      </c>
      <c r="AQ40" s="9" t="str">
        <f>IFERROR(IF(AQ21&gt;TS, "", IF('GCN_Post 1.0'!AV482="",HLOOKUP((TotS)-AQ21+1,'GCN_Post 1.0'!$E$464:$X$506,19,TRUE), 'GCN_Post 1.0'!AV482)), "")</f>
        <v/>
      </c>
    </row>
    <row r="42" spans="2:43" ht="15" customHeight="1" x14ac:dyDescent="0.25">
      <c r="B42" s="663" t="s">
        <v>724</v>
      </c>
      <c r="C42" s="572"/>
      <c r="D42" s="9" t="str">
        <f>'GCN_Post 1.0'!I483</f>
        <v/>
      </c>
      <c r="E42" s="9" t="str">
        <f>IFERROR(IF(E21&gt;TS, "", IF('GCN_Post 1.0'!J483="",HLOOKUP((TotS)-E21+1,'GCN_Post 1.0'!$E$464:$X$506,20,TRUE), 'GCN_Post 1.0'!J483)), "")</f>
        <v/>
      </c>
      <c r="F42" s="9" t="str">
        <f>IFERROR(IF(F21&gt;TS, "", IF('GCN_Post 1.0'!K483="",HLOOKUP((TotS)-F21+1,'GCN_Post 1.0'!$E$464:$X$506,20,TRUE), 'GCN_Post 1.0'!K483)), "")</f>
        <v/>
      </c>
      <c r="G42" s="9" t="str">
        <f>IFERROR(IF(G21&gt;TS, "", IF('GCN_Post 1.0'!L483="",HLOOKUP((TotS)-G21+1,'GCN_Post 1.0'!$E$464:$X$506,20,TRUE), 'GCN_Post 1.0'!L483)), "")</f>
        <v/>
      </c>
      <c r="H42" s="9" t="str">
        <f>IFERROR(IF(H21&gt;TS, "", IF('GCN_Post 1.0'!M483="",HLOOKUP((TotS)-H21+1,'GCN_Post 1.0'!$E$464:$X$506,20,TRUE), 'GCN_Post 1.0'!M483)), "")</f>
        <v/>
      </c>
      <c r="I42" s="9" t="str">
        <f>IFERROR(IF(I21&gt;TS, "", IF('GCN_Post 1.0'!N483="",HLOOKUP((TotS)-I21+1,'GCN_Post 1.0'!$E$464:$X$506,20,TRUE), 'GCN_Post 1.0'!N483)), "")</f>
        <v/>
      </c>
      <c r="J42" s="9" t="str">
        <f>IFERROR(IF(J21&gt;TS, "", IF('GCN_Post 1.0'!O483="",HLOOKUP((TotS)-J21+1,'GCN_Post 1.0'!$E$464:$X$506,20,TRUE), 'GCN_Post 1.0'!O483)), "")</f>
        <v/>
      </c>
      <c r="K42" s="9" t="str">
        <f>IFERROR(IF(K21&gt;TS, "", IF('GCN_Post 1.0'!P483="",HLOOKUP((TotS)-K21+1,'GCN_Post 1.0'!$E$464:$X$506,20,TRUE), 'GCN_Post 1.0'!P483)), "")</f>
        <v/>
      </c>
      <c r="L42" s="9" t="str">
        <f>IFERROR(IF(L21&gt;TS, "", IF('GCN_Post 1.0'!Q483="",HLOOKUP((TotS)-L21+1,'GCN_Post 1.0'!$E$464:$X$506,20,TRUE), 'GCN_Post 1.0'!Q483)), "")</f>
        <v/>
      </c>
      <c r="M42" s="9" t="str">
        <f>IFERROR(IF(M21&gt;TS, "", IF('GCN_Post 1.0'!R483="",HLOOKUP((TotS)-M21+1,'GCN_Post 1.0'!$E$464:$X$506,20,TRUE), 'GCN_Post 1.0'!R483)), "")</f>
        <v/>
      </c>
      <c r="N42" s="9" t="str">
        <f>IFERROR(IF(N21&gt;TS, "", IF('GCN_Post 1.0'!S483="",HLOOKUP((TotS)-N21+1,'GCN_Post 1.0'!$E$464:$X$506,20,TRUE), 'GCN_Post 1.0'!S483)), "")</f>
        <v/>
      </c>
      <c r="O42" s="9" t="str">
        <f>IFERROR(IF(O21&gt;TS, "", IF('GCN_Post 1.0'!T483="",HLOOKUP((TotS)-O21+1,'GCN_Post 1.0'!$E$464:$X$506,20,TRUE), 'GCN_Post 1.0'!T483)), "")</f>
        <v/>
      </c>
      <c r="P42" s="9" t="str">
        <f>IFERROR(IF(P21&gt;TS, "", IF('GCN_Post 1.0'!U483="",HLOOKUP((TotS)-P21+1,'GCN_Post 1.0'!$E$464:$X$506,20,TRUE), 'GCN_Post 1.0'!U483)), "")</f>
        <v/>
      </c>
      <c r="Q42" s="9" t="str">
        <f>IFERROR(IF(Q21&gt;TS, "", IF('GCN_Post 1.0'!V483="",HLOOKUP((TotS)-Q21+1,'GCN_Post 1.0'!$E$464:$X$506,20,TRUE), 'GCN_Post 1.0'!V483)), "")</f>
        <v/>
      </c>
      <c r="R42" s="9" t="str">
        <f>IFERROR(IF(R21&gt;TS, "", IF('GCN_Post 1.0'!W483="",HLOOKUP((TotS)-R21+1,'GCN_Post 1.0'!$E$464:$X$506,20,TRUE), 'GCN_Post 1.0'!W483)), "")</f>
        <v/>
      </c>
      <c r="S42" s="9" t="str">
        <f>IFERROR(IF(S21&gt;TS, "", IF('GCN_Post 1.0'!X483="",HLOOKUP((TotS)-S21+1,'GCN_Post 1.0'!$E$464:$X$506,20,TRUE), 'GCN_Post 1.0'!X483)), "")</f>
        <v/>
      </c>
      <c r="T42" s="9" t="str">
        <f>IFERROR(IF(T21&gt;TS, "", IF('GCN_Post 1.0'!Y483="",HLOOKUP((TotS)-T21+1,'GCN_Post 1.0'!$E$464:$X$506,20,TRUE), 'GCN_Post 1.0'!Y483)), "")</f>
        <v/>
      </c>
      <c r="U42" s="9" t="str">
        <f>IFERROR(IF(U21&gt;TS, "", IF('GCN_Post 1.0'!Z483="",HLOOKUP((TotS)-U21+1,'GCN_Post 1.0'!$E$464:$X$506,20,TRUE), 'GCN_Post 1.0'!Z483)), "")</f>
        <v/>
      </c>
      <c r="V42" s="9" t="str">
        <f>IFERROR(IF(V21&gt;TS, "", IF('GCN_Post 1.0'!AA483="",HLOOKUP((TotS)-V21+1,'GCN_Post 1.0'!$E$464:$X$506,20,TRUE), 'GCN_Post 1.0'!AA483)), "")</f>
        <v/>
      </c>
      <c r="W42" s="9" t="str">
        <f>IFERROR(IF(W21&gt;TS, "", IF('GCN_Post 1.0'!AB483="",HLOOKUP((TotS)-W21+1,'GCN_Post 1.0'!$E$464:$X$506,20,TRUE), 'GCN_Post 1.0'!AB483)), "")</f>
        <v/>
      </c>
      <c r="X42" s="9" t="str">
        <f>IFERROR(IF(X21&gt;TS, "", IF('GCN_Post 1.0'!AC483="",HLOOKUP((TotS)-X21+1,'GCN_Post 1.0'!$E$464:$X$506,20,TRUE), 'GCN_Post 1.0'!AC483)), "")</f>
        <v/>
      </c>
      <c r="Y42" s="9" t="str">
        <f>IFERROR(IF(Y21&gt;TS, "", IF('GCN_Post 1.0'!AD483="",HLOOKUP((TotS)-Y21+1,'GCN_Post 1.0'!$E$464:$X$506,20,TRUE), 'GCN_Post 1.0'!AD483)), "")</f>
        <v/>
      </c>
      <c r="Z42" s="9" t="str">
        <f>IFERROR(IF(Z21&gt;TS, "", IF('GCN_Post 1.0'!AE483="",HLOOKUP((TotS)-Z21+1,'GCN_Post 1.0'!$E$464:$X$506,20,TRUE), 'GCN_Post 1.0'!AE483)), "")</f>
        <v/>
      </c>
      <c r="AA42" s="9" t="str">
        <f>IFERROR(IF(AA21&gt;TS, "", IF('GCN_Post 1.0'!AF483="",HLOOKUP((TotS)-AA21+1,'GCN_Post 1.0'!$E$464:$X$506,20,TRUE), 'GCN_Post 1.0'!AF483)), "")</f>
        <v/>
      </c>
      <c r="AB42" s="9" t="str">
        <f>IFERROR(IF(AB21&gt;TS, "", IF('GCN_Post 1.0'!AG483="",HLOOKUP((TotS)-AB21+1,'GCN_Post 1.0'!$E$464:$X$506,20,TRUE), 'GCN_Post 1.0'!AG483)), "")</f>
        <v/>
      </c>
      <c r="AC42" s="9" t="str">
        <f>IFERROR(IF(AC21&gt;TS, "", IF('GCN_Post 1.0'!AH483="",HLOOKUP((TotS)-AC21+1,'GCN_Post 1.0'!$E$464:$X$506,20,TRUE), 'GCN_Post 1.0'!AH483)), "")</f>
        <v/>
      </c>
      <c r="AD42" s="9" t="str">
        <f>IFERROR(IF(AD21&gt;TS, "", IF('GCN_Post 1.0'!AI483="",HLOOKUP((TotS)-AD21+1,'GCN_Post 1.0'!$E$464:$X$506,20,TRUE), 'GCN_Post 1.0'!AI483)), "")</f>
        <v/>
      </c>
      <c r="AE42" s="9" t="str">
        <f>IFERROR(IF(AE21&gt;TS, "", IF('GCN_Post 1.0'!AJ483="",HLOOKUP((TotS)-AE21+1,'GCN_Post 1.0'!$E$464:$X$506,20,TRUE), 'GCN_Post 1.0'!AJ483)), "")</f>
        <v/>
      </c>
      <c r="AF42" s="9" t="str">
        <f>IFERROR(IF(AF21&gt;TS, "", IF('GCN_Post 1.0'!AK483="",HLOOKUP((TotS)-AF21+1,'GCN_Post 1.0'!$E$464:$X$506,20,TRUE), 'GCN_Post 1.0'!AK483)), "")</f>
        <v/>
      </c>
      <c r="AG42" s="9" t="str">
        <f>IFERROR(IF(AG21&gt;TS, "", IF('GCN_Post 1.0'!AL483="",HLOOKUP((TotS)-AG21+1,'GCN_Post 1.0'!$E$464:$X$506,20,TRUE), 'GCN_Post 1.0'!AL483)), "")</f>
        <v/>
      </c>
      <c r="AH42" s="9" t="str">
        <f>IFERROR(IF(AH21&gt;TS, "", IF('GCN_Post 1.0'!AM483="",HLOOKUP((TotS)-AH21+1,'GCN_Post 1.0'!$E$464:$X$506,20,TRUE), 'GCN_Post 1.0'!AM483)), "")</f>
        <v/>
      </c>
      <c r="AI42" s="9" t="str">
        <f>IFERROR(IF(AI21&gt;TS, "", IF('GCN_Post 1.0'!AN483="",HLOOKUP((TotS)-AI21+1,'GCN_Post 1.0'!$E$464:$X$506,20,TRUE), 'GCN_Post 1.0'!AN483)), "")</f>
        <v/>
      </c>
      <c r="AJ42" s="9" t="str">
        <f>IFERROR(IF(AJ21&gt;TS, "", IF('GCN_Post 1.0'!AO483="",HLOOKUP((TotS)-AJ21+1,'GCN_Post 1.0'!$E$464:$X$506,20,TRUE), 'GCN_Post 1.0'!AO483)), "")</f>
        <v/>
      </c>
      <c r="AK42" s="9" t="str">
        <f>IFERROR(IF(AK21&gt;TS, "", IF('GCN_Post 1.0'!AP483="",HLOOKUP((TotS)-AK21+1,'GCN_Post 1.0'!$E$464:$X$506,20,TRUE), 'GCN_Post 1.0'!AP483)), "")</f>
        <v/>
      </c>
      <c r="AL42" s="9" t="str">
        <f>IFERROR(IF(AL21&gt;TS, "", IF('GCN_Post 1.0'!AQ483="",HLOOKUP((TotS)-AL21+1,'GCN_Post 1.0'!$E$464:$X$506,20,TRUE), 'GCN_Post 1.0'!AQ483)), "")</f>
        <v/>
      </c>
      <c r="AM42" s="9" t="str">
        <f>IFERROR(IF(AM21&gt;TS, "", IF('GCN_Post 1.0'!AR483="",HLOOKUP((TotS)-AM21+1,'GCN_Post 1.0'!$E$464:$X$506,20,TRUE), 'GCN_Post 1.0'!AR483)), "")</f>
        <v/>
      </c>
      <c r="AN42" s="9" t="str">
        <f>IFERROR(IF(AN21&gt;TS, "", IF('GCN_Post 1.0'!AS483="",HLOOKUP((TotS)-AN21+1,'GCN_Post 1.0'!$E$464:$X$506,20,TRUE), 'GCN_Post 1.0'!AS483)), "")</f>
        <v/>
      </c>
      <c r="AO42" s="9" t="str">
        <f>IFERROR(IF(AO21&gt;TS, "", IF('GCN_Post 1.0'!AT483="",HLOOKUP((TotS)-AO21+1,'GCN_Post 1.0'!$E$464:$X$506,20,TRUE), 'GCN_Post 1.0'!AT483)), "")</f>
        <v/>
      </c>
      <c r="AP42" s="9" t="str">
        <f>IFERROR(IF(AP21&gt;TS, "", IF('GCN_Post 1.0'!AU483="",HLOOKUP((TotS)-AP21+1,'GCN_Post 1.0'!$E$464:$X$506,20,TRUE), 'GCN_Post 1.0'!AU483)), "")</f>
        <v/>
      </c>
      <c r="AQ42" s="9" t="str">
        <f>IFERROR(IF(AQ21&gt;TS, "", IF('GCN_Post 1.0'!AV483="",HLOOKUP((TotS)-AQ21+1,'GCN_Post 1.0'!$E$464:$X$506,20,TRUE), 'GCN_Post 1.0'!AV483)), "")</f>
        <v/>
      </c>
    </row>
    <row r="43" spans="2:43" x14ac:dyDescent="0.25">
      <c r="B43" s="555"/>
      <c r="C43" s="565"/>
      <c r="D43" s="9" t="str">
        <f>'GCN_Post 1.0'!I484</f>
        <v/>
      </c>
      <c r="E43" s="9" t="str">
        <f>IFERROR(IF(E21&gt;TS, "", IF('GCN_Post 1.0'!J484="",HLOOKUP((TotS)-E21+1,'GCN_Post 1.0'!$E$464:$X$506,21,TRUE), 'GCN_Post 1.0'!J484)), "")</f>
        <v/>
      </c>
      <c r="F43" s="9" t="str">
        <f>IFERROR(IF(F21&gt;TS, "", IF('GCN_Post 1.0'!K484="",HLOOKUP((TotS)-F21+1,'GCN_Post 1.0'!$E$464:$X$506,21,TRUE), 'GCN_Post 1.0'!K484)), "")</f>
        <v/>
      </c>
      <c r="G43" s="9" t="str">
        <f>IFERROR(IF(G21&gt;TS, "", IF('GCN_Post 1.0'!L484="",HLOOKUP((TotS)-G21+1,'GCN_Post 1.0'!$E$464:$X$506,21,TRUE), 'GCN_Post 1.0'!L484)), "")</f>
        <v/>
      </c>
      <c r="H43" s="9" t="str">
        <f>IFERROR(IF(H21&gt;TS, "", IF('GCN_Post 1.0'!M484="",HLOOKUP((TotS)-H21+1,'GCN_Post 1.0'!$E$464:$X$506,21,TRUE), 'GCN_Post 1.0'!M484)), "")</f>
        <v/>
      </c>
      <c r="I43" s="9" t="str">
        <f>IFERROR(IF(I21&gt;TS, "", IF('GCN_Post 1.0'!N484="",HLOOKUP((TotS)-I21+1,'GCN_Post 1.0'!$E$464:$X$506,21,TRUE), 'GCN_Post 1.0'!N484)), "")</f>
        <v/>
      </c>
      <c r="J43" s="9" t="str">
        <f>IFERROR(IF(J21&gt;TS, "", IF('GCN_Post 1.0'!O484="",HLOOKUP((TotS)-J21+1,'GCN_Post 1.0'!$E$464:$X$506,21,TRUE), 'GCN_Post 1.0'!O484)), "")</f>
        <v/>
      </c>
      <c r="K43" s="9" t="str">
        <f>IFERROR(IF(K21&gt;TS, "", IF('GCN_Post 1.0'!P484="",HLOOKUP((TotS)-K21+1,'GCN_Post 1.0'!$E$464:$X$506,21,TRUE), 'GCN_Post 1.0'!P484)), "")</f>
        <v/>
      </c>
      <c r="L43" s="9" t="str">
        <f>IFERROR(IF(L21&gt;TS, "", IF('GCN_Post 1.0'!Q484="",HLOOKUP((TotS)-L21+1,'GCN_Post 1.0'!$E$464:$X$506,21,TRUE), 'GCN_Post 1.0'!Q484)), "")</f>
        <v/>
      </c>
      <c r="M43" s="9" t="str">
        <f>IFERROR(IF(M21&gt;TS, "", IF('GCN_Post 1.0'!R484="",HLOOKUP((TotS)-M21+1,'GCN_Post 1.0'!$E$464:$X$506,21,TRUE), 'GCN_Post 1.0'!R484)), "")</f>
        <v/>
      </c>
      <c r="N43" s="9" t="str">
        <f>IFERROR(IF(N21&gt;TS, "", IF('GCN_Post 1.0'!S484="",HLOOKUP((TotS)-N21+1,'GCN_Post 1.0'!$E$464:$X$506,21,TRUE), 'GCN_Post 1.0'!S484)), "")</f>
        <v/>
      </c>
      <c r="O43" s="9" t="str">
        <f>IFERROR(IF(O21&gt;TS, "", IF('GCN_Post 1.0'!T484="",HLOOKUP((TotS)-O21+1,'GCN_Post 1.0'!$E$464:$X$506,21,TRUE), 'GCN_Post 1.0'!T484)), "")</f>
        <v/>
      </c>
      <c r="P43" s="9" t="str">
        <f>IFERROR(IF(P21&gt;TS, "", IF('GCN_Post 1.0'!U484="",HLOOKUP((TotS)-P21+1,'GCN_Post 1.0'!$E$464:$X$506,21,TRUE), 'GCN_Post 1.0'!U484)), "")</f>
        <v/>
      </c>
      <c r="Q43" s="9" t="str">
        <f>IFERROR(IF(Q21&gt;TS, "", IF('GCN_Post 1.0'!V484="",HLOOKUP((TotS)-Q21+1,'GCN_Post 1.0'!$E$464:$X$506,21,TRUE), 'GCN_Post 1.0'!V484)), "")</f>
        <v/>
      </c>
      <c r="R43" s="9" t="str">
        <f>IFERROR(IF(R21&gt;TS, "", IF('GCN_Post 1.0'!W484="",HLOOKUP((TotS)-R21+1,'GCN_Post 1.0'!$E$464:$X$506,21,TRUE), 'GCN_Post 1.0'!W484)), "")</f>
        <v/>
      </c>
      <c r="S43" s="9" t="str">
        <f>IFERROR(IF(S21&gt;TS, "", IF('GCN_Post 1.0'!X484="",HLOOKUP((TotS)-S21+1,'GCN_Post 1.0'!$E$464:$X$506,21,TRUE), 'GCN_Post 1.0'!X484)), "")</f>
        <v/>
      </c>
      <c r="T43" s="9" t="str">
        <f>IFERROR(IF(T21&gt;TS, "", IF('GCN_Post 1.0'!Y484="",HLOOKUP((TotS)-T21+1,'GCN_Post 1.0'!$E$464:$X$506,21,TRUE), 'GCN_Post 1.0'!Y484)), "")</f>
        <v/>
      </c>
      <c r="U43" s="9" t="str">
        <f>IFERROR(IF(U21&gt;TS, "", IF('GCN_Post 1.0'!Z484="",HLOOKUP((TotS)-U21+1,'GCN_Post 1.0'!$E$464:$X$506,21,TRUE), 'GCN_Post 1.0'!Z484)), "")</f>
        <v/>
      </c>
      <c r="V43" s="9" t="str">
        <f>IFERROR(IF(V21&gt;TS, "", IF('GCN_Post 1.0'!AA484="",HLOOKUP((TotS)-V21+1,'GCN_Post 1.0'!$E$464:$X$506,21,TRUE), 'GCN_Post 1.0'!AA484)), "")</f>
        <v/>
      </c>
      <c r="W43" s="9" t="str">
        <f>IFERROR(IF(W21&gt;TS, "", IF('GCN_Post 1.0'!AB484="",HLOOKUP((TotS)-W21+1,'GCN_Post 1.0'!$E$464:$X$506,21,TRUE), 'GCN_Post 1.0'!AB484)), "")</f>
        <v/>
      </c>
      <c r="X43" s="9" t="str">
        <f>IFERROR(IF(X21&gt;TS, "", IF('GCN_Post 1.0'!AC484="",HLOOKUP((TotS)-X21+1,'GCN_Post 1.0'!$E$464:$X$506,21,TRUE), 'GCN_Post 1.0'!AC484)), "")</f>
        <v/>
      </c>
      <c r="Y43" s="9" t="str">
        <f>IFERROR(IF(Y21&gt;TS, "", IF('GCN_Post 1.0'!AD484="",HLOOKUP((TotS)-Y21+1,'GCN_Post 1.0'!$E$464:$X$506,21,TRUE), 'GCN_Post 1.0'!AD484)), "")</f>
        <v/>
      </c>
      <c r="Z43" s="9" t="str">
        <f>IFERROR(IF(Z21&gt;TS, "", IF('GCN_Post 1.0'!AE484="",HLOOKUP((TotS)-Z21+1,'GCN_Post 1.0'!$E$464:$X$506,21,TRUE), 'GCN_Post 1.0'!AE484)), "")</f>
        <v/>
      </c>
      <c r="AA43" s="9" t="str">
        <f>IFERROR(IF(AA21&gt;TS, "", IF('GCN_Post 1.0'!AF484="",HLOOKUP((TotS)-AA21+1,'GCN_Post 1.0'!$E$464:$X$506,21,TRUE), 'GCN_Post 1.0'!AF484)), "")</f>
        <v/>
      </c>
      <c r="AB43" s="9" t="str">
        <f>IFERROR(IF(AB21&gt;TS, "", IF('GCN_Post 1.0'!AG484="",HLOOKUP((TotS)-AB21+1,'GCN_Post 1.0'!$E$464:$X$506,21,TRUE), 'GCN_Post 1.0'!AG484)), "")</f>
        <v/>
      </c>
      <c r="AC43" s="9" t="str">
        <f>IFERROR(IF(AC21&gt;TS, "", IF('GCN_Post 1.0'!AH484="",HLOOKUP((TotS)-AC21+1,'GCN_Post 1.0'!$E$464:$X$506,21,TRUE), 'GCN_Post 1.0'!AH484)), "")</f>
        <v/>
      </c>
      <c r="AD43" s="9" t="str">
        <f>IFERROR(IF(AD21&gt;TS, "", IF('GCN_Post 1.0'!AI484="",HLOOKUP((TotS)-AD21+1,'GCN_Post 1.0'!$E$464:$X$506,21,TRUE), 'GCN_Post 1.0'!AI484)), "")</f>
        <v/>
      </c>
      <c r="AE43" s="9" t="str">
        <f>IFERROR(IF(AE21&gt;TS, "", IF('GCN_Post 1.0'!AJ484="",HLOOKUP((TotS)-AE21+1,'GCN_Post 1.0'!$E$464:$X$506,21,TRUE), 'GCN_Post 1.0'!AJ484)), "")</f>
        <v/>
      </c>
      <c r="AF43" s="9" t="str">
        <f>IFERROR(IF(AF21&gt;TS, "", IF('GCN_Post 1.0'!AK484="",HLOOKUP((TotS)-AF21+1,'GCN_Post 1.0'!$E$464:$X$506,21,TRUE), 'GCN_Post 1.0'!AK484)), "")</f>
        <v/>
      </c>
      <c r="AG43" s="9" t="str">
        <f>IFERROR(IF(AG21&gt;TS, "", IF('GCN_Post 1.0'!AL484="",HLOOKUP((TotS)-AG21+1,'GCN_Post 1.0'!$E$464:$X$506,21,TRUE), 'GCN_Post 1.0'!AL484)), "")</f>
        <v/>
      </c>
      <c r="AH43" s="9" t="str">
        <f>IFERROR(IF(AH21&gt;TS, "", IF('GCN_Post 1.0'!AM484="",HLOOKUP((TotS)-AH21+1,'GCN_Post 1.0'!$E$464:$X$506,21,TRUE), 'GCN_Post 1.0'!AM484)), "")</f>
        <v/>
      </c>
      <c r="AI43" s="9" t="str">
        <f>IFERROR(IF(AI21&gt;TS, "", IF('GCN_Post 1.0'!AN484="",HLOOKUP((TotS)-AI21+1,'GCN_Post 1.0'!$E$464:$X$506,21,TRUE), 'GCN_Post 1.0'!AN484)), "")</f>
        <v/>
      </c>
      <c r="AJ43" s="9" t="str">
        <f>IFERROR(IF(AJ21&gt;TS, "", IF('GCN_Post 1.0'!AO484="",HLOOKUP((TotS)-AJ21+1,'GCN_Post 1.0'!$E$464:$X$506,21,TRUE), 'GCN_Post 1.0'!AO484)), "")</f>
        <v/>
      </c>
      <c r="AK43" s="9" t="str">
        <f>IFERROR(IF(AK21&gt;TS, "", IF('GCN_Post 1.0'!AP484="",HLOOKUP((TotS)-AK21+1,'GCN_Post 1.0'!$E$464:$X$506,21,TRUE), 'GCN_Post 1.0'!AP484)), "")</f>
        <v/>
      </c>
      <c r="AL43" s="9" t="str">
        <f>IFERROR(IF(AL21&gt;TS, "", IF('GCN_Post 1.0'!AQ484="",HLOOKUP((TotS)-AL21+1,'GCN_Post 1.0'!$E$464:$X$506,21,TRUE), 'GCN_Post 1.0'!AQ484)), "")</f>
        <v/>
      </c>
      <c r="AM43" s="9" t="str">
        <f>IFERROR(IF(AM21&gt;TS, "", IF('GCN_Post 1.0'!AR484="",HLOOKUP((TotS)-AM21+1,'GCN_Post 1.0'!$E$464:$X$506,21,TRUE), 'GCN_Post 1.0'!AR484)), "")</f>
        <v/>
      </c>
      <c r="AN43" s="9" t="str">
        <f>IFERROR(IF(AN21&gt;TS, "", IF('GCN_Post 1.0'!AS484="",HLOOKUP((TotS)-AN21+1,'GCN_Post 1.0'!$E$464:$X$506,21,TRUE), 'GCN_Post 1.0'!AS484)), "")</f>
        <v/>
      </c>
      <c r="AO43" s="9" t="str">
        <f>IFERROR(IF(AO21&gt;TS, "", IF('GCN_Post 1.0'!AT484="",HLOOKUP((TotS)-AO21+1,'GCN_Post 1.0'!$E$464:$X$506,21,TRUE), 'GCN_Post 1.0'!AT484)), "")</f>
        <v/>
      </c>
      <c r="AP43" s="9" t="str">
        <f>IFERROR(IF(AP21&gt;TS, "", IF('GCN_Post 1.0'!AU484="",HLOOKUP((TotS)-AP21+1,'GCN_Post 1.0'!$E$464:$X$506,21,TRUE), 'GCN_Post 1.0'!AU484)), "")</f>
        <v/>
      </c>
      <c r="AQ43" s="9" t="str">
        <f>IFERROR(IF(AQ21&gt;TS, "", IF('GCN_Post 1.0'!AV484="",HLOOKUP((TotS)-AQ21+1,'GCN_Post 1.0'!$E$464:$X$506,21,TRUE), 'GCN_Post 1.0'!AV484)), "")</f>
        <v/>
      </c>
    </row>
    <row r="44" spans="2:43" x14ac:dyDescent="0.25">
      <c r="B44" s="555"/>
      <c r="C44" s="565"/>
      <c r="D44" s="9" t="str">
        <f>'GCN_Post 1.0'!I485</f>
        <v/>
      </c>
      <c r="E44" s="9" t="str">
        <f>IFERROR(IF(E21&gt;TS, "", IF('GCN_Post 1.0'!J485="",HLOOKUP((TotS)-E21+1,'GCN_Post 1.0'!$E$464:$X$506,22,TRUE), 'GCN_Post 1.0'!J485)), "")</f>
        <v/>
      </c>
      <c r="F44" s="9" t="str">
        <f>IFERROR(IF(F21&gt;TS, "", IF('GCN_Post 1.0'!K485="",HLOOKUP((TotS)-F21+1,'GCN_Post 1.0'!$E$464:$X$506,22,TRUE), 'GCN_Post 1.0'!K485)), "")</f>
        <v/>
      </c>
      <c r="G44" s="9" t="str">
        <f>IFERROR(IF(G21&gt;TS, "", IF('GCN_Post 1.0'!L485="",HLOOKUP((TotS)-G21+1,'GCN_Post 1.0'!$E$464:$X$506,22,TRUE), 'GCN_Post 1.0'!L485)), "")</f>
        <v/>
      </c>
      <c r="H44" s="9" t="str">
        <f>IFERROR(IF(H21&gt;TS, "", IF('GCN_Post 1.0'!M485="",HLOOKUP((TotS)-H21+1,'GCN_Post 1.0'!$E$464:$X$506,22,TRUE), 'GCN_Post 1.0'!M485)), "")</f>
        <v/>
      </c>
      <c r="I44" s="9" t="str">
        <f>IFERROR(IF(I21&gt;TS, "", IF('GCN_Post 1.0'!N485="",HLOOKUP((TotS)-I21+1,'GCN_Post 1.0'!$E$464:$X$506,22,TRUE), 'GCN_Post 1.0'!N485)), "")</f>
        <v/>
      </c>
      <c r="J44" s="9" t="str">
        <f>IFERROR(IF(J21&gt;TS, "", IF('GCN_Post 1.0'!O485="",HLOOKUP((TotS)-J21+1,'GCN_Post 1.0'!$E$464:$X$506,22,TRUE), 'GCN_Post 1.0'!O485)), "")</f>
        <v/>
      </c>
      <c r="K44" s="9" t="str">
        <f>IFERROR(IF(K21&gt;TS, "", IF('GCN_Post 1.0'!P485="",HLOOKUP((TotS)-K21+1,'GCN_Post 1.0'!$E$464:$X$506,22,TRUE), 'GCN_Post 1.0'!P485)), "")</f>
        <v/>
      </c>
      <c r="L44" s="9" t="str">
        <f>IFERROR(IF(L21&gt;TS, "", IF('GCN_Post 1.0'!Q485="",HLOOKUP((TotS)-L21+1,'GCN_Post 1.0'!$E$464:$X$506,22,TRUE), 'GCN_Post 1.0'!Q485)), "")</f>
        <v/>
      </c>
      <c r="M44" s="9" t="str">
        <f>IFERROR(IF(M21&gt;TS, "", IF('GCN_Post 1.0'!R485="",HLOOKUP((TotS)-M21+1,'GCN_Post 1.0'!$E$464:$X$506,22,TRUE), 'GCN_Post 1.0'!R485)), "")</f>
        <v/>
      </c>
      <c r="N44" s="9" t="str">
        <f>IFERROR(IF(N21&gt;TS, "", IF('GCN_Post 1.0'!S485="",HLOOKUP((TotS)-N21+1,'GCN_Post 1.0'!$E$464:$X$506,22,TRUE), 'GCN_Post 1.0'!S485)), "")</f>
        <v/>
      </c>
      <c r="O44" s="9" t="str">
        <f>IFERROR(IF(O21&gt;TS, "", IF('GCN_Post 1.0'!T485="",HLOOKUP((TotS)-O21+1,'GCN_Post 1.0'!$E$464:$X$506,22,TRUE), 'GCN_Post 1.0'!T485)), "")</f>
        <v/>
      </c>
      <c r="P44" s="9" t="str">
        <f>IFERROR(IF(P21&gt;TS, "", IF('GCN_Post 1.0'!U485="",HLOOKUP((TotS)-P21+1,'GCN_Post 1.0'!$E$464:$X$506,22,TRUE), 'GCN_Post 1.0'!U485)), "")</f>
        <v/>
      </c>
      <c r="Q44" s="9" t="str">
        <f>IFERROR(IF(Q21&gt;TS, "", IF('GCN_Post 1.0'!V485="",HLOOKUP((TotS)-Q21+1,'GCN_Post 1.0'!$E$464:$X$506,22,TRUE), 'GCN_Post 1.0'!V485)), "")</f>
        <v/>
      </c>
      <c r="R44" s="9" t="str">
        <f>IFERROR(IF(R21&gt;TS, "", IF('GCN_Post 1.0'!W485="",HLOOKUP((TotS)-R21+1,'GCN_Post 1.0'!$E$464:$X$506,22,TRUE), 'GCN_Post 1.0'!W485)), "")</f>
        <v/>
      </c>
      <c r="S44" s="9" t="str">
        <f>IFERROR(IF(S21&gt;TS, "", IF('GCN_Post 1.0'!X485="",HLOOKUP((TotS)-S21+1,'GCN_Post 1.0'!$E$464:$X$506,22,TRUE), 'GCN_Post 1.0'!X485)), "")</f>
        <v/>
      </c>
      <c r="T44" s="9" t="str">
        <f>IFERROR(IF(T21&gt;TS, "", IF('GCN_Post 1.0'!Y485="",HLOOKUP((TotS)-T21+1,'GCN_Post 1.0'!$E$464:$X$506,22,TRUE), 'GCN_Post 1.0'!Y485)), "")</f>
        <v/>
      </c>
      <c r="U44" s="9" t="str">
        <f>IFERROR(IF(U21&gt;TS, "", IF('GCN_Post 1.0'!Z485="",HLOOKUP((TotS)-U21+1,'GCN_Post 1.0'!$E$464:$X$506,22,TRUE), 'GCN_Post 1.0'!Z485)), "")</f>
        <v/>
      </c>
      <c r="V44" s="9" t="str">
        <f>IFERROR(IF(V21&gt;TS, "", IF('GCN_Post 1.0'!AA485="",HLOOKUP((TotS)-V21+1,'GCN_Post 1.0'!$E$464:$X$506,22,TRUE), 'GCN_Post 1.0'!AA485)), "")</f>
        <v/>
      </c>
      <c r="W44" s="9" t="str">
        <f>IFERROR(IF(W21&gt;TS, "", IF('GCN_Post 1.0'!AB485="",HLOOKUP((TotS)-W21+1,'GCN_Post 1.0'!$E$464:$X$506,22,TRUE), 'GCN_Post 1.0'!AB485)), "")</f>
        <v/>
      </c>
      <c r="X44" s="9" t="str">
        <f>IFERROR(IF(X21&gt;TS, "", IF('GCN_Post 1.0'!AC485="",HLOOKUP((TotS)-X21+1,'GCN_Post 1.0'!$E$464:$X$506,22,TRUE), 'GCN_Post 1.0'!AC485)), "")</f>
        <v/>
      </c>
      <c r="Y44" s="9" t="str">
        <f>IFERROR(IF(Y21&gt;TS, "", IF('GCN_Post 1.0'!AD485="",HLOOKUP((TotS)-Y21+1,'GCN_Post 1.0'!$E$464:$X$506,22,TRUE), 'GCN_Post 1.0'!AD485)), "")</f>
        <v/>
      </c>
      <c r="Z44" s="9" t="str">
        <f>IFERROR(IF(Z21&gt;TS, "", IF('GCN_Post 1.0'!AE485="",HLOOKUP((TotS)-Z21+1,'GCN_Post 1.0'!$E$464:$X$506,22,TRUE), 'GCN_Post 1.0'!AE485)), "")</f>
        <v/>
      </c>
      <c r="AA44" s="9" t="str">
        <f>IFERROR(IF(AA21&gt;TS, "", IF('GCN_Post 1.0'!AF485="",HLOOKUP((TotS)-AA21+1,'GCN_Post 1.0'!$E$464:$X$506,22,TRUE), 'GCN_Post 1.0'!AF485)), "")</f>
        <v/>
      </c>
      <c r="AB44" s="9" t="str">
        <f>IFERROR(IF(AB21&gt;TS, "", IF('GCN_Post 1.0'!AG485="",HLOOKUP((TotS)-AB21+1,'GCN_Post 1.0'!$E$464:$X$506,22,TRUE), 'GCN_Post 1.0'!AG485)), "")</f>
        <v/>
      </c>
      <c r="AC44" s="9" t="str">
        <f>IFERROR(IF(AC21&gt;TS, "", IF('GCN_Post 1.0'!AH485="",HLOOKUP((TotS)-AC21+1,'GCN_Post 1.0'!$E$464:$X$506,22,TRUE), 'GCN_Post 1.0'!AH485)), "")</f>
        <v/>
      </c>
      <c r="AD44" s="9" t="str">
        <f>IFERROR(IF(AD21&gt;TS, "", IF('GCN_Post 1.0'!AI485="",HLOOKUP((TotS)-AD21+1,'GCN_Post 1.0'!$E$464:$X$506,22,TRUE), 'GCN_Post 1.0'!AI485)), "")</f>
        <v/>
      </c>
      <c r="AE44" s="9" t="str">
        <f>IFERROR(IF(AE21&gt;TS, "", IF('GCN_Post 1.0'!AJ485="",HLOOKUP((TotS)-AE21+1,'GCN_Post 1.0'!$E$464:$X$506,22,TRUE), 'GCN_Post 1.0'!AJ485)), "")</f>
        <v/>
      </c>
      <c r="AF44" s="9" t="str">
        <f>IFERROR(IF(AF21&gt;TS, "", IF('GCN_Post 1.0'!AK485="",HLOOKUP((TotS)-AF21+1,'GCN_Post 1.0'!$E$464:$X$506,22,TRUE), 'GCN_Post 1.0'!AK485)), "")</f>
        <v/>
      </c>
      <c r="AG44" s="9" t="str">
        <f>IFERROR(IF(AG21&gt;TS, "", IF('GCN_Post 1.0'!AL485="",HLOOKUP((TotS)-AG21+1,'GCN_Post 1.0'!$E$464:$X$506,22,TRUE), 'GCN_Post 1.0'!AL485)), "")</f>
        <v/>
      </c>
      <c r="AH44" s="9" t="str">
        <f>IFERROR(IF(AH21&gt;TS, "", IF('GCN_Post 1.0'!AM485="",HLOOKUP((TotS)-AH21+1,'GCN_Post 1.0'!$E$464:$X$506,22,TRUE), 'GCN_Post 1.0'!AM485)), "")</f>
        <v/>
      </c>
      <c r="AI44" s="9" t="str">
        <f>IFERROR(IF(AI21&gt;TS, "", IF('GCN_Post 1.0'!AN485="",HLOOKUP((TotS)-AI21+1,'GCN_Post 1.0'!$E$464:$X$506,22,TRUE), 'GCN_Post 1.0'!AN485)), "")</f>
        <v/>
      </c>
      <c r="AJ44" s="9" t="str">
        <f>IFERROR(IF(AJ21&gt;TS, "", IF('GCN_Post 1.0'!AO485="",HLOOKUP((TotS)-AJ21+1,'GCN_Post 1.0'!$E$464:$X$506,22,TRUE), 'GCN_Post 1.0'!AO485)), "")</f>
        <v/>
      </c>
      <c r="AK44" s="9" t="str">
        <f>IFERROR(IF(AK21&gt;TS, "", IF('GCN_Post 1.0'!AP485="",HLOOKUP((TotS)-AK21+1,'GCN_Post 1.0'!$E$464:$X$506,22,TRUE), 'GCN_Post 1.0'!AP485)), "")</f>
        <v/>
      </c>
      <c r="AL44" s="9" t="str">
        <f>IFERROR(IF(AL21&gt;TS, "", IF('GCN_Post 1.0'!AQ485="",HLOOKUP((TotS)-AL21+1,'GCN_Post 1.0'!$E$464:$X$506,22,TRUE), 'GCN_Post 1.0'!AQ485)), "")</f>
        <v/>
      </c>
      <c r="AM44" s="9" t="str">
        <f>IFERROR(IF(AM21&gt;TS, "", IF('GCN_Post 1.0'!AR485="",HLOOKUP((TotS)-AM21+1,'GCN_Post 1.0'!$E$464:$X$506,22,TRUE), 'GCN_Post 1.0'!AR485)), "")</f>
        <v/>
      </c>
      <c r="AN44" s="9" t="str">
        <f>IFERROR(IF(AN21&gt;TS, "", IF('GCN_Post 1.0'!AS485="",HLOOKUP((TotS)-AN21+1,'GCN_Post 1.0'!$E$464:$X$506,22,TRUE), 'GCN_Post 1.0'!AS485)), "")</f>
        <v/>
      </c>
      <c r="AO44" s="9" t="str">
        <f>IFERROR(IF(AO21&gt;TS, "", IF('GCN_Post 1.0'!AT485="",HLOOKUP((TotS)-AO21+1,'GCN_Post 1.0'!$E$464:$X$506,22,TRUE), 'GCN_Post 1.0'!AT485)), "")</f>
        <v/>
      </c>
      <c r="AP44" s="9" t="str">
        <f>IFERROR(IF(AP21&gt;TS, "", IF('GCN_Post 1.0'!AU485="",HLOOKUP((TotS)-AP21+1,'GCN_Post 1.0'!$E$464:$X$506,22,TRUE), 'GCN_Post 1.0'!AU485)), "")</f>
        <v/>
      </c>
      <c r="AQ44" s="9" t="str">
        <f>IFERROR(IF(AQ21&gt;TS, "", IF('GCN_Post 1.0'!AV485="",HLOOKUP((TotS)-AQ21+1,'GCN_Post 1.0'!$E$464:$X$506,22,TRUE), 'GCN_Post 1.0'!AV485)), "")</f>
        <v/>
      </c>
    </row>
    <row r="45" spans="2:43" x14ac:dyDescent="0.25">
      <c r="B45" s="560"/>
      <c r="C45" s="601"/>
      <c r="D45" s="9" t="str">
        <f>'GCN_Post 1.0'!I486</f>
        <v/>
      </c>
      <c r="E45" s="9" t="str">
        <f>IFERROR(IF(E21&gt;TS, "", IF('GCN_Post 1.0'!J486="",HLOOKUP((TotS)-E21+1,'GCN_Post 1.0'!$E$464:$X$506,23,TRUE), 'GCN_Post 1.0'!J486)), "")</f>
        <v/>
      </c>
      <c r="F45" s="9" t="str">
        <f>IFERROR(IF(F21&gt;TS, "", IF('GCN_Post 1.0'!K486="",HLOOKUP((TotS)-F21+1,'GCN_Post 1.0'!$E$464:$X$506,23,TRUE), 'GCN_Post 1.0'!K486)), "")</f>
        <v/>
      </c>
      <c r="G45" s="9" t="str">
        <f>IFERROR(IF(G21&gt;TS, "", IF('GCN_Post 1.0'!L486="",HLOOKUP((TotS)-G21+1,'GCN_Post 1.0'!$E$464:$X$506,23,TRUE), 'GCN_Post 1.0'!L486)), "")</f>
        <v/>
      </c>
      <c r="H45" s="9" t="str">
        <f>IFERROR(IF(H21&gt;TS, "", IF('GCN_Post 1.0'!M486="",HLOOKUP((TotS)-H21+1,'GCN_Post 1.0'!$E$464:$X$506,23,TRUE), 'GCN_Post 1.0'!M486)), "")</f>
        <v/>
      </c>
      <c r="I45" s="9" t="str">
        <f>IFERROR(IF(I21&gt;TS, "", IF('GCN_Post 1.0'!N486="",HLOOKUP((TotS)-I21+1,'GCN_Post 1.0'!$E$464:$X$506,23,TRUE), 'GCN_Post 1.0'!N486)), "")</f>
        <v/>
      </c>
      <c r="J45" s="9" t="str">
        <f>IFERROR(IF(J21&gt;TS, "", IF('GCN_Post 1.0'!O486="",HLOOKUP((TotS)-J21+1,'GCN_Post 1.0'!$E$464:$X$506,23,TRUE), 'GCN_Post 1.0'!O486)), "")</f>
        <v/>
      </c>
      <c r="K45" s="9" t="str">
        <f>IFERROR(IF(K21&gt;TS, "", IF('GCN_Post 1.0'!P486="",HLOOKUP((TotS)-K21+1,'GCN_Post 1.0'!$E$464:$X$506,23,TRUE), 'GCN_Post 1.0'!P486)), "")</f>
        <v/>
      </c>
      <c r="L45" s="9" t="str">
        <f>IFERROR(IF(L21&gt;TS, "", IF('GCN_Post 1.0'!Q486="",HLOOKUP((TotS)-L21+1,'GCN_Post 1.0'!$E$464:$X$506,23,TRUE), 'GCN_Post 1.0'!Q486)), "")</f>
        <v/>
      </c>
      <c r="M45" s="9" t="str">
        <f>IFERROR(IF(M21&gt;TS, "", IF('GCN_Post 1.0'!R486="",HLOOKUP((TotS)-M21+1,'GCN_Post 1.0'!$E$464:$X$506,23,TRUE), 'GCN_Post 1.0'!R486)), "")</f>
        <v/>
      </c>
      <c r="N45" s="9" t="str">
        <f>IFERROR(IF(N21&gt;TS, "", IF('GCN_Post 1.0'!S486="",HLOOKUP((TotS)-N21+1,'GCN_Post 1.0'!$E$464:$X$506,23,TRUE), 'GCN_Post 1.0'!S486)), "")</f>
        <v/>
      </c>
      <c r="O45" s="9" t="str">
        <f>IFERROR(IF(O21&gt;TS, "", IF('GCN_Post 1.0'!T486="",HLOOKUP((TotS)-O21+1,'GCN_Post 1.0'!$E$464:$X$506,23,TRUE), 'GCN_Post 1.0'!T486)), "")</f>
        <v/>
      </c>
      <c r="P45" s="9" t="str">
        <f>IFERROR(IF(P21&gt;TS, "", IF('GCN_Post 1.0'!U486="",HLOOKUP((TotS)-P21+1,'GCN_Post 1.0'!$E$464:$X$506,23,TRUE), 'GCN_Post 1.0'!U486)), "")</f>
        <v/>
      </c>
      <c r="Q45" s="9" t="str">
        <f>IFERROR(IF(Q21&gt;TS, "", IF('GCN_Post 1.0'!V486="",HLOOKUP((TotS)-Q21+1,'GCN_Post 1.0'!$E$464:$X$506,23,TRUE), 'GCN_Post 1.0'!V486)), "")</f>
        <v/>
      </c>
      <c r="R45" s="9" t="str">
        <f>IFERROR(IF(R21&gt;TS, "", IF('GCN_Post 1.0'!W486="",HLOOKUP((TotS)-R21+1,'GCN_Post 1.0'!$E$464:$X$506,23,TRUE), 'GCN_Post 1.0'!W486)), "")</f>
        <v/>
      </c>
      <c r="S45" s="9" t="str">
        <f>IFERROR(IF(S21&gt;TS, "", IF('GCN_Post 1.0'!X486="",HLOOKUP((TotS)-S21+1,'GCN_Post 1.0'!$E$464:$X$506,23,TRUE), 'GCN_Post 1.0'!X486)), "")</f>
        <v/>
      </c>
      <c r="T45" s="9" t="str">
        <f>IFERROR(IF(T21&gt;TS, "", IF('GCN_Post 1.0'!Y486="",HLOOKUP((TotS)-T21+1,'GCN_Post 1.0'!$E$464:$X$506,23,TRUE), 'GCN_Post 1.0'!Y486)), "")</f>
        <v/>
      </c>
      <c r="U45" s="9" t="str">
        <f>IFERROR(IF(U21&gt;TS, "", IF('GCN_Post 1.0'!Z486="",HLOOKUP((TotS)-U21+1,'GCN_Post 1.0'!$E$464:$X$506,23,TRUE), 'GCN_Post 1.0'!Z486)), "")</f>
        <v/>
      </c>
      <c r="V45" s="9" t="str">
        <f>IFERROR(IF(V21&gt;TS, "", IF('GCN_Post 1.0'!AA486="",HLOOKUP((TotS)-V21+1,'GCN_Post 1.0'!$E$464:$X$506,23,TRUE), 'GCN_Post 1.0'!AA486)), "")</f>
        <v/>
      </c>
      <c r="W45" s="9" t="str">
        <f>IFERROR(IF(W21&gt;TS, "", IF('GCN_Post 1.0'!AB486="",HLOOKUP((TotS)-W21+1,'GCN_Post 1.0'!$E$464:$X$506,23,TRUE), 'GCN_Post 1.0'!AB486)), "")</f>
        <v/>
      </c>
      <c r="X45" s="9" t="str">
        <f>IFERROR(IF(X21&gt;TS, "", IF('GCN_Post 1.0'!AC486="",HLOOKUP((TotS)-X21+1,'GCN_Post 1.0'!$E$464:$X$506,23,TRUE), 'GCN_Post 1.0'!AC486)), "")</f>
        <v/>
      </c>
      <c r="Y45" s="9" t="str">
        <f>IFERROR(IF(Y21&gt;TS, "", IF('GCN_Post 1.0'!AD486="",HLOOKUP((TotS)-Y21+1,'GCN_Post 1.0'!$E$464:$X$506,23,TRUE), 'GCN_Post 1.0'!AD486)), "")</f>
        <v/>
      </c>
      <c r="Z45" s="9" t="str">
        <f>IFERROR(IF(Z21&gt;TS, "", IF('GCN_Post 1.0'!AE486="",HLOOKUP((TotS)-Z21+1,'GCN_Post 1.0'!$E$464:$X$506,23,TRUE), 'GCN_Post 1.0'!AE486)), "")</f>
        <v/>
      </c>
      <c r="AA45" s="9" t="str">
        <f>IFERROR(IF(AA21&gt;TS, "", IF('GCN_Post 1.0'!AF486="",HLOOKUP((TotS)-AA21+1,'GCN_Post 1.0'!$E$464:$X$506,23,TRUE), 'GCN_Post 1.0'!AF486)), "")</f>
        <v/>
      </c>
      <c r="AB45" s="9" t="str">
        <f>IFERROR(IF(AB21&gt;TS, "", IF('GCN_Post 1.0'!AG486="",HLOOKUP((TotS)-AB21+1,'GCN_Post 1.0'!$E$464:$X$506,23,TRUE), 'GCN_Post 1.0'!AG486)), "")</f>
        <v/>
      </c>
      <c r="AC45" s="9" t="str">
        <f>IFERROR(IF(AC21&gt;TS, "", IF('GCN_Post 1.0'!AH486="",HLOOKUP((TotS)-AC21+1,'GCN_Post 1.0'!$E$464:$X$506,23,TRUE), 'GCN_Post 1.0'!AH486)), "")</f>
        <v/>
      </c>
      <c r="AD45" s="9" t="str">
        <f>IFERROR(IF(AD21&gt;TS, "", IF('GCN_Post 1.0'!AI486="",HLOOKUP((TotS)-AD21+1,'GCN_Post 1.0'!$E$464:$X$506,23,TRUE), 'GCN_Post 1.0'!AI486)), "")</f>
        <v/>
      </c>
      <c r="AE45" s="9" t="str">
        <f>IFERROR(IF(AE21&gt;TS, "", IF('GCN_Post 1.0'!AJ486="",HLOOKUP((TotS)-AE21+1,'GCN_Post 1.0'!$E$464:$X$506,23,TRUE), 'GCN_Post 1.0'!AJ486)), "")</f>
        <v/>
      </c>
      <c r="AF45" s="9" t="str">
        <f>IFERROR(IF(AF21&gt;TS, "", IF('GCN_Post 1.0'!AK486="",HLOOKUP((TotS)-AF21+1,'GCN_Post 1.0'!$E$464:$X$506,23,TRUE), 'GCN_Post 1.0'!AK486)), "")</f>
        <v/>
      </c>
      <c r="AG45" s="9" t="str">
        <f>IFERROR(IF(AG21&gt;TS, "", IF('GCN_Post 1.0'!AL486="",HLOOKUP((TotS)-AG21+1,'GCN_Post 1.0'!$E$464:$X$506,23,TRUE), 'GCN_Post 1.0'!AL486)), "")</f>
        <v/>
      </c>
      <c r="AH45" s="9" t="str">
        <f>IFERROR(IF(AH21&gt;TS, "", IF('GCN_Post 1.0'!AM486="",HLOOKUP((TotS)-AH21+1,'GCN_Post 1.0'!$E$464:$X$506,23,TRUE), 'GCN_Post 1.0'!AM486)), "")</f>
        <v/>
      </c>
      <c r="AI45" s="9" t="str">
        <f>IFERROR(IF(AI21&gt;TS, "", IF('GCN_Post 1.0'!AN486="",HLOOKUP((TotS)-AI21+1,'GCN_Post 1.0'!$E$464:$X$506,23,TRUE), 'GCN_Post 1.0'!AN486)), "")</f>
        <v/>
      </c>
      <c r="AJ45" s="9" t="str">
        <f>IFERROR(IF(AJ21&gt;TS, "", IF('GCN_Post 1.0'!AO486="",HLOOKUP((TotS)-AJ21+1,'GCN_Post 1.0'!$E$464:$X$506,23,TRUE), 'GCN_Post 1.0'!AO486)), "")</f>
        <v/>
      </c>
      <c r="AK45" s="9" t="str">
        <f>IFERROR(IF(AK21&gt;TS, "", IF('GCN_Post 1.0'!AP486="",HLOOKUP((TotS)-AK21+1,'GCN_Post 1.0'!$E$464:$X$506,23,TRUE), 'GCN_Post 1.0'!AP486)), "")</f>
        <v/>
      </c>
      <c r="AL45" s="9" t="str">
        <f>IFERROR(IF(AL21&gt;TS, "", IF('GCN_Post 1.0'!AQ486="",HLOOKUP((TotS)-AL21+1,'GCN_Post 1.0'!$E$464:$X$506,23,TRUE), 'GCN_Post 1.0'!AQ486)), "")</f>
        <v/>
      </c>
      <c r="AM45" s="9" t="str">
        <f>IFERROR(IF(AM21&gt;TS, "", IF('GCN_Post 1.0'!AR486="",HLOOKUP((TotS)-AM21+1,'GCN_Post 1.0'!$E$464:$X$506,23,TRUE), 'GCN_Post 1.0'!AR486)), "")</f>
        <v/>
      </c>
      <c r="AN45" s="9" t="str">
        <f>IFERROR(IF(AN21&gt;TS, "", IF('GCN_Post 1.0'!AS486="",HLOOKUP((TotS)-AN21+1,'GCN_Post 1.0'!$E$464:$X$506,23,TRUE), 'GCN_Post 1.0'!AS486)), "")</f>
        <v/>
      </c>
      <c r="AO45" s="9" t="str">
        <f>IFERROR(IF(AO21&gt;TS, "", IF('GCN_Post 1.0'!AT486="",HLOOKUP((TotS)-AO21+1,'GCN_Post 1.0'!$E$464:$X$506,23,TRUE), 'GCN_Post 1.0'!AT486)), "")</f>
        <v/>
      </c>
      <c r="AP45" s="9" t="str">
        <f>IFERROR(IF(AP21&gt;TS, "", IF('GCN_Post 1.0'!AU486="",HLOOKUP((TotS)-AP21+1,'GCN_Post 1.0'!$E$464:$X$506,23,TRUE), 'GCN_Post 1.0'!AU486)), "")</f>
        <v/>
      </c>
      <c r="AQ45" s="9" t="str">
        <f>IFERROR(IF(AQ21&gt;TS, "", IF('GCN_Post 1.0'!AV486="",HLOOKUP((TotS)-AQ21+1,'GCN_Post 1.0'!$E$464:$X$506,23,TRUE), 'GCN_Post 1.0'!AV486)), "")</f>
        <v/>
      </c>
    </row>
    <row r="47" spans="2:43" ht="45" customHeight="1" x14ac:dyDescent="0.25">
      <c r="B47" s="660" t="s">
        <v>725</v>
      </c>
      <c r="C47" s="558"/>
      <c r="D47" s="328" t="str">
        <f t="shared" ref="D47:AH47" si="7">D15</f>
        <v/>
      </c>
      <c r="E47" s="328" t="str">
        <f t="shared" si="7"/>
        <v/>
      </c>
      <c r="F47" s="328" t="str">
        <f t="shared" si="7"/>
        <v/>
      </c>
      <c r="G47" s="328" t="str">
        <f t="shared" si="7"/>
        <v/>
      </c>
      <c r="H47" s="328" t="str">
        <f t="shared" si="7"/>
        <v/>
      </c>
      <c r="I47" s="328" t="str">
        <f t="shared" si="7"/>
        <v/>
      </c>
      <c r="J47" s="328" t="str">
        <f t="shared" si="7"/>
        <v/>
      </c>
      <c r="K47" s="328" t="str">
        <f t="shared" si="7"/>
        <v/>
      </c>
      <c r="L47" s="328" t="str">
        <f t="shared" si="7"/>
        <v/>
      </c>
      <c r="M47" s="328" t="str">
        <f t="shared" si="7"/>
        <v/>
      </c>
      <c r="N47" s="328" t="str">
        <f t="shared" si="7"/>
        <v/>
      </c>
      <c r="O47" s="328" t="str">
        <f t="shared" si="7"/>
        <v/>
      </c>
      <c r="P47" s="328" t="str">
        <f t="shared" si="7"/>
        <v/>
      </c>
      <c r="Q47" s="331" t="str">
        <f t="shared" si="7"/>
        <v/>
      </c>
      <c r="R47" s="331" t="str">
        <f t="shared" si="7"/>
        <v/>
      </c>
      <c r="S47" s="331" t="str">
        <f t="shared" si="7"/>
        <v/>
      </c>
      <c r="T47" s="331" t="str">
        <f t="shared" si="7"/>
        <v/>
      </c>
      <c r="U47" s="331" t="str">
        <f t="shared" si="7"/>
        <v/>
      </c>
      <c r="V47" s="331" t="str">
        <f t="shared" si="7"/>
        <v/>
      </c>
      <c r="W47" s="331" t="str">
        <f t="shared" si="7"/>
        <v/>
      </c>
      <c r="X47" s="331" t="str">
        <f t="shared" si="7"/>
        <v/>
      </c>
      <c r="Y47" s="331" t="str">
        <f t="shared" si="7"/>
        <v/>
      </c>
      <c r="Z47" s="331" t="str">
        <f t="shared" si="7"/>
        <v/>
      </c>
      <c r="AA47" s="331" t="str">
        <f t="shared" si="7"/>
        <v/>
      </c>
      <c r="AB47" s="331" t="str">
        <f t="shared" si="7"/>
        <v/>
      </c>
      <c r="AC47" s="331" t="str">
        <f t="shared" si="7"/>
        <v/>
      </c>
      <c r="AD47" s="331" t="str">
        <f t="shared" si="7"/>
        <v/>
      </c>
      <c r="AE47" s="331" t="str">
        <f t="shared" si="7"/>
        <v/>
      </c>
      <c r="AF47" s="331" t="str">
        <f t="shared" si="7"/>
        <v/>
      </c>
      <c r="AG47" s="331" t="str">
        <f t="shared" si="7"/>
        <v/>
      </c>
      <c r="AH47" s="331" t="str">
        <f t="shared" si="7"/>
        <v/>
      </c>
    </row>
    <row r="48" spans="2:43" x14ac:dyDescent="0.25">
      <c r="B48" s="628"/>
      <c r="C48" s="559"/>
    </row>
    <row r="49" spans="2:34" x14ac:dyDescent="0.25">
      <c r="B49" s="628"/>
      <c r="C49" s="559"/>
    </row>
    <row r="50" spans="2:34" x14ac:dyDescent="0.25">
      <c r="B50" s="628"/>
      <c r="C50" s="559"/>
    </row>
    <row r="51" spans="2:34" x14ac:dyDescent="0.25">
      <c r="B51" s="629"/>
      <c r="C51" s="561"/>
    </row>
    <row r="53" spans="2:34" ht="45" customHeight="1" x14ac:dyDescent="0.25">
      <c r="B53" s="660" t="s">
        <v>726</v>
      </c>
      <c r="C53" s="558"/>
      <c r="D53" s="328" t="str">
        <f t="shared" ref="D53:AH53" si="8">D15</f>
        <v/>
      </c>
      <c r="E53" s="328" t="str">
        <f t="shared" si="8"/>
        <v/>
      </c>
      <c r="F53" s="328" t="str">
        <f t="shared" si="8"/>
        <v/>
      </c>
      <c r="G53" s="328" t="str">
        <f t="shared" si="8"/>
        <v/>
      </c>
      <c r="H53" s="328" t="str">
        <f t="shared" si="8"/>
        <v/>
      </c>
      <c r="I53" s="328" t="str">
        <f t="shared" si="8"/>
        <v/>
      </c>
      <c r="J53" s="328" t="str">
        <f t="shared" si="8"/>
        <v/>
      </c>
      <c r="K53" s="328" t="str">
        <f t="shared" si="8"/>
        <v/>
      </c>
      <c r="L53" s="328" t="str">
        <f t="shared" si="8"/>
        <v/>
      </c>
      <c r="M53" s="328" t="str">
        <f t="shared" si="8"/>
        <v/>
      </c>
      <c r="N53" s="328" t="str">
        <f t="shared" si="8"/>
        <v/>
      </c>
      <c r="O53" s="328" t="str">
        <f t="shared" si="8"/>
        <v/>
      </c>
      <c r="P53" s="328" t="str">
        <f t="shared" si="8"/>
        <v/>
      </c>
      <c r="Q53" s="328" t="str">
        <f t="shared" si="8"/>
        <v/>
      </c>
      <c r="R53" s="328" t="str">
        <f t="shared" si="8"/>
        <v/>
      </c>
      <c r="S53" s="328" t="str">
        <f t="shared" si="8"/>
        <v/>
      </c>
      <c r="T53" s="328" t="str">
        <f t="shared" si="8"/>
        <v/>
      </c>
      <c r="U53" s="328" t="str">
        <f t="shared" si="8"/>
        <v/>
      </c>
      <c r="V53" s="328" t="str">
        <f t="shared" si="8"/>
        <v/>
      </c>
      <c r="W53" s="328" t="str">
        <f t="shared" si="8"/>
        <v/>
      </c>
      <c r="X53" s="328" t="str">
        <f t="shared" si="8"/>
        <v/>
      </c>
      <c r="Y53" s="328" t="str">
        <f t="shared" si="8"/>
        <v/>
      </c>
      <c r="Z53" s="328" t="str">
        <f t="shared" si="8"/>
        <v/>
      </c>
      <c r="AA53" s="328" t="str">
        <f t="shared" si="8"/>
        <v/>
      </c>
      <c r="AB53" s="328" t="str">
        <f t="shared" si="8"/>
        <v/>
      </c>
      <c r="AC53" s="328" t="str">
        <f t="shared" si="8"/>
        <v/>
      </c>
      <c r="AD53" s="328" t="str">
        <f t="shared" si="8"/>
        <v/>
      </c>
      <c r="AE53" s="328" t="str">
        <f t="shared" si="8"/>
        <v/>
      </c>
      <c r="AF53" s="328" t="str">
        <f t="shared" si="8"/>
        <v/>
      </c>
      <c r="AG53" s="328" t="str">
        <f t="shared" si="8"/>
        <v/>
      </c>
      <c r="AH53" s="328" t="str">
        <f t="shared" si="8"/>
        <v/>
      </c>
    </row>
    <row r="54" spans="2:34" x14ac:dyDescent="0.25">
      <c r="B54" s="628"/>
      <c r="C54" s="559"/>
    </row>
    <row r="55" spans="2:34" x14ac:dyDescent="0.25">
      <c r="B55" s="628"/>
      <c r="C55" s="559"/>
    </row>
    <row r="56" spans="2:34" x14ac:dyDescent="0.25">
      <c r="B56" s="628"/>
      <c r="C56" s="559"/>
    </row>
    <row r="57" spans="2:34" x14ac:dyDescent="0.25">
      <c r="B57" s="629"/>
      <c r="C57" s="561"/>
    </row>
    <row r="59" spans="2:34" ht="45" customHeight="1" x14ac:dyDescent="0.25">
      <c r="B59" s="660" t="s">
        <v>727</v>
      </c>
      <c r="C59" s="558"/>
      <c r="D59" s="328" t="str">
        <f t="shared" ref="D59:AH59" si="9">D18</f>
        <v/>
      </c>
      <c r="E59" s="328" t="str">
        <f t="shared" si="9"/>
        <v/>
      </c>
      <c r="F59" s="328" t="str">
        <f t="shared" si="9"/>
        <v/>
      </c>
      <c r="G59" s="328" t="str">
        <f t="shared" si="9"/>
        <v/>
      </c>
      <c r="H59" s="328" t="str">
        <f t="shared" si="9"/>
        <v/>
      </c>
      <c r="I59" s="328" t="str">
        <f t="shared" si="9"/>
        <v/>
      </c>
      <c r="J59" s="328" t="str">
        <f t="shared" si="9"/>
        <v/>
      </c>
      <c r="K59" s="328" t="str">
        <f t="shared" si="9"/>
        <v/>
      </c>
      <c r="L59" s="328" t="str">
        <f t="shared" si="9"/>
        <v/>
      </c>
      <c r="M59" s="328" t="str">
        <f t="shared" si="9"/>
        <v/>
      </c>
      <c r="N59" s="328" t="str">
        <f t="shared" si="9"/>
        <v/>
      </c>
      <c r="O59" s="328" t="str">
        <f t="shared" si="9"/>
        <v/>
      </c>
      <c r="P59" s="328" t="str">
        <f t="shared" si="9"/>
        <v/>
      </c>
      <c r="Q59" s="328" t="str">
        <f t="shared" si="9"/>
        <v/>
      </c>
      <c r="R59" s="328" t="str">
        <f t="shared" si="9"/>
        <v/>
      </c>
      <c r="S59" s="328" t="str">
        <f t="shared" si="9"/>
        <v/>
      </c>
      <c r="T59" s="328" t="str">
        <f t="shared" si="9"/>
        <v/>
      </c>
      <c r="U59" s="328" t="str">
        <f t="shared" si="9"/>
        <v/>
      </c>
      <c r="V59" s="328" t="str">
        <f t="shared" si="9"/>
        <v/>
      </c>
      <c r="W59" s="328" t="str">
        <f t="shared" si="9"/>
        <v/>
      </c>
      <c r="X59" s="328" t="str">
        <f t="shared" si="9"/>
        <v/>
      </c>
      <c r="Y59" s="328" t="str">
        <f t="shared" si="9"/>
        <v/>
      </c>
      <c r="Z59" s="328" t="str">
        <f t="shared" si="9"/>
        <v/>
      </c>
      <c r="AA59" s="328" t="str">
        <f t="shared" si="9"/>
        <v/>
      </c>
      <c r="AB59" s="328" t="str">
        <f t="shared" si="9"/>
        <v/>
      </c>
      <c r="AC59" s="328" t="str">
        <f t="shared" si="9"/>
        <v/>
      </c>
      <c r="AD59" s="328" t="str">
        <f t="shared" si="9"/>
        <v/>
      </c>
      <c r="AE59" s="328" t="str">
        <f t="shared" si="9"/>
        <v/>
      </c>
      <c r="AF59" s="328" t="str">
        <f t="shared" si="9"/>
        <v/>
      </c>
      <c r="AG59" s="328" t="str">
        <f t="shared" si="9"/>
        <v/>
      </c>
      <c r="AH59" s="328" t="str">
        <f t="shared" si="9"/>
        <v/>
      </c>
    </row>
    <row r="60" spans="2:34" x14ac:dyDescent="0.25">
      <c r="B60" s="628"/>
      <c r="C60" s="559"/>
    </row>
    <row r="61" spans="2:34" x14ac:dyDescent="0.25">
      <c r="B61" s="628"/>
      <c r="C61" s="559"/>
    </row>
    <row r="62" spans="2:34" x14ac:dyDescent="0.25">
      <c r="B62" s="628"/>
      <c r="C62" s="559"/>
    </row>
    <row r="63" spans="2:34" x14ac:dyDescent="0.25">
      <c r="B63" s="629"/>
      <c r="C63" s="561"/>
    </row>
    <row r="65" spans="2:34" ht="45" customHeight="1" x14ac:dyDescent="0.25">
      <c r="B65" s="660" t="s">
        <v>728</v>
      </c>
      <c r="C65" s="558"/>
      <c r="D65" s="328" t="str">
        <f t="shared" ref="D65:AH65" si="10">D18</f>
        <v/>
      </c>
      <c r="E65" s="328" t="str">
        <f t="shared" si="10"/>
        <v/>
      </c>
      <c r="F65" s="328" t="str">
        <f t="shared" si="10"/>
        <v/>
      </c>
      <c r="G65" s="328" t="str">
        <f t="shared" si="10"/>
        <v/>
      </c>
      <c r="H65" s="328" t="str">
        <f t="shared" si="10"/>
        <v/>
      </c>
      <c r="I65" s="328" t="str">
        <f t="shared" si="10"/>
        <v/>
      </c>
      <c r="J65" s="328" t="str">
        <f t="shared" si="10"/>
        <v/>
      </c>
      <c r="K65" s="328" t="str">
        <f t="shared" si="10"/>
        <v/>
      </c>
      <c r="L65" s="328" t="str">
        <f t="shared" si="10"/>
        <v/>
      </c>
      <c r="M65" s="328" t="str">
        <f t="shared" si="10"/>
        <v/>
      </c>
      <c r="N65" s="328" t="str">
        <f t="shared" si="10"/>
        <v/>
      </c>
      <c r="O65" s="328" t="str">
        <f t="shared" si="10"/>
        <v/>
      </c>
      <c r="P65" s="328" t="str">
        <f t="shared" si="10"/>
        <v/>
      </c>
      <c r="Q65" s="328" t="str">
        <f t="shared" si="10"/>
        <v/>
      </c>
      <c r="R65" s="328" t="str">
        <f t="shared" si="10"/>
        <v/>
      </c>
      <c r="S65" s="328" t="str">
        <f t="shared" si="10"/>
        <v/>
      </c>
      <c r="T65" s="328" t="str">
        <f t="shared" si="10"/>
        <v/>
      </c>
      <c r="U65" s="328" t="str">
        <f t="shared" si="10"/>
        <v/>
      </c>
      <c r="V65" s="328" t="str">
        <f t="shared" si="10"/>
        <v/>
      </c>
      <c r="W65" s="328" t="str">
        <f t="shared" si="10"/>
        <v/>
      </c>
      <c r="X65" s="328" t="str">
        <f t="shared" si="10"/>
        <v/>
      </c>
      <c r="Y65" s="328" t="str">
        <f t="shared" si="10"/>
        <v/>
      </c>
      <c r="Z65" s="328" t="str">
        <f t="shared" si="10"/>
        <v/>
      </c>
      <c r="AA65" s="328" t="str">
        <f t="shared" si="10"/>
        <v/>
      </c>
      <c r="AB65" s="328" t="str">
        <f t="shared" si="10"/>
        <v/>
      </c>
      <c r="AC65" s="328" t="str">
        <f t="shared" si="10"/>
        <v/>
      </c>
      <c r="AD65" s="328" t="str">
        <f t="shared" si="10"/>
        <v/>
      </c>
      <c r="AE65" s="328" t="str">
        <f t="shared" si="10"/>
        <v/>
      </c>
      <c r="AF65" s="328" t="str">
        <f t="shared" si="10"/>
        <v/>
      </c>
      <c r="AG65" s="328" t="str">
        <f t="shared" si="10"/>
        <v/>
      </c>
      <c r="AH65" s="328" t="str">
        <f t="shared" si="10"/>
        <v/>
      </c>
    </row>
    <row r="66" spans="2:34" x14ac:dyDescent="0.25">
      <c r="B66" s="628"/>
      <c r="C66" s="559"/>
    </row>
    <row r="67" spans="2:34" x14ac:dyDescent="0.25">
      <c r="B67" s="628"/>
      <c r="C67" s="559"/>
    </row>
    <row r="68" spans="2:34" x14ac:dyDescent="0.25">
      <c r="B68" s="628"/>
      <c r="C68" s="559"/>
    </row>
    <row r="69" spans="2:34" x14ac:dyDescent="0.25">
      <c r="B69" s="629"/>
      <c r="C69" s="561"/>
    </row>
    <row r="71" spans="2:34" ht="45" customHeight="1" x14ac:dyDescent="0.25">
      <c r="B71" s="660" t="s">
        <v>729</v>
      </c>
      <c r="C71" s="558"/>
      <c r="D71" s="328" t="str">
        <f t="shared" ref="D71:AH71" si="11">D18</f>
        <v/>
      </c>
      <c r="E71" s="328" t="str">
        <f t="shared" si="11"/>
        <v/>
      </c>
      <c r="F71" s="328" t="str">
        <f t="shared" si="11"/>
        <v/>
      </c>
      <c r="G71" s="328" t="str">
        <f t="shared" si="11"/>
        <v/>
      </c>
      <c r="H71" s="328" t="str">
        <f t="shared" si="11"/>
        <v/>
      </c>
      <c r="I71" s="328" t="str">
        <f t="shared" si="11"/>
        <v/>
      </c>
      <c r="J71" s="328" t="str">
        <f t="shared" si="11"/>
        <v/>
      </c>
      <c r="K71" s="328" t="str">
        <f t="shared" si="11"/>
        <v/>
      </c>
      <c r="L71" s="328" t="str">
        <f t="shared" si="11"/>
        <v/>
      </c>
      <c r="M71" s="328" t="str">
        <f t="shared" si="11"/>
        <v/>
      </c>
      <c r="N71" s="328" t="str">
        <f t="shared" si="11"/>
        <v/>
      </c>
      <c r="O71" s="328" t="str">
        <f t="shared" si="11"/>
        <v/>
      </c>
      <c r="P71" s="328" t="str">
        <f t="shared" si="11"/>
        <v/>
      </c>
      <c r="Q71" s="328" t="str">
        <f t="shared" si="11"/>
        <v/>
      </c>
      <c r="R71" s="328" t="str">
        <f t="shared" si="11"/>
        <v/>
      </c>
      <c r="S71" s="328" t="str">
        <f t="shared" si="11"/>
        <v/>
      </c>
      <c r="T71" s="328" t="str">
        <f t="shared" si="11"/>
        <v/>
      </c>
      <c r="U71" s="328" t="str">
        <f t="shared" si="11"/>
        <v/>
      </c>
      <c r="V71" s="328" t="str">
        <f t="shared" si="11"/>
        <v/>
      </c>
      <c r="W71" s="328" t="str">
        <f t="shared" si="11"/>
        <v/>
      </c>
      <c r="X71" s="328" t="str">
        <f t="shared" si="11"/>
        <v/>
      </c>
      <c r="Y71" s="328" t="str">
        <f t="shared" si="11"/>
        <v/>
      </c>
      <c r="Z71" s="328" t="str">
        <f t="shared" si="11"/>
        <v/>
      </c>
      <c r="AA71" s="328" t="str">
        <f t="shared" si="11"/>
        <v/>
      </c>
      <c r="AB71" s="328" t="str">
        <f t="shared" si="11"/>
        <v/>
      </c>
      <c r="AC71" s="328" t="str">
        <f t="shared" si="11"/>
        <v/>
      </c>
      <c r="AD71" s="328" t="str">
        <f t="shared" si="11"/>
        <v/>
      </c>
      <c r="AE71" s="328" t="str">
        <f t="shared" si="11"/>
        <v/>
      </c>
      <c r="AF71" s="328" t="str">
        <f t="shared" si="11"/>
        <v/>
      </c>
      <c r="AG71" s="328" t="str">
        <f t="shared" si="11"/>
        <v/>
      </c>
      <c r="AH71" s="328" t="str">
        <f t="shared" si="11"/>
        <v/>
      </c>
    </row>
    <row r="72" spans="2:34" x14ac:dyDescent="0.25">
      <c r="B72" s="628"/>
      <c r="C72" s="559"/>
    </row>
    <row r="73" spans="2:34" x14ac:dyDescent="0.25">
      <c r="B73" s="628"/>
      <c r="C73" s="559"/>
    </row>
    <row r="74" spans="2:34" x14ac:dyDescent="0.25">
      <c r="B74" s="628"/>
      <c r="C74" s="559"/>
    </row>
    <row r="75" spans="2:34" x14ac:dyDescent="0.25">
      <c r="B75" s="629"/>
      <c r="C75" s="561"/>
    </row>
    <row r="77" spans="2:34" x14ac:dyDescent="0.25">
      <c r="B77" s="660" t="s">
        <v>730</v>
      </c>
      <c r="C77" s="336" t="s">
        <v>0</v>
      </c>
      <c r="D77" s="9" t="str">
        <f t="shared" ref="D77:AH77" si="12">IF(D48="", "", SUM(D48:D51))</f>
        <v/>
      </c>
      <c r="E77" s="9" t="str">
        <f t="shared" si="12"/>
        <v/>
      </c>
      <c r="F77" s="9" t="str">
        <f t="shared" si="12"/>
        <v/>
      </c>
      <c r="G77" s="9" t="str">
        <f t="shared" si="12"/>
        <v/>
      </c>
      <c r="H77" s="9" t="str">
        <f t="shared" si="12"/>
        <v/>
      </c>
      <c r="I77" s="9" t="str">
        <f t="shared" si="12"/>
        <v/>
      </c>
      <c r="J77" s="9" t="str">
        <f t="shared" si="12"/>
        <v/>
      </c>
      <c r="K77" s="9" t="str">
        <f t="shared" si="12"/>
        <v/>
      </c>
      <c r="L77" s="9" t="str">
        <f t="shared" si="12"/>
        <v/>
      </c>
      <c r="M77" s="9" t="str">
        <f t="shared" si="12"/>
        <v/>
      </c>
      <c r="N77" s="9" t="str">
        <f t="shared" si="12"/>
        <v/>
      </c>
      <c r="O77" s="9" t="str">
        <f t="shared" si="12"/>
        <v/>
      </c>
      <c r="P77" s="9" t="str">
        <f t="shared" si="12"/>
        <v/>
      </c>
      <c r="Q77" s="9" t="str">
        <f t="shared" si="12"/>
        <v/>
      </c>
      <c r="R77" s="9" t="str">
        <f t="shared" si="12"/>
        <v/>
      </c>
      <c r="S77" s="9" t="str">
        <f t="shared" si="12"/>
        <v/>
      </c>
      <c r="T77" s="9" t="str">
        <f t="shared" si="12"/>
        <v/>
      </c>
      <c r="U77" s="9" t="str">
        <f t="shared" si="12"/>
        <v/>
      </c>
      <c r="V77" s="9" t="str">
        <f t="shared" si="12"/>
        <v/>
      </c>
      <c r="W77" s="9" t="str">
        <f t="shared" si="12"/>
        <v/>
      </c>
      <c r="X77" s="9" t="str">
        <f t="shared" si="12"/>
        <v/>
      </c>
      <c r="Y77" s="9" t="str">
        <f t="shared" si="12"/>
        <v/>
      </c>
      <c r="Z77" s="9" t="str">
        <f t="shared" si="12"/>
        <v/>
      </c>
      <c r="AA77" s="9" t="str">
        <f t="shared" si="12"/>
        <v/>
      </c>
      <c r="AB77" s="9" t="str">
        <f t="shared" si="12"/>
        <v/>
      </c>
      <c r="AC77" s="9" t="str">
        <f t="shared" si="12"/>
        <v/>
      </c>
      <c r="AD77" s="9" t="str">
        <f t="shared" si="12"/>
        <v/>
      </c>
      <c r="AE77" s="9" t="str">
        <f t="shared" si="12"/>
        <v/>
      </c>
      <c r="AF77" s="9" t="str">
        <f t="shared" si="12"/>
        <v/>
      </c>
      <c r="AG77" s="9" t="str">
        <f t="shared" si="12"/>
        <v/>
      </c>
      <c r="AH77" s="9" t="str">
        <f t="shared" si="12"/>
        <v/>
      </c>
    </row>
    <row r="78" spans="2:34" x14ac:dyDescent="0.25">
      <c r="B78" s="661"/>
      <c r="C78" s="336" t="s">
        <v>1</v>
      </c>
      <c r="D78" s="9" t="str">
        <f t="shared" ref="D78:AH78" si="13">IF(D54="", "", SUM(D54:D57))</f>
        <v/>
      </c>
      <c r="E78" s="9" t="str">
        <f t="shared" si="13"/>
        <v/>
      </c>
      <c r="F78" s="9" t="str">
        <f t="shared" si="13"/>
        <v/>
      </c>
      <c r="G78" s="9" t="str">
        <f t="shared" si="13"/>
        <v/>
      </c>
      <c r="H78" s="9" t="str">
        <f t="shared" si="13"/>
        <v/>
      </c>
      <c r="I78" s="9" t="str">
        <f t="shared" si="13"/>
        <v/>
      </c>
      <c r="J78" s="9" t="str">
        <f t="shared" si="13"/>
        <v/>
      </c>
      <c r="K78" s="9" t="str">
        <f t="shared" si="13"/>
        <v/>
      </c>
      <c r="L78" s="9" t="str">
        <f t="shared" si="13"/>
        <v/>
      </c>
      <c r="M78" s="9" t="str">
        <f t="shared" si="13"/>
        <v/>
      </c>
      <c r="N78" s="9" t="str">
        <f t="shared" si="13"/>
        <v/>
      </c>
      <c r="O78" s="9" t="str">
        <f t="shared" si="13"/>
        <v/>
      </c>
      <c r="P78" s="9" t="str">
        <f t="shared" si="13"/>
        <v/>
      </c>
      <c r="Q78" s="9" t="str">
        <f t="shared" si="13"/>
        <v/>
      </c>
      <c r="R78" s="9" t="str">
        <f t="shared" si="13"/>
        <v/>
      </c>
      <c r="S78" s="9" t="str">
        <f t="shared" si="13"/>
        <v/>
      </c>
      <c r="T78" s="9" t="str">
        <f t="shared" si="13"/>
        <v/>
      </c>
      <c r="U78" s="9" t="str">
        <f t="shared" si="13"/>
        <v/>
      </c>
      <c r="V78" s="9" t="str">
        <f t="shared" si="13"/>
        <v/>
      </c>
      <c r="W78" s="9" t="str">
        <f t="shared" si="13"/>
        <v/>
      </c>
      <c r="X78" s="9" t="str">
        <f t="shared" si="13"/>
        <v/>
      </c>
      <c r="Y78" s="9" t="str">
        <f t="shared" si="13"/>
        <v/>
      </c>
      <c r="Z78" s="9" t="str">
        <f t="shared" si="13"/>
        <v/>
      </c>
      <c r="AA78" s="9" t="str">
        <f t="shared" si="13"/>
        <v/>
      </c>
      <c r="AB78" s="9" t="str">
        <f t="shared" si="13"/>
        <v/>
      </c>
      <c r="AC78" s="9" t="str">
        <f t="shared" si="13"/>
        <v/>
      </c>
      <c r="AD78" s="9" t="str">
        <f t="shared" si="13"/>
        <v/>
      </c>
      <c r="AE78" s="9" t="str">
        <f t="shared" si="13"/>
        <v/>
      </c>
      <c r="AF78" s="9" t="str">
        <f t="shared" si="13"/>
        <v/>
      </c>
      <c r="AG78" s="9" t="str">
        <f t="shared" si="13"/>
        <v/>
      </c>
      <c r="AH78" s="9" t="str">
        <f t="shared" si="13"/>
        <v/>
      </c>
    </row>
    <row r="79" spans="2:34" x14ac:dyDescent="0.25">
      <c r="B79" s="661"/>
      <c r="C79" s="336" t="s">
        <v>2</v>
      </c>
      <c r="D79" s="9" t="str">
        <f t="shared" ref="D79:AH79" si="14">IF(D60="", "",SUM(D60:D63))</f>
        <v/>
      </c>
      <c r="E79" s="9" t="str">
        <f t="shared" si="14"/>
        <v/>
      </c>
      <c r="F79" s="9" t="str">
        <f t="shared" si="14"/>
        <v/>
      </c>
      <c r="G79" s="9" t="str">
        <f t="shared" si="14"/>
        <v/>
      </c>
      <c r="H79" s="9" t="str">
        <f t="shared" si="14"/>
        <v/>
      </c>
      <c r="I79" s="9" t="str">
        <f t="shared" si="14"/>
        <v/>
      </c>
      <c r="J79" s="9" t="str">
        <f t="shared" si="14"/>
        <v/>
      </c>
      <c r="K79" s="9" t="str">
        <f t="shared" si="14"/>
        <v/>
      </c>
      <c r="L79" s="9" t="str">
        <f t="shared" si="14"/>
        <v/>
      </c>
      <c r="M79" s="9" t="str">
        <f t="shared" si="14"/>
        <v/>
      </c>
      <c r="N79" s="9" t="str">
        <f t="shared" si="14"/>
        <v/>
      </c>
      <c r="O79" s="9" t="str">
        <f t="shared" si="14"/>
        <v/>
      </c>
      <c r="P79" s="9" t="str">
        <f t="shared" si="14"/>
        <v/>
      </c>
      <c r="Q79" s="9" t="str">
        <f t="shared" si="14"/>
        <v/>
      </c>
      <c r="R79" s="9" t="str">
        <f t="shared" si="14"/>
        <v/>
      </c>
      <c r="S79" s="9" t="str">
        <f t="shared" si="14"/>
        <v/>
      </c>
      <c r="T79" s="9" t="str">
        <f t="shared" si="14"/>
        <v/>
      </c>
      <c r="U79" s="9" t="str">
        <f t="shared" si="14"/>
        <v/>
      </c>
      <c r="V79" s="9" t="str">
        <f t="shared" si="14"/>
        <v/>
      </c>
      <c r="W79" s="9" t="str">
        <f t="shared" si="14"/>
        <v/>
      </c>
      <c r="X79" s="9" t="str">
        <f t="shared" si="14"/>
        <v/>
      </c>
      <c r="Y79" s="9" t="str">
        <f t="shared" si="14"/>
        <v/>
      </c>
      <c r="Z79" s="9" t="str">
        <f t="shared" si="14"/>
        <v/>
      </c>
      <c r="AA79" s="9" t="str">
        <f t="shared" si="14"/>
        <v/>
      </c>
      <c r="AB79" s="9" t="str">
        <f t="shared" si="14"/>
        <v/>
      </c>
      <c r="AC79" s="9" t="str">
        <f t="shared" si="14"/>
        <v/>
      </c>
      <c r="AD79" s="9" t="str">
        <f t="shared" si="14"/>
        <v/>
      </c>
      <c r="AE79" s="9" t="str">
        <f t="shared" si="14"/>
        <v/>
      </c>
      <c r="AF79" s="9" t="str">
        <f t="shared" si="14"/>
        <v/>
      </c>
      <c r="AG79" s="9" t="str">
        <f t="shared" si="14"/>
        <v/>
      </c>
      <c r="AH79" s="9" t="str">
        <f t="shared" si="14"/>
        <v/>
      </c>
    </row>
    <row r="80" spans="2:34" x14ac:dyDescent="0.25">
      <c r="B80" s="661"/>
      <c r="C80" s="336" t="s">
        <v>3</v>
      </c>
      <c r="D80" s="9" t="str">
        <f t="shared" ref="D80:AH80" si="15">IF(D66="", "",SUM(D66:D69))</f>
        <v/>
      </c>
      <c r="E80" s="9" t="str">
        <f t="shared" si="15"/>
        <v/>
      </c>
      <c r="F80" s="9" t="str">
        <f t="shared" si="15"/>
        <v/>
      </c>
      <c r="G80" s="9" t="str">
        <f t="shared" si="15"/>
        <v/>
      </c>
      <c r="H80" s="9" t="str">
        <f t="shared" si="15"/>
        <v/>
      </c>
      <c r="I80" s="9" t="str">
        <f t="shared" si="15"/>
        <v/>
      </c>
      <c r="J80" s="9" t="str">
        <f t="shared" si="15"/>
        <v/>
      </c>
      <c r="K80" s="9" t="str">
        <f t="shared" si="15"/>
        <v/>
      </c>
      <c r="L80" s="9" t="str">
        <f t="shared" si="15"/>
        <v/>
      </c>
      <c r="M80" s="9" t="str">
        <f t="shared" si="15"/>
        <v/>
      </c>
      <c r="N80" s="9" t="str">
        <f t="shared" si="15"/>
        <v/>
      </c>
      <c r="O80" s="9" t="str">
        <f t="shared" si="15"/>
        <v/>
      </c>
      <c r="P80" s="9" t="str">
        <f t="shared" si="15"/>
        <v/>
      </c>
      <c r="Q80" s="9" t="str">
        <f t="shared" si="15"/>
        <v/>
      </c>
      <c r="R80" s="9" t="str">
        <f t="shared" si="15"/>
        <v/>
      </c>
      <c r="S80" s="9" t="str">
        <f t="shared" si="15"/>
        <v/>
      </c>
      <c r="T80" s="9" t="str">
        <f t="shared" si="15"/>
        <v/>
      </c>
      <c r="U80" s="9" t="str">
        <f t="shared" si="15"/>
        <v/>
      </c>
      <c r="V80" s="9" t="str">
        <f t="shared" si="15"/>
        <v/>
      </c>
      <c r="W80" s="9" t="str">
        <f t="shared" si="15"/>
        <v/>
      </c>
      <c r="X80" s="9" t="str">
        <f t="shared" si="15"/>
        <v/>
      </c>
      <c r="Y80" s="9" t="str">
        <f t="shared" si="15"/>
        <v/>
      </c>
      <c r="Z80" s="9" t="str">
        <f t="shared" si="15"/>
        <v/>
      </c>
      <c r="AA80" s="9" t="str">
        <f t="shared" si="15"/>
        <v/>
      </c>
      <c r="AB80" s="9" t="str">
        <f t="shared" si="15"/>
        <v/>
      </c>
      <c r="AC80" s="9" t="str">
        <f t="shared" si="15"/>
        <v/>
      </c>
      <c r="AD80" s="9" t="str">
        <f t="shared" si="15"/>
        <v/>
      </c>
      <c r="AE80" s="9" t="str">
        <f t="shared" si="15"/>
        <v/>
      </c>
      <c r="AF80" s="9" t="str">
        <f t="shared" si="15"/>
        <v/>
      </c>
      <c r="AG80" s="9" t="str">
        <f t="shared" si="15"/>
        <v/>
      </c>
      <c r="AH80" s="9" t="str">
        <f t="shared" si="15"/>
        <v/>
      </c>
    </row>
    <row r="81" spans="2:34" x14ac:dyDescent="0.25">
      <c r="B81" s="662"/>
      <c r="C81" s="336" t="s">
        <v>4</v>
      </c>
      <c r="D81" s="9" t="str">
        <f t="shared" ref="D81:AH81" si="16">IF(D72="", "", SUM(D72:D75))</f>
        <v/>
      </c>
      <c r="E81" s="9" t="str">
        <f t="shared" si="16"/>
        <v/>
      </c>
      <c r="F81" s="9" t="str">
        <f t="shared" si="16"/>
        <v/>
      </c>
      <c r="G81" s="9" t="str">
        <f t="shared" si="16"/>
        <v/>
      </c>
      <c r="H81" s="9" t="str">
        <f t="shared" si="16"/>
        <v/>
      </c>
      <c r="I81" s="9" t="str">
        <f t="shared" si="16"/>
        <v/>
      </c>
      <c r="J81" s="9" t="str">
        <f t="shared" si="16"/>
        <v/>
      </c>
      <c r="K81" s="9" t="str">
        <f t="shared" si="16"/>
        <v/>
      </c>
      <c r="L81" s="9" t="str">
        <f t="shared" si="16"/>
        <v/>
      </c>
      <c r="M81" s="9" t="str">
        <f t="shared" si="16"/>
        <v/>
      </c>
      <c r="N81" s="9" t="str">
        <f t="shared" si="16"/>
        <v/>
      </c>
      <c r="O81" s="9" t="str">
        <f t="shared" si="16"/>
        <v/>
      </c>
      <c r="P81" s="9" t="str">
        <f t="shared" si="16"/>
        <v/>
      </c>
      <c r="Q81" s="9" t="str">
        <f t="shared" si="16"/>
        <v/>
      </c>
      <c r="R81" s="9" t="str">
        <f t="shared" si="16"/>
        <v/>
      </c>
      <c r="S81" s="9" t="str">
        <f t="shared" si="16"/>
        <v/>
      </c>
      <c r="T81" s="9" t="str">
        <f t="shared" si="16"/>
        <v/>
      </c>
      <c r="U81" s="9" t="str">
        <f t="shared" si="16"/>
        <v/>
      </c>
      <c r="V81" s="9" t="str">
        <f t="shared" si="16"/>
        <v/>
      </c>
      <c r="W81" s="9" t="str">
        <f t="shared" si="16"/>
        <v/>
      </c>
      <c r="X81" s="9" t="str">
        <f t="shared" si="16"/>
        <v/>
      </c>
      <c r="Y81" s="9" t="str">
        <f t="shared" si="16"/>
        <v/>
      </c>
      <c r="Z81" s="9" t="str">
        <f t="shared" si="16"/>
        <v/>
      </c>
      <c r="AA81" s="9" t="str">
        <f t="shared" si="16"/>
        <v/>
      </c>
      <c r="AB81" s="9" t="str">
        <f t="shared" si="16"/>
        <v/>
      </c>
      <c r="AC81" s="9" t="str">
        <f t="shared" si="16"/>
        <v/>
      </c>
      <c r="AD81" s="9" t="str">
        <f t="shared" si="16"/>
        <v/>
      </c>
      <c r="AE81" s="9" t="str">
        <f t="shared" si="16"/>
        <v/>
      </c>
      <c r="AF81" s="9" t="str">
        <f t="shared" si="16"/>
        <v/>
      </c>
      <c r="AG81" s="9" t="str">
        <f t="shared" si="16"/>
        <v/>
      </c>
      <c r="AH81" s="9" t="str">
        <f t="shared" si="16"/>
        <v/>
      </c>
    </row>
    <row r="82" spans="2:34" x14ac:dyDescent="0.25">
      <c r="B82" s="335"/>
      <c r="C82" s="335"/>
    </row>
    <row r="83" spans="2:34" x14ac:dyDescent="0.25">
      <c r="B83" s="335"/>
      <c r="C83" s="335"/>
    </row>
    <row r="84" spans="2:34" x14ac:dyDescent="0.25">
      <c r="B84" s="660" t="s">
        <v>731</v>
      </c>
      <c r="C84" s="558"/>
      <c r="D84" s="9" t="str">
        <f t="shared" ref="D84:AH84" si="17">IF(D48="","",M1A*D48)</f>
        <v/>
      </c>
      <c r="E84" s="9" t="str">
        <f t="shared" si="17"/>
        <v/>
      </c>
      <c r="F84" s="9" t="str">
        <f t="shared" si="17"/>
        <v/>
      </c>
      <c r="G84" s="9" t="str">
        <f t="shared" si="17"/>
        <v/>
      </c>
      <c r="H84" s="9" t="str">
        <f t="shared" si="17"/>
        <v/>
      </c>
      <c r="I84" s="9" t="str">
        <f t="shared" si="17"/>
        <v/>
      </c>
      <c r="J84" s="9" t="str">
        <f t="shared" si="17"/>
        <v/>
      </c>
      <c r="K84" s="9" t="str">
        <f t="shared" si="17"/>
        <v/>
      </c>
      <c r="L84" s="9" t="str">
        <f t="shared" si="17"/>
        <v/>
      </c>
      <c r="M84" s="9" t="str">
        <f t="shared" si="17"/>
        <v/>
      </c>
      <c r="N84" s="9" t="str">
        <f t="shared" si="17"/>
        <v/>
      </c>
      <c r="O84" s="9" t="str">
        <f t="shared" si="17"/>
        <v/>
      </c>
      <c r="P84" s="9" t="str">
        <f t="shared" si="17"/>
        <v/>
      </c>
      <c r="Q84" s="9" t="str">
        <f t="shared" si="17"/>
        <v/>
      </c>
      <c r="R84" s="9" t="str">
        <f t="shared" si="17"/>
        <v/>
      </c>
      <c r="S84" s="9" t="str">
        <f t="shared" si="17"/>
        <v/>
      </c>
      <c r="T84" s="9" t="str">
        <f t="shared" si="17"/>
        <v/>
      </c>
      <c r="U84" s="9" t="str">
        <f t="shared" si="17"/>
        <v/>
      </c>
      <c r="V84" s="9" t="str">
        <f t="shared" si="17"/>
        <v/>
      </c>
      <c r="W84" s="9" t="str">
        <f t="shared" si="17"/>
        <v/>
      </c>
      <c r="X84" s="9" t="str">
        <f t="shared" si="17"/>
        <v/>
      </c>
      <c r="Y84" s="9" t="str">
        <f t="shared" si="17"/>
        <v/>
      </c>
      <c r="Z84" s="9" t="str">
        <f t="shared" si="17"/>
        <v/>
      </c>
      <c r="AA84" s="9" t="str">
        <f t="shared" si="17"/>
        <v/>
      </c>
      <c r="AB84" s="9" t="str">
        <f t="shared" si="17"/>
        <v/>
      </c>
      <c r="AC84" s="9" t="str">
        <f t="shared" si="17"/>
        <v/>
      </c>
      <c r="AD84" s="9" t="str">
        <f t="shared" si="17"/>
        <v/>
      </c>
      <c r="AE84" s="9" t="str">
        <f t="shared" si="17"/>
        <v/>
      </c>
      <c r="AF84" s="9" t="str">
        <f t="shared" si="17"/>
        <v/>
      </c>
      <c r="AG84" s="9" t="str">
        <f t="shared" si="17"/>
        <v/>
      </c>
      <c r="AH84" s="9" t="str">
        <f t="shared" si="17"/>
        <v/>
      </c>
    </row>
    <row r="85" spans="2:34" x14ac:dyDescent="0.25">
      <c r="B85" s="628"/>
      <c r="C85" s="559"/>
      <c r="D85" s="9" t="str">
        <f t="shared" ref="D85:AH85" si="18">IF(D49="","",M2A*D49)</f>
        <v/>
      </c>
      <c r="E85" s="9" t="str">
        <f t="shared" si="18"/>
        <v/>
      </c>
      <c r="F85" s="9" t="str">
        <f t="shared" si="18"/>
        <v/>
      </c>
      <c r="G85" s="9" t="str">
        <f t="shared" si="18"/>
        <v/>
      </c>
      <c r="H85" s="9" t="str">
        <f t="shared" si="18"/>
        <v/>
      </c>
      <c r="I85" s="9" t="str">
        <f t="shared" si="18"/>
        <v/>
      </c>
      <c r="J85" s="9" t="str">
        <f t="shared" si="18"/>
        <v/>
      </c>
      <c r="K85" s="9" t="str">
        <f t="shared" si="18"/>
        <v/>
      </c>
      <c r="L85" s="9" t="str">
        <f t="shared" si="18"/>
        <v/>
      </c>
      <c r="M85" s="9" t="str">
        <f t="shared" si="18"/>
        <v/>
      </c>
      <c r="N85" s="9" t="str">
        <f t="shared" si="18"/>
        <v/>
      </c>
      <c r="O85" s="9" t="str">
        <f t="shared" si="18"/>
        <v/>
      </c>
      <c r="P85" s="9" t="str">
        <f t="shared" si="18"/>
        <v/>
      </c>
      <c r="Q85" s="9" t="str">
        <f t="shared" si="18"/>
        <v/>
      </c>
      <c r="R85" s="9" t="str">
        <f t="shared" si="18"/>
        <v/>
      </c>
      <c r="S85" s="9" t="str">
        <f t="shared" si="18"/>
        <v/>
      </c>
      <c r="T85" s="9" t="str">
        <f t="shared" si="18"/>
        <v/>
      </c>
      <c r="U85" s="9" t="str">
        <f t="shared" si="18"/>
        <v/>
      </c>
      <c r="V85" s="9" t="str">
        <f t="shared" si="18"/>
        <v/>
      </c>
      <c r="W85" s="9" t="str">
        <f t="shared" si="18"/>
        <v/>
      </c>
      <c r="X85" s="9" t="str">
        <f t="shared" si="18"/>
        <v/>
      </c>
      <c r="Y85" s="9" t="str">
        <f t="shared" si="18"/>
        <v/>
      </c>
      <c r="Z85" s="9" t="str">
        <f t="shared" si="18"/>
        <v/>
      </c>
      <c r="AA85" s="9" t="str">
        <f t="shared" si="18"/>
        <v/>
      </c>
      <c r="AB85" s="9" t="str">
        <f t="shared" si="18"/>
        <v/>
      </c>
      <c r="AC85" s="9" t="str">
        <f t="shared" si="18"/>
        <v/>
      </c>
      <c r="AD85" s="9" t="str">
        <f t="shared" si="18"/>
        <v/>
      </c>
      <c r="AE85" s="9" t="str">
        <f t="shared" si="18"/>
        <v/>
      </c>
      <c r="AF85" s="9" t="str">
        <f t="shared" si="18"/>
        <v/>
      </c>
      <c r="AG85" s="9" t="str">
        <f t="shared" si="18"/>
        <v/>
      </c>
      <c r="AH85" s="9" t="str">
        <f t="shared" si="18"/>
        <v/>
      </c>
    </row>
    <row r="86" spans="2:34" x14ac:dyDescent="0.25">
      <c r="B86" s="628"/>
      <c r="C86" s="559"/>
      <c r="D86" s="9" t="str">
        <f t="shared" ref="D86:AH86" si="19">IF(D50="","",M3A*D50)</f>
        <v/>
      </c>
      <c r="E86" s="9" t="str">
        <f t="shared" si="19"/>
        <v/>
      </c>
      <c r="F86" s="9" t="str">
        <f t="shared" si="19"/>
        <v/>
      </c>
      <c r="G86" s="9" t="str">
        <f t="shared" si="19"/>
        <v/>
      </c>
      <c r="H86" s="9" t="str">
        <f t="shared" si="19"/>
        <v/>
      </c>
      <c r="I86" s="9" t="str">
        <f t="shared" si="19"/>
        <v/>
      </c>
      <c r="J86" s="9" t="str">
        <f t="shared" si="19"/>
        <v/>
      </c>
      <c r="K86" s="9" t="str">
        <f t="shared" si="19"/>
        <v/>
      </c>
      <c r="L86" s="9" t="str">
        <f t="shared" si="19"/>
        <v/>
      </c>
      <c r="M86" s="9" t="str">
        <f t="shared" si="19"/>
        <v/>
      </c>
      <c r="N86" s="9" t="str">
        <f t="shared" si="19"/>
        <v/>
      </c>
      <c r="O86" s="9" t="str">
        <f t="shared" si="19"/>
        <v/>
      </c>
      <c r="P86" s="9" t="str">
        <f t="shared" si="19"/>
        <v/>
      </c>
      <c r="Q86" s="9" t="str">
        <f t="shared" si="19"/>
        <v/>
      </c>
      <c r="R86" s="9" t="str">
        <f t="shared" si="19"/>
        <v/>
      </c>
      <c r="S86" s="9" t="str">
        <f t="shared" si="19"/>
        <v/>
      </c>
      <c r="T86" s="9" t="str">
        <f t="shared" si="19"/>
        <v/>
      </c>
      <c r="U86" s="9" t="str">
        <f t="shared" si="19"/>
        <v/>
      </c>
      <c r="V86" s="9" t="str">
        <f t="shared" si="19"/>
        <v/>
      </c>
      <c r="W86" s="9" t="str">
        <f t="shared" si="19"/>
        <v/>
      </c>
      <c r="X86" s="9" t="str">
        <f t="shared" si="19"/>
        <v/>
      </c>
      <c r="Y86" s="9" t="str">
        <f t="shared" si="19"/>
        <v/>
      </c>
      <c r="Z86" s="9" t="str">
        <f t="shared" si="19"/>
        <v/>
      </c>
      <c r="AA86" s="9" t="str">
        <f t="shared" si="19"/>
        <v/>
      </c>
      <c r="AB86" s="9" t="str">
        <f t="shared" si="19"/>
        <v/>
      </c>
      <c r="AC86" s="9" t="str">
        <f t="shared" si="19"/>
        <v/>
      </c>
      <c r="AD86" s="9" t="str">
        <f t="shared" si="19"/>
        <v/>
      </c>
      <c r="AE86" s="9" t="str">
        <f t="shared" si="19"/>
        <v/>
      </c>
      <c r="AF86" s="9" t="str">
        <f t="shared" si="19"/>
        <v/>
      </c>
      <c r="AG86" s="9" t="str">
        <f t="shared" si="19"/>
        <v/>
      </c>
      <c r="AH86" s="9" t="str">
        <f t="shared" si="19"/>
        <v/>
      </c>
    </row>
    <row r="87" spans="2:34" x14ac:dyDescent="0.25">
      <c r="B87" s="629"/>
      <c r="C87" s="561"/>
      <c r="D87" s="9" t="str">
        <f t="shared" ref="D87:AH87" si="20">IF(D51="","",M4A*D51)</f>
        <v/>
      </c>
      <c r="E87" s="9" t="str">
        <f t="shared" si="20"/>
        <v/>
      </c>
      <c r="F87" s="9" t="str">
        <f t="shared" si="20"/>
        <v/>
      </c>
      <c r="G87" s="9" t="str">
        <f t="shared" si="20"/>
        <v/>
      </c>
      <c r="H87" s="9" t="str">
        <f t="shared" si="20"/>
        <v/>
      </c>
      <c r="I87" s="9" t="str">
        <f t="shared" si="20"/>
        <v/>
      </c>
      <c r="J87" s="9" t="str">
        <f t="shared" si="20"/>
        <v/>
      </c>
      <c r="K87" s="9" t="str">
        <f t="shared" si="20"/>
        <v/>
      </c>
      <c r="L87" s="9" t="str">
        <f t="shared" si="20"/>
        <v/>
      </c>
      <c r="M87" s="9" t="str">
        <f t="shared" si="20"/>
        <v/>
      </c>
      <c r="N87" s="9" t="str">
        <f t="shared" si="20"/>
        <v/>
      </c>
      <c r="O87" s="9" t="str">
        <f t="shared" si="20"/>
        <v/>
      </c>
      <c r="P87" s="9" t="str">
        <f t="shared" si="20"/>
        <v/>
      </c>
      <c r="Q87" s="9" t="str">
        <f t="shared" si="20"/>
        <v/>
      </c>
      <c r="R87" s="9" t="str">
        <f t="shared" si="20"/>
        <v/>
      </c>
      <c r="S87" s="9" t="str">
        <f t="shared" si="20"/>
        <v/>
      </c>
      <c r="T87" s="9" t="str">
        <f t="shared" si="20"/>
        <v/>
      </c>
      <c r="U87" s="9" t="str">
        <f t="shared" si="20"/>
        <v/>
      </c>
      <c r="V87" s="9" t="str">
        <f t="shared" si="20"/>
        <v/>
      </c>
      <c r="W87" s="9" t="str">
        <f t="shared" si="20"/>
        <v/>
      </c>
      <c r="X87" s="9" t="str">
        <f t="shared" si="20"/>
        <v/>
      </c>
      <c r="Y87" s="9" t="str">
        <f t="shared" si="20"/>
        <v/>
      </c>
      <c r="Z87" s="9" t="str">
        <f t="shared" si="20"/>
        <v/>
      </c>
      <c r="AA87" s="9" t="str">
        <f t="shared" si="20"/>
        <v/>
      </c>
      <c r="AB87" s="9" t="str">
        <f t="shared" si="20"/>
        <v/>
      </c>
      <c r="AC87" s="9" t="str">
        <f t="shared" si="20"/>
        <v/>
      </c>
      <c r="AD87" s="9" t="str">
        <f t="shared" si="20"/>
        <v/>
      </c>
      <c r="AE87" s="9" t="str">
        <f t="shared" si="20"/>
        <v/>
      </c>
      <c r="AF87" s="9" t="str">
        <f t="shared" si="20"/>
        <v/>
      </c>
      <c r="AG87" s="9" t="str">
        <f t="shared" si="20"/>
        <v/>
      </c>
      <c r="AH87" s="9" t="str">
        <f t="shared" si="20"/>
        <v/>
      </c>
    </row>
    <row r="88" spans="2:34" x14ac:dyDescent="0.25">
      <c r="B88" s="660" t="s">
        <v>732</v>
      </c>
      <c r="C88" s="563"/>
      <c r="D88" s="336" t="str">
        <f t="shared" ref="D88:AH88" si="21">IF(D84="","",SUM(D84:D87))</f>
        <v/>
      </c>
      <c r="E88" s="336" t="str">
        <f t="shared" si="21"/>
        <v/>
      </c>
      <c r="F88" s="336" t="str">
        <f t="shared" si="21"/>
        <v/>
      </c>
      <c r="G88" s="336" t="str">
        <f t="shared" si="21"/>
        <v/>
      </c>
      <c r="H88" s="336" t="str">
        <f t="shared" si="21"/>
        <v/>
      </c>
      <c r="I88" s="336" t="str">
        <f t="shared" si="21"/>
        <v/>
      </c>
      <c r="J88" s="336" t="str">
        <f t="shared" si="21"/>
        <v/>
      </c>
      <c r="K88" s="336" t="str">
        <f t="shared" si="21"/>
        <v/>
      </c>
      <c r="L88" s="336" t="str">
        <f t="shared" si="21"/>
        <v/>
      </c>
      <c r="M88" s="336" t="str">
        <f t="shared" si="21"/>
        <v/>
      </c>
      <c r="N88" s="336" t="str">
        <f t="shared" si="21"/>
        <v/>
      </c>
      <c r="O88" s="336" t="str">
        <f t="shared" si="21"/>
        <v/>
      </c>
      <c r="P88" s="336" t="str">
        <f t="shared" si="21"/>
        <v/>
      </c>
      <c r="Q88" s="336" t="str">
        <f t="shared" si="21"/>
        <v/>
      </c>
      <c r="R88" s="336" t="str">
        <f t="shared" si="21"/>
        <v/>
      </c>
      <c r="S88" s="336" t="str">
        <f t="shared" si="21"/>
        <v/>
      </c>
      <c r="T88" s="336" t="str">
        <f t="shared" si="21"/>
        <v/>
      </c>
      <c r="U88" s="336" t="str">
        <f t="shared" si="21"/>
        <v/>
      </c>
      <c r="V88" s="336" t="str">
        <f t="shared" si="21"/>
        <v/>
      </c>
      <c r="W88" s="336" t="str">
        <f t="shared" si="21"/>
        <v/>
      </c>
      <c r="X88" s="336" t="str">
        <f t="shared" si="21"/>
        <v/>
      </c>
      <c r="Y88" s="336" t="str">
        <f t="shared" si="21"/>
        <v/>
      </c>
      <c r="Z88" s="336" t="str">
        <f t="shared" si="21"/>
        <v/>
      </c>
      <c r="AA88" s="336" t="str">
        <f t="shared" si="21"/>
        <v/>
      </c>
      <c r="AB88" s="336" t="str">
        <f t="shared" si="21"/>
        <v/>
      </c>
      <c r="AC88" s="336" t="str">
        <f t="shared" si="21"/>
        <v/>
      </c>
      <c r="AD88" s="336" t="str">
        <f t="shared" si="21"/>
        <v/>
      </c>
      <c r="AE88" s="336" t="str">
        <f t="shared" si="21"/>
        <v/>
      </c>
      <c r="AF88" s="336" t="str">
        <f t="shared" si="21"/>
        <v/>
      </c>
      <c r="AG88" s="336" t="str">
        <f t="shared" si="21"/>
        <v/>
      </c>
      <c r="AH88" s="336" t="str">
        <f t="shared" si="21"/>
        <v/>
      </c>
    </row>
    <row r="89" spans="2:34" x14ac:dyDescent="0.25">
      <c r="B89" s="229"/>
      <c r="C89" s="229"/>
    </row>
    <row r="90" spans="2:34" ht="15" customHeight="1" x14ac:dyDescent="0.25">
      <c r="B90" s="660" t="s">
        <v>733</v>
      </c>
      <c r="C90" s="558"/>
      <c r="D90" s="9" t="str">
        <f t="shared" ref="D90:AH90" si="22">IF(D54="","",M1A*D54)</f>
        <v/>
      </c>
      <c r="E90" s="9" t="str">
        <f t="shared" si="22"/>
        <v/>
      </c>
      <c r="F90" s="9" t="str">
        <f t="shared" si="22"/>
        <v/>
      </c>
      <c r="G90" s="9" t="str">
        <f t="shared" si="22"/>
        <v/>
      </c>
      <c r="H90" s="9" t="str">
        <f t="shared" si="22"/>
        <v/>
      </c>
      <c r="I90" s="9" t="str">
        <f t="shared" si="22"/>
        <v/>
      </c>
      <c r="J90" s="9" t="str">
        <f t="shared" si="22"/>
        <v/>
      </c>
      <c r="K90" s="9" t="str">
        <f t="shared" si="22"/>
        <v/>
      </c>
      <c r="L90" s="9" t="str">
        <f t="shared" si="22"/>
        <v/>
      </c>
      <c r="M90" s="9" t="str">
        <f t="shared" si="22"/>
        <v/>
      </c>
      <c r="N90" s="9" t="str">
        <f t="shared" si="22"/>
        <v/>
      </c>
      <c r="O90" s="9" t="str">
        <f t="shared" si="22"/>
        <v/>
      </c>
      <c r="P90" s="9" t="str">
        <f t="shared" si="22"/>
        <v/>
      </c>
      <c r="Q90" s="9" t="str">
        <f t="shared" si="22"/>
        <v/>
      </c>
      <c r="R90" s="9" t="str">
        <f t="shared" si="22"/>
        <v/>
      </c>
      <c r="S90" s="9" t="str">
        <f t="shared" si="22"/>
        <v/>
      </c>
      <c r="T90" s="9" t="str">
        <f t="shared" si="22"/>
        <v/>
      </c>
      <c r="U90" s="9" t="str">
        <f t="shared" si="22"/>
        <v/>
      </c>
      <c r="V90" s="9" t="str">
        <f t="shared" si="22"/>
        <v/>
      </c>
      <c r="W90" s="9" t="str">
        <f t="shared" si="22"/>
        <v/>
      </c>
      <c r="X90" s="9" t="str">
        <f t="shared" si="22"/>
        <v/>
      </c>
      <c r="Y90" s="9" t="str">
        <f t="shared" si="22"/>
        <v/>
      </c>
      <c r="Z90" s="9" t="str">
        <f t="shared" si="22"/>
        <v/>
      </c>
      <c r="AA90" s="9" t="str">
        <f t="shared" si="22"/>
        <v/>
      </c>
      <c r="AB90" s="9" t="str">
        <f t="shared" si="22"/>
        <v/>
      </c>
      <c r="AC90" s="9" t="str">
        <f t="shared" si="22"/>
        <v/>
      </c>
      <c r="AD90" s="9" t="str">
        <f t="shared" si="22"/>
        <v/>
      </c>
      <c r="AE90" s="9" t="str">
        <f t="shared" si="22"/>
        <v/>
      </c>
      <c r="AF90" s="9" t="str">
        <f t="shared" si="22"/>
        <v/>
      </c>
      <c r="AG90" s="9" t="str">
        <f t="shared" si="22"/>
        <v/>
      </c>
      <c r="AH90" s="9" t="str">
        <f t="shared" si="22"/>
        <v/>
      </c>
    </row>
    <row r="91" spans="2:34" x14ac:dyDescent="0.25">
      <c r="B91" s="628"/>
      <c r="C91" s="559"/>
      <c r="D91" s="9" t="str">
        <f t="shared" ref="D91:AH91" si="23">IF(D55="","",M2A*D55)</f>
        <v/>
      </c>
      <c r="E91" s="9" t="str">
        <f t="shared" si="23"/>
        <v/>
      </c>
      <c r="F91" s="9" t="str">
        <f t="shared" si="23"/>
        <v/>
      </c>
      <c r="G91" s="9" t="str">
        <f t="shared" si="23"/>
        <v/>
      </c>
      <c r="H91" s="9" t="str">
        <f t="shared" si="23"/>
        <v/>
      </c>
      <c r="I91" s="9" t="str">
        <f t="shared" si="23"/>
        <v/>
      </c>
      <c r="J91" s="9" t="str">
        <f t="shared" si="23"/>
        <v/>
      </c>
      <c r="K91" s="9" t="str">
        <f t="shared" si="23"/>
        <v/>
      </c>
      <c r="L91" s="9" t="str">
        <f t="shared" si="23"/>
        <v/>
      </c>
      <c r="M91" s="9" t="str">
        <f t="shared" si="23"/>
        <v/>
      </c>
      <c r="N91" s="9" t="str">
        <f t="shared" si="23"/>
        <v/>
      </c>
      <c r="O91" s="9" t="str">
        <f t="shared" si="23"/>
        <v/>
      </c>
      <c r="P91" s="9" t="str">
        <f t="shared" si="23"/>
        <v/>
      </c>
      <c r="Q91" s="9" t="str">
        <f t="shared" si="23"/>
        <v/>
      </c>
      <c r="R91" s="9" t="str">
        <f t="shared" si="23"/>
        <v/>
      </c>
      <c r="S91" s="9" t="str">
        <f t="shared" si="23"/>
        <v/>
      </c>
      <c r="T91" s="9" t="str">
        <f t="shared" si="23"/>
        <v/>
      </c>
      <c r="U91" s="9" t="str">
        <f t="shared" si="23"/>
        <v/>
      </c>
      <c r="V91" s="9" t="str">
        <f t="shared" si="23"/>
        <v/>
      </c>
      <c r="W91" s="9" t="str">
        <f t="shared" si="23"/>
        <v/>
      </c>
      <c r="X91" s="9" t="str">
        <f t="shared" si="23"/>
        <v/>
      </c>
      <c r="Y91" s="9" t="str">
        <f t="shared" si="23"/>
        <v/>
      </c>
      <c r="Z91" s="9" t="str">
        <f t="shared" si="23"/>
        <v/>
      </c>
      <c r="AA91" s="9" t="str">
        <f t="shared" si="23"/>
        <v/>
      </c>
      <c r="AB91" s="9" t="str">
        <f t="shared" si="23"/>
        <v/>
      </c>
      <c r="AC91" s="9" t="str">
        <f t="shared" si="23"/>
        <v/>
      </c>
      <c r="AD91" s="9" t="str">
        <f t="shared" si="23"/>
        <v/>
      </c>
      <c r="AE91" s="9" t="str">
        <f t="shared" si="23"/>
        <v/>
      </c>
      <c r="AF91" s="9" t="str">
        <f t="shared" si="23"/>
        <v/>
      </c>
      <c r="AG91" s="9" t="str">
        <f t="shared" si="23"/>
        <v/>
      </c>
      <c r="AH91" s="9" t="str">
        <f t="shared" si="23"/>
        <v/>
      </c>
    </row>
    <row r="92" spans="2:34" x14ac:dyDescent="0.25">
      <c r="B92" s="628"/>
      <c r="C92" s="559"/>
      <c r="D92" s="9" t="str">
        <f t="shared" ref="D92:AH92" si="24">IF(D56="","",M3A*D56)</f>
        <v/>
      </c>
      <c r="E92" s="9" t="str">
        <f t="shared" si="24"/>
        <v/>
      </c>
      <c r="F92" s="9" t="str">
        <f t="shared" si="24"/>
        <v/>
      </c>
      <c r="G92" s="9" t="str">
        <f t="shared" si="24"/>
        <v/>
      </c>
      <c r="H92" s="9" t="str">
        <f t="shared" si="24"/>
        <v/>
      </c>
      <c r="I92" s="9" t="str">
        <f t="shared" si="24"/>
        <v/>
      </c>
      <c r="J92" s="9" t="str">
        <f t="shared" si="24"/>
        <v/>
      </c>
      <c r="K92" s="9" t="str">
        <f t="shared" si="24"/>
        <v/>
      </c>
      <c r="L92" s="9" t="str">
        <f t="shared" si="24"/>
        <v/>
      </c>
      <c r="M92" s="9" t="str">
        <f t="shared" si="24"/>
        <v/>
      </c>
      <c r="N92" s="9" t="str">
        <f t="shared" si="24"/>
        <v/>
      </c>
      <c r="O92" s="9" t="str">
        <f t="shared" si="24"/>
        <v/>
      </c>
      <c r="P92" s="9" t="str">
        <f t="shared" si="24"/>
        <v/>
      </c>
      <c r="Q92" s="9" t="str">
        <f t="shared" si="24"/>
        <v/>
      </c>
      <c r="R92" s="9" t="str">
        <f t="shared" si="24"/>
        <v/>
      </c>
      <c r="S92" s="9" t="str">
        <f t="shared" si="24"/>
        <v/>
      </c>
      <c r="T92" s="9" t="str">
        <f t="shared" si="24"/>
        <v/>
      </c>
      <c r="U92" s="9" t="str">
        <f t="shared" si="24"/>
        <v/>
      </c>
      <c r="V92" s="9" t="str">
        <f t="shared" si="24"/>
        <v/>
      </c>
      <c r="W92" s="9" t="str">
        <f t="shared" si="24"/>
        <v/>
      </c>
      <c r="X92" s="9" t="str">
        <f t="shared" si="24"/>
        <v/>
      </c>
      <c r="Y92" s="9" t="str">
        <f t="shared" si="24"/>
        <v/>
      </c>
      <c r="Z92" s="9" t="str">
        <f t="shared" si="24"/>
        <v/>
      </c>
      <c r="AA92" s="9" t="str">
        <f t="shared" si="24"/>
        <v/>
      </c>
      <c r="AB92" s="9" t="str">
        <f t="shared" si="24"/>
        <v/>
      </c>
      <c r="AC92" s="9" t="str">
        <f t="shared" si="24"/>
        <v/>
      </c>
      <c r="AD92" s="9" t="str">
        <f t="shared" si="24"/>
        <v/>
      </c>
      <c r="AE92" s="9" t="str">
        <f t="shared" si="24"/>
        <v/>
      </c>
      <c r="AF92" s="9" t="str">
        <f t="shared" si="24"/>
        <v/>
      </c>
      <c r="AG92" s="9" t="str">
        <f t="shared" si="24"/>
        <v/>
      </c>
      <c r="AH92" s="9" t="str">
        <f t="shared" si="24"/>
        <v/>
      </c>
    </row>
    <row r="93" spans="2:34" x14ac:dyDescent="0.25">
      <c r="B93" s="629"/>
      <c r="C93" s="561"/>
      <c r="D93" s="9" t="str">
        <f t="shared" ref="D93:AH93" si="25">IF(D57="","",M4A*D57)</f>
        <v/>
      </c>
      <c r="E93" s="9" t="str">
        <f t="shared" si="25"/>
        <v/>
      </c>
      <c r="F93" s="9" t="str">
        <f t="shared" si="25"/>
        <v/>
      </c>
      <c r="G93" s="9" t="str">
        <f t="shared" si="25"/>
        <v/>
      </c>
      <c r="H93" s="9" t="str">
        <f t="shared" si="25"/>
        <v/>
      </c>
      <c r="I93" s="9" t="str">
        <f t="shared" si="25"/>
        <v/>
      </c>
      <c r="J93" s="9" t="str">
        <f t="shared" si="25"/>
        <v/>
      </c>
      <c r="K93" s="9" t="str">
        <f t="shared" si="25"/>
        <v/>
      </c>
      <c r="L93" s="9" t="str">
        <f t="shared" si="25"/>
        <v/>
      </c>
      <c r="M93" s="9" t="str">
        <f t="shared" si="25"/>
        <v/>
      </c>
      <c r="N93" s="9" t="str">
        <f t="shared" si="25"/>
        <v/>
      </c>
      <c r="O93" s="9" t="str">
        <f t="shared" si="25"/>
        <v/>
      </c>
      <c r="P93" s="9" t="str">
        <f t="shared" si="25"/>
        <v/>
      </c>
      <c r="Q93" s="9" t="str">
        <f t="shared" si="25"/>
        <v/>
      </c>
      <c r="R93" s="9" t="str">
        <f t="shared" si="25"/>
        <v/>
      </c>
      <c r="S93" s="9" t="str">
        <f t="shared" si="25"/>
        <v/>
      </c>
      <c r="T93" s="9" t="str">
        <f t="shared" si="25"/>
        <v/>
      </c>
      <c r="U93" s="9" t="str">
        <f t="shared" si="25"/>
        <v/>
      </c>
      <c r="V93" s="9" t="str">
        <f t="shared" si="25"/>
        <v/>
      </c>
      <c r="W93" s="9" t="str">
        <f t="shared" si="25"/>
        <v/>
      </c>
      <c r="X93" s="9" t="str">
        <f t="shared" si="25"/>
        <v/>
      </c>
      <c r="Y93" s="9" t="str">
        <f t="shared" si="25"/>
        <v/>
      </c>
      <c r="Z93" s="9" t="str">
        <f t="shared" si="25"/>
        <v/>
      </c>
      <c r="AA93" s="9" t="str">
        <f t="shared" si="25"/>
        <v/>
      </c>
      <c r="AB93" s="9" t="str">
        <f t="shared" si="25"/>
        <v/>
      </c>
      <c r="AC93" s="9" t="str">
        <f t="shared" si="25"/>
        <v/>
      </c>
      <c r="AD93" s="9" t="str">
        <f t="shared" si="25"/>
        <v/>
      </c>
      <c r="AE93" s="9" t="str">
        <f t="shared" si="25"/>
        <v/>
      </c>
      <c r="AF93" s="9" t="str">
        <f t="shared" si="25"/>
        <v/>
      </c>
      <c r="AG93" s="9" t="str">
        <f t="shared" si="25"/>
        <v/>
      </c>
      <c r="AH93" s="9" t="str">
        <f t="shared" si="25"/>
        <v/>
      </c>
    </row>
    <row r="94" spans="2:34" x14ac:dyDescent="0.25">
      <c r="B94" s="660" t="s">
        <v>734</v>
      </c>
      <c r="C94" s="563"/>
      <c r="D94" s="336" t="str">
        <f t="shared" ref="D94:AH94" si="26">IF(D90="","",SUM(D90:D93))</f>
        <v/>
      </c>
      <c r="E94" s="336" t="str">
        <f t="shared" si="26"/>
        <v/>
      </c>
      <c r="F94" s="336" t="str">
        <f t="shared" si="26"/>
        <v/>
      </c>
      <c r="G94" s="336" t="str">
        <f t="shared" si="26"/>
        <v/>
      </c>
      <c r="H94" s="336" t="str">
        <f t="shared" si="26"/>
        <v/>
      </c>
      <c r="I94" s="336" t="str">
        <f t="shared" si="26"/>
        <v/>
      </c>
      <c r="J94" s="336" t="str">
        <f t="shared" si="26"/>
        <v/>
      </c>
      <c r="K94" s="336" t="str">
        <f t="shared" si="26"/>
        <v/>
      </c>
      <c r="L94" s="336" t="str">
        <f t="shared" si="26"/>
        <v/>
      </c>
      <c r="M94" s="336" t="str">
        <f t="shared" si="26"/>
        <v/>
      </c>
      <c r="N94" s="336" t="str">
        <f t="shared" si="26"/>
        <v/>
      </c>
      <c r="O94" s="336" t="str">
        <f t="shared" si="26"/>
        <v/>
      </c>
      <c r="P94" s="336" t="str">
        <f t="shared" si="26"/>
        <v/>
      </c>
      <c r="Q94" s="336" t="str">
        <f t="shared" si="26"/>
        <v/>
      </c>
      <c r="R94" s="336" t="str">
        <f t="shared" si="26"/>
        <v/>
      </c>
      <c r="S94" s="336" t="str">
        <f t="shared" si="26"/>
        <v/>
      </c>
      <c r="T94" s="336" t="str">
        <f t="shared" si="26"/>
        <v/>
      </c>
      <c r="U94" s="336" t="str">
        <f t="shared" si="26"/>
        <v/>
      </c>
      <c r="V94" s="336" t="str">
        <f t="shared" si="26"/>
        <v/>
      </c>
      <c r="W94" s="336" t="str">
        <f t="shared" si="26"/>
        <v/>
      </c>
      <c r="X94" s="336" t="str">
        <f t="shared" si="26"/>
        <v/>
      </c>
      <c r="Y94" s="336" t="str">
        <f t="shared" si="26"/>
        <v/>
      </c>
      <c r="Z94" s="336" t="str">
        <f t="shared" si="26"/>
        <v/>
      </c>
      <c r="AA94" s="336" t="str">
        <f t="shared" si="26"/>
        <v/>
      </c>
      <c r="AB94" s="336" t="str">
        <f t="shared" si="26"/>
        <v/>
      </c>
      <c r="AC94" s="336" t="str">
        <f t="shared" si="26"/>
        <v/>
      </c>
      <c r="AD94" s="336" t="str">
        <f t="shared" si="26"/>
        <v/>
      </c>
      <c r="AE94" s="336" t="str">
        <f t="shared" si="26"/>
        <v/>
      </c>
      <c r="AF94" s="336" t="str">
        <f t="shared" si="26"/>
        <v/>
      </c>
      <c r="AG94" s="336" t="str">
        <f t="shared" si="26"/>
        <v/>
      </c>
      <c r="AH94" s="336" t="str">
        <f t="shared" si="26"/>
        <v/>
      </c>
    </row>
    <row r="95" spans="2:34" x14ac:dyDescent="0.25">
      <c r="B95" s="229"/>
      <c r="C95" s="229"/>
    </row>
    <row r="96" spans="2:34" ht="15" customHeight="1" x14ac:dyDescent="0.25">
      <c r="B96" s="660" t="s">
        <v>735</v>
      </c>
      <c r="C96" s="558"/>
      <c r="D96" s="9" t="str">
        <f t="shared" ref="D96:AH96" si="27">IF(D60="","",M1A*D60)</f>
        <v/>
      </c>
      <c r="E96" s="9" t="str">
        <f t="shared" si="27"/>
        <v/>
      </c>
      <c r="F96" s="9" t="str">
        <f t="shared" si="27"/>
        <v/>
      </c>
      <c r="G96" s="9" t="str">
        <f t="shared" si="27"/>
        <v/>
      </c>
      <c r="H96" s="9" t="str">
        <f t="shared" si="27"/>
        <v/>
      </c>
      <c r="I96" s="9" t="str">
        <f t="shared" si="27"/>
        <v/>
      </c>
      <c r="J96" s="9" t="str">
        <f t="shared" si="27"/>
        <v/>
      </c>
      <c r="K96" s="9" t="str">
        <f t="shared" si="27"/>
        <v/>
      </c>
      <c r="L96" s="9" t="str">
        <f t="shared" si="27"/>
        <v/>
      </c>
      <c r="M96" s="9" t="str">
        <f t="shared" si="27"/>
        <v/>
      </c>
      <c r="N96" s="9" t="str">
        <f t="shared" si="27"/>
        <v/>
      </c>
      <c r="O96" s="9" t="str">
        <f t="shared" si="27"/>
        <v/>
      </c>
      <c r="P96" s="9" t="str">
        <f t="shared" si="27"/>
        <v/>
      </c>
      <c r="Q96" s="9" t="str">
        <f t="shared" si="27"/>
        <v/>
      </c>
      <c r="R96" s="9" t="str">
        <f t="shared" si="27"/>
        <v/>
      </c>
      <c r="S96" s="9" t="str">
        <f t="shared" si="27"/>
        <v/>
      </c>
      <c r="T96" s="9" t="str">
        <f t="shared" si="27"/>
        <v/>
      </c>
      <c r="U96" s="9" t="str">
        <f t="shared" si="27"/>
        <v/>
      </c>
      <c r="V96" s="9" t="str">
        <f t="shared" si="27"/>
        <v/>
      </c>
      <c r="W96" s="9" t="str">
        <f t="shared" si="27"/>
        <v/>
      </c>
      <c r="X96" s="9" t="str">
        <f t="shared" si="27"/>
        <v/>
      </c>
      <c r="Y96" s="9" t="str">
        <f t="shared" si="27"/>
        <v/>
      </c>
      <c r="Z96" s="9" t="str">
        <f t="shared" si="27"/>
        <v/>
      </c>
      <c r="AA96" s="9" t="str">
        <f t="shared" si="27"/>
        <v/>
      </c>
      <c r="AB96" s="9" t="str">
        <f t="shared" si="27"/>
        <v/>
      </c>
      <c r="AC96" s="9" t="str">
        <f t="shared" si="27"/>
        <v/>
      </c>
      <c r="AD96" s="9" t="str">
        <f t="shared" si="27"/>
        <v/>
      </c>
      <c r="AE96" s="9" t="str">
        <f t="shared" si="27"/>
        <v/>
      </c>
      <c r="AF96" s="9" t="str">
        <f t="shared" si="27"/>
        <v/>
      </c>
      <c r="AG96" s="9" t="str">
        <f t="shared" si="27"/>
        <v/>
      </c>
      <c r="AH96" s="9" t="str">
        <f t="shared" si="27"/>
        <v/>
      </c>
    </row>
    <row r="97" spans="2:34" x14ac:dyDescent="0.25">
      <c r="B97" s="628"/>
      <c r="C97" s="559"/>
      <c r="D97" s="9" t="str">
        <f t="shared" ref="D97:AH97" si="28">IF(D61="","",M2A*D61)</f>
        <v/>
      </c>
      <c r="E97" s="9" t="str">
        <f t="shared" si="28"/>
        <v/>
      </c>
      <c r="F97" s="9" t="str">
        <f t="shared" si="28"/>
        <v/>
      </c>
      <c r="G97" s="9" t="str">
        <f t="shared" si="28"/>
        <v/>
      </c>
      <c r="H97" s="9" t="str">
        <f t="shared" si="28"/>
        <v/>
      </c>
      <c r="I97" s="9" t="str">
        <f t="shared" si="28"/>
        <v/>
      </c>
      <c r="J97" s="9" t="str">
        <f t="shared" si="28"/>
        <v/>
      </c>
      <c r="K97" s="9" t="str">
        <f t="shared" si="28"/>
        <v/>
      </c>
      <c r="L97" s="9" t="str">
        <f t="shared" si="28"/>
        <v/>
      </c>
      <c r="M97" s="9" t="str">
        <f t="shared" si="28"/>
        <v/>
      </c>
      <c r="N97" s="9" t="str">
        <f t="shared" si="28"/>
        <v/>
      </c>
      <c r="O97" s="9" t="str">
        <f t="shared" si="28"/>
        <v/>
      </c>
      <c r="P97" s="9" t="str">
        <f t="shared" si="28"/>
        <v/>
      </c>
      <c r="Q97" s="9" t="str">
        <f t="shared" si="28"/>
        <v/>
      </c>
      <c r="R97" s="9" t="str">
        <f t="shared" si="28"/>
        <v/>
      </c>
      <c r="S97" s="9" t="str">
        <f t="shared" si="28"/>
        <v/>
      </c>
      <c r="T97" s="9" t="str">
        <f t="shared" si="28"/>
        <v/>
      </c>
      <c r="U97" s="9" t="str">
        <f t="shared" si="28"/>
        <v/>
      </c>
      <c r="V97" s="9" t="str">
        <f t="shared" si="28"/>
        <v/>
      </c>
      <c r="W97" s="9" t="str">
        <f t="shared" si="28"/>
        <v/>
      </c>
      <c r="X97" s="9" t="str">
        <f t="shared" si="28"/>
        <v/>
      </c>
      <c r="Y97" s="9" t="str">
        <f t="shared" si="28"/>
        <v/>
      </c>
      <c r="Z97" s="9" t="str">
        <f t="shared" si="28"/>
        <v/>
      </c>
      <c r="AA97" s="9" t="str">
        <f t="shared" si="28"/>
        <v/>
      </c>
      <c r="AB97" s="9" t="str">
        <f t="shared" si="28"/>
        <v/>
      </c>
      <c r="AC97" s="9" t="str">
        <f t="shared" si="28"/>
        <v/>
      </c>
      <c r="AD97" s="9" t="str">
        <f t="shared" si="28"/>
        <v/>
      </c>
      <c r="AE97" s="9" t="str">
        <f t="shared" si="28"/>
        <v/>
      </c>
      <c r="AF97" s="9" t="str">
        <f t="shared" si="28"/>
        <v/>
      </c>
      <c r="AG97" s="9" t="str">
        <f t="shared" si="28"/>
        <v/>
      </c>
      <c r="AH97" s="9" t="str">
        <f t="shared" si="28"/>
        <v/>
      </c>
    </row>
    <row r="98" spans="2:34" x14ac:dyDescent="0.25">
      <c r="B98" s="628"/>
      <c r="C98" s="559"/>
      <c r="D98" s="9" t="str">
        <f t="shared" ref="D98:AH98" si="29">IF(D62="","",M3A*D62)</f>
        <v/>
      </c>
      <c r="E98" s="9" t="str">
        <f t="shared" si="29"/>
        <v/>
      </c>
      <c r="F98" s="9" t="str">
        <f t="shared" si="29"/>
        <v/>
      </c>
      <c r="G98" s="9" t="str">
        <f t="shared" si="29"/>
        <v/>
      </c>
      <c r="H98" s="9" t="str">
        <f t="shared" si="29"/>
        <v/>
      </c>
      <c r="I98" s="9" t="str">
        <f t="shared" si="29"/>
        <v/>
      </c>
      <c r="J98" s="9" t="str">
        <f t="shared" si="29"/>
        <v/>
      </c>
      <c r="K98" s="9" t="str">
        <f t="shared" si="29"/>
        <v/>
      </c>
      <c r="L98" s="9" t="str">
        <f t="shared" si="29"/>
        <v/>
      </c>
      <c r="M98" s="9" t="str">
        <f t="shared" si="29"/>
        <v/>
      </c>
      <c r="N98" s="9" t="str">
        <f t="shared" si="29"/>
        <v/>
      </c>
      <c r="O98" s="9" t="str">
        <f t="shared" si="29"/>
        <v/>
      </c>
      <c r="P98" s="9" t="str">
        <f t="shared" si="29"/>
        <v/>
      </c>
      <c r="Q98" s="9" t="str">
        <f t="shared" si="29"/>
        <v/>
      </c>
      <c r="R98" s="9" t="str">
        <f t="shared" si="29"/>
        <v/>
      </c>
      <c r="S98" s="9" t="str">
        <f t="shared" si="29"/>
        <v/>
      </c>
      <c r="T98" s="9" t="str">
        <f t="shared" si="29"/>
        <v/>
      </c>
      <c r="U98" s="9" t="str">
        <f t="shared" si="29"/>
        <v/>
      </c>
      <c r="V98" s="9" t="str">
        <f t="shared" si="29"/>
        <v/>
      </c>
      <c r="W98" s="9" t="str">
        <f t="shared" si="29"/>
        <v/>
      </c>
      <c r="X98" s="9" t="str">
        <f t="shared" si="29"/>
        <v/>
      </c>
      <c r="Y98" s="9" t="str">
        <f t="shared" si="29"/>
        <v/>
      </c>
      <c r="Z98" s="9" t="str">
        <f t="shared" si="29"/>
        <v/>
      </c>
      <c r="AA98" s="9" t="str">
        <f t="shared" si="29"/>
        <v/>
      </c>
      <c r="AB98" s="9" t="str">
        <f t="shared" si="29"/>
        <v/>
      </c>
      <c r="AC98" s="9" t="str">
        <f t="shared" si="29"/>
        <v/>
      </c>
      <c r="AD98" s="9" t="str">
        <f t="shared" si="29"/>
        <v/>
      </c>
      <c r="AE98" s="9" t="str">
        <f t="shared" si="29"/>
        <v/>
      </c>
      <c r="AF98" s="9" t="str">
        <f t="shared" si="29"/>
        <v/>
      </c>
      <c r="AG98" s="9" t="str">
        <f t="shared" si="29"/>
        <v/>
      </c>
      <c r="AH98" s="9" t="str">
        <f t="shared" si="29"/>
        <v/>
      </c>
    </row>
    <row r="99" spans="2:34" x14ac:dyDescent="0.25">
      <c r="B99" s="629"/>
      <c r="C99" s="561"/>
      <c r="D99" s="9" t="str">
        <f t="shared" ref="D99:AH99" si="30">IF(D63="","",M4A*D63)</f>
        <v/>
      </c>
      <c r="E99" s="9" t="str">
        <f t="shared" si="30"/>
        <v/>
      </c>
      <c r="F99" s="9" t="str">
        <f t="shared" si="30"/>
        <v/>
      </c>
      <c r="G99" s="9" t="str">
        <f t="shared" si="30"/>
        <v/>
      </c>
      <c r="H99" s="9" t="str">
        <f t="shared" si="30"/>
        <v/>
      </c>
      <c r="I99" s="9" t="str">
        <f t="shared" si="30"/>
        <v/>
      </c>
      <c r="J99" s="9" t="str">
        <f t="shared" si="30"/>
        <v/>
      </c>
      <c r="K99" s="9" t="str">
        <f t="shared" si="30"/>
        <v/>
      </c>
      <c r="L99" s="9" t="str">
        <f t="shared" si="30"/>
        <v/>
      </c>
      <c r="M99" s="9" t="str">
        <f t="shared" si="30"/>
        <v/>
      </c>
      <c r="N99" s="9" t="str">
        <f t="shared" si="30"/>
        <v/>
      </c>
      <c r="O99" s="9" t="str">
        <f t="shared" si="30"/>
        <v/>
      </c>
      <c r="P99" s="9" t="str">
        <f t="shared" si="30"/>
        <v/>
      </c>
      <c r="Q99" s="9" t="str">
        <f t="shared" si="30"/>
        <v/>
      </c>
      <c r="R99" s="9" t="str">
        <f t="shared" si="30"/>
        <v/>
      </c>
      <c r="S99" s="9" t="str">
        <f t="shared" si="30"/>
        <v/>
      </c>
      <c r="T99" s="9" t="str">
        <f t="shared" si="30"/>
        <v/>
      </c>
      <c r="U99" s="9" t="str">
        <f t="shared" si="30"/>
        <v/>
      </c>
      <c r="V99" s="9" t="str">
        <f t="shared" si="30"/>
        <v/>
      </c>
      <c r="W99" s="9" t="str">
        <f t="shared" si="30"/>
        <v/>
      </c>
      <c r="X99" s="9" t="str">
        <f t="shared" si="30"/>
        <v/>
      </c>
      <c r="Y99" s="9" t="str">
        <f t="shared" si="30"/>
        <v/>
      </c>
      <c r="Z99" s="9" t="str">
        <f t="shared" si="30"/>
        <v/>
      </c>
      <c r="AA99" s="9" t="str">
        <f t="shared" si="30"/>
        <v/>
      </c>
      <c r="AB99" s="9" t="str">
        <f t="shared" si="30"/>
        <v/>
      </c>
      <c r="AC99" s="9" t="str">
        <f t="shared" si="30"/>
        <v/>
      </c>
      <c r="AD99" s="9" t="str">
        <f t="shared" si="30"/>
        <v/>
      </c>
      <c r="AE99" s="9" t="str">
        <f t="shared" si="30"/>
        <v/>
      </c>
      <c r="AF99" s="9" t="str">
        <f t="shared" si="30"/>
        <v/>
      </c>
      <c r="AG99" s="9" t="str">
        <f t="shared" si="30"/>
        <v/>
      </c>
      <c r="AH99" s="9" t="str">
        <f t="shared" si="30"/>
        <v/>
      </c>
    </row>
    <row r="100" spans="2:34" x14ac:dyDescent="0.25">
      <c r="B100" s="660" t="s">
        <v>734</v>
      </c>
      <c r="C100" s="563"/>
      <c r="D100" s="336" t="str">
        <f t="shared" ref="D100:AH100" si="31">IF(D96="","",SUM(D96:D99))</f>
        <v/>
      </c>
      <c r="E100" s="336" t="str">
        <f t="shared" si="31"/>
        <v/>
      </c>
      <c r="F100" s="336" t="str">
        <f t="shared" si="31"/>
        <v/>
      </c>
      <c r="G100" s="336" t="str">
        <f t="shared" si="31"/>
        <v/>
      </c>
      <c r="H100" s="336" t="str">
        <f t="shared" si="31"/>
        <v/>
      </c>
      <c r="I100" s="336" t="str">
        <f t="shared" si="31"/>
        <v/>
      </c>
      <c r="J100" s="336" t="str">
        <f t="shared" si="31"/>
        <v/>
      </c>
      <c r="K100" s="336" t="str">
        <f t="shared" si="31"/>
        <v/>
      </c>
      <c r="L100" s="336" t="str">
        <f t="shared" si="31"/>
        <v/>
      </c>
      <c r="M100" s="336" t="str">
        <f t="shared" si="31"/>
        <v/>
      </c>
      <c r="N100" s="336" t="str">
        <f t="shared" si="31"/>
        <v/>
      </c>
      <c r="O100" s="336" t="str">
        <f t="shared" si="31"/>
        <v/>
      </c>
      <c r="P100" s="336" t="str">
        <f t="shared" si="31"/>
        <v/>
      </c>
      <c r="Q100" s="336" t="str">
        <f t="shared" si="31"/>
        <v/>
      </c>
      <c r="R100" s="336" t="str">
        <f t="shared" si="31"/>
        <v/>
      </c>
      <c r="S100" s="336" t="str">
        <f t="shared" si="31"/>
        <v/>
      </c>
      <c r="T100" s="336" t="str">
        <f t="shared" si="31"/>
        <v/>
      </c>
      <c r="U100" s="336" t="str">
        <f t="shared" si="31"/>
        <v/>
      </c>
      <c r="V100" s="336" t="str">
        <f t="shared" si="31"/>
        <v/>
      </c>
      <c r="W100" s="336" t="str">
        <f t="shared" si="31"/>
        <v/>
      </c>
      <c r="X100" s="336" t="str">
        <f t="shared" si="31"/>
        <v/>
      </c>
      <c r="Y100" s="336" t="str">
        <f t="shared" si="31"/>
        <v/>
      </c>
      <c r="Z100" s="336" t="str">
        <f t="shared" si="31"/>
        <v/>
      </c>
      <c r="AA100" s="336" t="str">
        <f t="shared" si="31"/>
        <v/>
      </c>
      <c r="AB100" s="336" t="str">
        <f t="shared" si="31"/>
        <v/>
      </c>
      <c r="AC100" s="336" t="str">
        <f t="shared" si="31"/>
        <v/>
      </c>
      <c r="AD100" s="336" t="str">
        <f t="shared" si="31"/>
        <v/>
      </c>
      <c r="AE100" s="336" t="str">
        <f t="shared" si="31"/>
        <v/>
      </c>
      <c r="AF100" s="336" t="str">
        <f t="shared" si="31"/>
        <v/>
      </c>
      <c r="AG100" s="336" t="str">
        <f t="shared" si="31"/>
        <v/>
      </c>
      <c r="AH100" s="336" t="str">
        <f t="shared" si="31"/>
        <v/>
      </c>
    </row>
    <row r="101" spans="2:34" x14ac:dyDescent="0.25">
      <c r="B101" s="229"/>
      <c r="C101" s="229"/>
    </row>
    <row r="102" spans="2:34" ht="15" customHeight="1" x14ac:dyDescent="0.25">
      <c r="B102" s="660" t="s">
        <v>736</v>
      </c>
      <c r="C102" s="558"/>
      <c r="D102" s="9" t="str">
        <f t="shared" ref="D102:AH102" si="32">IF(D66="","",M1A*D66)</f>
        <v/>
      </c>
      <c r="E102" s="9" t="str">
        <f t="shared" si="32"/>
        <v/>
      </c>
      <c r="F102" s="9" t="str">
        <f t="shared" si="32"/>
        <v/>
      </c>
      <c r="G102" s="9" t="str">
        <f t="shared" si="32"/>
        <v/>
      </c>
      <c r="H102" s="9" t="str">
        <f t="shared" si="32"/>
        <v/>
      </c>
      <c r="I102" s="9" t="str">
        <f t="shared" si="32"/>
        <v/>
      </c>
      <c r="J102" s="9" t="str">
        <f t="shared" si="32"/>
        <v/>
      </c>
      <c r="K102" s="9" t="str">
        <f t="shared" si="32"/>
        <v/>
      </c>
      <c r="L102" s="9" t="str">
        <f t="shared" si="32"/>
        <v/>
      </c>
      <c r="M102" s="9" t="str">
        <f t="shared" si="32"/>
        <v/>
      </c>
      <c r="N102" s="9" t="str">
        <f t="shared" si="32"/>
        <v/>
      </c>
      <c r="O102" s="9" t="str">
        <f t="shared" si="32"/>
        <v/>
      </c>
      <c r="P102" s="9" t="str">
        <f t="shared" si="32"/>
        <v/>
      </c>
      <c r="Q102" s="9" t="str">
        <f t="shared" si="32"/>
        <v/>
      </c>
      <c r="R102" s="9" t="str">
        <f t="shared" si="32"/>
        <v/>
      </c>
      <c r="S102" s="9" t="str">
        <f t="shared" si="32"/>
        <v/>
      </c>
      <c r="T102" s="9" t="str">
        <f t="shared" si="32"/>
        <v/>
      </c>
      <c r="U102" s="9" t="str">
        <f t="shared" si="32"/>
        <v/>
      </c>
      <c r="V102" s="9" t="str">
        <f t="shared" si="32"/>
        <v/>
      </c>
      <c r="W102" s="9" t="str">
        <f t="shared" si="32"/>
        <v/>
      </c>
      <c r="X102" s="9" t="str">
        <f t="shared" si="32"/>
        <v/>
      </c>
      <c r="Y102" s="9" t="str">
        <f t="shared" si="32"/>
        <v/>
      </c>
      <c r="Z102" s="9" t="str">
        <f t="shared" si="32"/>
        <v/>
      </c>
      <c r="AA102" s="9" t="str">
        <f t="shared" si="32"/>
        <v/>
      </c>
      <c r="AB102" s="9" t="str">
        <f t="shared" si="32"/>
        <v/>
      </c>
      <c r="AC102" s="9" t="str">
        <f t="shared" si="32"/>
        <v/>
      </c>
      <c r="AD102" s="9" t="str">
        <f t="shared" si="32"/>
        <v/>
      </c>
      <c r="AE102" s="9" t="str">
        <f t="shared" si="32"/>
        <v/>
      </c>
      <c r="AF102" s="9" t="str">
        <f t="shared" si="32"/>
        <v/>
      </c>
      <c r="AG102" s="9" t="str">
        <f t="shared" si="32"/>
        <v/>
      </c>
      <c r="AH102" s="9" t="str">
        <f t="shared" si="32"/>
        <v/>
      </c>
    </row>
    <row r="103" spans="2:34" x14ac:dyDescent="0.25">
      <c r="B103" s="628"/>
      <c r="C103" s="559"/>
      <c r="D103" s="9" t="str">
        <f t="shared" ref="D103:AH103" si="33">IF(D67="","",M2A*D67)</f>
        <v/>
      </c>
      <c r="E103" s="9" t="str">
        <f t="shared" si="33"/>
        <v/>
      </c>
      <c r="F103" s="9" t="str">
        <f t="shared" si="33"/>
        <v/>
      </c>
      <c r="G103" s="9" t="str">
        <f t="shared" si="33"/>
        <v/>
      </c>
      <c r="H103" s="9" t="str">
        <f t="shared" si="33"/>
        <v/>
      </c>
      <c r="I103" s="9" t="str">
        <f t="shared" si="33"/>
        <v/>
      </c>
      <c r="J103" s="9" t="str">
        <f t="shared" si="33"/>
        <v/>
      </c>
      <c r="K103" s="9" t="str">
        <f t="shared" si="33"/>
        <v/>
      </c>
      <c r="L103" s="9" t="str">
        <f t="shared" si="33"/>
        <v/>
      </c>
      <c r="M103" s="9" t="str">
        <f t="shared" si="33"/>
        <v/>
      </c>
      <c r="N103" s="9" t="str">
        <f t="shared" si="33"/>
        <v/>
      </c>
      <c r="O103" s="9" t="str">
        <f t="shared" si="33"/>
        <v/>
      </c>
      <c r="P103" s="9" t="str">
        <f t="shared" si="33"/>
        <v/>
      </c>
      <c r="Q103" s="9" t="str">
        <f t="shared" si="33"/>
        <v/>
      </c>
      <c r="R103" s="9" t="str">
        <f t="shared" si="33"/>
        <v/>
      </c>
      <c r="S103" s="9" t="str">
        <f t="shared" si="33"/>
        <v/>
      </c>
      <c r="T103" s="9" t="str">
        <f t="shared" si="33"/>
        <v/>
      </c>
      <c r="U103" s="9" t="str">
        <f t="shared" si="33"/>
        <v/>
      </c>
      <c r="V103" s="9" t="str">
        <f t="shared" si="33"/>
        <v/>
      </c>
      <c r="W103" s="9" t="str">
        <f t="shared" si="33"/>
        <v/>
      </c>
      <c r="X103" s="9" t="str">
        <f t="shared" si="33"/>
        <v/>
      </c>
      <c r="Y103" s="9" t="str">
        <f t="shared" si="33"/>
        <v/>
      </c>
      <c r="Z103" s="9" t="str">
        <f t="shared" si="33"/>
        <v/>
      </c>
      <c r="AA103" s="9" t="str">
        <f t="shared" si="33"/>
        <v/>
      </c>
      <c r="AB103" s="9" t="str">
        <f t="shared" si="33"/>
        <v/>
      </c>
      <c r="AC103" s="9" t="str">
        <f t="shared" si="33"/>
        <v/>
      </c>
      <c r="AD103" s="9" t="str">
        <f t="shared" si="33"/>
        <v/>
      </c>
      <c r="AE103" s="9" t="str">
        <f t="shared" si="33"/>
        <v/>
      </c>
      <c r="AF103" s="9" t="str">
        <f t="shared" si="33"/>
        <v/>
      </c>
      <c r="AG103" s="9" t="str">
        <f t="shared" si="33"/>
        <v/>
      </c>
      <c r="AH103" s="9" t="str">
        <f t="shared" si="33"/>
        <v/>
      </c>
    </row>
    <row r="104" spans="2:34" x14ac:dyDescent="0.25">
      <c r="B104" s="628"/>
      <c r="C104" s="559"/>
      <c r="D104" s="9" t="str">
        <f t="shared" ref="D104:AH104" si="34">IF(D68="","",M3A*D68)</f>
        <v/>
      </c>
      <c r="E104" s="9" t="str">
        <f t="shared" si="34"/>
        <v/>
      </c>
      <c r="F104" s="9" t="str">
        <f t="shared" si="34"/>
        <v/>
      </c>
      <c r="G104" s="9" t="str">
        <f t="shared" si="34"/>
        <v/>
      </c>
      <c r="H104" s="9" t="str">
        <f t="shared" si="34"/>
        <v/>
      </c>
      <c r="I104" s="9" t="str">
        <f t="shared" si="34"/>
        <v/>
      </c>
      <c r="J104" s="9" t="str">
        <f t="shared" si="34"/>
        <v/>
      </c>
      <c r="K104" s="9" t="str">
        <f t="shared" si="34"/>
        <v/>
      </c>
      <c r="L104" s="9" t="str">
        <f t="shared" si="34"/>
        <v/>
      </c>
      <c r="M104" s="9" t="str">
        <f t="shared" si="34"/>
        <v/>
      </c>
      <c r="N104" s="9" t="str">
        <f t="shared" si="34"/>
        <v/>
      </c>
      <c r="O104" s="9" t="str">
        <f t="shared" si="34"/>
        <v/>
      </c>
      <c r="P104" s="9" t="str">
        <f t="shared" si="34"/>
        <v/>
      </c>
      <c r="Q104" s="9" t="str">
        <f t="shared" si="34"/>
        <v/>
      </c>
      <c r="R104" s="9" t="str">
        <f t="shared" si="34"/>
        <v/>
      </c>
      <c r="S104" s="9" t="str">
        <f t="shared" si="34"/>
        <v/>
      </c>
      <c r="T104" s="9" t="str">
        <f t="shared" si="34"/>
        <v/>
      </c>
      <c r="U104" s="9" t="str">
        <f t="shared" si="34"/>
        <v/>
      </c>
      <c r="V104" s="9" t="str">
        <f t="shared" si="34"/>
        <v/>
      </c>
      <c r="W104" s="9" t="str">
        <f t="shared" si="34"/>
        <v/>
      </c>
      <c r="X104" s="9" t="str">
        <f t="shared" si="34"/>
        <v/>
      </c>
      <c r="Y104" s="9" t="str">
        <f t="shared" si="34"/>
        <v/>
      </c>
      <c r="Z104" s="9" t="str">
        <f t="shared" si="34"/>
        <v/>
      </c>
      <c r="AA104" s="9" t="str">
        <f t="shared" si="34"/>
        <v/>
      </c>
      <c r="AB104" s="9" t="str">
        <f t="shared" si="34"/>
        <v/>
      </c>
      <c r="AC104" s="9" t="str">
        <f t="shared" si="34"/>
        <v/>
      </c>
      <c r="AD104" s="9" t="str">
        <f t="shared" si="34"/>
        <v/>
      </c>
      <c r="AE104" s="9" t="str">
        <f t="shared" si="34"/>
        <v/>
      </c>
      <c r="AF104" s="9" t="str">
        <f t="shared" si="34"/>
        <v/>
      </c>
      <c r="AG104" s="9" t="str">
        <f t="shared" si="34"/>
        <v/>
      </c>
      <c r="AH104" s="9" t="str">
        <f t="shared" si="34"/>
        <v/>
      </c>
    </row>
    <row r="105" spans="2:34" x14ac:dyDescent="0.25">
      <c r="B105" s="629"/>
      <c r="C105" s="561"/>
      <c r="D105" s="9" t="str">
        <f t="shared" ref="D105:AH105" si="35">IF(D69="","",M4A*D69)</f>
        <v/>
      </c>
      <c r="E105" s="9" t="str">
        <f t="shared" si="35"/>
        <v/>
      </c>
      <c r="F105" s="9" t="str">
        <f t="shared" si="35"/>
        <v/>
      </c>
      <c r="G105" s="9" t="str">
        <f t="shared" si="35"/>
        <v/>
      </c>
      <c r="H105" s="9" t="str">
        <f t="shared" si="35"/>
        <v/>
      </c>
      <c r="I105" s="9" t="str">
        <f t="shared" si="35"/>
        <v/>
      </c>
      <c r="J105" s="9" t="str">
        <f t="shared" si="35"/>
        <v/>
      </c>
      <c r="K105" s="9" t="str">
        <f t="shared" si="35"/>
        <v/>
      </c>
      <c r="L105" s="9" t="str">
        <f t="shared" si="35"/>
        <v/>
      </c>
      <c r="M105" s="9" t="str">
        <f t="shared" si="35"/>
        <v/>
      </c>
      <c r="N105" s="9" t="str">
        <f t="shared" si="35"/>
        <v/>
      </c>
      <c r="O105" s="9" t="str">
        <f t="shared" si="35"/>
        <v/>
      </c>
      <c r="P105" s="9" t="str">
        <f t="shared" si="35"/>
        <v/>
      </c>
      <c r="Q105" s="9" t="str">
        <f t="shared" si="35"/>
        <v/>
      </c>
      <c r="R105" s="9" t="str">
        <f t="shared" si="35"/>
        <v/>
      </c>
      <c r="S105" s="9" t="str">
        <f t="shared" si="35"/>
        <v/>
      </c>
      <c r="T105" s="9" t="str">
        <f t="shared" si="35"/>
        <v/>
      </c>
      <c r="U105" s="9" t="str">
        <f t="shared" si="35"/>
        <v/>
      </c>
      <c r="V105" s="9" t="str">
        <f t="shared" si="35"/>
        <v/>
      </c>
      <c r="W105" s="9" t="str">
        <f t="shared" si="35"/>
        <v/>
      </c>
      <c r="X105" s="9" t="str">
        <f t="shared" si="35"/>
        <v/>
      </c>
      <c r="Y105" s="9" t="str">
        <f t="shared" si="35"/>
        <v/>
      </c>
      <c r="Z105" s="9" t="str">
        <f t="shared" si="35"/>
        <v/>
      </c>
      <c r="AA105" s="9" t="str">
        <f t="shared" si="35"/>
        <v/>
      </c>
      <c r="AB105" s="9" t="str">
        <f t="shared" si="35"/>
        <v/>
      </c>
      <c r="AC105" s="9" t="str">
        <f t="shared" si="35"/>
        <v/>
      </c>
      <c r="AD105" s="9" t="str">
        <f t="shared" si="35"/>
        <v/>
      </c>
      <c r="AE105" s="9" t="str">
        <f t="shared" si="35"/>
        <v/>
      </c>
      <c r="AF105" s="9" t="str">
        <f t="shared" si="35"/>
        <v/>
      </c>
      <c r="AG105" s="9" t="str">
        <f t="shared" si="35"/>
        <v/>
      </c>
      <c r="AH105" s="9" t="str">
        <f t="shared" si="35"/>
        <v/>
      </c>
    </row>
    <row r="106" spans="2:34" x14ac:dyDescent="0.25">
      <c r="B106" s="660" t="s">
        <v>734</v>
      </c>
      <c r="C106" s="563"/>
      <c r="D106" s="336" t="str">
        <f t="shared" ref="D106:AH106" si="36">IF(D102="","",SUM(D102:D105))</f>
        <v/>
      </c>
      <c r="E106" s="336" t="str">
        <f t="shared" si="36"/>
        <v/>
      </c>
      <c r="F106" s="336" t="str">
        <f t="shared" si="36"/>
        <v/>
      </c>
      <c r="G106" s="336" t="str">
        <f t="shared" si="36"/>
        <v/>
      </c>
      <c r="H106" s="336" t="str">
        <f t="shared" si="36"/>
        <v/>
      </c>
      <c r="I106" s="336" t="str">
        <f t="shared" si="36"/>
        <v/>
      </c>
      <c r="J106" s="336" t="str">
        <f t="shared" si="36"/>
        <v/>
      </c>
      <c r="K106" s="336" t="str">
        <f t="shared" si="36"/>
        <v/>
      </c>
      <c r="L106" s="336" t="str">
        <f t="shared" si="36"/>
        <v/>
      </c>
      <c r="M106" s="336" t="str">
        <f t="shared" si="36"/>
        <v/>
      </c>
      <c r="N106" s="336" t="str">
        <f t="shared" si="36"/>
        <v/>
      </c>
      <c r="O106" s="336" t="str">
        <f t="shared" si="36"/>
        <v/>
      </c>
      <c r="P106" s="336" t="str">
        <f t="shared" si="36"/>
        <v/>
      </c>
      <c r="Q106" s="336" t="str">
        <f t="shared" si="36"/>
        <v/>
      </c>
      <c r="R106" s="336" t="str">
        <f t="shared" si="36"/>
        <v/>
      </c>
      <c r="S106" s="336" t="str">
        <f t="shared" si="36"/>
        <v/>
      </c>
      <c r="T106" s="336" t="str">
        <f t="shared" si="36"/>
        <v/>
      </c>
      <c r="U106" s="336" t="str">
        <f t="shared" si="36"/>
        <v/>
      </c>
      <c r="V106" s="336" t="str">
        <f t="shared" si="36"/>
        <v/>
      </c>
      <c r="W106" s="336" t="str">
        <f t="shared" si="36"/>
        <v/>
      </c>
      <c r="X106" s="336" t="str">
        <f t="shared" si="36"/>
        <v/>
      </c>
      <c r="Y106" s="336" t="str">
        <f t="shared" si="36"/>
        <v/>
      </c>
      <c r="Z106" s="336" t="str">
        <f t="shared" si="36"/>
        <v/>
      </c>
      <c r="AA106" s="336" t="str">
        <f t="shared" si="36"/>
        <v/>
      </c>
      <c r="AB106" s="336" t="str">
        <f t="shared" si="36"/>
        <v/>
      </c>
      <c r="AC106" s="336" t="str">
        <f t="shared" si="36"/>
        <v/>
      </c>
      <c r="AD106" s="336" t="str">
        <f t="shared" si="36"/>
        <v/>
      </c>
      <c r="AE106" s="336" t="str">
        <f t="shared" si="36"/>
        <v/>
      </c>
      <c r="AF106" s="336" t="str">
        <f t="shared" si="36"/>
        <v/>
      </c>
      <c r="AG106" s="336" t="str">
        <f t="shared" si="36"/>
        <v/>
      </c>
      <c r="AH106" s="336" t="str">
        <f t="shared" si="36"/>
        <v/>
      </c>
    </row>
    <row r="107" spans="2:34" x14ac:dyDescent="0.25">
      <c r="B107" s="229"/>
      <c r="C107" s="229"/>
    </row>
    <row r="108" spans="2:34" ht="15" customHeight="1" x14ac:dyDescent="0.25">
      <c r="B108" s="660" t="s">
        <v>737</v>
      </c>
      <c r="C108" s="558"/>
      <c r="D108" s="9" t="str">
        <f t="shared" ref="D108:AH108" si="37">IF(D72="","",M1A*D72)</f>
        <v/>
      </c>
      <c r="E108" s="9" t="str">
        <f t="shared" si="37"/>
        <v/>
      </c>
      <c r="F108" s="9" t="str">
        <f t="shared" si="37"/>
        <v/>
      </c>
      <c r="G108" s="9" t="str">
        <f t="shared" si="37"/>
        <v/>
      </c>
      <c r="H108" s="9" t="str">
        <f t="shared" si="37"/>
        <v/>
      </c>
      <c r="I108" s="9" t="str">
        <f t="shared" si="37"/>
        <v/>
      </c>
      <c r="J108" s="9" t="str">
        <f t="shared" si="37"/>
        <v/>
      </c>
      <c r="K108" s="9" t="str">
        <f t="shared" si="37"/>
        <v/>
      </c>
      <c r="L108" s="9" t="str">
        <f t="shared" si="37"/>
        <v/>
      </c>
      <c r="M108" s="9" t="str">
        <f t="shared" si="37"/>
        <v/>
      </c>
      <c r="N108" s="9" t="str">
        <f t="shared" si="37"/>
        <v/>
      </c>
      <c r="O108" s="9" t="str">
        <f t="shared" si="37"/>
        <v/>
      </c>
      <c r="P108" s="9" t="str">
        <f t="shared" si="37"/>
        <v/>
      </c>
      <c r="Q108" s="9" t="str">
        <f t="shared" si="37"/>
        <v/>
      </c>
      <c r="R108" s="9" t="str">
        <f t="shared" si="37"/>
        <v/>
      </c>
      <c r="S108" s="9" t="str">
        <f t="shared" si="37"/>
        <v/>
      </c>
      <c r="T108" s="9" t="str">
        <f t="shared" si="37"/>
        <v/>
      </c>
      <c r="U108" s="9" t="str">
        <f t="shared" si="37"/>
        <v/>
      </c>
      <c r="V108" s="9" t="str">
        <f t="shared" si="37"/>
        <v/>
      </c>
      <c r="W108" s="9" t="str">
        <f t="shared" si="37"/>
        <v/>
      </c>
      <c r="X108" s="9" t="str">
        <f t="shared" si="37"/>
        <v/>
      </c>
      <c r="Y108" s="9" t="str">
        <f t="shared" si="37"/>
        <v/>
      </c>
      <c r="Z108" s="9" t="str">
        <f t="shared" si="37"/>
        <v/>
      </c>
      <c r="AA108" s="9" t="str">
        <f t="shared" si="37"/>
        <v/>
      </c>
      <c r="AB108" s="9" t="str">
        <f t="shared" si="37"/>
        <v/>
      </c>
      <c r="AC108" s="9" t="str">
        <f t="shared" si="37"/>
        <v/>
      </c>
      <c r="AD108" s="9" t="str">
        <f t="shared" si="37"/>
        <v/>
      </c>
      <c r="AE108" s="9" t="str">
        <f t="shared" si="37"/>
        <v/>
      </c>
      <c r="AF108" s="9" t="str">
        <f t="shared" si="37"/>
        <v/>
      </c>
      <c r="AG108" s="9" t="str">
        <f t="shared" si="37"/>
        <v/>
      </c>
      <c r="AH108" s="9" t="str">
        <f t="shared" si="37"/>
        <v/>
      </c>
    </row>
    <row r="109" spans="2:34" x14ac:dyDescent="0.25">
      <c r="B109" s="628"/>
      <c r="C109" s="559"/>
      <c r="D109" s="9" t="str">
        <f t="shared" ref="D109:AH109" si="38">IF(D73="","",M2A*D73)</f>
        <v/>
      </c>
      <c r="E109" s="9" t="str">
        <f t="shared" si="38"/>
        <v/>
      </c>
      <c r="F109" s="9" t="str">
        <f t="shared" si="38"/>
        <v/>
      </c>
      <c r="G109" s="9" t="str">
        <f t="shared" si="38"/>
        <v/>
      </c>
      <c r="H109" s="9" t="str">
        <f t="shared" si="38"/>
        <v/>
      </c>
      <c r="I109" s="9" t="str">
        <f t="shared" si="38"/>
        <v/>
      </c>
      <c r="J109" s="9" t="str">
        <f t="shared" si="38"/>
        <v/>
      </c>
      <c r="K109" s="9" t="str">
        <f t="shared" si="38"/>
        <v/>
      </c>
      <c r="L109" s="9" t="str">
        <f t="shared" si="38"/>
        <v/>
      </c>
      <c r="M109" s="9" t="str">
        <f t="shared" si="38"/>
        <v/>
      </c>
      <c r="N109" s="9" t="str">
        <f t="shared" si="38"/>
        <v/>
      </c>
      <c r="O109" s="9" t="str">
        <f t="shared" si="38"/>
        <v/>
      </c>
      <c r="P109" s="9" t="str">
        <f t="shared" si="38"/>
        <v/>
      </c>
      <c r="Q109" s="9" t="str">
        <f t="shared" si="38"/>
        <v/>
      </c>
      <c r="R109" s="9" t="str">
        <f t="shared" si="38"/>
        <v/>
      </c>
      <c r="S109" s="9" t="str">
        <f t="shared" si="38"/>
        <v/>
      </c>
      <c r="T109" s="9" t="str">
        <f t="shared" si="38"/>
        <v/>
      </c>
      <c r="U109" s="9" t="str">
        <f t="shared" si="38"/>
        <v/>
      </c>
      <c r="V109" s="9" t="str">
        <f t="shared" si="38"/>
        <v/>
      </c>
      <c r="W109" s="9" t="str">
        <f t="shared" si="38"/>
        <v/>
      </c>
      <c r="X109" s="9" t="str">
        <f t="shared" si="38"/>
        <v/>
      </c>
      <c r="Y109" s="9" t="str">
        <f t="shared" si="38"/>
        <v/>
      </c>
      <c r="Z109" s="9" t="str">
        <f t="shared" si="38"/>
        <v/>
      </c>
      <c r="AA109" s="9" t="str">
        <f t="shared" si="38"/>
        <v/>
      </c>
      <c r="AB109" s="9" t="str">
        <f t="shared" si="38"/>
        <v/>
      </c>
      <c r="AC109" s="9" t="str">
        <f t="shared" si="38"/>
        <v/>
      </c>
      <c r="AD109" s="9" t="str">
        <f t="shared" si="38"/>
        <v/>
      </c>
      <c r="AE109" s="9" t="str">
        <f t="shared" si="38"/>
        <v/>
      </c>
      <c r="AF109" s="9" t="str">
        <f t="shared" si="38"/>
        <v/>
      </c>
      <c r="AG109" s="9" t="str">
        <f t="shared" si="38"/>
        <v/>
      </c>
      <c r="AH109" s="9" t="str">
        <f t="shared" si="38"/>
        <v/>
      </c>
    </row>
    <row r="110" spans="2:34" x14ac:dyDescent="0.25">
      <c r="B110" s="628"/>
      <c r="C110" s="559"/>
      <c r="D110" s="9" t="str">
        <f t="shared" ref="D110:AH110" si="39">IF(D74="","",M3A*D74)</f>
        <v/>
      </c>
      <c r="E110" s="9" t="str">
        <f t="shared" si="39"/>
        <v/>
      </c>
      <c r="F110" s="9" t="str">
        <f t="shared" si="39"/>
        <v/>
      </c>
      <c r="G110" s="9" t="str">
        <f t="shared" si="39"/>
        <v/>
      </c>
      <c r="H110" s="9" t="str">
        <f t="shared" si="39"/>
        <v/>
      </c>
      <c r="I110" s="9" t="str">
        <f t="shared" si="39"/>
        <v/>
      </c>
      <c r="J110" s="9" t="str">
        <f t="shared" si="39"/>
        <v/>
      </c>
      <c r="K110" s="9" t="str">
        <f t="shared" si="39"/>
        <v/>
      </c>
      <c r="L110" s="9" t="str">
        <f t="shared" si="39"/>
        <v/>
      </c>
      <c r="M110" s="9" t="str">
        <f t="shared" si="39"/>
        <v/>
      </c>
      <c r="N110" s="9" t="str">
        <f t="shared" si="39"/>
        <v/>
      </c>
      <c r="O110" s="9" t="str">
        <f t="shared" si="39"/>
        <v/>
      </c>
      <c r="P110" s="9" t="str">
        <f t="shared" si="39"/>
        <v/>
      </c>
      <c r="Q110" s="9" t="str">
        <f t="shared" si="39"/>
        <v/>
      </c>
      <c r="R110" s="9" t="str">
        <f t="shared" si="39"/>
        <v/>
      </c>
      <c r="S110" s="9" t="str">
        <f t="shared" si="39"/>
        <v/>
      </c>
      <c r="T110" s="9" t="str">
        <f t="shared" si="39"/>
        <v/>
      </c>
      <c r="U110" s="9" t="str">
        <f t="shared" si="39"/>
        <v/>
      </c>
      <c r="V110" s="9" t="str">
        <f t="shared" si="39"/>
        <v/>
      </c>
      <c r="W110" s="9" t="str">
        <f t="shared" si="39"/>
        <v/>
      </c>
      <c r="X110" s="9" t="str">
        <f t="shared" si="39"/>
        <v/>
      </c>
      <c r="Y110" s="9" t="str">
        <f t="shared" si="39"/>
        <v/>
      </c>
      <c r="Z110" s="9" t="str">
        <f t="shared" si="39"/>
        <v/>
      </c>
      <c r="AA110" s="9" t="str">
        <f t="shared" si="39"/>
        <v/>
      </c>
      <c r="AB110" s="9" t="str">
        <f t="shared" si="39"/>
        <v/>
      </c>
      <c r="AC110" s="9" t="str">
        <f t="shared" si="39"/>
        <v/>
      </c>
      <c r="AD110" s="9" t="str">
        <f t="shared" si="39"/>
        <v/>
      </c>
      <c r="AE110" s="9" t="str">
        <f t="shared" si="39"/>
        <v/>
      </c>
      <c r="AF110" s="9" t="str">
        <f t="shared" si="39"/>
        <v/>
      </c>
      <c r="AG110" s="9" t="str">
        <f t="shared" si="39"/>
        <v/>
      </c>
      <c r="AH110" s="9" t="str">
        <f t="shared" si="39"/>
        <v/>
      </c>
    </row>
    <row r="111" spans="2:34" x14ac:dyDescent="0.25">
      <c r="B111" s="629"/>
      <c r="C111" s="561"/>
      <c r="D111" s="9" t="str">
        <f t="shared" ref="D111:AH111" si="40">IF(D75="","",M4A*D75)</f>
        <v/>
      </c>
      <c r="E111" s="9" t="str">
        <f t="shared" si="40"/>
        <v/>
      </c>
      <c r="F111" s="9" t="str">
        <f t="shared" si="40"/>
        <v/>
      </c>
      <c r="G111" s="9" t="str">
        <f t="shared" si="40"/>
        <v/>
      </c>
      <c r="H111" s="9" t="str">
        <f t="shared" si="40"/>
        <v/>
      </c>
      <c r="I111" s="9" t="str">
        <f t="shared" si="40"/>
        <v/>
      </c>
      <c r="J111" s="9" t="str">
        <f t="shared" si="40"/>
        <v/>
      </c>
      <c r="K111" s="9" t="str">
        <f t="shared" si="40"/>
        <v/>
      </c>
      <c r="L111" s="9" t="str">
        <f t="shared" si="40"/>
        <v/>
      </c>
      <c r="M111" s="9" t="str">
        <f t="shared" si="40"/>
        <v/>
      </c>
      <c r="N111" s="9" t="str">
        <f t="shared" si="40"/>
        <v/>
      </c>
      <c r="O111" s="9" t="str">
        <f t="shared" si="40"/>
        <v/>
      </c>
      <c r="P111" s="9" t="str">
        <f t="shared" si="40"/>
        <v/>
      </c>
      <c r="Q111" s="9" t="str">
        <f t="shared" si="40"/>
        <v/>
      </c>
      <c r="R111" s="9" t="str">
        <f t="shared" si="40"/>
        <v/>
      </c>
      <c r="S111" s="9" t="str">
        <f t="shared" si="40"/>
        <v/>
      </c>
      <c r="T111" s="9" t="str">
        <f t="shared" si="40"/>
        <v/>
      </c>
      <c r="U111" s="9" t="str">
        <f t="shared" si="40"/>
        <v/>
      </c>
      <c r="V111" s="9" t="str">
        <f t="shared" si="40"/>
        <v/>
      </c>
      <c r="W111" s="9" t="str">
        <f t="shared" si="40"/>
        <v/>
      </c>
      <c r="X111" s="9" t="str">
        <f t="shared" si="40"/>
        <v/>
      </c>
      <c r="Y111" s="9" t="str">
        <f t="shared" si="40"/>
        <v/>
      </c>
      <c r="Z111" s="9" t="str">
        <f t="shared" si="40"/>
        <v/>
      </c>
      <c r="AA111" s="9" t="str">
        <f t="shared" si="40"/>
        <v/>
      </c>
      <c r="AB111" s="9" t="str">
        <f t="shared" si="40"/>
        <v/>
      </c>
      <c r="AC111" s="9" t="str">
        <f t="shared" si="40"/>
        <v/>
      </c>
      <c r="AD111" s="9" t="str">
        <f t="shared" si="40"/>
        <v/>
      </c>
      <c r="AE111" s="9" t="str">
        <f t="shared" si="40"/>
        <v/>
      </c>
      <c r="AF111" s="9" t="str">
        <f t="shared" si="40"/>
        <v/>
      </c>
      <c r="AG111" s="9" t="str">
        <f t="shared" si="40"/>
        <v/>
      </c>
      <c r="AH111" s="9" t="str">
        <f t="shared" si="40"/>
        <v/>
      </c>
    </row>
    <row r="112" spans="2:34" x14ac:dyDescent="0.25">
      <c r="B112" s="562" t="s">
        <v>734</v>
      </c>
      <c r="C112" s="563"/>
      <c r="D112" s="336" t="str">
        <f t="shared" ref="D112:AH112" si="41">IF(D108="","",SUM(D108:D111))</f>
        <v/>
      </c>
      <c r="E112" s="336" t="str">
        <f t="shared" si="41"/>
        <v/>
      </c>
      <c r="F112" s="336" t="str">
        <f t="shared" si="41"/>
        <v/>
      </c>
      <c r="G112" s="336" t="str">
        <f t="shared" si="41"/>
        <v/>
      </c>
      <c r="H112" s="336" t="str">
        <f t="shared" si="41"/>
        <v/>
      </c>
      <c r="I112" s="336" t="str">
        <f t="shared" si="41"/>
        <v/>
      </c>
      <c r="J112" s="336" t="str">
        <f t="shared" si="41"/>
        <v/>
      </c>
      <c r="K112" s="336" t="str">
        <f t="shared" si="41"/>
        <v/>
      </c>
      <c r="L112" s="336" t="str">
        <f t="shared" si="41"/>
        <v/>
      </c>
      <c r="M112" s="336" t="str">
        <f t="shared" si="41"/>
        <v/>
      </c>
      <c r="N112" s="336" t="str">
        <f t="shared" si="41"/>
        <v/>
      </c>
      <c r="O112" s="336" t="str">
        <f t="shared" si="41"/>
        <v/>
      </c>
      <c r="P112" s="336" t="str">
        <f t="shared" si="41"/>
        <v/>
      </c>
      <c r="Q112" s="336" t="str">
        <f t="shared" si="41"/>
        <v/>
      </c>
      <c r="R112" s="336" t="str">
        <f t="shared" si="41"/>
        <v/>
      </c>
      <c r="S112" s="336" t="str">
        <f t="shared" si="41"/>
        <v/>
      </c>
      <c r="T112" s="336" t="str">
        <f t="shared" si="41"/>
        <v/>
      </c>
      <c r="U112" s="336" t="str">
        <f t="shared" si="41"/>
        <v/>
      </c>
      <c r="V112" s="336" t="str">
        <f t="shared" si="41"/>
        <v/>
      </c>
      <c r="W112" s="336" t="str">
        <f t="shared" si="41"/>
        <v/>
      </c>
      <c r="X112" s="336" t="str">
        <f t="shared" si="41"/>
        <v/>
      </c>
      <c r="Y112" s="336" t="str">
        <f t="shared" si="41"/>
        <v/>
      </c>
      <c r="Z112" s="336" t="str">
        <f t="shared" si="41"/>
        <v/>
      </c>
      <c r="AA112" s="336" t="str">
        <f t="shared" si="41"/>
        <v/>
      </c>
      <c r="AB112" s="336" t="str">
        <f t="shared" si="41"/>
        <v/>
      </c>
      <c r="AC112" s="336" t="str">
        <f t="shared" si="41"/>
        <v/>
      </c>
      <c r="AD112" s="336" t="str">
        <f t="shared" si="41"/>
        <v/>
      </c>
      <c r="AE112" s="336" t="str">
        <f t="shared" si="41"/>
        <v/>
      </c>
      <c r="AF112" s="336" t="str">
        <f t="shared" si="41"/>
        <v/>
      </c>
      <c r="AG112" s="336" t="str">
        <f t="shared" si="41"/>
        <v/>
      </c>
      <c r="AH112" s="336" t="str">
        <f t="shared" si="41"/>
        <v/>
      </c>
    </row>
    <row r="114" spans="1:44" x14ac:dyDescent="0.25">
      <c r="A114" s="307"/>
      <c r="B114" s="307"/>
      <c r="C114" s="307"/>
      <c r="D114" s="307"/>
      <c r="E114" s="307"/>
      <c r="F114" s="307"/>
      <c r="G114" s="307"/>
      <c r="H114" s="307"/>
      <c r="I114" s="307"/>
      <c r="J114" s="307"/>
      <c r="K114" s="307"/>
      <c r="L114" s="307"/>
      <c r="M114" s="307"/>
      <c r="N114" s="307"/>
      <c r="O114" s="307"/>
      <c r="P114" s="307"/>
      <c r="Q114" s="307"/>
      <c r="R114" s="307"/>
      <c r="S114" s="307"/>
      <c r="T114" s="307"/>
      <c r="U114" s="307"/>
      <c r="V114" s="307"/>
      <c r="W114" s="307"/>
      <c r="X114" s="307"/>
      <c r="Y114" s="307"/>
      <c r="Z114" s="307"/>
      <c r="AA114" s="307"/>
      <c r="AB114" s="307"/>
      <c r="AC114" s="307"/>
      <c r="AD114" s="307"/>
      <c r="AE114" s="307"/>
      <c r="AF114" s="307"/>
      <c r="AG114" s="307"/>
      <c r="AH114" s="307"/>
      <c r="AI114" s="307"/>
      <c r="AJ114" s="307"/>
      <c r="AK114" s="307"/>
      <c r="AL114" s="307"/>
      <c r="AM114" s="307"/>
      <c r="AN114" s="307"/>
      <c r="AO114" s="307"/>
      <c r="AP114" s="307"/>
      <c r="AQ114" s="307"/>
      <c r="AR114" s="307"/>
    </row>
    <row r="115" spans="1:44" x14ac:dyDescent="0.25">
      <c r="D115" t="e">
        <f t="shared" ref="D115:AQ115" si="42">D21</f>
        <v>#VALUE!</v>
      </c>
      <c r="E115" t="e">
        <f t="shared" si="42"/>
        <v>#VALUE!</v>
      </c>
      <c r="F115" t="e">
        <f t="shared" si="42"/>
        <v>#VALUE!</v>
      </c>
      <c r="G115" t="e">
        <f t="shared" si="42"/>
        <v>#VALUE!</v>
      </c>
      <c r="H115" t="e">
        <f t="shared" si="42"/>
        <v>#VALUE!</v>
      </c>
      <c r="I115" t="e">
        <f t="shared" si="42"/>
        <v>#VALUE!</v>
      </c>
      <c r="J115" t="e">
        <f t="shared" si="42"/>
        <v>#VALUE!</v>
      </c>
      <c r="K115" t="e">
        <f t="shared" si="42"/>
        <v>#VALUE!</v>
      </c>
      <c r="L115" t="e">
        <f t="shared" si="42"/>
        <v>#VALUE!</v>
      </c>
      <c r="M115" t="e">
        <f t="shared" si="42"/>
        <v>#VALUE!</v>
      </c>
      <c r="N115" t="e">
        <f t="shared" si="42"/>
        <v>#VALUE!</v>
      </c>
      <c r="O115" t="e">
        <f t="shared" si="42"/>
        <v>#VALUE!</v>
      </c>
      <c r="P115" t="e">
        <f t="shared" si="42"/>
        <v>#VALUE!</v>
      </c>
      <c r="Q115" t="e">
        <f t="shared" si="42"/>
        <v>#VALUE!</v>
      </c>
      <c r="R115" t="e">
        <f t="shared" si="42"/>
        <v>#VALUE!</v>
      </c>
      <c r="S115" t="e">
        <f t="shared" si="42"/>
        <v>#VALUE!</v>
      </c>
      <c r="T115" t="e">
        <f t="shared" si="42"/>
        <v>#VALUE!</v>
      </c>
      <c r="U115" t="e">
        <f t="shared" si="42"/>
        <v>#VALUE!</v>
      </c>
      <c r="V115" t="e">
        <f t="shared" si="42"/>
        <v>#VALUE!</v>
      </c>
      <c r="W115" t="e">
        <f t="shared" si="42"/>
        <v>#VALUE!</v>
      </c>
      <c r="X115" t="e">
        <f t="shared" si="42"/>
        <v>#VALUE!</v>
      </c>
      <c r="Y115" t="e">
        <f t="shared" si="42"/>
        <v>#VALUE!</v>
      </c>
      <c r="Z115" t="e">
        <f t="shared" si="42"/>
        <v>#VALUE!</v>
      </c>
      <c r="AA115" t="e">
        <f t="shared" si="42"/>
        <v>#VALUE!</v>
      </c>
      <c r="AB115" t="e">
        <f t="shared" si="42"/>
        <v>#VALUE!</v>
      </c>
      <c r="AC115" t="e">
        <f t="shared" si="42"/>
        <v>#VALUE!</v>
      </c>
      <c r="AD115" t="e">
        <f t="shared" si="42"/>
        <v>#VALUE!</v>
      </c>
      <c r="AE115" t="e">
        <f t="shared" si="42"/>
        <v>#VALUE!</v>
      </c>
      <c r="AF115" t="e">
        <f t="shared" si="42"/>
        <v>#VALUE!</v>
      </c>
      <c r="AG115" t="e">
        <f t="shared" si="42"/>
        <v>#VALUE!</v>
      </c>
      <c r="AH115" t="e">
        <f t="shared" si="42"/>
        <v>#VALUE!</v>
      </c>
      <c r="AI115" t="e">
        <f t="shared" si="42"/>
        <v>#VALUE!</v>
      </c>
      <c r="AJ115" t="e">
        <f t="shared" si="42"/>
        <v>#VALUE!</v>
      </c>
      <c r="AK115" t="e">
        <f t="shared" si="42"/>
        <v>#VALUE!</v>
      </c>
      <c r="AL115" t="e">
        <f t="shared" si="42"/>
        <v>#VALUE!</v>
      </c>
      <c r="AM115" t="e">
        <f t="shared" si="42"/>
        <v>#VALUE!</v>
      </c>
      <c r="AN115" t="e">
        <f t="shared" si="42"/>
        <v>#VALUE!</v>
      </c>
      <c r="AO115" t="e">
        <f t="shared" si="42"/>
        <v>#VALUE!</v>
      </c>
      <c r="AP115" t="e">
        <f t="shared" si="42"/>
        <v>#VALUE!</v>
      </c>
      <c r="AQ115" t="e">
        <f t="shared" si="42"/>
        <v>#VALUE!</v>
      </c>
    </row>
    <row r="116" spans="1:44" x14ac:dyDescent="0.25">
      <c r="B116" s="663" t="s">
        <v>738</v>
      </c>
      <c r="C116" s="572"/>
      <c r="D116" s="9" t="str">
        <f>'GCN_Post 1.0'!I487</f>
        <v/>
      </c>
      <c r="E116" s="9" t="str">
        <f>IFERROR(IF('GCN_Post 1.0'!J487="",HLOOKUP((TotS)-E115+1, 'GCN_Post 1.0'!$E$464:$X$506,24,TRUE), 'GCN_Post 1.0'!J487),"")</f>
        <v/>
      </c>
      <c r="F116" s="9" t="str">
        <f>IFERROR(IF('GCN_Post 1.0'!K487="",HLOOKUP((TotS)-F115+1, 'GCN_Post 1.0'!$E$464:$X$506,24,TRUE), 'GCN_Post 1.0'!K487),"")</f>
        <v/>
      </c>
      <c r="G116" s="9" t="str">
        <f>IFERROR(IF('GCN_Post 1.0'!L487="",HLOOKUP((TotS)-G115+1, 'GCN_Post 1.0'!$E$464:$X$506,24,TRUE), 'GCN_Post 1.0'!L487),"")</f>
        <v/>
      </c>
      <c r="H116" s="9" t="str">
        <f>IFERROR(IF('GCN_Post 1.0'!M487="",HLOOKUP((TotS)-H115+1, 'GCN_Post 1.0'!$E$464:$X$506,24,TRUE), 'GCN_Post 1.0'!M487),"")</f>
        <v/>
      </c>
      <c r="I116" s="9" t="str">
        <f>IFERROR(IF('GCN_Post 1.0'!N487="",HLOOKUP((TotS)-I115+1, 'GCN_Post 1.0'!$E$464:$X$506,24,TRUE), 'GCN_Post 1.0'!N487),"")</f>
        <v/>
      </c>
      <c r="J116" s="9" t="str">
        <f>IFERROR(IF('GCN_Post 1.0'!O487="",HLOOKUP((TotS)-J115+1, 'GCN_Post 1.0'!$E$464:$X$506,24,TRUE), 'GCN_Post 1.0'!O487),"")</f>
        <v/>
      </c>
      <c r="K116" s="9" t="str">
        <f>IFERROR(IF('GCN_Post 1.0'!P487="",HLOOKUP((TotS)-K115+1, 'GCN_Post 1.0'!$E$464:$X$506,24,TRUE), 'GCN_Post 1.0'!P487),"")</f>
        <v/>
      </c>
      <c r="L116" s="9" t="str">
        <f>IFERROR(IF('GCN_Post 1.0'!Q487="",HLOOKUP((TotS)-L115+1, 'GCN_Post 1.0'!$E$464:$X$506,24,TRUE), 'GCN_Post 1.0'!Q487),"")</f>
        <v/>
      </c>
      <c r="M116" s="9" t="str">
        <f>IFERROR(IF('GCN_Post 1.0'!R487="",HLOOKUP((TotS)-M115+1, 'GCN_Post 1.0'!$E$464:$X$506,24,TRUE), 'GCN_Post 1.0'!R487),"")</f>
        <v/>
      </c>
      <c r="N116" s="9" t="str">
        <f>IFERROR(IF('GCN_Post 1.0'!S487="",HLOOKUP((TotS)-N115+1, 'GCN_Post 1.0'!$E$464:$X$506,24,TRUE), 'GCN_Post 1.0'!S487),"")</f>
        <v/>
      </c>
      <c r="O116" s="9" t="str">
        <f>IFERROR(IF('GCN_Post 1.0'!T487="",HLOOKUP((TotS)-O115+1, 'GCN_Post 1.0'!$E$464:$X$506,24,TRUE), 'GCN_Post 1.0'!T487),"")</f>
        <v/>
      </c>
      <c r="P116" s="9" t="str">
        <f>IFERROR(IF('GCN_Post 1.0'!U487="",HLOOKUP((TotS)-P115+1, 'GCN_Post 1.0'!$E$464:$X$506,24,TRUE), 'GCN_Post 1.0'!U487),"")</f>
        <v/>
      </c>
      <c r="Q116" s="9" t="str">
        <f>IFERROR(IF('GCN_Post 1.0'!V487="",HLOOKUP((TotS)-Q115+1, 'GCN_Post 1.0'!$E$464:$X$506,24,TRUE), 'GCN_Post 1.0'!V487),"")</f>
        <v/>
      </c>
      <c r="R116" s="9" t="str">
        <f>IFERROR(IF('GCN_Post 1.0'!W487="",HLOOKUP((TotS)-R115+1, 'GCN_Post 1.0'!$E$464:$X$506,24,TRUE), 'GCN_Post 1.0'!W487),"")</f>
        <v/>
      </c>
      <c r="S116" s="9" t="str">
        <f>IFERROR(IF('GCN_Post 1.0'!X487="",HLOOKUP((TotS)-S115+1, 'GCN_Post 1.0'!$E$464:$X$506,24,TRUE), 'GCN_Post 1.0'!X487),"")</f>
        <v/>
      </c>
      <c r="T116" s="9" t="str">
        <f>IFERROR(IF('GCN_Post 1.0'!Y487="",HLOOKUP((TotS)-T115+1, 'GCN_Post 1.0'!$E$464:$X$506,24,TRUE), 'GCN_Post 1.0'!Y487),"")</f>
        <v/>
      </c>
      <c r="U116" s="9" t="str">
        <f>IFERROR(IF('GCN_Post 1.0'!Z487="",HLOOKUP((TotS)-U115+1, 'GCN_Post 1.0'!$E$464:$X$506,24,TRUE), 'GCN_Post 1.0'!Z487),"")</f>
        <v/>
      </c>
      <c r="V116" s="9" t="str">
        <f>IFERROR(IF('GCN_Post 1.0'!AA487="",HLOOKUP((TotS)-V115+1, 'GCN_Post 1.0'!$E$464:$X$506,24,TRUE), 'GCN_Post 1.0'!AA487),"")</f>
        <v/>
      </c>
      <c r="W116" s="9" t="str">
        <f>IFERROR(IF('GCN_Post 1.0'!AB487="",HLOOKUP((TotS)-W115+1, 'GCN_Post 1.0'!$E$464:$X$506,24,TRUE), 'GCN_Post 1.0'!AB487),"")</f>
        <v/>
      </c>
      <c r="X116" s="9" t="str">
        <f>IFERROR(IF('GCN_Post 1.0'!AC487="",HLOOKUP((TotS)-X115+1, 'GCN_Post 1.0'!$E$464:$X$506,24,TRUE), 'GCN_Post 1.0'!AC487),"")</f>
        <v/>
      </c>
      <c r="Y116" s="9" t="str">
        <f>IFERROR(IF('GCN_Post 1.0'!AD487="",HLOOKUP((TotS)-Y115+1, 'GCN_Post 1.0'!$E$464:$X$506,24,TRUE), 'GCN_Post 1.0'!AD487),"")</f>
        <v/>
      </c>
      <c r="Z116" s="9" t="str">
        <f>IFERROR(IF('GCN_Post 1.0'!AE487="",HLOOKUP((TotS)-Z115+1, 'GCN_Post 1.0'!$E$464:$X$506,24,TRUE), 'GCN_Post 1.0'!AE487),"")</f>
        <v/>
      </c>
      <c r="AA116" s="9" t="str">
        <f>IFERROR(IF('GCN_Post 1.0'!AF487="",HLOOKUP((TotS)-AA115+1, 'GCN_Post 1.0'!$E$464:$X$506,24,TRUE), 'GCN_Post 1.0'!AF487),"")</f>
        <v/>
      </c>
      <c r="AB116" s="9" t="str">
        <f>IFERROR(IF('GCN_Post 1.0'!AG487="",HLOOKUP((TotS)-AB115+1, 'GCN_Post 1.0'!$E$464:$X$506,24,TRUE), 'GCN_Post 1.0'!AG487),"")</f>
        <v/>
      </c>
      <c r="AC116" s="9" t="str">
        <f>IFERROR(IF('GCN_Post 1.0'!AH487="",HLOOKUP((TotS)-AC115+1, 'GCN_Post 1.0'!$E$464:$X$506,24,TRUE), 'GCN_Post 1.0'!AH487),"")</f>
        <v/>
      </c>
      <c r="AD116" s="9" t="str">
        <f>IFERROR(IF('GCN_Post 1.0'!AI487="",HLOOKUP((TotS)-AD115+1, 'GCN_Post 1.0'!$E$464:$X$506,24,TRUE), 'GCN_Post 1.0'!AI487),"")</f>
        <v/>
      </c>
      <c r="AE116" s="9" t="str">
        <f>IFERROR(IF('GCN_Post 1.0'!AJ487="",HLOOKUP((TotS)-AE115+1, 'GCN_Post 1.0'!$E$464:$X$506,24,TRUE), 'GCN_Post 1.0'!AJ487),"")</f>
        <v/>
      </c>
      <c r="AF116" s="9" t="str">
        <f>IFERROR(IF('GCN_Post 1.0'!AK487="",HLOOKUP((TotS)-AF115+1, 'GCN_Post 1.0'!$E$464:$X$506,24,TRUE), 'GCN_Post 1.0'!AK487),"")</f>
        <v/>
      </c>
      <c r="AG116" s="9" t="str">
        <f>IFERROR(IF('GCN_Post 1.0'!AL487="",HLOOKUP((TotS)-AG115+1, 'GCN_Post 1.0'!$E$464:$X$506,24,TRUE), 'GCN_Post 1.0'!AL487),"")</f>
        <v/>
      </c>
      <c r="AH116" s="9" t="str">
        <f>IFERROR(IF('GCN_Post 1.0'!AM487="",HLOOKUP((TotS)-AH115+1, 'GCN_Post 1.0'!$E$464:$X$506,24,TRUE), 'GCN_Post 1.0'!AM487),"")</f>
        <v/>
      </c>
      <c r="AI116" s="9" t="str">
        <f>IFERROR(IF('GCN_Post 1.0'!AN487="",HLOOKUP((TotS)-AI115+1, 'GCN_Post 1.0'!$E$464:$X$506,24,TRUE), 'GCN_Post 1.0'!AN487),"")</f>
        <v/>
      </c>
      <c r="AJ116" s="9" t="str">
        <f>IFERROR(IF('GCN_Post 1.0'!AO487="",HLOOKUP((TotS)-AJ115+1, 'GCN_Post 1.0'!$E$464:$X$506,24,TRUE), 'GCN_Post 1.0'!AO487),"")</f>
        <v/>
      </c>
      <c r="AK116" s="9" t="str">
        <f>IFERROR(IF('GCN_Post 1.0'!AP487="",HLOOKUP((TotS)-AK115+1, 'GCN_Post 1.0'!$E$464:$X$506,24,TRUE), 'GCN_Post 1.0'!AP487),"")</f>
        <v/>
      </c>
      <c r="AL116" s="9" t="str">
        <f>IFERROR(IF('GCN_Post 1.0'!AQ487="",HLOOKUP((TotS)-AL115+1, 'GCN_Post 1.0'!$E$464:$X$506,24,TRUE), 'GCN_Post 1.0'!AQ487),"")</f>
        <v/>
      </c>
      <c r="AM116" s="9" t="str">
        <f>IFERROR(IF('GCN_Post 1.0'!AR487="",HLOOKUP((TotS)-AM115+1, 'GCN_Post 1.0'!$E$464:$X$506,24,TRUE), 'GCN_Post 1.0'!AR487),"")</f>
        <v/>
      </c>
      <c r="AN116" s="9" t="str">
        <f>IFERROR(IF('GCN_Post 1.0'!AS487="",HLOOKUP((TotS)-AN115+1, 'GCN_Post 1.0'!$E$464:$X$506,24,TRUE), 'GCN_Post 1.0'!AS487),"")</f>
        <v/>
      </c>
      <c r="AO116" s="9" t="str">
        <f>IFERROR(IF('GCN_Post 1.0'!AT487="",HLOOKUP((TotS)-AO115+1, 'GCN_Post 1.0'!$E$464:$X$506,24,TRUE), 'GCN_Post 1.0'!AT487),"")</f>
        <v/>
      </c>
      <c r="AP116" s="9" t="str">
        <f>IFERROR(IF('GCN_Post 1.0'!AU487="",HLOOKUP((TotS)-AP115+1, 'GCN_Post 1.0'!$E$464:$X$506,24,TRUE), 'GCN_Post 1.0'!AU487),"")</f>
        <v/>
      </c>
      <c r="AQ116" s="9" t="str">
        <f>IFERROR(IF('GCN_Post 1.0'!AV487="",HLOOKUP((TotS)-AQ115+1, 'GCN_Post 1.0'!$E$464:$X$506,24,TRUE), 'GCN_Post 1.0'!AV487),"")</f>
        <v/>
      </c>
    </row>
    <row r="117" spans="1:44" x14ac:dyDescent="0.25">
      <c r="B117" s="555"/>
      <c r="C117" s="565"/>
      <c r="D117" s="9" t="str">
        <f>'GCN_Post 1.0'!I488</f>
        <v/>
      </c>
      <c r="E117" s="9" t="str">
        <f>IFERROR(IF('GCN_Post 1.0'!J488="",HLOOKUP((TotS)-E115+1, 'GCN_Post 1.0'!$E$464:$X$506,25,TRUE), 'GCN_Post 1.0'!J488),"")</f>
        <v/>
      </c>
      <c r="F117" s="9" t="str">
        <f>IFERROR(IF('GCN_Post 1.0'!K488="",HLOOKUP((TotS)-F115+1, 'GCN_Post 1.0'!$E$464:$X$506,25,TRUE), 'GCN_Post 1.0'!K488),"")</f>
        <v/>
      </c>
      <c r="G117" s="9" t="str">
        <f>IFERROR(IF('GCN_Post 1.0'!L488="",HLOOKUP((TotS)-G115+1, 'GCN_Post 1.0'!$E$464:$X$506,25,TRUE), 'GCN_Post 1.0'!L488),"")</f>
        <v/>
      </c>
      <c r="H117" s="9" t="str">
        <f>IFERROR(IF('GCN_Post 1.0'!M488="",HLOOKUP((TotS)-H115+1, 'GCN_Post 1.0'!$E$464:$X$506,25,TRUE), 'GCN_Post 1.0'!M488),"")</f>
        <v/>
      </c>
      <c r="I117" s="9" t="str">
        <f>IFERROR(IF('GCN_Post 1.0'!N488="",HLOOKUP((TotS)-I115+1, 'GCN_Post 1.0'!$E$464:$X$506,25,TRUE), 'GCN_Post 1.0'!N488),"")</f>
        <v/>
      </c>
      <c r="J117" s="9" t="str">
        <f>IFERROR(IF('GCN_Post 1.0'!O488="",HLOOKUP((TotS)-J115+1, 'GCN_Post 1.0'!$E$464:$X$506,25,TRUE), 'GCN_Post 1.0'!O488),"")</f>
        <v/>
      </c>
      <c r="K117" s="9" t="str">
        <f>IFERROR(IF('GCN_Post 1.0'!P488="",HLOOKUP((TotS)-K115+1, 'GCN_Post 1.0'!$E$464:$X$506,25,TRUE), 'GCN_Post 1.0'!P488),"")</f>
        <v/>
      </c>
      <c r="L117" s="9" t="str">
        <f>IFERROR(IF('GCN_Post 1.0'!Q488="",HLOOKUP((TotS)-L115+1, 'GCN_Post 1.0'!$E$464:$X$506,25,TRUE), 'GCN_Post 1.0'!Q488),"")</f>
        <v/>
      </c>
      <c r="M117" s="9" t="str">
        <f>IFERROR(IF('GCN_Post 1.0'!R488="",HLOOKUP((TotS)-M115+1, 'GCN_Post 1.0'!$E$464:$X$506,25,TRUE), 'GCN_Post 1.0'!R488),"")</f>
        <v/>
      </c>
      <c r="N117" s="9" t="str">
        <f>IFERROR(IF('GCN_Post 1.0'!S488="",HLOOKUP((TotS)-N115+1, 'GCN_Post 1.0'!$E$464:$X$506,25,TRUE), 'GCN_Post 1.0'!S488),"")</f>
        <v/>
      </c>
      <c r="O117" s="9" t="str">
        <f>IFERROR(IF('GCN_Post 1.0'!T488="",HLOOKUP((TotS)-O115+1, 'GCN_Post 1.0'!$E$464:$X$506,25,TRUE), 'GCN_Post 1.0'!T488),"")</f>
        <v/>
      </c>
      <c r="P117" s="9" t="str">
        <f>IFERROR(IF('GCN_Post 1.0'!U488="",HLOOKUP((TotS)-P115+1, 'GCN_Post 1.0'!$E$464:$X$506,25,TRUE), 'GCN_Post 1.0'!U488),"")</f>
        <v/>
      </c>
      <c r="Q117" s="9" t="str">
        <f>IFERROR(IF('GCN_Post 1.0'!V488="",HLOOKUP((TotS)-Q115+1, 'GCN_Post 1.0'!$E$464:$X$506,25,TRUE), 'GCN_Post 1.0'!V488),"")</f>
        <v/>
      </c>
      <c r="R117" s="9" t="str">
        <f>IFERROR(IF('GCN_Post 1.0'!W488="",HLOOKUP((TotS)-R115+1, 'GCN_Post 1.0'!$E$464:$X$506,25,TRUE), 'GCN_Post 1.0'!W488),"")</f>
        <v/>
      </c>
      <c r="S117" s="9" t="str">
        <f>IFERROR(IF('GCN_Post 1.0'!X488="",HLOOKUP((TotS)-S115+1, 'GCN_Post 1.0'!$E$464:$X$506,25,TRUE), 'GCN_Post 1.0'!X488),"")</f>
        <v/>
      </c>
      <c r="T117" s="9" t="str">
        <f>IFERROR(IF('GCN_Post 1.0'!Y488="",HLOOKUP((TotS)-T115+1, 'GCN_Post 1.0'!$E$464:$X$506,25,TRUE), 'GCN_Post 1.0'!Y488),"")</f>
        <v/>
      </c>
      <c r="U117" s="9" t="str">
        <f>IFERROR(IF('GCN_Post 1.0'!Z488="",HLOOKUP((TotS)-U115+1, 'GCN_Post 1.0'!$E$464:$X$506,25,TRUE), 'GCN_Post 1.0'!Z488),"")</f>
        <v/>
      </c>
      <c r="V117" s="9" t="str">
        <f>IFERROR(IF('GCN_Post 1.0'!AA488="",HLOOKUP((TotS)-V115+1, 'GCN_Post 1.0'!$E$464:$X$506,25,TRUE), 'GCN_Post 1.0'!AA488),"")</f>
        <v/>
      </c>
      <c r="W117" s="9" t="str">
        <f>IFERROR(IF('GCN_Post 1.0'!AB488="",HLOOKUP((TotS)-W115+1, 'GCN_Post 1.0'!$E$464:$X$506,25,TRUE), 'GCN_Post 1.0'!AB488),"")</f>
        <v/>
      </c>
      <c r="X117" s="9" t="str">
        <f>IFERROR(IF('GCN_Post 1.0'!AC488="",HLOOKUP((TotS)-X115+1, 'GCN_Post 1.0'!$E$464:$X$506,25,TRUE), 'GCN_Post 1.0'!AC488),"")</f>
        <v/>
      </c>
      <c r="Y117" s="9" t="str">
        <f>IFERROR(IF('GCN_Post 1.0'!AD488="",HLOOKUP((TotS)-Y115+1, 'GCN_Post 1.0'!$E$464:$X$506,25,TRUE), 'GCN_Post 1.0'!AD488),"")</f>
        <v/>
      </c>
      <c r="Z117" s="9" t="str">
        <f>IFERROR(IF('GCN_Post 1.0'!AE488="",HLOOKUP((TotS)-Z115+1, 'GCN_Post 1.0'!$E$464:$X$506,25,TRUE), 'GCN_Post 1.0'!AE488),"")</f>
        <v/>
      </c>
      <c r="AA117" s="9" t="str">
        <f>IFERROR(IF('GCN_Post 1.0'!AF488="",HLOOKUP((TotS)-AA115+1, 'GCN_Post 1.0'!$E$464:$X$506,25,TRUE), 'GCN_Post 1.0'!AF488),"")</f>
        <v/>
      </c>
      <c r="AB117" s="9" t="str">
        <f>IFERROR(IF('GCN_Post 1.0'!AG488="",HLOOKUP((TotS)-AB115+1, 'GCN_Post 1.0'!$E$464:$X$506,25,TRUE), 'GCN_Post 1.0'!AG488),"")</f>
        <v/>
      </c>
      <c r="AC117" s="9" t="str">
        <f>IFERROR(IF('GCN_Post 1.0'!AH488="",HLOOKUP((TotS)-AC115+1, 'GCN_Post 1.0'!$E$464:$X$506,25,TRUE), 'GCN_Post 1.0'!AH488),"")</f>
        <v/>
      </c>
      <c r="AD117" s="9" t="str">
        <f>IFERROR(IF('GCN_Post 1.0'!AI488="",HLOOKUP((TotS)-AD115+1, 'GCN_Post 1.0'!$E$464:$X$506,25,TRUE), 'GCN_Post 1.0'!AI488),"")</f>
        <v/>
      </c>
      <c r="AE117" s="9" t="str">
        <f>IFERROR(IF('GCN_Post 1.0'!AJ488="",HLOOKUP((TotS)-AE115+1, 'GCN_Post 1.0'!$E$464:$X$506,25,TRUE), 'GCN_Post 1.0'!AJ488),"")</f>
        <v/>
      </c>
      <c r="AF117" s="9" t="str">
        <f>IFERROR(IF('GCN_Post 1.0'!AK488="",HLOOKUP((TotS)-AF115+1, 'GCN_Post 1.0'!$E$464:$X$506,25,TRUE), 'GCN_Post 1.0'!AK488),"")</f>
        <v/>
      </c>
      <c r="AG117" s="9" t="str">
        <f>IFERROR(IF('GCN_Post 1.0'!AL488="",HLOOKUP((TotS)-AG115+1, 'GCN_Post 1.0'!$E$464:$X$506,25,TRUE), 'GCN_Post 1.0'!AL488),"")</f>
        <v/>
      </c>
      <c r="AH117" s="9" t="str">
        <f>IFERROR(IF('GCN_Post 1.0'!AM488="",HLOOKUP((TotS)-AH115+1, 'GCN_Post 1.0'!$E$464:$X$506,25,TRUE), 'GCN_Post 1.0'!AM488),"")</f>
        <v/>
      </c>
      <c r="AI117" s="9" t="str">
        <f>IFERROR(IF('GCN_Post 1.0'!AN488="",HLOOKUP((TotS)-AI115+1, 'GCN_Post 1.0'!$E$464:$X$506,25,TRUE), 'GCN_Post 1.0'!AN488),"")</f>
        <v/>
      </c>
      <c r="AJ117" s="9" t="str">
        <f>IFERROR(IF('GCN_Post 1.0'!AO488="",HLOOKUP((TotS)-AJ115+1, 'GCN_Post 1.0'!$E$464:$X$506,25,TRUE), 'GCN_Post 1.0'!AO488),"")</f>
        <v/>
      </c>
      <c r="AK117" s="9" t="str">
        <f>IFERROR(IF('GCN_Post 1.0'!AP488="",HLOOKUP((TotS)-AK115+1, 'GCN_Post 1.0'!$E$464:$X$506,25,TRUE), 'GCN_Post 1.0'!AP488),"")</f>
        <v/>
      </c>
      <c r="AL117" s="9" t="str">
        <f>IFERROR(IF('GCN_Post 1.0'!AQ488="",HLOOKUP((TotS)-AL115+1, 'GCN_Post 1.0'!$E$464:$X$506,25,TRUE), 'GCN_Post 1.0'!AQ488),"")</f>
        <v/>
      </c>
      <c r="AM117" s="9" t="str">
        <f>IFERROR(IF('GCN_Post 1.0'!AR488="",HLOOKUP((TotS)-AM115+1, 'GCN_Post 1.0'!$E$464:$X$506,25,TRUE), 'GCN_Post 1.0'!AR488),"")</f>
        <v/>
      </c>
      <c r="AN117" s="9" t="str">
        <f>IFERROR(IF('GCN_Post 1.0'!AS488="",HLOOKUP((TotS)-AN115+1, 'GCN_Post 1.0'!$E$464:$X$506,25,TRUE), 'GCN_Post 1.0'!AS488),"")</f>
        <v/>
      </c>
      <c r="AO117" s="9" t="str">
        <f>IFERROR(IF('GCN_Post 1.0'!AT488="",HLOOKUP((TotS)-AO115+1, 'GCN_Post 1.0'!$E$464:$X$506,25,TRUE), 'GCN_Post 1.0'!AT488),"")</f>
        <v/>
      </c>
      <c r="AP117" s="9" t="str">
        <f>IFERROR(IF('GCN_Post 1.0'!AU488="",HLOOKUP((TotS)-AP115+1, 'GCN_Post 1.0'!$E$464:$X$506,25,TRUE), 'GCN_Post 1.0'!AU488),"")</f>
        <v/>
      </c>
      <c r="AQ117" s="9" t="str">
        <f>IFERROR(IF('GCN_Post 1.0'!AV488="",HLOOKUP((TotS)-AQ115+1, 'GCN_Post 1.0'!$E$464:$X$506,25,TRUE), 'GCN_Post 1.0'!AV488),"")</f>
        <v/>
      </c>
    </row>
    <row r="118" spans="1:44" x14ac:dyDescent="0.25">
      <c r="B118" s="555"/>
      <c r="C118" s="565"/>
      <c r="D118" s="9" t="str">
        <f>'GCN_Post 1.0'!I489</f>
        <v/>
      </c>
      <c r="E118" s="9" t="str">
        <f>IFERROR(IF('GCN_Post 1.0'!J489="",HLOOKUP((TotS)-E115+1, 'GCN_Post 1.0'!$E$464:$X$506,26,TRUE), 'GCN_Post 1.0'!J489),"")</f>
        <v/>
      </c>
      <c r="F118" s="9" t="str">
        <f>IFERROR(IF('GCN_Post 1.0'!K489="",HLOOKUP((TotS)-F115+1, 'GCN_Post 1.0'!$E$464:$X$506,26,TRUE), 'GCN_Post 1.0'!K489),"")</f>
        <v/>
      </c>
      <c r="G118" s="9" t="str">
        <f>IFERROR(IF('GCN_Post 1.0'!L489="",HLOOKUP((TotS)-G115+1, 'GCN_Post 1.0'!$E$464:$X$506,26,TRUE), 'GCN_Post 1.0'!L489),"")</f>
        <v/>
      </c>
      <c r="H118" s="9" t="str">
        <f>IFERROR(IF('GCN_Post 1.0'!M489="",HLOOKUP((TotS)-H115+1, 'GCN_Post 1.0'!$E$464:$X$506,26,TRUE), 'GCN_Post 1.0'!M489),"")</f>
        <v/>
      </c>
      <c r="I118" s="9" t="str">
        <f>IFERROR(IF('GCN_Post 1.0'!N489="",HLOOKUP((TotS)-I115+1, 'GCN_Post 1.0'!$E$464:$X$506,26,TRUE), 'GCN_Post 1.0'!N489),"")</f>
        <v/>
      </c>
      <c r="J118" s="9" t="str">
        <f>IFERROR(IF('GCN_Post 1.0'!O489="",HLOOKUP((TotS)-J115+1, 'GCN_Post 1.0'!$E$464:$X$506,26,TRUE), 'GCN_Post 1.0'!O489),"")</f>
        <v/>
      </c>
      <c r="K118" s="9" t="str">
        <f>IFERROR(IF('GCN_Post 1.0'!P489="",HLOOKUP((TotS)-K115+1, 'GCN_Post 1.0'!$E$464:$X$506,26,TRUE), 'GCN_Post 1.0'!P489),"")</f>
        <v/>
      </c>
      <c r="L118" s="9" t="str">
        <f>IFERROR(IF('GCN_Post 1.0'!Q489="",HLOOKUP((TotS)-L115+1, 'GCN_Post 1.0'!$E$464:$X$506,26,TRUE), 'GCN_Post 1.0'!Q489),"")</f>
        <v/>
      </c>
      <c r="M118" s="9" t="str">
        <f>IFERROR(IF('GCN_Post 1.0'!R489="",HLOOKUP((TotS)-M115+1, 'GCN_Post 1.0'!$E$464:$X$506,26,TRUE), 'GCN_Post 1.0'!R489),"")</f>
        <v/>
      </c>
      <c r="N118" s="9" t="str">
        <f>IFERROR(IF('GCN_Post 1.0'!S489="",HLOOKUP((TotS)-N115+1, 'GCN_Post 1.0'!$E$464:$X$506,26,TRUE), 'GCN_Post 1.0'!S489),"")</f>
        <v/>
      </c>
      <c r="O118" s="9" t="str">
        <f>IFERROR(IF('GCN_Post 1.0'!T489="",HLOOKUP((TotS)-O115+1, 'GCN_Post 1.0'!$E$464:$X$506,26,TRUE), 'GCN_Post 1.0'!T489),"")</f>
        <v/>
      </c>
      <c r="P118" s="9" t="str">
        <f>IFERROR(IF('GCN_Post 1.0'!U489="",HLOOKUP((TotS)-P115+1, 'GCN_Post 1.0'!$E$464:$X$506,26,TRUE), 'GCN_Post 1.0'!U489),"")</f>
        <v/>
      </c>
      <c r="Q118" s="9" t="str">
        <f>IFERROR(IF('GCN_Post 1.0'!V489="",HLOOKUP((TotS)-Q115+1, 'GCN_Post 1.0'!$E$464:$X$506,26,TRUE), 'GCN_Post 1.0'!V489),"")</f>
        <v/>
      </c>
      <c r="R118" s="9" t="str">
        <f>IFERROR(IF('GCN_Post 1.0'!W489="",HLOOKUP((TotS)-R115+1, 'GCN_Post 1.0'!$E$464:$X$506,26,TRUE), 'GCN_Post 1.0'!W489),"")</f>
        <v/>
      </c>
      <c r="S118" s="9" t="str">
        <f>IFERROR(IF('GCN_Post 1.0'!X489="",HLOOKUP((TotS)-S115+1, 'GCN_Post 1.0'!$E$464:$X$506,26,TRUE), 'GCN_Post 1.0'!X489),"")</f>
        <v/>
      </c>
      <c r="T118" s="9" t="str">
        <f>IFERROR(IF('GCN_Post 1.0'!Y489="",HLOOKUP((TotS)-T115+1, 'GCN_Post 1.0'!$E$464:$X$506,26,TRUE), 'GCN_Post 1.0'!Y489),"")</f>
        <v/>
      </c>
      <c r="U118" s="9" t="str">
        <f>IFERROR(IF('GCN_Post 1.0'!Z489="",HLOOKUP((TotS)-U115+1, 'GCN_Post 1.0'!$E$464:$X$506,26,TRUE), 'GCN_Post 1.0'!Z489),"")</f>
        <v/>
      </c>
      <c r="V118" s="9" t="str">
        <f>IFERROR(IF('GCN_Post 1.0'!AA489="",HLOOKUP((TotS)-V115+1, 'GCN_Post 1.0'!$E$464:$X$506,26,TRUE), 'GCN_Post 1.0'!AA489),"")</f>
        <v/>
      </c>
      <c r="W118" s="9" t="str">
        <f>IFERROR(IF('GCN_Post 1.0'!AB489="",HLOOKUP((TotS)-W115+1, 'GCN_Post 1.0'!$E$464:$X$506,26,TRUE), 'GCN_Post 1.0'!AB489),"")</f>
        <v/>
      </c>
      <c r="X118" s="9" t="str">
        <f>IFERROR(IF('GCN_Post 1.0'!AC489="",HLOOKUP((TotS)-X115+1, 'GCN_Post 1.0'!$E$464:$X$506,26,TRUE), 'GCN_Post 1.0'!AC489),"")</f>
        <v/>
      </c>
      <c r="Y118" s="9" t="str">
        <f>IFERROR(IF('GCN_Post 1.0'!AD489="",HLOOKUP((TotS)-Y115+1, 'GCN_Post 1.0'!$E$464:$X$506,26,TRUE), 'GCN_Post 1.0'!AD489),"")</f>
        <v/>
      </c>
      <c r="Z118" s="9" t="str">
        <f>IFERROR(IF('GCN_Post 1.0'!AE489="",HLOOKUP((TotS)-Z115+1, 'GCN_Post 1.0'!$E$464:$X$506,26,TRUE), 'GCN_Post 1.0'!AE489),"")</f>
        <v/>
      </c>
      <c r="AA118" s="9" t="str">
        <f>IFERROR(IF('GCN_Post 1.0'!AF489="",HLOOKUP((TotS)-AA115+1, 'GCN_Post 1.0'!$E$464:$X$506,26,TRUE), 'GCN_Post 1.0'!AF489),"")</f>
        <v/>
      </c>
      <c r="AB118" s="9" t="str">
        <f>IFERROR(IF('GCN_Post 1.0'!AG489="",HLOOKUP((TotS)-AB115+1, 'GCN_Post 1.0'!$E$464:$X$506,26,TRUE), 'GCN_Post 1.0'!AG489),"")</f>
        <v/>
      </c>
      <c r="AC118" s="9" t="str">
        <f>IFERROR(IF('GCN_Post 1.0'!AH489="",HLOOKUP((TotS)-AC115+1, 'GCN_Post 1.0'!$E$464:$X$506,26,TRUE), 'GCN_Post 1.0'!AH489),"")</f>
        <v/>
      </c>
      <c r="AD118" s="9" t="str">
        <f>IFERROR(IF('GCN_Post 1.0'!AI489="",HLOOKUP((TotS)-AD115+1, 'GCN_Post 1.0'!$E$464:$X$506,26,TRUE), 'GCN_Post 1.0'!AI489),"")</f>
        <v/>
      </c>
      <c r="AE118" s="9" t="str">
        <f>IFERROR(IF('GCN_Post 1.0'!AJ489="",HLOOKUP((TotS)-AE115+1, 'GCN_Post 1.0'!$E$464:$X$506,26,TRUE), 'GCN_Post 1.0'!AJ489),"")</f>
        <v/>
      </c>
      <c r="AF118" s="9" t="str">
        <f>IFERROR(IF('GCN_Post 1.0'!AK489="",HLOOKUP((TotS)-AF115+1, 'GCN_Post 1.0'!$E$464:$X$506,26,TRUE), 'GCN_Post 1.0'!AK489),"")</f>
        <v/>
      </c>
      <c r="AG118" s="9" t="str">
        <f>IFERROR(IF('GCN_Post 1.0'!AL489="",HLOOKUP((TotS)-AG115+1, 'GCN_Post 1.0'!$E$464:$X$506,26,TRUE), 'GCN_Post 1.0'!AL489),"")</f>
        <v/>
      </c>
      <c r="AH118" s="9" t="str">
        <f>IFERROR(IF('GCN_Post 1.0'!AM489="",HLOOKUP((TotS)-AH115+1, 'GCN_Post 1.0'!$E$464:$X$506,26,TRUE), 'GCN_Post 1.0'!AM489),"")</f>
        <v/>
      </c>
      <c r="AI118" s="9" t="str">
        <f>IFERROR(IF('GCN_Post 1.0'!AN489="",HLOOKUP((TotS)-AI115+1, 'GCN_Post 1.0'!$E$464:$X$506,26,TRUE), 'GCN_Post 1.0'!AN489),"")</f>
        <v/>
      </c>
      <c r="AJ118" s="9" t="str">
        <f>IFERROR(IF('GCN_Post 1.0'!AO489="",HLOOKUP((TotS)-AJ115+1, 'GCN_Post 1.0'!$E$464:$X$506,26,TRUE), 'GCN_Post 1.0'!AO489),"")</f>
        <v/>
      </c>
      <c r="AK118" s="9" t="str">
        <f>IFERROR(IF('GCN_Post 1.0'!AP489="",HLOOKUP((TotS)-AK115+1, 'GCN_Post 1.0'!$E$464:$X$506,26,TRUE), 'GCN_Post 1.0'!AP489),"")</f>
        <v/>
      </c>
      <c r="AL118" s="9" t="str">
        <f>IFERROR(IF('GCN_Post 1.0'!AQ489="",HLOOKUP((TotS)-AL115+1, 'GCN_Post 1.0'!$E$464:$X$506,26,TRUE), 'GCN_Post 1.0'!AQ489),"")</f>
        <v/>
      </c>
      <c r="AM118" s="9" t="str">
        <f>IFERROR(IF('GCN_Post 1.0'!AR489="",HLOOKUP((TotS)-AM115+1, 'GCN_Post 1.0'!$E$464:$X$506,26,TRUE), 'GCN_Post 1.0'!AR489),"")</f>
        <v/>
      </c>
      <c r="AN118" s="9" t="str">
        <f>IFERROR(IF('GCN_Post 1.0'!AS489="",HLOOKUP((TotS)-AN115+1, 'GCN_Post 1.0'!$E$464:$X$506,26,TRUE), 'GCN_Post 1.0'!AS489),"")</f>
        <v/>
      </c>
      <c r="AO118" s="9" t="str">
        <f>IFERROR(IF('GCN_Post 1.0'!AT489="",HLOOKUP((TotS)-AO115+1, 'GCN_Post 1.0'!$E$464:$X$506,26,TRUE), 'GCN_Post 1.0'!AT489),"")</f>
        <v/>
      </c>
      <c r="AP118" s="9" t="str">
        <f>IFERROR(IF('GCN_Post 1.0'!AU489="",HLOOKUP((TotS)-AP115+1, 'GCN_Post 1.0'!$E$464:$X$506,26,TRUE), 'GCN_Post 1.0'!AU489),"")</f>
        <v/>
      </c>
      <c r="AQ118" s="9" t="str">
        <f>IFERROR(IF('GCN_Post 1.0'!AV489="",HLOOKUP((TotS)-AQ115+1, 'GCN_Post 1.0'!$E$464:$X$506,26,TRUE), 'GCN_Post 1.0'!AV489),"")</f>
        <v/>
      </c>
    </row>
    <row r="119" spans="1:44" x14ac:dyDescent="0.25">
      <c r="B119" s="560"/>
      <c r="C119" s="601"/>
      <c r="D119" s="9" t="str">
        <f>'GCN_Post 1.0'!I490</f>
        <v/>
      </c>
      <c r="E119" s="9" t="str">
        <f>IFERROR(IF('GCN_Post 1.0'!J490="",HLOOKUP((TotS)-E115+1, 'GCN_Post 1.0'!$E$464:$X$506,27,TRUE), 'GCN_Post 1.0'!J490),"")</f>
        <v/>
      </c>
      <c r="F119" s="9" t="str">
        <f>IFERROR(IF('GCN_Post 1.0'!K490="",HLOOKUP((TotS)-F115+1, 'GCN_Post 1.0'!$E$464:$X$506,27,TRUE), 'GCN_Post 1.0'!K490),"")</f>
        <v/>
      </c>
      <c r="G119" s="9" t="str">
        <f>IFERROR(IF('GCN_Post 1.0'!L490="",HLOOKUP((TotS)-G115+1, 'GCN_Post 1.0'!$E$464:$X$506,27,TRUE), 'GCN_Post 1.0'!L490),"")</f>
        <v/>
      </c>
      <c r="H119" s="9" t="str">
        <f>IFERROR(IF('GCN_Post 1.0'!M490="",HLOOKUP((TotS)-H115+1, 'GCN_Post 1.0'!$E$464:$X$506,27,TRUE), 'GCN_Post 1.0'!M490),"")</f>
        <v/>
      </c>
      <c r="I119" s="9" t="str">
        <f>IFERROR(IF('GCN_Post 1.0'!N490="",HLOOKUP((TotS)-I115+1, 'GCN_Post 1.0'!$E$464:$X$506,27,TRUE), 'GCN_Post 1.0'!N490),"")</f>
        <v/>
      </c>
      <c r="J119" s="9" t="str">
        <f>IFERROR(IF('GCN_Post 1.0'!O490="",HLOOKUP((TotS)-J115+1, 'GCN_Post 1.0'!$E$464:$X$506,27,TRUE), 'GCN_Post 1.0'!O490),"")</f>
        <v/>
      </c>
      <c r="K119" s="9" t="str">
        <f>IFERROR(IF('GCN_Post 1.0'!P490="",HLOOKUP((TotS)-K115+1, 'GCN_Post 1.0'!$E$464:$X$506,27,TRUE), 'GCN_Post 1.0'!P490),"")</f>
        <v/>
      </c>
      <c r="L119" s="9" t="str">
        <f>IFERROR(IF('GCN_Post 1.0'!Q490="",HLOOKUP((TotS)-L115+1, 'GCN_Post 1.0'!$E$464:$X$506,27,TRUE), 'GCN_Post 1.0'!Q490),"")</f>
        <v/>
      </c>
      <c r="M119" s="9" t="str">
        <f>IFERROR(IF('GCN_Post 1.0'!R490="",HLOOKUP((TotS)-M115+1, 'GCN_Post 1.0'!$E$464:$X$506,27,TRUE), 'GCN_Post 1.0'!R490),"")</f>
        <v/>
      </c>
      <c r="N119" s="9" t="str">
        <f>IFERROR(IF('GCN_Post 1.0'!S490="",HLOOKUP((TotS)-N115+1, 'GCN_Post 1.0'!$E$464:$X$506,27,TRUE), 'GCN_Post 1.0'!S490),"")</f>
        <v/>
      </c>
      <c r="O119" s="9" t="str">
        <f>IFERROR(IF('GCN_Post 1.0'!T490="",HLOOKUP((TotS)-O115+1, 'GCN_Post 1.0'!$E$464:$X$506,27,TRUE), 'GCN_Post 1.0'!T490),"")</f>
        <v/>
      </c>
      <c r="P119" s="9" t="str">
        <f>IFERROR(IF('GCN_Post 1.0'!U490="",HLOOKUP((TotS)-P115+1, 'GCN_Post 1.0'!$E$464:$X$506,27,TRUE), 'GCN_Post 1.0'!U490),"")</f>
        <v/>
      </c>
      <c r="Q119" s="9" t="str">
        <f>IFERROR(IF('GCN_Post 1.0'!V490="",HLOOKUP((TotS)-Q115+1, 'GCN_Post 1.0'!$E$464:$X$506,27,TRUE), 'GCN_Post 1.0'!V490),"")</f>
        <v/>
      </c>
      <c r="R119" s="9" t="str">
        <f>IFERROR(IF('GCN_Post 1.0'!W490="",HLOOKUP((TotS)-R115+1, 'GCN_Post 1.0'!$E$464:$X$506,27,TRUE), 'GCN_Post 1.0'!W490),"")</f>
        <v/>
      </c>
      <c r="S119" s="9" t="str">
        <f>IFERROR(IF('GCN_Post 1.0'!X490="",HLOOKUP((TotS)-S115+1, 'GCN_Post 1.0'!$E$464:$X$506,27,TRUE), 'GCN_Post 1.0'!X490),"")</f>
        <v/>
      </c>
      <c r="T119" s="9" t="str">
        <f>IFERROR(IF('GCN_Post 1.0'!Y490="",HLOOKUP((TotS)-T115+1, 'GCN_Post 1.0'!$E$464:$X$506,27,TRUE), 'GCN_Post 1.0'!Y490),"")</f>
        <v/>
      </c>
      <c r="U119" s="9" t="str">
        <f>IFERROR(IF('GCN_Post 1.0'!Z490="",HLOOKUP((TotS)-U115+1, 'GCN_Post 1.0'!$E$464:$X$506,27,TRUE), 'GCN_Post 1.0'!Z490),"")</f>
        <v/>
      </c>
      <c r="V119" s="9" t="str">
        <f>IFERROR(IF('GCN_Post 1.0'!AA490="",HLOOKUP((TotS)-V115+1, 'GCN_Post 1.0'!$E$464:$X$506,27,TRUE), 'GCN_Post 1.0'!AA490),"")</f>
        <v/>
      </c>
      <c r="W119" s="9" t="str">
        <f>IFERROR(IF('GCN_Post 1.0'!AB490="",HLOOKUP((TotS)-W115+1, 'GCN_Post 1.0'!$E$464:$X$506,27,TRUE), 'GCN_Post 1.0'!AB490),"")</f>
        <v/>
      </c>
      <c r="X119" s="9" t="str">
        <f>IFERROR(IF('GCN_Post 1.0'!AC490="",HLOOKUP((TotS)-X115+1, 'GCN_Post 1.0'!$E$464:$X$506,27,TRUE), 'GCN_Post 1.0'!AC490),"")</f>
        <v/>
      </c>
      <c r="Y119" s="9" t="str">
        <f>IFERROR(IF('GCN_Post 1.0'!AD490="",HLOOKUP((TotS)-Y115+1, 'GCN_Post 1.0'!$E$464:$X$506,27,TRUE), 'GCN_Post 1.0'!AD490),"")</f>
        <v/>
      </c>
      <c r="Z119" s="9" t="str">
        <f>IFERROR(IF('GCN_Post 1.0'!AE490="",HLOOKUP((TotS)-Z115+1, 'GCN_Post 1.0'!$E$464:$X$506,27,TRUE), 'GCN_Post 1.0'!AE490),"")</f>
        <v/>
      </c>
      <c r="AA119" s="9" t="str">
        <f>IFERROR(IF('GCN_Post 1.0'!AF490="",HLOOKUP((TotS)-AA115+1, 'GCN_Post 1.0'!$E$464:$X$506,27,TRUE), 'GCN_Post 1.0'!AF490),"")</f>
        <v/>
      </c>
      <c r="AB119" s="9" t="str">
        <f>IFERROR(IF('GCN_Post 1.0'!AG490="",HLOOKUP((TotS)-AB115+1, 'GCN_Post 1.0'!$E$464:$X$506,27,TRUE), 'GCN_Post 1.0'!AG490),"")</f>
        <v/>
      </c>
      <c r="AC119" s="9" t="str">
        <f>IFERROR(IF('GCN_Post 1.0'!AH490="",HLOOKUP((TotS)-AC115+1, 'GCN_Post 1.0'!$E$464:$X$506,27,TRUE), 'GCN_Post 1.0'!AH490),"")</f>
        <v/>
      </c>
      <c r="AD119" s="9" t="str">
        <f>IFERROR(IF('GCN_Post 1.0'!AI490="",HLOOKUP((TotS)-AD115+1, 'GCN_Post 1.0'!$E$464:$X$506,27,TRUE), 'GCN_Post 1.0'!AI490),"")</f>
        <v/>
      </c>
      <c r="AE119" s="9" t="str">
        <f>IFERROR(IF('GCN_Post 1.0'!AJ490="",HLOOKUP((TotS)-AE115+1, 'GCN_Post 1.0'!$E$464:$X$506,27,TRUE), 'GCN_Post 1.0'!AJ490),"")</f>
        <v/>
      </c>
      <c r="AF119" s="9" t="str">
        <f>IFERROR(IF('GCN_Post 1.0'!AK490="",HLOOKUP((TotS)-AF115+1, 'GCN_Post 1.0'!$E$464:$X$506,27,TRUE), 'GCN_Post 1.0'!AK490),"")</f>
        <v/>
      </c>
      <c r="AG119" s="9" t="str">
        <f>IFERROR(IF('GCN_Post 1.0'!AL490="",HLOOKUP((TotS)-AG115+1, 'GCN_Post 1.0'!$E$464:$X$506,27,TRUE), 'GCN_Post 1.0'!AL490),"")</f>
        <v/>
      </c>
      <c r="AH119" s="9" t="str">
        <f>IFERROR(IF('GCN_Post 1.0'!AM490="",HLOOKUP((TotS)-AH115+1, 'GCN_Post 1.0'!$E$464:$X$506,27,TRUE), 'GCN_Post 1.0'!AM490),"")</f>
        <v/>
      </c>
      <c r="AI119" s="9" t="str">
        <f>IFERROR(IF('GCN_Post 1.0'!AN490="",HLOOKUP((TotS)-AI115+1, 'GCN_Post 1.0'!$E$464:$X$506,27,TRUE), 'GCN_Post 1.0'!AN490),"")</f>
        <v/>
      </c>
      <c r="AJ119" s="9" t="str">
        <f>IFERROR(IF('GCN_Post 1.0'!AO490="",HLOOKUP((TotS)-AJ115+1, 'GCN_Post 1.0'!$E$464:$X$506,27,TRUE), 'GCN_Post 1.0'!AO490),"")</f>
        <v/>
      </c>
      <c r="AK119" s="9" t="str">
        <f>IFERROR(IF('GCN_Post 1.0'!AP490="",HLOOKUP((TotS)-AK115+1, 'GCN_Post 1.0'!$E$464:$X$506,27,TRUE), 'GCN_Post 1.0'!AP490),"")</f>
        <v/>
      </c>
      <c r="AL119" s="9" t="str">
        <f>IFERROR(IF('GCN_Post 1.0'!AQ490="",HLOOKUP((TotS)-AL115+1, 'GCN_Post 1.0'!$E$464:$X$506,27,TRUE), 'GCN_Post 1.0'!AQ490),"")</f>
        <v/>
      </c>
      <c r="AM119" s="9" t="str">
        <f>IFERROR(IF('GCN_Post 1.0'!AR490="",HLOOKUP((TotS)-AM115+1, 'GCN_Post 1.0'!$E$464:$X$506,27,TRUE), 'GCN_Post 1.0'!AR490),"")</f>
        <v/>
      </c>
      <c r="AN119" s="9" t="str">
        <f>IFERROR(IF('GCN_Post 1.0'!AS490="",HLOOKUP((TotS)-AN115+1, 'GCN_Post 1.0'!$E$464:$X$506,27,TRUE), 'GCN_Post 1.0'!AS490),"")</f>
        <v/>
      </c>
      <c r="AO119" s="9" t="str">
        <f>IFERROR(IF('GCN_Post 1.0'!AT490="",HLOOKUP((TotS)-AO115+1, 'GCN_Post 1.0'!$E$464:$X$506,27,TRUE), 'GCN_Post 1.0'!AT490),"")</f>
        <v/>
      </c>
      <c r="AP119" s="9" t="str">
        <f>IFERROR(IF('GCN_Post 1.0'!AU490="",HLOOKUP((TotS)-AP115+1, 'GCN_Post 1.0'!$E$464:$X$506,27,TRUE), 'GCN_Post 1.0'!AU490),"")</f>
        <v/>
      </c>
      <c r="AQ119" s="9" t="str">
        <f>IFERROR(IF('GCN_Post 1.0'!AV490="",HLOOKUP((TotS)-AQ115+1, 'GCN_Post 1.0'!$E$464:$X$506,27,TRUE), 'GCN_Post 1.0'!AV490),"")</f>
        <v/>
      </c>
    </row>
    <row r="121" spans="1:44" ht="15" customHeight="1" x14ac:dyDescent="0.25">
      <c r="B121" s="663" t="s">
        <v>739</v>
      </c>
      <c r="C121" s="572"/>
      <c r="D121" s="9" t="str">
        <f>'GCN_Post 1.0'!I491</f>
        <v/>
      </c>
      <c r="E121" s="9" t="str">
        <f>IFERROR(IF(E115&gt;TS, "", IF('GCN_Post 1.0'!J491="",HLOOKUP((TotS)-E115+1,'GCN_Post 1.0'!$E$464:$X$506,28,TRUE), 'GCN_Post 1.0'!J491)), "")</f>
        <v/>
      </c>
      <c r="F121" s="9" t="str">
        <f>IFERROR(IF(F115&gt;TS, "", IF('GCN_Post 1.0'!K491="",HLOOKUP((TotS)-F115+1,'GCN_Post 1.0'!$E$464:$X$506,28,TRUE), 'GCN_Post 1.0'!K491)), "")</f>
        <v/>
      </c>
      <c r="G121" s="9" t="str">
        <f>IFERROR(IF(G115&gt;TS, "", IF('GCN_Post 1.0'!L491="",HLOOKUP((TotS)-G115+1,'GCN_Post 1.0'!$E$464:$X$506,28,TRUE), 'GCN_Post 1.0'!L491)), "")</f>
        <v/>
      </c>
      <c r="H121" s="9" t="str">
        <f>IFERROR(IF(H115&gt;TS, "", IF('GCN_Post 1.0'!M491="",HLOOKUP((TotS)-H115+1,'GCN_Post 1.0'!$E$464:$X$506,28,TRUE), 'GCN_Post 1.0'!M491)), "")</f>
        <v/>
      </c>
      <c r="I121" s="9" t="str">
        <f>IFERROR(IF(I115&gt;TS, "", IF('GCN_Post 1.0'!N491="",HLOOKUP((TotS)-I115+1,'GCN_Post 1.0'!$E$464:$X$506,28,TRUE), 'GCN_Post 1.0'!N491)), "")</f>
        <v/>
      </c>
      <c r="J121" s="9" t="str">
        <f>IFERROR(IF(J115&gt;TS, "", IF('GCN_Post 1.0'!O491="",HLOOKUP((TotS)-J115+1,'GCN_Post 1.0'!$E$464:$X$506,28,TRUE), 'GCN_Post 1.0'!O491)), "")</f>
        <v/>
      </c>
      <c r="K121" s="9" t="str">
        <f>IFERROR(IF(K115&gt;TS, "", IF('GCN_Post 1.0'!P491="",HLOOKUP((TotS)-K115+1,'GCN_Post 1.0'!$E$464:$X$506,28,TRUE), 'GCN_Post 1.0'!P491)), "")</f>
        <v/>
      </c>
      <c r="L121" s="9" t="str">
        <f>IFERROR(IF(L115&gt;TS, "", IF('GCN_Post 1.0'!Q491="",HLOOKUP((TotS)-L115+1,'GCN_Post 1.0'!$E$464:$X$506,28,TRUE), 'GCN_Post 1.0'!Q491)), "")</f>
        <v/>
      </c>
      <c r="M121" s="9" t="str">
        <f>IFERROR(IF(M115&gt;TS, "", IF('GCN_Post 1.0'!R491="",HLOOKUP((TotS)-M115+1,'GCN_Post 1.0'!$E$464:$X$506,28,TRUE), 'GCN_Post 1.0'!R491)), "")</f>
        <v/>
      </c>
      <c r="N121" s="9" t="str">
        <f>IFERROR(IF(N115&gt;TS, "", IF('GCN_Post 1.0'!S491="",HLOOKUP((TotS)-N115+1,'GCN_Post 1.0'!$E$464:$X$506,28,TRUE), 'GCN_Post 1.0'!S491)), "")</f>
        <v/>
      </c>
      <c r="O121" s="9" t="str">
        <f>IFERROR(IF(O115&gt;TS, "", IF('GCN_Post 1.0'!T491="",HLOOKUP((TotS)-O115+1,'GCN_Post 1.0'!$E$464:$X$506,28,TRUE), 'GCN_Post 1.0'!T491)), "")</f>
        <v/>
      </c>
      <c r="P121" s="9" t="str">
        <f>IFERROR(IF(P115&gt;TS, "", IF('GCN_Post 1.0'!U491="",HLOOKUP((TotS)-P115+1,'GCN_Post 1.0'!$E$464:$X$506,28,TRUE), 'GCN_Post 1.0'!U491)), "")</f>
        <v/>
      </c>
      <c r="Q121" s="9" t="str">
        <f>IFERROR(IF(Q115&gt;TS, "", IF('GCN_Post 1.0'!V491="",HLOOKUP((TotS)-Q115+1,'GCN_Post 1.0'!$E$464:$X$506,28,TRUE), 'GCN_Post 1.0'!V491)), "")</f>
        <v/>
      </c>
      <c r="R121" s="9" t="str">
        <f>IFERROR(IF(R115&gt;TS, "", IF('GCN_Post 1.0'!W491="",HLOOKUP((TotS)-R115+1,'GCN_Post 1.0'!$E$464:$X$506,28,TRUE), 'GCN_Post 1.0'!W491)), "")</f>
        <v/>
      </c>
      <c r="S121" s="9" t="str">
        <f>IFERROR(IF(S115&gt;TS, "", IF('GCN_Post 1.0'!X491="",HLOOKUP((TotS)-S115+1,'GCN_Post 1.0'!$E$464:$X$506,28,TRUE), 'GCN_Post 1.0'!X491)), "")</f>
        <v/>
      </c>
      <c r="T121" s="9" t="str">
        <f>IFERROR(IF(T115&gt;TS, "", IF('GCN_Post 1.0'!Y491="",HLOOKUP((TotS)-T115+1,'GCN_Post 1.0'!$E$464:$X$506,28,TRUE), 'GCN_Post 1.0'!Y491)), "")</f>
        <v/>
      </c>
      <c r="U121" s="9" t="str">
        <f>IFERROR(IF(U115&gt;TS, "", IF('GCN_Post 1.0'!Z491="",HLOOKUP((TotS)-U115+1,'GCN_Post 1.0'!$E$464:$X$506,28,TRUE), 'GCN_Post 1.0'!Z491)), "")</f>
        <v/>
      </c>
      <c r="V121" s="9" t="str">
        <f>IFERROR(IF(V115&gt;TS, "", IF('GCN_Post 1.0'!AA491="",HLOOKUP((TotS)-V115+1,'GCN_Post 1.0'!$E$464:$X$506,28,TRUE), 'GCN_Post 1.0'!AA491)), "")</f>
        <v/>
      </c>
      <c r="W121" s="9" t="str">
        <f>IFERROR(IF(W115&gt;TS, "", IF('GCN_Post 1.0'!AB491="",HLOOKUP((TotS)-W115+1,'GCN_Post 1.0'!$E$464:$X$506,28,TRUE), 'GCN_Post 1.0'!AB491)), "")</f>
        <v/>
      </c>
      <c r="X121" s="9" t="str">
        <f>IFERROR(IF(X115&gt;TS, "", IF('GCN_Post 1.0'!AC491="",HLOOKUP((TotS)-X115+1,'GCN_Post 1.0'!$E$464:$X$506,28,TRUE), 'GCN_Post 1.0'!AC491)), "")</f>
        <v/>
      </c>
      <c r="Y121" s="9" t="str">
        <f>IFERROR(IF(Y115&gt;TS, "", IF('GCN_Post 1.0'!AD491="",HLOOKUP((TotS)-Y115+1,'GCN_Post 1.0'!$E$464:$X$506,28,TRUE), 'GCN_Post 1.0'!AD491)), "")</f>
        <v/>
      </c>
      <c r="Z121" s="9" t="str">
        <f>IFERROR(IF(Z115&gt;TS, "", IF('GCN_Post 1.0'!AE491="",HLOOKUP((TotS)-Z115+1,'GCN_Post 1.0'!$E$464:$X$506,28,TRUE), 'GCN_Post 1.0'!AE491)), "")</f>
        <v/>
      </c>
      <c r="AA121" s="9" t="str">
        <f>IFERROR(IF(AA115&gt;TS, "", IF('GCN_Post 1.0'!AF491="",HLOOKUP((TotS)-AA115+1,'GCN_Post 1.0'!$E$464:$X$506,28,TRUE), 'GCN_Post 1.0'!AF491)), "")</f>
        <v/>
      </c>
      <c r="AB121" s="9" t="str">
        <f>IFERROR(IF(AB115&gt;TS, "", IF('GCN_Post 1.0'!AG491="",HLOOKUP((TotS)-AB115+1,'GCN_Post 1.0'!$E$464:$X$506,28,TRUE), 'GCN_Post 1.0'!AG491)), "")</f>
        <v/>
      </c>
      <c r="AC121" s="9" t="str">
        <f>IFERROR(IF(AC115&gt;TS, "", IF('GCN_Post 1.0'!AH491="",HLOOKUP((TotS)-AC115+1,'GCN_Post 1.0'!$E$464:$X$506,28,TRUE), 'GCN_Post 1.0'!AH491)), "")</f>
        <v/>
      </c>
      <c r="AD121" s="9" t="str">
        <f>IFERROR(IF(AD115&gt;TS, "", IF('GCN_Post 1.0'!AI491="",HLOOKUP((TotS)-AD115+1,'GCN_Post 1.0'!$E$464:$X$506,28,TRUE), 'GCN_Post 1.0'!AI491)), "")</f>
        <v/>
      </c>
      <c r="AE121" s="9" t="str">
        <f>IFERROR(IF(AE115&gt;TS, "", IF('GCN_Post 1.0'!AJ491="",HLOOKUP((TotS)-AE115+1,'GCN_Post 1.0'!$E$464:$X$506,28,TRUE), 'GCN_Post 1.0'!AJ491)), "")</f>
        <v/>
      </c>
      <c r="AF121" s="9" t="str">
        <f>IFERROR(IF(AF115&gt;TS, "", IF('GCN_Post 1.0'!AK491="",HLOOKUP((TotS)-AF115+1,'GCN_Post 1.0'!$E$464:$X$506,28,TRUE), 'GCN_Post 1.0'!AK491)), "")</f>
        <v/>
      </c>
      <c r="AG121" s="9" t="str">
        <f>IFERROR(IF(AG115&gt;TS, "", IF('GCN_Post 1.0'!AL491="",HLOOKUP((TotS)-AG115+1,'GCN_Post 1.0'!$E$464:$X$506,28,TRUE), 'GCN_Post 1.0'!AL491)), "")</f>
        <v/>
      </c>
      <c r="AH121" s="9" t="str">
        <f>IFERROR(IF(AH115&gt;TS, "", IF('GCN_Post 1.0'!AM491="",HLOOKUP((TotS)-AH115+1,'GCN_Post 1.0'!$E$464:$X$506,28,TRUE), 'GCN_Post 1.0'!AM491)), "")</f>
        <v/>
      </c>
      <c r="AI121" s="9" t="str">
        <f>IFERROR(IF(AI115&gt;TS, "", IF('GCN_Post 1.0'!AN491="",HLOOKUP((TotS)-AI115+1,'GCN_Post 1.0'!$E$464:$X$506,28,TRUE), 'GCN_Post 1.0'!AN491)), "")</f>
        <v/>
      </c>
      <c r="AJ121" s="9" t="str">
        <f>IFERROR(IF(AJ115&gt;TS, "", IF('GCN_Post 1.0'!AO491="",HLOOKUP((TotS)-AJ115+1,'GCN_Post 1.0'!$E$464:$X$506,28,TRUE), 'GCN_Post 1.0'!AO491)), "")</f>
        <v/>
      </c>
      <c r="AK121" s="9" t="str">
        <f>IFERROR(IF(AK115&gt;TS, "", IF('GCN_Post 1.0'!AP491="",HLOOKUP((TotS)-AK115+1,'GCN_Post 1.0'!$E$464:$X$506,28,TRUE), 'GCN_Post 1.0'!AP491)), "")</f>
        <v/>
      </c>
      <c r="AL121" s="9" t="str">
        <f>IFERROR(IF(AL115&gt;TS, "", IF('GCN_Post 1.0'!AQ491="",HLOOKUP((TotS)-AL115+1,'GCN_Post 1.0'!$E$464:$X$506,28,TRUE), 'GCN_Post 1.0'!AQ491)), "")</f>
        <v/>
      </c>
      <c r="AM121" s="9" t="str">
        <f>IFERROR(IF(AM115&gt;TS, "", IF('GCN_Post 1.0'!AR491="",HLOOKUP((TotS)-AM115+1,'GCN_Post 1.0'!$E$464:$X$506,28,TRUE), 'GCN_Post 1.0'!AR491)), "")</f>
        <v/>
      </c>
      <c r="AN121" s="9" t="str">
        <f>IFERROR(IF(AN115&gt;TS, "", IF('GCN_Post 1.0'!AS491="",HLOOKUP((TotS)-AN115+1,'GCN_Post 1.0'!$E$464:$X$506,28,TRUE), 'GCN_Post 1.0'!AS491)), "")</f>
        <v/>
      </c>
      <c r="AO121" s="9" t="str">
        <f>IFERROR(IF(AO115&gt;TS, "", IF('GCN_Post 1.0'!AT491="",HLOOKUP((TotS)-AO115+1,'GCN_Post 1.0'!$E$464:$X$506,28,TRUE), 'GCN_Post 1.0'!AT491)), "")</f>
        <v/>
      </c>
      <c r="AP121" s="9" t="str">
        <f>IFERROR(IF(AP115&gt;TS, "", IF('GCN_Post 1.0'!AU491="",HLOOKUP((TotS)-AP115+1,'GCN_Post 1.0'!$E$464:$X$506,28,TRUE), 'GCN_Post 1.0'!AU491)), "")</f>
        <v/>
      </c>
      <c r="AQ121" s="9" t="str">
        <f>IFERROR(IF(AQ115&gt;TS, "", IF('GCN_Post 1.0'!AV491="",HLOOKUP((TotS)-AQ115+1,'GCN_Post 1.0'!$E$464:$X$506,28,TRUE), 'GCN_Post 1.0'!AV491)), "")</f>
        <v/>
      </c>
    </row>
    <row r="122" spans="1:44" x14ac:dyDescent="0.25">
      <c r="B122" s="555"/>
      <c r="C122" s="565"/>
      <c r="D122" s="9" t="str">
        <f>'GCN_Post 1.0'!I492</f>
        <v/>
      </c>
      <c r="E122" s="9" t="str">
        <f>IFERROR(IF(E115&gt;TS, "", IF('GCN_Post 1.0'!J492="",HLOOKUP((TotS)-E115+1,'GCN_Post 1.0'!$E$464:$X$506,29,TRUE), 'GCN_Post 1.0'!J492)), "")</f>
        <v/>
      </c>
      <c r="F122" s="9" t="str">
        <f>IFERROR(IF(F115&gt;TS, "", IF('GCN_Post 1.0'!K492="",HLOOKUP((TotS)-F115+1,'GCN_Post 1.0'!$E$464:$X$506,29,TRUE), 'GCN_Post 1.0'!K492)), "")</f>
        <v/>
      </c>
      <c r="G122" s="9" t="str">
        <f>IFERROR(IF(G115&gt;TS, "", IF('GCN_Post 1.0'!L492="",HLOOKUP((TotS)-G115+1,'GCN_Post 1.0'!$E$464:$X$506,29,TRUE), 'GCN_Post 1.0'!L492)), "")</f>
        <v/>
      </c>
      <c r="H122" s="9" t="str">
        <f>IFERROR(IF(H115&gt;TS, "", IF('GCN_Post 1.0'!M492="",HLOOKUP((TotS)-H115+1,'GCN_Post 1.0'!$E$464:$X$506,29,TRUE), 'GCN_Post 1.0'!M492)), "")</f>
        <v/>
      </c>
      <c r="I122" s="9" t="str">
        <f>IFERROR(IF(I115&gt;TS, "", IF('GCN_Post 1.0'!N492="",HLOOKUP((TotS)-I115+1,'GCN_Post 1.0'!$E$464:$X$506,29,TRUE), 'GCN_Post 1.0'!N492)), "")</f>
        <v/>
      </c>
      <c r="J122" s="9" t="str">
        <f>IFERROR(IF(J115&gt;TS, "", IF('GCN_Post 1.0'!O492="",HLOOKUP((TotS)-J115+1,'GCN_Post 1.0'!$E$464:$X$506,29,TRUE), 'GCN_Post 1.0'!O492)), "")</f>
        <v/>
      </c>
      <c r="K122" s="9" t="str">
        <f>IFERROR(IF(K115&gt;TS, "", IF('GCN_Post 1.0'!P492="",HLOOKUP((TotS)-K115+1,'GCN_Post 1.0'!$E$464:$X$506,29,TRUE), 'GCN_Post 1.0'!P492)), "")</f>
        <v/>
      </c>
      <c r="L122" s="9" t="str">
        <f>IFERROR(IF(L115&gt;TS, "", IF('GCN_Post 1.0'!Q492="",HLOOKUP((TotS)-L115+1,'GCN_Post 1.0'!$E$464:$X$506,29,TRUE), 'GCN_Post 1.0'!Q492)), "")</f>
        <v/>
      </c>
      <c r="M122" s="9" t="str">
        <f>IFERROR(IF(M115&gt;TS, "", IF('GCN_Post 1.0'!R492="",HLOOKUP((TotS)-M115+1,'GCN_Post 1.0'!$E$464:$X$506,29,TRUE), 'GCN_Post 1.0'!R492)), "")</f>
        <v/>
      </c>
      <c r="N122" s="9" t="str">
        <f>IFERROR(IF(N115&gt;TS, "", IF('GCN_Post 1.0'!S492="",HLOOKUP((TotS)-N115+1,'GCN_Post 1.0'!$E$464:$X$506,29,TRUE), 'GCN_Post 1.0'!S492)), "")</f>
        <v/>
      </c>
      <c r="O122" s="9" t="str">
        <f>IFERROR(IF(O115&gt;TS, "", IF('GCN_Post 1.0'!T492="",HLOOKUP((TotS)-O115+1,'GCN_Post 1.0'!$E$464:$X$506,29,TRUE), 'GCN_Post 1.0'!T492)), "")</f>
        <v/>
      </c>
      <c r="P122" s="9" t="str">
        <f>IFERROR(IF(P115&gt;TS, "", IF('GCN_Post 1.0'!U492="",HLOOKUP((TotS)-P115+1,'GCN_Post 1.0'!$E$464:$X$506,29,TRUE), 'GCN_Post 1.0'!U492)), "")</f>
        <v/>
      </c>
      <c r="Q122" s="9" t="str">
        <f>IFERROR(IF(Q115&gt;TS, "", IF('GCN_Post 1.0'!V492="",HLOOKUP((TotS)-Q115+1,'GCN_Post 1.0'!$E$464:$X$506,29,TRUE), 'GCN_Post 1.0'!V492)), "")</f>
        <v/>
      </c>
      <c r="R122" s="9" t="str">
        <f>IFERROR(IF(R115&gt;TS, "", IF('GCN_Post 1.0'!W492="",HLOOKUP((TotS)-R115+1,'GCN_Post 1.0'!$E$464:$X$506,29,TRUE), 'GCN_Post 1.0'!W492)), "")</f>
        <v/>
      </c>
      <c r="S122" s="9" t="str">
        <f>IFERROR(IF(S115&gt;TS, "", IF('GCN_Post 1.0'!X492="",HLOOKUP((TotS)-S115+1,'GCN_Post 1.0'!$E$464:$X$506,29,TRUE), 'GCN_Post 1.0'!X492)), "")</f>
        <v/>
      </c>
      <c r="T122" s="9" t="str">
        <f>IFERROR(IF(T115&gt;TS, "", IF('GCN_Post 1.0'!Y492="",HLOOKUP((TotS)-T115+1,'GCN_Post 1.0'!$E$464:$X$506,29,TRUE), 'GCN_Post 1.0'!Y492)), "")</f>
        <v/>
      </c>
      <c r="U122" s="9" t="str">
        <f>IFERROR(IF(U115&gt;TS, "", IF('GCN_Post 1.0'!Z492="",HLOOKUP((TotS)-U115+1,'GCN_Post 1.0'!$E$464:$X$506,29,TRUE), 'GCN_Post 1.0'!Z492)), "")</f>
        <v/>
      </c>
      <c r="V122" s="9" t="str">
        <f>IFERROR(IF(V115&gt;TS, "", IF('GCN_Post 1.0'!AA492="",HLOOKUP((TotS)-V115+1,'GCN_Post 1.0'!$E$464:$X$506,29,TRUE), 'GCN_Post 1.0'!AA492)), "")</f>
        <v/>
      </c>
      <c r="W122" s="9" t="str">
        <f>IFERROR(IF(W115&gt;TS, "", IF('GCN_Post 1.0'!AB492="",HLOOKUP((TotS)-W115+1,'GCN_Post 1.0'!$E$464:$X$506,29,TRUE), 'GCN_Post 1.0'!AB492)), "")</f>
        <v/>
      </c>
      <c r="X122" s="9" t="str">
        <f>IFERROR(IF(X115&gt;TS, "", IF('GCN_Post 1.0'!AC492="",HLOOKUP((TotS)-X115+1,'GCN_Post 1.0'!$E$464:$X$506,29,TRUE), 'GCN_Post 1.0'!AC492)), "")</f>
        <v/>
      </c>
      <c r="Y122" s="9" t="str">
        <f>IFERROR(IF(Y115&gt;TS, "", IF('GCN_Post 1.0'!AD492="",HLOOKUP((TotS)-Y115+1,'GCN_Post 1.0'!$E$464:$X$506,29,TRUE), 'GCN_Post 1.0'!AD492)), "")</f>
        <v/>
      </c>
      <c r="Z122" s="9" t="str">
        <f>IFERROR(IF(Z115&gt;TS, "", IF('GCN_Post 1.0'!AE492="",HLOOKUP((TotS)-Z115+1,'GCN_Post 1.0'!$E$464:$X$506,29,TRUE), 'GCN_Post 1.0'!AE492)), "")</f>
        <v/>
      </c>
      <c r="AA122" s="9" t="str">
        <f>IFERROR(IF(AA115&gt;TS, "", IF('GCN_Post 1.0'!AF492="",HLOOKUP((TotS)-AA115+1,'GCN_Post 1.0'!$E$464:$X$506,29,TRUE), 'GCN_Post 1.0'!AF492)), "")</f>
        <v/>
      </c>
      <c r="AB122" s="9" t="str">
        <f>IFERROR(IF(AB115&gt;TS, "", IF('GCN_Post 1.0'!AG492="",HLOOKUP((TotS)-AB115+1,'GCN_Post 1.0'!$E$464:$X$506,29,TRUE), 'GCN_Post 1.0'!AG492)), "")</f>
        <v/>
      </c>
      <c r="AC122" s="9" t="str">
        <f>IFERROR(IF(AC115&gt;TS, "", IF('GCN_Post 1.0'!AH492="",HLOOKUP((TotS)-AC115+1,'GCN_Post 1.0'!$E$464:$X$506,29,TRUE), 'GCN_Post 1.0'!AH492)), "")</f>
        <v/>
      </c>
      <c r="AD122" s="9" t="str">
        <f>IFERROR(IF(AD115&gt;TS, "", IF('GCN_Post 1.0'!AI492="",HLOOKUP((TotS)-AD115+1,'GCN_Post 1.0'!$E$464:$X$506,29,TRUE), 'GCN_Post 1.0'!AI492)), "")</f>
        <v/>
      </c>
      <c r="AE122" s="9" t="str">
        <f>IFERROR(IF(AE115&gt;TS, "", IF('GCN_Post 1.0'!AJ492="",HLOOKUP((TotS)-AE115+1,'GCN_Post 1.0'!$E$464:$X$506,29,TRUE), 'GCN_Post 1.0'!AJ492)), "")</f>
        <v/>
      </c>
      <c r="AF122" s="9" t="str">
        <f>IFERROR(IF(AF115&gt;TS, "", IF('GCN_Post 1.0'!AK492="",HLOOKUP((TotS)-AF115+1,'GCN_Post 1.0'!$E$464:$X$506,29,TRUE), 'GCN_Post 1.0'!AK492)), "")</f>
        <v/>
      </c>
      <c r="AG122" s="9" t="str">
        <f>IFERROR(IF(AG115&gt;TS, "", IF('GCN_Post 1.0'!AL492="",HLOOKUP((TotS)-AG115+1,'GCN_Post 1.0'!$E$464:$X$506,29,TRUE), 'GCN_Post 1.0'!AL492)), "")</f>
        <v/>
      </c>
      <c r="AH122" s="9" t="str">
        <f>IFERROR(IF(AH115&gt;TS, "", IF('GCN_Post 1.0'!AM492="",HLOOKUP((TotS)-AH115+1,'GCN_Post 1.0'!$E$464:$X$506,29,TRUE), 'GCN_Post 1.0'!AM492)), "")</f>
        <v/>
      </c>
      <c r="AI122" s="9" t="str">
        <f>IFERROR(IF(AI115&gt;TS, "", IF('GCN_Post 1.0'!AN492="",HLOOKUP((TotS)-AI115+1,'GCN_Post 1.0'!$E$464:$X$506,29,TRUE), 'GCN_Post 1.0'!AN492)), "")</f>
        <v/>
      </c>
      <c r="AJ122" s="9" t="str">
        <f>IFERROR(IF(AJ115&gt;TS, "", IF('GCN_Post 1.0'!AO492="",HLOOKUP((TotS)-AJ115+1,'GCN_Post 1.0'!$E$464:$X$506,29,TRUE), 'GCN_Post 1.0'!AO492)), "")</f>
        <v/>
      </c>
      <c r="AK122" s="9" t="str">
        <f>IFERROR(IF(AK115&gt;TS, "", IF('GCN_Post 1.0'!AP492="",HLOOKUP((TotS)-AK115+1,'GCN_Post 1.0'!$E$464:$X$506,29,TRUE), 'GCN_Post 1.0'!AP492)), "")</f>
        <v/>
      </c>
      <c r="AL122" s="9" t="str">
        <f>IFERROR(IF(AL115&gt;TS, "", IF('GCN_Post 1.0'!AQ492="",HLOOKUP((TotS)-AL115+1,'GCN_Post 1.0'!$E$464:$X$506,29,TRUE), 'GCN_Post 1.0'!AQ492)), "")</f>
        <v/>
      </c>
      <c r="AM122" s="9" t="str">
        <f>IFERROR(IF(AM115&gt;TS, "", IF('GCN_Post 1.0'!AR492="",HLOOKUP((TotS)-AM115+1,'GCN_Post 1.0'!$E$464:$X$506,29,TRUE), 'GCN_Post 1.0'!AR492)), "")</f>
        <v/>
      </c>
      <c r="AN122" s="9" t="str">
        <f>IFERROR(IF(AN115&gt;TS, "", IF('GCN_Post 1.0'!AS492="",HLOOKUP((TotS)-AN115+1,'GCN_Post 1.0'!$E$464:$X$506,29,TRUE), 'GCN_Post 1.0'!AS492)), "")</f>
        <v/>
      </c>
      <c r="AO122" s="9" t="str">
        <f>IFERROR(IF(AO115&gt;TS, "", IF('GCN_Post 1.0'!AT492="",HLOOKUP((TotS)-AO115+1,'GCN_Post 1.0'!$E$464:$X$506,29,TRUE), 'GCN_Post 1.0'!AT492)), "")</f>
        <v/>
      </c>
      <c r="AP122" s="9" t="str">
        <f>IFERROR(IF(AP115&gt;TS, "", IF('GCN_Post 1.0'!AU492="",HLOOKUP((TotS)-AP115+1,'GCN_Post 1.0'!$E$464:$X$506,29,TRUE), 'GCN_Post 1.0'!AU492)), "")</f>
        <v/>
      </c>
      <c r="AQ122" s="9" t="str">
        <f>IFERROR(IF(AQ115&gt;TS, "", IF('GCN_Post 1.0'!AV492="",HLOOKUP((TotS)-AQ115+1,'GCN_Post 1.0'!$E$464:$X$506,29,TRUE), 'GCN_Post 1.0'!AV492)), "")</f>
        <v/>
      </c>
    </row>
    <row r="123" spans="1:44" x14ac:dyDescent="0.25">
      <c r="B123" s="555"/>
      <c r="C123" s="565"/>
      <c r="D123" s="9" t="str">
        <f>'GCN_Post 1.0'!I493</f>
        <v/>
      </c>
      <c r="E123" s="9" t="str">
        <f>IFERROR(IF(E115&gt;TS, "", IF('GCN_Post 1.0'!J493="",HLOOKUP((TotS)-E115+1,'GCN_Post 1.0'!$E$464:$X$506,30,TRUE), 'GCN_Post 1.0'!J493)), "")</f>
        <v/>
      </c>
      <c r="F123" s="9" t="str">
        <f>IFERROR(IF(F115&gt;TS, "", IF('GCN_Post 1.0'!K493="",HLOOKUP((TotS)-F115+1,'GCN_Post 1.0'!$E$464:$X$506,30,TRUE), 'GCN_Post 1.0'!K493)), "")</f>
        <v/>
      </c>
      <c r="G123" s="9" t="str">
        <f>IFERROR(IF(G115&gt;TS, "", IF('GCN_Post 1.0'!L493="",HLOOKUP((TotS)-G115+1,'GCN_Post 1.0'!$E$464:$X$506,30,TRUE), 'GCN_Post 1.0'!L493)), "")</f>
        <v/>
      </c>
      <c r="H123" s="9" t="str">
        <f>IFERROR(IF(H115&gt;TS, "", IF('GCN_Post 1.0'!M493="",HLOOKUP((TotS)-H115+1,'GCN_Post 1.0'!$E$464:$X$506,30,TRUE), 'GCN_Post 1.0'!M493)), "")</f>
        <v/>
      </c>
      <c r="I123" s="9" t="str">
        <f>IFERROR(IF(I115&gt;TS, "", IF('GCN_Post 1.0'!N493="",HLOOKUP((TotS)-I115+1,'GCN_Post 1.0'!$E$464:$X$506,30,TRUE), 'GCN_Post 1.0'!N493)), "")</f>
        <v/>
      </c>
      <c r="J123" s="9" t="str">
        <f>IFERROR(IF(J115&gt;TS, "", IF('GCN_Post 1.0'!O493="",HLOOKUP((TotS)-J115+1,'GCN_Post 1.0'!$E$464:$X$506,30,TRUE), 'GCN_Post 1.0'!O493)), "")</f>
        <v/>
      </c>
      <c r="K123" s="9" t="str">
        <f>IFERROR(IF(K115&gt;TS, "", IF('GCN_Post 1.0'!P493="",HLOOKUP((TotS)-K115+1,'GCN_Post 1.0'!$E$464:$X$506,30,TRUE), 'GCN_Post 1.0'!P493)), "")</f>
        <v/>
      </c>
      <c r="L123" s="9" t="str">
        <f>IFERROR(IF(L115&gt;TS, "", IF('GCN_Post 1.0'!Q493="",HLOOKUP((TotS)-L115+1,'GCN_Post 1.0'!$E$464:$X$506,30,TRUE), 'GCN_Post 1.0'!Q493)), "")</f>
        <v/>
      </c>
      <c r="M123" s="9" t="str">
        <f>IFERROR(IF(M115&gt;TS, "", IF('GCN_Post 1.0'!R493="",HLOOKUP((TotS)-M115+1,'GCN_Post 1.0'!$E$464:$X$506,30,TRUE), 'GCN_Post 1.0'!R493)), "")</f>
        <v/>
      </c>
      <c r="N123" s="9" t="str">
        <f>IFERROR(IF(N115&gt;TS, "", IF('GCN_Post 1.0'!S493="",HLOOKUP((TotS)-N115+1,'GCN_Post 1.0'!$E$464:$X$506,30,TRUE), 'GCN_Post 1.0'!S493)), "")</f>
        <v/>
      </c>
      <c r="O123" s="9" t="str">
        <f>IFERROR(IF(O115&gt;TS, "", IF('GCN_Post 1.0'!T493="",HLOOKUP((TotS)-O115+1,'GCN_Post 1.0'!$E$464:$X$506,30,TRUE), 'GCN_Post 1.0'!T493)), "")</f>
        <v/>
      </c>
      <c r="P123" s="9" t="str">
        <f>IFERROR(IF(P115&gt;TS, "", IF('GCN_Post 1.0'!U493="",HLOOKUP((TotS)-P115+1,'GCN_Post 1.0'!$E$464:$X$506,30,TRUE), 'GCN_Post 1.0'!U493)), "")</f>
        <v/>
      </c>
      <c r="Q123" s="9" t="str">
        <f>IFERROR(IF(Q115&gt;TS, "", IF('GCN_Post 1.0'!V493="",HLOOKUP((TotS)-Q115+1,'GCN_Post 1.0'!$E$464:$X$506,30,TRUE), 'GCN_Post 1.0'!V493)), "")</f>
        <v/>
      </c>
      <c r="R123" s="9" t="str">
        <f>IFERROR(IF(R115&gt;TS, "", IF('GCN_Post 1.0'!W493="",HLOOKUP((TotS)-R115+1,'GCN_Post 1.0'!$E$464:$X$506,30,TRUE), 'GCN_Post 1.0'!W493)), "")</f>
        <v/>
      </c>
      <c r="S123" s="9" t="str">
        <f>IFERROR(IF(S115&gt;TS, "", IF('GCN_Post 1.0'!X493="",HLOOKUP((TotS)-S115+1,'GCN_Post 1.0'!$E$464:$X$506,30,TRUE), 'GCN_Post 1.0'!X493)), "")</f>
        <v/>
      </c>
      <c r="T123" s="9" t="str">
        <f>IFERROR(IF(T115&gt;TS, "", IF('GCN_Post 1.0'!Y493="",HLOOKUP((TotS)-T115+1,'GCN_Post 1.0'!$E$464:$X$506,30,TRUE), 'GCN_Post 1.0'!Y493)), "")</f>
        <v/>
      </c>
      <c r="U123" s="9" t="str">
        <f>IFERROR(IF(U115&gt;TS, "", IF('GCN_Post 1.0'!Z493="",HLOOKUP((TotS)-U115+1,'GCN_Post 1.0'!$E$464:$X$506,30,TRUE), 'GCN_Post 1.0'!Z493)), "")</f>
        <v/>
      </c>
      <c r="V123" s="9" t="str">
        <f>IFERROR(IF(V115&gt;TS, "", IF('GCN_Post 1.0'!AA493="",HLOOKUP((TotS)-V115+1,'GCN_Post 1.0'!$E$464:$X$506,30,TRUE), 'GCN_Post 1.0'!AA493)), "")</f>
        <v/>
      </c>
      <c r="W123" s="9" t="str">
        <f>IFERROR(IF(W115&gt;TS, "", IF('GCN_Post 1.0'!AB493="",HLOOKUP((TotS)-W115+1,'GCN_Post 1.0'!$E$464:$X$506,30,TRUE), 'GCN_Post 1.0'!AB493)), "")</f>
        <v/>
      </c>
      <c r="X123" s="9" t="str">
        <f>IFERROR(IF(X115&gt;TS, "", IF('GCN_Post 1.0'!AC493="",HLOOKUP((TotS)-X115+1,'GCN_Post 1.0'!$E$464:$X$506,30,TRUE), 'GCN_Post 1.0'!AC493)), "")</f>
        <v/>
      </c>
      <c r="Y123" s="9" t="str">
        <f>IFERROR(IF(Y115&gt;TS, "", IF('GCN_Post 1.0'!AD493="",HLOOKUP((TotS)-Y115+1,'GCN_Post 1.0'!$E$464:$X$506,30,TRUE), 'GCN_Post 1.0'!AD493)), "")</f>
        <v/>
      </c>
      <c r="Z123" s="9" t="str">
        <f>IFERROR(IF(Z115&gt;TS, "", IF('GCN_Post 1.0'!AE493="",HLOOKUP((TotS)-Z115+1,'GCN_Post 1.0'!$E$464:$X$506,30,TRUE), 'GCN_Post 1.0'!AE493)), "")</f>
        <v/>
      </c>
      <c r="AA123" s="9" t="str">
        <f>IFERROR(IF(AA115&gt;TS, "", IF('GCN_Post 1.0'!AF493="",HLOOKUP((TotS)-AA115+1,'GCN_Post 1.0'!$E$464:$X$506,30,TRUE), 'GCN_Post 1.0'!AF493)), "")</f>
        <v/>
      </c>
      <c r="AB123" s="9" t="str">
        <f>IFERROR(IF(AB115&gt;TS, "", IF('GCN_Post 1.0'!AG493="",HLOOKUP((TotS)-AB115+1,'GCN_Post 1.0'!$E$464:$X$506,30,TRUE), 'GCN_Post 1.0'!AG493)), "")</f>
        <v/>
      </c>
      <c r="AC123" s="9" t="str">
        <f>IFERROR(IF(AC115&gt;TS, "", IF('GCN_Post 1.0'!AH493="",HLOOKUP((TotS)-AC115+1,'GCN_Post 1.0'!$E$464:$X$506,30,TRUE), 'GCN_Post 1.0'!AH493)), "")</f>
        <v/>
      </c>
      <c r="AD123" s="9" t="str">
        <f>IFERROR(IF(AD115&gt;TS, "", IF('GCN_Post 1.0'!AI493="",HLOOKUP((TotS)-AD115+1,'GCN_Post 1.0'!$E$464:$X$506,30,TRUE), 'GCN_Post 1.0'!AI493)), "")</f>
        <v/>
      </c>
      <c r="AE123" s="9" t="str">
        <f>IFERROR(IF(AE115&gt;TS, "", IF('GCN_Post 1.0'!AJ493="",HLOOKUP((TotS)-AE115+1,'GCN_Post 1.0'!$E$464:$X$506,30,TRUE), 'GCN_Post 1.0'!AJ493)), "")</f>
        <v/>
      </c>
      <c r="AF123" s="9" t="str">
        <f>IFERROR(IF(AF115&gt;TS, "", IF('GCN_Post 1.0'!AK493="",HLOOKUP((TotS)-AF115+1,'GCN_Post 1.0'!$E$464:$X$506,30,TRUE), 'GCN_Post 1.0'!AK493)), "")</f>
        <v/>
      </c>
      <c r="AG123" s="9" t="str">
        <f>IFERROR(IF(AG115&gt;TS, "", IF('GCN_Post 1.0'!AL493="",HLOOKUP((TotS)-AG115+1,'GCN_Post 1.0'!$E$464:$X$506,30,TRUE), 'GCN_Post 1.0'!AL493)), "")</f>
        <v/>
      </c>
      <c r="AH123" s="9" t="str">
        <f>IFERROR(IF(AH115&gt;TS, "", IF('GCN_Post 1.0'!AM493="",HLOOKUP((TotS)-AH115+1,'GCN_Post 1.0'!$E$464:$X$506,30,TRUE), 'GCN_Post 1.0'!AM493)), "")</f>
        <v/>
      </c>
      <c r="AI123" s="9" t="str">
        <f>IFERROR(IF(AI115&gt;TS, "", IF('GCN_Post 1.0'!AN493="",HLOOKUP((TotS)-AI115+1,'GCN_Post 1.0'!$E$464:$X$506,30,TRUE), 'GCN_Post 1.0'!AN493)), "")</f>
        <v/>
      </c>
      <c r="AJ123" s="9" t="str">
        <f>IFERROR(IF(AJ115&gt;TS, "", IF('GCN_Post 1.0'!AO493="",HLOOKUP((TotS)-AJ115+1,'GCN_Post 1.0'!$E$464:$X$506,30,TRUE), 'GCN_Post 1.0'!AO493)), "")</f>
        <v/>
      </c>
      <c r="AK123" s="9" t="str">
        <f>IFERROR(IF(AK115&gt;TS, "", IF('GCN_Post 1.0'!AP493="",HLOOKUP((TotS)-AK115+1,'GCN_Post 1.0'!$E$464:$X$506,30,TRUE), 'GCN_Post 1.0'!AP493)), "")</f>
        <v/>
      </c>
      <c r="AL123" s="9" t="str">
        <f>IFERROR(IF(AL115&gt;TS, "", IF('GCN_Post 1.0'!AQ493="",HLOOKUP((TotS)-AL115+1,'GCN_Post 1.0'!$E$464:$X$506,30,TRUE), 'GCN_Post 1.0'!AQ493)), "")</f>
        <v/>
      </c>
      <c r="AM123" s="9" t="str">
        <f>IFERROR(IF(AM115&gt;TS, "", IF('GCN_Post 1.0'!AR493="",HLOOKUP((TotS)-AM115+1,'GCN_Post 1.0'!$E$464:$X$506,30,TRUE), 'GCN_Post 1.0'!AR493)), "")</f>
        <v/>
      </c>
      <c r="AN123" s="9" t="str">
        <f>IFERROR(IF(AN115&gt;TS, "", IF('GCN_Post 1.0'!AS493="",HLOOKUP((TotS)-AN115+1,'GCN_Post 1.0'!$E$464:$X$506,30,TRUE), 'GCN_Post 1.0'!AS493)), "")</f>
        <v/>
      </c>
      <c r="AO123" s="9" t="str">
        <f>IFERROR(IF(AO115&gt;TS, "", IF('GCN_Post 1.0'!AT493="",HLOOKUP((TotS)-AO115+1,'GCN_Post 1.0'!$E$464:$X$506,30,TRUE), 'GCN_Post 1.0'!AT493)), "")</f>
        <v/>
      </c>
      <c r="AP123" s="9" t="str">
        <f>IFERROR(IF(AP115&gt;TS, "", IF('GCN_Post 1.0'!AU493="",HLOOKUP((TotS)-AP115+1,'GCN_Post 1.0'!$E$464:$X$506,30,TRUE), 'GCN_Post 1.0'!AU493)), "")</f>
        <v/>
      </c>
      <c r="AQ123" s="9" t="str">
        <f>IFERROR(IF(AQ115&gt;TS, "", IF('GCN_Post 1.0'!AV493="",HLOOKUP((TotS)-AQ115+1,'GCN_Post 1.0'!$E$464:$X$506,30,TRUE), 'GCN_Post 1.0'!AV493)), "")</f>
        <v/>
      </c>
    </row>
    <row r="124" spans="1:44" x14ac:dyDescent="0.25">
      <c r="B124" s="560"/>
      <c r="C124" s="601"/>
      <c r="D124" s="9" t="str">
        <f>'GCN_Post 1.0'!I494</f>
        <v/>
      </c>
      <c r="E124" s="9" t="str">
        <f>IFERROR(IF(E115&gt;TS, "", IF('GCN_Post 1.0'!J494="",HLOOKUP((TotS)-E115+1,'GCN_Post 1.0'!$E$464:$X$506,31,TRUE), 'GCN_Post 1.0'!J494)), "")</f>
        <v/>
      </c>
      <c r="F124" s="9" t="str">
        <f>IFERROR(IF(F115&gt;TS, "", IF('GCN_Post 1.0'!K494="",HLOOKUP((TotS)-F115+1,'GCN_Post 1.0'!$E$464:$X$506,31,TRUE), 'GCN_Post 1.0'!K494)), "")</f>
        <v/>
      </c>
      <c r="G124" s="9" t="str">
        <f>IFERROR(IF(G115&gt;TS, "", IF('GCN_Post 1.0'!L494="",HLOOKUP((TotS)-G115+1,'GCN_Post 1.0'!$E$464:$X$506,31,TRUE), 'GCN_Post 1.0'!L494)), "")</f>
        <v/>
      </c>
      <c r="H124" s="9" t="str">
        <f>IFERROR(IF(H115&gt;TS, "", IF('GCN_Post 1.0'!M494="",HLOOKUP((TotS)-H115+1,'GCN_Post 1.0'!$E$464:$X$506,31,TRUE), 'GCN_Post 1.0'!M494)), "")</f>
        <v/>
      </c>
      <c r="I124" s="9" t="str">
        <f>IFERROR(IF(I115&gt;TS, "", IF('GCN_Post 1.0'!N494="",HLOOKUP((TotS)-I115+1,'GCN_Post 1.0'!$E$464:$X$506,31,TRUE), 'GCN_Post 1.0'!N494)), "")</f>
        <v/>
      </c>
      <c r="J124" s="9" t="str">
        <f>IFERROR(IF(J115&gt;TS, "", IF('GCN_Post 1.0'!O494="",HLOOKUP((TotS)-J115+1,'GCN_Post 1.0'!$E$464:$X$506,31,TRUE), 'GCN_Post 1.0'!O494)), "")</f>
        <v/>
      </c>
      <c r="K124" s="9" t="str">
        <f>IFERROR(IF(K115&gt;TS, "", IF('GCN_Post 1.0'!P494="",HLOOKUP((TotS)-K115+1,'GCN_Post 1.0'!$E$464:$X$506,31,TRUE), 'GCN_Post 1.0'!P494)), "")</f>
        <v/>
      </c>
      <c r="L124" s="9" t="str">
        <f>IFERROR(IF(L115&gt;TS, "", IF('GCN_Post 1.0'!Q494="",HLOOKUP((TotS)-L115+1,'GCN_Post 1.0'!$E$464:$X$506,31,TRUE), 'GCN_Post 1.0'!Q494)), "")</f>
        <v/>
      </c>
      <c r="M124" s="9" t="str">
        <f>IFERROR(IF(M115&gt;TS, "", IF('GCN_Post 1.0'!R494="",HLOOKUP((TotS)-M115+1,'GCN_Post 1.0'!$E$464:$X$506,31,TRUE), 'GCN_Post 1.0'!R494)), "")</f>
        <v/>
      </c>
      <c r="N124" s="9" t="str">
        <f>IFERROR(IF(N115&gt;TS, "", IF('GCN_Post 1.0'!S494="",HLOOKUP((TotS)-N115+1,'GCN_Post 1.0'!$E$464:$X$506,31,TRUE), 'GCN_Post 1.0'!S494)), "")</f>
        <v/>
      </c>
      <c r="O124" s="9" t="str">
        <f>IFERROR(IF(O115&gt;TS, "", IF('GCN_Post 1.0'!T494="",HLOOKUP((TotS)-O115+1,'GCN_Post 1.0'!$E$464:$X$506,31,TRUE), 'GCN_Post 1.0'!T494)), "")</f>
        <v/>
      </c>
      <c r="P124" s="9" t="str">
        <f>IFERROR(IF(P115&gt;TS, "", IF('GCN_Post 1.0'!U494="",HLOOKUP((TotS)-P115+1,'GCN_Post 1.0'!$E$464:$X$506,31,TRUE), 'GCN_Post 1.0'!U494)), "")</f>
        <v/>
      </c>
      <c r="Q124" s="9" t="str">
        <f>IFERROR(IF(Q115&gt;TS, "", IF('GCN_Post 1.0'!V494="",HLOOKUP((TotS)-Q115+1,'GCN_Post 1.0'!$E$464:$X$506,31,TRUE), 'GCN_Post 1.0'!V494)), "")</f>
        <v/>
      </c>
      <c r="R124" s="9" t="str">
        <f>IFERROR(IF(R115&gt;TS, "", IF('GCN_Post 1.0'!W494="",HLOOKUP((TotS)-R115+1,'GCN_Post 1.0'!$E$464:$X$506,31,TRUE), 'GCN_Post 1.0'!W494)), "")</f>
        <v/>
      </c>
      <c r="S124" s="9" t="str">
        <f>IFERROR(IF(S115&gt;TS, "", IF('GCN_Post 1.0'!X494="",HLOOKUP((TotS)-S115+1,'GCN_Post 1.0'!$E$464:$X$506,31,TRUE), 'GCN_Post 1.0'!X494)), "")</f>
        <v/>
      </c>
      <c r="T124" s="9" t="str">
        <f>IFERROR(IF(T115&gt;TS, "", IF('GCN_Post 1.0'!Y494="",HLOOKUP((TotS)-T115+1,'GCN_Post 1.0'!$E$464:$X$506,31,TRUE), 'GCN_Post 1.0'!Y494)), "")</f>
        <v/>
      </c>
      <c r="U124" s="9" t="str">
        <f>IFERROR(IF(U115&gt;TS, "", IF('GCN_Post 1.0'!Z494="",HLOOKUP((TotS)-U115+1,'GCN_Post 1.0'!$E$464:$X$506,31,TRUE), 'GCN_Post 1.0'!Z494)), "")</f>
        <v/>
      </c>
      <c r="V124" s="9" t="str">
        <f>IFERROR(IF(V115&gt;TS, "", IF('GCN_Post 1.0'!AA494="",HLOOKUP((TotS)-V115+1,'GCN_Post 1.0'!$E$464:$X$506,31,TRUE), 'GCN_Post 1.0'!AA494)), "")</f>
        <v/>
      </c>
      <c r="W124" s="9" t="str">
        <f>IFERROR(IF(W115&gt;TS, "", IF('GCN_Post 1.0'!AB494="",HLOOKUP((TotS)-W115+1,'GCN_Post 1.0'!$E$464:$X$506,31,TRUE), 'GCN_Post 1.0'!AB494)), "")</f>
        <v/>
      </c>
      <c r="X124" s="9" t="str">
        <f>IFERROR(IF(X115&gt;TS, "", IF('GCN_Post 1.0'!AC494="",HLOOKUP((TotS)-X115+1,'GCN_Post 1.0'!$E$464:$X$506,31,TRUE), 'GCN_Post 1.0'!AC494)), "")</f>
        <v/>
      </c>
      <c r="Y124" s="9" t="str">
        <f>IFERROR(IF(Y115&gt;TS, "", IF('GCN_Post 1.0'!AD494="",HLOOKUP((TotS)-Y115+1,'GCN_Post 1.0'!$E$464:$X$506,31,TRUE), 'GCN_Post 1.0'!AD494)), "")</f>
        <v/>
      </c>
      <c r="Z124" s="9" t="str">
        <f>IFERROR(IF(Z115&gt;TS, "", IF('GCN_Post 1.0'!AE494="",HLOOKUP((TotS)-Z115+1,'GCN_Post 1.0'!$E$464:$X$506,31,TRUE), 'GCN_Post 1.0'!AE494)), "")</f>
        <v/>
      </c>
      <c r="AA124" s="9" t="str">
        <f>IFERROR(IF(AA115&gt;TS, "", IF('GCN_Post 1.0'!AF494="",HLOOKUP((TotS)-AA115+1,'GCN_Post 1.0'!$E$464:$X$506,31,TRUE), 'GCN_Post 1.0'!AF494)), "")</f>
        <v/>
      </c>
      <c r="AB124" s="9" t="str">
        <f>IFERROR(IF(AB115&gt;TS, "", IF('GCN_Post 1.0'!AG494="",HLOOKUP((TotS)-AB115+1,'GCN_Post 1.0'!$E$464:$X$506,31,TRUE), 'GCN_Post 1.0'!AG494)), "")</f>
        <v/>
      </c>
      <c r="AC124" s="9" t="str">
        <f>IFERROR(IF(AC115&gt;TS, "", IF('GCN_Post 1.0'!AH494="",HLOOKUP((TotS)-AC115+1,'GCN_Post 1.0'!$E$464:$X$506,31,TRUE), 'GCN_Post 1.0'!AH494)), "")</f>
        <v/>
      </c>
      <c r="AD124" s="9" t="str">
        <f>IFERROR(IF(AD115&gt;TS, "", IF('GCN_Post 1.0'!AI494="",HLOOKUP((TotS)-AD115+1,'GCN_Post 1.0'!$E$464:$X$506,31,TRUE), 'GCN_Post 1.0'!AI494)), "")</f>
        <v/>
      </c>
      <c r="AE124" s="9" t="str">
        <f>IFERROR(IF(AE115&gt;TS, "", IF('GCN_Post 1.0'!AJ494="",HLOOKUP((TotS)-AE115+1,'GCN_Post 1.0'!$E$464:$X$506,31,TRUE), 'GCN_Post 1.0'!AJ494)), "")</f>
        <v/>
      </c>
      <c r="AF124" s="9" t="str">
        <f>IFERROR(IF(AF115&gt;TS, "", IF('GCN_Post 1.0'!AK494="",HLOOKUP((TotS)-AF115+1,'GCN_Post 1.0'!$E$464:$X$506,31,TRUE), 'GCN_Post 1.0'!AK494)), "")</f>
        <v/>
      </c>
      <c r="AG124" s="9" t="str">
        <f>IFERROR(IF(AG115&gt;TS, "", IF('GCN_Post 1.0'!AL494="",HLOOKUP((TotS)-AG115+1,'GCN_Post 1.0'!$E$464:$X$506,31,TRUE), 'GCN_Post 1.0'!AL494)), "")</f>
        <v/>
      </c>
      <c r="AH124" s="9" t="str">
        <f>IFERROR(IF(AH115&gt;TS, "", IF('GCN_Post 1.0'!AM494="",HLOOKUP((TotS)-AH115+1,'GCN_Post 1.0'!$E$464:$X$506,31,TRUE), 'GCN_Post 1.0'!AM494)), "")</f>
        <v/>
      </c>
      <c r="AI124" s="9" t="str">
        <f>IFERROR(IF(AI115&gt;TS, "", IF('GCN_Post 1.0'!AN494="",HLOOKUP((TotS)-AI115+1,'GCN_Post 1.0'!$E$464:$X$506,31,TRUE), 'GCN_Post 1.0'!AN494)), "")</f>
        <v/>
      </c>
      <c r="AJ124" s="9" t="str">
        <f>IFERROR(IF(AJ115&gt;TS, "", IF('GCN_Post 1.0'!AO494="",HLOOKUP((TotS)-AJ115+1,'GCN_Post 1.0'!$E$464:$X$506,31,TRUE), 'GCN_Post 1.0'!AO494)), "")</f>
        <v/>
      </c>
      <c r="AK124" s="9" t="str">
        <f>IFERROR(IF(AK115&gt;TS, "", IF('GCN_Post 1.0'!AP494="",HLOOKUP((TotS)-AK115+1,'GCN_Post 1.0'!$E$464:$X$506,31,TRUE), 'GCN_Post 1.0'!AP494)), "")</f>
        <v/>
      </c>
      <c r="AL124" s="9" t="str">
        <f>IFERROR(IF(AL115&gt;TS, "", IF('GCN_Post 1.0'!AQ494="",HLOOKUP((TotS)-AL115+1,'GCN_Post 1.0'!$E$464:$X$506,31,TRUE), 'GCN_Post 1.0'!AQ494)), "")</f>
        <v/>
      </c>
      <c r="AM124" s="9" t="str">
        <f>IFERROR(IF(AM115&gt;TS, "", IF('GCN_Post 1.0'!AR494="",HLOOKUP((TotS)-AM115+1,'GCN_Post 1.0'!$E$464:$X$506,31,TRUE), 'GCN_Post 1.0'!AR494)), "")</f>
        <v/>
      </c>
      <c r="AN124" s="9" t="str">
        <f>IFERROR(IF(AN115&gt;TS, "", IF('GCN_Post 1.0'!AS494="",HLOOKUP((TotS)-AN115+1,'GCN_Post 1.0'!$E$464:$X$506,31,TRUE), 'GCN_Post 1.0'!AS494)), "")</f>
        <v/>
      </c>
      <c r="AO124" s="9" t="str">
        <f>IFERROR(IF(AO115&gt;TS, "", IF('GCN_Post 1.0'!AT494="",HLOOKUP((TotS)-AO115+1,'GCN_Post 1.0'!$E$464:$X$506,31,TRUE), 'GCN_Post 1.0'!AT494)), "")</f>
        <v/>
      </c>
      <c r="AP124" s="9" t="str">
        <f>IFERROR(IF(AP115&gt;TS, "", IF('GCN_Post 1.0'!AU494="",HLOOKUP((TotS)-AP115+1,'GCN_Post 1.0'!$E$464:$X$506,31,TRUE), 'GCN_Post 1.0'!AU494)), "")</f>
        <v/>
      </c>
      <c r="AQ124" s="9" t="str">
        <f>IFERROR(IF(AQ115&gt;TS, "", IF('GCN_Post 1.0'!AV494="",HLOOKUP((TotS)-AQ115+1,'GCN_Post 1.0'!$E$464:$X$506,31,TRUE), 'GCN_Post 1.0'!AV494)), "")</f>
        <v/>
      </c>
    </row>
    <row r="126" spans="1:44" ht="15" customHeight="1" x14ac:dyDescent="0.25">
      <c r="B126" s="663" t="s">
        <v>740</v>
      </c>
      <c r="C126" s="572"/>
      <c r="D126" s="9" t="str">
        <f>'GCN_Post 1.0'!I495</f>
        <v/>
      </c>
      <c r="E126" s="9" t="str">
        <f>IFERROR(IF('GCN_Post 1.0'!J495="",HLOOKUP((TotS)-E115+1, 'GCN_Post 1.0'!$E$464:$X$506,32,TRUE), 'GCN_Post 1.0'!J495),"")</f>
        <v/>
      </c>
      <c r="F126" s="9" t="str">
        <f>IFERROR(IF('GCN_Post 1.0'!K495="",HLOOKUP((TotS)-F115+1, 'GCN_Post 1.0'!$E$464:$X$506,32,TRUE), 'GCN_Post 1.0'!K495),"")</f>
        <v/>
      </c>
      <c r="G126" s="9" t="str">
        <f>IFERROR(IF('GCN_Post 1.0'!L495="",HLOOKUP((TotS)-G115+1, 'GCN_Post 1.0'!$E$464:$X$506,32,TRUE), 'GCN_Post 1.0'!L495),"")</f>
        <v/>
      </c>
      <c r="H126" s="9" t="str">
        <f>IFERROR(IF('GCN_Post 1.0'!M495="",HLOOKUP((TotS)-H115+1, 'GCN_Post 1.0'!$E$464:$X$506,32,TRUE), 'GCN_Post 1.0'!M495),"")</f>
        <v/>
      </c>
      <c r="I126" s="9" t="str">
        <f>IFERROR(IF('GCN_Post 1.0'!N495="",HLOOKUP((TotS)-I115+1, 'GCN_Post 1.0'!$E$464:$X$506,32,TRUE), 'GCN_Post 1.0'!N495),"")</f>
        <v/>
      </c>
      <c r="J126" s="9" t="str">
        <f>IFERROR(IF('GCN_Post 1.0'!O495="",HLOOKUP((TotS)-J115+1, 'GCN_Post 1.0'!$E$464:$X$506,32,TRUE), 'GCN_Post 1.0'!O495),"")</f>
        <v/>
      </c>
      <c r="K126" s="9" t="str">
        <f>IFERROR(IF('GCN_Post 1.0'!P495="",HLOOKUP((TotS)-K115+1, 'GCN_Post 1.0'!$E$464:$X$506,32,TRUE), 'GCN_Post 1.0'!P495),"")</f>
        <v/>
      </c>
      <c r="L126" s="9" t="str">
        <f>IFERROR(IF('GCN_Post 1.0'!Q495="",HLOOKUP((TotS)-L115+1, 'GCN_Post 1.0'!$E$464:$X$506,32,TRUE), 'GCN_Post 1.0'!Q495),"")</f>
        <v/>
      </c>
      <c r="M126" s="9" t="str">
        <f>IFERROR(IF('GCN_Post 1.0'!R495="",HLOOKUP((TotS)-M115+1, 'GCN_Post 1.0'!$E$464:$X$506,32,TRUE), 'GCN_Post 1.0'!R495),"")</f>
        <v/>
      </c>
      <c r="N126" s="9" t="str">
        <f>IFERROR(IF('GCN_Post 1.0'!S495="",HLOOKUP((TotS)-N115+1, 'GCN_Post 1.0'!$E$464:$X$506,32,TRUE), 'GCN_Post 1.0'!S495),"")</f>
        <v/>
      </c>
      <c r="O126" s="9" t="str">
        <f>IFERROR(IF('GCN_Post 1.0'!T495="",HLOOKUP((TotS)-O115+1, 'GCN_Post 1.0'!$E$464:$X$506,32,TRUE), 'GCN_Post 1.0'!T495),"")</f>
        <v/>
      </c>
      <c r="P126" s="9" t="str">
        <f>IFERROR(IF('GCN_Post 1.0'!U495="",HLOOKUP((TotS)-P115+1, 'GCN_Post 1.0'!$E$464:$X$506,32,TRUE), 'GCN_Post 1.0'!U495),"")</f>
        <v/>
      </c>
      <c r="Q126" s="9" t="str">
        <f>IFERROR(IF('GCN_Post 1.0'!V495="",HLOOKUP((TotS)-Q115+1, 'GCN_Post 1.0'!$E$464:$X$506,32,TRUE), 'GCN_Post 1.0'!V495),"")</f>
        <v/>
      </c>
      <c r="R126" s="9" t="str">
        <f>IFERROR(IF('GCN_Post 1.0'!W495="",HLOOKUP((TotS)-R115+1, 'GCN_Post 1.0'!$E$464:$X$506,32,TRUE), 'GCN_Post 1.0'!W495),"")</f>
        <v/>
      </c>
      <c r="S126" s="9" t="str">
        <f>IFERROR(IF('GCN_Post 1.0'!X495="",HLOOKUP((TotS)-S115+1, 'GCN_Post 1.0'!$E$464:$X$506,32,TRUE), 'GCN_Post 1.0'!X495),"")</f>
        <v/>
      </c>
      <c r="T126" s="9" t="str">
        <f>IFERROR(IF('GCN_Post 1.0'!Y495="",HLOOKUP((TotS)-T115+1, 'GCN_Post 1.0'!$E$464:$X$506,32,TRUE), 'GCN_Post 1.0'!Y495),"")</f>
        <v/>
      </c>
      <c r="U126" s="9" t="str">
        <f>IFERROR(IF('GCN_Post 1.0'!Z495="",HLOOKUP((TotS)-U115+1, 'GCN_Post 1.0'!$E$464:$X$506,32,TRUE), 'GCN_Post 1.0'!Z495),"")</f>
        <v/>
      </c>
      <c r="V126" s="9" t="str">
        <f>IFERROR(IF('GCN_Post 1.0'!AA495="",HLOOKUP((TotS)-V115+1, 'GCN_Post 1.0'!$E$464:$X$506,32,TRUE), 'GCN_Post 1.0'!AA495),"")</f>
        <v/>
      </c>
      <c r="W126" s="9" t="str">
        <f>IFERROR(IF('GCN_Post 1.0'!AB495="",HLOOKUP((TotS)-W115+1, 'GCN_Post 1.0'!$E$464:$X$506,32,TRUE), 'GCN_Post 1.0'!AB495),"")</f>
        <v/>
      </c>
      <c r="X126" s="9" t="str">
        <f>IFERROR(IF('GCN_Post 1.0'!AC495="",HLOOKUP((TotS)-X115+1, 'GCN_Post 1.0'!$E$464:$X$506,32,TRUE), 'GCN_Post 1.0'!AC495),"")</f>
        <v/>
      </c>
      <c r="Y126" s="9" t="str">
        <f>IFERROR(IF('GCN_Post 1.0'!AD495="",HLOOKUP((TotS)-Y115+1, 'GCN_Post 1.0'!$E$464:$X$506,32,TRUE), 'GCN_Post 1.0'!AD495),"")</f>
        <v/>
      </c>
      <c r="Z126" s="9" t="str">
        <f>IFERROR(IF('GCN_Post 1.0'!AE495="",HLOOKUP((TotS)-Z115+1, 'GCN_Post 1.0'!$E$464:$X$506,32,TRUE), 'GCN_Post 1.0'!AE495),"")</f>
        <v/>
      </c>
      <c r="AA126" s="9" t="str">
        <f>IFERROR(IF('GCN_Post 1.0'!AF495="",HLOOKUP((TotS)-AA115+1, 'GCN_Post 1.0'!$E$464:$X$506,32,TRUE), 'GCN_Post 1.0'!AF495),"")</f>
        <v/>
      </c>
      <c r="AB126" s="9" t="str">
        <f>IFERROR(IF('GCN_Post 1.0'!AG495="",HLOOKUP((TotS)-AB115+1, 'GCN_Post 1.0'!$E$464:$X$506,32,TRUE), 'GCN_Post 1.0'!AG495),"")</f>
        <v/>
      </c>
      <c r="AC126" s="9" t="str">
        <f>IFERROR(IF('GCN_Post 1.0'!AH495="",HLOOKUP((TotS)-AC115+1, 'GCN_Post 1.0'!$E$464:$X$506,32,TRUE), 'GCN_Post 1.0'!AH495),"")</f>
        <v/>
      </c>
      <c r="AD126" s="9" t="str">
        <f>IFERROR(IF('GCN_Post 1.0'!AI495="",HLOOKUP((TotS)-AD115+1, 'GCN_Post 1.0'!$E$464:$X$506,32,TRUE), 'GCN_Post 1.0'!AI495),"")</f>
        <v/>
      </c>
      <c r="AE126" s="9" t="str">
        <f>IFERROR(IF('GCN_Post 1.0'!AJ495="",HLOOKUP((TotS)-AE115+1, 'GCN_Post 1.0'!$E$464:$X$506,32,TRUE), 'GCN_Post 1.0'!AJ495),"")</f>
        <v/>
      </c>
      <c r="AF126" s="9" t="str">
        <f>IFERROR(IF('GCN_Post 1.0'!AK495="",HLOOKUP((TotS)-AF115+1, 'GCN_Post 1.0'!$E$464:$X$506,32,TRUE), 'GCN_Post 1.0'!AK495),"")</f>
        <v/>
      </c>
      <c r="AG126" s="9" t="str">
        <f>IFERROR(IF('GCN_Post 1.0'!AL495="",HLOOKUP((TotS)-AG115+1, 'GCN_Post 1.0'!$E$464:$X$506,32,TRUE), 'GCN_Post 1.0'!AL495),"")</f>
        <v/>
      </c>
      <c r="AH126" s="9" t="str">
        <f>IFERROR(IF('GCN_Post 1.0'!AM495="",HLOOKUP((TotS)-AH115+1, 'GCN_Post 1.0'!$E$464:$X$506,32,TRUE), 'GCN_Post 1.0'!AM495),"")</f>
        <v/>
      </c>
      <c r="AI126" s="9" t="str">
        <f>IFERROR(IF('GCN_Post 1.0'!AN495="",HLOOKUP((TotS)-AI115+1, 'GCN_Post 1.0'!$E$464:$X$506,32,TRUE), 'GCN_Post 1.0'!AN495),"")</f>
        <v/>
      </c>
      <c r="AJ126" s="9" t="str">
        <f>IFERROR(IF('GCN_Post 1.0'!AO495="",HLOOKUP((TotS)-AJ115+1, 'GCN_Post 1.0'!$E$464:$X$506,32,TRUE), 'GCN_Post 1.0'!AO495),"")</f>
        <v/>
      </c>
      <c r="AK126" s="9" t="str">
        <f>IFERROR(IF('GCN_Post 1.0'!AP495="",HLOOKUP((TotS)-AK115+1, 'GCN_Post 1.0'!$E$464:$X$506,32,TRUE), 'GCN_Post 1.0'!AP495),"")</f>
        <v/>
      </c>
      <c r="AL126" s="9" t="str">
        <f>IFERROR(IF('GCN_Post 1.0'!AQ495="",HLOOKUP((TotS)-AL115+1, 'GCN_Post 1.0'!$E$464:$X$506,32,TRUE), 'GCN_Post 1.0'!AQ495),"")</f>
        <v/>
      </c>
      <c r="AM126" s="9" t="str">
        <f>IFERROR(IF('GCN_Post 1.0'!AR495="",HLOOKUP((TotS)-AM115+1, 'GCN_Post 1.0'!$E$464:$X$506,32,TRUE), 'GCN_Post 1.0'!AR495),"")</f>
        <v/>
      </c>
      <c r="AN126" s="9" t="str">
        <f>IFERROR(IF('GCN_Post 1.0'!AS495="",HLOOKUP((TotS)-AN115+1, 'GCN_Post 1.0'!$E$464:$X$506,32,TRUE), 'GCN_Post 1.0'!AS495),"")</f>
        <v/>
      </c>
      <c r="AO126" s="9" t="str">
        <f>IFERROR(IF('GCN_Post 1.0'!AT495="",HLOOKUP((TotS)-AO115+1, 'GCN_Post 1.0'!$E$464:$X$506,32,TRUE), 'GCN_Post 1.0'!AT495),"")</f>
        <v/>
      </c>
      <c r="AP126" s="9" t="str">
        <f>IFERROR(IF('GCN_Post 1.0'!AU495="",HLOOKUP((TotS)-AP115+1, 'GCN_Post 1.0'!$E$464:$X$506,32,TRUE), 'GCN_Post 1.0'!AU495),"")</f>
        <v/>
      </c>
      <c r="AQ126" s="9" t="str">
        <f>IFERROR(IF('GCN_Post 1.0'!AV495="",HLOOKUP((TotS)-AQ115+1, 'GCN_Post 1.0'!$E$464:$X$506,32,TRUE), 'GCN_Post 1.0'!AV495),"")</f>
        <v/>
      </c>
    </row>
    <row r="127" spans="1:44" x14ac:dyDescent="0.25">
      <c r="B127" s="555"/>
      <c r="C127" s="565"/>
      <c r="D127" s="9" t="str">
        <f>'GCN_Post 1.0'!I496</f>
        <v/>
      </c>
      <c r="E127" s="9" t="str">
        <f>IFERROR(IF('GCN_Post 1.0'!J496="",HLOOKUP((TotS)-E115+1, 'GCN_Post 1.0'!$E$464:$X$506,33,TRUE), 'GCN_Post 1.0'!J496),"")</f>
        <v/>
      </c>
      <c r="F127" s="9" t="str">
        <f>IFERROR(IF('GCN_Post 1.0'!K496="",HLOOKUP((TotS)-F115+1, 'GCN_Post 1.0'!$E$464:$X$506,33,TRUE), 'GCN_Post 1.0'!K496),"")</f>
        <v/>
      </c>
      <c r="G127" s="9" t="str">
        <f>IFERROR(IF('GCN_Post 1.0'!L496="",HLOOKUP((TotS)-G115+1, 'GCN_Post 1.0'!$E$464:$X$506,33,TRUE), 'GCN_Post 1.0'!L496),"")</f>
        <v/>
      </c>
      <c r="H127" s="9" t="str">
        <f>IFERROR(IF('GCN_Post 1.0'!M496="",HLOOKUP((TotS)-H115+1, 'GCN_Post 1.0'!$E$464:$X$506,33,TRUE), 'GCN_Post 1.0'!M496),"")</f>
        <v/>
      </c>
      <c r="I127" s="9" t="str">
        <f>IFERROR(IF('GCN_Post 1.0'!N496="",HLOOKUP((TotS)-I115+1, 'GCN_Post 1.0'!$E$464:$X$506,33,TRUE), 'GCN_Post 1.0'!N496),"")</f>
        <v/>
      </c>
      <c r="J127" s="9" t="str">
        <f>IFERROR(IF('GCN_Post 1.0'!O496="",HLOOKUP((TotS)-J115+1, 'GCN_Post 1.0'!$E$464:$X$506,33,TRUE), 'GCN_Post 1.0'!O496),"")</f>
        <v/>
      </c>
      <c r="K127" s="9" t="str">
        <f>IFERROR(IF('GCN_Post 1.0'!P496="",HLOOKUP((TotS)-K115+1, 'GCN_Post 1.0'!$E$464:$X$506,33,TRUE), 'GCN_Post 1.0'!P496),"")</f>
        <v/>
      </c>
      <c r="L127" s="9" t="str">
        <f>IFERROR(IF('GCN_Post 1.0'!Q496="",HLOOKUP((TotS)-L115+1, 'GCN_Post 1.0'!$E$464:$X$506,33,TRUE), 'GCN_Post 1.0'!Q496),"")</f>
        <v/>
      </c>
      <c r="M127" s="9" t="str">
        <f>IFERROR(IF('GCN_Post 1.0'!R496="",HLOOKUP((TotS)-M115+1, 'GCN_Post 1.0'!$E$464:$X$506,33,TRUE), 'GCN_Post 1.0'!R496),"")</f>
        <v/>
      </c>
      <c r="N127" s="9" t="str">
        <f>IFERROR(IF('GCN_Post 1.0'!S496="",HLOOKUP((TotS)-N115+1, 'GCN_Post 1.0'!$E$464:$X$506,33,TRUE), 'GCN_Post 1.0'!S496),"")</f>
        <v/>
      </c>
      <c r="O127" s="9" t="str">
        <f>IFERROR(IF('GCN_Post 1.0'!T496="",HLOOKUP((TotS)-O115+1, 'GCN_Post 1.0'!$E$464:$X$506,33,TRUE), 'GCN_Post 1.0'!T496),"")</f>
        <v/>
      </c>
      <c r="P127" s="9" t="str">
        <f>IFERROR(IF('GCN_Post 1.0'!U496="",HLOOKUP((TotS)-P115+1, 'GCN_Post 1.0'!$E$464:$X$506,33,TRUE), 'GCN_Post 1.0'!U496),"")</f>
        <v/>
      </c>
      <c r="Q127" s="9" t="str">
        <f>IFERROR(IF('GCN_Post 1.0'!V496="",HLOOKUP((TotS)-Q115+1, 'GCN_Post 1.0'!$E$464:$X$506,33,TRUE), 'GCN_Post 1.0'!V496),"")</f>
        <v/>
      </c>
      <c r="R127" s="9" t="str">
        <f>IFERROR(IF('GCN_Post 1.0'!W496="",HLOOKUP((TotS)-R115+1, 'GCN_Post 1.0'!$E$464:$X$506,33,TRUE), 'GCN_Post 1.0'!W496),"")</f>
        <v/>
      </c>
      <c r="S127" s="9" t="str">
        <f>IFERROR(IF('GCN_Post 1.0'!X496="",HLOOKUP((TotS)-S115+1, 'GCN_Post 1.0'!$E$464:$X$506,33,TRUE), 'GCN_Post 1.0'!X496),"")</f>
        <v/>
      </c>
      <c r="T127" s="9" t="str">
        <f>IFERROR(IF('GCN_Post 1.0'!Y496="",HLOOKUP((TotS)-T115+1, 'GCN_Post 1.0'!$E$464:$X$506,33,TRUE), 'GCN_Post 1.0'!Y496),"")</f>
        <v/>
      </c>
      <c r="U127" s="9" t="str">
        <f>IFERROR(IF('GCN_Post 1.0'!Z496="",HLOOKUP((TotS)-U115+1, 'GCN_Post 1.0'!$E$464:$X$506,33,TRUE), 'GCN_Post 1.0'!Z496),"")</f>
        <v/>
      </c>
      <c r="V127" s="9" t="str">
        <f>IFERROR(IF('GCN_Post 1.0'!AA496="",HLOOKUP((TotS)-V115+1, 'GCN_Post 1.0'!$E$464:$X$506,33,TRUE), 'GCN_Post 1.0'!AA496),"")</f>
        <v/>
      </c>
      <c r="W127" s="9" t="str">
        <f>IFERROR(IF('GCN_Post 1.0'!AB496="",HLOOKUP((TotS)-W115+1, 'GCN_Post 1.0'!$E$464:$X$506,33,TRUE), 'GCN_Post 1.0'!AB496),"")</f>
        <v/>
      </c>
      <c r="X127" s="9" t="str">
        <f>IFERROR(IF('GCN_Post 1.0'!AC496="",HLOOKUP((TotS)-X115+1, 'GCN_Post 1.0'!$E$464:$X$506,33,TRUE), 'GCN_Post 1.0'!AC496),"")</f>
        <v/>
      </c>
      <c r="Y127" s="9" t="str">
        <f>IFERROR(IF('GCN_Post 1.0'!AD496="",HLOOKUP((TotS)-Y115+1, 'GCN_Post 1.0'!$E$464:$X$506,33,TRUE), 'GCN_Post 1.0'!AD496),"")</f>
        <v/>
      </c>
      <c r="Z127" s="9" t="str">
        <f>IFERROR(IF('GCN_Post 1.0'!AE496="",HLOOKUP((TotS)-Z115+1, 'GCN_Post 1.0'!$E$464:$X$506,33,TRUE), 'GCN_Post 1.0'!AE496),"")</f>
        <v/>
      </c>
      <c r="AA127" s="9" t="str">
        <f>IFERROR(IF('GCN_Post 1.0'!AF496="",HLOOKUP((TotS)-AA115+1, 'GCN_Post 1.0'!$E$464:$X$506,33,TRUE), 'GCN_Post 1.0'!AF496),"")</f>
        <v/>
      </c>
      <c r="AB127" s="9" t="str">
        <f>IFERROR(IF('GCN_Post 1.0'!AG496="",HLOOKUP((TotS)-AB115+1, 'GCN_Post 1.0'!$E$464:$X$506,33,TRUE), 'GCN_Post 1.0'!AG496),"")</f>
        <v/>
      </c>
      <c r="AC127" s="9" t="str">
        <f>IFERROR(IF('GCN_Post 1.0'!AH496="",HLOOKUP((TotS)-AC115+1, 'GCN_Post 1.0'!$E$464:$X$506,33,TRUE), 'GCN_Post 1.0'!AH496),"")</f>
        <v/>
      </c>
      <c r="AD127" s="9" t="str">
        <f>IFERROR(IF('GCN_Post 1.0'!AI496="",HLOOKUP((TotS)-AD115+1, 'GCN_Post 1.0'!$E$464:$X$506,33,TRUE), 'GCN_Post 1.0'!AI496),"")</f>
        <v/>
      </c>
      <c r="AE127" s="9" t="str">
        <f>IFERROR(IF('GCN_Post 1.0'!AJ496="",HLOOKUP((TotS)-AE115+1, 'GCN_Post 1.0'!$E$464:$X$506,33,TRUE), 'GCN_Post 1.0'!AJ496),"")</f>
        <v/>
      </c>
      <c r="AF127" s="9" t="str">
        <f>IFERROR(IF('GCN_Post 1.0'!AK496="",HLOOKUP((TotS)-AF115+1, 'GCN_Post 1.0'!$E$464:$X$506,33,TRUE), 'GCN_Post 1.0'!AK496),"")</f>
        <v/>
      </c>
      <c r="AG127" s="9" t="str">
        <f>IFERROR(IF('GCN_Post 1.0'!AL496="",HLOOKUP((TotS)-AG115+1, 'GCN_Post 1.0'!$E$464:$X$506,33,TRUE), 'GCN_Post 1.0'!AL496),"")</f>
        <v/>
      </c>
      <c r="AH127" s="9" t="str">
        <f>IFERROR(IF('GCN_Post 1.0'!AM496="",HLOOKUP((TotS)-AH115+1, 'GCN_Post 1.0'!$E$464:$X$506,33,TRUE), 'GCN_Post 1.0'!AM496),"")</f>
        <v/>
      </c>
      <c r="AI127" s="9" t="str">
        <f>IFERROR(IF('GCN_Post 1.0'!AN496="",HLOOKUP((TotS)-AI115+1, 'GCN_Post 1.0'!$E$464:$X$506,33,TRUE), 'GCN_Post 1.0'!AN496),"")</f>
        <v/>
      </c>
      <c r="AJ127" s="9" t="str">
        <f>IFERROR(IF('GCN_Post 1.0'!AO496="",HLOOKUP((TotS)-AJ115+1, 'GCN_Post 1.0'!$E$464:$X$506,33,TRUE), 'GCN_Post 1.0'!AO496),"")</f>
        <v/>
      </c>
      <c r="AK127" s="9" t="str">
        <f>IFERROR(IF('GCN_Post 1.0'!AP496="",HLOOKUP((TotS)-AK115+1, 'GCN_Post 1.0'!$E$464:$X$506,33,TRUE), 'GCN_Post 1.0'!AP496),"")</f>
        <v/>
      </c>
      <c r="AL127" s="9" t="str">
        <f>IFERROR(IF('GCN_Post 1.0'!AQ496="",HLOOKUP((TotS)-AL115+1, 'GCN_Post 1.0'!$E$464:$X$506,33,TRUE), 'GCN_Post 1.0'!AQ496),"")</f>
        <v/>
      </c>
      <c r="AM127" s="9" t="str">
        <f>IFERROR(IF('GCN_Post 1.0'!AR496="",HLOOKUP((TotS)-AM115+1, 'GCN_Post 1.0'!$E$464:$X$506,33,TRUE), 'GCN_Post 1.0'!AR496),"")</f>
        <v/>
      </c>
      <c r="AN127" s="9" t="str">
        <f>IFERROR(IF('GCN_Post 1.0'!AS496="",HLOOKUP((TotS)-AN115+1, 'GCN_Post 1.0'!$E$464:$X$506,33,TRUE), 'GCN_Post 1.0'!AS496),"")</f>
        <v/>
      </c>
      <c r="AO127" s="9" t="str">
        <f>IFERROR(IF('GCN_Post 1.0'!AT496="",HLOOKUP((TotS)-AO115+1, 'GCN_Post 1.0'!$E$464:$X$506,33,TRUE), 'GCN_Post 1.0'!AT496),"")</f>
        <v/>
      </c>
      <c r="AP127" s="9" t="str">
        <f>IFERROR(IF('GCN_Post 1.0'!AU496="",HLOOKUP((TotS)-AP115+1, 'GCN_Post 1.0'!$E$464:$X$506,33,TRUE), 'GCN_Post 1.0'!AU496),"")</f>
        <v/>
      </c>
      <c r="AQ127" s="9" t="str">
        <f>IFERROR(IF('GCN_Post 1.0'!AV496="",HLOOKUP((TotS)-AQ115+1, 'GCN_Post 1.0'!$E$464:$X$506,33,TRUE), 'GCN_Post 1.0'!AV496),"")</f>
        <v/>
      </c>
    </row>
    <row r="128" spans="1:44" x14ac:dyDescent="0.25">
      <c r="B128" s="555"/>
      <c r="C128" s="565"/>
      <c r="D128" s="9" t="str">
        <f>'GCN_Post 1.0'!I497</f>
        <v/>
      </c>
      <c r="E128" s="9" t="str">
        <f>IFERROR(IF('GCN_Post 1.0'!J497="",HLOOKUP((TotS)-E115+1, 'GCN_Post 1.0'!$E$464:$X$506,34,TRUE), 'GCN_Post 1.0'!J497),"")</f>
        <v/>
      </c>
      <c r="F128" s="9" t="str">
        <f>IFERROR(IF('GCN_Post 1.0'!K497="",HLOOKUP((TotS)-F115+1, 'GCN_Post 1.0'!$E$464:$X$506,34,TRUE), 'GCN_Post 1.0'!K497),"")</f>
        <v/>
      </c>
      <c r="G128" s="9" t="str">
        <f>IFERROR(IF('GCN_Post 1.0'!L497="",HLOOKUP((TotS)-G115+1, 'GCN_Post 1.0'!$E$464:$X$506,34,TRUE), 'GCN_Post 1.0'!L497),"")</f>
        <v/>
      </c>
      <c r="H128" s="9" t="str">
        <f>IFERROR(IF('GCN_Post 1.0'!M497="",HLOOKUP((TotS)-H115+1, 'GCN_Post 1.0'!$E$464:$X$506,34,TRUE), 'GCN_Post 1.0'!M497),"")</f>
        <v/>
      </c>
      <c r="I128" s="9" t="str">
        <f>IFERROR(IF('GCN_Post 1.0'!N497="",HLOOKUP((TotS)-I115+1, 'GCN_Post 1.0'!$E$464:$X$506,34,TRUE), 'GCN_Post 1.0'!N497),"")</f>
        <v/>
      </c>
      <c r="J128" s="9" t="str">
        <f>IFERROR(IF('GCN_Post 1.0'!O497="",HLOOKUP((TotS)-J115+1, 'GCN_Post 1.0'!$E$464:$X$506,34,TRUE), 'GCN_Post 1.0'!O497),"")</f>
        <v/>
      </c>
      <c r="K128" s="9" t="str">
        <f>IFERROR(IF('GCN_Post 1.0'!P497="",HLOOKUP((TotS)-K115+1, 'GCN_Post 1.0'!$E$464:$X$506,34,TRUE), 'GCN_Post 1.0'!P497),"")</f>
        <v/>
      </c>
      <c r="L128" s="9" t="str">
        <f>IFERROR(IF('GCN_Post 1.0'!Q497="",HLOOKUP((TotS)-L115+1, 'GCN_Post 1.0'!$E$464:$X$506,34,TRUE), 'GCN_Post 1.0'!Q497),"")</f>
        <v/>
      </c>
      <c r="M128" s="9" t="str">
        <f>IFERROR(IF('GCN_Post 1.0'!R497="",HLOOKUP((TotS)-M115+1, 'GCN_Post 1.0'!$E$464:$X$506,34,TRUE), 'GCN_Post 1.0'!R497),"")</f>
        <v/>
      </c>
      <c r="N128" s="9" t="str">
        <f>IFERROR(IF('GCN_Post 1.0'!S497="",HLOOKUP((TotS)-N115+1, 'GCN_Post 1.0'!$E$464:$X$506,34,TRUE), 'GCN_Post 1.0'!S497),"")</f>
        <v/>
      </c>
      <c r="O128" s="9" t="str">
        <f>IFERROR(IF('GCN_Post 1.0'!T497="",HLOOKUP((TotS)-O115+1, 'GCN_Post 1.0'!$E$464:$X$506,34,TRUE), 'GCN_Post 1.0'!T497),"")</f>
        <v/>
      </c>
      <c r="P128" s="9" t="str">
        <f>IFERROR(IF('GCN_Post 1.0'!U497="",HLOOKUP((TotS)-P115+1, 'GCN_Post 1.0'!$E$464:$X$506,34,TRUE), 'GCN_Post 1.0'!U497),"")</f>
        <v/>
      </c>
      <c r="Q128" s="9" t="str">
        <f>IFERROR(IF('GCN_Post 1.0'!V497="",HLOOKUP((TotS)-Q115+1, 'GCN_Post 1.0'!$E$464:$X$506,34,TRUE), 'GCN_Post 1.0'!V497),"")</f>
        <v/>
      </c>
      <c r="R128" s="9" t="str">
        <f>IFERROR(IF('GCN_Post 1.0'!W497="",HLOOKUP((TotS)-R115+1, 'GCN_Post 1.0'!$E$464:$X$506,34,TRUE), 'GCN_Post 1.0'!W497),"")</f>
        <v/>
      </c>
      <c r="S128" s="9" t="str">
        <f>IFERROR(IF('GCN_Post 1.0'!X497="",HLOOKUP((TotS)-S115+1, 'GCN_Post 1.0'!$E$464:$X$506,34,TRUE), 'GCN_Post 1.0'!X497),"")</f>
        <v/>
      </c>
      <c r="T128" s="9" t="str">
        <f>IFERROR(IF('GCN_Post 1.0'!Y497="",HLOOKUP((TotS)-T115+1, 'GCN_Post 1.0'!$E$464:$X$506,34,TRUE), 'GCN_Post 1.0'!Y497),"")</f>
        <v/>
      </c>
      <c r="U128" s="9" t="str">
        <f>IFERROR(IF('GCN_Post 1.0'!Z497="",HLOOKUP((TotS)-U115+1, 'GCN_Post 1.0'!$E$464:$X$506,34,TRUE), 'GCN_Post 1.0'!Z497),"")</f>
        <v/>
      </c>
      <c r="V128" s="9" t="str">
        <f>IFERROR(IF('GCN_Post 1.0'!AA497="",HLOOKUP((TotS)-V115+1, 'GCN_Post 1.0'!$E$464:$X$506,34,TRUE), 'GCN_Post 1.0'!AA497),"")</f>
        <v/>
      </c>
      <c r="W128" s="9" t="str">
        <f>IFERROR(IF('GCN_Post 1.0'!AB497="",HLOOKUP((TotS)-W115+1, 'GCN_Post 1.0'!$E$464:$X$506,34,TRUE), 'GCN_Post 1.0'!AB497),"")</f>
        <v/>
      </c>
      <c r="X128" s="9" t="str">
        <f>IFERROR(IF('GCN_Post 1.0'!AC497="",HLOOKUP((TotS)-X115+1, 'GCN_Post 1.0'!$E$464:$X$506,34,TRUE), 'GCN_Post 1.0'!AC497),"")</f>
        <v/>
      </c>
      <c r="Y128" s="9" t="str">
        <f>IFERROR(IF('GCN_Post 1.0'!AD497="",HLOOKUP((TotS)-Y115+1, 'GCN_Post 1.0'!$E$464:$X$506,34,TRUE), 'GCN_Post 1.0'!AD497),"")</f>
        <v/>
      </c>
      <c r="Z128" s="9" t="str">
        <f>IFERROR(IF('GCN_Post 1.0'!AE497="",HLOOKUP((TotS)-Z115+1, 'GCN_Post 1.0'!$E$464:$X$506,34,TRUE), 'GCN_Post 1.0'!AE497),"")</f>
        <v/>
      </c>
      <c r="AA128" s="9" t="str">
        <f>IFERROR(IF('GCN_Post 1.0'!AF497="",HLOOKUP((TotS)-AA115+1, 'GCN_Post 1.0'!$E$464:$X$506,34,TRUE), 'GCN_Post 1.0'!AF497),"")</f>
        <v/>
      </c>
      <c r="AB128" s="9" t="str">
        <f>IFERROR(IF('GCN_Post 1.0'!AG497="",HLOOKUP((TotS)-AB115+1, 'GCN_Post 1.0'!$E$464:$X$506,34,TRUE), 'GCN_Post 1.0'!AG497),"")</f>
        <v/>
      </c>
      <c r="AC128" s="9" t="str">
        <f>IFERROR(IF('GCN_Post 1.0'!AH497="",HLOOKUP((TotS)-AC115+1, 'GCN_Post 1.0'!$E$464:$X$506,34,TRUE), 'GCN_Post 1.0'!AH497),"")</f>
        <v/>
      </c>
      <c r="AD128" s="9" t="str">
        <f>IFERROR(IF('GCN_Post 1.0'!AI497="",HLOOKUP((TotS)-AD115+1, 'GCN_Post 1.0'!$E$464:$X$506,34,TRUE), 'GCN_Post 1.0'!AI497),"")</f>
        <v/>
      </c>
      <c r="AE128" s="9" t="str">
        <f>IFERROR(IF('GCN_Post 1.0'!AJ497="",HLOOKUP((TotS)-AE115+1, 'GCN_Post 1.0'!$E$464:$X$506,34,TRUE), 'GCN_Post 1.0'!AJ497),"")</f>
        <v/>
      </c>
      <c r="AF128" s="9" t="str">
        <f>IFERROR(IF('GCN_Post 1.0'!AK497="",HLOOKUP((TotS)-AF115+1, 'GCN_Post 1.0'!$E$464:$X$506,34,TRUE), 'GCN_Post 1.0'!AK497),"")</f>
        <v/>
      </c>
      <c r="AG128" s="9" t="str">
        <f>IFERROR(IF('GCN_Post 1.0'!AL497="",HLOOKUP((TotS)-AG115+1, 'GCN_Post 1.0'!$E$464:$X$506,34,TRUE), 'GCN_Post 1.0'!AL497),"")</f>
        <v/>
      </c>
      <c r="AH128" s="9" t="str">
        <f>IFERROR(IF('GCN_Post 1.0'!AM497="",HLOOKUP((TotS)-AH115+1, 'GCN_Post 1.0'!$E$464:$X$506,34,TRUE), 'GCN_Post 1.0'!AM497),"")</f>
        <v/>
      </c>
      <c r="AI128" s="9" t="str">
        <f>IFERROR(IF('GCN_Post 1.0'!AN497="",HLOOKUP((TotS)-AI115+1, 'GCN_Post 1.0'!$E$464:$X$506,34,TRUE), 'GCN_Post 1.0'!AN497),"")</f>
        <v/>
      </c>
      <c r="AJ128" s="9" t="str">
        <f>IFERROR(IF('GCN_Post 1.0'!AO497="",HLOOKUP((TotS)-AJ115+1, 'GCN_Post 1.0'!$E$464:$X$506,34,TRUE), 'GCN_Post 1.0'!AO497),"")</f>
        <v/>
      </c>
      <c r="AK128" s="9" t="str">
        <f>IFERROR(IF('GCN_Post 1.0'!AP497="",HLOOKUP((TotS)-AK115+1, 'GCN_Post 1.0'!$E$464:$X$506,34,TRUE), 'GCN_Post 1.0'!AP497),"")</f>
        <v/>
      </c>
      <c r="AL128" s="9" t="str">
        <f>IFERROR(IF('GCN_Post 1.0'!AQ497="",HLOOKUP((TotS)-AL115+1, 'GCN_Post 1.0'!$E$464:$X$506,34,TRUE), 'GCN_Post 1.0'!AQ497),"")</f>
        <v/>
      </c>
      <c r="AM128" s="9" t="str">
        <f>IFERROR(IF('GCN_Post 1.0'!AR497="",HLOOKUP((TotS)-AM115+1, 'GCN_Post 1.0'!$E$464:$X$506,34,TRUE), 'GCN_Post 1.0'!AR497),"")</f>
        <v/>
      </c>
      <c r="AN128" s="9" t="str">
        <f>IFERROR(IF('GCN_Post 1.0'!AS497="",HLOOKUP((TotS)-AN115+1, 'GCN_Post 1.0'!$E$464:$X$506,34,TRUE), 'GCN_Post 1.0'!AS497),"")</f>
        <v/>
      </c>
      <c r="AO128" s="9" t="str">
        <f>IFERROR(IF('GCN_Post 1.0'!AT497="",HLOOKUP((TotS)-AO115+1, 'GCN_Post 1.0'!$E$464:$X$506,34,TRUE), 'GCN_Post 1.0'!AT497),"")</f>
        <v/>
      </c>
      <c r="AP128" s="9" t="str">
        <f>IFERROR(IF('GCN_Post 1.0'!AU497="",HLOOKUP((TotS)-AP115+1, 'GCN_Post 1.0'!$E$464:$X$506,34,TRUE), 'GCN_Post 1.0'!AU497),"")</f>
        <v/>
      </c>
      <c r="AQ128" s="9" t="str">
        <f>IFERROR(IF('GCN_Post 1.0'!AV497="",HLOOKUP((TotS)-AQ115+1, 'GCN_Post 1.0'!$E$464:$X$506,34,TRUE), 'GCN_Post 1.0'!AV497),"")</f>
        <v/>
      </c>
    </row>
    <row r="129" spans="2:43" x14ac:dyDescent="0.25">
      <c r="B129" s="560"/>
      <c r="C129" s="601"/>
      <c r="D129" s="9" t="str">
        <f>'GCN_Post 1.0'!I498</f>
        <v/>
      </c>
      <c r="E129" s="9" t="str">
        <f>IFERROR(IF('GCN_Post 1.0'!J498="",HLOOKUP((TotS)-E115+1, 'GCN_Post 1.0'!$E$464:$X$506,35,TRUE), 'GCN_Post 1.0'!J498),"")</f>
        <v/>
      </c>
      <c r="F129" s="9" t="str">
        <f>IFERROR(IF('GCN_Post 1.0'!K498="",HLOOKUP((TotS)-F115+1, 'GCN_Post 1.0'!$E$464:$X$506,35,TRUE), 'GCN_Post 1.0'!K498),"")</f>
        <v/>
      </c>
      <c r="G129" s="9" t="str">
        <f>IFERROR(IF('GCN_Post 1.0'!L498="",HLOOKUP((TotS)-G115+1, 'GCN_Post 1.0'!$E$464:$X$506,35,TRUE), 'GCN_Post 1.0'!L498),"")</f>
        <v/>
      </c>
      <c r="H129" s="9" t="str">
        <f>IFERROR(IF('GCN_Post 1.0'!M498="",HLOOKUP((TotS)-H115+1, 'GCN_Post 1.0'!$E$464:$X$506,35,TRUE), 'GCN_Post 1.0'!M498),"")</f>
        <v/>
      </c>
      <c r="I129" s="9" t="str">
        <f>IFERROR(IF('GCN_Post 1.0'!N498="",HLOOKUP((TotS)-I115+1, 'GCN_Post 1.0'!$E$464:$X$506,35,TRUE), 'GCN_Post 1.0'!N498),"")</f>
        <v/>
      </c>
      <c r="J129" s="9" t="str">
        <f>IFERROR(IF('GCN_Post 1.0'!O498="",HLOOKUP((TotS)-J115+1, 'GCN_Post 1.0'!$E$464:$X$506,35,TRUE), 'GCN_Post 1.0'!O498),"")</f>
        <v/>
      </c>
      <c r="K129" s="9" t="str">
        <f>IFERROR(IF('GCN_Post 1.0'!P498="",HLOOKUP((TotS)-K115+1, 'GCN_Post 1.0'!$E$464:$X$506,35,TRUE), 'GCN_Post 1.0'!P498),"")</f>
        <v/>
      </c>
      <c r="L129" s="9" t="str">
        <f>IFERROR(IF('GCN_Post 1.0'!Q498="",HLOOKUP((TotS)-L115+1, 'GCN_Post 1.0'!$E$464:$X$506,35,TRUE), 'GCN_Post 1.0'!Q498),"")</f>
        <v/>
      </c>
      <c r="M129" s="9" t="str">
        <f>IFERROR(IF('GCN_Post 1.0'!R498="",HLOOKUP((TotS)-M115+1, 'GCN_Post 1.0'!$E$464:$X$506,35,TRUE), 'GCN_Post 1.0'!R498),"")</f>
        <v/>
      </c>
      <c r="N129" s="9" t="str">
        <f>IFERROR(IF('GCN_Post 1.0'!S498="",HLOOKUP((TotS)-N115+1, 'GCN_Post 1.0'!$E$464:$X$506,35,TRUE), 'GCN_Post 1.0'!S498),"")</f>
        <v/>
      </c>
      <c r="O129" s="9" t="str">
        <f>IFERROR(IF('GCN_Post 1.0'!T498="",HLOOKUP((TotS)-O115+1, 'GCN_Post 1.0'!$E$464:$X$506,35,TRUE), 'GCN_Post 1.0'!T498),"")</f>
        <v/>
      </c>
      <c r="P129" s="9" t="str">
        <f>IFERROR(IF('GCN_Post 1.0'!U498="",HLOOKUP((TotS)-P115+1, 'GCN_Post 1.0'!$E$464:$X$506,35,TRUE), 'GCN_Post 1.0'!U498),"")</f>
        <v/>
      </c>
      <c r="Q129" s="9" t="str">
        <f>IFERROR(IF('GCN_Post 1.0'!V498="",HLOOKUP((TotS)-Q115+1, 'GCN_Post 1.0'!$E$464:$X$506,35,TRUE), 'GCN_Post 1.0'!V498),"")</f>
        <v/>
      </c>
      <c r="R129" s="9" t="str">
        <f>IFERROR(IF('GCN_Post 1.0'!W498="",HLOOKUP((TotS)-R115+1, 'GCN_Post 1.0'!$E$464:$X$506,35,TRUE), 'GCN_Post 1.0'!W498),"")</f>
        <v/>
      </c>
      <c r="S129" s="9" t="str">
        <f>IFERROR(IF('GCN_Post 1.0'!X498="",HLOOKUP((TotS)-S115+1, 'GCN_Post 1.0'!$E$464:$X$506,35,TRUE), 'GCN_Post 1.0'!X498),"")</f>
        <v/>
      </c>
      <c r="T129" s="9" t="str">
        <f>IFERROR(IF('GCN_Post 1.0'!Y498="",HLOOKUP((TotS)-T115+1, 'GCN_Post 1.0'!$E$464:$X$506,35,TRUE), 'GCN_Post 1.0'!Y498),"")</f>
        <v/>
      </c>
      <c r="U129" s="9" t="str">
        <f>IFERROR(IF('GCN_Post 1.0'!Z498="",HLOOKUP((TotS)-U115+1, 'GCN_Post 1.0'!$E$464:$X$506,35,TRUE), 'GCN_Post 1.0'!Z498),"")</f>
        <v/>
      </c>
      <c r="V129" s="9" t="str">
        <f>IFERROR(IF('GCN_Post 1.0'!AA498="",HLOOKUP((TotS)-V115+1, 'GCN_Post 1.0'!$E$464:$X$506,35,TRUE), 'GCN_Post 1.0'!AA498),"")</f>
        <v/>
      </c>
      <c r="W129" s="9" t="str">
        <f>IFERROR(IF('GCN_Post 1.0'!AB498="",HLOOKUP((TotS)-W115+1, 'GCN_Post 1.0'!$E$464:$X$506,35,TRUE), 'GCN_Post 1.0'!AB498),"")</f>
        <v/>
      </c>
      <c r="X129" s="9" t="str">
        <f>IFERROR(IF('GCN_Post 1.0'!AC498="",HLOOKUP((TotS)-X115+1, 'GCN_Post 1.0'!$E$464:$X$506,35,TRUE), 'GCN_Post 1.0'!AC498),"")</f>
        <v/>
      </c>
      <c r="Y129" s="9" t="str">
        <f>IFERROR(IF('GCN_Post 1.0'!AD498="",HLOOKUP((TotS)-Y115+1, 'GCN_Post 1.0'!$E$464:$X$506,35,TRUE), 'GCN_Post 1.0'!AD498),"")</f>
        <v/>
      </c>
      <c r="Z129" s="9" t="str">
        <f>IFERROR(IF('GCN_Post 1.0'!AE498="",HLOOKUP((TotS)-Z115+1, 'GCN_Post 1.0'!$E$464:$X$506,35,TRUE), 'GCN_Post 1.0'!AE498),"")</f>
        <v/>
      </c>
      <c r="AA129" s="9" t="str">
        <f>IFERROR(IF('GCN_Post 1.0'!AF498="",HLOOKUP((TotS)-AA115+1, 'GCN_Post 1.0'!$E$464:$X$506,35,TRUE), 'GCN_Post 1.0'!AF498),"")</f>
        <v/>
      </c>
      <c r="AB129" s="9" t="str">
        <f>IFERROR(IF('GCN_Post 1.0'!AG498="",HLOOKUP((TotS)-AB115+1, 'GCN_Post 1.0'!$E$464:$X$506,35,TRUE), 'GCN_Post 1.0'!AG498),"")</f>
        <v/>
      </c>
      <c r="AC129" s="9" t="str">
        <f>IFERROR(IF('GCN_Post 1.0'!AH498="",HLOOKUP((TotS)-AC115+1, 'GCN_Post 1.0'!$E$464:$X$506,35,TRUE), 'GCN_Post 1.0'!AH498),"")</f>
        <v/>
      </c>
      <c r="AD129" s="9" t="str">
        <f>IFERROR(IF('GCN_Post 1.0'!AI498="",HLOOKUP((TotS)-AD115+1, 'GCN_Post 1.0'!$E$464:$X$506,35,TRUE), 'GCN_Post 1.0'!AI498),"")</f>
        <v/>
      </c>
      <c r="AE129" s="9" t="str">
        <f>IFERROR(IF('GCN_Post 1.0'!AJ498="",HLOOKUP((TotS)-AE115+1, 'GCN_Post 1.0'!$E$464:$X$506,35,TRUE), 'GCN_Post 1.0'!AJ498),"")</f>
        <v/>
      </c>
      <c r="AF129" s="9" t="str">
        <f>IFERROR(IF('GCN_Post 1.0'!AK498="",HLOOKUP((TotS)-AF115+1, 'GCN_Post 1.0'!$E$464:$X$506,35,TRUE), 'GCN_Post 1.0'!AK498),"")</f>
        <v/>
      </c>
      <c r="AG129" s="9" t="str">
        <f>IFERROR(IF('GCN_Post 1.0'!AL498="",HLOOKUP((TotS)-AG115+1, 'GCN_Post 1.0'!$E$464:$X$506,35,TRUE), 'GCN_Post 1.0'!AL498),"")</f>
        <v/>
      </c>
      <c r="AH129" s="9" t="str">
        <f>IFERROR(IF('GCN_Post 1.0'!AM498="",HLOOKUP((TotS)-AH115+1, 'GCN_Post 1.0'!$E$464:$X$506,35,TRUE), 'GCN_Post 1.0'!AM498),"")</f>
        <v/>
      </c>
      <c r="AI129" s="9" t="str">
        <f>IFERROR(IF('GCN_Post 1.0'!AN498="",HLOOKUP((TotS)-AI115+1, 'GCN_Post 1.0'!$E$464:$X$506,35,TRUE), 'GCN_Post 1.0'!AN498),"")</f>
        <v/>
      </c>
      <c r="AJ129" s="9" t="str">
        <f>IFERROR(IF('GCN_Post 1.0'!AO498="",HLOOKUP((TotS)-AJ115+1, 'GCN_Post 1.0'!$E$464:$X$506,35,TRUE), 'GCN_Post 1.0'!AO498),"")</f>
        <v/>
      </c>
      <c r="AK129" s="9" t="str">
        <f>IFERROR(IF('GCN_Post 1.0'!AP498="",HLOOKUP((TotS)-AK115+1, 'GCN_Post 1.0'!$E$464:$X$506,35,TRUE), 'GCN_Post 1.0'!AP498),"")</f>
        <v/>
      </c>
      <c r="AL129" s="9" t="str">
        <f>IFERROR(IF('GCN_Post 1.0'!AQ498="",HLOOKUP((TotS)-AL115+1, 'GCN_Post 1.0'!$E$464:$X$506,35,TRUE), 'GCN_Post 1.0'!AQ498),"")</f>
        <v/>
      </c>
      <c r="AM129" s="9" t="str">
        <f>IFERROR(IF('GCN_Post 1.0'!AR498="",HLOOKUP((TotS)-AM115+1, 'GCN_Post 1.0'!$E$464:$X$506,35,TRUE), 'GCN_Post 1.0'!AR498),"")</f>
        <v/>
      </c>
      <c r="AN129" s="9" t="str">
        <f>IFERROR(IF('GCN_Post 1.0'!AS498="",HLOOKUP((TotS)-AN115+1, 'GCN_Post 1.0'!$E$464:$X$506,35,TRUE), 'GCN_Post 1.0'!AS498),"")</f>
        <v/>
      </c>
      <c r="AO129" s="9" t="str">
        <f>IFERROR(IF('GCN_Post 1.0'!AT498="",HLOOKUP((TotS)-AO115+1, 'GCN_Post 1.0'!$E$464:$X$506,35,TRUE), 'GCN_Post 1.0'!AT498),"")</f>
        <v/>
      </c>
      <c r="AP129" s="9" t="str">
        <f>IFERROR(IF('GCN_Post 1.0'!AU498="",HLOOKUP((TotS)-AP115+1, 'GCN_Post 1.0'!$E$464:$X$506,35,TRUE), 'GCN_Post 1.0'!AU498),"")</f>
        <v/>
      </c>
      <c r="AQ129" s="9" t="str">
        <f>IFERROR(IF('GCN_Post 1.0'!AV498="",HLOOKUP((TotS)-AQ115+1, 'GCN_Post 1.0'!$E$464:$X$506,35,TRUE), 'GCN_Post 1.0'!AV498),"")</f>
        <v/>
      </c>
    </row>
    <row r="131" spans="2:43" ht="15" customHeight="1" x14ac:dyDescent="0.25">
      <c r="B131" s="663" t="s">
        <v>741</v>
      </c>
      <c r="C131" s="572"/>
      <c r="D131" s="9" t="str">
        <f>'GCN_Post 1.0'!I499</f>
        <v/>
      </c>
      <c r="E131" s="9" t="str">
        <f>IFERROR(IF(E115&gt;TS, "", IF('GCN_Post 1.0'!J499="",HLOOKUP((TotS)-E115+1,'GCN_Post 1.0'!$E$464:$X$506,36,TRUE), 'GCN_Post 1.0'!J499)), "")</f>
        <v/>
      </c>
      <c r="F131" s="9" t="str">
        <f>IFERROR(IF(F115&gt;TS, "", IF('GCN_Post 1.0'!K499="",HLOOKUP((TotS)-F115+1,'GCN_Post 1.0'!$E$464:$X$506,36,TRUE), 'GCN_Post 1.0'!K499)), "")</f>
        <v/>
      </c>
      <c r="G131" s="9" t="str">
        <f>IFERROR(IF(G115&gt;TS, "", IF('GCN_Post 1.0'!L499="",HLOOKUP((TotS)-G115+1,'GCN_Post 1.0'!$E$464:$X$506,36,TRUE), 'GCN_Post 1.0'!L499)), "")</f>
        <v/>
      </c>
      <c r="H131" s="9" t="str">
        <f>IFERROR(IF(H115&gt;TS, "", IF('GCN_Post 1.0'!M499="",HLOOKUP((TotS)-H115+1,'GCN_Post 1.0'!$E$464:$X$506,36,TRUE), 'GCN_Post 1.0'!M499)), "")</f>
        <v/>
      </c>
      <c r="I131" s="9" t="str">
        <f>IFERROR(IF(I115&gt;TS, "", IF('GCN_Post 1.0'!N499="",HLOOKUP((TotS)-I115+1,'GCN_Post 1.0'!$E$464:$X$506,36,TRUE), 'GCN_Post 1.0'!N499)), "")</f>
        <v/>
      </c>
      <c r="J131" s="9" t="str">
        <f>IFERROR(IF(J115&gt;TS, "", IF('GCN_Post 1.0'!O499="",HLOOKUP((TotS)-J115+1,'GCN_Post 1.0'!$E$464:$X$506,36,TRUE), 'GCN_Post 1.0'!O499)), "")</f>
        <v/>
      </c>
      <c r="K131" s="9" t="str">
        <f>IFERROR(IF(K115&gt;TS, "", IF('GCN_Post 1.0'!P499="",HLOOKUP((TotS)-K115+1,'GCN_Post 1.0'!$E$464:$X$506,36,TRUE), 'GCN_Post 1.0'!P499)), "")</f>
        <v/>
      </c>
      <c r="L131" s="9" t="str">
        <f>IFERROR(IF(L115&gt;TS, "", IF('GCN_Post 1.0'!Q499="",HLOOKUP((TotS)-L115+1,'GCN_Post 1.0'!$E$464:$X$506,36,TRUE), 'GCN_Post 1.0'!Q499)), "")</f>
        <v/>
      </c>
      <c r="M131" s="9" t="str">
        <f>IFERROR(IF(M115&gt;TS, "", IF('GCN_Post 1.0'!R499="",HLOOKUP((TotS)-M115+1,'GCN_Post 1.0'!$E$464:$X$506,36,TRUE), 'GCN_Post 1.0'!R499)), "")</f>
        <v/>
      </c>
      <c r="N131" s="9" t="str">
        <f>IFERROR(IF(N115&gt;TS, "", IF('GCN_Post 1.0'!S499="",HLOOKUP((TotS)-N115+1,'GCN_Post 1.0'!$E$464:$X$506,36,TRUE), 'GCN_Post 1.0'!S499)), "")</f>
        <v/>
      </c>
      <c r="O131" s="9" t="str">
        <f>IFERROR(IF(O115&gt;TS, "", IF('GCN_Post 1.0'!T499="",HLOOKUP((TotS)-O115+1,'GCN_Post 1.0'!$E$464:$X$506,36,TRUE), 'GCN_Post 1.0'!T499)), "")</f>
        <v/>
      </c>
      <c r="P131" s="9" t="str">
        <f>IFERROR(IF(P115&gt;TS, "", IF('GCN_Post 1.0'!U499="",HLOOKUP((TotS)-P115+1,'GCN_Post 1.0'!$E$464:$X$506,36,TRUE), 'GCN_Post 1.0'!U499)), "")</f>
        <v/>
      </c>
      <c r="Q131" s="9" t="str">
        <f>IFERROR(IF(Q115&gt;TS, "", IF('GCN_Post 1.0'!V499="",HLOOKUP((TotS)-Q115+1,'GCN_Post 1.0'!$E$464:$X$506,36,TRUE), 'GCN_Post 1.0'!V499)), "")</f>
        <v/>
      </c>
      <c r="R131" s="9" t="str">
        <f>IFERROR(IF(R115&gt;TS, "", IF('GCN_Post 1.0'!W499="",HLOOKUP((TotS)-R115+1,'GCN_Post 1.0'!$E$464:$X$506,36,TRUE), 'GCN_Post 1.0'!W499)), "")</f>
        <v/>
      </c>
      <c r="S131" s="9" t="str">
        <f>IFERROR(IF(S115&gt;TS, "", IF('GCN_Post 1.0'!X499="",HLOOKUP((TotS)-S115+1,'GCN_Post 1.0'!$E$464:$X$506,36,TRUE), 'GCN_Post 1.0'!X499)), "")</f>
        <v/>
      </c>
      <c r="T131" s="9" t="str">
        <f>IFERROR(IF(T115&gt;TS, "", IF('GCN_Post 1.0'!Y499="",HLOOKUP((TotS)-T115+1,'GCN_Post 1.0'!$E$464:$X$506,36,TRUE), 'GCN_Post 1.0'!Y499)), "")</f>
        <v/>
      </c>
      <c r="U131" s="9" t="str">
        <f>IFERROR(IF(U115&gt;TS, "", IF('GCN_Post 1.0'!Z499="",HLOOKUP((TotS)-U115+1,'GCN_Post 1.0'!$E$464:$X$506,36,TRUE), 'GCN_Post 1.0'!Z499)), "")</f>
        <v/>
      </c>
      <c r="V131" s="9" t="str">
        <f>IFERROR(IF(V115&gt;TS, "", IF('GCN_Post 1.0'!AA499="",HLOOKUP((TotS)-V115+1,'GCN_Post 1.0'!$E$464:$X$506,36,TRUE), 'GCN_Post 1.0'!AA499)), "")</f>
        <v/>
      </c>
      <c r="W131" s="9" t="str">
        <f>IFERROR(IF(W115&gt;TS, "", IF('GCN_Post 1.0'!AB499="",HLOOKUP((TotS)-W115+1,'GCN_Post 1.0'!$E$464:$X$506,36,TRUE), 'GCN_Post 1.0'!AB499)), "")</f>
        <v/>
      </c>
      <c r="X131" s="9" t="str">
        <f>IFERROR(IF(X115&gt;TS, "", IF('GCN_Post 1.0'!AC499="",HLOOKUP((TotS)-X115+1,'GCN_Post 1.0'!$E$464:$X$506,36,TRUE), 'GCN_Post 1.0'!AC499)), "")</f>
        <v/>
      </c>
      <c r="Y131" s="9" t="str">
        <f>IFERROR(IF(Y115&gt;TS, "", IF('GCN_Post 1.0'!AD499="",HLOOKUP((TotS)-Y115+1,'GCN_Post 1.0'!$E$464:$X$506,36,TRUE), 'GCN_Post 1.0'!AD499)), "")</f>
        <v/>
      </c>
      <c r="Z131" s="9" t="str">
        <f>IFERROR(IF(Z115&gt;TS, "", IF('GCN_Post 1.0'!AE499="",HLOOKUP((TotS)-Z115+1,'GCN_Post 1.0'!$E$464:$X$506,36,TRUE), 'GCN_Post 1.0'!AE499)), "")</f>
        <v/>
      </c>
      <c r="AA131" s="9" t="str">
        <f>IFERROR(IF(AA115&gt;TS, "", IF('GCN_Post 1.0'!AF499="",HLOOKUP((TotS)-AA115+1,'GCN_Post 1.0'!$E$464:$X$506,36,TRUE), 'GCN_Post 1.0'!AF499)), "")</f>
        <v/>
      </c>
      <c r="AB131" s="9" t="str">
        <f>IFERROR(IF(AB115&gt;TS, "", IF('GCN_Post 1.0'!AG499="",HLOOKUP((TotS)-AB115+1,'GCN_Post 1.0'!$E$464:$X$506,36,TRUE), 'GCN_Post 1.0'!AG499)), "")</f>
        <v/>
      </c>
      <c r="AC131" s="9" t="str">
        <f>IFERROR(IF(AC115&gt;TS, "", IF('GCN_Post 1.0'!AH499="",HLOOKUP((TotS)-AC115+1,'GCN_Post 1.0'!$E$464:$X$506,36,TRUE), 'GCN_Post 1.0'!AH499)), "")</f>
        <v/>
      </c>
      <c r="AD131" s="9" t="str">
        <f>IFERROR(IF(AD115&gt;TS, "", IF('GCN_Post 1.0'!AI499="",HLOOKUP((TotS)-AD115+1,'GCN_Post 1.0'!$E$464:$X$506,36,TRUE), 'GCN_Post 1.0'!AI499)), "")</f>
        <v/>
      </c>
      <c r="AE131" s="9" t="str">
        <f>IFERROR(IF(AE115&gt;TS, "", IF('GCN_Post 1.0'!AJ499="",HLOOKUP((TotS)-AE115+1,'GCN_Post 1.0'!$E$464:$X$506,36,TRUE), 'GCN_Post 1.0'!AJ499)), "")</f>
        <v/>
      </c>
      <c r="AF131" s="9" t="str">
        <f>IFERROR(IF(AF115&gt;TS, "", IF('GCN_Post 1.0'!AK499="",HLOOKUP((TotS)-AF115+1,'GCN_Post 1.0'!$E$464:$X$506,36,TRUE), 'GCN_Post 1.0'!AK499)), "")</f>
        <v/>
      </c>
      <c r="AG131" s="9" t="str">
        <f>IFERROR(IF(AG115&gt;TS, "", IF('GCN_Post 1.0'!AL499="",HLOOKUP((TotS)-AG115+1,'GCN_Post 1.0'!$E$464:$X$506,36,TRUE), 'GCN_Post 1.0'!AL499)), "")</f>
        <v/>
      </c>
      <c r="AH131" s="9" t="str">
        <f>IFERROR(IF(AH115&gt;TS, "", IF('GCN_Post 1.0'!AM499="",HLOOKUP((TotS)-AH115+1,'GCN_Post 1.0'!$E$464:$X$506,36,TRUE), 'GCN_Post 1.0'!AM499)), "")</f>
        <v/>
      </c>
      <c r="AI131" s="9" t="str">
        <f>IFERROR(IF(AI115&gt;TS, "", IF('GCN_Post 1.0'!AN499="",HLOOKUP((TotS)-AI115+1,'GCN_Post 1.0'!$E$464:$X$506,36,TRUE), 'GCN_Post 1.0'!AN499)), "")</f>
        <v/>
      </c>
      <c r="AJ131" s="9" t="str">
        <f>IFERROR(IF(AJ115&gt;TS, "", IF('GCN_Post 1.0'!AO499="",HLOOKUP((TotS)-AJ115+1,'GCN_Post 1.0'!$E$464:$X$506,36,TRUE), 'GCN_Post 1.0'!AO499)), "")</f>
        <v/>
      </c>
      <c r="AK131" s="9" t="str">
        <f>IFERROR(IF(AK115&gt;TS, "", IF('GCN_Post 1.0'!AP499="",HLOOKUP((TotS)-AK115+1,'GCN_Post 1.0'!$E$464:$X$506,36,TRUE), 'GCN_Post 1.0'!AP499)), "")</f>
        <v/>
      </c>
      <c r="AL131" s="9" t="str">
        <f>IFERROR(IF(AL115&gt;TS, "", IF('GCN_Post 1.0'!AQ499="",HLOOKUP((TotS)-AL115+1,'GCN_Post 1.0'!$E$464:$X$506,36,TRUE), 'GCN_Post 1.0'!AQ499)), "")</f>
        <v/>
      </c>
      <c r="AM131" s="9" t="str">
        <f>IFERROR(IF(AM115&gt;TS, "", IF('GCN_Post 1.0'!AR499="",HLOOKUP((TotS)-AM115+1,'GCN_Post 1.0'!$E$464:$X$506,36,TRUE), 'GCN_Post 1.0'!AR499)), "")</f>
        <v/>
      </c>
      <c r="AN131" s="9" t="str">
        <f>IFERROR(IF(AN115&gt;TS, "", IF('GCN_Post 1.0'!AS499="",HLOOKUP((TotS)-AN115+1,'GCN_Post 1.0'!$E$464:$X$506,36,TRUE), 'GCN_Post 1.0'!AS499)), "")</f>
        <v/>
      </c>
      <c r="AO131" s="9" t="str">
        <f>IFERROR(IF(AO115&gt;TS, "", IF('GCN_Post 1.0'!AT499="",HLOOKUP((TotS)-AO115+1,'GCN_Post 1.0'!$E$464:$X$506,36,TRUE), 'GCN_Post 1.0'!AT499)), "")</f>
        <v/>
      </c>
      <c r="AP131" s="9" t="str">
        <f>IFERROR(IF(AP115&gt;TS, "", IF('GCN_Post 1.0'!AU499="",HLOOKUP((TotS)-AP115+1,'GCN_Post 1.0'!$E$464:$X$506,36,TRUE), 'GCN_Post 1.0'!AU499)), "")</f>
        <v/>
      </c>
      <c r="AQ131" s="9" t="str">
        <f>IFERROR(IF(AQ115&gt;TS, "", IF('GCN_Post 1.0'!AV499="",HLOOKUP((TotS)-AQ115+1,'GCN_Post 1.0'!$E$464:$X$506,36,TRUE), 'GCN_Post 1.0'!AV499)), "")</f>
        <v/>
      </c>
    </row>
    <row r="132" spans="2:43" x14ac:dyDescent="0.25">
      <c r="B132" s="555"/>
      <c r="C132" s="565"/>
      <c r="D132" s="9" t="str">
        <f>'GCN_Post 1.0'!I500</f>
        <v/>
      </c>
      <c r="E132" s="9" t="str">
        <f>IFERROR(IF(E115&gt;TS, "", IF('GCN_Post 1.0'!J500="",HLOOKUP((TotS)-E115+1,'GCN_Post 1.0'!$E$464:$X$506,37,TRUE), 'GCN_Post 1.0'!J500)), "")</f>
        <v/>
      </c>
      <c r="F132" s="9" t="str">
        <f>IFERROR(IF(F115&gt;TS, "", IF('GCN_Post 1.0'!K500="",HLOOKUP((TotS)-F115+1,'GCN_Post 1.0'!$E$464:$X$506,37,TRUE), 'GCN_Post 1.0'!K500)), "")</f>
        <v/>
      </c>
      <c r="G132" s="9" t="str">
        <f>IFERROR(IF(G115&gt;TS, "", IF('GCN_Post 1.0'!L500="",HLOOKUP((TotS)-G115+1,'GCN_Post 1.0'!$E$464:$X$506,37,TRUE), 'GCN_Post 1.0'!L500)), "")</f>
        <v/>
      </c>
      <c r="H132" s="9" t="str">
        <f>IFERROR(IF(H115&gt;TS, "", IF('GCN_Post 1.0'!M500="",HLOOKUP((TotS)-H115+1,'GCN_Post 1.0'!$E$464:$X$506,37,TRUE), 'GCN_Post 1.0'!M500)), "")</f>
        <v/>
      </c>
      <c r="I132" s="9" t="str">
        <f>IFERROR(IF(I115&gt;TS, "", IF('GCN_Post 1.0'!N500="",HLOOKUP((TotS)-I115+1,'GCN_Post 1.0'!$E$464:$X$506,37,TRUE), 'GCN_Post 1.0'!N500)), "")</f>
        <v/>
      </c>
      <c r="J132" s="9" t="str">
        <f>IFERROR(IF(J115&gt;TS, "", IF('GCN_Post 1.0'!O500="",HLOOKUP((TotS)-J115+1,'GCN_Post 1.0'!$E$464:$X$506,37,TRUE), 'GCN_Post 1.0'!O500)), "")</f>
        <v/>
      </c>
      <c r="K132" s="9" t="str">
        <f>IFERROR(IF(K115&gt;TS, "", IF('GCN_Post 1.0'!P500="",HLOOKUP((TotS)-K115+1,'GCN_Post 1.0'!$E$464:$X$506,37,TRUE), 'GCN_Post 1.0'!P500)), "")</f>
        <v/>
      </c>
      <c r="L132" s="9" t="str">
        <f>IFERROR(IF(L115&gt;TS, "", IF('GCN_Post 1.0'!Q500="",HLOOKUP((TotS)-L115+1,'GCN_Post 1.0'!$E$464:$X$506,37,TRUE), 'GCN_Post 1.0'!Q500)), "")</f>
        <v/>
      </c>
      <c r="M132" s="9" t="str">
        <f>IFERROR(IF(M115&gt;TS, "", IF('GCN_Post 1.0'!R500="",HLOOKUP((TotS)-M115+1,'GCN_Post 1.0'!$E$464:$X$506,37,TRUE), 'GCN_Post 1.0'!R500)), "")</f>
        <v/>
      </c>
      <c r="N132" s="9" t="str">
        <f>IFERROR(IF(N115&gt;TS, "", IF('GCN_Post 1.0'!S500="",HLOOKUP((TotS)-N115+1,'GCN_Post 1.0'!$E$464:$X$506,37,TRUE), 'GCN_Post 1.0'!S500)), "")</f>
        <v/>
      </c>
      <c r="O132" s="9" t="str">
        <f>IFERROR(IF(O115&gt;TS, "", IF('GCN_Post 1.0'!T500="",HLOOKUP((TotS)-O115+1,'GCN_Post 1.0'!$E$464:$X$506,37,TRUE), 'GCN_Post 1.0'!T500)), "")</f>
        <v/>
      </c>
      <c r="P132" s="9" t="str">
        <f>IFERROR(IF(P115&gt;TS, "", IF('GCN_Post 1.0'!U500="",HLOOKUP((TotS)-P115+1,'GCN_Post 1.0'!$E$464:$X$506,37,TRUE), 'GCN_Post 1.0'!U500)), "")</f>
        <v/>
      </c>
      <c r="Q132" s="9" t="str">
        <f>IFERROR(IF(Q115&gt;TS, "", IF('GCN_Post 1.0'!V500="",HLOOKUP((TotS)-Q115+1,'GCN_Post 1.0'!$E$464:$X$506,37,TRUE), 'GCN_Post 1.0'!V500)), "")</f>
        <v/>
      </c>
      <c r="R132" s="9" t="str">
        <f>IFERROR(IF(R115&gt;TS, "", IF('GCN_Post 1.0'!W500="",HLOOKUP((TotS)-R115+1,'GCN_Post 1.0'!$E$464:$X$506,37,TRUE), 'GCN_Post 1.0'!W500)), "")</f>
        <v/>
      </c>
      <c r="S132" s="9" t="str">
        <f>IFERROR(IF(S115&gt;TS, "", IF('GCN_Post 1.0'!X500="",HLOOKUP((TotS)-S115+1,'GCN_Post 1.0'!$E$464:$X$506,37,TRUE), 'GCN_Post 1.0'!X500)), "")</f>
        <v/>
      </c>
      <c r="T132" s="9" t="str">
        <f>IFERROR(IF(T115&gt;TS, "", IF('GCN_Post 1.0'!Y500="",HLOOKUP((TotS)-T115+1,'GCN_Post 1.0'!$E$464:$X$506,37,TRUE), 'GCN_Post 1.0'!Y500)), "")</f>
        <v/>
      </c>
      <c r="U132" s="9" t="str">
        <f>IFERROR(IF(U115&gt;TS, "", IF('GCN_Post 1.0'!Z500="",HLOOKUP((TotS)-U115+1,'GCN_Post 1.0'!$E$464:$X$506,37,TRUE), 'GCN_Post 1.0'!Z500)), "")</f>
        <v/>
      </c>
      <c r="V132" s="9" t="str">
        <f>IFERROR(IF(V115&gt;TS, "", IF('GCN_Post 1.0'!AA500="",HLOOKUP((TotS)-V115+1,'GCN_Post 1.0'!$E$464:$X$506,37,TRUE), 'GCN_Post 1.0'!AA500)), "")</f>
        <v/>
      </c>
      <c r="W132" s="9" t="str">
        <f>IFERROR(IF(W115&gt;TS, "", IF('GCN_Post 1.0'!AB500="",HLOOKUP((TotS)-W115+1,'GCN_Post 1.0'!$E$464:$X$506,37,TRUE), 'GCN_Post 1.0'!AB500)), "")</f>
        <v/>
      </c>
      <c r="X132" s="9" t="str">
        <f>IFERROR(IF(X115&gt;TS, "", IF('GCN_Post 1.0'!AC500="",HLOOKUP((TotS)-X115+1,'GCN_Post 1.0'!$E$464:$X$506,37,TRUE), 'GCN_Post 1.0'!AC500)), "")</f>
        <v/>
      </c>
      <c r="Y132" s="9" t="str">
        <f>IFERROR(IF(Y115&gt;TS, "", IF('GCN_Post 1.0'!AD500="",HLOOKUP((TotS)-Y115+1,'GCN_Post 1.0'!$E$464:$X$506,37,TRUE), 'GCN_Post 1.0'!AD500)), "")</f>
        <v/>
      </c>
      <c r="Z132" s="9" t="str">
        <f>IFERROR(IF(Z115&gt;TS, "", IF('GCN_Post 1.0'!AE500="",HLOOKUP((TotS)-Z115+1,'GCN_Post 1.0'!$E$464:$X$506,37,TRUE), 'GCN_Post 1.0'!AE500)), "")</f>
        <v/>
      </c>
      <c r="AA132" s="9" t="str">
        <f>IFERROR(IF(AA115&gt;TS, "", IF('GCN_Post 1.0'!AF500="",HLOOKUP((TotS)-AA115+1,'GCN_Post 1.0'!$E$464:$X$506,37,TRUE), 'GCN_Post 1.0'!AF500)), "")</f>
        <v/>
      </c>
      <c r="AB132" s="9" t="str">
        <f>IFERROR(IF(AB115&gt;TS, "", IF('GCN_Post 1.0'!AG500="",HLOOKUP((TotS)-AB115+1,'GCN_Post 1.0'!$E$464:$X$506,37,TRUE), 'GCN_Post 1.0'!AG500)), "")</f>
        <v/>
      </c>
      <c r="AC132" s="9" t="str">
        <f>IFERROR(IF(AC115&gt;TS, "", IF('GCN_Post 1.0'!AH500="",HLOOKUP((TotS)-AC115+1,'GCN_Post 1.0'!$E$464:$X$506,37,TRUE), 'GCN_Post 1.0'!AH500)), "")</f>
        <v/>
      </c>
      <c r="AD132" s="9" t="str">
        <f>IFERROR(IF(AD115&gt;TS, "", IF('GCN_Post 1.0'!AI500="",HLOOKUP((TotS)-AD115+1,'GCN_Post 1.0'!$E$464:$X$506,37,TRUE), 'GCN_Post 1.0'!AI500)), "")</f>
        <v/>
      </c>
      <c r="AE132" s="9" t="str">
        <f>IFERROR(IF(AE115&gt;TS, "", IF('GCN_Post 1.0'!AJ500="",HLOOKUP((TotS)-AE115+1,'GCN_Post 1.0'!$E$464:$X$506,37,TRUE), 'GCN_Post 1.0'!AJ500)), "")</f>
        <v/>
      </c>
      <c r="AF132" s="9" t="str">
        <f>IFERROR(IF(AF115&gt;TS, "", IF('GCN_Post 1.0'!AK500="",HLOOKUP((TotS)-AF115+1,'GCN_Post 1.0'!$E$464:$X$506,37,TRUE), 'GCN_Post 1.0'!AK500)), "")</f>
        <v/>
      </c>
      <c r="AG132" s="9" t="str">
        <f>IFERROR(IF(AG115&gt;TS, "", IF('GCN_Post 1.0'!AL500="",HLOOKUP((TotS)-AG115+1,'GCN_Post 1.0'!$E$464:$X$506,37,TRUE), 'GCN_Post 1.0'!AL500)), "")</f>
        <v/>
      </c>
      <c r="AH132" s="9" t="str">
        <f>IFERROR(IF(AH115&gt;TS, "", IF('GCN_Post 1.0'!AM500="",HLOOKUP((TotS)-AH115+1,'GCN_Post 1.0'!$E$464:$X$506,37,TRUE), 'GCN_Post 1.0'!AM500)), "")</f>
        <v/>
      </c>
      <c r="AI132" s="9" t="str">
        <f>IFERROR(IF(AI115&gt;TS, "", IF('GCN_Post 1.0'!AN500="",HLOOKUP((TotS)-AI115+1,'GCN_Post 1.0'!$E$464:$X$506,37,TRUE), 'GCN_Post 1.0'!AN500)), "")</f>
        <v/>
      </c>
      <c r="AJ132" s="9" t="str">
        <f>IFERROR(IF(AJ115&gt;TS, "", IF('GCN_Post 1.0'!AO500="",HLOOKUP((TotS)-AJ115+1,'GCN_Post 1.0'!$E$464:$X$506,37,TRUE), 'GCN_Post 1.0'!AO500)), "")</f>
        <v/>
      </c>
      <c r="AK132" s="9" t="str">
        <f>IFERROR(IF(AK115&gt;TS, "", IF('GCN_Post 1.0'!AP500="",HLOOKUP((TotS)-AK115+1,'GCN_Post 1.0'!$E$464:$X$506,37,TRUE), 'GCN_Post 1.0'!AP500)), "")</f>
        <v/>
      </c>
      <c r="AL132" s="9" t="str">
        <f>IFERROR(IF(AL115&gt;TS, "", IF('GCN_Post 1.0'!AQ500="",HLOOKUP((TotS)-AL115+1,'GCN_Post 1.0'!$E$464:$X$506,37,TRUE), 'GCN_Post 1.0'!AQ500)), "")</f>
        <v/>
      </c>
      <c r="AM132" s="9" t="str">
        <f>IFERROR(IF(AM115&gt;TS, "", IF('GCN_Post 1.0'!AR500="",HLOOKUP((TotS)-AM115+1,'GCN_Post 1.0'!$E$464:$X$506,37,TRUE), 'GCN_Post 1.0'!AR500)), "")</f>
        <v/>
      </c>
      <c r="AN132" s="9" t="str">
        <f>IFERROR(IF(AN115&gt;TS, "", IF('GCN_Post 1.0'!AS500="",HLOOKUP((TotS)-AN115+1,'GCN_Post 1.0'!$E$464:$X$506,37,TRUE), 'GCN_Post 1.0'!AS500)), "")</f>
        <v/>
      </c>
      <c r="AO132" s="9" t="str">
        <f>IFERROR(IF(AO115&gt;TS, "", IF('GCN_Post 1.0'!AT500="",HLOOKUP((TotS)-AO115+1,'GCN_Post 1.0'!$E$464:$X$506,37,TRUE), 'GCN_Post 1.0'!AT500)), "")</f>
        <v/>
      </c>
      <c r="AP132" s="9" t="str">
        <f>IFERROR(IF(AP115&gt;TS, "", IF('GCN_Post 1.0'!AU500="",HLOOKUP((TotS)-AP115+1,'GCN_Post 1.0'!$E$464:$X$506,37,TRUE), 'GCN_Post 1.0'!AU500)), "")</f>
        <v/>
      </c>
      <c r="AQ132" s="9" t="str">
        <f>IFERROR(IF(AQ115&gt;TS, "", IF('GCN_Post 1.0'!AV500="",HLOOKUP((TotS)-AQ115+1,'GCN_Post 1.0'!$E$464:$X$506,37,TRUE), 'GCN_Post 1.0'!AV500)), "")</f>
        <v/>
      </c>
    </row>
    <row r="133" spans="2:43" x14ac:dyDescent="0.25">
      <c r="B133" s="555"/>
      <c r="C133" s="565"/>
      <c r="D133" s="9" t="str">
        <f>'GCN_Post 1.0'!I501</f>
        <v/>
      </c>
      <c r="E133" s="9" t="str">
        <f>IFERROR(IF(E115&gt;TS, "", IF('GCN_Post 1.0'!J501="",HLOOKUP((TotS)-E115+1,'GCN_Post 1.0'!$E$464:$X$506,38,TRUE), 'GCN_Post 1.0'!J501)), "")</f>
        <v/>
      </c>
      <c r="F133" s="9" t="str">
        <f>IFERROR(IF(F115&gt;TS, "", IF('GCN_Post 1.0'!K501="",HLOOKUP((TotS)-F115+1,'GCN_Post 1.0'!$E$464:$X$506,38,TRUE), 'GCN_Post 1.0'!K501)), "")</f>
        <v/>
      </c>
      <c r="G133" s="9" t="str">
        <f>IFERROR(IF(G115&gt;TS, "", IF('GCN_Post 1.0'!L501="",HLOOKUP((TotS)-G115+1,'GCN_Post 1.0'!$E$464:$X$506,38,TRUE), 'GCN_Post 1.0'!L501)), "")</f>
        <v/>
      </c>
      <c r="H133" s="9" t="str">
        <f>IFERROR(IF(H115&gt;TS, "", IF('GCN_Post 1.0'!M501="",HLOOKUP((TotS)-H115+1,'GCN_Post 1.0'!$E$464:$X$506,38,TRUE), 'GCN_Post 1.0'!M501)), "")</f>
        <v/>
      </c>
      <c r="I133" s="9" t="str">
        <f>IFERROR(IF(I115&gt;TS, "", IF('GCN_Post 1.0'!N501="",HLOOKUP((TotS)-I115+1,'GCN_Post 1.0'!$E$464:$X$506,38,TRUE), 'GCN_Post 1.0'!N501)), "")</f>
        <v/>
      </c>
      <c r="J133" s="9" t="str">
        <f>IFERROR(IF(J115&gt;TS, "", IF('GCN_Post 1.0'!O501="",HLOOKUP((TotS)-J115+1,'GCN_Post 1.0'!$E$464:$X$506,38,TRUE), 'GCN_Post 1.0'!O501)), "")</f>
        <v/>
      </c>
      <c r="K133" s="9" t="str">
        <f>IFERROR(IF(K115&gt;TS, "", IF('GCN_Post 1.0'!P501="",HLOOKUP((TotS)-K115+1,'GCN_Post 1.0'!$E$464:$X$506,38,TRUE), 'GCN_Post 1.0'!P501)), "")</f>
        <v/>
      </c>
      <c r="L133" s="9" t="str">
        <f>IFERROR(IF(L115&gt;TS, "", IF('GCN_Post 1.0'!Q501="",HLOOKUP((TotS)-L115+1,'GCN_Post 1.0'!$E$464:$X$506,38,TRUE), 'GCN_Post 1.0'!Q501)), "")</f>
        <v/>
      </c>
      <c r="M133" s="9" t="str">
        <f>IFERROR(IF(M115&gt;TS, "", IF('GCN_Post 1.0'!R501="",HLOOKUP((TotS)-M115+1,'GCN_Post 1.0'!$E$464:$X$506,38,TRUE), 'GCN_Post 1.0'!R501)), "")</f>
        <v/>
      </c>
      <c r="N133" s="9" t="str">
        <f>IFERROR(IF(N115&gt;TS, "", IF('GCN_Post 1.0'!S501="",HLOOKUP((TotS)-N115+1,'GCN_Post 1.0'!$E$464:$X$506,38,TRUE), 'GCN_Post 1.0'!S501)), "")</f>
        <v/>
      </c>
      <c r="O133" s="9" t="str">
        <f>IFERROR(IF(O115&gt;TS, "", IF('GCN_Post 1.0'!T501="",HLOOKUP((TotS)-O115+1,'GCN_Post 1.0'!$E$464:$X$506,38,TRUE), 'GCN_Post 1.0'!T501)), "")</f>
        <v/>
      </c>
      <c r="P133" s="9" t="str">
        <f>IFERROR(IF(P115&gt;TS, "", IF('GCN_Post 1.0'!U501="",HLOOKUP((TotS)-P115+1,'GCN_Post 1.0'!$E$464:$X$506,38,TRUE), 'GCN_Post 1.0'!U501)), "")</f>
        <v/>
      </c>
      <c r="Q133" s="9" t="str">
        <f>IFERROR(IF(Q115&gt;TS, "", IF('GCN_Post 1.0'!V501="",HLOOKUP((TotS)-Q115+1,'GCN_Post 1.0'!$E$464:$X$506,38,TRUE), 'GCN_Post 1.0'!V501)), "")</f>
        <v/>
      </c>
      <c r="R133" s="9" t="str">
        <f>IFERROR(IF(R115&gt;TS, "", IF('GCN_Post 1.0'!W501="",HLOOKUP((TotS)-R115+1,'GCN_Post 1.0'!$E$464:$X$506,38,TRUE), 'GCN_Post 1.0'!W501)), "")</f>
        <v/>
      </c>
      <c r="S133" s="9" t="str">
        <f>IFERROR(IF(S115&gt;TS, "", IF('GCN_Post 1.0'!X501="",HLOOKUP((TotS)-S115+1,'GCN_Post 1.0'!$E$464:$X$506,38,TRUE), 'GCN_Post 1.0'!X501)), "")</f>
        <v/>
      </c>
      <c r="T133" s="9" t="str">
        <f>IFERROR(IF(T115&gt;TS, "", IF('GCN_Post 1.0'!Y501="",HLOOKUP((TotS)-T115+1,'GCN_Post 1.0'!$E$464:$X$506,38,TRUE), 'GCN_Post 1.0'!Y501)), "")</f>
        <v/>
      </c>
      <c r="U133" s="9" t="str">
        <f>IFERROR(IF(U115&gt;TS, "", IF('GCN_Post 1.0'!Z501="",HLOOKUP((TotS)-U115+1,'GCN_Post 1.0'!$E$464:$X$506,38,TRUE), 'GCN_Post 1.0'!Z501)), "")</f>
        <v/>
      </c>
      <c r="V133" s="9" t="str">
        <f>IFERROR(IF(V115&gt;TS, "", IF('GCN_Post 1.0'!AA501="",HLOOKUP((TotS)-V115+1,'GCN_Post 1.0'!$E$464:$X$506,38,TRUE), 'GCN_Post 1.0'!AA501)), "")</f>
        <v/>
      </c>
      <c r="W133" s="9" t="str">
        <f>IFERROR(IF(W115&gt;TS, "", IF('GCN_Post 1.0'!AB501="",HLOOKUP((TotS)-W115+1,'GCN_Post 1.0'!$E$464:$X$506,38,TRUE), 'GCN_Post 1.0'!AB501)), "")</f>
        <v/>
      </c>
      <c r="X133" s="9" t="str">
        <f>IFERROR(IF(X115&gt;TS, "", IF('GCN_Post 1.0'!AC501="",HLOOKUP((TotS)-X115+1,'GCN_Post 1.0'!$E$464:$X$506,38,TRUE), 'GCN_Post 1.0'!AC501)), "")</f>
        <v/>
      </c>
      <c r="Y133" s="9" t="str">
        <f>IFERROR(IF(Y115&gt;TS, "", IF('GCN_Post 1.0'!AD501="",HLOOKUP((TotS)-Y115+1,'GCN_Post 1.0'!$E$464:$X$506,38,TRUE), 'GCN_Post 1.0'!AD501)), "")</f>
        <v/>
      </c>
      <c r="Z133" s="9" t="str">
        <f>IFERROR(IF(Z115&gt;TS, "", IF('GCN_Post 1.0'!AE501="",HLOOKUP((TotS)-Z115+1,'GCN_Post 1.0'!$E$464:$X$506,38,TRUE), 'GCN_Post 1.0'!AE501)), "")</f>
        <v/>
      </c>
      <c r="AA133" s="9" t="str">
        <f>IFERROR(IF(AA115&gt;TS, "", IF('GCN_Post 1.0'!AF501="",HLOOKUP((TotS)-AA115+1,'GCN_Post 1.0'!$E$464:$X$506,38,TRUE), 'GCN_Post 1.0'!AF501)), "")</f>
        <v/>
      </c>
      <c r="AB133" s="9" t="str">
        <f>IFERROR(IF(AB115&gt;TS, "", IF('GCN_Post 1.0'!AG501="",HLOOKUP((TotS)-AB115+1,'GCN_Post 1.0'!$E$464:$X$506,38,TRUE), 'GCN_Post 1.0'!AG501)), "")</f>
        <v/>
      </c>
      <c r="AC133" s="9" t="str">
        <f>IFERROR(IF(AC115&gt;TS, "", IF('GCN_Post 1.0'!AH501="",HLOOKUP((TotS)-AC115+1,'GCN_Post 1.0'!$E$464:$X$506,38,TRUE), 'GCN_Post 1.0'!AH501)), "")</f>
        <v/>
      </c>
      <c r="AD133" s="9" t="str">
        <f>IFERROR(IF(AD115&gt;TS, "", IF('GCN_Post 1.0'!AI501="",HLOOKUP((TotS)-AD115+1,'GCN_Post 1.0'!$E$464:$X$506,38,TRUE), 'GCN_Post 1.0'!AI501)), "")</f>
        <v/>
      </c>
      <c r="AE133" s="9" t="str">
        <f>IFERROR(IF(AE115&gt;TS, "", IF('GCN_Post 1.0'!AJ501="",HLOOKUP((TotS)-AE115+1,'GCN_Post 1.0'!$E$464:$X$506,38,TRUE), 'GCN_Post 1.0'!AJ501)), "")</f>
        <v/>
      </c>
      <c r="AF133" s="9" t="str">
        <f>IFERROR(IF(AF115&gt;TS, "", IF('GCN_Post 1.0'!AK501="",HLOOKUP((TotS)-AF115+1,'GCN_Post 1.0'!$E$464:$X$506,38,TRUE), 'GCN_Post 1.0'!AK501)), "")</f>
        <v/>
      </c>
      <c r="AG133" s="9" t="str">
        <f>IFERROR(IF(AG115&gt;TS, "", IF('GCN_Post 1.0'!AL501="",HLOOKUP((TotS)-AG115+1,'GCN_Post 1.0'!$E$464:$X$506,38,TRUE), 'GCN_Post 1.0'!AL501)), "")</f>
        <v/>
      </c>
      <c r="AH133" s="9" t="str">
        <f>IFERROR(IF(AH115&gt;TS, "", IF('GCN_Post 1.0'!AM501="",HLOOKUP((TotS)-AH115+1,'GCN_Post 1.0'!$E$464:$X$506,38,TRUE), 'GCN_Post 1.0'!AM501)), "")</f>
        <v/>
      </c>
      <c r="AI133" s="9" t="str">
        <f>IFERROR(IF(AI115&gt;TS, "", IF('GCN_Post 1.0'!AN501="",HLOOKUP((TotS)-AI115+1,'GCN_Post 1.0'!$E$464:$X$506,38,TRUE), 'GCN_Post 1.0'!AN501)), "")</f>
        <v/>
      </c>
      <c r="AJ133" s="9" t="str">
        <f>IFERROR(IF(AJ115&gt;TS, "", IF('GCN_Post 1.0'!AO501="",HLOOKUP((TotS)-AJ115+1,'GCN_Post 1.0'!$E$464:$X$506,38,TRUE), 'GCN_Post 1.0'!AO501)), "")</f>
        <v/>
      </c>
      <c r="AK133" s="9" t="str">
        <f>IFERROR(IF(AK115&gt;TS, "", IF('GCN_Post 1.0'!AP501="",HLOOKUP((TotS)-AK115+1,'GCN_Post 1.0'!$E$464:$X$506,38,TRUE), 'GCN_Post 1.0'!AP501)), "")</f>
        <v/>
      </c>
      <c r="AL133" s="9" t="str">
        <f>IFERROR(IF(AL115&gt;TS, "", IF('GCN_Post 1.0'!AQ501="",HLOOKUP((TotS)-AL115+1,'GCN_Post 1.0'!$E$464:$X$506,38,TRUE), 'GCN_Post 1.0'!AQ501)), "")</f>
        <v/>
      </c>
      <c r="AM133" s="9" t="str">
        <f>IFERROR(IF(AM115&gt;TS, "", IF('GCN_Post 1.0'!AR501="",HLOOKUP((TotS)-AM115+1,'GCN_Post 1.0'!$E$464:$X$506,38,TRUE), 'GCN_Post 1.0'!AR501)), "")</f>
        <v/>
      </c>
      <c r="AN133" s="9" t="str">
        <f>IFERROR(IF(AN115&gt;TS, "", IF('GCN_Post 1.0'!AS501="",HLOOKUP((TotS)-AN115+1,'GCN_Post 1.0'!$E$464:$X$506,38,TRUE), 'GCN_Post 1.0'!AS501)), "")</f>
        <v/>
      </c>
      <c r="AO133" s="9" t="str">
        <f>IFERROR(IF(AO115&gt;TS, "", IF('GCN_Post 1.0'!AT501="",HLOOKUP((TotS)-AO115+1,'GCN_Post 1.0'!$E$464:$X$506,38,TRUE), 'GCN_Post 1.0'!AT501)), "")</f>
        <v/>
      </c>
      <c r="AP133" s="9" t="str">
        <f>IFERROR(IF(AP115&gt;TS, "", IF('GCN_Post 1.0'!AU501="",HLOOKUP((TotS)-AP115+1,'GCN_Post 1.0'!$E$464:$X$506,38,TRUE), 'GCN_Post 1.0'!AU501)), "")</f>
        <v/>
      </c>
      <c r="AQ133" s="9" t="str">
        <f>IFERROR(IF(AQ115&gt;TS, "", IF('GCN_Post 1.0'!AV501="",HLOOKUP((TotS)-AQ115+1,'GCN_Post 1.0'!$E$464:$X$506,38,TRUE), 'GCN_Post 1.0'!AV501)), "")</f>
        <v/>
      </c>
    </row>
    <row r="134" spans="2:43" x14ac:dyDescent="0.25">
      <c r="B134" s="560"/>
      <c r="C134" s="601"/>
      <c r="D134" s="9" t="str">
        <f>'GCN_Post 1.0'!I502</f>
        <v/>
      </c>
      <c r="E134" s="9" t="str">
        <f>IFERROR(IF(E115&gt;TS, "", IF('GCN_Post 1.0'!J502="",HLOOKUP((TotS)-E115+1,'GCN_Post 1.0'!$E$464:$X$506,39,TRUE), 'GCN_Post 1.0'!J502)), "")</f>
        <v/>
      </c>
      <c r="F134" s="9" t="str">
        <f>IFERROR(IF(F115&gt;TS, "", IF('GCN_Post 1.0'!K502="",HLOOKUP((TotS)-F115+1,'GCN_Post 1.0'!$E$464:$X$506,39,TRUE), 'GCN_Post 1.0'!K502)), "")</f>
        <v/>
      </c>
      <c r="G134" s="9" t="str">
        <f>IFERROR(IF(G115&gt;TS, "", IF('GCN_Post 1.0'!L502="",HLOOKUP((TotS)-G115+1,'GCN_Post 1.0'!$E$464:$X$506,39,TRUE), 'GCN_Post 1.0'!L502)), "")</f>
        <v/>
      </c>
      <c r="H134" s="9" t="str">
        <f>IFERROR(IF(H115&gt;TS, "", IF('GCN_Post 1.0'!M502="",HLOOKUP((TotS)-H115+1,'GCN_Post 1.0'!$E$464:$X$506,39,TRUE), 'GCN_Post 1.0'!M502)), "")</f>
        <v/>
      </c>
      <c r="I134" s="9" t="str">
        <f>IFERROR(IF(I115&gt;TS, "", IF('GCN_Post 1.0'!N502="",HLOOKUP((TotS)-I115+1,'GCN_Post 1.0'!$E$464:$X$506,39,TRUE), 'GCN_Post 1.0'!N502)), "")</f>
        <v/>
      </c>
      <c r="J134" s="9" t="str">
        <f>IFERROR(IF(J115&gt;TS, "", IF('GCN_Post 1.0'!O502="",HLOOKUP((TotS)-J115+1,'GCN_Post 1.0'!$E$464:$X$506,39,TRUE), 'GCN_Post 1.0'!O502)), "")</f>
        <v/>
      </c>
      <c r="K134" s="9" t="str">
        <f>IFERROR(IF(K115&gt;TS, "", IF('GCN_Post 1.0'!P502="",HLOOKUP((TotS)-K115+1,'GCN_Post 1.0'!$E$464:$X$506,39,TRUE), 'GCN_Post 1.0'!P502)), "")</f>
        <v/>
      </c>
      <c r="L134" s="9" t="str">
        <f>IFERROR(IF(L115&gt;TS, "", IF('GCN_Post 1.0'!Q502="",HLOOKUP((TotS)-L115+1,'GCN_Post 1.0'!$E$464:$X$506,39,TRUE), 'GCN_Post 1.0'!Q502)), "")</f>
        <v/>
      </c>
      <c r="M134" s="9" t="str">
        <f>IFERROR(IF(M115&gt;TS, "", IF('GCN_Post 1.0'!R502="",HLOOKUP((TotS)-M115+1,'GCN_Post 1.0'!$E$464:$X$506,39,TRUE), 'GCN_Post 1.0'!R502)), "")</f>
        <v/>
      </c>
      <c r="N134" s="9" t="str">
        <f>IFERROR(IF(N115&gt;TS, "", IF('GCN_Post 1.0'!S502="",HLOOKUP((TotS)-N115+1,'GCN_Post 1.0'!$E$464:$X$506,39,TRUE), 'GCN_Post 1.0'!S502)), "")</f>
        <v/>
      </c>
      <c r="O134" s="9" t="str">
        <f>IFERROR(IF(O115&gt;TS, "", IF('GCN_Post 1.0'!T502="",HLOOKUP((TotS)-O115+1,'GCN_Post 1.0'!$E$464:$X$506,39,TRUE), 'GCN_Post 1.0'!T502)), "")</f>
        <v/>
      </c>
      <c r="P134" s="9" t="str">
        <f>IFERROR(IF(P115&gt;TS, "", IF('GCN_Post 1.0'!U502="",HLOOKUP((TotS)-P115+1,'GCN_Post 1.0'!$E$464:$X$506,39,TRUE), 'GCN_Post 1.0'!U502)), "")</f>
        <v/>
      </c>
      <c r="Q134" s="9" t="str">
        <f>IFERROR(IF(Q115&gt;TS, "", IF('GCN_Post 1.0'!V502="",HLOOKUP((TotS)-Q115+1,'GCN_Post 1.0'!$E$464:$X$506,39,TRUE), 'GCN_Post 1.0'!V502)), "")</f>
        <v/>
      </c>
      <c r="R134" s="9" t="str">
        <f>IFERROR(IF(R115&gt;TS, "", IF('GCN_Post 1.0'!W502="",HLOOKUP((TotS)-R115+1,'GCN_Post 1.0'!$E$464:$X$506,39,TRUE), 'GCN_Post 1.0'!W502)), "")</f>
        <v/>
      </c>
      <c r="S134" s="9" t="str">
        <f>IFERROR(IF(S115&gt;TS, "", IF('GCN_Post 1.0'!X502="",HLOOKUP((TotS)-S115+1,'GCN_Post 1.0'!$E$464:$X$506,39,TRUE), 'GCN_Post 1.0'!X502)), "")</f>
        <v/>
      </c>
      <c r="T134" s="9" t="str">
        <f>IFERROR(IF(T115&gt;TS, "", IF('GCN_Post 1.0'!Y502="",HLOOKUP((TotS)-T115+1,'GCN_Post 1.0'!$E$464:$X$506,39,TRUE), 'GCN_Post 1.0'!Y502)), "")</f>
        <v/>
      </c>
      <c r="U134" s="9" t="str">
        <f>IFERROR(IF(U115&gt;TS, "", IF('GCN_Post 1.0'!Z502="",HLOOKUP((TotS)-U115+1,'GCN_Post 1.0'!$E$464:$X$506,39,TRUE), 'GCN_Post 1.0'!Z502)), "")</f>
        <v/>
      </c>
      <c r="V134" s="9" t="str">
        <f>IFERROR(IF(V115&gt;TS, "", IF('GCN_Post 1.0'!AA502="",HLOOKUP((TotS)-V115+1,'GCN_Post 1.0'!$E$464:$X$506,39,TRUE), 'GCN_Post 1.0'!AA502)), "")</f>
        <v/>
      </c>
      <c r="W134" s="9" t="str">
        <f>IFERROR(IF(W115&gt;TS, "", IF('GCN_Post 1.0'!AB502="",HLOOKUP((TotS)-W115+1,'GCN_Post 1.0'!$E$464:$X$506,39,TRUE), 'GCN_Post 1.0'!AB502)), "")</f>
        <v/>
      </c>
      <c r="X134" s="9" t="str">
        <f>IFERROR(IF(X115&gt;TS, "", IF('GCN_Post 1.0'!AC502="",HLOOKUP((TotS)-X115+1,'GCN_Post 1.0'!$E$464:$X$506,39,TRUE), 'GCN_Post 1.0'!AC502)), "")</f>
        <v/>
      </c>
      <c r="Y134" s="9" t="str">
        <f>IFERROR(IF(Y115&gt;TS, "", IF('GCN_Post 1.0'!AD502="",HLOOKUP((TotS)-Y115+1,'GCN_Post 1.0'!$E$464:$X$506,39,TRUE), 'GCN_Post 1.0'!AD502)), "")</f>
        <v/>
      </c>
      <c r="Z134" s="9" t="str">
        <f>IFERROR(IF(Z115&gt;TS, "", IF('GCN_Post 1.0'!AE502="",HLOOKUP((TotS)-Z115+1,'GCN_Post 1.0'!$E$464:$X$506,39,TRUE), 'GCN_Post 1.0'!AE502)), "")</f>
        <v/>
      </c>
      <c r="AA134" s="9" t="str">
        <f>IFERROR(IF(AA115&gt;TS, "", IF('GCN_Post 1.0'!AF502="",HLOOKUP((TotS)-AA115+1,'GCN_Post 1.0'!$E$464:$X$506,39,TRUE), 'GCN_Post 1.0'!AF502)), "")</f>
        <v/>
      </c>
      <c r="AB134" s="9" t="str">
        <f>IFERROR(IF(AB115&gt;TS, "", IF('GCN_Post 1.0'!AG502="",HLOOKUP((TotS)-AB115+1,'GCN_Post 1.0'!$E$464:$X$506,39,TRUE), 'GCN_Post 1.0'!AG502)), "")</f>
        <v/>
      </c>
      <c r="AC134" s="9" t="str">
        <f>IFERROR(IF(AC115&gt;TS, "", IF('GCN_Post 1.0'!AH502="",HLOOKUP((TotS)-AC115+1,'GCN_Post 1.0'!$E$464:$X$506,39,TRUE), 'GCN_Post 1.0'!AH502)), "")</f>
        <v/>
      </c>
      <c r="AD134" s="9" t="str">
        <f>IFERROR(IF(AD115&gt;TS, "", IF('GCN_Post 1.0'!AI502="",HLOOKUP((TotS)-AD115+1,'GCN_Post 1.0'!$E$464:$X$506,39,TRUE), 'GCN_Post 1.0'!AI502)), "")</f>
        <v/>
      </c>
      <c r="AE134" s="9" t="str">
        <f>IFERROR(IF(AE115&gt;TS, "", IF('GCN_Post 1.0'!AJ502="",HLOOKUP((TotS)-AE115+1,'GCN_Post 1.0'!$E$464:$X$506,39,TRUE), 'GCN_Post 1.0'!AJ502)), "")</f>
        <v/>
      </c>
      <c r="AF134" s="9" t="str">
        <f>IFERROR(IF(AF115&gt;TS, "", IF('GCN_Post 1.0'!AK502="",HLOOKUP((TotS)-AF115+1,'GCN_Post 1.0'!$E$464:$X$506,39,TRUE), 'GCN_Post 1.0'!AK502)), "")</f>
        <v/>
      </c>
      <c r="AG134" s="9" t="str">
        <f>IFERROR(IF(AG115&gt;TS, "", IF('GCN_Post 1.0'!AL502="",HLOOKUP((TotS)-AG115+1,'GCN_Post 1.0'!$E$464:$X$506,39,TRUE), 'GCN_Post 1.0'!AL502)), "")</f>
        <v/>
      </c>
      <c r="AH134" s="9" t="str">
        <f>IFERROR(IF(AH115&gt;TS, "", IF('GCN_Post 1.0'!AM502="",HLOOKUP((TotS)-AH115+1,'GCN_Post 1.0'!$E$464:$X$506,39,TRUE), 'GCN_Post 1.0'!AM502)), "")</f>
        <v/>
      </c>
      <c r="AI134" s="9" t="str">
        <f>IFERROR(IF(AI115&gt;TS, "", IF('GCN_Post 1.0'!AN502="",HLOOKUP((TotS)-AI115+1,'GCN_Post 1.0'!$E$464:$X$506,39,TRUE), 'GCN_Post 1.0'!AN502)), "")</f>
        <v/>
      </c>
      <c r="AJ134" s="9" t="str">
        <f>IFERROR(IF(AJ115&gt;TS, "", IF('GCN_Post 1.0'!AO502="",HLOOKUP((TotS)-AJ115+1,'GCN_Post 1.0'!$E$464:$X$506,39,TRUE), 'GCN_Post 1.0'!AO502)), "")</f>
        <v/>
      </c>
      <c r="AK134" s="9" t="str">
        <f>IFERROR(IF(AK115&gt;TS, "", IF('GCN_Post 1.0'!AP502="",HLOOKUP((TotS)-AK115+1,'GCN_Post 1.0'!$E$464:$X$506,39,TRUE), 'GCN_Post 1.0'!AP502)), "")</f>
        <v/>
      </c>
      <c r="AL134" s="9" t="str">
        <f>IFERROR(IF(AL115&gt;TS, "", IF('GCN_Post 1.0'!AQ502="",HLOOKUP((TotS)-AL115+1,'GCN_Post 1.0'!$E$464:$X$506,39,TRUE), 'GCN_Post 1.0'!AQ502)), "")</f>
        <v/>
      </c>
      <c r="AM134" s="9" t="str">
        <f>IFERROR(IF(AM115&gt;TS, "", IF('GCN_Post 1.0'!AR502="",HLOOKUP((TotS)-AM115+1,'GCN_Post 1.0'!$E$464:$X$506,39,TRUE), 'GCN_Post 1.0'!AR502)), "")</f>
        <v/>
      </c>
      <c r="AN134" s="9" t="str">
        <f>IFERROR(IF(AN115&gt;TS, "", IF('GCN_Post 1.0'!AS502="",HLOOKUP((TotS)-AN115+1,'GCN_Post 1.0'!$E$464:$X$506,39,TRUE), 'GCN_Post 1.0'!AS502)), "")</f>
        <v/>
      </c>
      <c r="AO134" s="9" t="str">
        <f>IFERROR(IF(AO115&gt;TS, "", IF('GCN_Post 1.0'!AT502="",HLOOKUP((TotS)-AO115+1,'GCN_Post 1.0'!$E$464:$X$506,39,TRUE), 'GCN_Post 1.0'!AT502)), "")</f>
        <v/>
      </c>
      <c r="AP134" s="9" t="str">
        <f>IFERROR(IF(AP115&gt;TS, "", IF('GCN_Post 1.0'!AU502="",HLOOKUP((TotS)-AP115+1,'GCN_Post 1.0'!$E$464:$X$506,39,TRUE), 'GCN_Post 1.0'!AU502)), "")</f>
        <v/>
      </c>
      <c r="AQ134" s="9" t="str">
        <f>IFERROR(IF(AQ115&gt;TS, "", IF('GCN_Post 1.0'!AV502="",HLOOKUP((TotS)-AQ115+1,'GCN_Post 1.0'!$E$464:$X$506,39,TRUE), 'GCN_Post 1.0'!AV502)), "")</f>
        <v/>
      </c>
    </row>
    <row r="136" spans="2:43" ht="15" customHeight="1" x14ac:dyDescent="0.25">
      <c r="B136" s="663" t="s">
        <v>742</v>
      </c>
      <c r="C136" s="572"/>
      <c r="D136" s="9" t="str">
        <f>'GCN_Post 1.0'!I503</f>
        <v/>
      </c>
      <c r="E136" s="9" t="str">
        <f>IFERROR(IF(E115&gt;TS, "", IF('GCN_Post 1.0'!J503="",HLOOKUP((TotS)-E115+1,'GCN_Post 1.0'!$E$464:$X$506,40,TRUE), 'GCN_Post 1.0'!J503)), "")</f>
        <v/>
      </c>
      <c r="F136" s="9" t="str">
        <f>IFERROR(IF(F115&gt;TS, "", IF('GCN_Post 1.0'!K503="",HLOOKUP((TotS)-F115+1,'GCN_Post 1.0'!$E$464:$X$506,40,TRUE), 'GCN_Post 1.0'!K503)), "")</f>
        <v/>
      </c>
      <c r="G136" s="9" t="str">
        <f>IFERROR(IF(G115&gt;TS, "", IF('GCN_Post 1.0'!L503="",HLOOKUP((TotS)-G115+1,'GCN_Post 1.0'!$E$464:$X$506,40,TRUE), 'GCN_Post 1.0'!L503)), "")</f>
        <v/>
      </c>
      <c r="H136" s="9" t="str">
        <f>IFERROR(IF(H115&gt;TS, "", IF('GCN_Post 1.0'!M503="",HLOOKUP((TotS)-H115+1,'GCN_Post 1.0'!$E$464:$X$506,40,TRUE), 'GCN_Post 1.0'!M503)), "")</f>
        <v/>
      </c>
      <c r="I136" s="9" t="str">
        <f>IFERROR(IF(I115&gt;TS, "", IF('GCN_Post 1.0'!N503="",HLOOKUP((TotS)-I115+1,'GCN_Post 1.0'!$E$464:$X$506,40,TRUE), 'GCN_Post 1.0'!N503)), "")</f>
        <v/>
      </c>
      <c r="J136" s="9" t="str">
        <f>IFERROR(IF(J115&gt;TS, "", IF('GCN_Post 1.0'!O503="",HLOOKUP((TotS)-J115+1,'GCN_Post 1.0'!$E$464:$X$506,40,TRUE), 'GCN_Post 1.0'!O503)), "")</f>
        <v/>
      </c>
      <c r="K136" s="9" t="str">
        <f>IFERROR(IF(K115&gt;TS, "", IF('GCN_Post 1.0'!P503="",HLOOKUP((TotS)-K115+1,'GCN_Post 1.0'!$E$464:$X$506,40,TRUE), 'GCN_Post 1.0'!P503)), "")</f>
        <v/>
      </c>
      <c r="L136" s="9" t="str">
        <f>IFERROR(IF(L115&gt;TS, "", IF('GCN_Post 1.0'!Q503="",HLOOKUP((TotS)-L115+1,'GCN_Post 1.0'!$E$464:$X$506,40,TRUE), 'GCN_Post 1.0'!Q503)), "")</f>
        <v/>
      </c>
      <c r="M136" s="9" t="str">
        <f>IFERROR(IF(M115&gt;TS, "", IF('GCN_Post 1.0'!R503="",HLOOKUP((TotS)-M115+1,'GCN_Post 1.0'!$E$464:$X$506,40,TRUE), 'GCN_Post 1.0'!R503)), "")</f>
        <v/>
      </c>
      <c r="N136" s="9" t="str">
        <f>IFERROR(IF(N115&gt;TS, "", IF('GCN_Post 1.0'!S503="",HLOOKUP((TotS)-N115+1,'GCN_Post 1.0'!$E$464:$X$506,40,TRUE), 'GCN_Post 1.0'!S503)), "")</f>
        <v/>
      </c>
      <c r="O136" s="9" t="str">
        <f>IFERROR(IF(O115&gt;TS, "", IF('GCN_Post 1.0'!T503="",HLOOKUP((TotS)-O115+1,'GCN_Post 1.0'!$E$464:$X$506,40,TRUE), 'GCN_Post 1.0'!T503)), "")</f>
        <v/>
      </c>
      <c r="P136" s="9" t="str">
        <f>IFERROR(IF(P115&gt;TS, "", IF('GCN_Post 1.0'!U503="",HLOOKUP((TotS)-P115+1,'GCN_Post 1.0'!$E$464:$X$506,40,TRUE), 'GCN_Post 1.0'!U503)), "")</f>
        <v/>
      </c>
      <c r="Q136" s="9" t="str">
        <f>IFERROR(IF(Q115&gt;TS, "", IF('GCN_Post 1.0'!V503="",HLOOKUP((TotS)-Q115+1,'GCN_Post 1.0'!$E$464:$X$506,40,TRUE), 'GCN_Post 1.0'!V503)), "")</f>
        <v/>
      </c>
      <c r="R136" s="9" t="str">
        <f>IFERROR(IF(R115&gt;TS, "", IF('GCN_Post 1.0'!W503="",HLOOKUP((TotS)-R115+1,'GCN_Post 1.0'!$E$464:$X$506,40,TRUE), 'GCN_Post 1.0'!W503)), "")</f>
        <v/>
      </c>
      <c r="S136" s="9" t="str">
        <f>IFERROR(IF(S115&gt;TS, "", IF('GCN_Post 1.0'!X503="",HLOOKUP((TotS)-S115+1,'GCN_Post 1.0'!$E$464:$X$506,40,TRUE), 'GCN_Post 1.0'!X503)), "")</f>
        <v/>
      </c>
      <c r="T136" s="9" t="str">
        <f>IFERROR(IF(T115&gt;TS, "", IF('GCN_Post 1.0'!Y503="",HLOOKUP((TotS)-T115+1,'GCN_Post 1.0'!$E$464:$X$506,40,TRUE), 'GCN_Post 1.0'!Y503)), "")</f>
        <v/>
      </c>
      <c r="U136" s="9" t="str">
        <f>IFERROR(IF(U115&gt;TS, "", IF('GCN_Post 1.0'!Z503="",HLOOKUP((TotS)-U115+1,'GCN_Post 1.0'!$E$464:$X$506,40,TRUE), 'GCN_Post 1.0'!Z503)), "")</f>
        <v/>
      </c>
      <c r="V136" s="9" t="str">
        <f>IFERROR(IF(V115&gt;TS, "", IF('GCN_Post 1.0'!AA503="",HLOOKUP((TotS)-V115+1,'GCN_Post 1.0'!$E$464:$X$506,40,TRUE), 'GCN_Post 1.0'!AA503)), "")</f>
        <v/>
      </c>
      <c r="W136" s="9" t="str">
        <f>IFERROR(IF(W115&gt;TS, "", IF('GCN_Post 1.0'!AB503="",HLOOKUP((TotS)-W115+1,'GCN_Post 1.0'!$E$464:$X$506,40,TRUE), 'GCN_Post 1.0'!AB503)), "")</f>
        <v/>
      </c>
      <c r="X136" s="9" t="str">
        <f>IFERROR(IF(X115&gt;TS, "", IF('GCN_Post 1.0'!AC503="",HLOOKUP((TotS)-X115+1,'GCN_Post 1.0'!$E$464:$X$506,40,TRUE), 'GCN_Post 1.0'!AC503)), "")</f>
        <v/>
      </c>
      <c r="Y136" s="9" t="str">
        <f>IFERROR(IF(Y115&gt;TS, "", IF('GCN_Post 1.0'!AD503="",HLOOKUP((TotS)-Y115+1,'GCN_Post 1.0'!$E$464:$X$506,40,TRUE), 'GCN_Post 1.0'!AD503)), "")</f>
        <v/>
      </c>
      <c r="Z136" s="9" t="str">
        <f>IFERROR(IF(Z115&gt;TS, "", IF('GCN_Post 1.0'!AE503="",HLOOKUP((TotS)-Z115+1,'GCN_Post 1.0'!$E$464:$X$506,40,TRUE), 'GCN_Post 1.0'!AE503)), "")</f>
        <v/>
      </c>
      <c r="AA136" s="9" t="str">
        <f>IFERROR(IF(AA115&gt;TS, "", IF('GCN_Post 1.0'!AF503="",HLOOKUP((TotS)-AA115+1,'GCN_Post 1.0'!$E$464:$X$506,40,TRUE), 'GCN_Post 1.0'!AF503)), "")</f>
        <v/>
      </c>
      <c r="AB136" s="9" t="str">
        <f>IFERROR(IF(AB115&gt;TS, "", IF('GCN_Post 1.0'!AG503="",HLOOKUP((TotS)-AB115+1,'GCN_Post 1.0'!$E$464:$X$506,40,TRUE), 'GCN_Post 1.0'!AG503)), "")</f>
        <v/>
      </c>
      <c r="AC136" s="9" t="str">
        <f>IFERROR(IF(AC115&gt;TS, "", IF('GCN_Post 1.0'!AH503="",HLOOKUP((TotS)-AC115+1,'GCN_Post 1.0'!$E$464:$X$506,40,TRUE), 'GCN_Post 1.0'!AH503)), "")</f>
        <v/>
      </c>
      <c r="AD136" s="9" t="str">
        <f>IFERROR(IF(AD115&gt;TS, "", IF('GCN_Post 1.0'!AI503="",HLOOKUP((TotS)-AD115+1,'GCN_Post 1.0'!$E$464:$X$506,40,TRUE), 'GCN_Post 1.0'!AI503)), "")</f>
        <v/>
      </c>
      <c r="AE136" s="9" t="str">
        <f>IFERROR(IF(AE115&gt;TS, "", IF('GCN_Post 1.0'!AJ503="",HLOOKUP((TotS)-AE115+1,'GCN_Post 1.0'!$E$464:$X$506,40,TRUE), 'GCN_Post 1.0'!AJ503)), "")</f>
        <v/>
      </c>
      <c r="AF136" s="9" t="str">
        <f>IFERROR(IF(AF115&gt;TS, "", IF('GCN_Post 1.0'!AK503="",HLOOKUP((TotS)-AF115+1,'GCN_Post 1.0'!$E$464:$X$506,40,TRUE), 'GCN_Post 1.0'!AK503)), "")</f>
        <v/>
      </c>
      <c r="AG136" s="9" t="str">
        <f>IFERROR(IF(AG115&gt;TS, "", IF('GCN_Post 1.0'!AL503="",HLOOKUP((TotS)-AG115+1,'GCN_Post 1.0'!$E$464:$X$506,40,TRUE), 'GCN_Post 1.0'!AL503)), "")</f>
        <v/>
      </c>
      <c r="AH136" s="9" t="str">
        <f>IFERROR(IF(AH115&gt;TS, "", IF('GCN_Post 1.0'!AM503="",HLOOKUP((TotS)-AH115+1,'GCN_Post 1.0'!$E$464:$X$506,40,TRUE), 'GCN_Post 1.0'!AM503)), "")</f>
        <v/>
      </c>
      <c r="AI136" s="9" t="str">
        <f>IFERROR(IF(AI115&gt;TS, "", IF('GCN_Post 1.0'!AN503="",HLOOKUP((TotS)-AI115+1,'GCN_Post 1.0'!$E$464:$X$506,40,TRUE), 'GCN_Post 1.0'!AN503)), "")</f>
        <v/>
      </c>
      <c r="AJ136" s="9" t="str">
        <f>IFERROR(IF(AJ115&gt;TS, "", IF('GCN_Post 1.0'!AO503="",HLOOKUP((TotS)-AJ115+1,'GCN_Post 1.0'!$E$464:$X$506,40,TRUE), 'GCN_Post 1.0'!AO503)), "")</f>
        <v/>
      </c>
      <c r="AK136" s="9" t="str">
        <f>IFERROR(IF(AK115&gt;TS, "", IF('GCN_Post 1.0'!AP503="",HLOOKUP((TotS)-AK115+1,'GCN_Post 1.0'!$E$464:$X$506,40,TRUE), 'GCN_Post 1.0'!AP503)), "")</f>
        <v/>
      </c>
      <c r="AL136" s="9" t="str">
        <f>IFERROR(IF(AL115&gt;TS, "", IF('GCN_Post 1.0'!AQ503="",HLOOKUP((TotS)-AL115+1,'GCN_Post 1.0'!$E$464:$X$506,40,TRUE), 'GCN_Post 1.0'!AQ503)), "")</f>
        <v/>
      </c>
      <c r="AM136" s="9" t="str">
        <f>IFERROR(IF(AM115&gt;TS, "", IF('GCN_Post 1.0'!AR503="",HLOOKUP((TotS)-AM115+1,'GCN_Post 1.0'!$E$464:$X$506,40,TRUE), 'GCN_Post 1.0'!AR503)), "")</f>
        <v/>
      </c>
      <c r="AN136" s="9" t="str">
        <f>IFERROR(IF(AN115&gt;TS, "", IF('GCN_Post 1.0'!AS503="",HLOOKUP((TotS)-AN115+1,'GCN_Post 1.0'!$E$464:$X$506,40,TRUE), 'GCN_Post 1.0'!AS503)), "")</f>
        <v/>
      </c>
      <c r="AO136" s="9" t="str">
        <f>IFERROR(IF(AO115&gt;TS, "", IF('GCN_Post 1.0'!AT503="",HLOOKUP((TotS)-AO115+1,'GCN_Post 1.0'!$E$464:$X$506,40,TRUE), 'GCN_Post 1.0'!AT503)), "")</f>
        <v/>
      </c>
      <c r="AP136" s="9" t="str">
        <f>IFERROR(IF(AP115&gt;TS, "", IF('GCN_Post 1.0'!AU503="",HLOOKUP((TotS)-AP115+1,'GCN_Post 1.0'!$E$464:$X$506,40,TRUE), 'GCN_Post 1.0'!AU503)), "")</f>
        <v/>
      </c>
      <c r="AQ136" s="9" t="str">
        <f>IFERROR(IF(AQ115&gt;TS, "", IF('GCN_Post 1.0'!AV503="",HLOOKUP((TotS)-AQ115+1,'GCN_Post 1.0'!$E$464:$X$506,40,TRUE), 'GCN_Post 1.0'!AV503)), "")</f>
        <v/>
      </c>
    </row>
    <row r="137" spans="2:43" x14ac:dyDescent="0.25">
      <c r="B137" s="555"/>
      <c r="C137" s="565"/>
      <c r="D137" s="9" t="str">
        <f>'GCN_Post 1.0'!I504</f>
        <v/>
      </c>
      <c r="E137" s="9" t="str">
        <f>IFERROR(IF(E115&gt;TS, "", IF('GCN_Post 1.0'!J504="",HLOOKUP((TotS)-E115+1,'GCN_Post 1.0'!$E$464:$X$506,41,TRUE), 'GCN_Post 1.0'!J504)), "")</f>
        <v/>
      </c>
      <c r="F137" s="9" t="str">
        <f>IFERROR(IF(F115&gt;TS, "", IF('GCN_Post 1.0'!K504="",HLOOKUP((TotS)-F115+1,'GCN_Post 1.0'!$E$464:$X$506,41,TRUE), 'GCN_Post 1.0'!K504)), "")</f>
        <v/>
      </c>
      <c r="G137" s="9" t="str">
        <f>IFERROR(IF(G115&gt;TS, "", IF('GCN_Post 1.0'!L504="",HLOOKUP((TotS)-G115+1,'GCN_Post 1.0'!$E$464:$X$506,41,TRUE), 'GCN_Post 1.0'!L504)), "")</f>
        <v/>
      </c>
      <c r="H137" s="9" t="str">
        <f>IFERROR(IF(H115&gt;TS, "", IF('GCN_Post 1.0'!M504="",HLOOKUP((TotS)-H115+1,'GCN_Post 1.0'!$E$464:$X$506,41,TRUE), 'GCN_Post 1.0'!M504)), "")</f>
        <v/>
      </c>
      <c r="I137" s="9" t="str">
        <f>IFERROR(IF(I115&gt;TS, "", IF('GCN_Post 1.0'!N504="",HLOOKUP((TotS)-I115+1,'GCN_Post 1.0'!$E$464:$X$506,41,TRUE), 'GCN_Post 1.0'!N504)), "")</f>
        <v/>
      </c>
      <c r="J137" s="9" t="str">
        <f>IFERROR(IF(J115&gt;TS, "", IF('GCN_Post 1.0'!O504="",HLOOKUP((TotS)-J115+1,'GCN_Post 1.0'!$E$464:$X$506,41,TRUE), 'GCN_Post 1.0'!O504)), "")</f>
        <v/>
      </c>
      <c r="K137" s="9" t="str">
        <f>IFERROR(IF(K115&gt;TS, "", IF('GCN_Post 1.0'!P504="",HLOOKUP((TotS)-K115+1,'GCN_Post 1.0'!$E$464:$X$506,41,TRUE), 'GCN_Post 1.0'!P504)), "")</f>
        <v/>
      </c>
      <c r="L137" s="9" t="str">
        <f>IFERROR(IF(L115&gt;TS, "", IF('GCN_Post 1.0'!Q504="",HLOOKUP((TotS)-L115+1,'GCN_Post 1.0'!$E$464:$X$506,41,TRUE), 'GCN_Post 1.0'!Q504)), "")</f>
        <v/>
      </c>
      <c r="M137" s="9" t="str">
        <f>IFERROR(IF(M115&gt;TS, "", IF('GCN_Post 1.0'!R504="",HLOOKUP((TotS)-M115+1,'GCN_Post 1.0'!$E$464:$X$506,41,TRUE), 'GCN_Post 1.0'!R504)), "")</f>
        <v/>
      </c>
      <c r="N137" s="9" t="str">
        <f>IFERROR(IF(N115&gt;TS, "", IF('GCN_Post 1.0'!S504="",HLOOKUP((TotS)-N115+1,'GCN_Post 1.0'!$E$464:$X$506,41,TRUE), 'GCN_Post 1.0'!S504)), "")</f>
        <v/>
      </c>
      <c r="O137" s="9" t="str">
        <f>IFERROR(IF(O115&gt;TS, "", IF('GCN_Post 1.0'!T504="",HLOOKUP((TotS)-O115+1,'GCN_Post 1.0'!$E$464:$X$506,41,TRUE), 'GCN_Post 1.0'!T504)), "")</f>
        <v/>
      </c>
      <c r="P137" s="9" t="str">
        <f>IFERROR(IF(P115&gt;TS, "", IF('GCN_Post 1.0'!U504="",HLOOKUP((TotS)-P115+1,'GCN_Post 1.0'!$E$464:$X$506,41,TRUE), 'GCN_Post 1.0'!U504)), "")</f>
        <v/>
      </c>
      <c r="Q137" s="9" t="str">
        <f>IFERROR(IF(Q115&gt;TS, "", IF('GCN_Post 1.0'!V504="",HLOOKUP((TotS)-Q115+1,'GCN_Post 1.0'!$E$464:$X$506,41,TRUE), 'GCN_Post 1.0'!V504)), "")</f>
        <v/>
      </c>
      <c r="R137" s="9" t="str">
        <f>IFERROR(IF(R115&gt;TS, "", IF('GCN_Post 1.0'!W504="",HLOOKUP((TotS)-R115+1,'GCN_Post 1.0'!$E$464:$X$506,41,TRUE), 'GCN_Post 1.0'!W504)), "")</f>
        <v/>
      </c>
      <c r="S137" s="9" t="str">
        <f>IFERROR(IF(S115&gt;TS, "", IF('GCN_Post 1.0'!X504="",HLOOKUP((TotS)-S115+1,'GCN_Post 1.0'!$E$464:$X$506,41,TRUE), 'GCN_Post 1.0'!X504)), "")</f>
        <v/>
      </c>
      <c r="T137" s="9" t="str">
        <f>IFERROR(IF(T115&gt;TS, "", IF('GCN_Post 1.0'!Y504="",HLOOKUP((TotS)-T115+1,'GCN_Post 1.0'!$E$464:$X$506,41,TRUE), 'GCN_Post 1.0'!Y504)), "")</f>
        <v/>
      </c>
      <c r="U137" s="9" t="str">
        <f>IFERROR(IF(U115&gt;TS, "", IF('GCN_Post 1.0'!Z504="",HLOOKUP((TotS)-U115+1,'GCN_Post 1.0'!$E$464:$X$506,41,TRUE), 'GCN_Post 1.0'!Z504)), "")</f>
        <v/>
      </c>
      <c r="V137" s="9" t="str">
        <f>IFERROR(IF(V115&gt;TS, "", IF('GCN_Post 1.0'!AA504="",HLOOKUP((TotS)-V115+1,'GCN_Post 1.0'!$E$464:$X$506,41,TRUE), 'GCN_Post 1.0'!AA504)), "")</f>
        <v/>
      </c>
      <c r="W137" s="9" t="str">
        <f>IFERROR(IF(W115&gt;TS, "", IF('GCN_Post 1.0'!AB504="",HLOOKUP((TotS)-W115+1,'GCN_Post 1.0'!$E$464:$X$506,41,TRUE), 'GCN_Post 1.0'!AB504)), "")</f>
        <v/>
      </c>
      <c r="X137" s="9" t="str">
        <f>IFERROR(IF(X115&gt;TS, "", IF('GCN_Post 1.0'!AC504="",HLOOKUP((TotS)-X115+1,'GCN_Post 1.0'!$E$464:$X$506,41,TRUE), 'GCN_Post 1.0'!AC504)), "")</f>
        <v/>
      </c>
      <c r="Y137" s="9" t="str">
        <f>IFERROR(IF(Y115&gt;TS, "", IF('GCN_Post 1.0'!AD504="",HLOOKUP((TotS)-Y115+1,'GCN_Post 1.0'!$E$464:$X$506,41,TRUE), 'GCN_Post 1.0'!AD504)), "")</f>
        <v/>
      </c>
      <c r="Z137" s="9" t="str">
        <f>IFERROR(IF(Z115&gt;TS, "", IF('GCN_Post 1.0'!AE504="",HLOOKUP((TotS)-Z115+1,'GCN_Post 1.0'!$E$464:$X$506,41,TRUE), 'GCN_Post 1.0'!AE504)), "")</f>
        <v/>
      </c>
      <c r="AA137" s="9" t="str">
        <f>IFERROR(IF(AA115&gt;TS, "", IF('GCN_Post 1.0'!AF504="",HLOOKUP((TotS)-AA115+1,'GCN_Post 1.0'!$E$464:$X$506,41,TRUE), 'GCN_Post 1.0'!AF504)), "")</f>
        <v/>
      </c>
      <c r="AB137" s="9" t="str">
        <f>IFERROR(IF(AB115&gt;TS, "", IF('GCN_Post 1.0'!AG504="",HLOOKUP((TotS)-AB115+1,'GCN_Post 1.0'!$E$464:$X$506,41,TRUE), 'GCN_Post 1.0'!AG504)), "")</f>
        <v/>
      </c>
      <c r="AC137" s="9" t="str">
        <f>IFERROR(IF(AC115&gt;TS, "", IF('GCN_Post 1.0'!AH504="",HLOOKUP((TotS)-AC115+1,'GCN_Post 1.0'!$E$464:$X$506,41,TRUE), 'GCN_Post 1.0'!AH504)), "")</f>
        <v/>
      </c>
      <c r="AD137" s="9" t="str">
        <f>IFERROR(IF(AD115&gt;TS, "", IF('GCN_Post 1.0'!AI504="",HLOOKUP((TotS)-AD115+1,'GCN_Post 1.0'!$E$464:$X$506,41,TRUE), 'GCN_Post 1.0'!AI504)), "")</f>
        <v/>
      </c>
      <c r="AE137" s="9" t="str">
        <f>IFERROR(IF(AE115&gt;TS, "", IF('GCN_Post 1.0'!AJ504="",HLOOKUP((TotS)-AE115+1,'GCN_Post 1.0'!$E$464:$X$506,41,TRUE), 'GCN_Post 1.0'!AJ504)), "")</f>
        <v/>
      </c>
      <c r="AF137" s="9" t="str">
        <f>IFERROR(IF(AF115&gt;TS, "", IF('GCN_Post 1.0'!AK504="",HLOOKUP((TotS)-AF115+1,'GCN_Post 1.0'!$E$464:$X$506,41,TRUE), 'GCN_Post 1.0'!AK504)), "")</f>
        <v/>
      </c>
      <c r="AG137" s="9" t="str">
        <f>IFERROR(IF(AG115&gt;TS, "", IF('GCN_Post 1.0'!AL504="",HLOOKUP((TotS)-AG115+1,'GCN_Post 1.0'!$E$464:$X$506,41,TRUE), 'GCN_Post 1.0'!AL504)), "")</f>
        <v/>
      </c>
      <c r="AH137" s="9" t="str">
        <f>IFERROR(IF(AH115&gt;TS, "", IF('GCN_Post 1.0'!AM504="",HLOOKUP((TotS)-AH115+1,'GCN_Post 1.0'!$E$464:$X$506,41,TRUE), 'GCN_Post 1.0'!AM504)), "")</f>
        <v/>
      </c>
      <c r="AI137" s="9" t="str">
        <f>IFERROR(IF(AI115&gt;TS, "", IF('GCN_Post 1.0'!AN504="",HLOOKUP((TotS)-AI115+1,'GCN_Post 1.0'!$E$464:$X$506,41,TRUE), 'GCN_Post 1.0'!AN504)), "")</f>
        <v/>
      </c>
      <c r="AJ137" s="9" t="str">
        <f>IFERROR(IF(AJ115&gt;TS, "", IF('GCN_Post 1.0'!AO504="",HLOOKUP((TotS)-AJ115+1,'GCN_Post 1.0'!$E$464:$X$506,41,TRUE), 'GCN_Post 1.0'!AO504)), "")</f>
        <v/>
      </c>
      <c r="AK137" s="9" t="str">
        <f>IFERROR(IF(AK115&gt;TS, "", IF('GCN_Post 1.0'!AP504="",HLOOKUP((TotS)-AK115+1,'GCN_Post 1.0'!$E$464:$X$506,41,TRUE), 'GCN_Post 1.0'!AP504)), "")</f>
        <v/>
      </c>
      <c r="AL137" s="9" t="str">
        <f>IFERROR(IF(AL115&gt;TS, "", IF('GCN_Post 1.0'!AQ504="",HLOOKUP((TotS)-AL115+1,'GCN_Post 1.0'!$E$464:$X$506,41,TRUE), 'GCN_Post 1.0'!AQ504)), "")</f>
        <v/>
      </c>
      <c r="AM137" s="9" t="str">
        <f>IFERROR(IF(AM115&gt;TS, "", IF('GCN_Post 1.0'!AR504="",HLOOKUP((TotS)-AM115+1,'GCN_Post 1.0'!$E$464:$X$506,41,TRUE), 'GCN_Post 1.0'!AR504)), "")</f>
        <v/>
      </c>
      <c r="AN137" s="9" t="str">
        <f>IFERROR(IF(AN115&gt;TS, "", IF('GCN_Post 1.0'!AS504="",HLOOKUP((TotS)-AN115+1,'GCN_Post 1.0'!$E$464:$X$506,41,TRUE), 'GCN_Post 1.0'!AS504)), "")</f>
        <v/>
      </c>
      <c r="AO137" s="9" t="str">
        <f>IFERROR(IF(AO115&gt;TS, "", IF('GCN_Post 1.0'!AT504="",HLOOKUP((TotS)-AO115+1,'GCN_Post 1.0'!$E$464:$X$506,41,TRUE), 'GCN_Post 1.0'!AT504)), "")</f>
        <v/>
      </c>
      <c r="AP137" s="9" t="str">
        <f>IFERROR(IF(AP115&gt;TS, "", IF('GCN_Post 1.0'!AU504="",HLOOKUP((TotS)-AP115+1,'GCN_Post 1.0'!$E$464:$X$506,41,TRUE), 'GCN_Post 1.0'!AU504)), "")</f>
        <v/>
      </c>
      <c r="AQ137" s="9" t="str">
        <f>IFERROR(IF(AQ115&gt;TS, "", IF('GCN_Post 1.0'!AV504="",HLOOKUP((TotS)-AQ115+1,'GCN_Post 1.0'!$E$464:$X$506,41,TRUE), 'GCN_Post 1.0'!AV504)), "")</f>
        <v/>
      </c>
    </row>
    <row r="138" spans="2:43" x14ac:dyDescent="0.25">
      <c r="B138" s="555"/>
      <c r="C138" s="565"/>
      <c r="D138" s="9" t="str">
        <f>'GCN_Post 1.0'!I505</f>
        <v/>
      </c>
      <c r="E138" s="9" t="str">
        <f>IFERROR(IF(E115&gt;TS, "", IF('GCN_Post 1.0'!J505="",HLOOKUP((TotS)-E115+1,'GCN_Post 1.0'!$E$464:$X$506,42,TRUE), 'GCN_Post 1.0'!J505)), "")</f>
        <v/>
      </c>
      <c r="F138" s="9" t="str">
        <f>IFERROR(IF(F115&gt;TS, "", IF('GCN_Post 1.0'!K505="",HLOOKUP((TotS)-F115+1,'GCN_Post 1.0'!$E$464:$X$506,42,TRUE), 'GCN_Post 1.0'!K505)), "")</f>
        <v/>
      </c>
      <c r="G138" s="9" t="str">
        <f>IFERROR(IF(G115&gt;TS, "", IF('GCN_Post 1.0'!L505="",HLOOKUP((TotS)-G115+1,'GCN_Post 1.0'!$E$464:$X$506,42,TRUE), 'GCN_Post 1.0'!L505)), "")</f>
        <v/>
      </c>
      <c r="H138" s="9" t="str">
        <f>IFERROR(IF(H115&gt;TS, "", IF('GCN_Post 1.0'!M505="",HLOOKUP((TotS)-H115+1,'GCN_Post 1.0'!$E$464:$X$506,42,TRUE), 'GCN_Post 1.0'!M505)), "")</f>
        <v/>
      </c>
      <c r="I138" s="9" t="str">
        <f>IFERROR(IF(I115&gt;TS, "", IF('GCN_Post 1.0'!N505="",HLOOKUP((TotS)-I115+1,'GCN_Post 1.0'!$E$464:$X$506,42,TRUE), 'GCN_Post 1.0'!N505)), "")</f>
        <v/>
      </c>
      <c r="J138" s="9" t="str">
        <f>IFERROR(IF(J115&gt;TS, "", IF('GCN_Post 1.0'!O505="",HLOOKUP((TotS)-J115+1,'GCN_Post 1.0'!$E$464:$X$506,42,TRUE), 'GCN_Post 1.0'!O505)), "")</f>
        <v/>
      </c>
      <c r="K138" s="9" t="str">
        <f>IFERROR(IF(K115&gt;TS, "", IF('GCN_Post 1.0'!P505="",HLOOKUP((TotS)-K115+1,'GCN_Post 1.0'!$E$464:$X$506,42,TRUE), 'GCN_Post 1.0'!P505)), "")</f>
        <v/>
      </c>
      <c r="L138" s="9" t="str">
        <f>IFERROR(IF(L115&gt;TS, "", IF('GCN_Post 1.0'!Q505="",HLOOKUP((TotS)-L115+1,'GCN_Post 1.0'!$E$464:$X$506,42,TRUE), 'GCN_Post 1.0'!Q505)), "")</f>
        <v/>
      </c>
      <c r="M138" s="9" t="str">
        <f>IFERROR(IF(M115&gt;TS, "", IF('GCN_Post 1.0'!R505="",HLOOKUP((TotS)-M115+1,'GCN_Post 1.0'!$E$464:$X$506,42,TRUE), 'GCN_Post 1.0'!R505)), "")</f>
        <v/>
      </c>
      <c r="N138" s="9" t="str">
        <f>IFERROR(IF(N115&gt;TS, "", IF('GCN_Post 1.0'!S505="",HLOOKUP((TotS)-N115+1,'GCN_Post 1.0'!$E$464:$X$506,42,TRUE), 'GCN_Post 1.0'!S505)), "")</f>
        <v/>
      </c>
      <c r="O138" s="9" t="str">
        <f>IFERROR(IF(O115&gt;TS, "", IF('GCN_Post 1.0'!T505="",HLOOKUP((TotS)-O115+1,'GCN_Post 1.0'!$E$464:$X$506,42,TRUE), 'GCN_Post 1.0'!T505)), "")</f>
        <v/>
      </c>
      <c r="P138" s="9" t="str">
        <f>IFERROR(IF(P115&gt;TS, "", IF('GCN_Post 1.0'!U505="",HLOOKUP((TotS)-P115+1,'GCN_Post 1.0'!$E$464:$X$506,42,TRUE), 'GCN_Post 1.0'!U505)), "")</f>
        <v/>
      </c>
      <c r="Q138" s="9" t="str">
        <f>IFERROR(IF(Q115&gt;TS, "", IF('GCN_Post 1.0'!V505="",HLOOKUP((TotS)-Q115+1,'GCN_Post 1.0'!$E$464:$X$506,42,TRUE), 'GCN_Post 1.0'!V505)), "")</f>
        <v/>
      </c>
      <c r="R138" s="9" t="str">
        <f>IFERROR(IF(R115&gt;TS, "", IF('GCN_Post 1.0'!W505="",HLOOKUP((TotS)-R115+1,'GCN_Post 1.0'!$E$464:$X$506,42,TRUE), 'GCN_Post 1.0'!W505)), "")</f>
        <v/>
      </c>
      <c r="S138" s="9" t="str">
        <f>IFERROR(IF(S115&gt;TS, "", IF('GCN_Post 1.0'!X505="",HLOOKUP((TotS)-S115+1,'GCN_Post 1.0'!$E$464:$X$506,42,TRUE), 'GCN_Post 1.0'!X505)), "")</f>
        <v/>
      </c>
      <c r="T138" s="9" t="str">
        <f>IFERROR(IF(T115&gt;TS, "", IF('GCN_Post 1.0'!Y505="",HLOOKUP((TotS)-T115+1,'GCN_Post 1.0'!$E$464:$X$506,42,TRUE), 'GCN_Post 1.0'!Y505)), "")</f>
        <v/>
      </c>
      <c r="U138" s="9" t="str">
        <f>IFERROR(IF(U115&gt;TS, "", IF('GCN_Post 1.0'!Z505="",HLOOKUP((TotS)-U115+1,'GCN_Post 1.0'!$E$464:$X$506,42,TRUE), 'GCN_Post 1.0'!Z505)), "")</f>
        <v/>
      </c>
      <c r="V138" s="9" t="str">
        <f>IFERROR(IF(V115&gt;TS, "", IF('GCN_Post 1.0'!AA505="",HLOOKUP((TotS)-V115+1,'GCN_Post 1.0'!$E$464:$X$506,42,TRUE), 'GCN_Post 1.0'!AA505)), "")</f>
        <v/>
      </c>
      <c r="W138" s="9" t="str">
        <f>IFERROR(IF(W115&gt;TS, "", IF('GCN_Post 1.0'!AB505="",HLOOKUP((TotS)-W115+1,'GCN_Post 1.0'!$E$464:$X$506,42,TRUE), 'GCN_Post 1.0'!AB505)), "")</f>
        <v/>
      </c>
      <c r="X138" s="9" t="str">
        <f>IFERROR(IF(X115&gt;TS, "", IF('GCN_Post 1.0'!AC505="",HLOOKUP((TotS)-X115+1,'GCN_Post 1.0'!$E$464:$X$506,42,TRUE), 'GCN_Post 1.0'!AC505)), "")</f>
        <v/>
      </c>
      <c r="Y138" s="9" t="str">
        <f>IFERROR(IF(Y115&gt;TS, "", IF('GCN_Post 1.0'!AD505="",HLOOKUP((TotS)-Y115+1,'GCN_Post 1.0'!$E$464:$X$506,42,TRUE), 'GCN_Post 1.0'!AD505)), "")</f>
        <v/>
      </c>
      <c r="Z138" s="9" t="str">
        <f>IFERROR(IF(Z115&gt;TS, "", IF('GCN_Post 1.0'!AE505="",HLOOKUP((TotS)-Z115+1,'GCN_Post 1.0'!$E$464:$X$506,42,TRUE), 'GCN_Post 1.0'!AE505)), "")</f>
        <v/>
      </c>
      <c r="AA138" s="9" t="str">
        <f>IFERROR(IF(AA115&gt;TS, "", IF('GCN_Post 1.0'!AF505="",HLOOKUP((TotS)-AA115+1,'GCN_Post 1.0'!$E$464:$X$506,42,TRUE), 'GCN_Post 1.0'!AF505)), "")</f>
        <v/>
      </c>
      <c r="AB138" s="9" t="str">
        <f>IFERROR(IF(AB115&gt;TS, "", IF('GCN_Post 1.0'!AG505="",HLOOKUP((TotS)-AB115+1,'GCN_Post 1.0'!$E$464:$X$506,42,TRUE), 'GCN_Post 1.0'!AG505)), "")</f>
        <v/>
      </c>
      <c r="AC138" s="9" t="str">
        <f>IFERROR(IF(AC115&gt;TS, "", IF('GCN_Post 1.0'!AH505="",HLOOKUP((TotS)-AC115+1,'GCN_Post 1.0'!$E$464:$X$506,42,TRUE), 'GCN_Post 1.0'!AH505)), "")</f>
        <v/>
      </c>
      <c r="AD138" s="9" t="str">
        <f>IFERROR(IF(AD115&gt;TS, "", IF('GCN_Post 1.0'!AI505="",HLOOKUP((TotS)-AD115+1,'GCN_Post 1.0'!$E$464:$X$506,42,TRUE), 'GCN_Post 1.0'!AI505)), "")</f>
        <v/>
      </c>
      <c r="AE138" s="9" t="str">
        <f>IFERROR(IF(AE115&gt;TS, "", IF('GCN_Post 1.0'!AJ505="",HLOOKUP((TotS)-AE115+1,'GCN_Post 1.0'!$E$464:$X$506,42,TRUE), 'GCN_Post 1.0'!AJ505)), "")</f>
        <v/>
      </c>
      <c r="AF138" s="9" t="str">
        <f>IFERROR(IF(AF115&gt;TS, "", IF('GCN_Post 1.0'!AK505="",HLOOKUP((TotS)-AF115+1,'GCN_Post 1.0'!$E$464:$X$506,42,TRUE), 'GCN_Post 1.0'!AK505)), "")</f>
        <v/>
      </c>
      <c r="AG138" s="9" t="str">
        <f>IFERROR(IF(AG115&gt;TS, "", IF('GCN_Post 1.0'!AL505="",HLOOKUP((TotS)-AG115+1,'GCN_Post 1.0'!$E$464:$X$506,42,TRUE), 'GCN_Post 1.0'!AL505)), "")</f>
        <v/>
      </c>
      <c r="AH138" s="9" t="str">
        <f>IFERROR(IF(AH115&gt;TS, "", IF('GCN_Post 1.0'!AM505="",HLOOKUP((TotS)-AH115+1,'GCN_Post 1.0'!$E$464:$X$506,42,TRUE), 'GCN_Post 1.0'!AM505)), "")</f>
        <v/>
      </c>
      <c r="AI138" s="9" t="str">
        <f>IFERROR(IF(AI115&gt;TS, "", IF('GCN_Post 1.0'!AN505="",HLOOKUP((TotS)-AI115+1,'GCN_Post 1.0'!$E$464:$X$506,42,TRUE), 'GCN_Post 1.0'!AN505)), "")</f>
        <v/>
      </c>
      <c r="AJ138" s="9" t="str">
        <f>IFERROR(IF(AJ115&gt;TS, "", IF('GCN_Post 1.0'!AO505="",HLOOKUP((TotS)-AJ115+1,'GCN_Post 1.0'!$E$464:$X$506,42,TRUE), 'GCN_Post 1.0'!AO505)), "")</f>
        <v/>
      </c>
      <c r="AK138" s="9" t="str">
        <f>IFERROR(IF(AK115&gt;TS, "", IF('GCN_Post 1.0'!AP505="",HLOOKUP((TotS)-AK115+1,'GCN_Post 1.0'!$E$464:$X$506,42,TRUE), 'GCN_Post 1.0'!AP505)), "")</f>
        <v/>
      </c>
      <c r="AL138" s="9" t="str">
        <f>IFERROR(IF(AL115&gt;TS, "", IF('GCN_Post 1.0'!AQ505="",HLOOKUP((TotS)-AL115+1,'GCN_Post 1.0'!$E$464:$X$506,42,TRUE), 'GCN_Post 1.0'!AQ505)), "")</f>
        <v/>
      </c>
      <c r="AM138" s="9" t="str">
        <f>IFERROR(IF(AM115&gt;TS, "", IF('GCN_Post 1.0'!AR505="",HLOOKUP((TotS)-AM115+1,'GCN_Post 1.0'!$E$464:$X$506,42,TRUE), 'GCN_Post 1.0'!AR505)), "")</f>
        <v/>
      </c>
      <c r="AN138" s="9" t="str">
        <f>IFERROR(IF(AN115&gt;TS, "", IF('GCN_Post 1.0'!AS505="",HLOOKUP((TotS)-AN115+1,'GCN_Post 1.0'!$E$464:$X$506,42,TRUE), 'GCN_Post 1.0'!AS505)), "")</f>
        <v/>
      </c>
      <c r="AO138" s="9" t="str">
        <f>IFERROR(IF(AO115&gt;TS, "", IF('GCN_Post 1.0'!AT505="",HLOOKUP((TotS)-AO115+1,'GCN_Post 1.0'!$E$464:$X$506,42,TRUE), 'GCN_Post 1.0'!AT505)), "")</f>
        <v/>
      </c>
      <c r="AP138" s="9" t="str">
        <f>IFERROR(IF(AP115&gt;TS, "", IF('GCN_Post 1.0'!AU505="",HLOOKUP((TotS)-AP115+1,'GCN_Post 1.0'!$E$464:$X$506,42,TRUE), 'GCN_Post 1.0'!AU505)), "")</f>
        <v/>
      </c>
      <c r="AQ138" s="9" t="str">
        <f>IFERROR(IF(AQ115&gt;TS, "", IF('GCN_Post 1.0'!AV505="",HLOOKUP((TotS)-AQ115+1,'GCN_Post 1.0'!$E$464:$X$506,42,TRUE), 'GCN_Post 1.0'!AV505)), "")</f>
        <v/>
      </c>
    </row>
    <row r="139" spans="2:43" x14ac:dyDescent="0.25">
      <c r="B139" s="560"/>
      <c r="C139" s="601"/>
      <c r="D139" s="9" t="str">
        <f>'GCN_Post 1.0'!I506</f>
        <v/>
      </c>
      <c r="E139" s="9" t="str">
        <f>IFERROR(IF(E115&gt;TS, "", IF('GCN_Post 1.0'!J506="",HLOOKUP((TotS)-E115+1,'GCN_Post 1.0'!$E$464:$X$506,43,TRUE), 'GCN_Post 1.0'!J506)), "")</f>
        <v/>
      </c>
      <c r="F139" s="9" t="str">
        <f>IFERROR(IF(F115&gt;TS, "", IF('GCN_Post 1.0'!K506="",HLOOKUP((TotS)-F115+1,'GCN_Post 1.0'!$E$464:$X$506,43,TRUE), 'GCN_Post 1.0'!K506)), "")</f>
        <v/>
      </c>
      <c r="G139" s="9" t="str">
        <f>IFERROR(IF(G115&gt;TS, "", IF('GCN_Post 1.0'!L506="",HLOOKUP((TotS)-G115+1,'GCN_Post 1.0'!$E$464:$X$506,43,TRUE), 'GCN_Post 1.0'!L506)), "")</f>
        <v/>
      </c>
      <c r="H139" s="9" t="str">
        <f>IFERROR(IF(H115&gt;TS, "", IF('GCN_Post 1.0'!M506="",HLOOKUP((TotS)-H115+1,'GCN_Post 1.0'!$E$464:$X$506,43,TRUE), 'GCN_Post 1.0'!M506)), "")</f>
        <v/>
      </c>
      <c r="I139" s="9" t="str">
        <f>IFERROR(IF(I115&gt;TS, "", IF('GCN_Post 1.0'!N506="",HLOOKUP((TotS)-I115+1,'GCN_Post 1.0'!$E$464:$X$506,43,TRUE), 'GCN_Post 1.0'!N506)), "")</f>
        <v/>
      </c>
      <c r="J139" s="9" t="str">
        <f>IFERROR(IF(J115&gt;TS, "", IF('GCN_Post 1.0'!O506="",HLOOKUP((TotS)-J115+1,'GCN_Post 1.0'!$E$464:$X$506,43,TRUE), 'GCN_Post 1.0'!O506)), "")</f>
        <v/>
      </c>
      <c r="K139" s="9" t="str">
        <f>IFERROR(IF(K115&gt;TS, "", IF('GCN_Post 1.0'!P506="",HLOOKUP((TotS)-K115+1,'GCN_Post 1.0'!$E$464:$X$506,43,TRUE), 'GCN_Post 1.0'!P506)), "")</f>
        <v/>
      </c>
      <c r="L139" s="9" t="str">
        <f>IFERROR(IF(L115&gt;TS, "", IF('GCN_Post 1.0'!Q506="",HLOOKUP((TotS)-L115+1,'GCN_Post 1.0'!$E$464:$X$506,43,TRUE), 'GCN_Post 1.0'!Q506)), "")</f>
        <v/>
      </c>
      <c r="M139" s="9" t="str">
        <f>IFERROR(IF(M115&gt;TS, "", IF('GCN_Post 1.0'!R506="",HLOOKUP((TotS)-M115+1,'GCN_Post 1.0'!$E$464:$X$506,43,TRUE), 'GCN_Post 1.0'!R506)), "")</f>
        <v/>
      </c>
      <c r="N139" s="9" t="str">
        <f>IFERROR(IF(N115&gt;TS, "", IF('GCN_Post 1.0'!S506="",HLOOKUP((TotS)-N115+1,'GCN_Post 1.0'!$E$464:$X$506,43,TRUE), 'GCN_Post 1.0'!S506)), "")</f>
        <v/>
      </c>
      <c r="O139" s="9" t="str">
        <f>IFERROR(IF(O115&gt;TS, "", IF('GCN_Post 1.0'!T506="",HLOOKUP((TotS)-O115+1,'GCN_Post 1.0'!$E$464:$X$506,43,TRUE), 'GCN_Post 1.0'!T506)), "")</f>
        <v/>
      </c>
      <c r="P139" s="9" t="str">
        <f>IFERROR(IF(P115&gt;TS, "", IF('GCN_Post 1.0'!U506="",HLOOKUP((TotS)-P115+1,'GCN_Post 1.0'!$E$464:$X$506,43,TRUE), 'GCN_Post 1.0'!U506)), "")</f>
        <v/>
      </c>
      <c r="Q139" s="9" t="str">
        <f>IFERROR(IF(Q115&gt;TS, "", IF('GCN_Post 1.0'!V506="",HLOOKUP((TotS)-Q115+1,'GCN_Post 1.0'!$E$464:$X$506,43,TRUE), 'GCN_Post 1.0'!V506)), "")</f>
        <v/>
      </c>
      <c r="R139" s="9" t="str">
        <f>IFERROR(IF(R115&gt;TS, "", IF('GCN_Post 1.0'!W506="",HLOOKUP((TotS)-R115+1,'GCN_Post 1.0'!$E$464:$X$506,43,TRUE), 'GCN_Post 1.0'!W506)), "")</f>
        <v/>
      </c>
      <c r="S139" s="9" t="str">
        <f>IFERROR(IF(S115&gt;TS, "", IF('GCN_Post 1.0'!X506="",HLOOKUP((TotS)-S115+1,'GCN_Post 1.0'!$E$464:$X$506,43,TRUE), 'GCN_Post 1.0'!X506)), "")</f>
        <v/>
      </c>
      <c r="T139" s="9" t="str">
        <f>IFERROR(IF(T115&gt;TS, "", IF('GCN_Post 1.0'!Y506="",HLOOKUP((TotS)-T115+1,'GCN_Post 1.0'!$E$464:$X$506,43,TRUE), 'GCN_Post 1.0'!Y506)), "")</f>
        <v/>
      </c>
      <c r="U139" s="9" t="str">
        <f>IFERROR(IF(U115&gt;TS, "", IF('GCN_Post 1.0'!Z506="",HLOOKUP((TotS)-U115+1,'GCN_Post 1.0'!$E$464:$X$506,43,TRUE), 'GCN_Post 1.0'!Z506)), "")</f>
        <v/>
      </c>
      <c r="V139" s="9" t="str">
        <f>IFERROR(IF(V115&gt;TS, "", IF('GCN_Post 1.0'!AA506="",HLOOKUP((TotS)-V115+1,'GCN_Post 1.0'!$E$464:$X$506,43,TRUE), 'GCN_Post 1.0'!AA506)), "")</f>
        <v/>
      </c>
      <c r="W139" s="9" t="str">
        <f>IFERROR(IF(W115&gt;TS, "", IF('GCN_Post 1.0'!AB506="",HLOOKUP((TotS)-W115+1,'GCN_Post 1.0'!$E$464:$X$506,43,TRUE), 'GCN_Post 1.0'!AB506)), "")</f>
        <v/>
      </c>
      <c r="X139" s="9" t="str">
        <f>IFERROR(IF(X115&gt;TS, "", IF('GCN_Post 1.0'!AC506="",HLOOKUP((TotS)-X115+1,'GCN_Post 1.0'!$E$464:$X$506,43,TRUE), 'GCN_Post 1.0'!AC506)), "")</f>
        <v/>
      </c>
      <c r="Y139" s="9" t="str">
        <f>IFERROR(IF(Y115&gt;TS, "", IF('GCN_Post 1.0'!AD506="",HLOOKUP((TotS)-Y115+1,'GCN_Post 1.0'!$E$464:$X$506,43,TRUE), 'GCN_Post 1.0'!AD506)), "")</f>
        <v/>
      </c>
      <c r="Z139" s="9" t="str">
        <f>IFERROR(IF(Z115&gt;TS, "", IF('GCN_Post 1.0'!AE506="",HLOOKUP((TotS)-Z115+1,'GCN_Post 1.0'!$E$464:$X$506,43,TRUE), 'GCN_Post 1.0'!AE506)), "")</f>
        <v/>
      </c>
      <c r="AA139" s="9" t="str">
        <f>IFERROR(IF(AA115&gt;TS, "", IF('GCN_Post 1.0'!AF506="",HLOOKUP((TotS)-AA115+1,'GCN_Post 1.0'!$E$464:$X$506,43,TRUE), 'GCN_Post 1.0'!AF506)), "")</f>
        <v/>
      </c>
      <c r="AB139" s="9" t="str">
        <f>IFERROR(IF(AB115&gt;TS, "", IF('GCN_Post 1.0'!AG506="",HLOOKUP((TotS)-AB115+1,'GCN_Post 1.0'!$E$464:$X$506,43,TRUE), 'GCN_Post 1.0'!AG506)), "")</f>
        <v/>
      </c>
      <c r="AC139" s="9" t="str">
        <f>IFERROR(IF(AC115&gt;TS, "", IF('GCN_Post 1.0'!AH506="",HLOOKUP((TotS)-AC115+1,'GCN_Post 1.0'!$E$464:$X$506,43,TRUE), 'GCN_Post 1.0'!AH506)), "")</f>
        <v/>
      </c>
      <c r="AD139" s="9" t="str">
        <f>IFERROR(IF(AD115&gt;TS, "", IF('GCN_Post 1.0'!AI506="",HLOOKUP((TotS)-AD115+1,'GCN_Post 1.0'!$E$464:$X$506,43,TRUE), 'GCN_Post 1.0'!AI506)), "")</f>
        <v/>
      </c>
      <c r="AE139" s="9" t="str">
        <f>IFERROR(IF(AE115&gt;TS, "", IF('GCN_Post 1.0'!AJ506="",HLOOKUP((TotS)-AE115+1,'GCN_Post 1.0'!$E$464:$X$506,43,TRUE), 'GCN_Post 1.0'!AJ506)), "")</f>
        <v/>
      </c>
      <c r="AF139" s="9" t="str">
        <f>IFERROR(IF(AF115&gt;TS, "", IF('GCN_Post 1.0'!AK506="",HLOOKUP((TotS)-AF115+1,'GCN_Post 1.0'!$E$464:$X$506,43,TRUE), 'GCN_Post 1.0'!AK506)), "")</f>
        <v/>
      </c>
      <c r="AG139" s="9" t="str">
        <f>IFERROR(IF(AG115&gt;TS, "", IF('GCN_Post 1.0'!AL506="",HLOOKUP((TotS)-AG115+1,'GCN_Post 1.0'!$E$464:$X$506,43,TRUE), 'GCN_Post 1.0'!AL506)), "")</f>
        <v/>
      </c>
      <c r="AH139" s="9" t="str">
        <f>IFERROR(IF(AH115&gt;TS, "", IF('GCN_Post 1.0'!AM506="",HLOOKUP((TotS)-AH115+1,'GCN_Post 1.0'!$E$464:$X$506,43,TRUE), 'GCN_Post 1.0'!AM506)), "")</f>
        <v/>
      </c>
      <c r="AI139" s="9" t="str">
        <f>IFERROR(IF(AI115&gt;TS, "", IF('GCN_Post 1.0'!AN506="",HLOOKUP((TotS)-AI115+1,'GCN_Post 1.0'!$E$464:$X$506,43,TRUE), 'GCN_Post 1.0'!AN506)), "")</f>
        <v/>
      </c>
      <c r="AJ139" s="9" t="str">
        <f>IFERROR(IF(AJ115&gt;TS, "", IF('GCN_Post 1.0'!AO506="",HLOOKUP((TotS)-AJ115+1,'GCN_Post 1.0'!$E$464:$X$506,43,TRUE), 'GCN_Post 1.0'!AO506)), "")</f>
        <v/>
      </c>
      <c r="AK139" s="9" t="str">
        <f>IFERROR(IF(AK115&gt;TS, "", IF('GCN_Post 1.0'!AP506="",HLOOKUP((TotS)-AK115+1,'GCN_Post 1.0'!$E$464:$X$506,43,TRUE), 'GCN_Post 1.0'!AP506)), "")</f>
        <v/>
      </c>
      <c r="AL139" s="9" t="str">
        <f>IFERROR(IF(AL115&gt;TS, "", IF('GCN_Post 1.0'!AQ506="",HLOOKUP((TotS)-AL115+1,'GCN_Post 1.0'!$E$464:$X$506,43,TRUE), 'GCN_Post 1.0'!AQ506)), "")</f>
        <v/>
      </c>
      <c r="AM139" s="9" t="str">
        <f>IFERROR(IF(AM115&gt;TS, "", IF('GCN_Post 1.0'!AR506="",HLOOKUP((TotS)-AM115+1,'GCN_Post 1.0'!$E$464:$X$506,43,TRUE), 'GCN_Post 1.0'!AR506)), "")</f>
        <v/>
      </c>
      <c r="AN139" s="9" t="str">
        <f>IFERROR(IF(AN115&gt;TS, "", IF('GCN_Post 1.0'!AS506="",HLOOKUP((TotS)-AN115+1,'GCN_Post 1.0'!$E$464:$X$506,43,TRUE), 'GCN_Post 1.0'!AS506)), "")</f>
        <v/>
      </c>
      <c r="AO139" s="9" t="str">
        <f>IFERROR(IF(AO115&gt;TS, "", IF('GCN_Post 1.0'!AT506="",HLOOKUP((TotS)-AO115+1,'GCN_Post 1.0'!$E$464:$X$506,43,TRUE), 'GCN_Post 1.0'!AT506)), "")</f>
        <v/>
      </c>
      <c r="AP139" s="9" t="str">
        <f>IFERROR(IF(AP115&gt;TS, "", IF('GCN_Post 1.0'!AU506="",HLOOKUP((TotS)-AP115+1,'GCN_Post 1.0'!$E$464:$X$506,43,TRUE), 'GCN_Post 1.0'!AU506)), "")</f>
        <v/>
      </c>
      <c r="AQ139" s="9" t="str">
        <f>IFERROR(IF(AQ115&gt;TS, "", IF('GCN_Post 1.0'!AV506="",HLOOKUP((TotS)-AQ115+1,'GCN_Post 1.0'!$E$464:$X$506,43,TRUE), 'GCN_Post 1.0'!AV506)), "")</f>
        <v/>
      </c>
    </row>
    <row r="141" spans="2:43" ht="45" customHeight="1" x14ac:dyDescent="0.25">
      <c r="B141" s="660" t="s">
        <v>743</v>
      </c>
      <c r="C141" s="558"/>
      <c r="D141" s="328" t="str">
        <f t="shared" ref="D141:AH141" si="43">D15</f>
        <v/>
      </c>
      <c r="E141" s="328" t="str">
        <f t="shared" si="43"/>
        <v/>
      </c>
      <c r="F141" s="328" t="str">
        <f t="shared" si="43"/>
        <v/>
      </c>
      <c r="G141" s="328" t="str">
        <f t="shared" si="43"/>
        <v/>
      </c>
      <c r="H141" s="328" t="str">
        <f t="shared" si="43"/>
        <v/>
      </c>
      <c r="I141" s="328" t="str">
        <f t="shared" si="43"/>
        <v/>
      </c>
      <c r="J141" s="328" t="str">
        <f t="shared" si="43"/>
        <v/>
      </c>
      <c r="K141" s="328" t="str">
        <f t="shared" si="43"/>
        <v/>
      </c>
      <c r="L141" s="328" t="str">
        <f t="shared" si="43"/>
        <v/>
      </c>
      <c r="M141" s="328" t="str">
        <f t="shared" si="43"/>
        <v/>
      </c>
      <c r="N141" s="328" t="str">
        <f t="shared" si="43"/>
        <v/>
      </c>
      <c r="O141" s="328" t="str">
        <f t="shared" si="43"/>
        <v/>
      </c>
      <c r="P141" s="328" t="str">
        <f t="shared" si="43"/>
        <v/>
      </c>
      <c r="Q141" s="328" t="str">
        <f t="shared" si="43"/>
        <v/>
      </c>
      <c r="R141" s="328" t="str">
        <f t="shared" si="43"/>
        <v/>
      </c>
      <c r="S141" s="328" t="str">
        <f t="shared" si="43"/>
        <v/>
      </c>
      <c r="T141" s="328" t="str">
        <f t="shared" si="43"/>
        <v/>
      </c>
      <c r="U141" s="328" t="str">
        <f t="shared" si="43"/>
        <v/>
      </c>
      <c r="V141" s="328" t="str">
        <f t="shared" si="43"/>
        <v/>
      </c>
      <c r="W141" s="328" t="str">
        <f t="shared" si="43"/>
        <v/>
      </c>
      <c r="X141" s="328" t="str">
        <f t="shared" si="43"/>
        <v/>
      </c>
      <c r="Y141" s="328" t="str">
        <f t="shared" si="43"/>
        <v/>
      </c>
      <c r="Z141" s="328" t="str">
        <f t="shared" si="43"/>
        <v/>
      </c>
      <c r="AA141" s="328" t="str">
        <f t="shared" si="43"/>
        <v/>
      </c>
      <c r="AB141" s="328" t="str">
        <f t="shared" si="43"/>
        <v/>
      </c>
      <c r="AC141" s="328" t="str">
        <f t="shared" si="43"/>
        <v/>
      </c>
      <c r="AD141" s="328" t="str">
        <f t="shared" si="43"/>
        <v/>
      </c>
      <c r="AE141" s="328" t="str">
        <f t="shared" si="43"/>
        <v/>
      </c>
      <c r="AF141" s="328" t="str">
        <f t="shared" si="43"/>
        <v/>
      </c>
      <c r="AG141" s="328" t="str">
        <f t="shared" si="43"/>
        <v/>
      </c>
      <c r="AH141" s="328" t="str">
        <f t="shared" si="43"/>
        <v/>
      </c>
    </row>
    <row r="142" spans="2:43" x14ac:dyDescent="0.25">
      <c r="B142" s="628"/>
      <c r="C142" s="559"/>
    </row>
    <row r="143" spans="2:43" x14ac:dyDescent="0.25">
      <c r="B143" s="628"/>
      <c r="C143" s="559"/>
    </row>
    <row r="144" spans="2:43" x14ac:dyDescent="0.25">
      <c r="B144" s="628"/>
      <c r="C144" s="559"/>
    </row>
    <row r="145" spans="2:34" x14ac:dyDescent="0.25">
      <c r="B145" s="629"/>
      <c r="C145" s="561"/>
    </row>
    <row r="147" spans="2:34" ht="45" customHeight="1" x14ac:dyDescent="0.25">
      <c r="B147" s="660" t="s">
        <v>744</v>
      </c>
      <c r="C147" s="558"/>
      <c r="D147" s="328" t="str">
        <f t="shared" ref="D147:AH147" si="44">D15</f>
        <v/>
      </c>
      <c r="E147" s="328" t="str">
        <f t="shared" si="44"/>
        <v/>
      </c>
      <c r="F147" s="328" t="str">
        <f t="shared" si="44"/>
        <v/>
      </c>
      <c r="G147" s="328" t="str">
        <f t="shared" si="44"/>
        <v/>
      </c>
      <c r="H147" s="328" t="str">
        <f t="shared" si="44"/>
        <v/>
      </c>
      <c r="I147" s="328" t="str">
        <f t="shared" si="44"/>
        <v/>
      </c>
      <c r="J147" s="328" t="str">
        <f t="shared" si="44"/>
        <v/>
      </c>
      <c r="K147" s="328" t="str">
        <f t="shared" si="44"/>
        <v/>
      </c>
      <c r="L147" s="328" t="str">
        <f t="shared" si="44"/>
        <v/>
      </c>
      <c r="M147" s="328" t="str">
        <f t="shared" si="44"/>
        <v/>
      </c>
      <c r="N147" s="328" t="str">
        <f t="shared" si="44"/>
        <v/>
      </c>
      <c r="O147" s="328" t="str">
        <f t="shared" si="44"/>
        <v/>
      </c>
      <c r="P147" s="328" t="str">
        <f t="shared" si="44"/>
        <v/>
      </c>
      <c r="Q147" s="328" t="str">
        <f t="shared" si="44"/>
        <v/>
      </c>
      <c r="R147" s="328" t="str">
        <f t="shared" si="44"/>
        <v/>
      </c>
      <c r="S147" s="328" t="str">
        <f t="shared" si="44"/>
        <v/>
      </c>
      <c r="T147" s="328" t="str">
        <f t="shared" si="44"/>
        <v/>
      </c>
      <c r="U147" s="328" t="str">
        <f t="shared" si="44"/>
        <v/>
      </c>
      <c r="V147" s="328" t="str">
        <f t="shared" si="44"/>
        <v/>
      </c>
      <c r="W147" s="328" t="str">
        <f t="shared" si="44"/>
        <v/>
      </c>
      <c r="X147" s="328" t="str">
        <f t="shared" si="44"/>
        <v/>
      </c>
      <c r="Y147" s="328" t="str">
        <f t="shared" si="44"/>
        <v/>
      </c>
      <c r="Z147" s="328" t="str">
        <f t="shared" si="44"/>
        <v/>
      </c>
      <c r="AA147" s="328" t="str">
        <f t="shared" si="44"/>
        <v/>
      </c>
      <c r="AB147" s="328" t="str">
        <f t="shared" si="44"/>
        <v/>
      </c>
      <c r="AC147" s="328" t="str">
        <f t="shared" si="44"/>
        <v/>
      </c>
      <c r="AD147" s="328" t="str">
        <f t="shared" si="44"/>
        <v/>
      </c>
      <c r="AE147" s="328" t="str">
        <f t="shared" si="44"/>
        <v/>
      </c>
      <c r="AF147" s="328" t="str">
        <f t="shared" si="44"/>
        <v/>
      </c>
      <c r="AG147" s="328" t="str">
        <f t="shared" si="44"/>
        <v/>
      </c>
      <c r="AH147" s="328" t="str">
        <f t="shared" si="44"/>
        <v/>
      </c>
    </row>
    <row r="148" spans="2:34" x14ac:dyDescent="0.25">
      <c r="B148" s="628"/>
      <c r="C148" s="559"/>
    </row>
    <row r="149" spans="2:34" x14ac:dyDescent="0.25">
      <c r="B149" s="628"/>
      <c r="C149" s="559"/>
    </row>
    <row r="150" spans="2:34" x14ac:dyDescent="0.25">
      <c r="B150" s="628"/>
      <c r="C150" s="559"/>
    </row>
    <row r="151" spans="2:34" x14ac:dyDescent="0.25">
      <c r="B151" s="629"/>
      <c r="C151" s="561"/>
    </row>
    <row r="153" spans="2:34" ht="45" customHeight="1" x14ac:dyDescent="0.25">
      <c r="B153" s="660" t="s">
        <v>745</v>
      </c>
      <c r="C153" s="558"/>
      <c r="D153" s="328" t="str">
        <f t="shared" ref="D153:AH153" si="45">D18</f>
        <v/>
      </c>
      <c r="E153" s="328" t="str">
        <f t="shared" si="45"/>
        <v/>
      </c>
      <c r="F153" s="328" t="str">
        <f t="shared" si="45"/>
        <v/>
      </c>
      <c r="G153" s="328" t="str">
        <f t="shared" si="45"/>
        <v/>
      </c>
      <c r="H153" s="328" t="str">
        <f t="shared" si="45"/>
        <v/>
      </c>
      <c r="I153" s="328" t="str">
        <f t="shared" si="45"/>
        <v/>
      </c>
      <c r="J153" s="328" t="str">
        <f t="shared" si="45"/>
        <v/>
      </c>
      <c r="K153" s="328" t="str">
        <f t="shared" si="45"/>
        <v/>
      </c>
      <c r="L153" s="328" t="str">
        <f t="shared" si="45"/>
        <v/>
      </c>
      <c r="M153" s="328" t="str">
        <f t="shared" si="45"/>
        <v/>
      </c>
      <c r="N153" s="328" t="str">
        <f t="shared" si="45"/>
        <v/>
      </c>
      <c r="O153" s="328" t="str">
        <f t="shared" si="45"/>
        <v/>
      </c>
      <c r="P153" s="328" t="str">
        <f t="shared" si="45"/>
        <v/>
      </c>
      <c r="Q153" s="328" t="str">
        <f t="shared" si="45"/>
        <v/>
      </c>
      <c r="R153" s="328" t="str">
        <f t="shared" si="45"/>
        <v/>
      </c>
      <c r="S153" s="328" t="str">
        <f t="shared" si="45"/>
        <v/>
      </c>
      <c r="T153" s="328" t="str">
        <f t="shared" si="45"/>
        <v/>
      </c>
      <c r="U153" s="328" t="str">
        <f t="shared" si="45"/>
        <v/>
      </c>
      <c r="V153" s="328" t="str">
        <f t="shared" si="45"/>
        <v/>
      </c>
      <c r="W153" s="328" t="str">
        <f t="shared" si="45"/>
        <v/>
      </c>
      <c r="X153" s="328" t="str">
        <f t="shared" si="45"/>
        <v/>
      </c>
      <c r="Y153" s="328" t="str">
        <f t="shared" si="45"/>
        <v/>
      </c>
      <c r="Z153" s="328" t="str">
        <f t="shared" si="45"/>
        <v/>
      </c>
      <c r="AA153" s="328" t="str">
        <f t="shared" si="45"/>
        <v/>
      </c>
      <c r="AB153" s="328" t="str">
        <f t="shared" si="45"/>
        <v/>
      </c>
      <c r="AC153" s="328" t="str">
        <f t="shared" si="45"/>
        <v/>
      </c>
      <c r="AD153" s="328" t="str">
        <f t="shared" si="45"/>
        <v/>
      </c>
      <c r="AE153" s="328" t="str">
        <f t="shared" si="45"/>
        <v/>
      </c>
      <c r="AF153" s="328" t="str">
        <f t="shared" si="45"/>
        <v/>
      </c>
      <c r="AG153" s="328" t="str">
        <f t="shared" si="45"/>
        <v/>
      </c>
      <c r="AH153" s="328" t="str">
        <f t="shared" si="45"/>
        <v/>
      </c>
    </row>
    <row r="154" spans="2:34" x14ac:dyDescent="0.25">
      <c r="B154" s="628"/>
      <c r="C154" s="559"/>
    </row>
    <row r="155" spans="2:34" x14ac:dyDescent="0.25">
      <c r="B155" s="628"/>
      <c r="C155" s="559"/>
    </row>
    <row r="156" spans="2:34" x14ac:dyDescent="0.25">
      <c r="B156" s="628"/>
      <c r="C156" s="559"/>
    </row>
    <row r="157" spans="2:34" x14ac:dyDescent="0.25">
      <c r="B157" s="629"/>
      <c r="C157" s="561"/>
    </row>
    <row r="159" spans="2:34" ht="45" customHeight="1" x14ac:dyDescent="0.25">
      <c r="B159" s="660" t="s">
        <v>746</v>
      </c>
      <c r="C159" s="558"/>
      <c r="D159" s="328" t="str">
        <f t="shared" ref="D159:AH159" si="46">D18</f>
        <v/>
      </c>
      <c r="E159" s="328" t="str">
        <f t="shared" si="46"/>
        <v/>
      </c>
      <c r="F159" s="328" t="str">
        <f t="shared" si="46"/>
        <v/>
      </c>
      <c r="G159" s="328" t="str">
        <f t="shared" si="46"/>
        <v/>
      </c>
      <c r="H159" s="328" t="str">
        <f t="shared" si="46"/>
        <v/>
      </c>
      <c r="I159" s="328" t="str">
        <f t="shared" si="46"/>
        <v/>
      </c>
      <c r="J159" s="328" t="str">
        <f t="shared" si="46"/>
        <v/>
      </c>
      <c r="K159" s="328" t="str">
        <f t="shared" si="46"/>
        <v/>
      </c>
      <c r="L159" s="328" t="str">
        <f t="shared" si="46"/>
        <v/>
      </c>
      <c r="M159" s="328" t="str">
        <f t="shared" si="46"/>
        <v/>
      </c>
      <c r="N159" s="328" t="str">
        <f t="shared" si="46"/>
        <v/>
      </c>
      <c r="O159" s="328" t="str">
        <f t="shared" si="46"/>
        <v/>
      </c>
      <c r="P159" s="328" t="str">
        <f t="shared" si="46"/>
        <v/>
      </c>
      <c r="Q159" s="328" t="str">
        <f t="shared" si="46"/>
        <v/>
      </c>
      <c r="R159" s="328" t="str">
        <f t="shared" si="46"/>
        <v/>
      </c>
      <c r="S159" s="328" t="str">
        <f t="shared" si="46"/>
        <v/>
      </c>
      <c r="T159" s="328" t="str">
        <f t="shared" si="46"/>
        <v/>
      </c>
      <c r="U159" s="328" t="str">
        <f t="shared" si="46"/>
        <v/>
      </c>
      <c r="V159" s="328" t="str">
        <f t="shared" si="46"/>
        <v/>
      </c>
      <c r="W159" s="328" t="str">
        <f t="shared" si="46"/>
        <v/>
      </c>
      <c r="X159" s="328" t="str">
        <f t="shared" si="46"/>
        <v/>
      </c>
      <c r="Y159" s="328" t="str">
        <f t="shared" si="46"/>
        <v/>
      </c>
      <c r="Z159" s="328" t="str">
        <f t="shared" si="46"/>
        <v/>
      </c>
      <c r="AA159" s="328" t="str">
        <f t="shared" si="46"/>
        <v/>
      </c>
      <c r="AB159" s="328" t="str">
        <f t="shared" si="46"/>
        <v/>
      </c>
      <c r="AC159" s="328" t="str">
        <f t="shared" si="46"/>
        <v/>
      </c>
      <c r="AD159" s="328" t="str">
        <f t="shared" si="46"/>
        <v/>
      </c>
      <c r="AE159" s="328" t="str">
        <f t="shared" si="46"/>
        <v/>
      </c>
      <c r="AF159" s="328" t="str">
        <f t="shared" si="46"/>
        <v/>
      </c>
      <c r="AG159" s="328" t="str">
        <f t="shared" si="46"/>
        <v/>
      </c>
      <c r="AH159" s="328" t="str">
        <f t="shared" si="46"/>
        <v/>
      </c>
    </row>
    <row r="160" spans="2:34" x14ac:dyDescent="0.25">
      <c r="B160" s="628"/>
      <c r="C160" s="559"/>
    </row>
    <row r="161" spans="2:34" x14ac:dyDescent="0.25">
      <c r="B161" s="628"/>
      <c r="C161" s="559"/>
    </row>
    <row r="162" spans="2:34" x14ac:dyDescent="0.25">
      <c r="B162" s="628"/>
      <c r="C162" s="559"/>
    </row>
    <row r="163" spans="2:34" x14ac:dyDescent="0.25">
      <c r="B163" s="629"/>
      <c r="C163" s="561"/>
    </row>
    <row r="165" spans="2:34" ht="45" customHeight="1" x14ac:dyDescent="0.25">
      <c r="B165" s="660" t="s">
        <v>747</v>
      </c>
      <c r="C165" s="558"/>
      <c r="D165" s="328" t="str">
        <f t="shared" ref="D165:AH165" si="47">D18</f>
        <v/>
      </c>
      <c r="E165" s="328" t="str">
        <f t="shared" si="47"/>
        <v/>
      </c>
      <c r="F165" s="328" t="str">
        <f t="shared" si="47"/>
        <v/>
      </c>
      <c r="G165" s="328" t="str">
        <f t="shared" si="47"/>
        <v/>
      </c>
      <c r="H165" s="328" t="str">
        <f t="shared" si="47"/>
        <v/>
      </c>
      <c r="I165" s="328" t="str">
        <f t="shared" si="47"/>
        <v/>
      </c>
      <c r="J165" s="328" t="str">
        <f t="shared" si="47"/>
        <v/>
      </c>
      <c r="K165" s="328" t="str">
        <f t="shared" si="47"/>
        <v/>
      </c>
      <c r="L165" s="328" t="str">
        <f t="shared" si="47"/>
        <v/>
      </c>
      <c r="M165" s="328" t="str">
        <f t="shared" si="47"/>
        <v/>
      </c>
      <c r="N165" s="328" t="str">
        <f t="shared" si="47"/>
        <v/>
      </c>
      <c r="O165" s="328" t="str">
        <f t="shared" si="47"/>
        <v/>
      </c>
      <c r="P165" s="328" t="str">
        <f t="shared" si="47"/>
        <v/>
      </c>
      <c r="Q165" s="328" t="str">
        <f t="shared" si="47"/>
        <v/>
      </c>
      <c r="R165" s="328" t="str">
        <f t="shared" si="47"/>
        <v/>
      </c>
      <c r="S165" s="328" t="str">
        <f t="shared" si="47"/>
        <v/>
      </c>
      <c r="T165" s="328" t="str">
        <f t="shared" si="47"/>
        <v/>
      </c>
      <c r="U165" s="328" t="str">
        <f t="shared" si="47"/>
        <v/>
      </c>
      <c r="V165" s="328" t="str">
        <f t="shared" si="47"/>
        <v/>
      </c>
      <c r="W165" s="328" t="str">
        <f t="shared" si="47"/>
        <v/>
      </c>
      <c r="X165" s="328" t="str">
        <f t="shared" si="47"/>
        <v/>
      </c>
      <c r="Y165" s="328" t="str">
        <f t="shared" si="47"/>
        <v/>
      </c>
      <c r="Z165" s="328" t="str">
        <f t="shared" si="47"/>
        <v/>
      </c>
      <c r="AA165" s="328" t="str">
        <f t="shared" si="47"/>
        <v/>
      </c>
      <c r="AB165" s="328" t="str">
        <f t="shared" si="47"/>
        <v/>
      </c>
      <c r="AC165" s="328" t="str">
        <f t="shared" si="47"/>
        <v/>
      </c>
      <c r="AD165" s="328" t="str">
        <f t="shared" si="47"/>
        <v/>
      </c>
      <c r="AE165" s="328" t="str">
        <f t="shared" si="47"/>
        <v/>
      </c>
      <c r="AF165" s="328" t="str">
        <f t="shared" si="47"/>
        <v/>
      </c>
      <c r="AG165" s="328" t="str">
        <f t="shared" si="47"/>
        <v/>
      </c>
      <c r="AH165" s="328" t="str">
        <f t="shared" si="47"/>
        <v/>
      </c>
    </row>
    <row r="166" spans="2:34" x14ac:dyDescent="0.25">
      <c r="B166" s="628"/>
      <c r="C166" s="559"/>
    </row>
    <row r="167" spans="2:34" x14ac:dyDescent="0.25">
      <c r="B167" s="628"/>
      <c r="C167" s="559"/>
    </row>
    <row r="168" spans="2:34" x14ac:dyDescent="0.25">
      <c r="B168" s="628"/>
      <c r="C168" s="559"/>
    </row>
    <row r="169" spans="2:34" x14ac:dyDescent="0.25">
      <c r="B169" s="629"/>
      <c r="C169" s="561"/>
    </row>
    <row r="171" spans="2:34" x14ac:dyDescent="0.25">
      <c r="B171" s="660" t="s">
        <v>730</v>
      </c>
      <c r="C171" s="336" t="s">
        <v>0</v>
      </c>
      <c r="D171" s="9" t="str">
        <f t="shared" ref="D171:AH171" si="48">IF(D142="", "", SUM(D142:D145))</f>
        <v/>
      </c>
      <c r="E171" s="9" t="str">
        <f t="shared" si="48"/>
        <v/>
      </c>
      <c r="F171" s="9" t="str">
        <f t="shared" si="48"/>
        <v/>
      </c>
      <c r="G171" s="9" t="str">
        <f t="shared" si="48"/>
        <v/>
      </c>
      <c r="H171" s="9" t="str">
        <f t="shared" si="48"/>
        <v/>
      </c>
      <c r="I171" s="9" t="str">
        <f t="shared" si="48"/>
        <v/>
      </c>
      <c r="J171" s="9" t="str">
        <f t="shared" si="48"/>
        <v/>
      </c>
      <c r="K171" s="9" t="str">
        <f t="shared" si="48"/>
        <v/>
      </c>
      <c r="L171" s="9" t="str">
        <f t="shared" si="48"/>
        <v/>
      </c>
      <c r="M171" s="9" t="str">
        <f t="shared" si="48"/>
        <v/>
      </c>
      <c r="N171" s="9" t="str">
        <f t="shared" si="48"/>
        <v/>
      </c>
      <c r="O171" s="9" t="str">
        <f t="shared" si="48"/>
        <v/>
      </c>
      <c r="P171" s="9" t="str">
        <f t="shared" si="48"/>
        <v/>
      </c>
      <c r="Q171" s="9" t="str">
        <f t="shared" si="48"/>
        <v/>
      </c>
      <c r="R171" s="9" t="str">
        <f t="shared" si="48"/>
        <v/>
      </c>
      <c r="S171" s="9" t="str">
        <f t="shared" si="48"/>
        <v/>
      </c>
      <c r="T171" s="9" t="str">
        <f t="shared" si="48"/>
        <v/>
      </c>
      <c r="U171" s="9" t="str">
        <f t="shared" si="48"/>
        <v/>
      </c>
      <c r="V171" s="9" t="str">
        <f t="shared" si="48"/>
        <v/>
      </c>
      <c r="W171" s="9" t="str">
        <f t="shared" si="48"/>
        <v/>
      </c>
      <c r="X171" s="9" t="str">
        <f t="shared" si="48"/>
        <v/>
      </c>
      <c r="Y171" s="9" t="str">
        <f t="shared" si="48"/>
        <v/>
      </c>
      <c r="Z171" s="9" t="str">
        <f t="shared" si="48"/>
        <v/>
      </c>
      <c r="AA171" s="9" t="str">
        <f t="shared" si="48"/>
        <v/>
      </c>
      <c r="AB171" s="9" t="str">
        <f t="shared" si="48"/>
        <v/>
      </c>
      <c r="AC171" s="9" t="str">
        <f t="shared" si="48"/>
        <v/>
      </c>
      <c r="AD171" s="9" t="str">
        <f t="shared" si="48"/>
        <v/>
      </c>
      <c r="AE171" s="9" t="str">
        <f t="shared" si="48"/>
        <v/>
      </c>
      <c r="AF171" s="9" t="str">
        <f t="shared" si="48"/>
        <v/>
      </c>
      <c r="AG171" s="9" t="str">
        <f t="shared" si="48"/>
        <v/>
      </c>
      <c r="AH171" s="9" t="str">
        <f t="shared" si="48"/>
        <v/>
      </c>
    </row>
    <row r="172" spans="2:34" x14ac:dyDescent="0.25">
      <c r="B172" s="661"/>
      <c r="C172" s="336" t="s">
        <v>1</v>
      </c>
      <c r="D172" s="9" t="str">
        <f t="shared" ref="D172:AH172" si="49">IF(D148="", "", SUM(D148:D151))</f>
        <v/>
      </c>
      <c r="E172" s="9" t="str">
        <f t="shared" si="49"/>
        <v/>
      </c>
      <c r="F172" s="9" t="str">
        <f t="shared" si="49"/>
        <v/>
      </c>
      <c r="G172" s="9" t="str">
        <f t="shared" si="49"/>
        <v/>
      </c>
      <c r="H172" s="9" t="str">
        <f t="shared" si="49"/>
        <v/>
      </c>
      <c r="I172" s="9" t="str">
        <f t="shared" si="49"/>
        <v/>
      </c>
      <c r="J172" s="9" t="str">
        <f t="shared" si="49"/>
        <v/>
      </c>
      <c r="K172" s="9" t="str">
        <f t="shared" si="49"/>
        <v/>
      </c>
      <c r="L172" s="9" t="str">
        <f t="shared" si="49"/>
        <v/>
      </c>
      <c r="M172" s="9" t="str">
        <f t="shared" si="49"/>
        <v/>
      </c>
      <c r="N172" s="9" t="str">
        <f t="shared" si="49"/>
        <v/>
      </c>
      <c r="O172" s="9" t="str">
        <f t="shared" si="49"/>
        <v/>
      </c>
      <c r="P172" s="9" t="str">
        <f t="shared" si="49"/>
        <v/>
      </c>
      <c r="Q172" s="9" t="str">
        <f t="shared" si="49"/>
        <v/>
      </c>
      <c r="R172" s="9" t="str">
        <f t="shared" si="49"/>
        <v/>
      </c>
      <c r="S172" s="9" t="str">
        <f t="shared" si="49"/>
        <v/>
      </c>
      <c r="T172" s="9" t="str">
        <f t="shared" si="49"/>
        <v/>
      </c>
      <c r="U172" s="9" t="str">
        <f t="shared" si="49"/>
        <v/>
      </c>
      <c r="V172" s="9" t="str">
        <f t="shared" si="49"/>
        <v/>
      </c>
      <c r="W172" s="9" t="str">
        <f t="shared" si="49"/>
        <v/>
      </c>
      <c r="X172" s="9" t="str">
        <f t="shared" si="49"/>
        <v/>
      </c>
      <c r="Y172" s="9" t="str">
        <f t="shared" si="49"/>
        <v/>
      </c>
      <c r="Z172" s="9" t="str">
        <f t="shared" si="49"/>
        <v/>
      </c>
      <c r="AA172" s="9" t="str">
        <f t="shared" si="49"/>
        <v/>
      </c>
      <c r="AB172" s="9" t="str">
        <f t="shared" si="49"/>
        <v/>
      </c>
      <c r="AC172" s="9" t="str">
        <f t="shared" si="49"/>
        <v/>
      </c>
      <c r="AD172" s="9" t="str">
        <f t="shared" si="49"/>
        <v/>
      </c>
      <c r="AE172" s="9" t="str">
        <f t="shared" si="49"/>
        <v/>
      </c>
      <c r="AF172" s="9" t="str">
        <f t="shared" si="49"/>
        <v/>
      </c>
      <c r="AG172" s="9" t="str">
        <f t="shared" si="49"/>
        <v/>
      </c>
      <c r="AH172" s="9" t="str">
        <f t="shared" si="49"/>
        <v/>
      </c>
    </row>
    <row r="173" spans="2:34" x14ac:dyDescent="0.25">
      <c r="B173" s="661"/>
      <c r="C173" s="336" t="s">
        <v>2</v>
      </c>
      <c r="D173" s="9" t="str">
        <f t="shared" ref="D173:AH173" si="50">IF(D154="", "",SUM(D154:D157))</f>
        <v/>
      </c>
      <c r="E173" s="9" t="str">
        <f t="shared" si="50"/>
        <v/>
      </c>
      <c r="F173" s="9" t="str">
        <f t="shared" si="50"/>
        <v/>
      </c>
      <c r="G173" s="9" t="str">
        <f t="shared" si="50"/>
        <v/>
      </c>
      <c r="H173" s="9" t="str">
        <f t="shared" si="50"/>
        <v/>
      </c>
      <c r="I173" s="9" t="str">
        <f t="shared" si="50"/>
        <v/>
      </c>
      <c r="J173" s="9" t="str">
        <f t="shared" si="50"/>
        <v/>
      </c>
      <c r="K173" s="9" t="str">
        <f t="shared" si="50"/>
        <v/>
      </c>
      <c r="L173" s="9" t="str">
        <f t="shared" si="50"/>
        <v/>
      </c>
      <c r="M173" s="9" t="str">
        <f t="shared" si="50"/>
        <v/>
      </c>
      <c r="N173" s="9" t="str">
        <f t="shared" si="50"/>
        <v/>
      </c>
      <c r="O173" s="9" t="str">
        <f t="shared" si="50"/>
        <v/>
      </c>
      <c r="P173" s="9" t="str">
        <f t="shared" si="50"/>
        <v/>
      </c>
      <c r="Q173" s="9" t="str">
        <f t="shared" si="50"/>
        <v/>
      </c>
      <c r="R173" s="9" t="str">
        <f t="shared" si="50"/>
        <v/>
      </c>
      <c r="S173" s="9" t="str">
        <f t="shared" si="50"/>
        <v/>
      </c>
      <c r="T173" s="9" t="str">
        <f t="shared" si="50"/>
        <v/>
      </c>
      <c r="U173" s="9" t="str">
        <f t="shared" si="50"/>
        <v/>
      </c>
      <c r="V173" s="9" t="str">
        <f t="shared" si="50"/>
        <v/>
      </c>
      <c r="W173" s="9" t="str">
        <f t="shared" si="50"/>
        <v/>
      </c>
      <c r="X173" s="9" t="str">
        <f t="shared" si="50"/>
        <v/>
      </c>
      <c r="Y173" s="9" t="str">
        <f t="shared" si="50"/>
        <v/>
      </c>
      <c r="Z173" s="9" t="str">
        <f t="shared" si="50"/>
        <v/>
      </c>
      <c r="AA173" s="9" t="str">
        <f t="shared" si="50"/>
        <v/>
      </c>
      <c r="AB173" s="9" t="str">
        <f t="shared" si="50"/>
        <v/>
      </c>
      <c r="AC173" s="9" t="str">
        <f t="shared" si="50"/>
        <v/>
      </c>
      <c r="AD173" s="9" t="str">
        <f t="shared" si="50"/>
        <v/>
      </c>
      <c r="AE173" s="9" t="str">
        <f t="shared" si="50"/>
        <v/>
      </c>
      <c r="AF173" s="9" t="str">
        <f t="shared" si="50"/>
        <v/>
      </c>
      <c r="AG173" s="9" t="str">
        <f t="shared" si="50"/>
        <v/>
      </c>
      <c r="AH173" s="9" t="str">
        <f t="shared" si="50"/>
        <v/>
      </c>
    </row>
    <row r="174" spans="2:34" x14ac:dyDescent="0.25">
      <c r="B174" s="661"/>
      <c r="C174" s="336" t="s">
        <v>3</v>
      </c>
      <c r="D174" s="9" t="str">
        <f t="shared" ref="D174:AH174" si="51">IF(D160="", "",SUM(D160:D163))</f>
        <v/>
      </c>
      <c r="E174" s="9" t="str">
        <f t="shared" si="51"/>
        <v/>
      </c>
      <c r="F174" s="9" t="str">
        <f t="shared" si="51"/>
        <v/>
      </c>
      <c r="G174" s="9" t="str">
        <f t="shared" si="51"/>
        <v/>
      </c>
      <c r="H174" s="9" t="str">
        <f t="shared" si="51"/>
        <v/>
      </c>
      <c r="I174" s="9" t="str">
        <f t="shared" si="51"/>
        <v/>
      </c>
      <c r="J174" s="9" t="str">
        <f t="shared" si="51"/>
        <v/>
      </c>
      <c r="K174" s="9" t="str">
        <f t="shared" si="51"/>
        <v/>
      </c>
      <c r="L174" s="9" t="str">
        <f t="shared" si="51"/>
        <v/>
      </c>
      <c r="M174" s="9" t="str">
        <f t="shared" si="51"/>
        <v/>
      </c>
      <c r="N174" s="9" t="str">
        <f t="shared" si="51"/>
        <v/>
      </c>
      <c r="O174" s="9" t="str">
        <f t="shared" si="51"/>
        <v/>
      </c>
      <c r="P174" s="9" t="str">
        <f t="shared" si="51"/>
        <v/>
      </c>
      <c r="Q174" s="9" t="str">
        <f t="shared" si="51"/>
        <v/>
      </c>
      <c r="R174" s="9" t="str">
        <f t="shared" si="51"/>
        <v/>
      </c>
      <c r="S174" s="9" t="str">
        <f t="shared" si="51"/>
        <v/>
      </c>
      <c r="T174" s="9" t="str">
        <f t="shared" si="51"/>
        <v/>
      </c>
      <c r="U174" s="9" t="str">
        <f t="shared" si="51"/>
        <v/>
      </c>
      <c r="V174" s="9" t="str">
        <f t="shared" si="51"/>
        <v/>
      </c>
      <c r="W174" s="9" t="str">
        <f t="shared" si="51"/>
        <v/>
      </c>
      <c r="X174" s="9" t="str">
        <f t="shared" si="51"/>
        <v/>
      </c>
      <c r="Y174" s="9" t="str">
        <f t="shared" si="51"/>
        <v/>
      </c>
      <c r="Z174" s="9" t="str">
        <f t="shared" si="51"/>
        <v/>
      </c>
      <c r="AA174" s="9" t="str">
        <f t="shared" si="51"/>
        <v/>
      </c>
      <c r="AB174" s="9" t="str">
        <f t="shared" si="51"/>
        <v/>
      </c>
      <c r="AC174" s="9" t="str">
        <f t="shared" si="51"/>
        <v/>
      </c>
      <c r="AD174" s="9" t="str">
        <f t="shared" si="51"/>
        <v/>
      </c>
      <c r="AE174" s="9" t="str">
        <f t="shared" si="51"/>
        <v/>
      </c>
      <c r="AF174" s="9" t="str">
        <f t="shared" si="51"/>
        <v/>
      </c>
      <c r="AG174" s="9" t="str">
        <f t="shared" si="51"/>
        <v/>
      </c>
      <c r="AH174" s="9" t="str">
        <f t="shared" si="51"/>
        <v/>
      </c>
    </row>
    <row r="175" spans="2:34" x14ac:dyDescent="0.25">
      <c r="B175" s="662"/>
      <c r="C175" s="336" t="s">
        <v>4</v>
      </c>
      <c r="D175" s="9" t="str">
        <f t="shared" ref="D175:AH175" si="52">IF(D166="", "", SUM(D166:D169))</f>
        <v/>
      </c>
      <c r="E175" s="9" t="str">
        <f t="shared" si="52"/>
        <v/>
      </c>
      <c r="F175" s="9" t="str">
        <f t="shared" si="52"/>
        <v/>
      </c>
      <c r="G175" s="9" t="str">
        <f t="shared" si="52"/>
        <v/>
      </c>
      <c r="H175" s="9" t="str">
        <f t="shared" si="52"/>
        <v/>
      </c>
      <c r="I175" s="9" t="str">
        <f t="shared" si="52"/>
        <v/>
      </c>
      <c r="J175" s="9" t="str">
        <f t="shared" si="52"/>
        <v/>
      </c>
      <c r="K175" s="9" t="str">
        <f t="shared" si="52"/>
        <v/>
      </c>
      <c r="L175" s="9" t="str">
        <f t="shared" si="52"/>
        <v/>
      </c>
      <c r="M175" s="9" t="str">
        <f t="shared" si="52"/>
        <v/>
      </c>
      <c r="N175" s="9" t="str">
        <f t="shared" si="52"/>
        <v/>
      </c>
      <c r="O175" s="9" t="str">
        <f t="shared" si="52"/>
        <v/>
      </c>
      <c r="P175" s="9" t="str">
        <f t="shared" si="52"/>
        <v/>
      </c>
      <c r="Q175" s="9" t="str">
        <f t="shared" si="52"/>
        <v/>
      </c>
      <c r="R175" s="9" t="str">
        <f t="shared" si="52"/>
        <v/>
      </c>
      <c r="S175" s="9" t="str">
        <f t="shared" si="52"/>
        <v/>
      </c>
      <c r="T175" s="9" t="str">
        <f t="shared" si="52"/>
        <v/>
      </c>
      <c r="U175" s="9" t="str">
        <f t="shared" si="52"/>
        <v/>
      </c>
      <c r="V175" s="9" t="str">
        <f t="shared" si="52"/>
        <v/>
      </c>
      <c r="W175" s="9" t="str">
        <f t="shared" si="52"/>
        <v/>
      </c>
      <c r="X175" s="9" t="str">
        <f t="shared" si="52"/>
        <v/>
      </c>
      <c r="Y175" s="9" t="str">
        <f t="shared" si="52"/>
        <v/>
      </c>
      <c r="Z175" s="9" t="str">
        <f t="shared" si="52"/>
        <v/>
      </c>
      <c r="AA175" s="9" t="str">
        <f t="shared" si="52"/>
        <v/>
      </c>
      <c r="AB175" s="9" t="str">
        <f t="shared" si="52"/>
        <v/>
      </c>
      <c r="AC175" s="9" t="str">
        <f t="shared" si="52"/>
        <v/>
      </c>
      <c r="AD175" s="9" t="str">
        <f t="shared" si="52"/>
        <v/>
      </c>
      <c r="AE175" s="9" t="str">
        <f t="shared" si="52"/>
        <v/>
      </c>
      <c r="AF175" s="9" t="str">
        <f t="shared" si="52"/>
        <v/>
      </c>
      <c r="AG175" s="9" t="str">
        <f t="shared" si="52"/>
        <v/>
      </c>
      <c r="AH175" s="9" t="str">
        <f t="shared" si="52"/>
        <v/>
      </c>
    </row>
    <row r="176" spans="2:34" x14ac:dyDescent="0.25">
      <c r="B176" s="335"/>
      <c r="C176" s="335"/>
    </row>
    <row r="177" spans="2:34" x14ac:dyDescent="0.25">
      <c r="B177" s="335"/>
      <c r="C177" s="335"/>
    </row>
    <row r="178" spans="2:34" x14ac:dyDescent="0.25">
      <c r="B178" s="660" t="s">
        <v>748</v>
      </c>
      <c r="C178" s="558"/>
      <c r="D178" s="9" t="str">
        <f t="shared" ref="D178:AH178" si="53">IF(D142="","",M1A*D142)</f>
        <v/>
      </c>
      <c r="E178" s="9" t="str">
        <f t="shared" si="53"/>
        <v/>
      </c>
      <c r="F178" s="9" t="str">
        <f t="shared" si="53"/>
        <v/>
      </c>
      <c r="G178" s="9" t="str">
        <f t="shared" si="53"/>
        <v/>
      </c>
      <c r="H178" s="9" t="str">
        <f t="shared" si="53"/>
        <v/>
      </c>
      <c r="I178" s="9" t="str">
        <f t="shared" si="53"/>
        <v/>
      </c>
      <c r="J178" s="9" t="str">
        <f t="shared" si="53"/>
        <v/>
      </c>
      <c r="K178" s="9" t="str">
        <f t="shared" si="53"/>
        <v/>
      </c>
      <c r="L178" s="9" t="str">
        <f t="shared" si="53"/>
        <v/>
      </c>
      <c r="M178" s="9" t="str">
        <f t="shared" si="53"/>
        <v/>
      </c>
      <c r="N178" s="9" t="str">
        <f t="shared" si="53"/>
        <v/>
      </c>
      <c r="O178" s="9" t="str">
        <f t="shared" si="53"/>
        <v/>
      </c>
      <c r="P178" s="9" t="str">
        <f t="shared" si="53"/>
        <v/>
      </c>
      <c r="Q178" s="9" t="str">
        <f t="shared" si="53"/>
        <v/>
      </c>
      <c r="R178" s="9" t="str">
        <f t="shared" si="53"/>
        <v/>
      </c>
      <c r="S178" s="9" t="str">
        <f t="shared" si="53"/>
        <v/>
      </c>
      <c r="T178" s="9" t="str">
        <f t="shared" si="53"/>
        <v/>
      </c>
      <c r="U178" s="9" t="str">
        <f t="shared" si="53"/>
        <v/>
      </c>
      <c r="V178" s="9" t="str">
        <f t="shared" si="53"/>
        <v/>
      </c>
      <c r="W178" s="9" t="str">
        <f t="shared" si="53"/>
        <v/>
      </c>
      <c r="X178" s="9" t="str">
        <f t="shared" si="53"/>
        <v/>
      </c>
      <c r="Y178" s="9" t="str">
        <f t="shared" si="53"/>
        <v/>
      </c>
      <c r="Z178" s="9" t="str">
        <f t="shared" si="53"/>
        <v/>
      </c>
      <c r="AA178" s="9" t="str">
        <f t="shared" si="53"/>
        <v/>
      </c>
      <c r="AB178" s="9" t="str">
        <f t="shared" si="53"/>
        <v/>
      </c>
      <c r="AC178" s="9" t="str">
        <f t="shared" si="53"/>
        <v/>
      </c>
      <c r="AD178" s="9" t="str">
        <f t="shared" si="53"/>
        <v/>
      </c>
      <c r="AE178" s="9" t="str">
        <f t="shared" si="53"/>
        <v/>
      </c>
      <c r="AF178" s="9" t="str">
        <f t="shared" si="53"/>
        <v/>
      </c>
      <c r="AG178" s="9" t="str">
        <f t="shared" si="53"/>
        <v/>
      </c>
      <c r="AH178" s="9" t="str">
        <f t="shared" si="53"/>
        <v/>
      </c>
    </row>
    <row r="179" spans="2:34" x14ac:dyDescent="0.25">
      <c r="B179" s="628"/>
      <c r="C179" s="559"/>
      <c r="D179" s="9" t="str">
        <f t="shared" ref="D179:AH179" si="54">IF(D143="","",M2A*D143)</f>
        <v/>
      </c>
      <c r="E179" s="9" t="str">
        <f t="shared" si="54"/>
        <v/>
      </c>
      <c r="F179" s="9" t="str">
        <f t="shared" si="54"/>
        <v/>
      </c>
      <c r="G179" s="9" t="str">
        <f t="shared" si="54"/>
        <v/>
      </c>
      <c r="H179" s="9" t="str">
        <f t="shared" si="54"/>
        <v/>
      </c>
      <c r="I179" s="9" t="str">
        <f t="shared" si="54"/>
        <v/>
      </c>
      <c r="J179" s="9" t="str">
        <f t="shared" si="54"/>
        <v/>
      </c>
      <c r="K179" s="9" t="str">
        <f t="shared" si="54"/>
        <v/>
      </c>
      <c r="L179" s="9" t="str">
        <f t="shared" si="54"/>
        <v/>
      </c>
      <c r="M179" s="9" t="str">
        <f t="shared" si="54"/>
        <v/>
      </c>
      <c r="N179" s="9" t="str">
        <f t="shared" si="54"/>
        <v/>
      </c>
      <c r="O179" s="9" t="str">
        <f t="shared" si="54"/>
        <v/>
      </c>
      <c r="P179" s="9" t="str">
        <f t="shared" si="54"/>
        <v/>
      </c>
      <c r="Q179" s="9" t="str">
        <f t="shared" si="54"/>
        <v/>
      </c>
      <c r="R179" s="9" t="str">
        <f t="shared" si="54"/>
        <v/>
      </c>
      <c r="S179" s="9" t="str">
        <f t="shared" si="54"/>
        <v/>
      </c>
      <c r="T179" s="9" t="str">
        <f t="shared" si="54"/>
        <v/>
      </c>
      <c r="U179" s="9" t="str">
        <f t="shared" si="54"/>
        <v/>
      </c>
      <c r="V179" s="9" t="str">
        <f t="shared" si="54"/>
        <v/>
      </c>
      <c r="W179" s="9" t="str">
        <f t="shared" si="54"/>
        <v/>
      </c>
      <c r="X179" s="9" t="str">
        <f t="shared" si="54"/>
        <v/>
      </c>
      <c r="Y179" s="9" t="str">
        <f t="shared" si="54"/>
        <v/>
      </c>
      <c r="Z179" s="9" t="str">
        <f t="shared" si="54"/>
        <v/>
      </c>
      <c r="AA179" s="9" t="str">
        <f t="shared" si="54"/>
        <v/>
      </c>
      <c r="AB179" s="9" t="str">
        <f t="shared" si="54"/>
        <v/>
      </c>
      <c r="AC179" s="9" t="str">
        <f t="shared" si="54"/>
        <v/>
      </c>
      <c r="AD179" s="9" t="str">
        <f t="shared" si="54"/>
        <v/>
      </c>
      <c r="AE179" s="9" t="str">
        <f t="shared" si="54"/>
        <v/>
      </c>
      <c r="AF179" s="9" t="str">
        <f t="shared" si="54"/>
        <v/>
      </c>
      <c r="AG179" s="9" t="str">
        <f t="shared" si="54"/>
        <v/>
      </c>
      <c r="AH179" s="9" t="str">
        <f t="shared" si="54"/>
        <v/>
      </c>
    </row>
    <row r="180" spans="2:34" x14ac:dyDescent="0.25">
      <c r="B180" s="628"/>
      <c r="C180" s="559"/>
      <c r="D180" s="9" t="str">
        <f t="shared" ref="D180:AH180" si="55">IF(D144="","",M3A*D144)</f>
        <v/>
      </c>
      <c r="E180" s="9" t="str">
        <f t="shared" si="55"/>
        <v/>
      </c>
      <c r="F180" s="9" t="str">
        <f t="shared" si="55"/>
        <v/>
      </c>
      <c r="G180" s="9" t="str">
        <f t="shared" si="55"/>
        <v/>
      </c>
      <c r="H180" s="9" t="str">
        <f t="shared" si="55"/>
        <v/>
      </c>
      <c r="I180" s="9" t="str">
        <f t="shared" si="55"/>
        <v/>
      </c>
      <c r="J180" s="9" t="str">
        <f t="shared" si="55"/>
        <v/>
      </c>
      <c r="K180" s="9" t="str">
        <f t="shared" si="55"/>
        <v/>
      </c>
      <c r="L180" s="9" t="str">
        <f t="shared" si="55"/>
        <v/>
      </c>
      <c r="M180" s="9" t="str">
        <f t="shared" si="55"/>
        <v/>
      </c>
      <c r="N180" s="9" t="str">
        <f t="shared" si="55"/>
        <v/>
      </c>
      <c r="O180" s="9" t="str">
        <f t="shared" si="55"/>
        <v/>
      </c>
      <c r="P180" s="9" t="str">
        <f t="shared" si="55"/>
        <v/>
      </c>
      <c r="Q180" s="9" t="str">
        <f t="shared" si="55"/>
        <v/>
      </c>
      <c r="R180" s="9" t="str">
        <f t="shared" si="55"/>
        <v/>
      </c>
      <c r="S180" s="9" t="str">
        <f t="shared" si="55"/>
        <v/>
      </c>
      <c r="T180" s="9" t="str">
        <f t="shared" si="55"/>
        <v/>
      </c>
      <c r="U180" s="9" t="str">
        <f t="shared" si="55"/>
        <v/>
      </c>
      <c r="V180" s="9" t="str">
        <f t="shared" si="55"/>
        <v/>
      </c>
      <c r="W180" s="9" t="str">
        <f t="shared" si="55"/>
        <v/>
      </c>
      <c r="X180" s="9" t="str">
        <f t="shared" si="55"/>
        <v/>
      </c>
      <c r="Y180" s="9" t="str">
        <f t="shared" si="55"/>
        <v/>
      </c>
      <c r="Z180" s="9" t="str">
        <f t="shared" si="55"/>
        <v/>
      </c>
      <c r="AA180" s="9" t="str">
        <f t="shared" si="55"/>
        <v/>
      </c>
      <c r="AB180" s="9" t="str">
        <f t="shared" si="55"/>
        <v/>
      </c>
      <c r="AC180" s="9" t="str">
        <f t="shared" si="55"/>
        <v/>
      </c>
      <c r="AD180" s="9" t="str">
        <f t="shared" si="55"/>
        <v/>
      </c>
      <c r="AE180" s="9" t="str">
        <f t="shared" si="55"/>
        <v/>
      </c>
      <c r="AF180" s="9" t="str">
        <f t="shared" si="55"/>
        <v/>
      </c>
      <c r="AG180" s="9" t="str">
        <f t="shared" si="55"/>
        <v/>
      </c>
      <c r="AH180" s="9" t="str">
        <f t="shared" si="55"/>
        <v/>
      </c>
    </row>
    <row r="181" spans="2:34" x14ac:dyDescent="0.25">
      <c r="B181" s="629"/>
      <c r="C181" s="561"/>
      <c r="D181" s="9" t="str">
        <f t="shared" ref="D181:AH181" si="56">IF(D145="","",M4A*D145)</f>
        <v/>
      </c>
      <c r="E181" s="9" t="str">
        <f t="shared" si="56"/>
        <v/>
      </c>
      <c r="F181" s="9" t="str">
        <f t="shared" si="56"/>
        <v/>
      </c>
      <c r="G181" s="9" t="str">
        <f t="shared" si="56"/>
        <v/>
      </c>
      <c r="H181" s="9" t="str">
        <f t="shared" si="56"/>
        <v/>
      </c>
      <c r="I181" s="9" t="str">
        <f t="shared" si="56"/>
        <v/>
      </c>
      <c r="J181" s="9" t="str">
        <f t="shared" si="56"/>
        <v/>
      </c>
      <c r="K181" s="9" t="str">
        <f t="shared" si="56"/>
        <v/>
      </c>
      <c r="L181" s="9" t="str">
        <f t="shared" si="56"/>
        <v/>
      </c>
      <c r="M181" s="9" t="str">
        <f t="shared" si="56"/>
        <v/>
      </c>
      <c r="N181" s="9" t="str">
        <f t="shared" si="56"/>
        <v/>
      </c>
      <c r="O181" s="9" t="str">
        <f t="shared" si="56"/>
        <v/>
      </c>
      <c r="P181" s="9" t="str">
        <f t="shared" si="56"/>
        <v/>
      </c>
      <c r="Q181" s="9" t="str">
        <f t="shared" si="56"/>
        <v/>
      </c>
      <c r="R181" s="9" t="str">
        <f t="shared" si="56"/>
        <v/>
      </c>
      <c r="S181" s="9" t="str">
        <f t="shared" si="56"/>
        <v/>
      </c>
      <c r="T181" s="9" t="str">
        <f t="shared" si="56"/>
        <v/>
      </c>
      <c r="U181" s="9" t="str">
        <f t="shared" si="56"/>
        <v/>
      </c>
      <c r="V181" s="9" t="str">
        <f t="shared" si="56"/>
        <v/>
      </c>
      <c r="W181" s="9" t="str">
        <f t="shared" si="56"/>
        <v/>
      </c>
      <c r="X181" s="9" t="str">
        <f t="shared" si="56"/>
        <v/>
      </c>
      <c r="Y181" s="9" t="str">
        <f t="shared" si="56"/>
        <v/>
      </c>
      <c r="Z181" s="9" t="str">
        <f t="shared" si="56"/>
        <v/>
      </c>
      <c r="AA181" s="9" t="str">
        <f t="shared" si="56"/>
        <v/>
      </c>
      <c r="AB181" s="9" t="str">
        <f t="shared" si="56"/>
        <v/>
      </c>
      <c r="AC181" s="9" t="str">
        <f t="shared" si="56"/>
        <v/>
      </c>
      <c r="AD181" s="9" t="str">
        <f t="shared" si="56"/>
        <v/>
      </c>
      <c r="AE181" s="9" t="str">
        <f t="shared" si="56"/>
        <v/>
      </c>
      <c r="AF181" s="9" t="str">
        <f t="shared" si="56"/>
        <v/>
      </c>
      <c r="AG181" s="9" t="str">
        <f t="shared" si="56"/>
        <v/>
      </c>
      <c r="AH181" s="9" t="str">
        <f t="shared" si="56"/>
        <v/>
      </c>
    </row>
    <row r="182" spans="2:34" x14ac:dyDescent="0.25">
      <c r="B182" s="660" t="s">
        <v>732</v>
      </c>
      <c r="C182" s="563"/>
      <c r="D182" s="336" t="str">
        <f t="shared" ref="D182:AH182" si="57">IF(D178="","",SUM(D178:D181))</f>
        <v/>
      </c>
      <c r="E182" s="336" t="str">
        <f t="shared" si="57"/>
        <v/>
      </c>
      <c r="F182" s="336" t="str">
        <f t="shared" si="57"/>
        <v/>
      </c>
      <c r="G182" s="336" t="str">
        <f t="shared" si="57"/>
        <v/>
      </c>
      <c r="H182" s="336" t="str">
        <f t="shared" si="57"/>
        <v/>
      </c>
      <c r="I182" s="336" t="str">
        <f t="shared" si="57"/>
        <v/>
      </c>
      <c r="J182" s="336" t="str">
        <f t="shared" si="57"/>
        <v/>
      </c>
      <c r="K182" s="336" t="str">
        <f t="shared" si="57"/>
        <v/>
      </c>
      <c r="L182" s="336" t="str">
        <f t="shared" si="57"/>
        <v/>
      </c>
      <c r="M182" s="336" t="str">
        <f t="shared" si="57"/>
        <v/>
      </c>
      <c r="N182" s="336" t="str">
        <f t="shared" si="57"/>
        <v/>
      </c>
      <c r="O182" s="336" t="str">
        <f t="shared" si="57"/>
        <v/>
      </c>
      <c r="P182" s="336" t="str">
        <f t="shared" si="57"/>
        <v/>
      </c>
      <c r="Q182" s="336" t="str">
        <f t="shared" si="57"/>
        <v/>
      </c>
      <c r="R182" s="336" t="str">
        <f t="shared" si="57"/>
        <v/>
      </c>
      <c r="S182" s="336" t="str">
        <f t="shared" si="57"/>
        <v/>
      </c>
      <c r="T182" s="336" t="str">
        <f t="shared" si="57"/>
        <v/>
      </c>
      <c r="U182" s="336" t="str">
        <f t="shared" si="57"/>
        <v/>
      </c>
      <c r="V182" s="336" t="str">
        <f t="shared" si="57"/>
        <v/>
      </c>
      <c r="W182" s="336" t="str">
        <f t="shared" si="57"/>
        <v/>
      </c>
      <c r="X182" s="336" t="str">
        <f t="shared" si="57"/>
        <v/>
      </c>
      <c r="Y182" s="336" t="str">
        <f t="shared" si="57"/>
        <v/>
      </c>
      <c r="Z182" s="336" t="str">
        <f t="shared" si="57"/>
        <v/>
      </c>
      <c r="AA182" s="336" t="str">
        <f t="shared" si="57"/>
        <v/>
      </c>
      <c r="AB182" s="336" t="str">
        <f t="shared" si="57"/>
        <v/>
      </c>
      <c r="AC182" s="336" t="str">
        <f t="shared" si="57"/>
        <v/>
      </c>
      <c r="AD182" s="336" t="str">
        <f t="shared" si="57"/>
        <v/>
      </c>
      <c r="AE182" s="336" t="str">
        <f t="shared" si="57"/>
        <v/>
      </c>
      <c r="AF182" s="336" t="str">
        <f t="shared" si="57"/>
        <v/>
      </c>
      <c r="AG182" s="336" t="str">
        <f t="shared" si="57"/>
        <v/>
      </c>
      <c r="AH182" s="336" t="str">
        <f t="shared" si="57"/>
        <v/>
      </c>
    </row>
    <row r="183" spans="2:34" x14ac:dyDescent="0.25">
      <c r="B183" s="229"/>
      <c r="C183" s="229"/>
    </row>
    <row r="184" spans="2:34" ht="15" customHeight="1" x14ac:dyDescent="0.25">
      <c r="B184" s="660" t="s">
        <v>749</v>
      </c>
      <c r="C184" s="558"/>
      <c r="D184" s="9" t="str">
        <f t="shared" ref="D184:AH184" si="58">IF(D148="","",M1A*D148)</f>
        <v/>
      </c>
      <c r="E184" s="9" t="str">
        <f t="shared" si="58"/>
        <v/>
      </c>
      <c r="F184" s="9" t="str">
        <f t="shared" si="58"/>
        <v/>
      </c>
      <c r="G184" s="9" t="str">
        <f t="shared" si="58"/>
        <v/>
      </c>
      <c r="H184" s="9" t="str">
        <f t="shared" si="58"/>
        <v/>
      </c>
      <c r="I184" s="9" t="str">
        <f t="shared" si="58"/>
        <v/>
      </c>
      <c r="J184" s="9" t="str">
        <f t="shared" si="58"/>
        <v/>
      </c>
      <c r="K184" s="9" t="str">
        <f t="shared" si="58"/>
        <v/>
      </c>
      <c r="L184" s="9" t="str">
        <f t="shared" si="58"/>
        <v/>
      </c>
      <c r="M184" s="9" t="str">
        <f t="shared" si="58"/>
        <v/>
      </c>
      <c r="N184" s="9" t="str">
        <f t="shared" si="58"/>
        <v/>
      </c>
      <c r="O184" s="9" t="str">
        <f t="shared" si="58"/>
        <v/>
      </c>
      <c r="P184" s="9" t="str">
        <f t="shared" si="58"/>
        <v/>
      </c>
      <c r="Q184" s="9" t="str">
        <f t="shared" si="58"/>
        <v/>
      </c>
      <c r="R184" s="9" t="str">
        <f t="shared" si="58"/>
        <v/>
      </c>
      <c r="S184" s="9" t="str">
        <f t="shared" si="58"/>
        <v/>
      </c>
      <c r="T184" s="9" t="str">
        <f t="shared" si="58"/>
        <v/>
      </c>
      <c r="U184" s="9" t="str">
        <f t="shared" si="58"/>
        <v/>
      </c>
      <c r="V184" s="9" t="str">
        <f t="shared" si="58"/>
        <v/>
      </c>
      <c r="W184" s="9" t="str">
        <f t="shared" si="58"/>
        <v/>
      </c>
      <c r="X184" s="9" t="str">
        <f t="shared" si="58"/>
        <v/>
      </c>
      <c r="Y184" s="9" t="str">
        <f t="shared" si="58"/>
        <v/>
      </c>
      <c r="Z184" s="9" t="str">
        <f t="shared" si="58"/>
        <v/>
      </c>
      <c r="AA184" s="9" t="str">
        <f t="shared" si="58"/>
        <v/>
      </c>
      <c r="AB184" s="9" t="str">
        <f t="shared" si="58"/>
        <v/>
      </c>
      <c r="AC184" s="9" t="str">
        <f t="shared" si="58"/>
        <v/>
      </c>
      <c r="AD184" s="9" t="str">
        <f t="shared" si="58"/>
        <v/>
      </c>
      <c r="AE184" s="9" t="str">
        <f t="shared" si="58"/>
        <v/>
      </c>
      <c r="AF184" s="9" t="str">
        <f t="shared" si="58"/>
        <v/>
      </c>
      <c r="AG184" s="9" t="str">
        <f t="shared" si="58"/>
        <v/>
      </c>
      <c r="AH184" s="9" t="str">
        <f t="shared" si="58"/>
        <v/>
      </c>
    </row>
    <row r="185" spans="2:34" x14ac:dyDescent="0.25">
      <c r="B185" s="628"/>
      <c r="C185" s="559"/>
      <c r="D185" s="9" t="str">
        <f t="shared" ref="D185:AH185" si="59">IF(D149="","",M2A*D149)</f>
        <v/>
      </c>
      <c r="E185" s="9" t="str">
        <f t="shared" si="59"/>
        <v/>
      </c>
      <c r="F185" s="9" t="str">
        <f t="shared" si="59"/>
        <v/>
      </c>
      <c r="G185" s="9" t="str">
        <f t="shared" si="59"/>
        <v/>
      </c>
      <c r="H185" s="9" t="str">
        <f t="shared" si="59"/>
        <v/>
      </c>
      <c r="I185" s="9" t="str">
        <f t="shared" si="59"/>
        <v/>
      </c>
      <c r="J185" s="9" t="str">
        <f t="shared" si="59"/>
        <v/>
      </c>
      <c r="K185" s="9" t="str">
        <f t="shared" si="59"/>
        <v/>
      </c>
      <c r="L185" s="9" t="str">
        <f t="shared" si="59"/>
        <v/>
      </c>
      <c r="M185" s="9" t="str">
        <f t="shared" si="59"/>
        <v/>
      </c>
      <c r="N185" s="9" t="str">
        <f t="shared" si="59"/>
        <v/>
      </c>
      <c r="O185" s="9" t="str">
        <f t="shared" si="59"/>
        <v/>
      </c>
      <c r="P185" s="9" t="str">
        <f t="shared" si="59"/>
        <v/>
      </c>
      <c r="Q185" s="9" t="str">
        <f t="shared" si="59"/>
        <v/>
      </c>
      <c r="R185" s="9" t="str">
        <f t="shared" si="59"/>
        <v/>
      </c>
      <c r="S185" s="9" t="str">
        <f t="shared" si="59"/>
        <v/>
      </c>
      <c r="T185" s="9" t="str">
        <f t="shared" si="59"/>
        <v/>
      </c>
      <c r="U185" s="9" t="str">
        <f t="shared" si="59"/>
        <v/>
      </c>
      <c r="V185" s="9" t="str">
        <f t="shared" si="59"/>
        <v/>
      </c>
      <c r="W185" s="9" t="str">
        <f t="shared" si="59"/>
        <v/>
      </c>
      <c r="X185" s="9" t="str">
        <f t="shared" si="59"/>
        <v/>
      </c>
      <c r="Y185" s="9" t="str">
        <f t="shared" si="59"/>
        <v/>
      </c>
      <c r="Z185" s="9" t="str">
        <f t="shared" si="59"/>
        <v/>
      </c>
      <c r="AA185" s="9" t="str">
        <f t="shared" si="59"/>
        <v/>
      </c>
      <c r="AB185" s="9" t="str">
        <f t="shared" si="59"/>
        <v/>
      </c>
      <c r="AC185" s="9" t="str">
        <f t="shared" si="59"/>
        <v/>
      </c>
      <c r="AD185" s="9" t="str">
        <f t="shared" si="59"/>
        <v/>
      </c>
      <c r="AE185" s="9" t="str">
        <f t="shared" si="59"/>
        <v/>
      </c>
      <c r="AF185" s="9" t="str">
        <f t="shared" si="59"/>
        <v/>
      </c>
      <c r="AG185" s="9" t="str">
        <f t="shared" si="59"/>
        <v/>
      </c>
      <c r="AH185" s="9" t="str">
        <f t="shared" si="59"/>
        <v/>
      </c>
    </row>
    <row r="186" spans="2:34" x14ac:dyDescent="0.25">
      <c r="B186" s="628"/>
      <c r="C186" s="559"/>
      <c r="D186" s="9" t="str">
        <f t="shared" ref="D186:AH186" si="60">IF(D150="","",M3A*D150)</f>
        <v/>
      </c>
      <c r="E186" s="9" t="str">
        <f t="shared" si="60"/>
        <v/>
      </c>
      <c r="F186" s="9" t="str">
        <f t="shared" si="60"/>
        <v/>
      </c>
      <c r="G186" s="9" t="str">
        <f t="shared" si="60"/>
        <v/>
      </c>
      <c r="H186" s="9" t="str">
        <f t="shared" si="60"/>
        <v/>
      </c>
      <c r="I186" s="9" t="str">
        <f t="shared" si="60"/>
        <v/>
      </c>
      <c r="J186" s="9" t="str">
        <f t="shared" si="60"/>
        <v/>
      </c>
      <c r="K186" s="9" t="str">
        <f t="shared" si="60"/>
        <v/>
      </c>
      <c r="L186" s="9" t="str">
        <f t="shared" si="60"/>
        <v/>
      </c>
      <c r="M186" s="9" t="str">
        <f t="shared" si="60"/>
        <v/>
      </c>
      <c r="N186" s="9" t="str">
        <f t="shared" si="60"/>
        <v/>
      </c>
      <c r="O186" s="9" t="str">
        <f t="shared" si="60"/>
        <v/>
      </c>
      <c r="P186" s="9" t="str">
        <f t="shared" si="60"/>
        <v/>
      </c>
      <c r="Q186" s="9" t="str">
        <f t="shared" si="60"/>
        <v/>
      </c>
      <c r="R186" s="9" t="str">
        <f t="shared" si="60"/>
        <v/>
      </c>
      <c r="S186" s="9" t="str">
        <f t="shared" si="60"/>
        <v/>
      </c>
      <c r="T186" s="9" t="str">
        <f t="shared" si="60"/>
        <v/>
      </c>
      <c r="U186" s="9" t="str">
        <f t="shared" si="60"/>
        <v/>
      </c>
      <c r="V186" s="9" t="str">
        <f t="shared" si="60"/>
        <v/>
      </c>
      <c r="W186" s="9" t="str">
        <f t="shared" si="60"/>
        <v/>
      </c>
      <c r="X186" s="9" t="str">
        <f t="shared" si="60"/>
        <v/>
      </c>
      <c r="Y186" s="9" t="str">
        <f t="shared" si="60"/>
        <v/>
      </c>
      <c r="Z186" s="9" t="str">
        <f t="shared" si="60"/>
        <v/>
      </c>
      <c r="AA186" s="9" t="str">
        <f t="shared" si="60"/>
        <v/>
      </c>
      <c r="AB186" s="9" t="str">
        <f t="shared" si="60"/>
        <v/>
      </c>
      <c r="AC186" s="9" t="str">
        <f t="shared" si="60"/>
        <v/>
      </c>
      <c r="AD186" s="9" t="str">
        <f t="shared" si="60"/>
        <v/>
      </c>
      <c r="AE186" s="9" t="str">
        <f t="shared" si="60"/>
        <v/>
      </c>
      <c r="AF186" s="9" t="str">
        <f t="shared" si="60"/>
        <v/>
      </c>
      <c r="AG186" s="9" t="str">
        <f t="shared" si="60"/>
        <v/>
      </c>
      <c r="AH186" s="9" t="str">
        <f t="shared" si="60"/>
        <v/>
      </c>
    </row>
    <row r="187" spans="2:34" x14ac:dyDescent="0.25">
      <c r="B187" s="629"/>
      <c r="C187" s="561"/>
      <c r="D187" s="9" t="str">
        <f t="shared" ref="D187:AH187" si="61">IF(D151="","",M4A*D151)</f>
        <v/>
      </c>
      <c r="E187" s="9" t="str">
        <f t="shared" si="61"/>
        <v/>
      </c>
      <c r="F187" s="9" t="str">
        <f t="shared" si="61"/>
        <v/>
      </c>
      <c r="G187" s="9" t="str">
        <f t="shared" si="61"/>
        <v/>
      </c>
      <c r="H187" s="9" t="str">
        <f t="shared" si="61"/>
        <v/>
      </c>
      <c r="I187" s="9" t="str">
        <f t="shared" si="61"/>
        <v/>
      </c>
      <c r="J187" s="9" t="str">
        <f t="shared" si="61"/>
        <v/>
      </c>
      <c r="K187" s="9" t="str">
        <f t="shared" si="61"/>
        <v/>
      </c>
      <c r="L187" s="9" t="str">
        <f t="shared" si="61"/>
        <v/>
      </c>
      <c r="M187" s="9" t="str">
        <f t="shared" si="61"/>
        <v/>
      </c>
      <c r="N187" s="9" t="str">
        <f t="shared" si="61"/>
        <v/>
      </c>
      <c r="O187" s="9" t="str">
        <f t="shared" si="61"/>
        <v/>
      </c>
      <c r="P187" s="9" t="str">
        <f t="shared" si="61"/>
        <v/>
      </c>
      <c r="Q187" s="9" t="str">
        <f t="shared" si="61"/>
        <v/>
      </c>
      <c r="R187" s="9" t="str">
        <f t="shared" si="61"/>
        <v/>
      </c>
      <c r="S187" s="9" t="str">
        <f t="shared" si="61"/>
        <v/>
      </c>
      <c r="T187" s="9" t="str">
        <f t="shared" si="61"/>
        <v/>
      </c>
      <c r="U187" s="9" t="str">
        <f t="shared" si="61"/>
        <v/>
      </c>
      <c r="V187" s="9" t="str">
        <f t="shared" si="61"/>
        <v/>
      </c>
      <c r="W187" s="9" t="str">
        <f t="shared" si="61"/>
        <v/>
      </c>
      <c r="X187" s="9" t="str">
        <f t="shared" si="61"/>
        <v/>
      </c>
      <c r="Y187" s="9" t="str">
        <f t="shared" si="61"/>
        <v/>
      </c>
      <c r="Z187" s="9" t="str">
        <f t="shared" si="61"/>
        <v/>
      </c>
      <c r="AA187" s="9" t="str">
        <f t="shared" si="61"/>
        <v/>
      </c>
      <c r="AB187" s="9" t="str">
        <f t="shared" si="61"/>
        <v/>
      </c>
      <c r="AC187" s="9" t="str">
        <f t="shared" si="61"/>
        <v/>
      </c>
      <c r="AD187" s="9" t="str">
        <f t="shared" si="61"/>
        <v/>
      </c>
      <c r="AE187" s="9" t="str">
        <f t="shared" si="61"/>
        <v/>
      </c>
      <c r="AF187" s="9" t="str">
        <f t="shared" si="61"/>
        <v/>
      </c>
      <c r="AG187" s="9" t="str">
        <f t="shared" si="61"/>
        <v/>
      </c>
      <c r="AH187" s="9" t="str">
        <f t="shared" si="61"/>
        <v/>
      </c>
    </row>
    <row r="188" spans="2:34" x14ac:dyDescent="0.25">
      <c r="B188" s="660" t="s">
        <v>734</v>
      </c>
      <c r="C188" s="563"/>
      <c r="D188" s="336" t="str">
        <f t="shared" ref="D188:AH188" si="62">IF(D184="","",SUM(D184:D187))</f>
        <v/>
      </c>
      <c r="E188" s="336" t="str">
        <f t="shared" si="62"/>
        <v/>
      </c>
      <c r="F188" s="336" t="str">
        <f t="shared" si="62"/>
        <v/>
      </c>
      <c r="G188" s="336" t="str">
        <f t="shared" si="62"/>
        <v/>
      </c>
      <c r="H188" s="336" t="str">
        <f t="shared" si="62"/>
        <v/>
      </c>
      <c r="I188" s="336" t="str">
        <f t="shared" si="62"/>
        <v/>
      </c>
      <c r="J188" s="336" t="str">
        <f t="shared" si="62"/>
        <v/>
      </c>
      <c r="K188" s="336" t="str">
        <f t="shared" si="62"/>
        <v/>
      </c>
      <c r="L188" s="336" t="str">
        <f t="shared" si="62"/>
        <v/>
      </c>
      <c r="M188" s="336" t="str">
        <f t="shared" si="62"/>
        <v/>
      </c>
      <c r="N188" s="336" t="str">
        <f t="shared" si="62"/>
        <v/>
      </c>
      <c r="O188" s="336" t="str">
        <f t="shared" si="62"/>
        <v/>
      </c>
      <c r="P188" s="336" t="str">
        <f t="shared" si="62"/>
        <v/>
      </c>
      <c r="Q188" s="336" t="str">
        <f t="shared" si="62"/>
        <v/>
      </c>
      <c r="R188" s="336" t="str">
        <f t="shared" si="62"/>
        <v/>
      </c>
      <c r="S188" s="336" t="str">
        <f t="shared" si="62"/>
        <v/>
      </c>
      <c r="T188" s="336" t="str">
        <f t="shared" si="62"/>
        <v/>
      </c>
      <c r="U188" s="336" t="str">
        <f t="shared" si="62"/>
        <v/>
      </c>
      <c r="V188" s="336" t="str">
        <f t="shared" si="62"/>
        <v/>
      </c>
      <c r="W188" s="336" t="str">
        <f t="shared" si="62"/>
        <v/>
      </c>
      <c r="X188" s="336" t="str">
        <f t="shared" si="62"/>
        <v/>
      </c>
      <c r="Y188" s="336" t="str">
        <f t="shared" si="62"/>
        <v/>
      </c>
      <c r="Z188" s="336" t="str">
        <f t="shared" si="62"/>
        <v/>
      </c>
      <c r="AA188" s="336" t="str">
        <f t="shared" si="62"/>
        <v/>
      </c>
      <c r="AB188" s="336" t="str">
        <f t="shared" si="62"/>
        <v/>
      </c>
      <c r="AC188" s="336" t="str">
        <f t="shared" si="62"/>
        <v/>
      </c>
      <c r="AD188" s="336" t="str">
        <f t="shared" si="62"/>
        <v/>
      </c>
      <c r="AE188" s="336" t="str">
        <f t="shared" si="62"/>
        <v/>
      </c>
      <c r="AF188" s="336" t="str">
        <f t="shared" si="62"/>
        <v/>
      </c>
      <c r="AG188" s="336" t="str">
        <f t="shared" si="62"/>
        <v/>
      </c>
      <c r="AH188" s="336" t="str">
        <f t="shared" si="62"/>
        <v/>
      </c>
    </row>
    <row r="189" spans="2:34" x14ac:dyDescent="0.25">
      <c r="B189" s="229"/>
      <c r="C189" s="229"/>
    </row>
    <row r="190" spans="2:34" ht="15" customHeight="1" x14ac:dyDescent="0.25">
      <c r="B190" s="660" t="s">
        <v>750</v>
      </c>
      <c r="C190" s="558"/>
      <c r="D190" s="9" t="str">
        <f t="shared" ref="D190:AH190" si="63">IF(D154="","",M1A*D154)</f>
        <v/>
      </c>
      <c r="E190" s="9" t="str">
        <f t="shared" si="63"/>
        <v/>
      </c>
      <c r="F190" s="9" t="str">
        <f t="shared" si="63"/>
        <v/>
      </c>
      <c r="G190" s="9" t="str">
        <f t="shared" si="63"/>
        <v/>
      </c>
      <c r="H190" s="9" t="str">
        <f t="shared" si="63"/>
        <v/>
      </c>
      <c r="I190" s="9" t="str">
        <f t="shared" si="63"/>
        <v/>
      </c>
      <c r="J190" s="9" t="str">
        <f t="shared" si="63"/>
        <v/>
      </c>
      <c r="K190" s="9" t="str">
        <f t="shared" si="63"/>
        <v/>
      </c>
      <c r="L190" s="9" t="str">
        <f t="shared" si="63"/>
        <v/>
      </c>
      <c r="M190" s="9" t="str">
        <f t="shared" si="63"/>
        <v/>
      </c>
      <c r="N190" s="9" t="str">
        <f t="shared" si="63"/>
        <v/>
      </c>
      <c r="O190" s="9" t="str">
        <f t="shared" si="63"/>
        <v/>
      </c>
      <c r="P190" s="9" t="str">
        <f t="shared" si="63"/>
        <v/>
      </c>
      <c r="Q190" s="9" t="str">
        <f t="shared" si="63"/>
        <v/>
      </c>
      <c r="R190" s="9" t="str">
        <f t="shared" si="63"/>
        <v/>
      </c>
      <c r="S190" s="9" t="str">
        <f t="shared" si="63"/>
        <v/>
      </c>
      <c r="T190" s="9" t="str">
        <f t="shared" si="63"/>
        <v/>
      </c>
      <c r="U190" s="9" t="str">
        <f t="shared" si="63"/>
        <v/>
      </c>
      <c r="V190" s="9" t="str">
        <f t="shared" si="63"/>
        <v/>
      </c>
      <c r="W190" s="9" t="str">
        <f t="shared" si="63"/>
        <v/>
      </c>
      <c r="X190" s="9" t="str">
        <f t="shared" si="63"/>
        <v/>
      </c>
      <c r="Y190" s="9" t="str">
        <f t="shared" si="63"/>
        <v/>
      </c>
      <c r="Z190" s="9" t="str">
        <f t="shared" si="63"/>
        <v/>
      </c>
      <c r="AA190" s="9" t="str">
        <f t="shared" si="63"/>
        <v/>
      </c>
      <c r="AB190" s="9" t="str">
        <f t="shared" si="63"/>
        <v/>
      </c>
      <c r="AC190" s="9" t="str">
        <f t="shared" si="63"/>
        <v/>
      </c>
      <c r="AD190" s="9" t="str">
        <f t="shared" si="63"/>
        <v/>
      </c>
      <c r="AE190" s="9" t="str">
        <f t="shared" si="63"/>
        <v/>
      </c>
      <c r="AF190" s="9" t="str">
        <f t="shared" si="63"/>
        <v/>
      </c>
      <c r="AG190" s="9" t="str">
        <f t="shared" si="63"/>
        <v/>
      </c>
      <c r="AH190" s="9" t="str">
        <f t="shared" si="63"/>
        <v/>
      </c>
    </row>
    <row r="191" spans="2:34" x14ac:dyDescent="0.25">
      <c r="B191" s="628"/>
      <c r="C191" s="559"/>
      <c r="D191" s="9" t="str">
        <f t="shared" ref="D191:AH191" si="64">IF(D155="","",M2A*D155)</f>
        <v/>
      </c>
      <c r="E191" s="9" t="str">
        <f t="shared" si="64"/>
        <v/>
      </c>
      <c r="F191" s="9" t="str">
        <f t="shared" si="64"/>
        <v/>
      </c>
      <c r="G191" s="9" t="str">
        <f t="shared" si="64"/>
        <v/>
      </c>
      <c r="H191" s="9" t="str">
        <f t="shared" si="64"/>
        <v/>
      </c>
      <c r="I191" s="9" t="str">
        <f t="shared" si="64"/>
        <v/>
      </c>
      <c r="J191" s="9" t="str">
        <f t="shared" si="64"/>
        <v/>
      </c>
      <c r="K191" s="9" t="str">
        <f t="shared" si="64"/>
        <v/>
      </c>
      <c r="L191" s="9" t="str">
        <f t="shared" si="64"/>
        <v/>
      </c>
      <c r="M191" s="9" t="str">
        <f t="shared" si="64"/>
        <v/>
      </c>
      <c r="N191" s="9" t="str">
        <f t="shared" si="64"/>
        <v/>
      </c>
      <c r="O191" s="9" t="str">
        <f t="shared" si="64"/>
        <v/>
      </c>
      <c r="P191" s="9" t="str">
        <f t="shared" si="64"/>
        <v/>
      </c>
      <c r="Q191" s="9" t="str">
        <f t="shared" si="64"/>
        <v/>
      </c>
      <c r="R191" s="9" t="str">
        <f t="shared" si="64"/>
        <v/>
      </c>
      <c r="S191" s="9" t="str">
        <f t="shared" si="64"/>
        <v/>
      </c>
      <c r="T191" s="9" t="str">
        <f t="shared" si="64"/>
        <v/>
      </c>
      <c r="U191" s="9" t="str">
        <f t="shared" si="64"/>
        <v/>
      </c>
      <c r="V191" s="9" t="str">
        <f t="shared" si="64"/>
        <v/>
      </c>
      <c r="W191" s="9" t="str">
        <f t="shared" si="64"/>
        <v/>
      </c>
      <c r="X191" s="9" t="str">
        <f t="shared" si="64"/>
        <v/>
      </c>
      <c r="Y191" s="9" t="str">
        <f t="shared" si="64"/>
        <v/>
      </c>
      <c r="Z191" s="9" t="str">
        <f t="shared" si="64"/>
        <v/>
      </c>
      <c r="AA191" s="9" t="str">
        <f t="shared" si="64"/>
        <v/>
      </c>
      <c r="AB191" s="9" t="str">
        <f t="shared" si="64"/>
        <v/>
      </c>
      <c r="AC191" s="9" t="str">
        <f t="shared" si="64"/>
        <v/>
      </c>
      <c r="AD191" s="9" t="str">
        <f t="shared" si="64"/>
        <v/>
      </c>
      <c r="AE191" s="9" t="str">
        <f t="shared" si="64"/>
        <v/>
      </c>
      <c r="AF191" s="9" t="str">
        <f t="shared" si="64"/>
        <v/>
      </c>
      <c r="AG191" s="9" t="str">
        <f t="shared" si="64"/>
        <v/>
      </c>
      <c r="AH191" s="9" t="str">
        <f t="shared" si="64"/>
        <v/>
      </c>
    </row>
    <row r="192" spans="2:34" x14ac:dyDescent="0.25">
      <c r="B192" s="628"/>
      <c r="C192" s="559"/>
      <c r="D192" s="9" t="str">
        <f t="shared" ref="D192:AH192" si="65">IF(D156="","",M3A*D156)</f>
        <v/>
      </c>
      <c r="E192" s="9" t="str">
        <f t="shared" si="65"/>
        <v/>
      </c>
      <c r="F192" s="9" t="str">
        <f t="shared" si="65"/>
        <v/>
      </c>
      <c r="G192" s="9" t="str">
        <f t="shared" si="65"/>
        <v/>
      </c>
      <c r="H192" s="9" t="str">
        <f t="shared" si="65"/>
        <v/>
      </c>
      <c r="I192" s="9" t="str">
        <f t="shared" si="65"/>
        <v/>
      </c>
      <c r="J192" s="9" t="str">
        <f t="shared" si="65"/>
        <v/>
      </c>
      <c r="K192" s="9" t="str">
        <f t="shared" si="65"/>
        <v/>
      </c>
      <c r="L192" s="9" t="str">
        <f t="shared" si="65"/>
        <v/>
      </c>
      <c r="M192" s="9" t="str">
        <f t="shared" si="65"/>
        <v/>
      </c>
      <c r="N192" s="9" t="str">
        <f t="shared" si="65"/>
        <v/>
      </c>
      <c r="O192" s="9" t="str">
        <f t="shared" si="65"/>
        <v/>
      </c>
      <c r="P192" s="9" t="str">
        <f t="shared" si="65"/>
        <v/>
      </c>
      <c r="Q192" s="9" t="str">
        <f t="shared" si="65"/>
        <v/>
      </c>
      <c r="R192" s="9" t="str">
        <f t="shared" si="65"/>
        <v/>
      </c>
      <c r="S192" s="9" t="str">
        <f t="shared" si="65"/>
        <v/>
      </c>
      <c r="T192" s="9" t="str">
        <f t="shared" si="65"/>
        <v/>
      </c>
      <c r="U192" s="9" t="str">
        <f t="shared" si="65"/>
        <v/>
      </c>
      <c r="V192" s="9" t="str">
        <f t="shared" si="65"/>
        <v/>
      </c>
      <c r="W192" s="9" t="str">
        <f t="shared" si="65"/>
        <v/>
      </c>
      <c r="X192" s="9" t="str">
        <f t="shared" si="65"/>
        <v/>
      </c>
      <c r="Y192" s="9" t="str">
        <f t="shared" si="65"/>
        <v/>
      </c>
      <c r="Z192" s="9" t="str">
        <f t="shared" si="65"/>
        <v/>
      </c>
      <c r="AA192" s="9" t="str">
        <f t="shared" si="65"/>
        <v/>
      </c>
      <c r="AB192" s="9" t="str">
        <f t="shared" si="65"/>
        <v/>
      </c>
      <c r="AC192" s="9" t="str">
        <f t="shared" si="65"/>
        <v/>
      </c>
      <c r="AD192" s="9" t="str">
        <f t="shared" si="65"/>
        <v/>
      </c>
      <c r="AE192" s="9" t="str">
        <f t="shared" si="65"/>
        <v/>
      </c>
      <c r="AF192" s="9" t="str">
        <f t="shared" si="65"/>
        <v/>
      </c>
      <c r="AG192" s="9" t="str">
        <f t="shared" si="65"/>
        <v/>
      </c>
      <c r="AH192" s="9" t="str">
        <f t="shared" si="65"/>
        <v/>
      </c>
    </row>
    <row r="193" spans="2:34" x14ac:dyDescent="0.25">
      <c r="B193" s="629"/>
      <c r="C193" s="561"/>
      <c r="D193" s="9" t="str">
        <f t="shared" ref="D193:AH193" si="66">IF(D157="","",M4A*D157)</f>
        <v/>
      </c>
      <c r="E193" s="9" t="str">
        <f t="shared" si="66"/>
        <v/>
      </c>
      <c r="F193" s="9" t="str">
        <f t="shared" si="66"/>
        <v/>
      </c>
      <c r="G193" s="9" t="str">
        <f t="shared" si="66"/>
        <v/>
      </c>
      <c r="H193" s="9" t="str">
        <f t="shared" si="66"/>
        <v/>
      </c>
      <c r="I193" s="9" t="str">
        <f t="shared" si="66"/>
        <v/>
      </c>
      <c r="J193" s="9" t="str">
        <f t="shared" si="66"/>
        <v/>
      </c>
      <c r="K193" s="9" t="str">
        <f t="shared" si="66"/>
        <v/>
      </c>
      <c r="L193" s="9" t="str">
        <f t="shared" si="66"/>
        <v/>
      </c>
      <c r="M193" s="9" t="str">
        <f t="shared" si="66"/>
        <v/>
      </c>
      <c r="N193" s="9" t="str">
        <f t="shared" si="66"/>
        <v/>
      </c>
      <c r="O193" s="9" t="str">
        <f t="shared" si="66"/>
        <v/>
      </c>
      <c r="P193" s="9" t="str">
        <f t="shared" si="66"/>
        <v/>
      </c>
      <c r="Q193" s="9" t="str">
        <f t="shared" si="66"/>
        <v/>
      </c>
      <c r="R193" s="9" t="str">
        <f t="shared" si="66"/>
        <v/>
      </c>
      <c r="S193" s="9" t="str">
        <f t="shared" si="66"/>
        <v/>
      </c>
      <c r="T193" s="9" t="str">
        <f t="shared" si="66"/>
        <v/>
      </c>
      <c r="U193" s="9" t="str">
        <f t="shared" si="66"/>
        <v/>
      </c>
      <c r="V193" s="9" t="str">
        <f t="shared" si="66"/>
        <v/>
      </c>
      <c r="W193" s="9" t="str">
        <f t="shared" si="66"/>
        <v/>
      </c>
      <c r="X193" s="9" t="str">
        <f t="shared" si="66"/>
        <v/>
      </c>
      <c r="Y193" s="9" t="str">
        <f t="shared" si="66"/>
        <v/>
      </c>
      <c r="Z193" s="9" t="str">
        <f t="shared" si="66"/>
        <v/>
      </c>
      <c r="AA193" s="9" t="str">
        <f t="shared" si="66"/>
        <v/>
      </c>
      <c r="AB193" s="9" t="str">
        <f t="shared" si="66"/>
        <v/>
      </c>
      <c r="AC193" s="9" t="str">
        <f t="shared" si="66"/>
        <v/>
      </c>
      <c r="AD193" s="9" t="str">
        <f t="shared" si="66"/>
        <v/>
      </c>
      <c r="AE193" s="9" t="str">
        <f t="shared" si="66"/>
        <v/>
      </c>
      <c r="AF193" s="9" t="str">
        <f t="shared" si="66"/>
        <v/>
      </c>
      <c r="AG193" s="9" t="str">
        <f t="shared" si="66"/>
        <v/>
      </c>
      <c r="AH193" s="9" t="str">
        <f t="shared" si="66"/>
        <v/>
      </c>
    </row>
    <row r="194" spans="2:34" x14ac:dyDescent="0.25">
      <c r="B194" s="660" t="s">
        <v>734</v>
      </c>
      <c r="C194" s="563"/>
      <c r="D194" s="336" t="str">
        <f t="shared" ref="D194:AH194" si="67">IF(D190="","",SUM(D190:D193))</f>
        <v/>
      </c>
      <c r="E194" s="336" t="str">
        <f t="shared" si="67"/>
        <v/>
      </c>
      <c r="F194" s="336" t="str">
        <f t="shared" si="67"/>
        <v/>
      </c>
      <c r="G194" s="336" t="str">
        <f t="shared" si="67"/>
        <v/>
      </c>
      <c r="H194" s="336" t="str">
        <f t="shared" si="67"/>
        <v/>
      </c>
      <c r="I194" s="336" t="str">
        <f t="shared" si="67"/>
        <v/>
      </c>
      <c r="J194" s="336" t="str">
        <f t="shared" si="67"/>
        <v/>
      </c>
      <c r="K194" s="336" t="str">
        <f t="shared" si="67"/>
        <v/>
      </c>
      <c r="L194" s="336" t="str">
        <f t="shared" si="67"/>
        <v/>
      </c>
      <c r="M194" s="336" t="str">
        <f t="shared" si="67"/>
        <v/>
      </c>
      <c r="N194" s="336" t="str">
        <f t="shared" si="67"/>
        <v/>
      </c>
      <c r="O194" s="336" t="str">
        <f t="shared" si="67"/>
        <v/>
      </c>
      <c r="P194" s="336" t="str">
        <f t="shared" si="67"/>
        <v/>
      </c>
      <c r="Q194" s="336" t="str">
        <f t="shared" si="67"/>
        <v/>
      </c>
      <c r="R194" s="336" t="str">
        <f t="shared" si="67"/>
        <v/>
      </c>
      <c r="S194" s="336" t="str">
        <f t="shared" si="67"/>
        <v/>
      </c>
      <c r="T194" s="336" t="str">
        <f t="shared" si="67"/>
        <v/>
      </c>
      <c r="U194" s="336" t="str">
        <f t="shared" si="67"/>
        <v/>
      </c>
      <c r="V194" s="336" t="str">
        <f t="shared" si="67"/>
        <v/>
      </c>
      <c r="W194" s="336" t="str">
        <f t="shared" si="67"/>
        <v/>
      </c>
      <c r="X194" s="336" t="str">
        <f t="shared" si="67"/>
        <v/>
      </c>
      <c r="Y194" s="336" t="str">
        <f t="shared" si="67"/>
        <v/>
      </c>
      <c r="Z194" s="336" t="str">
        <f t="shared" si="67"/>
        <v/>
      </c>
      <c r="AA194" s="336" t="str">
        <f t="shared" si="67"/>
        <v/>
      </c>
      <c r="AB194" s="336" t="str">
        <f t="shared" si="67"/>
        <v/>
      </c>
      <c r="AC194" s="336" t="str">
        <f t="shared" si="67"/>
        <v/>
      </c>
      <c r="AD194" s="336" t="str">
        <f t="shared" si="67"/>
        <v/>
      </c>
      <c r="AE194" s="336" t="str">
        <f t="shared" si="67"/>
        <v/>
      </c>
      <c r="AF194" s="336" t="str">
        <f t="shared" si="67"/>
        <v/>
      </c>
      <c r="AG194" s="336" t="str">
        <f t="shared" si="67"/>
        <v/>
      </c>
      <c r="AH194" s="336" t="str">
        <f t="shared" si="67"/>
        <v/>
      </c>
    </row>
    <row r="195" spans="2:34" x14ac:dyDescent="0.25">
      <c r="B195" s="229"/>
      <c r="C195" s="229"/>
    </row>
    <row r="196" spans="2:34" ht="15" customHeight="1" x14ac:dyDescent="0.25">
      <c r="B196" s="660" t="s">
        <v>751</v>
      </c>
      <c r="C196" s="558"/>
      <c r="D196" s="9" t="str">
        <f t="shared" ref="D196:AH196" si="68">IF(D160="","",M1A*D160)</f>
        <v/>
      </c>
      <c r="E196" s="9" t="str">
        <f t="shared" si="68"/>
        <v/>
      </c>
      <c r="F196" s="9" t="str">
        <f t="shared" si="68"/>
        <v/>
      </c>
      <c r="G196" s="9" t="str">
        <f t="shared" si="68"/>
        <v/>
      </c>
      <c r="H196" s="9" t="str">
        <f t="shared" si="68"/>
        <v/>
      </c>
      <c r="I196" s="9" t="str">
        <f t="shared" si="68"/>
        <v/>
      </c>
      <c r="J196" s="9" t="str">
        <f t="shared" si="68"/>
        <v/>
      </c>
      <c r="K196" s="9" t="str">
        <f t="shared" si="68"/>
        <v/>
      </c>
      <c r="L196" s="9" t="str">
        <f t="shared" si="68"/>
        <v/>
      </c>
      <c r="M196" s="9" t="str">
        <f t="shared" si="68"/>
        <v/>
      </c>
      <c r="N196" s="9" t="str">
        <f t="shared" si="68"/>
        <v/>
      </c>
      <c r="O196" s="9" t="str">
        <f t="shared" si="68"/>
        <v/>
      </c>
      <c r="P196" s="9" t="str">
        <f t="shared" si="68"/>
        <v/>
      </c>
      <c r="Q196" s="9" t="str">
        <f t="shared" si="68"/>
        <v/>
      </c>
      <c r="R196" s="9" t="str">
        <f t="shared" si="68"/>
        <v/>
      </c>
      <c r="S196" s="9" t="str">
        <f t="shared" si="68"/>
        <v/>
      </c>
      <c r="T196" s="9" t="str">
        <f t="shared" si="68"/>
        <v/>
      </c>
      <c r="U196" s="9" t="str">
        <f t="shared" si="68"/>
        <v/>
      </c>
      <c r="V196" s="9" t="str">
        <f t="shared" si="68"/>
        <v/>
      </c>
      <c r="W196" s="9" t="str">
        <f t="shared" si="68"/>
        <v/>
      </c>
      <c r="X196" s="9" t="str">
        <f t="shared" si="68"/>
        <v/>
      </c>
      <c r="Y196" s="9" t="str">
        <f t="shared" si="68"/>
        <v/>
      </c>
      <c r="Z196" s="9" t="str">
        <f t="shared" si="68"/>
        <v/>
      </c>
      <c r="AA196" s="9" t="str">
        <f t="shared" si="68"/>
        <v/>
      </c>
      <c r="AB196" s="9" t="str">
        <f t="shared" si="68"/>
        <v/>
      </c>
      <c r="AC196" s="9" t="str">
        <f t="shared" si="68"/>
        <v/>
      </c>
      <c r="AD196" s="9" t="str">
        <f t="shared" si="68"/>
        <v/>
      </c>
      <c r="AE196" s="9" t="str">
        <f t="shared" si="68"/>
        <v/>
      </c>
      <c r="AF196" s="9" t="str">
        <f t="shared" si="68"/>
        <v/>
      </c>
      <c r="AG196" s="9" t="str">
        <f t="shared" si="68"/>
        <v/>
      </c>
      <c r="AH196" s="9" t="str">
        <f t="shared" si="68"/>
        <v/>
      </c>
    </row>
    <row r="197" spans="2:34" x14ac:dyDescent="0.25">
      <c r="B197" s="628"/>
      <c r="C197" s="559"/>
      <c r="D197" s="9" t="str">
        <f t="shared" ref="D197:AH197" si="69">IF(D161="","",M2A*D161)</f>
        <v/>
      </c>
      <c r="E197" s="9" t="str">
        <f t="shared" si="69"/>
        <v/>
      </c>
      <c r="F197" s="9" t="str">
        <f t="shared" si="69"/>
        <v/>
      </c>
      <c r="G197" s="9" t="str">
        <f t="shared" si="69"/>
        <v/>
      </c>
      <c r="H197" s="9" t="str">
        <f t="shared" si="69"/>
        <v/>
      </c>
      <c r="I197" s="9" t="str">
        <f t="shared" si="69"/>
        <v/>
      </c>
      <c r="J197" s="9" t="str">
        <f t="shared" si="69"/>
        <v/>
      </c>
      <c r="K197" s="9" t="str">
        <f t="shared" si="69"/>
        <v/>
      </c>
      <c r="L197" s="9" t="str">
        <f t="shared" si="69"/>
        <v/>
      </c>
      <c r="M197" s="9" t="str">
        <f t="shared" si="69"/>
        <v/>
      </c>
      <c r="N197" s="9" t="str">
        <f t="shared" si="69"/>
        <v/>
      </c>
      <c r="O197" s="9" t="str">
        <f t="shared" si="69"/>
        <v/>
      </c>
      <c r="P197" s="9" t="str">
        <f t="shared" si="69"/>
        <v/>
      </c>
      <c r="Q197" s="9" t="str">
        <f t="shared" si="69"/>
        <v/>
      </c>
      <c r="R197" s="9" t="str">
        <f t="shared" si="69"/>
        <v/>
      </c>
      <c r="S197" s="9" t="str">
        <f t="shared" si="69"/>
        <v/>
      </c>
      <c r="T197" s="9" t="str">
        <f t="shared" si="69"/>
        <v/>
      </c>
      <c r="U197" s="9" t="str">
        <f t="shared" si="69"/>
        <v/>
      </c>
      <c r="V197" s="9" t="str">
        <f t="shared" si="69"/>
        <v/>
      </c>
      <c r="W197" s="9" t="str">
        <f t="shared" si="69"/>
        <v/>
      </c>
      <c r="X197" s="9" t="str">
        <f t="shared" si="69"/>
        <v/>
      </c>
      <c r="Y197" s="9" t="str">
        <f t="shared" si="69"/>
        <v/>
      </c>
      <c r="Z197" s="9" t="str">
        <f t="shared" si="69"/>
        <v/>
      </c>
      <c r="AA197" s="9" t="str">
        <f t="shared" si="69"/>
        <v/>
      </c>
      <c r="AB197" s="9" t="str">
        <f t="shared" si="69"/>
        <v/>
      </c>
      <c r="AC197" s="9" t="str">
        <f t="shared" si="69"/>
        <v/>
      </c>
      <c r="AD197" s="9" t="str">
        <f t="shared" si="69"/>
        <v/>
      </c>
      <c r="AE197" s="9" t="str">
        <f t="shared" si="69"/>
        <v/>
      </c>
      <c r="AF197" s="9" t="str">
        <f t="shared" si="69"/>
        <v/>
      </c>
      <c r="AG197" s="9" t="str">
        <f t="shared" si="69"/>
        <v/>
      </c>
      <c r="AH197" s="9" t="str">
        <f t="shared" si="69"/>
        <v/>
      </c>
    </row>
    <row r="198" spans="2:34" x14ac:dyDescent="0.25">
      <c r="B198" s="628"/>
      <c r="C198" s="559"/>
      <c r="D198" s="9" t="str">
        <f t="shared" ref="D198:AH198" si="70">IF(D162="","",M3A*D162)</f>
        <v/>
      </c>
      <c r="E198" s="9" t="str">
        <f t="shared" si="70"/>
        <v/>
      </c>
      <c r="F198" s="9" t="str">
        <f t="shared" si="70"/>
        <v/>
      </c>
      <c r="G198" s="9" t="str">
        <f t="shared" si="70"/>
        <v/>
      </c>
      <c r="H198" s="9" t="str">
        <f t="shared" si="70"/>
        <v/>
      </c>
      <c r="I198" s="9" t="str">
        <f t="shared" si="70"/>
        <v/>
      </c>
      <c r="J198" s="9" t="str">
        <f t="shared" si="70"/>
        <v/>
      </c>
      <c r="K198" s="9" t="str">
        <f t="shared" si="70"/>
        <v/>
      </c>
      <c r="L198" s="9" t="str">
        <f t="shared" si="70"/>
        <v/>
      </c>
      <c r="M198" s="9" t="str">
        <f t="shared" si="70"/>
        <v/>
      </c>
      <c r="N198" s="9" t="str">
        <f t="shared" si="70"/>
        <v/>
      </c>
      <c r="O198" s="9" t="str">
        <f t="shared" si="70"/>
        <v/>
      </c>
      <c r="P198" s="9" t="str">
        <f t="shared" si="70"/>
        <v/>
      </c>
      <c r="Q198" s="9" t="str">
        <f t="shared" si="70"/>
        <v/>
      </c>
      <c r="R198" s="9" t="str">
        <f t="shared" si="70"/>
        <v/>
      </c>
      <c r="S198" s="9" t="str">
        <f t="shared" si="70"/>
        <v/>
      </c>
      <c r="T198" s="9" t="str">
        <f t="shared" si="70"/>
        <v/>
      </c>
      <c r="U198" s="9" t="str">
        <f t="shared" si="70"/>
        <v/>
      </c>
      <c r="V198" s="9" t="str">
        <f t="shared" si="70"/>
        <v/>
      </c>
      <c r="W198" s="9" t="str">
        <f t="shared" si="70"/>
        <v/>
      </c>
      <c r="X198" s="9" t="str">
        <f t="shared" si="70"/>
        <v/>
      </c>
      <c r="Y198" s="9" t="str">
        <f t="shared" si="70"/>
        <v/>
      </c>
      <c r="Z198" s="9" t="str">
        <f t="shared" si="70"/>
        <v/>
      </c>
      <c r="AA198" s="9" t="str">
        <f t="shared" si="70"/>
        <v/>
      </c>
      <c r="AB198" s="9" t="str">
        <f t="shared" si="70"/>
        <v/>
      </c>
      <c r="AC198" s="9" t="str">
        <f t="shared" si="70"/>
        <v/>
      </c>
      <c r="AD198" s="9" t="str">
        <f t="shared" si="70"/>
        <v/>
      </c>
      <c r="AE198" s="9" t="str">
        <f t="shared" si="70"/>
        <v/>
      </c>
      <c r="AF198" s="9" t="str">
        <f t="shared" si="70"/>
        <v/>
      </c>
      <c r="AG198" s="9" t="str">
        <f t="shared" si="70"/>
        <v/>
      </c>
      <c r="AH198" s="9" t="str">
        <f t="shared" si="70"/>
        <v/>
      </c>
    </row>
    <row r="199" spans="2:34" x14ac:dyDescent="0.25">
      <c r="B199" s="629"/>
      <c r="C199" s="561"/>
      <c r="D199" s="9" t="str">
        <f t="shared" ref="D199:AH199" si="71">IF(D163="","",M4A*D163)</f>
        <v/>
      </c>
      <c r="E199" s="9" t="str">
        <f t="shared" si="71"/>
        <v/>
      </c>
      <c r="F199" s="9" t="str">
        <f t="shared" si="71"/>
        <v/>
      </c>
      <c r="G199" s="9" t="str">
        <f t="shared" si="71"/>
        <v/>
      </c>
      <c r="H199" s="9" t="str">
        <f t="shared" si="71"/>
        <v/>
      </c>
      <c r="I199" s="9" t="str">
        <f t="shared" si="71"/>
        <v/>
      </c>
      <c r="J199" s="9" t="str">
        <f t="shared" si="71"/>
        <v/>
      </c>
      <c r="K199" s="9" t="str">
        <f t="shared" si="71"/>
        <v/>
      </c>
      <c r="L199" s="9" t="str">
        <f t="shared" si="71"/>
        <v/>
      </c>
      <c r="M199" s="9" t="str">
        <f t="shared" si="71"/>
        <v/>
      </c>
      <c r="N199" s="9" t="str">
        <f t="shared" si="71"/>
        <v/>
      </c>
      <c r="O199" s="9" t="str">
        <f t="shared" si="71"/>
        <v/>
      </c>
      <c r="P199" s="9" t="str">
        <f t="shared" si="71"/>
        <v/>
      </c>
      <c r="Q199" s="9" t="str">
        <f t="shared" si="71"/>
        <v/>
      </c>
      <c r="R199" s="9" t="str">
        <f t="shared" si="71"/>
        <v/>
      </c>
      <c r="S199" s="9" t="str">
        <f t="shared" si="71"/>
        <v/>
      </c>
      <c r="T199" s="9" t="str">
        <f t="shared" si="71"/>
        <v/>
      </c>
      <c r="U199" s="9" t="str">
        <f t="shared" si="71"/>
        <v/>
      </c>
      <c r="V199" s="9" t="str">
        <f t="shared" si="71"/>
        <v/>
      </c>
      <c r="W199" s="9" t="str">
        <f t="shared" si="71"/>
        <v/>
      </c>
      <c r="X199" s="9" t="str">
        <f t="shared" si="71"/>
        <v/>
      </c>
      <c r="Y199" s="9" t="str">
        <f t="shared" si="71"/>
        <v/>
      </c>
      <c r="Z199" s="9" t="str">
        <f t="shared" si="71"/>
        <v/>
      </c>
      <c r="AA199" s="9" t="str">
        <f t="shared" si="71"/>
        <v/>
      </c>
      <c r="AB199" s="9" t="str">
        <f t="shared" si="71"/>
        <v/>
      </c>
      <c r="AC199" s="9" t="str">
        <f t="shared" si="71"/>
        <v/>
      </c>
      <c r="AD199" s="9" t="str">
        <f t="shared" si="71"/>
        <v/>
      </c>
      <c r="AE199" s="9" t="str">
        <f t="shared" si="71"/>
        <v/>
      </c>
      <c r="AF199" s="9" t="str">
        <f t="shared" si="71"/>
        <v/>
      </c>
      <c r="AG199" s="9" t="str">
        <f t="shared" si="71"/>
        <v/>
      </c>
      <c r="AH199" s="9" t="str">
        <f t="shared" si="71"/>
        <v/>
      </c>
    </row>
    <row r="200" spans="2:34" x14ac:dyDescent="0.25">
      <c r="B200" s="660" t="s">
        <v>734</v>
      </c>
      <c r="C200" s="563"/>
      <c r="D200" s="336" t="str">
        <f t="shared" ref="D200:AH200" si="72">IF(D196="","",SUM(D196:D199))</f>
        <v/>
      </c>
      <c r="E200" s="336" t="str">
        <f t="shared" si="72"/>
        <v/>
      </c>
      <c r="F200" s="336" t="str">
        <f t="shared" si="72"/>
        <v/>
      </c>
      <c r="G200" s="336" t="str">
        <f t="shared" si="72"/>
        <v/>
      </c>
      <c r="H200" s="336" t="str">
        <f t="shared" si="72"/>
        <v/>
      </c>
      <c r="I200" s="336" t="str">
        <f t="shared" si="72"/>
        <v/>
      </c>
      <c r="J200" s="336" t="str">
        <f t="shared" si="72"/>
        <v/>
      </c>
      <c r="K200" s="336" t="str">
        <f t="shared" si="72"/>
        <v/>
      </c>
      <c r="L200" s="336" t="str">
        <f t="shared" si="72"/>
        <v/>
      </c>
      <c r="M200" s="336" t="str">
        <f t="shared" si="72"/>
        <v/>
      </c>
      <c r="N200" s="336" t="str">
        <f t="shared" si="72"/>
        <v/>
      </c>
      <c r="O200" s="336" t="str">
        <f t="shared" si="72"/>
        <v/>
      </c>
      <c r="P200" s="336" t="str">
        <f t="shared" si="72"/>
        <v/>
      </c>
      <c r="Q200" s="336" t="str">
        <f t="shared" si="72"/>
        <v/>
      </c>
      <c r="R200" s="336" t="str">
        <f t="shared" si="72"/>
        <v/>
      </c>
      <c r="S200" s="336" t="str">
        <f t="shared" si="72"/>
        <v/>
      </c>
      <c r="T200" s="336" t="str">
        <f t="shared" si="72"/>
        <v/>
      </c>
      <c r="U200" s="336" t="str">
        <f t="shared" si="72"/>
        <v/>
      </c>
      <c r="V200" s="336" t="str">
        <f t="shared" si="72"/>
        <v/>
      </c>
      <c r="W200" s="336" t="str">
        <f t="shared" si="72"/>
        <v/>
      </c>
      <c r="X200" s="336" t="str">
        <f t="shared" si="72"/>
        <v/>
      </c>
      <c r="Y200" s="336" t="str">
        <f t="shared" si="72"/>
        <v/>
      </c>
      <c r="Z200" s="336" t="str">
        <f t="shared" si="72"/>
        <v/>
      </c>
      <c r="AA200" s="336" t="str">
        <f t="shared" si="72"/>
        <v/>
      </c>
      <c r="AB200" s="336" t="str">
        <f t="shared" si="72"/>
        <v/>
      </c>
      <c r="AC200" s="336" t="str">
        <f t="shared" si="72"/>
        <v/>
      </c>
      <c r="AD200" s="336" t="str">
        <f t="shared" si="72"/>
        <v/>
      </c>
      <c r="AE200" s="336" t="str">
        <f t="shared" si="72"/>
        <v/>
      </c>
      <c r="AF200" s="336" t="str">
        <f t="shared" si="72"/>
        <v/>
      </c>
      <c r="AG200" s="336" t="str">
        <f t="shared" si="72"/>
        <v/>
      </c>
      <c r="AH200" s="336" t="str">
        <f t="shared" si="72"/>
        <v/>
      </c>
    </row>
    <row r="201" spans="2:34" x14ac:dyDescent="0.25">
      <c r="B201" s="229"/>
      <c r="C201" s="229"/>
    </row>
    <row r="202" spans="2:34" ht="15" customHeight="1" x14ac:dyDescent="0.25">
      <c r="B202" s="660" t="s">
        <v>752</v>
      </c>
      <c r="C202" s="558"/>
      <c r="D202" s="9" t="str">
        <f t="shared" ref="D202:AH202" si="73">IF(D166="","",M1A*D166)</f>
        <v/>
      </c>
      <c r="E202" s="9" t="str">
        <f t="shared" si="73"/>
        <v/>
      </c>
      <c r="F202" s="9" t="str">
        <f t="shared" si="73"/>
        <v/>
      </c>
      <c r="G202" s="9" t="str">
        <f t="shared" si="73"/>
        <v/>
      </c>
      <c r="H202" s="9" t="str">
        <f t="shared" si="73"/>
        <v/>
      </c>
      <c r="I202" s="9" t="str">
        <f t="shared" si="73"/>
        <v/>
      </c>
      <c r="J202" s="9" t="str">
        <f t="shared" si="73"/>
        <v/>
      </c>
      <c r="K202" s="9" t="str">
        <f t="shared" si="73"/>
        <v/>
      </c>
      <c r="L202" s="9" t="str">
        <f t="shared" si="73"/>
        <v/>
      </c>
      <c r="M202" s="9" t="str">
        <f t="shared" si="73"/>
        <v/>
      </c>
      <c r="N202" s="9" t="str">
        <f t="shared" si="73"/>
        <v/>
      </c>
      <c r="O202" s="9" t="str">
        <f t="shared" si="73"/>
        <v/>
      </c>
      <c r="P202" s="9" t="str">
        <f t="shared" si="73"/>
        <v/>
      </c>
      <c r="Q202" s="9" t="str">
        <f t="shared" si="73"/>
        <v/>
      </c>
      <c r="R202" s="9" t="str">
        <f t="shared" si="73"/>
        <v/>
      </c>
      <c r="S202" s="9" t="str">
        <f t="shared" si="73"/>
        <v/>
      </c>
      <c r="T202" s="9" t="str">
        <f t="shared" si="73"/>
        <v/>
      </c>
      <c r="U202" s="9" t="str">
        <f t="shared" si="73"/>
        <v/>
      </c>
      <c r="V202" s="9" t="str">
        <f t="shared" si="73"/>
        <v/>
      </c>
      <c r="W202" s="9" t="str">
        <f t="shared" si="73"/>
        <v/>
      </c>
      <c r="X202" s="9" t="str">
        <f t="shared" si="73"/>
        <v/>
      </c>
      <c r="Y202" s="9" t="str">
        <f t="shared" si="73"/>
        <v/>
      </c>
      <c r="Z202" s="9" t="str">
        <f t="shared" si="73"/>
        <v/>
      </c>
      <c r="AA202" s="9" t="str">
        <f t="shared" si="73"/>
        <v/>
      </c>
      <c r="AB202" s="9" t="str">
        <f t="shared" si="73"/>
        <v/>
      </c>
      <c r="AC202" s="9" t="str">
        <f t="shared" si="73"/>
        <v/>
      </c>
      <c r="AD202" s="9" t="str">
        <f t="shared" si="73"/>
        <v/>
      </c>
      <c r="AE202" s="9" t="str">
        <f t="shared" si="73"/>
        <v/>
      </c>
      <c r="AF202" s="9" t="str">
        <f t="shared" si="73"/>
        <v/>
      </c>
      <c r="AG202" s="9" t="str">
        <f t="shared" si="73"/>
        <v/>
      </c>
      <c r="AH202" s="9" t="str">
        <f t="shared" si="73"/>
        <v/>
      </c>
    </row>
    <row r="203" spans="2:34" x14ac:dyDescent="0.25">
      <c r="B203" s="628"/>
      <c r="C203" s="559"/>
      <c r="D203" s="9" t="str">
        <f t="shared" ref="D203:AH203" si="74">IF(D167="","",M2A*D167)</f>
        <v/>
      </c>
      <c r="E203" s="9" t="str">
        <f t="shared" si="74"/>
        <v/>
      </c>
      <c r="F203" s="9" t="str">
        <f t="shared" si="74"/>
        <v/>
      </c>
      <c r="G203" s="9" t="str">
        <f t="shared" si="74"/>
        <v/>
      </c>
      <c r="H203" s="9" t="str">
        <f t="shared" si="74"/>
        <v/>
      </c>
      <c r="I203" s="9" t="str">
        <f t="shared" si="74"/>
        <v/>
      </c>
      <c r="J203" s="9" t="str">
        <f t="shared" si="74"/>
        <v/>
      </c>
      <c r="K203" s="9" t="str">
        <f t="shared" si="74"/>
        <v/>
      </c>
      <c r="L203" s="9" t="str">
        <f t="shared" si="74"/>
        <v/>
      </c>
      <c r="M203" s="9" t="str">
        <f t="shared" si="74"/>
        <v/>
      </c>
      <c r="N203" s="9" t="str">
        <f t="shared" si="74"/>
        <v/>
      </c>
      <c r="O203" s="9" t="str">
        <f t="shared" si="74"/>
        <v/>
      </c>
      <c r="P203" s="9" t="str">
        <f t="shared" si="74"/>
        <v/>
      </c>
      <c r="Q203" s="9" t="str">
        <f t="shared" si="74"/>
        <v/>
      </c>
      <c r="R203" s="9" t="str">
        <f t="shared" si="74"/>
        <v/>
      </c>
      <c r="S203" s="9" t="str">
        <f t="shared" si="74"/>
        <v/>
      </c>
      <c r="T203" s="9" t="str">
        <f t="shared" si="74"/>
        <v/>
      </c>
      <c r="U203" s="9" t="str">
        <f t="shared" si="74"/>
        <v/>
      </c>
      <c r="V203" s="9" t="str">
        <f t="shared" si="74"/>
        <v/>
      </c>
      <c r="W203" s="9" t="str">
        <f t="shared" si="74"/>
        <v/>
      </c>
      <c r="X203" s="9" t="str">
        <f t="shared" si="74"/>
        <v/>
      </c>
      <c r="Y203" s="9" t="str">
        <f t="shared" si="74"/>
        <v/>
      </c>
      <c r="Z203" s="9" t="str">
        <f t="shared" si="74"/>
        <v/>
      </c>
      <c r="AA203" s="9" t="str">
        <f t="shared" si="74"/>
        <v/>
      </c>
      <c r="AB203" s="9" t="str">
        <f t="shared" si="74"/>
        <v/>
      </c>
      <c r="AC203" s="9" t="str">
        <f t="shared" si="74"/>
        <v/>
      </c>
      <c r="AD203" s="9" t="str">
        <f t="shared" si="74"/>
        <v/>
      </c>
      <c r="AE203" s="9" t="str">
        <f t="shared" si="74"/>
        <v/>
      </c>
      <c r="AF203" s="9" t="str">
        <f t="shared" si="74"/>
        <v/>
      </c>
      <c r="AG203" s="9" t="str">
        <f t="shared" si="74"/>
        <v/>
      </c>
      <c r="AH203" s="9" t="str">
        <f t="shared" si="74"/>
        <v/>
      </c>
    </row>
    <row r="204" spans="2:34" x14ac:dyDescent="0.25">
      <c r="B204" s="628"/>
      <c r="C204" s="559"/>
      <c r="D204" s="9" t="str">
        <f t="shared" ref="D204:AH204" si="75">IF(D168="","",M3A*D168)</f>
        <v/>
      </c>
      <c r="E204" s="9" t="str">
        <f t="shared" si="75"/>
        <v/>
      </c>
      <c r="F204" s="9" t="str">
        <f t="shared" si="75"/>
        <v/>
      </c>
      <c r="G204" s="9" t="str">
        <f t="shared" si="75"/>
        <v/>
      </c>
      <c r="H204" s="9" t="str">
        <f t="shared" si="75"/>
        <v/>
      </c>
      <c r="I204" s="9" t="str">
        <f t="shared" si="75"/>
        <v/>
      </c>
      <c r="J204" s="9" t="str">
        <f t="shared" si="75"/>
        <v/>
      </c>
      <c r="K204" s="9" t="str">
        <f t="shared" si="75"/>
        <v/>
      </c>
      <c r="L204" s="9" t="str">
        <f t="shared" si="75"/>
        <v/>
      </c>
      <c r="M204" s="9" t="str">
        <f t="shared" si="75"/>
        <v/>
      </c>
      <c r="N204" s="9" t="str">
        <f t="shared" si="75"/>
        <v/>
      </c>
      <c r="O204" s="9" t="str">
        <f t="shared" si="75"/>
        <v/>
      </c>
      <c r="P204" s="9" t="str">
        <f t="shared" si="75"/>
        <v/>
      </c>
      <c r="Q204" s="9" t="str">
        <f t="shared" si="75"/>
        <v/>
      </c>
      <c r="R204" s="9" t="str">
        <f t="shared" si="75"/>
        <v/>
      </c>
      <c r="S204" s="9" t="str">
        <f t="shared" si="75"/>
        <v/>
      </c>
      <c r="T204" s="9" t="str">
        <f t="shared" si="75"/>
        <v/>
      </c>
      <c r="U204" s="9" t="str">
        <f t="shared" si="75"/>
        <v/>
      </c>
      <c r="V204" s="9" t="str">
        <f t="shared" si="75"/>
        <v/>
      </c>
      <c r="W204" s="9" t="str">
        <f t="shared" si="75"/>
        <v/>
      </c>
      <c r="X204" s="9" t="str">
        <f t="shared" si="75"/>
        <v/>
      </c>
      <c r="Y204" s="9" t="str">
        <f t="shared" si="75"/>
        <v/>
      </c>
      <c r="Z204" s="9" t="str">
        <f t="shared" si="75"/>
        <v/>
      </c>
      <c r="AA204" s="9" t="str">
        <f t="shared" si="75"/>
        <v/>
      </c>
      <c r="AB204" s="9" t="str">
        <f t="shared" si="75"/>
        <v/>
      </c>
      <c r="AC204" s="9" t="str">
        <f t="shared" si="75"/>
        <v/>
      </c>
      <c r="AD204" s="9" t="str">
        <f t="shared" si="75"/>
        <v/>
      </c>
      <c r="AE204" s="9" t="str">
        <f t="shared" si="75"/>
        <v/>
      </c>
      <c r="AF204" s="9" t="str">
        <f t="shared" si="75"/>
        <v/>
      </c>
      <c r="AG204" s="9" t="str">
        <f t="shared" si="75"/>
        <v/>
      </c>
      <c r="AH204" s="9" t="str">
        <f t="shared" si="75"/>
        <v/>
      </c>
    </row>
    <row r="205" spans="2:34" x14ac:dyDescent="0.25">
      <c r="B205" s="629"/>
      <c r="C205" s="561"/>
      <c r="D205" s="9" t="str">
        <f t="shared" ref="D205:AH205" si="76">IF(D169="","",M4A*D169)</f>
        <v/>
      </c>
      <c r="E205" s="9" t="str">
        <f t="shared" si="76"/>
        <v/>
      </c>
      <c r="F205" s="9" t="str">
        <f t="shared" si="76"/>
        <v/>
      </c>
      <c r="G205" s="9" t="str">
        <f t="shared" si="76"/>
        <v/>
      </c>
      <c r="H205" s="9" t="str">
        <f t="shared" si="76"/>
        <v/>
      </c>
      <c r="I205" s="9" t="str">
        <f t="shared" si="76"/>
        <v/>
      </c>
      <c r="J205" s="9" t="str">
        <f t="shared" si="76"/>
        <v/>
      </c>
      <c r="K205" s="9" t="str">
        <f t="shared" si="76"/>
        <v/>
      </c>
      <c r="L205" s="9" t="str">
        <f t="shared" si="76"/>
        <v/>
      </c>
      <c r="M205" s="9" t="str">
        <f t="shared" si="76"/>
        <v/>
      </c>
      <c r="N205" s="9" t="str">
        <f t="shared" si="76"/>
        <v/>
      </c>
      <c r="O205" s="9" t="str">
        <f t="shared" si="76"/>
        <v/>
      </c>
      <c r="P205" s="9" t="str">
        <f t="shared" si="76"/>
        <v/>
      </c>
      <c r="Q205" s="9" t="str">
        <f t="shared" si="76"/>
        <v/>
      </c>
      <c r="R205" s="9" t="str">
        <f t="shared" si="76"/>
        <v/>
      </c>
      <c r="S205" s="9" t="str">
        <f t="shared" si="76"/>
        <v/>
      </c>
      <c r="T205" s="9" t="str">
        <f t="shared" si="76"/>
        <v/>
      </c>
      <c r="U205" s="9" t="str">
        <f t="shared" si="76"/>
        <v/>
      </c>
      <c r="V205" s="9" t="str">
        <f t="shared" si="76"/>
        <v/>
      </c>
      <c r="W205" s="9" t="str">
        <f t="shared" si="76"/>
        <v/>
      </c>
      <c r="X205" s="9" t="str">
        <f t="shared" si="76"/>
        <v/>
      </c>
      <c r="Y205" s="9" t="str">
        <f t="shared" si="76"/>
        <v/>
      </c>
      <c r="Z205" s="9" t="str">
        <f t="shared" si="76"/>
        <v/>
      </c>
      <c r="AA205" s="9" t="str">
        <f t="shared" si="76"/>
        <v/>
      </c>
      <c r="AB205" s="9" t="str">
        <f t="shared" si="76"/>
        <v/>
      </c>
      <c r="AC205" s="9" t="str">
        <f t="shared" si="76"/>
        <v/>
      </c>
      <c r="AD205" s="9" t="str">
        <f t="shared" si="76"/>
        <v/>
      </c>
      <c r="AE205" s="9" t="str">
        <f t="shared" si="76"/>
        <v/>
      </c>
      <c r="AF205" s="9" t="str">
        <f t="shared" si="76"/>
        <v/>
      </c>
      <c r="AG205" s="9" t="str">
        <f t="shared" si="76"/>
        <v/>
      </c>
      <c r="AH205" s="9" t="str">
        <f t="shared" si="76"/>
        <v/>
      </c>
    </row>
    <row r="206" spans="2:34" x14ac:dyDescent="0.25">
      <c r="B206" s="562" t="s">
        <v>734</v>
      </c>
      <c r="C206" s="563"/>
      <c r="D206" s="336" t="str">
        <f t="shared" ref="D206:AH206" si="77">IF(D202="","",SUM(D202:D205))</f>
        <v/>
      </c>
      <c r="E206" s="336" t="str">
        <f t="shared" si="77"/>
        <v/>
      </c>
      <c r="F206" s="336" t="str">
        <f t="shared" si="77"/>
        <v/>
      </c>
      <c r="G206" s="336" t="str">
        <f t="shared" si="77"/>
        <v/>
      </c>
      <c r="H206" s="336" t="str">
        <f t="shared" si="77"/>
        <v/>
      </c>
      <c r="I206" s="336" t="str">
        <f t="shared" si="77"/>
        <v/>
      </c>
      <c r="J206" s="336" t="str">
        <f t="shared" si="77"/>
        <v/>
      </c>
      <c r="K206" s="336" t="str">
        <f t="shared" si="77"/>
        <v/>
      </c>
      <c r="L206" s="336" t="str">
        <f t="shared" si="77"/>
        <v/>
      </c>
      <c r="M206" s="336" t="str">
        <f t="shared" si="77"/>
        <v/>
      </c>
      <c r="N206" s="336" t="str">
        <f t="shared" si="77"/>
        <v/>
      </c>
      <c r="O206" s="336" t="str">
        <f t="shared" si="77"/>
        <v/>
      </c>
      <c r="P206" s="336" t="str">
        <f t="shared" si="77"/>
        <v/>
      </c>
      <c r="Q206" s="336" t="str">
        <f t="shared" si="77"/>
        <v/>
      </c>
      <c r="R206" s="336" t="str">
        <f t="shared" si="77"/>
        <v/>
      </c>
      <c r="S206" s="336" t="str">
        <f t="shared" si="77"/>
        <v/>
      </c>
      <c r="T206" s="336" t="str">
        <f t="shared" si="77"/>
        <v/>
      </c>
      <c r="U206" s="336" t="str">
        <f t="shared" si="77"/>
        <v/>
      </c>
      <c r="V206" s="336" t="str">
        <f t="shared" si="77"/>
        <v/>
      </c>
      <c r="W206" s="336" t="str">
        <f t="shared" si="77"/>
        <v/>
      </c>
      <c r="X206" s="336" t="str">
        <f t="shared" si="77"/>
        <v/>
      </c>
      <c r="Y206" s="336" t="str">
        <f t="shared" si="77"/>
        <v/>
      </c>
      <c r="Z206" s="336" t="str">
        <f t="shared" si="77"/>
        <v/>
      </c>
      <c r="AA206" s="336" t="str">
        <f t="shared" si="77"/>
        <v/>
      </c>
      <c r="AB206" s="336" t="str">
        <f t="shared" si="77"/>
        <v/>
      </c>
      <c r="AC206" s="336" t="str">
        <f t="shared" si="77"/>
        <v/>
      </c>
      <c r="AD206" s="336" t="str">
        <f t="shared" si="77"/>
        <v/>
      </c>
      <c r="AE206" s="336" t="str">
        <f t="shared" si="77"/>
        <v/>
      </c>
      <c r="AF206" s="336" t="str">
        <f t="shared" si="77"/>
        <v/>
      </c>
      <c r="AG206" s="336" t="str">
        <f t="shared" si="77"/>
        <v/>
      </c>
      <c r="AH206" s="336" t="str">
        <f t="shared" si="77"/>
        <v/>
      </c>
    </row>
  </sheetData>
  <mergeCells count="49">
    <mergeCell ref="B27:C30"/>
    <mergeCell ref="B136:C139"/>
    <mergeCell ref="B94:C94"/>
    <mergeCell ref="B188:C188"/>
    <mergeCell ref="B206:C206"/>
    <mergeCell ref="B106:C106"/>
    <mergeCell ref="B90:C93"/>
    <mergeCell ref="B202:C205"/>
    <mergeCell ref="B53:C57"/>
    <mergeCell ref="B9:C9"/>
    <mergeCell ref="B22:C25"/>
    <mergeCell ref="B184:C187"/>
    <mergeCell ref="B131:C134"/>
    <mergeCell ref="B147:C151"/>
    <mergeCell ref="B96:C99"/>
    <mergeCell ref="B15:C15"/>
    <mergeCell ref="B65:C69"/>
    <mergeCell ref="B190:C193"/>
    <mergeCell ref="B121:C124"/>
    <mergeCell ref="B77:B81"/>
    <mergeCell ref="B42:C45"/>
    <mergeCell ref="B102:C105"/>
    <mergeCell ref="B19:C20"/>
    <mergeCell ref="B10:C13"/>
    <mergeCell ref="B141:C145"/>
    <mergeCell ref="B6:C7"/>
    <mergeCell ref="B59:C63"/>
    <mergeCell ref="B18:C18"/>
    <mergeCell ref="B84:C87"/>
    <mergeCell ref="B47:C51"/>
    <mergeCell ref="B37:C40"/>
    <mergeCell ref="B71:C75"/>
    <mergeCell ref="B88:C88"/>
    <mergeCell ref="B108:C111"/>
    <mergeCell ref="B126:C129"/>
    <mergeCell ref="B16:C17"/>
    <mergeCell ref="B112:C112"/>
    <mergeCell ref="B32:C35"/>
    <mergeCell ref="B200:C200"/>
    <mergeCell ref="B100:C100"/>
    <mergeCell ref="B171:B175"/>
    <mergeCell ref="B194:C194"/>
    <mergeCell ref="B116:C119"/>
    <mergeCell ref="B153:C157"/>
    <mergeCell ref="B178:C181"/>
    <mergeCell ref="B165:C169"/>
    <mergeCell ref="B196:C199"/>
    <mergeCell ref="B159:C163"/>
    <mergeCell ref="B182:C182"/>
  </mergeCells>
  <pageMargins left="0.7" right="0.7" top="0.75" bottom="0.75" header="0.3" footer="0.3"/>
  <pageSetup orientation="portrait" horizontalDpi="1200" verticalDpi="1200"/>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indLoadingExterior">
                <anchor moveWithCells="1" sizeWithCells="1">
                  <from>
                    <xdr:col>5</xdr:col>
                    <xdr:colOff>0</xdr:colOff>
                    <xdr:row>1</xdr:row>
                    <xdr:rowOff>0</xdr:rowOff>
                  </from>
                  <to>
                    <xdr:col>8</xdr:col>
                    <xdr:colOff>0</xdr:colOff>
                    <xdr:row>3</xdr:row>
                    <xdr:rowOff>180975</xdr:rowOff>
                  </to>
                </anchor>
              </controlPr>
            </control>
          </mc:Choice>
        </mc:AlternateContent>
        <mc:AlternateContent xmlns:mc="http://schemas.openxmlformats.org/markup-compatibility/2006">
          <mc:Choice Requires="x14">
            <control shapeId="6146" r:id="rId4" name="Button 2">
              <controlPr defaultSize="0" print="0" autoFill="0" autoPict="0" macro="[0]!WindloadingInterior">
                <anchor moveWithCells="1" sizeWithCells="1">
                  <from>
                    <xdr:col>9</xdr:col>
                    <xdr:colOff>0</xdr:colOff>
                    <xdr:row>1</xdr:row>
                    <xdr:rowOff>9525</xdr:rowOff>
                  </from>
                  <to>
                    <xdr:col>12</xdr:col>
                    <xdr:colOff>0</xdr:colOff>
                    <xdr:row>3</xdr:row>
                    <xdr:rowOff>180975</xdr:rowOff>
                  </to>
                </anchor>
              </controlPr>
            </control>
          </mc:Choice>
        </mc:AlternateContent>
        <mc:AlternateContent xmlns:mc="http://schemas.openxmlformats.org/markup-compatibility/2006">
          <mc:Choice Requires="x14">
            <control shapeId="6147" r:id="rId5" name="Button 3">
              <controlPr defaultSize="0" print="0" autoFill="0" autoPict="0" macro="[0]!ClearResults">
                <anchor moveWithCells="1" sizeWithCells="1">
                  <from>
                    <xdr:col>13</xdr:col>
                    <xdr:colOff>0</xdr:colOff>
                    <xdr:row>1</xdr:row>
                    <xdr:rowOff>0</xdr:rowOff>
                  </from>
                  <to>
                    <xdr:col>16</xdr:col>
                    <xdr:colOff>0</xdr:colOff>
                    <xdr:row>4</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BT130"/>
  <sheetViews>
    <sheetView workbookViewId="0">
      <selection activeCell="H11" sqref="H11"/>
    </sheetView>
  </sheetViews>
  <sheetFormatPr defaultColWidth="9.140625" defaultRowHeight="15" x14ac:dyDescent="0.25"/>
  <cols>
    <col min="1" max="20" width="11.28515625" style="12" customWidth="1"/>
    <col min="21" max="21" width="9.140625" style="12" customWidth="1"/>
    <col min="22" max="22" width="18" style="12" bestFit="1" customWidth="1"/>
    <col min="23" max="23" width="16.28515625" style="12" bestFit="1" customWidth="1"/>
    <col min="24" max="24" width="15" style="12" bestFit="1" customWidth="1"/>
    <col min="25" max="25" width="16.28515625" style="12" bestFit="1" customWidth="1"/>
    <col min="26" max="26" width="10.7109375" style="12" bestFit="1" customWidth="1"/>
    <col min="27" max="64" width="9.140625" style="12" customWidth="1"/>
    <col min="65" max="69" width="15.7109375" style="12" customWidth="1"/>
    <col min="70" max="70" width="9.140625" style="12" customWidth="1"/>
    <col min="71" max="71" width="9.85546875" style="12" bestFit="1" customWidth="1"/>
    <col min="72" max="72" width="12" style="12" bestFit="1" customWidth="1"/>
    <col min="73" max="73" width="9.140625" style="12" customWidth="1"/>
    <col min="74" max="16384" width="9.140625" style="12"/>
  </cols>
  <sheetData>
    <row r="1" spans="1:72" ht="15.75" customHeight="1" thickBot="1" x14ac:dyDescent="0.3"/>
    <row r="2" spans="1:72" ht="33.75" customHeight="1" thickBot="1" x14ac:dyDescent="0.3">
      <c r="A2" s="694" t="s">
        <v>753</v>
      </c>
      <c r="B2" s="547"/>
      <c r="C2" s="547"/>
      <c r="D2" s="547"/>
      <c r="E2" s="547"/>
      <c r="F2" s="547"/>
      <c r="G2" s="547"/>
      <c r="H2" s="547"/>
      <c r="I2" s="547"/>
      <c r="J2" s="547"/>
      <c r="K2" s="547"/>
      <c r="L2" s="547"/>
      <c r="M2" s="547"/>
      <c r="N2" s="547"/>
      <c r="O2" s="547"/>
      <c r="P2" s="568"/>
      <c r="Q2" s="468"/>
      <c r="R2" s="468"/>
      <c r="S2" s="469"/>
      <c r="T2" s="470"/>
      <c r="U2" s="471"/>
      <c r="V2" s="669" t="s">
        <v>754</v>
      </c>
      <c r="W2" s="670"/>
      <c r="X2" s="472"/>
      <c r="Y2" s="677" t="s">
        <v>755</v>
      </c>
      <c r="Z2" s="547"/>
      <c r="AA2" s="547"/>
      <c r="AB2" s="547"/>
      <c r="AC2" s="547"/>
      <c r="AD2" s="547"/>
      <c r="AE2" s="547"/>
      <c r="AF2" s="547"/>
      <c r="AG2" s="547"/>
      <c r="AH2" s="547"/>
      <c r="AI2" s="547"/>
      <c r="AJ2" s="547"/>
      <c r="AK2" s="547"/>
      <c r="AL2" s="547"/>
      <c r="AM2" s="547"/>
      <c r="AN2" s="547"/>
      <c r="AO2" s="547"/>
      <c r="AP2" s="548"/>
      <c r="AS2" s="677" t="s">
        <v>756</v>
      </c>
      <c r="AT2" s="547"/>
      <c r="AU2" s="547"/>
      <c r="AV2" s="547"/>
      <c r="AW2" s="547"/>
      <c r="AX2" s="547"/>
      <c r="AY2" s="547"/>
      <c r="AZ2" s="547"/>
      <c r="BA2" s="547"/>
      <c r="BB2" s="547"/>
      <c r="BC2" s="547"/>
      <c r="BD2" s="547"/>
      <c r="BE2" s="547"/>
      <c r="BF2" s="547"/>
      <c r="BG2" s="547"/>
      <c r="BH2" s="547"/>
      <c r="BI2" s="547"/>
      <c r="BJ2" s="548"/>
      <c r="BM2" s="691" t="s">
        <v>757</v>
      </c>
      <c r="BN2" s="548"/>
      <c r="BO2" s="138"/>
      <c r="BP2" s="691" t="s">
        <v>758</v>
      </c>
      <c r="BQ2" s="548"/>
      <c r="BS2" s="685" t="s">
        <v>759</v>
      </c>
      <c r="BT2" s="686"/>
    </row>
    <row r="3" spans="1:72" ht="15.75" customHeight="1" thickBot="1" x14ac:dyDescent="0.3">
      <c r="A3" s="473" t="str">
        <f>'GCM_Purlin 1.0'!AR3</f>
        <v>Zone</v>
      </c>
      <c r="B3" s="35" t="str">
        <f>'GCM_Purlin 1.0'!AS3</f>
        <v>Load Type</v>
      </c>
      <c r="C3" s="41" t="str">
        <f>'GCM_Purlin 1.0'!AU3</f>
        <v>Chord Divisions</v>
      </c>
      <c r="D3" s="698" t="str">
        <f>'GCM_Purlin 1.0'!AV3</f>
        <v>Spans</v>
      </c>
      <c r="E3" s="675"/>
      <c r="F3" s="675"/>
      <c r="G3" s="675"/>
      <c r="H3" s="675"/>
      <c r="I3" s="675"/>
      <c r="J3" s="675"/>
      <c r="K3" s="675"/>
      <c r="L3" s="675"/>
      <c r="M3" s="675"/>
      <c r="N3" s="675"/>
      <c r="O3" s="675"/>
      <c r="P3" s="675"/>
      <c r="Q3" s="675"/>
      <c r="R3" s="675"/>
      <c r="S3" s="676"/>
      <c r="T3" s="1"/>
      <c r="U3" s="708">
        <v>1</v>
      </c>
      <c r="V3" s="474" t="s">
        <v>521</v>
      </c>
      <c r="W3" s="475" t="e">
        <f>'GCM_Purlin 1.0'!BW7</f>
        <v>#VALUE!</v>
      </c>
      <c r="X3" s="476"/>
      <c r="Y3" s="363" t="s">
        <v>9</v>
      </c>
      <c r="Z3" s="365" t="s">
        <v>495</v>
      </c>
      <c r="AA3" s="697" t="s">
        <v>497</v>
      </c>
      <c r="AB3" s="551"/>
      <c r="AC3" s="551"/>
      <c r="AD3" s="551"/>
      <c r="AE3" s="551"/>
      <c r="AF3" s="551"/>
      <c r="AG3" s="551"/>
      <c r="AH3" s="551"/>
      <c r="AI3" s="551"/>
      <c r="AJ3" s="551"/>
      <c r="AK3" s="551"/>
      <c r="AL3" s="551"/>
      <c r="AM3" s="551"/>
      <c r="AN3" s="551"/>
      <c r="AO3" s="551"/>
      <c r="AP3" s="552"/>
      <c r="AS3" s="363" t="s">
        <v>9</v>
      </c>
      <c r="AT3" s="365" t="s">
        <v>495</v>
      </c>
      <c r="AU3" s="674" t="s">
        <v>497</v>
      </c>
      <c r="AV3" s="675"/>
      <c r="AW3" s="675"/>
      <c r="AX3" s="675"/>
      <c r="AY3" s="675"/>
      <c r="AZ3" s="675"/>
      <c r="BA3" s="675"/>
      <c r="BB3" s="675"/>
      <c r="BC3" s="675"/>
      <c r="BD3" s="675"/>
      <c r="BE3" s="675"/>
      <c r="BF3" s="675"/>
      <c r="BG3" s="675"/>
      <c r="BH3" s="675"/>
      <c r="BI3" s="675"/>
      <c r="BJ3" s="676"/>
      <c r="BM3" s="477" t="s">
        <v>0</v>
      </c>
      <c r="BN3" s="478">
        <f>MAX(AA4:AP5,AA14:AP15,AA47:AP48,AA57:AP58)*-1</f>
        <v>0</v>
      </c>
      <c r="BO3" s="138"/>
      <c r="BP3" s="477" t="s">
        <v>0</v>
      </c>
      <c r="BQ3" s="478">
        <f>MAX(AU4:BJ5,AU14:BJ15,AD47:AS48,AD57:AS58)*-1</f>
        <v>0</v>
      </c>
      <c r="BS3" s="479" t="s">
        <v>760</v>
      </c>
      <c r="BT3" s="480" t="e">
        <f>-1*((RSL*COS(Radians))*(((ML-(Twidth/2))*Inputs!B94)/144))/2</f>
        <v>#VALUE!</v>
      </c>
    </row>
    <row r="4" spans="1:72" ht="15.75" customHeight="1" thickBot="1" x14ac:dyDescent="0.3">
      <c r="A4" s="696">
        <v>1</v>
      </c>
      <c r="B4" s="637" t="str">
        <f>'GCM_Purlin 1.0'!AS4</f>
        <v>Uplift</v>
      </c>
      <c r="C4" s="481" t="str">
        <f>'GCM_Purlin 1.0'!AU4</f>
        <v>GCN1</v>
      </c>
      <c r="D4" s="482" t="str">
        <f>IFERROR('GCM_Purlin 1.0'!AV4*$W$3," ")</f>
        <v xml:space="preserve"> </v>
      </c>
      <c r="E4" s="482" t="str">
        <f>IFERROR('GCM_Purlin 1.0'!AW4*$W$3," ")</f>
        <v xml:space="preserve"> </v>
      </c>
      <c r="F4" s="482" t="str">
        <f>IFERROR('GCM_Purlin 1.0'!AX4*$W$3," ")</f>
        <v xml:space="preserve"> </v>
      </c>
      <c r="G4" s="482" t="str">
        <f>IFERROR('GCM_Purlin 1.0'!AY4*$W$3," ")</f>
        <v xml:space="preserve"> </v>
      </c>
      <c r="H4" s="482" t="str">
        <f>IFERROR('GCM_Purlin 1.0'!AZ4*$W$3," ")</f>
        <v xml:space="preserve"> </v>
      </c>
      <c r="I4" s="482" t="str">
        <f>IFERROR('GCM_Purlin 1.0'!BA4*$W$3," ")</f>
        <v xml:space="preserve"> </v>
      </c>
      <c r="J4" s="482" t="str">
        <f>IFERROR('GCM_Purlin 1.0'!BB4*$W$3," ")</f>
        <v xml:space="preserve"> </v>
      </c>
      <c r="K4" s="482" t="str">
        <f>IFERROR('GCM_Purlin 1.0'!BC4*$W$3," ")</f>
        <v xml:space="preserve"> </v>
      </c>
      <c r="L4" s="482" t="str">
        <f>IFERROR('GCM_Purlin 1.0'!BD4*$W$3," ")</f>
        <v xml:space="preserve"> </v>
      </c>
      <c r="M4" s="482" t="str">
        <f>IFERROR('GCM_Purlin 1.0'!BE4*$W$3," ")</f>
        <v xml:space="preserve"> </v>
      </c>
      <c r="N4" s="482" t="str">
        <f>IFERROR('GCM_Purlin 1.0'!BF4*$W$3," ")</f>
        <v xml:space="preserve"> </v>
      </c>
      <c r="O4" s="482" t="str">
        <f>IFERROR('GCM_Purlin 1.0'!BG4*$W$3," ")</f>
        <v xml:space="preserve"> </v>
      </c>
      <c r="P4" s="482" t="str">
        <f>IFERROR('GCM_Purlin 1.0'!BH4*$W$3," ")</f>
        <v xml:space="preserve"> </v>
      </c>
      <c r="Q4" s="482" t="str">
        <f>IFERROR('GCM_Purlin 1.0'!BI4*$W$3," ")</f>
        <v xml:space="preserve"> </v>
      </c>
      <c r="R4" s="482" t="str">
        <f>IFERROR('GCM_Purlin 1.0'!BJ4*$W$3," ")</f>
        <v xml:space="preserve"> </v>
      </c>
      <c r="S4" s="483" t="str">
        <f>IFERROR('GCM_Purlin 1.0'!BK4*$W$3," ")</f>
        <v xml:space="preserve"> </v>
      </c>
      <c r="T4" s="476"/>
      <c r="U4" s="604"/>
      <c r="V4" s="484" t="s">
        <v>761</v>
      </c>
      <c r="W4" s="485">
        <f>'GCM_Purlin 1.0'!BW10</f>
        <v>1</v>
      </c>
      <c r="Y4" s="704"/>
      <c r="Z4" s="688" t="s">
        <v>6</v>
      </c>
      <c r="AA4" s="486" t="str">
        <f t="shared" ref="AA4:AP4" si="0">IFERROR((D4*Quarter_Area)+(D5*Quarter_Area)," ")</f>
        <v xml:space="preserve"> </v>
      </c>
      <c r="AB4" s="487" t="str">
        <f t="shared" si="0"/>
        <v xml:space="preserve"> </v>
      </c>
      <c r="AC4" s="487" t="str">
        <f t="shared" si="0"/>
        <v xml:space="preserve"> </v>
      </c>
      <c r="AD4" s="487" t="str">
        <f t="shared" si="0"/>
        <v xml:space="preserve"> </v>
      </c>
      <c r="AE4" s="487" t="str">
        <f t="shared" si="0"/>
        <v xml:space="preserve"> </v>
      </c>
      <c r="AF4" s="487" t="str">
        <f t="shared" si="0"/>
        <v xml:space="preserve"> </v>
      </c>
      <c r="AG4" s="487" t="str">
        <f t="shared" si="0"/>
        <v xml:space="preserve"> </v>
      </c>
      <c r="AH4" s="487" t="str">
        <f t="shared" si="0"/>
        <v xml:space="preserve"> </v>
      </c>
      <c r="AI4" s="487" t="str">
        <f t="shared" si="0"/>
        <v xml:space="preserve"> </v>
      </c>
      <c r="AJ4" s="487" t="str">
        <f t="shared" si="0"/>
        <v xml:space="preserve"> </v>
      </c>
      <c r="AK4" s="487" t="str">
        <f t="shared" si="0"/>
        <v xml:space="preserve"> </v>
      </c>
      <c r="AL4" s="487" t="str">
        <f t="shared" si="0"/>
        <v xml:space="preserve"> </v>
      </c>
      <c r="AM4" s="487" t="str">
        <f t="shared" si="0"/>
        <v xml:space="preserve"> </v>
      </c>
      <c r="AN4" s="487" t="str">
        <f t="shared" si="0"/>
        <v xml:space="preserve"> </v>
      </c>
      <c r="AO4" s="487" t="str">
        <f t="shared" si="0"/>
        <v xml:space="preserve"> </v>
      </c>
      <c r="AP4" s="488" t="str">
        <f t="shared" si="0"/>
        <v xml:space="preserve"> </v>
      </c>
      <c r="AS4" s="704"/>
      <c r="AT4" s="707" t="s">
        <v>6</v>
      </c>
      <c r="AU4" s="489" t="str">
        <f t="shared" ref="AU4:BJ4" si="1">IFERROR((D4*Quarter_Area*(m1b-(Twidth/2)))+(D5*Quarter_Area*(m2b-(Twidth/2)))," ")</f>
        <v xml:space="preserve"> </v>
      </c>
      <c r="AV4" s="490" t="str">
        <f t="shared" si="1"/>
        <v xml:space="preserve"> </v>
      </c>
      <c r="AW4" s="490" t="str">
        <f t="shared" si="1"/>
        <v xml:space="preserve"> </v>
      </c>
      <c r="AX4" s="490" t="str">
        <f t="shared" si="1"/>
        <v xml:space="preserve"> </v>
      </c>
      <c r="AY4" s="490" t="str">
        <f t="shared" si="1"/>
        <v xml:space="preserve"> </v>
      </c>
      <c r="AZ4" s="490" t="str">
        <f t="shared" si="1"/>
        <v xml:space="preserve"> </v>
      </c>
      <c r="BA4" s="490" t="str">
        <f t="shared" si="1"/>
        <v xml:space="preserve"> </v>
      </c>
      <c r="BB4" s="490" t="str">
        <f t="shared" si="1"/>
        <v xml:space="preserve"> </v>
      </c>
      <c r="BC4" s="490" t="str">
        <f t="shared" si="1"/>
        <v xml:space="preserve"> </v>
      </c>
      <c r="BD4" s="490" t="str">
        <f t="shared" si="1"/>
        <v xml:space="preserve"> </v>
      </c>
      <c r="BE4" s="490" t="str">
        <f t="shared" si="1"/>
        <v xml:space="preserve"> </v>
      </c>
      <c r="BF4" s="490" t="str">
        <f t="shared" si="1"/>
        <v xml:space="preserve"> </v>
      </c>
      <c r="BG4" s="490" t="str">
        <f t="shared" si="1"/>
        <v xml:space="preserve"> </v>
      </c>
      <c r="BH4" s="490" t="str">
        <f t="shared" si="1"/>
        <v xml:space="preserve"> </v>
      </c>
      <c r="BI4" s="490" t="str">
        <f t="shared" si="1"/>
        <v xml:space="preserve"> </v>
      </c>
      <c r="BJ4" s="491" t="str">
        <f t="shared" si="1"/>
        <v xml:space="preserve"> </v>
      </c>
      <c r="BM4" s="477" t="s">
        <v>1</v>
      </c>
      <c r="BN4" s="478">
        <f>MAX(AA6:AP7,AA16:AP17,AA49:AP50,AA59:AP60)*-1</f>
        <v>0</v>
      </c>
      <c r="BO4" s="138"/>
      <c r="BP4" s="477" t="s">
        <v>1</v>
      </c>
      <c r="BQ4" s="478">
        <f>MAX(AU6:BJ7,AU16:BJ17,AD49:AS50,AD59:AS60)*-1</f>
        <v>0</v>
      </c>
      <c r="BS4" s="492" t="s">
        <v>762</v>
      </c>
      <c r="BT4" s="493" t="e">
        <f>BT3*(Inputs!B110-(Twidth/2))</f>
        <v>#VALUE!</v>
      </c>
    </row>
    <row r="5" spans="1:72" ht="15" customHeight="1" thickBot="1" x14ac:dyDescent="0.3">
      <c r="A5" s="604"/>
      <c r="B5" s="555"/>
      <c r="C5" s="494" t="str">
        <f>'GCM_Purlin 1.0'!AU5</f>
        <v>GCN2</v>
      </c>
      <c r="D5" s="476" t="str">
        <f>IFERROR('GCM_Purlin 1.0'!AV5*$W$3," ")</f>
        <v xml:space="preserve"> </v>
      </c>
      <c r="E5" s="476" t="str">
        <f>IFERROR('GCM_Purlin 1.0'!AW5*$W$3," ")</f>
        <v xml:space="preserve"> </v>
      </c>
      <c r="F5" s="476" t="str">
        <f>IFERROR('GCM_Purlin 1.0'!AX5*$W$3," ")</f>
        <v xml:space="preserve"> </v>
      </c>
      <c r="G5" s="476" t="str">
        <f>IFERROR('GCM_Purlin 1.0'!AY5*$W$3," ")</f>
        <v xml:space="preserve"> </v>
      </c>
      <c r="H5" s="476" t="str">
        <f>IFERROR('GCM_Purlin 1.0'!AZ5*$W$3," ")</f>
        <v xml:space="preserve"> </v>
      </c>
      <c r="I5" s="476" t="str">
        <f>IFERROR('GCM_Purlin 1.0'!BA5*$W$3," ")</f>
        <v xml:space="preserve"> </v>
      </c>
      <c r="J5" s="476" t="str">
        <f>IFERROR('GCM_Purlin 1.0'!BB5*$W$3," ")</f>
        <v xml:space="preserve"> </v>
      </c>
      <c r="K5" s="476" t="str">
        <f>IFERROR('GCM_Purlin 1.0'!BC5*$W$3," ")</f>
        <v xml:space="preserve"> </v>
      </c>
      <c r="L5" s="476" t="str">
        <f>IFERROR('GCM_Purlin 1.0'!BD5*$W$3," ")</f>
        <v xml:space="preserve"> </v>
      </c>
      <c r="M5" s="476" t="str">
        <f>IFERROR('GCM_Purlin 1.0'!BE5*$W$3," ")</f>
        <v xml:space="preserve"> </v>
      </c>
      <c r="N5" s="476" t="str">
        <f>IFERROR('GCM_Purlin 1.0'!BF5*$W$3," ")</f>
        <v xml:space="preserve"> </v>
      </c>
      <c r="O5" s="476" t="str">
        <f>IFERROR('GCM_Purlin 1.0'!BG5*$W$3," ")</f>
        <v xml:space="preserve"> </v>
      </c>
      <c r="P5" s="476" t="str">
        <f>IFERROR('GCM_Purlin 1.0'!BH5*$W$3," ")</f>
        <v xml:space="preserve"> </v>
      </c>
      <c r="Q5" s="476" t="str">
        <f>IFERROR('GCM_Purlin 1.0'!BI5*$W$3," ")</f>
        <v xml:space="preserve"> </v>
      </c>
      <c r="R5" s="476" t="str">
        <f>IFERROR('GCM_Purlin 1.0'!BJ5*$W$3," ")</f>
        <v xml:space="preserve"> </v>
      </c>
      <c r="S5" s="495" t="str">
        <f>IFERROR('GCM_Purlin 1.0'!BK5*$W$3," ")</f>
        <v xml:space="preserve"> </v>
      </c>
      <c r="T5" s="476"/>
      <c r="U5" s="604"/>
      <c r="V5" s="163" t="s">
        <v>763</v>
      </c>
      <c r="W5" s="485" t="e">
        <f>'GCM_Purlin 1.0'!BW13</f>
        <v>#VALUE!</v>
      </c>
      <c r="Y5" s="673"/>
      <c r="Z5" s="680"/>
      <c r="AA5" s="496" t="str">
        <f t="shared" ref="AA5:AP5" si="2">IFERROR((D6*Quarter_Area)+(D7*Quarter_Area)," ")</f>
        <v xml:space="preserve"> </v>
      </c>
      <c r="AB5" s="497" t="str">
        <f t="shared" si="2"/>
        <v xml:space="preserve"> </v>
      </c>
      <c r="AC5" s="497" t="str">
        <f t="shared" si="2"/>
        <v xml:space="preserve"> </v>
      </c>
      <c r="AD5" s="497" t="str">
        <f t="shared" si="2"/>
        <v xml:space="preserve"> </v>
      </c>
      <c r="AE5" s="497" t="str">
        <f t="shared" si="2"/>
        <v xml:space="preserve"> </v>
      </c>
      <c r="AF5" s="497" t="str">
        <f t="shared" si="2"/>
        <v xml:space="preserve"> </v>
      </c>
      <c r="AG5" s="497" t="str">
        <f t="shared" si="2"/>
        <v xml:space="preserve"> </v>
      </c>
      <c r="AH5" s="497" t="str">
        <f t="shared" si="2"/>
        <v xml:space="preserve"> </v>
      </c>
      <c r="AI5" s="497" t="str">
        <f t="shared" si="2"/>
        <v xml:space="preserve"> </v>
      </c>
      <c r="AJ5" s="497" t="str">
        <f t="shared" si="2"/>
        <v xml:space="preserve"> </v>
      </c>
      <c r="AK5" s="497" t="str">
        <f t="shared" si="2"/>
        <v xml:space="preserve"> </v>
      </c>
      <c r="AL5" s="497" t="str">
        <f t="shared" si="2"/>
        <v xml:space="preserve"> </v>
      </c>
      <c r="AM5" s="497" t="str">
        <f t="shared" si="2"/>
        <v xml:space="preserve"> </v>
      </c>
      <c r="AN5" s="497" t="str">
        <f t="shared" si="2"/>
        <v xml:space="preserve"> </v>
      </c>
      <c r="AO5" s="497" t="str">
        <f t="shared" si="2"/>
        <v xml:space="preserve"> </v>
      </c>
      <c r="AP5" s="498" t="str">
        <f t="shared" si="2"/>
        <v xml:space="preserve"> </v>
      </c>
      <c r="AS5" s="673"/>
      <c r="AT5" s="641"/>
      <c r="AU5" s="499" t="str">
        <f t="shared" ref="AU5:BJ5" si="3">IFERROR((D6*Quarter_Area*(m3b-(Twidth/2)))+(D7*Quarter_Area*(m4b-(Twidth/2)))," ")</f>
        <v xml:space="preserve"> </v>
      </c>
      <c r="AV5" s="200" t="str">
        <f t="shared" si="3"/>
        <v xml:space="preserve"> </v>
      </c>
      <c r="AW5" s="200" t="str">
        <f t="shared" si="3"/>
        <v xml:space="preserve"> </v>
      </c>
      <c r="AX5" s="200" t="str">
        <f t="shared" si="3"/>
        <v xml:space="preserve"> </v>
      </c>
      <c r="AY5" s="200" t="str">
        <f t="shared" si="3"/>
        <v xml:space="preserve"> </v>
      </c>
      <c r="AZ5" s="200" t="str">
        <f t="shared" si="3"/>
        <v xml:space="preserve"> </v>
      </c>
      <c r="BA5" s="200" t="str">
        <f t="shared" si="3"/>
        <v xml:space="preserve"> </v>
      </c>
      <c r="BB5" s="200" t="str">
        <f t="shared" si="3"/>
        <v xml:space="preserve"> </v>
      </c>
      <c r="BC5" s="200" t="str">
        <f t="shared" si="3"/>
        <v xml:space="preserve"> </v>
      </c>
      <c r="BD5" s="200" t="str">
        <f t="shared" si="3"/>
        <v xml:space="preserve"> </v>
      </c>
      <c r="BE5" s="200" t="str">
        <f t="shared" si="3"/>
        <v xml:space="preserve"> </v>
      </c>
      <c r="BF5" s="200" t="str">
        <f t="shared" si="3"/>
        <v xml:space="preserve"> </v>
      </c>
      <c r="BG5" s="200" t="str">
        <f t="shared" si="3"/>
        <v xml:space="preserve"> </v>
      </c>
      <c r="BH5" s="200" t="str">
        <f t="shared" si="3"/>
        <v xml:space="preserve"> </v>
      </c>
      <c r="BI5" s="200" t="str">
        <f t="shared" si="3"/>
        <v xml:space="preserve"> </v>
      </c>
      <c r="BJ5" s="500" t="str">
        <f t="shared" si="3"/>
        <v xml:space="preserve"> </v>
      </c>
      <c r="BM5" s="477" t="s">
        <v>764</v>
      </c>
      <c r="BN5" s="478">
        <f>MAX(AA8:AP9,AA18:AP19,AA51:AP52,AA61:AP62)*-1</f>
        <v>0</v>
      </c>
      <c r="BO5" s="138"/>
      <c r="BP5" s="477" t="s">
        <v>764</v>
      </c>
      <c r="BQ5" s="478">
        <f>MAX(AU8:BJ9,AU18:BJ19,AD51:AS52,AD61:AS62)*-1</f>
        <v>0</v>
      </c>
    </row>
    <row r="6" spans="1:72" ht="15.75" customHeight="1" thickBot="1" x14ac:dyDescent="0.3">
      <c r="A6" s="604"/>
      <c r="B6" s="555"/>
      <c r="C6" s="494" t="str">
        <f>'GCM_Purlin 1.0'!AU6</f>
        <v>GCN3</v>
      </c>
      <c r="D6" s="476" t="str">
        <f>IFERROR('GCM_Purlin 1.0'!AV6*$W$3," ")</f>
        <v xml:space="preserve"> </v>
      </c>
      <c r="E6" s="476" t="str">
        <f>IFERROR('GCM_Purlin 1.0'!AW6*$W$3," ")</f>
        <v xml:space="preserve"> </v>
      </c>
      <c r="F6" s="476" t="str">
        <f>IFERROR('GCM_Purlin 1.0'!AX6*$W$3," ")</f>
        <v xml:space="preserve"> </v>
      </c>
      <c r="G6" s="476" t="str">
        <f>IFERROR('GCM_Purlin 1.0'!AY6*$W$3," ")</f>
        <v xml:space="preserve"> </v>
      </c>
      <c r="H6" s="476" t="str">
        <f>IFERROR('GCM_Purlin 1.0'!AZ6*$W$3," ")</f>
        <v xml:space="preserve"> </v>
      </c>
      <c r="I6" s="476" t="str">
        <f>IFERROR('GCM_Purlin 1.0'!BA6*$W$3," ")</f>
        <v xml:space="preserve"> </v>
      </c>
      <c r="J6" s="476" t="str">
        <f>IFERROR('GCM_Purlin 1.0'!BB6*$W$3," ")</f>
        <v xml:space="preserve"> </v>
      </c>
      <c r="K6" s="476" t="str">
        <f>IFERROR('GCM_Purlin 1.0'!BC6*$W$3," ")</f>
        <v xml:space="preserve"> </v>
      </c>
      <c r="L6" s="476" t="str">
        <f>IFERROR('GCM_Purlin 1.0'!BD6*$W$3," ")</f>
        <v xml:space="preserve"> </v>
      </c>
      <c r="M6" s="476" t="str">
        <f>IFERROR('GCM_Purlin 1.0'!BE6*$W$3," ")</f>
        <v xml:space="preserve"> </v>
      </c>
      <c r="N6" s="476" t="str">
        <f>IFERROR('GCM_Purlin 1.0'!BF6*$W$3," ")</f>
        <v xml:space="preserve"> </v>
      </c>
      <c r="O6" s="476" t="str">
        <f>IFERROR('GCM_Purlin 1.0'!BG6*$W$3," ")</f>
        <v xml:space="preserve"> </v>
      </c>
      <c r="P6" s="476" t="str">
        <f>IFERROR('GCM_Purlin 1.0'!BH6*$W$3," ")</f>
        <v xml:space="preserve"> </v>
      </c>
      <c r="Q6" s="476" t="str">
        <f>IFERROR('GCM_Purlin 1.0'!BI6*$W$3," ")</f>
        <v xml:space="preserve"> </v>
      </c>
      <c r="R6" s="476" t="str">
        <f>IFERROR('GCM_Purlin 1.0'!BJ6*$W$3," ")</f>
        <v xml:space="preserve"> </v>
      </c>
      <c r="S6" s="495" t="str">
        <f>IFERROR('GCM_Purlin 1.0'!BK6*$W$3," ")</f>
        <v xml:space="preserve"> </v>
      </c>
      <c r="T6" s="476"/>
      <c r="U6" s="668"/>
      <c r="V6" s="501" t="s">
        <v>765</v>
      </c>
      <c r="W6" s="502" t="e">
        <f>'GCM_Purlin 1.0'!BW16</f>
        <v>#VALUE!</v>
      </c>
      <c r="Y6" s="683"/>
      <c r="Z6" s="680"/>
      <c r="AA6" s="496" t="str">
        <f t="shared" ref="AA6:AP6" si="4">IFERROR((D8*Quarter_Area)+(D9*Quarter_Area)," ")</f>
        <v xml:space="preserve"> </v>
      </c>
      <c r="AB6" s="497" t="str">
        <f t="shared" si="4"/>
        <v xml:space="preserve"> </v>
      </c>
      <c r="AC6" s="497" t="str">
        <f t="shared" si="4"/>
        <v xml:space="preserve"> </v>
      </c>
      <c r="AD6" s="497" t="str">
        <f t="shared" si="4"/>
        <v xml:space="preserve"> </v>
      </c>
      <c r="AE6" s="497" t="str">
        <f t="shared" si="4"/>
        <v xml:space="preserve"> </v>
      </c>
      <c r="AF6" s="497" t="str">
        <f t="shared" si="4"/>
        <v xml:space="preserve"> </v>
      </c>
      <c r="AG6" s="497" t="str">
        <f t="shared" si="4"/>
        <v xml:space="preserve"> </v>
      </c>
      <c r="AH6" s="497" t="str">
        <f t="shared" si="4"/>
        <v xml:space="preserve"> </v>
      </c>
      <c r="AI6" s="497" t="str">
        <f t="shared" si="4"/>
        <v xml:space="preserve"> </v>
      </c>
      <c r="AJ6" s="497" t="str">
        <f t="shared" si="4"/>
        <v xml:space="preserve"> </v>
      </c>
      <c r="AK6" s="497" t="str">
        <f t="shared" si="4"/>
        <v xml:space="preserve"> </v>
      </c>
      <c r="AL6" s="497" t="str">
        <f t="shared" si="4"/>
        <v xml:space="preserve"> </v>
      </c>
      <c r="AM6" s="497" t="str">
        <f t="shared" si="4"/>
        <v xml:space="preserve"> </v>
      </c>
      <c r="AN6" s="497" t="str">
        <f t="shared" si="4"/>
        <v xml:space="preserve"> </v>
      </c>
      <c r="AO6" s="497" t="str">
        <f t="shared" si="4"/>
        <v xml:space="preserve"> </v>
      </c>
      <c r="AP6" s="498" t="str">
        <f t="shared" si="4"/>
        <v xml:space="preserve"> </v>
      </c>
      <c r="AS6" s="683"/>
      <c r="AT6" s="641"/>
      <c r="AU6" s="496" t="str">
        <f t="shared" ref="AU6:BJ6" si="5">IFERROR((D8*Quarter_Area*(m1b-(Twidth/2)))+(D9*Quarter_Area*(m2b-(Twidth/2)))," ")</f>
        <v xml:space="preserve"> </v>
      </c>
      <c r="AV6" s="497" t="str">
        <f t="shared" si="5"/>
        <v xml:space="preserve"> </v>
      </c>
      <c r="AW6" s="497" t="str">
        <f t="shared" si="5"/>
        <v xml:space="preserve"> </v>
      </c>
      <c r="AX6" s="497" t="str">
        <f t="shared" si="5"/>
        <v xml:space="preserve"> </v>
      </c>
      <c r="AY6" s="497" t="str">
        <f t="shared" si="5"/>
        <v xml:space="preserve"> </v>
      </c>
      <c r="AZ6" s="497" t="str">
        <f t="shared" si="5"/>
        <v xml:space="preserve"> </v>
      </c>
      <c r="BA6" s="497" t="str">
        <f t="shared" si="5"/>
        <v xml:space="preserve"> </v>
      </c>
      <c r="BB6" s="497" t="str">
        <f t="shared" si="5"/>
        <v xml:space="preserve"> </v>
      </c>
      <c r="BC6" s="497" t="str">
        <f t="shared" si="5"/>
        <v xml:space="preserve"> </v>
      </c>
      <c r="BD6" s="497" t="str">
        <f t="shared" si="5"/>
        <v xml:space="preserve"> </v>
      </c>
      <c r="BE6" s="497" t="str">
        <f t="shared" si="5"/>
        <v xml:space="preserve"> </v>
      </c>
      <c r="BF6" s="497" t="str">
        <f t="shared" si="5"/>
        <v xml:space="preserve"> </v>
      </c>
      <c r="BG6" s="497" t="str">
        <f t="shared" si="5"/>
        <v xml:space="preserve"> </v>
      </c>
      <c r="BH6" s="497" t="str">
        <f t="shared" si="5"/>
        <v xml:space="preserve"> </v>
      </c>
      <c r="BI6" s="497" t="str">
        <f t="shared" si="5"/>
        <v xml:space="preserve"> </v>
      </c>
      <c r="BJ6" s="498" t="str">
        <f t="shared" si="5"/>
        <v xml:space="preserve"> </v>
      </c>
      <c r="BM6" s="477" t="s">
        <v>3</v>
      </c>
      <c r="BN6" s="478">
        <f>MAX(AA10:AP11,AA20:AP21,AA53:AP54,AA63:AP64)*-1</f>
        <v>0</v>
      </c>
      <c r="BO6" s="138"/>
      <c r="BP6" s="477" t="s">
        <v>3</v>
      </c>
      <c r="BQ6" s="478">
        <f>MAX(AU10:BJ11,AU20:BJ21,AD53:AS54,AD63:AS64)*-1</f>
        <v>0</v>
      </c>
      <c r="BS6" s="685" t="s">
        <v>766</v>
      </c>
      <c r="BT6" s="686"/>
    </row>
    <row r="7" spans="1:72" ht="15.75" customHeight="1" thickBot="1" x14ac:dyDescent="0.3">
      <c r="A7" s="604"/>
      <c r="B7" s="555"/>
      <c r="C7" s="503" t="str">
        <f>'GCM_Purlin 1.0'!AU7</f>
        <v>GCN4</v>
      </c>
      <c r="D7" s="504" t="str">
        <f>IFERROR('GCM_Purlin 1.0'!AV7*$W$3," ")</f>
        <v xml:space="preserve"> </v>
      </c>
      <c r="E7" s="504" t="str">
        <f>IFERROR('GCM_Purlin 1.0'!AW7*$W$3," ")</f>
        <v xml:space="preserve"> </v>
      </c>
      <c r="F7" s="504" t="str">
        <f>IFERROR('GCM_Purlin 1.0'!AX7*$W$3," ")</f>
        <v xml:space="preserve"> </v>
      </c>
      <c r="G7" s="504" t="str">
        <f>IFERROR('GCM_Purlin 1.0'!AY7*$W$3," ")</f>
        <v xml:space="preserve"> </v>
      </c>
      <c r="H7" s="504" t="str">
        <f>IFERROR('GCM_Purlin 1.0'!AZ7*$W$3," ")</f>
        <v xml:space="preserve"> </v>
      </c>
      <c r="I7" s="504" t="str">
        <f>IFERROR('GCM_Purlin 1.0'!BA7*$W$3," ")</f>
        <v xml:space="preserve"> </v>
      </c>
      <c r="J7" s="504" t="str">
        <f>IFERROR('GCM_Purlin 1.0'!BB7*$W$3," ")</f>
        <v xml:space="preserve"> </v>
      </c>
      <c r="K7" s="504" t="str">
        <f>IFERROR('GCM_Purlin 1.0'!BC7*$W$3," ")</f>
        <v xml:space="preserve"> </v>
      </c>
      <c r="L7" s="504" t="str">
        <f>IFERROR('GCM_Purlin 1.0'!BD7*$W$3," ")</f>
        <v xml:space="preserve"> </v>
      </c>
      <c r="M7" s="504" t="str">
        <f>IFERROR('GCM_Purlin 1.0'!BE7*$W$3," ")</f>
        <v xml:space="preserve"> </v>
      </c>
      <c r="N7" s="504" t="str">
        <f>IFERROR('GCM_Purlin 1.0'!BF7*$W$3," ")</f>
        <v xml:space="preserve"> </v>
      </c>
      <c r="O7" s="504" t="str">
        <f>IFERROR('GCM_Purlin 1.0'!BG7*$W$3," ")</f>
        <v xml:space="preserve"> </v>
      </c>
      <c r="P7" s="504" t="str">
        <f>IFERROR('GCM_Purlin 1.0'!BH7*$W$3," ")</f>
        <v xml:space="preserve"> </v>
      </c>
      <c r="Q7" s="504" t="str">
        <f>IFERROR('GCM_Purlin 1.0'!BI7*$W$3," ")</f>
        <v xml:space="preserve"> </v>
      </c>
      <c r="R7" s="504" t="str">
        <f>IFERROR('GCM_Purlin 1.0'!BJ7*$W$3," ")</f>
        <v xml:space="preserve"> </v>
      </c>
      <c r="S7" s="505" t="str">
        <f>IFERROR('GCM_Purlin 1.0'!BK7*$W$3," ")</f>
        <v xml:space="preserve"> </v>
      </c>
      <c r="T7" s="476"/>
      <c r="U7" s="692">
        <v>2</v>
      </c>
      <c r="V7" s="474" t="s">
        <v>521</v>
      </c>
      <c r="W7" s="506" t="e">
        <f>'GCM_Purlin 1.0'!BW19</f>
        <v>#VALUE!</v>
      </c>
      <c r="Y7" s="673"/>
      <c r="Z7" s="680"/>
      <c r="AA7" s="496" t="str">
        <f t="shared" ref="AA7:AP7" si="6">IFERROR((D10*Quarter_Area)+(D11*Quarter_Area)," ")</f>
        <v xml:space="preserve"> </v>
      </c>
      <c r="AB7" s="497" t="str">
        <f t="shared" si="6"/>
        <v xml:space="preserve"> </v>
      </c>
      <c r="AC7" s="497" t="str">
        <f t="shared" si="6"/>
        <v xml:space="preserve"> </v>
      </c>
      <c r="AD7" s="497" t="str">
        <f t="shared" si="6"/>
        <v xml:space="preserve"> </v>
      </c>
      <c r="AE7" s="497" t="str">
        <f t="shared" si="6"/>
        <v xml:space="preserve"> </v>
      </c>
      <c r="AF7" s="497" t="str">
        <f t="shared" si="6"/>
        <v xml:space="preserve"> </v>
      </c>
      <c r="AG7" s="497" t="str">
        <f t="shared" si="6"/>
        <v xml:space="preserve"> </v>
      </c>
      <c r="AH7" s="497" t="str">
        <f t="shared" si="6"/>
        <v xml:space="preserve"> </v>
      </c>
      <c r="AI7" s="497" t="str">
        <f t="shared" si="6"/>
        <v xml:space="preserve"> </v>
      </c>
      <c r="AJ7" s="497" t="str">
        <f t="shared" si="6"/>
        <v xml:space="preserve"> </v>
      </c>
      <c r="AK7" s="497" t="str">
        <f t="shared" si="6"/>
        <v xml:space="preserve"> </v>
      </c>
      <c r="AL7" s="497" t="str">
        <f t="shared" si="6"/>
        <v xml:space="preserve"> </v>
      </c>
      <c r="AM7" s="497" t="str">
        <f t="shared" si="6"/>
        <v xml:space="preserve"> </v>
      </c>
      <c r="AN7" s="497" t="str">
        <f t="shared" si="6"/>
        <v xml:space="preserve"> </v>
      </c>
      <c r="AO7" s="497" t="str">
        <f t="shared" si="6"/>
        <v xml:space="preserve"> </v>
      </c>
      <c r="AP7" s="498" t="str">
        <f t="shared" si="6"/>
        <v xml:space="preserve"> </v>
      </c>
      <c r="AS7" s="673"/>
      <c r="AT7" s="641"/>
      <c r="AU7" s="496" t="str">
        <f t="shared" ref="AU7:BJ7" si="7">IFERROR((D10*Quarter_Area*(m3b-(Twidth/2)))+(D11*Quarter_Area*(m4b-(Twidth/2)))," ")</f>
        <v xml:space="preserve"> </v>
      </c>
      <c r="AV7" s="497" t="str">
        <f t="shared" si="7"/>
        <v xml:space="preserve"> </v>
      </c>
      <c r="AW7" s="497" t="str">
        <f t="shared" si="7"/>
        <v xml:space="preserve"> </v>
      </c>
      <c r="AX7" s="497" t="str">
        <f t="shared" si="7"/>
        <v xml:space="preserve"> </v>
      </c>
      <c r="AY7" s="497" t="str">
        <f t="shared" si="7"/>
        <v xml:space="preserve"> </v>
      </c>
      <c r="AZ7" s="497" t="str">
        <f t="shared" si="7"/>
        <v xml:space="preserve"> </v>
      </c>
      <c r="BA7" s="497" t="str">
        <f t="shared" si="7"/>
        <v xml:space="preserve"> </v>
      </c>
      <c r="BB7" s="497" t="str">
        <f t="shared" si="7"/>
        <v xml:space="preserve"> </v>
      </c>
      <c r="BC7" s="497" t="str">
        <f t="shared" si="7"/>
        <v xml:space="preserve"> </v>
      </c>
      <c r="BD7" s="497" t="str">
        <f t="shared" si="7"/>
        <v xml:space="preserve"> </v>
      </c>
      <c r="BE7" s="497" t="str">
        <f t="shared" si="7"/>
        <v xml:space="preserve"> </v>
      </c>
      <c r="BF7" s="497" t="str">
        <f t="shared" si="7"/>
        <v xml:space="preserve"> </v>
      </c>
      <c r="BG7" s="497" t="str">
        <f t="shared" si="7"/>
        <v xml:space="preserve"> </v>
      </c>
      <c r="BH7" s="497" t="str">
        <f t="shared" si="7"/>
        <v xml:space="preserve"> </v>
      </c>
      <c r="BI7" s="497" t="str">
        <f t="shared" si="7"/>
        <v xml:space="preserve"> </v>
      </c>
      <c r="BJ7" s="498" t="str">
        <f t="shared" si="7"/>
        <v xml:space="preserve"> </v>
      </c>
      <c r="BM7" s="507" t="s">
        <v>4</v>
      </c>
      <c r="BN7" s="508">
        <f>MAX(AA12:AP13,AA22:AP23,AA55:AP56,AA65:AP66)*-1</f>
        <v>0</v>
      </c>
      <c r="BO7" s="138"/>
      <c r="BP7" s="507" t="s">
        <v>4</v>
      </c>
      <c r="BQ7" s="508">
        <f>MAX(AU12:BJ13,AU22:BJ23,AD55:AS56,AD65:AS66)*-1</f>
        <v>0</v>
      </c>
      <c r="BS7" s="509" t="s">
        <v>760</v>
      </c>
      <c r="BT7" s="510" t="e">
        <f>-1*((('Top of Pile Load Calcs'!X9*('Top of Pile Load Calcs'!X6/12))+(PL*((ML*MW)/144)))/2)*COS(Radians)</f>
        <v>#VALUE!</v>
      </c>
    </row>
    <row r="8" spans="1:72" ht="15.75" customHeight="1" thickBot="1" x14ac:dyDescent="0.3">
      <c r="A8" s="681">
        <v>2</v>
      </c>
      <c r="B8" s="555"/>
      <c r="C8" s="481" t="str">
        <f>'GCM_Purlin 1.0'!AU8</f>
        <v>GCN1</v>
      </c>
      <c r="D8" s="482" t="str">
        <f>IFERROR('GCM_Purlin 1.0'!AV8*$W$7," ")</f>
        <v xml:space="preserve"> </v>
      </c>
      <c r="E8" s="482" t="str">
        <f>IFERROR('GCM_Purlin 1.0'!AW8*$W$7," ")</f>
        <v xml:space="preserve"> </v>
      </c>
      <c r="F8" s="482" t="str">
        <f>IFERROR('GCM_Purlin 1.0'!AX8*$W$7," ")</f>
        <v xml:space="preserve"> </v>
      </c>
      <c r="G8" s="482" t="str">
        <f>IFERROR('GCM_Purlin 1.0'!AY8*$W$7," ")</f>
        <v xml:space="preserve"> </v>
      </c>
      <c r="H8" s="482" t="str">
        <f>IFERROR('GCM_Purlin 1.0'!AZ8*$W$7," ")</f>
        <v xml:space="preserve"> </v>
      </c>
      <c r="I8" s="482" t="str">
        <f>IFERROR('GCM_Purlin 1.0'!BA8*$W$7," ")</f>
        <v xml:space="preserve"> </v>
      </c>
      <c r="J8" s="482" t="str">
        <f>IFERROR('GCM_Purlin 1.0'!BB8*$W$7," ")</f>
        <v xml:space="preserve"> </v>
      </c>
      <c r="K8" s="482" t="str">
        <f>IFERROR('GCM_Purlin 1.0'!BC8*$W$7," ")</f>
        <v xml:space="preserve"> </v>
      </c>
      <c r="L8" s="482" t="str">
        <f>IFERROR('GCM_Purlin 1.0'!BD8*$W$7," ")</f>
        <v xml:space="preserve"> </v>
      </c>
      <c r="M8" s="482" t="str">
        <f>IFERROR('GCM_Purlin 1.0'!BE8*$W$7," ")</f>
        <v xml:space="preserve"> </v>
      </c>
      <c r="N8" s="482" t="str">
        <f>IFERROR('GCM_Purlin 1.0'!BF8*$W$7," ")</f>
        <v xml:space="preserve"> </v>
      </c>
      <c r="O8" s="482" t="str">
        <f>IFERROR('GCM_Purlin 1.0'!BG8*$W$7," ")</f>
        <v xml:space="preserve"> </v>
      </c>
      <c r="P8" s="482" t="str">
        <f>IFERROR('GCM_Purlin 1.0'!BH8*$W$7," ")</f>
        <v xml:space="preserve"> </v>
      </c>
      <c r="Q8" s="482" t="str">
        <f>IFERROR('GCM_Purlin 1.0'!BI8*$W$7," ")</f>
        <v xml:space="preserve"> </v>
      </c>
      <c r="R8" s="482" t="str">
        <f>IFERROR('GCM_Purlin 1.0'!BJ8*$W$7," ")</f>
        <v xml:space="preserve"> </v>
      </c>
      <c r="S8" s="483" t="str">
        <f>IFERROR('GCM_Purlin 1.0'!BK8*$W$7," ")</f>
        <v xml:space="preserve"> </v>
      </c>
      <c r="T8" s="476"/>
      <c r="U8" s="604"/>
      <c r="V8" s="484" t="s">
        <v>761</v>
      </c>
      <c r="W8" s="485" t="e">
        <f>'GCM_Purlin 1.0'!BW22</f>
        <v>#VALUE!</v>
      </c>
      <c r="Y8" s="678"/>
      <c r="Z8" s="680"/>
      <c r="AA8" s="496" t="str">
        <f t="shared" ref="AA8:AP8" si="8">IFERROR((D12*Quarter_Area)+(D13*Quarter_Area)," ")</f>
        <v xml:space="preserve"> </v>
      </c>
      <c r="AB8" s="497" t="str">
        <f t="shared" si="8"/>
        <v xml:space="preserve"> </v>
      </c>
      <c r="AC8" s="497" t="str">
        <f t="shared" si="8"/>
        <v xml:space="preserve"> </v>
      </c>
      <c r="AD8" s="497" t="str">
        <f t="shared" si="8"/>
        <v xml:space="preserve"> </v>
      </c>
      <c r="AE8" s="497" t="str">
        <f t="shared" si="8"/>
        <v xml:space="preserve"> </v>
      </c>
      <c r="AF8" s="497" t="str">
        <f t="shared" si="8"/>
        <v xml:space="preserve"> </v>
      </c>
      <c r="AG8" s="497" t="str">
        <f t="shared" si="8"/>
        <v xml:space="preserve"> </v>
      </c>
      <c r="AH8" s="497" t="str">
        <f t="shared" si="8"/>
        <v xml:space="preserve"> </v>
      </c>
      <c r="AI8" s="497" t="str">
        <f t="shared" si="8"/>
        <v xml:space="preserve"> </v>
      </c>
      <c r="AJ8" s="497" t="str">
        <f t="shared" si="8"/>
        <v xml:space="preserve"> </v>
      </c>
      <c r="AK8" s="497" t="str">
        <f t="shared" si="8"/>
        <v xml:space="preserve"> </v>
      </c>
      <c r="AL8" s="497" t="str">
        <f t="shared" si="8"/>
        <v xml:space="preserve"> </v>
      </c>
      <c r="AM8" s="497" t="str">
        <f t="shared" si="8"/>
        <v xml:space="preserve"> </v>
      </c>
      <c r="AN8" s="497" t="str">
        <f t="shared" si="8"/>
        <v xml:space="preserve"> </v>
      </c>
      <c r="AO8" s="497" t="str">
        <f t="shared" si="8"/>
        <v xml:space="preserve"> </v>
      </c>
      <c r="AP8" s="498" t="str">
        <f t="shared" si="8"/>
        <v xml:space="preserve"> </v>
      </c>
      <c r="AS8" s="678"/>
      <c r="AT8" s="641"/>
      <c r="AU8" s="496" t="str">
        <f t="shared" ref="AU8:BJ8" si="9">IFERROR((D12*Quarter_Area*(m1b-(Twidth/2)))+(D13*Quarter_Area*(m2b-(Twidth/2)))," ")</f>
        <v xml:space="preserve"> </v>
      </c>
      <c r="AV8" s="497" t="str">
        <f t="shared" si="9"/>
        <v xml:space="preserve"> </v>
      </c>
      <c r="AW8" s="497" t="str">
        <f t="shared" si="9"/>
        <v xml:space="preserve"> </v>
      </c>
      <c r="AX8" s="497" t="str">
        <f t="shared" si="9"/>
        <v xml:space="preserve"> </v>
      </c>
      <c r="AY8" s="497" t="str">
        <f t="shared" si="9"/>
        <v xml:space="preserve"> </v>
      </c>
      <c r="AZ8" s="497" t="str">
        <f t="shared" si="9"/>
        <v xml:space="preserve"> </v>
      </c>
      <c r="BA8" s="497" t="str">
        <f t="shared" si="9"/>
        <v xml:space="preserve"> </v>
      </c>
      <c r="BB8" s="497" t="str">
        <f t="shared" si="9"/>
        <v xml:space="preserve"> </v>
      </c>
      <c r="BC8" s="497" t="str">
        <f t="shared" si="9"/>
        <v xml:space="preserve"> </v>
      </c>
      <c r="BD8" s="497" t="str">
        <f t="shared" si="9"/>
        <v xml:space="preserve"> </v>
      </c>
      <c r="BE8" s="497" t="str">
        <f t="shared" si="9"/>
        <v xml:space="preserve"> </v>
      </c>
      <c r="BF8" s="497" t="str">
        <f t="shared" si="9"/>
        <v xml:space="preserve"> </v>
      </c>
      <c r="BG8" s="497" t="str">
        <f t="shared" si="9"/>
        <v xml:space="preserve"> </v>
      </c>
      <c r="BH8" s="497" t="str">
        <f t="shared" si="9"/>
        <v xml:space="preserve"> </v>
      </c>
      <c r="BI8" s="497" t="str">
        <f t="shared" si="9"/>
        <v xml:space="preserve"> </v>
      </c>
      <c r="BJ8" s="498" t="str">
        <f t="shared" si="9"/>
        <v xml:space="preserve"> </v>
      </c>
      <c r="BM8" s="138"/>
      <c r="BN8" s="138"/>
      <c r="BO8" s="138"/>
      <c r="BP8" s="138"/>
      <c r="BQ8" s="138"/>
      <c r="BS8" s="492" t="s">
        <v>762</v>
      </c>
      <c r="BT8" s="493" t="e">
        <f>BT7*(Inputs!B110-(Twidth/2))</f>
        <v>#VALUE!</v>
      </c>
    </row>
    <row r="9" spans="1:72" x14ac:dyDescent="0.25">
      <c r="A9" s="604"/>
      <c r="B9" s="555"/>
      <c r="C9" s="494" t="str">
        <f>'GCM_Purlin 1.0'!AU9</f>
        <v>GCN2</v>
      </c>
      <c r="D9" s="476" t="str">
        <f>IFERROR('GCM_Purlin 1.0'!AV9*$W$7," ")</f>
        <v xml:space="preserve"> </v>
      </c>
      <c r="E9" s="476" t="str">
        <f>IFERROR('GCM_Purlin 1.0'!AW9*$W$7," ")</f>
        <v xml:space="preserve"> </v>
      </c>
      <c r="F9" s="476" t="str">
        <f>IFERROR('GCM_Purlin 1.0'!AX9*$W$7," ")</f>
        <v xml:space="preserve"> </v>
      </c>
      <c r="G9" s="476" t="str">
        <f>IFERROR('GCM_Purlin 1.0'!AY9*$W$7," ")</f>
        <v xml:space="preserve"> </v>
      </c>
      <c r="H9" s="476" t="str">
        <f>IFERROR('GCM_Purlin 1.0'!AZ9*$W$7," ")</f>
        <v xml:space="preserve"> </v>
      </c>
      <c r="I9" s="476" t="str">
        <f>IFERROR('GCM_Purlin 1.0'!BA9*$W$7," ")</f>
        <v xml:space="preserve"> </v>
      </c>
      <c r="J9" s="476" t="str">
        <f>IFERROR('GCM_Purlin 1.0'!BB9*$W$7," ")</f>
        <v xml:space="preserve"> </v>
      </c>
      <c r="K9" s="476" t="str">
        <f>IFERROR('GCM_Purlin 1.0'!BC9*$W$7," ")</f>
        <v xml:space="preserve"> </v>
      </c>
      <c r="L9" s="476" t="str">
        <f>IFERROR('GCM_Purlin 1.0'!BD9*$W$7," ")</f>
        <v xml:space="preserve"> </v>
      </c>
      <c r="M9" s="476" t="str">
        <f>IFERROR('GCM_Purlin 1.0'!BE9*$W$7," ")</f>
        <v xml:space="preserve"> </v>
      </c>
      <c r="N9" s="476" t="str">
        <f>IFERROR('GCM_Purlin 1.0'!BF9*$W$7," ")</f>
        <v xml:space="preserve"> </v>
      </c>
      <c r="O9" s="476" t="str">
        <f>IFERROR('GCM_Purlin 1.0'!BG9*$W$7," ")</f>
        <v xml:space="preserve"> </v>
      </c>
      <c r="P9" s="476" t="str">
        <f>IFERROR('GCM_Purlin 1.0'!BH9*$W$7," ")</f>
        <v xml:space="preserve"> </v>
      </c>
      <c r="Q9" s="476" t="str">
        <f>IFERROR('GCM_Purlin 1.0'!BI9*$W$7," ")</f>
        <v xml:space="preserve"> </v>
      </c>
      <c r="R9" s="476" t="str">
        <f>IFERROR('GCM_Purlin 1.0'!BJ9*$W$7," ")</f>
        <v xml:space="preserve"> </v>
      </c>
      <c r="S9" s="495" t="str">
        <f>IFERROR('GCM_Purlin 1.0'!BK9*$W$7," ")</f>
        <v xml:space="preserve"> </v>
      </c>
      <c r="T9" s="476"/>
      <c r="U9" s="604"/>
      <c r="V9" s="163" t="s">
        <v>763</v>
      </c>
      <c r="W9" s="485" t="e">
        <f>'GCM_Purlin 1.0'!BW25</f>
        <v>#VALUE!</v>
      </c>
      <c r="Y9" s="673"/>
      <c r="Z9" s="680"/>
      <c r="AA9" s="496" t="str">
        <f t="shared" ref="AA9:AP9" si="10">IFERROR((D14*Quarter_Area)+(D15*Quarter_Area)," ")</f>
        <v xml:space="preserve"> </v>
      </c>
      <c r="AB9" s="497" t="str">
        <f t="shared" si="10"/>
        <v xml:space="preserve"> </v>
      </c>
      <c r="AC9" s="497" t="str">
        <f t="shared" si="10"/>
        <v xml:space="preserve"> </v>
      </c>
      <c r="AD9" s="497" t="str">
        <f t="shared" si="10"/>
        <v xml:space="preserve"> </v>
      </c>
      <c r="AE9" s="497" t="str">
        <f t="shared" si="10"/>
        <v xml:space="preserve"> </v>
      </c>
      <c r="AF9" s="497" t="str">
        <f t="shared" si="10"/>
        <v xml:space="preserve"> </v>
      </c>
      <c r="AG9" s="497" t="str">
        <f t="shared" si="10"/>
        <v xml:space="preserve"> </v>
      </c>
      <c r="AH9" s="497" t="str">
        <f t="shared" si="10"/>
        <v xml:space="preserve"> </v>
      </c>
      <c r="AI9" s="497" t="str">
        <f t="shared" si="10"/>
        <v xml:space="preserve"> </v>
      </c>
      <c r="AJ9" s="497" t="str">
        <f t="shared" si="10"/>
        <v xml:space="preserve"> </v>
      </c>
      <c r="AK9" s="497" t="str">
        <f t="shared" si="10"/>
        <v xml:space="preserve"> </v>
      </c>
      <c r="AL9" s="497" t="str">
        <f t="shared" si="10"/>
        <v xml:space="preserve"> </v>
      </c>
      <c r="AM9" s="497" t="str">
        <f t="shared" si="10"/>
        <v xml:space="preserve"> </v>
      </c>
      <c r="AN9" s="497" t="str">
        <f t="shared" si="10"/>
        <v xml:space="preserve"> </v>
      </c>
      <c r="AO9" s="497" t="str">
        <f t="shared" si="10"/>
        <v xml:space="preserve"> </v>
      </c>
      <c r="AP9" s="498" t="str">
        <f t="shared" si="10"/>
        <v xml:space="preserve"> </v>
      </c>
      <c r="AS9" s="673"/>
      <c r="AT9" s="641"/>
      <c r="AU9" s="496" t="str">
        <f t="shared" ref="AU9:BJ9" si="11">IFERROR((D14*Quarter_Area*(m3b-(Twidth/2)))+(D15*Quarter_Area*(m4b-(Twidth/2)))," ")</f>
        <v xml:space="preserve"> </v>
      </c>
      <c r="AV9" s="497" t="str">
        <f t="shared" si="11"/>
        <v xml:space="preserve"> </v>
      </c>
      <c r="AW9" s="497" t="str">
        <f t="shared" si="11"/>
        <v xml:space="preserve"> </v>
      </c>
      <c r="AX9" s="497" t="str">
        <f t="shared" si="11"/>
        <v xml:space="preserve"> </v>
      </c>
      <c r="AY9" s="497" t="str">
        <f t="shared" si="11"/>
        <v xml:space="preserve"> </v>
      </c>
      <c r="AZ9" s="497" t="str">
        <f t="shared" si="11"/>
        <v xml:space="preserve"> </v>
      </c>
      <c r="BA9" s="497" t="str">
        <f t="shared" si="11"/>
        <v xml:space="preserve"> </v>
      </c>
      <c r="BB9" s="497" t="str">
        <f t="shared" si="11"/>
        <v xml:space="preserve"> </v>
      </c>
      <c r="BC9" s="497" t="str">
        <f t="shared" si="11"/>
        <v xml:space="preserve"> </v>
      </c>
      <c r="BD9" s="497" t="str">
        <f t="shared" si="11"/>
        <v xml:space="preserve"> </v>
      </c>
      <c r="BE9" s="497" t="str">
        <f t="shared" si="11"/>
        <v xml:space="preserve"> </v>
      </c>
      <c r="BF9" s="497" t="str">
        <f t="shared" si="11"/>
        <v xml:space="preserve"> </v>
      </c>
      <c r="BG9" s="497" t="str">
        <f t="shared" si="11"/>
        <v xml:space="preserve"> </v>
      </c>
      <c r="BH9" s="497" t="str">
        <f t="shared" si="11"/>
        <v xml:space="preserve"> </v>
      </c>
      <c r="BI9" s="497" t="str">
        <f t="shared" si="11"/>
        <v xml:space="preserve"> </v>
      </c>
      <c r="BJ9" s="498" t="str">
        <f t="shared" si="11"/>
        <v xml:space="preserve"> </v>
      </c>
      <c r="BM9" s="682" t="s">
        <v>767</v>
      </c>
      <c r="BN9" s="548"/>
      <c r="BO9" s="138"/>
      <c r="BP9" s="682" t="s">
        <v>768</v>
      </c>
      <c r="BQ9" s="548"/>
    </row>
    <row r="10" spans="1:72" ht="15.75" customHeight="1" thickBot="1" x14ac:dyDescent="0.3">
      <c r="A10" s="604"/>
      <c r="B10" s="555"/>
      <c r="C10" s="494" t="str">
        <f>'GCM_Purlin 1.0'!AU10</f>
        <v>GCN3</v>
      </c>
      <c r="D10" s="476" t="str">
        <f>IFERROR('GCM_Purlin 1.0'!AV10*$W$7," ")</f>
        <v xml:space="preserve"> </v>
      </c>
      <c r="E10" s="476" t="str">
        <f>IFERROR('GCM_Purlin 1.0'!AW10*$W$7," ")</f>
        <v xml:space="preserve"> </v>
      </c>
      <c r="F10" s="476" t="str">
        <f>IFERROR('GCM_Purlin 1.0'!AX10*$W$7," ")</f>
        <v xml:space="preserve"> </v>
      </c>
      <c r="G10" s="476" t="str">
        <f>IFERROR('GCM_Purlin 1.0'!AY10*$W$7," ")</f>
        <v xml:space="preserve"> </v>
      </c>
      <c r="H10" s="476" t="str">
        <f>IFERROR('GCM_Purlin 1.0'!AZ10*$W$7," ")</f>
        <v xml:space="preserve"> </v>
      </c>
      <c r="I10" s="476" t="str">
        <f>IFERROR('GCM_Purlin 1.0'!BA10*$W$7," ")</f>
        <v xml:space="preserve"> </v>
      </c>
      <c r="J10" s="476" t="str">
        <f>IFERROR('GCM_Purlin 1.0'!BB10*$W$7," ")</f>
        <v xml:space="preserve"> </v>
      </c>
      <c r="K10" s="476" t="str">
        <f>IFERROR('GCM_Purlin 1.0'!BC10*$W$7," ")</f>
        <v xml:space="preserve"> </v>
      </c>
      <c r="L10" s="476" t="str">
        <f>IFERROR('GCM_Purlin 1.0'!BD10*$W$7," ")</f>
        <v xml:space="preserve"> </v>
      </c>
      <c r="M10" s="476" t="str">
        <f>IFERROR('GCM_Purlin 1.0'!BE10*$W$7," ")</f>
        <v xml:space="preserve"> </v>
      </c>
      <c r="N10" s="476" t="str">
        <f>IFERROR('GCM_Purlin 1.0'!BF10*$W$7," ")</f>
        <v xml:space="preserve"> </v>
      </c>
      <c r="O10" s="476" t="str">
        <f>IFERROR('GCM_Purlin 1.0'!BG10*$W$7," ")</f>
        <v xml:space="preserve"> </v>
      </c>
      <c r="P10" s="476" t="str">
        <f>IFERROR('GCM_Purlin 1.0'!BH10*$W$7," ")</f>
        <v xml:space="preserve"> </v>
      </c>
      <c r="Q10" s="476" t="str">
        <f>IFERROR('GCM_Purlin 1.0'!BI10*$W$7," ")</f>
        <v xml:space="preserve"> </v>
      </c>
      <c r="R10" s="476" t="str">
        <f>IFERROR('GCM_Purlin 1.0'!BJ10*$W$7," ")</f>
        <v xml:space="preserve"> </v>
      </c>
      <c r="S10" s="495" t="str">
        <f>IFERROR('GCM_Purlin 1.0'!BK10*$W$7," ")</f>
        <v xml:space="preserve"> </v>
      </c>
      <c r="T10" s="476"/>
      <c r="U10" s="668"/>
      <c r="V10" s="501" t="s">
        <v>765</v>
      </c>
      <c r="W10" s="502" t="e">
        <f>'GCM_Purlin 1.0'!BW28</f>
        <v>#VALUE!</v>
      </c>
      <c r="Y10" s="672"/>
      <c r="Z10" s="680"/>
      <c r="AA10" s="496" t="str">
        <f t="shared" ref="AA10:AP10" si="12">IFERROR((D16*Quarter_Area)+(D17*Quarter_Area)," ")</f>
        <v xml:space="preserve"> </v>
      </c>
      <c r="AB10" s="497" t="str">
        <f t="shared" si="12"/>
        <v xml:space="preserve"> </v>
      </c>
      <c r="AC10" s="497" t="str">
        <f t="shared" si="12"/>
        <v xml:space="preserve"> </v>
      </c>
      <c r="AD10" s="497" t="str">
        <f t="shared" si="12"/>
        <v xml:space="preserve"> </v>
      </c>
      <c r="AE10" s="497" t="str">
        <f t="shared" si="12"/>
        <v xml:space="preserve"> </v>
      </c>
      <c r="AF10" s="497" t="str">
        <f t="shared" si="12"/>
        <v xml:space="preserve"> </v>
      </c>
      <c r="AG10" s="497" t="str">
        <f t="shared" si="12"/>
        <v xml:space="preserve"> </v>
      </c>
      <c r="AH10" s="497" t="str">
        <f t="shared" si="12"/>
        <v xml:space="preserve"> </v>
      </c>
      <c r="AI10" s="497" t="str">
        <f t="shared" si="12"/>
        <v xml:space="preserve"> </v>
      </c>
      <c r="AJ10" s="497" t="str">
        <f t="shared" si="12"/>
        <v xml:space="preserve"> </v>
      </c>
      <c r="AK10" s="497" t="str">
        <f t="shared" si="12"/>
        <v xml:space="preserve"> </v>
      </c>
      <c r="AL10" s="497" t="str">
        <f t="shared" si="12"/>
        <v xml:space="preserve"> </v>
      </c>
      <c r="AM10" s="497" t="str">
        <f t="shared" si="12"/>
        <v xml:space="preserve"> </v>
      </c>
      <c r="AN10" s="497" t="str">
        <f t="shared" si="12"/>
        <v xml:space="preserve"> </v>
      </c>
      <c r="AO10" s="497" t="str">
        <f t="shared" si="12"/>
        <v xml:space="preserve"> </v>
      </c>
      <c r="AP10" s="498" t="str">
        <f t="shared" si="12"/>
        <v xml:space="preserve"> </v>
      </c>
      <c r="AS10" s="672"/>
      <c r="AT10" s="641"/>
      <c r="AU10" s="496" t="str">
        <f t="shared" ref="AU10:BJ10" si="13">IFERROR((D16*Quarter_Area*(m1b-(Twidth/2)))+(D17*Quarter_Area*(m2b-(Twidth/2)))," ")</f>
        <v xml:space="preserve"> </v>
      </c>
      <c r="AV10" s="497" t="str">
        <f t="shared" si="13"/>
        <v xml:space="preserve"> </v>
      </c>
      <c r="AW10" s="497" t="str">
        <f t="shared" si="13"/>
        <v xml:space="preserve"> </v>
      </c>
      <c r="AX10" s="497" t="str">
        <f t="shared" si="13"/>
        <v xml:space="preserve"> </v>
      </c>
      <c r="AY10" s="497" t="str">
        <f t="shared" si="13"/>
        <v xml:space="preserve"> </v>
      </c>
      <c r="AZ10" s="497" t="str">
        <f t="shared" si="13"/>
        <v xml:space="preserve"> </v>
      </c>
      <c r="BA10" s="497" t="str">
        <f t="shared" si="13"/>
        <v xml:space="preserve"> </v>
      </c>
      <c r="BB10" s="497" t="str">
        <f t="shared" si="13"/>
        <v xml:space="preserve"> </v>
      </c>
      <c r="BC10" s="497" t="str">
        <f t="shared" si="13"/>
        <v xml:space="preserve"> </v>
      </c>
      <c r="BD10" s="497" t="str">
        <f t="shared" si="13"/>
        <v xml:space="preserve"> </v>
      </c>
      <c r="BE10" s="497" t="str">
        <f t="shared" si="13"/>
        <v xml:space="preserve"> </v>
      </c>
      <c r="BF10" s="497" t="str">
        <f t="shared" si="13"/>
        <v xml:space="preserve"> </v>
      </c>
      <c r="BG10" s="497" t="str">
        <f t="shared" si="13"/>
        <v xml:space="preserve"> </v>
      </c>
      <c r="BH10" s="497" t="str">
        <f t="shared" si="13"/>
        <v xml:space="preserve"> </v>
      </c>
      <c r="BI10" s="497" t="str">
        <f t="shared" si="13"/>
        <v xml:space="preserve"> </v>
      </c>
      <c r="BJ10" s="498" t="str">
        <f t="shared" si="13"/>
        <v xml:space="preserve"> </v>
      </c>
      <c r="BM10" s="477" t="s">
        <v>0</v>
      </c>
      <c r="BN10" s="511">
        <f>MIN(AA4:AP5,AA14:AP15,AA47:AP48,AA57:AP58)*-1</f>
        <v>0</v>
      </c>
      <c r="BO10" s="138"/>
      <c r="BP10" s="477" t="s">
        <v>0</v>
      </c>
      <c r="BQ10" s="511">
        <f>MIN(AU4:BJ5,AU14:BJ15,AD47:AS48,AD57:AS58)*-1</f>
        <v>0</v>
      </c>
    </row>
    <row r="11" spans="1:72" ht="15.75" customHeight="1" thickBot="1" x14ac:dyDescent="0.3">
      <c r="A11" s="604"/>
      <c r="B11" s="555"/>
      <c r="C11" s="503" t="str">
        <f>'GCM_Purlin 1.0'!AU11</f>
        <v>GCN4</v>
      </c>
      <c r="D11" s="504" t="str">
        <f>IFERROR('GCM_Purlin 1.0'!AV11*$W$7," ")</f>
        <v xml:space="preserve"> </v>
      </c>
      <c r="E11" s="504" t="str">
        <f>IFERROR('GCM_Purlin 1.0'!AW11*$W$7," ")</f>
        <v xml:space="preserve"> </v>
      </c>
      <c r="F11" s="504" t="str">
        <f>IFERROR('GCM_Purlin 1.0'!AX11*$W$7," ")</f>
        <v xml:space="preserve"> </v>
      </c>
      <c r="G11" s="504" t="str">
        <f>IFERROR('GCM_Purlin 1.0'!AY11*$W$7," ")</f>
        <v xml:space="preserve"> </v>
      </c>
      <c r="H11" s="504" t="str">
        <f>IFERROR('GCM_Purlin 1.0'!AZ11*$W$7," ")</f>
        <v xml:space="preserve"> </v>
      </c>
      <c r="I11" s="504" t="str">
        <f>IFERROR('GCM_Purlin 1.0'!BA11*$W$7," ")</f>
        <v xml:space="preserve"> </v>
      </c>
      <c r="J11" s="504" t="str">
        <f>IFERROR('GCM_Purlin 1.0'!BB11*$W$7," ")</f>
        <v xml:space="preserve"> </v>
      </c>
      <c r="K11" s="504" t="str">
        <f>IFERROR('GCM_Purlin 1.0'!BC11*$W$7," ")</f>
        <v xml:space="preserve"> </v>
      </c>
      <c r="L11" s="504" t="str">
        <f>IFERROR('GCM_Purlin 1.0'!BD11*$W$7," ")</f>
        <v xml:space="preserve"> </v>
      </c>
      <c r="M11" s="504" t="str">
        <f>IFERROR('GCM_Purlin 1.0'!BE11*$W$7," ")</f>
        <v xml:space="preserve"> </v>
      </c>
      <c r="N11" s="504" t="str">
        <f>IFERROR('GCM_Purlin 1.0'!BF11*$W$7," ")</f>
        <v xml:space="preserve"> </v>
      </c>
      <c r="O11" s="504" t="str">
        <f>IFERROR('GCM_Purlin 1.0'!BG11*$W$7," ")</f>
        <v xml:space="preserve"> </v>
      </c>
      <c r="P11" s="504" t="str">
        <f>IFERROR('GCM_Purlin 1.0'!BH11*$W$7," ")</f>
        <v xml:space="preserve"> </v>
      </c>
      <c r="Q11" s="504" t="str">
        <f>IFERROR('GCM_Purlin 1.0'!BI11*$W$7," ")</f>
        <v xml:space="preserve"> </v>
      </c>
      <c r="R11" s="504" t="str">
        <f>IFERROR('GCM_Purlin 1.0'!BJ11*$W$7," ")</f>
        <v xml:space="preserve"> </v>
      </c>
      <c r="S11" s="505" t="str">
        <f>IFERROR('GCM_Purlin 1.0'!BK11*$W$7," ")</f>
        <v xml:space="preserve"> </v>
      </c>
      <c r="T11" s="476"/>
      <c r="U11" s="701">
        <v>3</v>
      </c>
      <c r="V11" s="474" t="s">
        <v>521</v>
      </c>
      <c r="W11" s="506" t="e">
        <f>'GCM_Purlin 1.0'!BW31</f>
        <v>#VALUE!</v>
      </c>
      <c r="Y11" s="673"/>
      <c r="Z11" s="680"/>
      <c r="AA11" s="496" t="str">
        <f t="shared" ref="AA11:AP11" si="14">IFERROR((D18*Quarter_Area)+(D19*Quarter_Area)," ")</f>
        <v xml:space="preserve"> </v>
      </c>
      <c r="AB11" s="497" t="str">
        <f t="shared" si="14"/>
        <v xml:space="preserve"> </v>
      </c>
      <c r="AC11" s="497" t="str">
        <f t="shared" si="14"/>
        <v xml:space="preserve"> </v>
      </c>
      <c r="AD11" s="497" t="str">
        <f t="shared" si="14"/>
        <v xml:space="preserve"> </v>
      </c>
      <c r="AE11" s="497" t="str">
        <f t="shared" si="14"/>
        <v xml:space="preserve"> </v>
      </c>
      <c r="AF11" s="497" t="str">
        <f t="shared" si="14"/>
        <v xml:space="preserve"> </v>
      </c>
      <c r="AG11" s="497" t="str">
        <f t="shared" si="14"/>
        <v xml:space="preserve"> </v>
      </c>
      <c r="AH11" s="497" t="str">
        <f t="shared" si="14"/>
        <v xml:space="preserve"> </v>
      </c>
      <c r="AI11" s="497" t="str">
        <f t="shared" si="14"/>
        <v xml:space="preserve"> </v>
      </c>
      <c r="AJ11" s="497" t="str">
        <f t="shared" si="14"/>
        <v xml:space="preserve"> </v>
      </c>
      <c r="AK11" s="497" t="str">
        <f t="shared" si="14"/>
        <v xml:space="preserve"> </v>
      </c>
      <c r="AL11" s="497" t="str">
        <f t="shared" si="14"/>
        <v xml:space="preserve"> </v>
      </c>
      <c r="AM11" s="497" t="str">
        <f t="shared" si="14"/>
        <v xml:space="preserve"> </v>
      </c>
      <c r="AN11" s="497" t="str">
        <f t="shared" si="14"/>
        <v xml:space="preserve"> </v>
      </c>
      <c r="AO11" s="497" t="str">
        <f t="shared" si="14"/>
        <v xml:space="preserve"> </v>
      </c>
      <c r="AP11" s="498" t="str">
        <f t="shared" si="14"/>
        <v xml:space="preserve"> </v>
      </c>
      <c r="AS11" s="673"/>
      <c r="AT11" s="641"/>
      <c r="AU11" s="496" t="str">
        <f t="shared" ref="AU11:BJ11" si="15">IFERROR((D18*Quarter_Area*(m3b-(Twidth/2)))+(D19*Quarter_Area*(m4b-(Twidth/2)))," ")</f>
        <v xml:space="preserve"> </v>
      </c>
      <c r="AV11" s="497" t="str">
        <f t="shared" si="15"/>
        <v xml:space="preserve"> </v>
      </c>
      <c r="AW11" s="497" t="str">
        <f t="shared" si="15"/>
        <v xml:space="preserve"> </v>
      </c>
      <c r="AX11" s="497" t="str">
        <f t="shared" si="15"/>
        <v xml:space="preserve"> </v>
      </c>
      <c r="AY11" s="497" t="str">
        <f t="shared" si="15"/>
        <v xml:space="preserve"> </v>
      </c>
      <c r="AZ11" s="497" t="str">
        <f t="shared" si="15"/>
        <v xml:space="preserve"> </v>
      </c>
      <c r="BA11" s="497" t="str">
        <f t="shared" si="15"/>
        <v xml:space="preserve"> </v>
      </c>
      <c r="BB11" s="497" t="str">
        <f t="shared" si="15"/>
        <v xml:space="preserve"> </v>
      </c>
      <c r="BC11" s="497" t="str">
        <f t="shared" si="15"/>
        <v xml:space="preserve"> </v>
      </c>
      <c r="BD11" s="497" t="str">
        <f t="shared" si="15"/>
        <v xml:space="preserve"> </v>
      </c>
      <c r="BE11" s="497" t="str">
        <f t="shared" si="15"/>
        <v xml:space="preserve"> </v>
      </c>
      <c r="BF11" s="497" t="str">
        <f t="shared" si="15"/>
        <v xml:space="preserve"> </v>
      </c>
      <c r="BG11" s="497" t="str">
        <f t="shared" si="15"/>
        <v xml:space="preserve"> </v>
      </c>
      <c r="BH11" s="497" t="str">
        <f t="shared" si="15"/>
        <v xml:space="preserve"> </v>
      </c>
      <c r="BI11" s="497" t="str">
        <f t="shared" si="15"/>
        <v xml:space="preserve"> </v>
      </c>
      <c r="BJ11" s="498" t="str">
        <f t="shared" si="15"/>
        <v xml:space="preserve"> </v>
      </c>
      <c r="BM11" s="477" t="s">
        <v>1</v>
      </c>
      <c r="BN11" s="511">
        <f>MIN(AA6:AP7,AA16:AP17,AA49:AP50,AA59:AP60)*-1</f>
        <v>0</v>
      </c>
      <c r="BO11" s="138"/>
      <c r="BP11" s="477" t="s">
        <v>1</v>
      </c>
      <c r="BQ11" s="511">
        <f>MIN(AU6:BJ7,AU16:BJ17,AD49:AS50,AD59:AS60)*-1</f>
        <v>0</v>
      </c>
    </row>
    <row r="12" spans="1:72" x14ac:dyDescent="0.25">
      <c r="A12" s="690">
        <v>3</v>
      </c>
      <c r="B12" s="555"/>
      <c r="C12" s="481" t="str">
        <f>'GCM_Purlin 1.0'!AU12</f>
        <v>GCN1</v>
      </c>
      <c r="D12" s="482" t="str">
        <f>IFERROR('GCM_Purlin 1.0'!AV12*$W$11," ")</f>
        <v xml:space="preserve"> </v>
      </c>
      <c r="E12" s="482" t="str">
        <f>IFERROR('GCM_Purlin 1.0'!AW12*$W$11," ")</f>
        <v xml:space="preserve"> </v>
      </c>
      <c r="F12" s="482" t="str">
        <f>IFERROR('GCM_Purlin 1.0'!AX12*$W$11," ")</f>
        <v xml:space="preserve"> </v>
      </c>
      <c r="G12" s="482" t="str">
        <f>IFERROR('GCM_Purlin 1.0'!AY12*$W$11," ")</f>
        <v xml:space="preserve"> </v>
      </c>
      <c r="H12" s="482" t="str">
        <f>IFERROR('GCM_Purlin 1.0'!AZ12*$W$11," ")</f>
        <v xml:space="preserve"> </v>
      </c>
      <c r="I12" s="482" t="str">
        <f>IFERROR('GCM_Purlin 1.0'!BA12*$W$11," ")</f>
        <v xml:space="preserve"> </v>
      </c>
      <c r="J12" s="482" t="str">
        <f>IFERROR('GCM_Purlin 1.0'!BB12*$W$11," ")</f>
        <v xml:space="preserve"> </v>
      </c>
      <c r="K12" s="482" t="str">
        <f>IFERROR('GCM_Purlin 1.0'!BC12*$W$11," ")</f>
        <v xml:space="preserve"> </v>
      </c>
      <c r="L12" s="482" t="str">
        <f>IFERROR('GCM_Purlin 1.0'!BD12*$W$11," ")</f>
        <v xml:space="preserve"> </v>
      </c>
      <c r="M12" s="482" t="str">
        <f>IFERROR('GCM_Purlin 1.0'!BE12*$W$11," ")</f>
        <v xml:space="preserve"> </v>
      </c>
      <c r="N12" s="482" t="str">
        <f>IFERROR('GCM_Purlin 1.0'!BF12*$W$11," ")</f>
        <v xml:space="preserve"> </v>
      </c>
      <c r="O12" s="482" t="str">
        <f>IFERROR('GCM_Purlin 1.0'!BG12*$W$11," ")</f>
        <v xml:space="preserve"> </v>
      </c>
      <c r="P12" s="482" t="str">
        <f>IFERROR('GCM_Purlin 1.0'!BH12*$W$11," ")</f>
        <v xml:space="preserve"> </v>
      </c>
      <c r="Q12" s="482" t="str">
        <f>IFERROR('GCM_Purlin 1.0'!BI12*$W$11," ")</f>
        <v xml:space="preserve"> </v>
      </c>
      <c r="R12" s="482" t="str">
        <f>IFERROR('GCM_Purlin 1.0'!BJ12*$W$11," ")</f>
        <v xml:space="preserve"> </v>
      </c>
      <c r="S12" s="483" t="str">
        <f>IFERROR('GCM_Purlin 1.0'!BK12*$W$11," ")</f>
        <v xml:space="preserve"> </v>
      </c>
      <c r="T12" s="476"/>
      <c r="U12" s="604"/>
      <c r="V12" s="484" t="s">
        <v>761</v>
      </c>
      <c r="W12" s="485">
        <f>'GCM_Purlin 1.0'!BW34</f>
        <v>1</v>
      </c>
      <c r="Y12" s="689"/>
      <c r="Z12" s="680"/>
      <c r="AA12" s="496" t="str">
        <f t="shared" ref="AA12:AP12" si="16">IFERROR((D20*Quarter_Area)+(D21*Quarter_Area)," ")</f>
        <v xml:space="preserve"> </v>
      </c>
      <c r="AB12" s="497" t="str">
        <f t="shared" si="16"/>
        <v xml:space="preserve"> </v>
      </c>
      <c r="AC12" s="497" t="str">
        <f t="shared" si="16"/>
        <v xml:space="preserve"> </v>
      </c>
      <c r="AD12" s="497" t="str">
        <f t="shared" si="16"/>
        <v xml:space="preserve"> </v>
      </c>
      <c r="AE12" s="497" t="str">
        <f t="shared" si="16"/>
        <v xml:space="preserve"> </v>
      </c>
      <c r="AF12" s="497" t="str">
        <f t="shared" si="16"/>
        <v xml:space="preserve"> </v>
      </c>
      <c r="AG12" s="497" t="str">
        <f t="shared" si="16"/>
        <v xml:space="preserve"> </v>
      </c>
      <c r="AH12" s="497" t="str">
        <f t="shared" si="16"/>
        <v xml:space="preserve"> </v>
      </c>
      <c r="AI12" s="497" t="str">
        <f t="shared" si="16"/>
        <v xml:space="preserve"> </v>
      </c>
      <c r="AJ12" s="497" t="str">
        <f t="shared" si="16"/>
        <v xml:space="preserve"> </v>
      </c>
      <c r="AK12" s="497" t="str">
        <f t="shared" si="16"/>
        <v xml:space="preserve"> </v>
      </c>
      <c r="AL12" s="497" t="str">
        <f t="shared" si="16"/>
        <v xml:space="preserve"> </v>
      </c>
      <c r="AM12" s="497" t="str">
        <f t="shared" si="16"/>
        <v xml:space="preserve"> </v>
      </c>
      <c r="AN12" s="497" t="str">
        <f t="shared" si="16"/>
        <v xml:space="preserve"> </v>
      </c>
      <c r="AO12" s="497" t="str">
        <f t="shared" si="16"/>
        <v xml:space="preserve"> </v>
      </c>
      <c r="AP12" s="498" t="str">
        <f t="shared" si="16"/>
        <v xml:space="preserve"> </v>
      </c>
      <c r="AS12" s="689"/>
      <c r="AT12" s="641"/>
      <c r="AU12" s="496" t="str">
        <f t="shared" ref="AU12:BJ12" si="17">IFERROR((D20*Quarter_Area*(m1b-(Twidth/2)))+(D21*Quarter_Area*(m2b-(Twidth/2)))," ")</f>
        <v xml:space="preserve"> </v>
      </c>
      <c r="AV12" s="497" t="str">
        <f t="shared" si="17"/>
        <v xml:space="preserve"> </v>
      </c>
      <c r="AW12" s="497" t="str">
        <f t="shared" si="17"/>
        <v xml:space="preserve"> </v>
      </c>
      <c r="AX12" s="497" t="str">
        <f t="shared" si="17"/>
        <v xml:space="preserve"> </v>
      </c>
      <c r="AY12" s="497" t="str">
        <f t="shared" si="17"/>
        <v xml:space="preserve"> </v>
      </c>
      <c r="AZ12" s="497" t="str">
        <f t="shared" si="17"/>
        <v xml:space="preserve"> </v>
      </c>
      <c r="BA12" s="497" t="str">
        <f t="shared" si="17"/>
        <v xml:space="preserve"> </v>
      </c>
      <c r="BB12" s="497" t="str">
        <f t="shared" si="17"/>
        <v xml:space="preserve"> </v>
      </c>
      <c r="BC12" s="497" t="str">
        <f t="shared" si="17"/>
        <v xml:space="preserve"> </v>
      </c>
      <c r="BD12" s="497" t="str">
        <f t="shared" si="17"/>
        <v xml:space="preserve"> </v>
      </c>
      <c r="BE12" s="497" t="str">
        <f t="shared" si="17"/>
        <v xml:space="preserve"> </v>
      </c>
      <c r="BF12" s="497" t="str">
        <f t="shared" si="17"/>
        <v xml:space="preserve"> </v>
      </c>
      <c r="BG12" s="497" t="str">
        <f t="shared" si="17"/>
        <v xml:space="preserve"> </v>
      </c>
      <c r="BH12" s="497" t="str">
        <f t="shared" si="17"/>
        <v xml:space="preserve"> </v>
      </c>
      <c r="BI12" s="497" t="str">
        <f t="shared" si="17"/>
        <v xml:space="preserve"> </v>
      </c>
      <c r="BJ12" s="498" t="str">
        <f t="shared" si="17"/>
        <v xml:space="preserve"> </v>
      </c>
      <c r="BM12" s="477" t="s">
        <v>764</v>
      </c>
      <c r="BN12" s="511">
        <f>MIN(AA8:AP9,AA18:AP19,AA51:AP52,AA61:AP62)*-1</f>
        <v>0</v>
      </c>
      <c r="BO12" s="138"/>
      <c r="BP12" s="477" t="s">
        <v>764</v>
      </c>
      <c r="BQ12" s="511">
        <f>MIN(AU8:BJ9,AU18:BJ19,AD51:AS52,AD61:AS62)*-1</f>
        <v>0</v>
      </c>
    </row>
    <row r="13" spans="1:72" x14ac:dyDescent="0.25">
      <c r="A13" s="604"/>
      <c r="B13" s="555"/>
      <c r="C13" s="494" t="str">
        <f>'GCM_Purlin 1.0'!AU13</f>
        <v>GCN2</v>
      </c>
      <c r="D13" s="476" t="str">
        <f>IFERROR('GCM_Purlin 1.0'!AV13*$W$11," ")</f>
        <v xml:space="preserve"> </v>
      </c>
      <c r="E13" s="476" t="str">
        <f>IFERROR('GCM_Purlin 1.0'!AW13*$W$11," ")</f>
        <v xml:space="preserve"> </v>
      </c>
      <c r="F13" s="476" t="str">
        <f>IFERROR('GCM_Purlin 1.0'!AX13*$W$11," ")</f>
        <v xml:space="preserve"> </v>
      </c>
      <c r="G13" s="476" t="str">
        <f>IFERROR('GCM_Purlin 1.0'!AY13*$W$11," ")</f>
        <v xml:space="preserve"> </v>
      </c>
      <c r="H13" s="476" t="str">
        <f>IFERROR('GCM_Purlin 1.0'!AZ13*$W$11," ")</f>
        <v xml:space="preserve"> </v>
      </c>
      <c r="I13" s="476" t="str">
        <f>IFERROR('GCM_Purlin 1.0'!BA13*$W$11," ")</f>
        <v xml:space="preserve"> </v>
      </c>
      <c r="J13" s="476" t="str">
        <f>IFERROR('GCM_Purlin 1.0'!BB13*$W$11," ")</f>
        <v xml:space="preserve"> </v>
      </c>
      <c r="K13" s="476" t="str">
        <f>IFERROR('GCM_Purlin 1.0'!BC13*$W$11," ")</f>
        <v xml:space="preserve"> </v>
      </c>
      <c r="L13" s="476" t="str">
        <f>IFERROR('GCM_Purlin 1.0'!BD13*$W$11," ")</f>
        <v xml:space="preserve"> </v>
      </c>
      <c r="M13" s="476" t="str">
        <f>IFERROR('GCM_Purlin 1.0'!BE13*$W$11," ")</f>
        <v xml:space="preserve"> </v>
      </c>
      <c r="N13" s="476" t="str">
        <f>IFERROR('GCM_Purlin 1.0'!BF13*$W$11," ")</f>
        <v xml:space="preserve"> </v>
      </c>
      <c r="O13" s="476" t="str">
        <f>IFERROR('GCM_Purlin 1.0'!BG13*$W$11," ")</f>
        <v xml:space="preserve"> </v>
      </c>
      <c r="P13" s="476" t="str">
        <f>IFERROR('GCM_Purlin 1.0'!BH13*$W$11," ")</f>
        <v xml:space="preserve"> </v>
      </c>
      <c r="Q13" s="476" t="str">
        <f>IFERROR('GCM_Purlin 1.0'!BI13*$W$11," ")</f>
        <v xml:space="preserve"> </v>
      </c>
      <c r="R13" s="476" t="str">
        <f>IFERROR('GCM_Purlin 1.0'!BJ13*$W$11," ")</f>
        <v xml:space="preserve"> </v>
      </c>
      <c r="S13" s="495" t="str">
        <f>IFERROR('GCM_Purlin 1.0'!BK13*$W$11," ")</f>
        <v xml:space="preserve"> </v>
      </c>
      <c r="T13" s="476"/>
      <c r="U13" s="604"/>
      <c r="V13" s="163" t="s">
        <v>763</v>
      </c>
      <c r="W13" s="485" t="e">
        <f>'GCM_Purlin 1.0'!BW37</f>
        <v>#VALUE!</v>
      </c>
      <c r="Y13" s="673"/>
      <c r="Z13" s="673"/>
      <c r="AA13" s="496" t="str">
        <f t="shared" ref="AA13:AP13" si="18">IFERROR((D22*Quarter_Area)+(D23*Quarter_Area)," ")</f>
        <v xml:space="preserve"> </v>
      </c>
      <c r="AB13" s="497" t="str">
        <f t="shared" si="18"/>
        <v xml:space="preserve"> </v>
      </c>
      <c r="AC13" s="497" t="str">
        <f t="shared" si="18"/>
        <v xml:space="preserve"> </v>
      </c>
      <c r="AD13" s="497" t="str">
        <f t="shared" si="18"/>
        <v xml:space="preserve"> </v>
      </c>
      <c r="AE13" s="497" t="str">
        <f t="shared" si="18"/>
        <v xml:space="preserve"> </v>
      </c>
      <c r="AF13" s="497" t="str">
        <f t="shared" si="18"/>
        <v xml:space="preserve"> </v>
      </c>
      <c r="AG13" s="497" t="str">
        <f t="shared" si="18"/>
        <v xml:space="preserve"> </v>
      </c>
      <c r="AH13" s="497" t="str">
        <f t="shared" si="18"/>
        <v xml:space="preserve"> </v>
      </c>
      <c r="AI13" s="497" t="str">
        <f t="shared" si="18"/>
        <v xml:space="preserve"> </v>
      </c>
      <c r="AJ13" s="497" t="str">
        <f t="shared" si="18"/>
        <v xml:space="preserve"> </v>
      </c>
      <c r="AK13" s="497" t="str">
        <f t="shared" si="18"/>
        <v xml:space="preserve"> </v>
      </c>
      <c r="AL13" s="497" t="str">
        <f t="shared" si="18"/>
        <v xml:space="preserve"> </v>
      </c>
      <c r="AM13" s="497" t="str">
        <f t="shared" si="18"/>
        <v xml:space="preserve"> </v>
      </c>
      <c r="AN13" s="497" t="str">
        <f t="shared" si="18"/>
        <v xml:space="preserve"> </v>
      </c>
      <c r="AO13" s="497" t="str">
        <f t="shared" si="18"/>
        <v xml:space="preserve"> </v>
      </c>
      <c r="AP13" s="498" t="str">
        <f t="shared" si="18"/>
        <v xml:space="preserve"> </v>
      </c>
      <c r="AS13" s="673"/>
      <c r="AT13" s="706"/>
      <c r="AU13" s="496" t="str">
        <f t="shared" ref="AU13:BJ13" si="19">IFERROR((D22*Quarter_Area*(m3b-(Twidth/2)))+(D23*Quarter_Area*(m4b-(Twidth/2)))," ")</f>
        <v xml:space="preserve"> </v>
      </c>
      <c r="AV13" s="497" t="str">
        <f t="shared" si="19"/>
        <v xml:space="preserve"> </v>
      </c>
      <c r="AW13" s="497" t="str">
        <f t="shared" si="19"/>
        <v xml:space="preserve"> </v>
      </c>
      <c r="AX13" s="497" t="str">
        <f t="shared" si="19"/>
        <v xml:space="preserve"> </v>
      </c>
      <c r="AY13" s="497" t="str">
        <f t="shared" si="19"/>
        <v xml:space="preserve"> </v>
      </c>
      <c r="AZ13" s="497" t="str">
        <f t="shared" si="19"/>
        <v xml:space="preserve"> </v>
      </c>
      <c r="BA13" s="497" t="str">
        <f t="shared" si="19"/>
        <v xml:space="preserve"> </v>
      </c>
      <c r="BB13" s="497" t="str">
        <f t="shared" si="19"/>
        <v xml:space="preserve"> </v>
      </c>
      <c r="BC13" s="497" t="str">
        <f t="shared" si="19"/>
        <v xml:space="preserve"> </v>
      </c>
      <c r="BD13" s="497" t="str">
        <f t="shared" si="19"/>
        <v xml:space="preserve"> </v>
      </c>
      <c r="BE13" s="497" t="str">
        <f t="shared" si="19"/>
        <v xml:space="preserve"> </v>
      </c>
      <c r="BF13" s="497" t="str">
        <f t="shared" si="19"/>
        <v xml:space="preserve"> </v>
      </c>
      <c r="BG13" s="497" t="str">
        <f t="shared" si="19"/>
        <v xml:space="preserve"> </v>
      </c>
      <c r="BH13" s="497" t="str">
        <f t="shared" si="19"/>
        <v xml:space="preserve"> </v>
      </c>
      <c r="BI13" s="497" t="str">
        <f t="shared" si="19"/>
        <v xml:space="preserve"> </v>
      </c>
      <c r="BJ13" s="498" t="str">
        <f t="shared" si="19"/>
        <v xml:space="preserve"> </v>
      </c>
      <c r="BM13" s="477" t="s">
        <v>3</v>
      </c>
      <c r="BN13" s="511">
        <f>MIN(AA10:AP11,AA20:AP21,AA53:AP54,AA63:AP64)*-1</f>
        <v>0</v>
      </c>
      <c r="BO13" s="138"/>
      <c r="BP13" s="477" t="s">
        <v>3</v>
      </c>
      <c r="BQ13" s="511">
        <f>MIN(AU10:BJ11,AU20:BJ21,AD53:AS54,AD63:AS64)*-1</f>
        <v>0</v>
      </c>
    </row>
    <row r="14" spans="1:72" ht="15.75" customHeight="1" thickBot="1" x14ac:dyDescent="0.3">
      <c r="A14" s="604"/>
      <c r="B14" s="555"/>
      <c r="C14" s="494" t="str">
        <f>'GCM_Purlin 1.0'!AU14</f>
        <v>GCN3</v>
      </c>
      <c r="D14" s="476" t="str">
        <f>IFERROR('GCM_Purlin 1.0'!AV14*$W$11," ")</f>
        <v xml:space="preserve"> </v>
      </c>
      <c r="E14" s="476" t="str">
        <f>IFERROR('GCM_Purlin 1.0'!AW14*$W$11," ")</f>
        <v xml:space="preserve"> </v>
      </c>
      <c r="F14" s="476" t="str">
        <f>IFERROR('GCM_Purlin 1.0'!AX14*$W$11," ")</f>
        <v xml:space="preserve"> </v>
      </c>
      <c r="G14" s="476" t="str">
        <f>IFERROR('GCM_Purlin 1.0'!AY14*$W$11," ")</f>
        <v xml:space="preserve"> </v>
      </c>
      <c r="H14" s="476" t="str">
        <f>IFERROR('GCM_Purlin 1.0'!AZ14*$W$11," ")</f>
        <v xml:space="preserve"> </v>
      </c>
      <c r="I14" s="476" t="str">
        <f>IFERROR('GCM_Purlin 1.0'!BA14*$W$11," ")</f>
        <v xml:space="preserve"> </v>
      </c>
      <c r="J14" s="476" t="str">
        <f>IFERROR('GCM_Purlin 1.0'!BB14*$W$11," ")</f>
        <v xml:space="preserve"> </v>
      </c>
      <c r="K14" s="476" t="str">
        <f>IFERROR('GCM_Purlin 1.0'!BC14*$W$11," ")</f>
        <v xml:space="preserve"> </v>
      </c>
      <c r="L14" s="476" t="str">
        <f>IFERROR('GCM_Purlin 1.0'!BD14*$W$11," ")</f>
        <v xml:space="preserve"> </v>
      </c>
      <c r="M14" s="476" t="str">
        <f>IFERROR('GCM_Purlin 1.0'!BE14*$W$11," ")</f>
        <v xml:space="preserve"> </v>
      </c>
      <c r="N14" s="476" t="str">
        <f>IFERROR('GCM_Purlin 1.0'!BF14*$W$11," ")</f>
        <v xml:space="preserve"> </v>
      </c>
      <c r="O14" s="476" t="str">
        <f>IFERROR('GCM_Purlin 1.0'!BG14*$W$11," ")</f>
        <v xml:space="preserve"> </v>
      </c>
      <c r="P14" s="476" t="str">
        <f>IFERROR('GCM_Purlin 1.0'!BH14*$W$11," ")</f>
        <v xml:space="preserve"> </v>
      </c>
      <c r="Q14" s="476" t="str">
        <f>IFERROR('GCM_Purlin 1.0'!BI14*$W$11," ")</f>
        <v xml:space="preserve"> </v>
      </c>
      <c r="R14" s="476" t="str">
        <f>IFERROR('GCM_Purlin 1.0'!BJ14*$W$11," ")</f>
        <v xml:space="preserve"> </v>
      </c>
      <c r="S14" s="495" t="str">
        <f>IFERROR('GCM_Purlin 1.0'!BK14*$W$11," ")</f>
        <v xml:space="preserve"> </v>
      </c>
      <c r="T14" s="476"/>
      <c r="U14" s="668"/>
      <c r="V14" s="501" t="s">
        <v>765</v>
      </c>
      <c r="W14" s="502" t="e">
        <f>'GCM_Purlin 1.0'!BW40</f>
        <v>#VALUE!</v>
      </c>
      <c r="Y14" s="693"/>
      <c r="Z14" s="679" t="s">
        <v>7</v>
      </c>
      <c r="AA14" s="496" t="str">
        <f t="shared" ref="AA14:AP14" si="20">IFERROR((D24*Quarter_Area)+(D25*Quarter_Area)," ")</f>
        <v xml:space="preserve"> </v>
      </c>
      <c r="AB14" s="497" t="str">
        <f t="shared" si="20"/>
        <v xml:space="preserve"> </v>
      </c>
      <c r="AC14" s="497" t="str">
        <f t="shared" si="20"/>
        <v xml:space="preserve"> </v>
      </c>
      <c r="AD14" s="497" t="str">
        <f t="shared" si="20"/>
        <v xml:space="preserve"> </v>
      </c>
      <c r="AE14" s="497" t="str">
        <f t="shared" si="20"/>
        <v xml:space="preserve"> </v>
      </c>
      <c r="AF14" s="497" t="str">
        <f t="shared" si="20"/>
        <v xml:space="preserve"> </v>
      </c>
      <c r="AG14" s="497" t="str">
        <f t="shared" si="20"/>
        <v xml:space="preserve"> </v>
      </c>
      <c r="AH14" s="497" t="str">
        <f t="shared" si="20"/>
        <v xml:space="preserve"> </v>
      </c>
      <c r="AI14" s="497" t="str">
        <f t="shared" si="20"/>
        <v xml:space="preserve"> </v>
      </c>
      <c r="AJ14" s="497" t="str">
        <f t="shared" si="20"/>
        <v xml:space="preserve"> </v>
      </c>
      <c r="AK14" s="497" t="str">
        <f t="shared" si="20"/>
        <v xml:space="preserve"> </v>
      </c>
      <c r="AL14" s="497" t="str">
        <f t="shared" si="20"/>
        <v xml:space="preserve"> </v>
      </c>
      <c r="AM14" s="497" t="str">
        <f t="shared" si="20"/>
        <v xml:space="preserve"> </v>
      </c>
      <c r="AN14" s="497" t="str">
        <f t="shared" si="20"/>
        <v xml:space="preserve"> </v>
      </c>
      <c r="AO14" s="497" t="str">
        <f t="shared" si="20"/>
        <v xml:space="preserve"> </v>
      </c>
      <c r="AP14" s="498" t="str">
        <f t="shared" si="20"/>
        <v xml:space="preserve"> </v>
      </c>
      <c r="AS14" s="693"/>
      <c r="AT14" s="705" t="s">
        <v>7</v>
      </c>
      <c r="AU14" s="496" t="str">
        <f t="shared" ref="AU14:BJ14" si="21">IFERROR((D24*Quarter_Area*(m1b-(Twidth/2)))+(D25*Quarter_Area*(m2b-(Twidth/2)))," ")</f>
        <v xml:space="preserve"> </v>
      </c>
      <c r="AV14" s="497" t="str">
        <f t="shared" si="21"/>
        <v xml:space="preserve"> </v>
      </c>
      <c r="AW14" s="497" t="str">
        <f t="shared" si="21"/>
        <v xml:space="preserve"> </v>
      </c>
      <c r="AX14" s="497" t="str">
        <f t="shared" si="21"/>
        <v xml:space="preserve"> </v>
      </c>
      <c r="AY14" s="497" t="str">
        <f t="shared" si="21"/>
        <v xml:space="preserve"> </v>
      </c>
      <c r="AZ14" s="497" t="str">
        <f t="shared" si="21"/>
        <v xml:space="preserve"> </v>
      </c>
      <c r="BA14" s="497" t="str">
        <f t="shared" si="21"/>
        <v xml:space="preserve"> </v>
      </c>
      <c r="BB14" s="497" t="str">
        <f t="shared" si="21"/>
        <v xml:space="preserve"> </v>
      </c>
      <c r="BC14" s="497" t="str">
        <f t="shared" si="21"/>
        <v xml:space="preserve"> </v>
      </c>
      <c r="BD14" s="497" t="str">
        <f t="shared" si="21"/>
        <v xml:space="preserve"> </v>
      </c>
      <c r="BE14" s="497" t="str">
        <f t="shared" si="21"/>
        <v xml:space="preserve"> </v>
      </c>
      <c r="BF14" s="497" t="str">
        <f t="shared" si="21"/>
        <v xml:space="preserve"> </v>
      </c>
      <c r="BG14" s="497" t="str">
        <f t="shared" si="21"/>
        <v xml:space="preserve"> </v>
      </c>
      <c r="BH14" s="497" t="str">
        <f t="shared" si="21"/>
        <v xml:space="preserve"> </v>
      </c>
      <c r="BI14" s="497" t="str">
        <f t="shared" si="21"/>
        <v xml:space="preserve"> </v>
      </c>
      <c r="BJ14" s="498" t="str">
        <f t="shared" si="21"/>
        <v xml:space="preserve"> </v>
      </c>
      <c r="BM14" s="507" t="s">
        <v>4</v>
      </c>
      <c r="BN14" s="512">
        <f>MIN(AA12:AP13,AA22:AP23,AA55:AP56,AA65:AP66)*-1</f>
        <v>0</v>
      </c>
      <c r="BO14" s="138"/>
      <c r="BP14" s="507" t="s">
        <v>4</v>
      </c>
      <c r="BQ14" s="512">
        <f>MIN(AU12:BJ13,AU22:BJ23,AD55:AS56,AD65:AS66)*-1</f>
        <v>0</v>
      </c>
    </row>
    <row r="15" spans="1:72" ht="15.75" customHeight="1" thickBot="1" x14ac:dyDescent="0.3">
      <c r="A15" s="604"/>
      <c r="B15" s="555"/>
      <c r="C15" s="503" t="str">
        <f>'GCM_Purlin 1.0'!AU15</f>
        <v>GCN4</v>
      </c>
      <c r="D15" s="504" t="str">
        <f>IFERROR('GCM_Purlin 1.0'!AV15*$W$11," ")</f>
        <v xml:space="preserve"> </v>
      </c>
      <c r="E15" s="504" t="str">
        <f>IFERROR('GCM_Purlin 1.0'!AW15*$W$11," ")</f>
        <v xml:space="preserve"> </v>
      </c>
      <c r="F15" s="504" t="str">
        <f>IFERROR('GCM_Purlin 1.0'!AX15*$W$11," ")</f>
        <v xml:space="preserve"> </v>
      </c>
      <c r="G15" s="504" t="str">
        <f>IFERROR('GCM_Purlin 1.0'!AY15*$W$11," ")</f>
        <v xml:space="preserve"> </v>
      </c>
      <c r="H15" s="504" t="str">
        <f>IFERROR('GCM_Purlin 1.0'!AZ15*$W$11," ")</f>
        <v xml:space="preserve"> </v>
      </c>
      <c r="I15" s="504" t="str">
        <f>IFERROR('GCM_Purlin 1.0'!BA15*$W$11," ")</f>
        <v xml:space="preserve"> </v>
      </c>
      <c r="J15" s="504" t="str">
        <f>IFERROR('GCM_Purlin 1.0'!BB15*$W$11," ")</f>
        <v xml:space="preserve"> </v>
      </c>
      <c r="K15" s="504" t="str">
        <f>IFERROR('GCM_Purlin 1.0'!BC15*$W$11," ")</f>
        <v xml:space="preserve"> </v>
      </c>
      <c r="L15" s="504" t="str">
        <f>IFERROR('GCM_Purlin 1.0'!BD15*$W$11," ")</f>
        <v xml:space="preserve"> </v>
      </c>
      <c r="M15" s="504" t="str">
        <f>IFERROR('GCM_Purlin 1.0'!BE15*$W$11," ")</f>
        <v xml:space="preserve"> </v>
      </c>
      <c r="N15" s="504" t="str">
        <f>IFERROR('GCM_Purlin 1.0'!BF15*$W$11," ")</f>
        <v xml:space="preserve"> </v>
      </c>
      <c r="O15" s="504" t="str">
        <f>IFERROR('GCM_Purlin 1.0'!BG15*$W$11," ")</f>
        <v xml:space="preserve"> </v>
      </c>
      <c r="P15" s="504" t="str">
        <f>IFERROR('GCM_Purlin 1.0'!BH15*$W$11," ")</f>
        <v xml:space="preserve"> </v>
      </c>
      <c r="Q15" s="504" t="str">
        <f>IFERROR('GCM_Purlin 1.0'!BI15*$W$11," ")</f>
        <v xml:space="preserve"> </v>
      </c>
      <c r="R15" s="504" t="str">
        <f>IFERROR('GCM_Purlin 1.0'!BJ15*$W$11," ")</f>
        <v xml:space="preserve"> </v>
      </c>
      <c r="S15" s="505" t="str">
        <f>IFERROR('GCM_Purlin 1.0'!BK15*$W$11," ")</f>
        <v xml:space="preserve"> </v>
      </c>
      <c r="T15" s="476"/>
      <c r="U15" s="667">
        <v>4</v>
      </c>
      <c r="V15" s="474" t="s">
        <v>521</v>
      </c>
      <c r="W15" s="506" t="e">
        <f>'GCM_Purlin 1.0'!BW43</f>
        <v>#VALUE!</v>
      </c>
      <c r="Y15" s="673"/>
      <c r="Z15" s="680"/>
      <c r="AA15" s="496" t="str">
        <f t="shared" ref="AA15:AP15" si="22">IFERROR((D26*Quarter_Area)+(D27*Quarter_Area)," ")</f>
        <v xml:space="preserve"> </v>
      </c>
      <c r="AB15" s="497" t="str">
        <f t="shared" si="22"/>
        <v xml:space="preserve"> </v>
      </c>
      <c r="AC15" s="497" t="str">
        <f t="shared" si="22"/>
        <v xml:space="preserve"> </v>
      </c>
      <c r="AD15" s="497" t="str">
        <f t="shared" si="22"/>
        <v xml:space="preserve"> </v>
      </c>
      <c r="AE15" s="497" t="str">
        <f t="shared" si="22"/>
        <v xml:space="preserve"> </v>
      </c>
      <c r="AF15" s="497" t="str">
        <f t="shared" si="22"/>
        <v xml:space="preserve"> </v>
      </c>
      <c r="AG15" s="497" t="str">
        <f t="shared" si="22"/>
        <v xml:space="preserve"> </v>
      </c>
      <c r="AH15" s="497" t="str">
        <f t="shared" si="22"/>
        <v xml:space="preserve"> </v>
      </c>
      <c r="AI15" s="497" t="str">
        <f t="shared" si="22"/>
        <v xml:space="preserve"> </v>
      </c>
      <c r="AJ15" s="497" t="str">
        <f t="shared" si="22"/>
        <v xml:space="preserve"> </v>
      </c>
      <c r="AK15" s="497" t="str">
        <f t="shared" si="22"/>
        <v xml:space="preserve"> </v>
      </c>
      <c r="AL15" s="497" t="str">
        <f t="shared" si="22"/>
        <v xml:space="preserve"> </v>
      </c>
      <c r="AM15" s="497" t="str">
        <f t="shared" si="22"/>
        <v xml:space="preserve"> </v>
      </c>
      <c r="AN15" s="497" t="str">
        <f t="shared" si="22"/>
        <v xml:space="preserve"> </v>
      </c>
      <c r="AO15" s="497" t="str">
        <f t="shared" si="22"/>
        <v xml:space="preserve"> </v>
      </c>
      <c r="AP15" s="498" t="str">
        <f t="shared" si="22"/>
        <v xml:space="preserve"> </v>
      </c>
      <c r="AS15" s="673"/>
      <c r="AT15" s="641"/>
      <c r="AU15" s="496" t="str">
        <f t="shared" ref="AU15:BJ15" si="23">IFERROR((D26*Quarter_Area*(m3b-(Twidth/2)))+(D27*Quarter_Area*(m4b-(Twidth/2)))," ")</f>
        <v xml:space="preserve"> </v>
      </c>
      <c r="AV15" s="497" t="str">
        <f t="shared" si="23"/>
        <v xml:space="preserve"> </v>
      </c>
      <c r="AW15" s="497" t="str">
        <f t="shared" si="23"/>
        <v xml:space="preserve"> </v>
      </c>
      <c r="AX15" s="497" t="str">
        <f t="shared" si="23"/>
        <v xml:space="preserve"> </v>
      </c>
      <c r="AY15" s="497" t="str">
        <f t="shared" si="23"/>
        <v xml:space="preserve"> </v>
      </c>
      <c r="AZ15" s="497" t="str">
        <f t="shared" si="23"/>
        <v xml:space="preserve"> </v>
      </c>
      <c r="BA15" s="497" t="str">
        <f t="shared" si="23"/>
        <v xml:space="preserve"> </v>
      </c>
      <c r="BB15" s="497" t="str">
        <f t="shared" si="23"/>
        <v xml:space="preserve"> </v>
      </c>
      <c r="BC15" s="497" t="str">
        <f t="shared" si="23"/>
        <v xml:space="preserve"> </v>
      </c>
      <c r="BD15" s="497" t="str">
        <f t="shared" si="23"/>
        <v xml:space="preserve"> </v>
      </c>
      <c r="BE15" s="497" t="str">
        <f t="shared" si="23"/>
        <v xml:space="preserve"> </v>
      </c>
      <c r="BF15" s="497" t="str">
        <f t="shared" si="23"/>
        <v xml:space="preserve"> </v>
      </c>
      <c r="BG15" s="497" t="str">
        <f t="shared" si="23"/>
        <v xml:space="preserve"> </v>
      </c>
      <c r="BH15" s="497" t="str">
        <f t="shared" si="23"/>
        <v xml:space="preserve"> </v>
      </c>
      <c r="BI15" s="497" t="str">
        <f t="shared" si="23"/>
        <v xml:space="preserve"> </v>
      </c>
      <c r="BJ15" s="498" t="str">
        <f t="shared" si="23"/>
        <v xml:space="preserve"> </v>
      </c>
    </row>
    <row r="16" spans="1:72" x14ac:dyDescent="0.25">
      <c r="A16" s="671">
        <v>4</v>
      </c>
      <c r="B16" s="555"/>
      <c r="C16" s="494" t="str">
        <f>'GCM_Purlin 1.0'!AU16</f>
        <v>GCN1</v>
      </c>
      <c r="D16" s="513" t="str">
        <f>IFERROR('GCM_Purlin 1.0'!AV16*$W$15," ")</f>
        <v xml:space="preserve"> </v>
      </c>
      <c r="E16" s="482" t="str">
        <f>IFERROR('GCM_Purlin 1.0'!AW16*$W$15," ")</f>
        <v xml:space="preserve"> </v>
      </c>
      <c r="F16" s="482" t="str">
        <f>IFERROR('GCM_Purlin 1.0'!AX16*$W$15," ")</f>
        <v xml:space="preserve"> </v>
      </c>
      <c r="G16" s="482" t="str">
        <f>IFERROR('GCM_Purlin 1.0'!AY16*$W$15," ")</f>
        <v xml:space="preserve"> </v>
      </c>
      <c r="H16" s="482" t="str">
        <f>IFERROR('GCM_Purlin 1.0'!AZ16*$W$15," ")</f>
        <v xml:space="preserve"> </v>
      </c>
      <c r="I16" s="482" t="str">
        <f>IFERROR('GCM_Purlin 1.0'!BA16*$W$15," ")</f>
        <v xml:space="preserve"> </v>
      </c>
      <c r="J16" s="482" t="str">
        <f>IFERROR('GCM_Purlin 1.0'!BB16*$W$15," ")</f>
        <v xml:space="preserve"> </v>
      </c>
      <c r="K16" s="482" t="str">
        <f>IFERROR('GCM_Purlin 1.0'!BC16*$W$15," ")</f>
        <v xml:space="preserve"> </v>
      </c>
      <c r="L16" s="482" t="str">
        <f>IFERROR('GCM_Purlin 1.0'!BD16*$W$15," ")</f>
        <v xml:space="preserve"> </v>
      </c>
      <c r="M16" s="482" t="str">
        <f>IFERROR('GCM_Purlin 1.0'!BE16*$W$15," ")</f>
        <v xml:space="preserve"> </v>
      </c>
      <c r="N16" s="482" t="str">
        <f>IFERROR('GCM_Purlin 1.0'!BF16*$W$15," ")</f>
        <v xml:space="preserve"> </v>
      </c>
      <c r="O16" s="482" t="str">
        <f>IFERROR('GCM_Purlin 1.0'!BG16*$W$15," ")</f>
        <v xml:space="preserve"> </v>
      </c>
      <c r="P16" s="482" t="str">
        <f>IFERROR('GCM_Purlin 1.0'!BH16*$W$15," ")</f>
        <v xml:space="preserve"> </v>
      </c>
      <c r="Q16" s="482" t="str">
        <f>IFERROR('GCM_Purlin 1.0'!BI16*$W$15," ")</f>
        <v xml:space="preserve"> </v>
      </c>
      <c r="R16" s="482" t="str">
        <f>IFERROR('GCM_Purlin 1.0'!BJ16*$W$15," ")</f>
        <v xml:space="preserve"> </v>
      </c>
      <c r="S16" s="483" t="str">
        <f>IFERROR('GCM_Purlin 1.0'!BK16*$W$15," ")</f>
        <v xml:space="preserve"> </v>
      </c>
      <c r="T16" s="476"/>
      <c r="U16" s="604"/>
      <c r="V16" s="484" t="s">
        <v>761</v>
      </c>
      <c r="W16" s="485">
        <f>'GCM_Purlin 1.0'!BW46</f>
        <v>1</v>
      </c>
      <c r="Y16" s="683"/>
      <c r="Z16" s="680"/>
      <c r="AA16" s="496" t="str">
        <f t="shared" ref="AA16:AP16" si="24">IFERROR((D28*Quarter_Area)+(D29*Quarter_Area)," ")</f>
        <v xml:space="preserve"> </v>
      </c>
      <c r="AB16" s="497" t="str">
        <f t="shared" si="24"/>
        <v xml:space="preserve"> </v>
      </c>
      <c r="AC16" s="497" t="str">
        <f t="shared" si="24"/>
        <v xml:space="preserve"> </v>
      </c>
      <c r="AD16" s="497" t="str">
        <f t="shared" si="24"/>
        <v xml:space="preserve"> </v>
      </c>
      <c r="AE16" s="497" t="str">
        <f t="shared" si="24"/>
        <v xml:space="preserve"> </v>
      </c>
      <c r="AF16" s="497" t="str">
        <f t="shared" si="24"/>
        <v xml:space="preserve"> </v>
      </c>
      <c r="AG16" s="497" t="str">
        <f t="shared" si="24"/>
        <v xml:space="preserve"> </v>
      </c>
      <c r="AH16" s="497" t="str">
        <f t="shared" si="24"/>
        <v xml:space="preserve"> </v>
      </c>
      <c r="AI16" s="497" t="str">
        <f t="shared" si="24"/>
        <v xml:space="preserve"> </v>
      </c>
      <c r="AJ16" s="497" t="str">
        <f t="shared" si="24"/>
        <v xml:space="preserve"> </v>
      </c>
      <c r="AK16" s="497" t="str">
        <f t="shared" si="24"/>
        <v xml:space="preserve"> </v>
      </c>
      <c r="AL16" s="497" t="str">
        <f t="shared" si="24"/>
        <v xml:space="preserve"> </v>
      </c>
      <c r="AM16" s="497" t="str">
        <f t="shared" si="24"/>
        <v xml:space="preserve"> </v>
      </c>
      <c r="AN16" s="497" t="str">
        <f t="shared" si="24"/>
        <v xml:space="preserve"> </v>
      </c>
      <c r="AO16" s="497" t="str">
        <f t="shared" si="24"/>
        <v xml:space="preserve"> </v>
      </c>
      <c r="AP16" s="498" t="str">
        <f t="shared" si="24"/>
        <v xml:space="preserve"> </v>
      </c>
      <c r="AS16" s="683"/>
      <c r="AT16" s="641"/>
      <c r="AU16" s="496" t="str">
        <f t="shared" ref="AU16:BJ16" si="25">IFERROR((D28*Quarter_Area*(m1b-(Twidth/2)))+(D29*Quarter_Area*(m2b-(Twidth/2)))," ")</f>
        <v xml:space="preserve"> </v>
      </c>
      <c r="AV16" s="497" t="str">
        <f t="shared" si="25"/>
        <v xml:space="preserve"> </v>
      </c>
      <c r="AW16" s="497" t="str">
        <f t="shared" si="25"/>
        <v xml:space="preserve"> </v>
      </c>
      <c r="AX16" s="497" t="str">
        <f t="shared" si="25"/>
        <v xml:space="preserve"> </v>
      </c>
      <c r="AY16" s="497" t="str">
        <f t="shared" si="25"/>
        <v xml:space="preserve"> </v>
      </c>
      <c r="AZ16" s="497" t="str">
        <f t="shared" si="25"/>
        <v xml:space="preserve"> </v>
      </c>
      <c r="BA16" s="497" t="str">
        <f t="shared" si="25"/>
        <v xml:space="preserve"> </v>
      </c>
      <c r="BB16" s="497" t="str">
        <f t="shared" si="25"/>
        <v xml:space="preserve"> </v>
      </c>
      <c r="BC16" s="497" t="str">
        <f t="shared" si="25"/>
        <v xml:space="preserve"> </v>
      </c>
      <c r="BD16" s="497" t="str">
        <f t="shared" si="25"/>
        <v xml:space="preserve"> </v>
      </c>
      <c r="BE16" s="497" t="str">
        <f t="shared" si="25"/>
        <v xml:space="preserve"> </v>
      </c>
      <c r="BF16" s="497" t="str">
        <f t="shared" si="25"/>
        <v xml:space="preserve"> </v>
      </c>
      <c r="BG16" s="497" t="str">
        <f t="shared" si="25"/>
        <v xml:space="preserve"> </v>
      </c>
      <c r="BH16" s="497" t="str">
        <f t="shared" si="25"/>
        <v xml:space="preserve"> </v>
      </c>
      <c r="BI16" s="497" t="str">
        <f t="shared" si="25"/>
        <v xml:space="preserve"> </v>
      </c>
      <c r="BJ16" s="498" t="str">
        <f t="shared" si="25"/>
        <v xml:space="preserve"> </v>
      </c>
    </row>
    <row r="17" spans="1:62" x14ac:dyDescent="0.25">
      <c r="A17" s="604"/>
      <c r="B17" s="555"/>
      <c r="C17" s="494" t="str">
        <f>'GCM_Purlin 1.0'!AU17</f>
        <v>GCN2</v>
      </c>
      <c r="D17" s="514" t="str">
        <f>IFERROR('GCM_Purlin 1.0'!AV17*$W$15," ")</f>
        <v xml:space="preserve"> </v>
      </c>
      <c r="E17" s="476" t="str">
        <f>IFERROR('GCM_Purlin 1.0'!AW17*$W$15," ")</f>
        <v xml:space="preserve"> </v>
      </c>
      <c r="F17" s="476" t="str">
        <f>IFERROR('GCM_Purlin 1.0'!AX17*$W$15," ")</f>
        <v xml:space="preserve"> </v>
      </c>
      <c r="G17" s="476" t="str">
        <f>IFERROR('GCM_Purlin 1.0'!AY17*$W$15," ")</f>
        <v xml:space="preserve"> </v>
      </c>
      <c r="H17" s="476" t="str">
        <f>IFERROR('GCM_Purlin 1.0'!AZ17*$W$15," ")</f>
        <v xml:space="preserve"> </v>
      </c>
      <c r="I17" s="476" t="str">
        <f>IFERROR('GCM_Purlin 1.0'!BA17*$W$15," ")</f>
        <v xml:space="preserve"> </v>
      </c>
      <c r="J17" s="476" t="str">
        <f>IFERROR('GCM_Purlin 1.0'!BB17*$W$15," ")</f>
        <v xml:space="preserve"> </v>
      </c>
      <c r="K17" s="476" t="str">
        <f>IFERROR('GCM_Purlin 1.0'!BC17*$W$15," ")</f>
        <v xml:space="preserve"> </v>
      </c>
      <c r="L17" s="476" t="str">
        <f>IFERROR('GCM_Purlin 1.0'!BD17*$W$15," ")</f>
        <v xml:space="preserve"> </v>
      </c>
      <c r="M17" s="476" t="str">
        <f>IFERROR('GCM_Purlin 1.0'!BE17*$W$15," ")</f>
        <v xml:space="preserve"> </v>
      </c>
      <c r="N17" s="476" t="str">
        <f>IFERROR('GCM_Purlin 1.0'!BF17*$W$15," ")</f>
        <v xml:space="preserve"> </v>
      </c>
      <c r="O17" s="476" t="str">
        <f>IFERROR('GCM_Purlin 1.0'!BG17*$W$15," ")</f>
        <v xml:space="preserve"> </v>
      </c>
      <c r="P17" s="476" t="str">
        <f>IFERROR('GCM_Purlin 1.0'!BH17*$W$15," ")</f>
        <v xml:space="preserve"> </v>
      </c>
      <c r="Q17" s="476" t="str">
        <f>IFERROR('GCM_Purlin 1.0'!BI17*$W$15," ")</f>
        <v xml:space="preserve"> </v>
      </c>
      <c r="R17" s="476" t="str">
        <f>IFERROR('GCM_Purlin 1.0'!BJ17*$W$15," ")</f>
        <v xml:space="preserve"> </v>
      </c>
      <c r="S17" s="495" t="str">
        <f>IFERROR('GCM_Purlin 1.0'!BK17*$W$15," ")</f>
        <v xml:space="preserve"> </v>
      </c>
      <c r="T17" s="476"/>
      <c r="U17" s="604"/>
      <c r="V17" s="163" t="s">
        <v>763</v>
      </c>
      <c r="W17" s="485" t="e">
        <f>'GCM_Purlin 1.0'!BW49</f>
        <v>#VALUE!</v>
      </c>
      <c r="Y17" s="673"/>
      <c r="Z17" s="680"/>
      <c r="AA17" s="496" t="str">
        <f t="shared" ref="AA17:AP17" si="26">IFERROR((D30*Quarter_Area)+(D31*Quarter_Area)," ")</f>
        <v xml:space="preserve"> </v>
      </c>
      <c r="AB17" s="497" t="str">
        <f t="shared" si="26"/>
        <v xml:space="preserve"> </v>
      </c>
      <c r="AC17" s="497" t="str">
        <f t="shared" si="26"/>
        <v xml:space="preserve"> </v>
      </c>
      <c r="AD17" s="497" t="str">
        <f t="shared" si="26"/>
        <v xml:space="preserve"> </v>
      </c>
      <c r="AE17" s="497" t="str">
        <f t="shared" si="26"/>
        <v xml:space="preserve"> </v>
      </c>
      <c r="AF17" s="497" t="str">
        <f t="shared" si="26"/>
        <v xml:space="preserve"> </v>
      </c>
      <c r="AG17" s="497" t="str">
        <f t="shared" si="26"/>
        <v xml:space="preserve"> </v>
      </c>
      <c r="AH17" s="497" t="str">
        <f t="shared" si="26"/>
        <v xml:space="preserve"> </v>
      </c>
      <c r="AI17" s="497" t="str">
        <f t="shared" si="26"/>
        <v xml:space="preserve"> </v>
      </c>
      <c r="AJ17" s="497" t="str">
        <f t="shared" si="26"/>
        <v xml:space="preserve"> </v>
      </c>
      <c r="AK17" s="497" t="str">
        <f t="shared" si="26"/>
        <v xml:space="preserve"> </v>
      </c>
      <c r="AL17" s="497" t="str">
        <f t="shared" si="26"/>
        <v xml:space="preserve"> </v>
      </c>
      <c r="AM17" s="497" t="str">
        <f t="shared" si="26"/>
        <v xml:space="preserve"> </v>
      </c>
      <c r="AN17" s="497" t="str">
        <f t="shared" si="26"/>
        <v xml:space="preserve"> </v>
      </c>
      <c r="AO17" s="497" t="str">
        <f t="shared" si="26"/>
        <v xml:space="preserve"> </v>
      </c>
      <c r="AP17" s="498" t="str">
        <f t="shared" si="26"/>
        <v xml:space="preserve"> </v>
      </c>
      <c r="AS17" s="673"/>
      <c r="AT17" s="641"/>
      <c r="AU17" s="496" t="str">
        <f t="shared" ref="AU17:BJ17" si="27">IFERROR((D30*Quarter_Area*(m3b-(Twidth/2)))+(D31*Quarter_Area*(m4b-(Twidth/2)))," ")</f>
        <v xml:space="preserve"> </v>
      </c>
      <c r="AV17" s="497" t="str">
        <f t="shared" si="27"/>
        <v xml:space="preserve"> </v>
      </c>
      <c r="AW17" s="497" t="str">
        <f t="shared" si="27"/>
        <v xml:space="preserve"> </v>
      </c>
      <c r="AX17" s="497" t="str">
        <f t="shared" si="27"/>
        <v xml:space="preserve"> </v>
      </c>
      <c r="AY17" s="497" t="str">
        <f t="shared" si="27"/>
        <v xml:space="preserve"> </v>
      </c>
      <c r="AZ17" s="497" t="str">
        <f t="shared" si="27"/>
        <v xml:space="preserve"> </v>
      </c>
      <c r="BA17" s="497" t="str">
        <f t="shared" si="27"/>
        <v xml:space="preserve"> </v>
      </c>
      <c r="BB17" s="497" t="str">
        <f t="shared" si="27"/>
        <v xml:space="preserve"> </v>
      </c>
      <c r="BC17" s="497" t="str">
        <f t="shared" si="27"/>
        <v xml:space="preserve"> </v>
      </c>
      <c r="BD17" s="497" t="str">
        <f t="shared" si="27"/>
        <v xml:space="preserve"> </v>
      </c>
      <c r="BE17" s="497" t="str">
        <f t="shared" si="27"/>
        <v xml:space="preserve"> </v>
      </c>
      <c r="BF17" s="497" t="str">
        <f t="shared" si="27"/>
        <v xml:space="preserve"> </v>
      </c>
      <c r="BG17" s="497" t="str">
        <f t="shared" si="27"/>
        <v xml:space="preserve"> </v>
      </c>
      <c r="BH17" s="497" t="str">
        <f t="shared" si="27"/>
        <v xml:space="preserve"> </v>
      </c>
      <c r="BI17" s="497" t="str">
        <f t="shared" si="27"/>
        <v xml:space="preserve"> </v>
      </c>
      <c r="BJ17" s="498" t="str">
        <f t="shared" si="27"/>
        <v xml:space="preserve"> </v>
      </c>
    </row>
    <row r="18" spans="1:62" ht="15.75" customHeight="1" thickBot="1" x14ac:dyDescent="0.3">
      <c r="A18" s="604"/>
      <c r="B18" s="555"/>
      <c r="C18" s="494" t="str">
        <f>'GCM_Purlin 1.0'!AU18</f>
        <v>GCN3</v>
      </c>
      <c r="D18" s="514" t="str">
        <f>IFERROR('GCM_Purlin 1.0'!AV18*$W$15," ")</f>
        <v xml:space="preserve"> </v>
      </c>
      <c r="E18" s="476" t="str">
        <f>IFERROR('GCM_Purlin 1.0'!AW18*$W$15," ")</f>
        <v xml:space="preserve"> </v>
      </c>
      <c r="F18" s="476" t="str">
        <f>IFERROR('GCM_Purlin 1.0'!AX18*$W$15," ")</f>
        <v xml:space="preserve"> </v>
      </c>
      <c r="G18" s="476" t="str">
        <f>IFERROR('GCM_Purlin 1.0'!AY18*$W$15," ")</f>
        <v xml:space="preserve"> </v>
      </c>
      <c r="H18" s="476" t="str">
        <f>IFERROR('GCM_Purlin 1.0'!AZ18*$W$15," ")</f>
        <v xml:space="preserve"> </v>
      </c>
      <c r="I18" s="476" t="str">
        <f>IFERROR('GCM_Purlin 1.0'!BA18*$W$15," ")</f>
        <v xml:space="preserve"> </v>
      </c>
      <c r="J18" s="476" t="str">
        <f>IFERROR('GCM_Purlin 1.0'!BB18*$W$15," ")</f>
        <v xml:space="preserve"> </v>
      </c>
      <c r="K18" s="476" t="str">
        <f>IFERROR('GCM_Purlin 1.0'!BC18*$W$15," ")</f>
        <v xml:space="preserve"> </v>
      </c>
      <c r="L18" s="476" t="str">
        <f>IFERROR('GCM_Purlin 1.0'!BD18*$W$15," ")</f>
        <v xml:space="preserve"> </v>
      </c>
      <c r="M18" s="476" t="str">
        <f>IFERROR('GCM_Purlin 1.0'!BE18*$W$15," ")</f>
        <v xml:space="preserve"> </v>
      </c>
      <c r="N18" s="476" t="str">
        <f>IFERROR('GCM_Purlin 1.0'!BF18*$W$15," ")</f>
        <v xml:space="preserve"> </v>
      </c>
      <c r="O18" s="476" t="str">
        <f>IFERROR('GCM_Purlin 1.0'!BG18*$W$15," ")</f>
        <v xml:space="preserve"> </v>
      </c>
      <c r="P18" s="476" t="str">
        <f>IFERROR('GCM_Purlin 1.0'!BH18*$W$15," ")</f>
        <v xml:space="preserve"> </v>
      </c>
      <c r="Q18" s="476" t="str">
        <f>IFERROR('GCM_Purlin 1.0'!BI18*$W$15," ")</f>
        <v xml:space="preserve"> </v>
      </c>
      <c r="R18" s="476" t="str">
        <f>IFERROR('GCM_Purlin 1.0'!BJ18*$W$15," ")</f>
        <v xml:space="preserve"> </v>
      </c>
      <c r="S18" s="495" t="str">
        <f>IFERROR('GCM_Purlin 1.0'!BK18*$W$15," ")</f>
        <v xml:space="preserve"> </v>
      </c>
      <c r="T18" s="476"/>
      <c r="U18" s="668"/>
      <c r="V18" s="501" t="s">
        <v>765</v>
      </c>
      <c r="W18" s="502" t="e">
        <f>'GCM_Purlin 1.0'!BW52</f>
        <v>#VALUE!</v>
      </c>
      <c r="Y18" s="678"/>
      <c r="Z18" s="680"/>
      <c r="AA18" s="496" t="str">
        <f t="shared" ref="AA18:AP18" si="28">IFERROR((D32*Quarter_Area)+(D33*Quarter_Area)," ")</f>
        <v xml:space="preserve"> </v>
      </c>
      <c r="AB18" s="497" t="str">
        <f t="shared" si="28"/>
        <v xml:space="preserve"> </v>
      </c>
      <c r="AC18" s="497" t="str">
        <f t="shared" si="28"/>
        <v xml:space="preserve"> </v>
      </c>
      <c r="AD18" s="497" t="str">
        <f t="shared" si="28"/>
        <v xml:space="preserve"> </v>
      </c>
      <c r="AE18" s="497" t="str">
        <f t="shared" si="28"/>
        <v xml:space="preserve"> </v>
      </c>
      <c r="AF18" s="497" t="str">
        <f t="shared" si="28"/>
        <v xml:space="preserve"> </v>
      </c>
      <c r="AG18" s="497" t="str">
        <f t="shared" si="28"/>
        <v xml:space="preserve"> </v>
      </c>
      <c r="AH18" s="497" t="str">
        <f t="shared" si="28"/>
        <v xml:space="preserve"> </v>
      </c>
      <c r="AI18" s="497" t="str">
        <f t="shared" si="28"/>
        <v xml:space="preserve"> </v>
      </c>
      <c r="AJ18" s="497" t="str">
        <f t="shared" si="28"/>
        <v xml:space="preserve"> </v>
      </c>
      <c r="AK18" s="497" t="str">
        <f t="shared" si="28"/>
        <v xml:space="preserve"> </v>
      </c>
      <c r="AL18" s="497" t="str">
        <f t="shared" si="28"/>
        <v xml:space="preserve"> </v>
      </c>
      <c r="AM18" s="497" t="str">
        <f t="shared" si="28"/>
        <v xml:space="preserve"> </v>
      </c>
      <c r="AN18" s="497" t="str">
        <f t="shared" si="28"/>
        <v xml:space="preserve"> </v>
      </c>
      <c r="AO18" s="497" t="str">
        <f t="shared" si="28"/>
        <v xml:space="preserve"> </v>
      </c>
      <c r="AP18" s="498" t="str">
        <f t="shared" si="28"/>
        <v xml:space="preserve"> </v>
      </c>
      <c r="AS18" s="678"/>
      <c r="AT18" s="641"/>
      <c r="AU18" s="496" t="str">
        <f t="shared" ref="AU18:BJ18" si="29">IFERROR((D32*Quarter_Area*(m1b-(Twidth/2)))+(D33*Quarter_Area*(m2b-(Twidth/2)))," ")</f>
        <v xml:space="preserve"> </v>
      </c>
      <c r="AV18" s="497" t="str">
        <f t="shared" si="29"/>
        <v xml:space="preserve"> </v>
      </c>
      <c r="AW18" s="497" t="str">
        <f t="shared" si="29"/>
        <v xml:space="preserve"> </v>
      </c>
      <c r="AX18" s="497" t="str">
        <f t="shared" si="29"/>
        <v xml:space="preserve"> </v>
      </c>
      <c r="AY18" s="497" t="str">
        <f t="shared" si="29"/>
        <v xml:space="preserve"> </v>
      </c>
      <c r="AZ18" s="497" t="str">
        <f t="shared" si="29"/>
        <v xml:space="preserve"> </v>
      </c>
      <c r="BA18" s="497" t="str">
        <f t="shared" si="29"/>
        <v xml:space="preserve"> </v>
      </c>
      <c r="BB18" s="497" t="str">
        <f t="shared" si="29"/>
        <v xml:space="preserve"> </v>
      </c>
      <c r="BC18" s="497" t="str">
        <f t="shared" si="29"/>
        <v xml:space="preserve"> </v>
      </c>
      <c r="BD18" s="497" t="str">
        <f t="shared" si="29"/>
        <v xml:space="preserve"> </v>
      </c>
      <c r="BE18" s="497" t="str">
        <f t="shared" si="29"/>
        <v xml:space="preserve"> </v>
      </c>
      <c r="BF18" s="497" t="str">
        <f t="shared" si="29"/>
        <v xml:space="preserve"> </v>
      </c>
      <c r="BG18" s="497" t="str">
        <f t="shared" si="29"/>
        <v xml:space="preserve"> </v>
      </c>
      <c r="BH18" s="497" t="str">
        <f t="shared" si="29"/>
        <v xml:space="preserve"> </v>
      </c>
      <c r="BI18" s="497" t="str">
        <f t="shared" si="29"/>
        <v xml:space="preserve"> </v>
      </c>
      <c r="BJ18" s="498" t="str">
        <f t="shared" si="29"/>
        <v xml:space="preserve"> </v>
      </c>
    </row>
    <row r="19" spans="1:62" ht="15.75" customHeight="1" thickBot="1" x14ac:dyDescent="0.3">
      <c r="A19" s="604"/>
      <c r="B19" s="555"/>
      <c r="C19" s="503" t="str">
        <f>'GCM_Purlin 1.0'!AU19</f>
        <v>GCN4</v>
      </c>
      <c r="D19" s="515" t="str">
        <f>IFERROR('GCM_Purlin 1.0'!AV19*$W$15," ")</f>
        <v xml:space="preserve"> </v>
      </c>
      <c r="E19" s="504" t="str">
        <f>IFERROR('GCM_Purlin 1.0'!AW19*$W$15," ")</f>
        <v xml:space="preserve"> </v>
      </c>
      <c r="F19" s="504" t="str">
        <f>IFERROR('GCM_Purlin 1.0'!AX19*$W$15," ")</f>
        <v xml:space="preserve"> </v>
      </c>
      <c r="G19" s="504" t="str">
        <f>IFERROR('GCM_Purlin 1.0'!AY19*$W$15," ")</f>
        <v xml:space="preserve"> </v>
      </c>
      <c r="H19" s="504" t="str">
        <f>IFERROR('GCM_Purlin 1.0'!AZ19*$W$15," ")</f>
        <v xml:space="preserve"> </v>
      </c>
      <c r="I19" s="504" t="str">
        <f>IFERROR('GCM_Purlin 1.0'!BA19*$W$15," ")</f>
        <v xml:space="preserve"> </v>
      </c>
      <c r="J19" s="504" t="str">
        <f>IFERROR('GCM_Purlin 1.0'!BB19*$W$15," ")</f>
        <v xml:space="preserve"> </v>
      </c>
      <c r="K19" s="504" t="str">
        <f>IFERROR('GCM_Purlin 1.0'!BC19*$W$15," ")</f>
        <v xml:space="preserve"> </v>
      </c>
      <c r="L19" s="504" t="str">
        <f>IFERROR('GCM_Purlin 1.0'!BD19*$W$15," ")</f>
        <v xml:space="preserve"> </v>
      </c>
      <c r="M19" s="504" t="str">
        <f>IFERROR('GCM_Purlin 1.0'!BE19*$W$15," ")</f>
        <v xml:space="preserve"> </v>
      </c>
      <c r="N19" s="504" t="str">
        <f>IFERROR('GCM_Purlin 1.0'!BF19*$W$15," ")</f>
        <v xml:space="preserve"> </v>
      </c>
      <c r="O19" s="504" t="str">
        <f>IFERROR('GCM_Purlin 1.0'!BG19*$W$15," ")</f>
        <v xml:space="preserve"> </v>
      </c>
      <c r="P19" s="504" t="str">
        <f>IFERROR('GCM_Purlin 1.0'!BH19*$W$15," ")</f>
        <v xml:space="preserve"> </v>
      </c>
      <c r="Q19" s="504" t="str">
        <f>IFERROR('GCM_Purlin 1.0'!BI19*$W$15," ")</f>
        <v xml:space="preserve"> </v>
      </c>
      <c r="R19" s="504" t="str">
        <f>IFERROR('GCM_Purlin 1.0'!BJ19*$W$15," ")</f>
        <v xml:space="preserve"> </v>
      </c>
      <c r="S19" s="505" t="str">
        <f>IFERROR('GCM_Purlin 1.0'!BK19*$W$15," ")</f>
        <v xml:space="preserve"> </v>
      </c>
      <c r="T19" s="476"/>
      <c r="U19" s="695">
        <v>5</v>
      </c>
      <c r="V19" s="474" t="s">
        <v>521</v>
      </c>
      <c r="W19" s="506" t="e">
        <f>'GCM_Purlin 1.0'!BW55</f>
        <v>#VALUE!</v>
      </c>
      <c r="Y19" s="673"/>
      <c r="Z19" s="680"/>
      <c r="AA19" s="496" t="str">
        <f t="shared" ref="AA19:AP19" si="30">IFERROR((D34*Quarter_Area)+(D35*Quarter_Area)," ")</f>
        <v xml:space="preserve"> </v>
      </c>
      <c r="AB19" s="497" t="str">
        <f t="shared" si="30"/>
        <v xml:space="preserve"> </v>
      </c>
      <c r="AC19" s="497" t="str">
        <f t="shared" si="30"/>
        <v xml:space="preserve"> </v>
      </c>
      <c r="AD19" s="497" t="str">
        <f t="shared" si="30"/>
        <v xml:space="preserve"> </v>
      </c>
      <c r="AE19" s="497" t="str">
        <f t="shared" si="30"/>
        <v xml:space="preserve"> </v>
      </c>
      <c r="AF19" s="497" t="str">
        <f t="shared" si="30"/>
        <v xml:space="preserve"> </v>
      </c>
      <c r="AG19" s="497" t="str">
        <f t="shared" si="30"/>
        <v xml:space="preserve"> </v>
      </c>
      <c r="AH19" s="497" t="str">
        <f t="shared" si="30"/>
        <v xml:space="preserve"> </v>
      </c>
      <c r="AI19" s="497" t="str">
        <f t="shared" si="30"/>
        <v xml:space="preserve"> </v>
      </c>
      <c r="AJ19" s="497" t="str">
        <f t="shared" si="30"/>
        <v xml:space="preserve"> </v>
      </c>
      <c r="AK19" s="497" t="str">
        <f t="shared" si="30"/>
        <v xml:space="preserve"> </v>
      </c>
      <c r="AL19" s="497" t="str">
        <f t="shared" si="30"/>
        <v xml:space="preserve"> </v>
      </c>
      <c r="AM19" s="497" t="str">
        <f t="shared" si="30"/>
        <v xml:space="preserve"> </v>
      </c>
      <c r="AN19" s="497" t="str">
        <f t="shared" si="30"/>
        <v xml:space="preserve"> </v>
      </c>
      <c r="AO19" s="497" t="str">
        <f t="shared" si="30"/>
        <v xml:space="preserve"> </v>
      </c>
      <c r="AP19" s="498" t="str">
        <f t="shared" si="30"/>
        <v xml:space="preserve"> </v>
      </c>
      <c r="AS19" s="673"/>
      <c r="AT19" s="641"/>
      <c r="AU19" s="496" t="str">
        <f t="shared" ref="AU19:BJ19" si="31">IFERROR((D34*Quarter_Area*(m3b-(Twidth/2)))+(D35*Quarter_Area*(m4b-(Twidth/2)))," ")</f>
        <v xml:space="preserve"> </v>
      </c>
      <c r="AV19" s="497" t="str">
        <f t="shared" si="31"/>
        <v xml:space="preserve"> </v>
      </c>
      <c r="AW19" s="497" t="str">
        <f t="shared" si="31"/>
        <v xml:space="preserve"> </v>
      </c>
      <c r="AX19" s="497" t="str">
        <f t="shared" si="31"/>
        <v xml:space="preserve"> </v>
      </c>
      <c r="AY19" s="497" t="str">
        <f t="shared" si="31"/>
        <v xml:space="preserve"> </v>
      </c>
      <c r="AZ19" s="497" t="str">
        <f t="shared" si="31"/>
        <v xml:space="preserve"> </v>
      </c>
      <c r="BA19" s="497" t="str">
        <f t="shared" si="31"/>
        <v xml:space="preserve"> </v>
      </c>
      <c r="BB19" s="497" t="str">
        <f t="shared" si="31"/>
        <v xml:space="preserve"> </v>
      </c>
      <c r="BC19" s="497" t="str">
        <f t="shared" si="31"/>
        <v xml:space="preserve"> </v>
      </c>
      <c r="BD19" s="497" t="str">
        <f t="shared" si="31"/>
        <v xml:space="preserve"> </v>
      </c>
      <c r="BE19" s="497" t="str">
        <f t="shared" si="31"/>
        <v xml:space="preserve"> </v>
      </c>
      <c r="BF19" s="497" t="str">
        <f t="shared" si="31"/>
        <v xml:space="preserve"> </v>
      </c>
      <c r="BG19" s="497" t="str">
        <f t="shared" si="31"/>
        <v xml:space="preserve"> </v>
      </c>
      <c r="BH19" s="497" t="str">
        <f t="shared" si="31"/>
        <v xml:space="preserve"> </v>
      </c>
      <c r="BI19" s="497" t="str">
        <f t="shared" si="31"/>
        <v xml:space="preserve"> </v>
      </c>
      <c r="BJ19" s="498" t="str">
        <f t="shared" si="31"/>
        <v xml:space="preserve"> </v>
      </c>
    </row>
    <row r="20" spans="1:62" x14ac:dyDescent="0.25">
      <c r="A20" s="684">
        <v>5</v>
      </c>
      <c r="B20" s="555"/>
      <c r="C20" s="481" t="str">
        <f>'GCM_Purlin 1.0'!AU20</f>
        <v>GCN1</v>
      </c>
      <c r="D20" s="482" t="str">
        <f>IFERROR('GCM_Purlin 1.0'!AV20*$W$19," ")</f>
        <v xml:space="preserve"> </v>
      </c>
      <c r="E20" s="482" t="str">
        <f>IFERROR('GCM_Purlin 1.0'!AW20*$W$19," ")</f>
        <v xml:space="preserve"> </v>
      </c>
      <c r="F20" s="482" t="str">
        <f>IFERROR('GCM_Purlin 1.0'!AX20*$W$19," ")</f>
        <v xml:space="preserve"> </v>
      </c>
      <c r="G20" s="482" t="str">
        <f>IFERROR('GCM_Purlin 1.0'!AY20*$W$19," ")</f>
        <v xml:space="preserve"> </v>
      </c>
      <c r="H20" s="482" t="str">
        <f>IFERROR('GCM_Purlin 1.0'!AZ20*$W$19," ")</f>
        <v xml:space="preserve"> </v>
      </c>
      <c r="I20" s="482" t="str">
        <f>IFERROR('GCM_Purlin 1.0'!BA20*$W$19," ")</f>
        <v xml:space="preserve"> </v>
      </c>
      <c r="J20" s="482" t="str">
        <f>IFERROR('GCM_Purlin 1.0'!BB20*$W$19," ")</f>
        <v xml:space="preserve"> </v>
      </c>
      <c r="K20" s="482" t="str">
        <f>IFERROR('GCM_Purlin 1.0'!BC20*$W$19," ")</f>
        <v xml:space="preserve"> </v>
      </c>
      <c r="L20" s="482" t="str">
        <f>IFERROR('GCM_Purlin 1.0'!BD20*$W$19," ")</f>
        <v xml:space="preserve"> </v>
      </c>
      <c r="M20" s="482" t="str">
        <f>IFERROR('GCM_Purlin 1.0'!BE20*$W$19," ")</f>
        <v xml:space="preserve"> </v>
      </c>
      <c r="N20" s="482" t="str">
        <f>IFERROR('GCM_Purlin 1.0'!BF20*$W$19," ")</f>
        <v xml:space="preserve"> </v>
      </c>
      <c r="O20" s="482" t="str">
        <f>IFERROR('GCM_Purlin 1.0'!BG20*$W$19," ")</f>
        <v xml:space="preserve"> </v>
      </c>
      <c r="P20" s="482" t="str">
        <f>IFERROR('GCM_Purlin 1.0'!BH20*$W$19," ")</f>
        <v xml:space="preserve"> </v>
      </c>
      <c r="Q20" s="482" t="str">
        <f>IFERROR('GCM_Purlin 1.0'!BI20*$W$19," ")</f>
        <v xml:space="preserve"> </v>
      </c>
      <c r="R20" s="482" t="str">
        <f>IFERROR('GCM_Purlin 1.0'!BJ20*$W$19," ")</f>
        <v xml:space="preserve"> </v>
      </c>
      <c r="S20" s="483" t="str">
        <f>IFERROR('GCM_Purlin 1.0'!BK20*$W$19," ")</f>
        <v xml:space="preserve"> </v>
      </c>
      <c r="T20" s="476"/>
      <c r="U20" s="604"/>
      <c r="V20" s="484" t="s">
        <v>761</v>
      </c>
      <c r="W20" s="485">
        <f>'GCM_Purlin 1.0'!BW58</f>
        <v>1</v>
      </c>
      <c r="Y20" s="672"/>
      <c r="Z20" s="680"/>
      <c r="AA20" s="496" t="str">
        <f t="shared" ref="AA20:AP20" si="32">IFERROR((D36*Quarter_Area)+(D37*Quarter_Area)," ")</f>
        <v xml:space="preserve"> </v>
      </c>
      <c r="AB20" s="497" t="str">
        <f t="shared" si="32"/>
        <v xml:space="preserve"> </v>
      </c>
      <c r="AC20" s="497" t="str">
        <f t="shared" si="32"/>
        <v xml:space="preserve"> </v>
      </c>
      <c r="AD20" s="497" t="str">
        <f t="shared" si="32"/>
        <v xml:space="preserve"> </v>
      </c>
      <c r="AE20" s="497" t="str">
        <f t="shared" si="32"/>
        <v xml:space="preserve"> </v>
      </c>
      <c r="AF20" s="497" t="str">
        <f t="shared" si="32"/>
        <v xml:space="preserve"> </v>
      </c>
      <c r="AG20" s="497" t="str">
        <f t="shared" si="32"/>
        <v xml:space="preserve"> </v>
      </c>
      <c r="AH20" s="497" t="str">
        <f t="shared" si="32"/>
        <v xml:space="preserve"> </v>
      </c>
      <c r="AI20" s="497" t="str">
        <f t="shared" si="32"/>
        <v xml:space="preserve"> </v>
      </c>
      <c r="AJ20" s="497" t="str">
        <f t="shared" si="32"/>
        <v xml:space="preserve"> </v>
      </c>
      <c r="AK20" s="497" t="str">
        <f t="shared" si="32"/>
        <v xml:space="preserve"> </v>
      </c>
      <c r="AL20" s="497" t="str">
        <f t="shared" si="32"/>
        <v xml:space="preserve"> </v>
      </c>
      <c r="AM20" s="497" t="str">
        <f t="shared" si="32"/>
        <v xml:space="preserve"> </v>
      </c>
      <c r="AN20" s="497" t="str">
        <f t="shared" si="32"/>
        <v xml:space="preserve"> </v>
      </c>
      <c r="AO20" s="497" t="str">
        <f t="shared" si="32"/>
        <v xml:space="preserve"> </v>
      </c>
      <c r="AP20" s="498" t="str">
        <f t="shared" si="32"/>
        <v xml:space="preserve"> </v>
      </c>
      <c r="AS20" s="672"/>
      <c r="AT20" s="641"/>
      <c r="AU20" s="496" t="str">
        <f t="shared" ref="AU20:BJ20" si="33">IFERROR((D36*Quarter_Area*(m1b-(Twidth/2)))+(D37*Quarter_Area*(m2b-(Twidth/2)))," ")</f>
        <v xml:space="preserve"> </v>
      </c>
      <c r="AV20" s="497" t="str">
        <f t="shared" si="33"/>
        <v xml:space="preserve"> </v>
      </c>
      <c r="AW20" s="497" t="str">
        <f t="shared" si="33"/>
        <v xml:space="preserve"> </v>
      </c>
      <c r="AX20" s="497" t="str">
        <f t="shared" si="33"/>
        <v xml:space="preserve"> </v>
      </c>
      <c r="AY20" s="497" t="str">
        <f t="shared" si="33"/>
        <v xml:space="preserve"> </v>
      </c>
      <c r="AZ20" s="497" t="str">
        <f t="shared" si="33"/>
        <v xml:space="preserve"> </v>
      </c>
      <c r="BA20" s="497" t="str">
        <f t="shared" si="33"/>
        <v xml:space="preserve"> </v>
      </c>
      <c r="BB20" s="497" t="str">
        <f t="shared" si="33"/>
        <v xml:space="preserve"> </v>
      </c>
      <c r="BC20" s="497" t="str">
        <f t="shared" si="33"/>
        <v xml:space="preserve"> </v>
      </c>
      <c r="BD20" s="497" t="str">
        <f t="shared" si="33"/>
        <v xml:space="preserve"> </v>
      </c>
      <c r="BE20" s="497" t="str">
        <f t="shared" si="33"/>
        <v xml:space="preserve"> </v>
      </c>
      <c r="BF20" s="497" t="str">
        <f t="shared" si="33"/>
        <v xml:space="preserve"> </v>
      </c>
      <c r="BG20" s="497" t="str">
        <f t="shared" si="33"/>
        <v xml:space="preserve"> </v>
      </c>
      <c r="BH20" s="497" t="str">
        <f t="shared" si="33"/>
        <v xml:space="preserve"> </v>
      </c>
      <c r="BI20" s="497" t="str">
        <f t="shared" si="33"/>
        <v xml:space="preserve"> </v>
      </c>
      <c r="BJ20" s="498" t="str">
        <f t="shared" si="33"/>
        <v xml:space="preserve"> </v>
      </c>
    </row>
    <row r="21" spans="1:62" x14ac:dyDescent="0.25">
      <c r="A21" s="604"/>
      <c r="B21" s="555"/>
      <c r="C21" s="494" t="str">
        <f>'GCM_Purlin 1.0'!AU21</f>
        <v>GCN2</v>
      </c>
      <c r="D21" s="476" t="str">
        <f>IFERROR('GCM_Purlin 1.0'!AV21*$W$19," ")</f>
        <v xml:space="preserve"> </v>
      </c>
      <c r="E21" s="476" t="str">
        <f>IFERROR('GCM_Purlin 1.0'!AW21*$W$19," ")</f>
        <v xml:space="preserve"> </v>
      </c>
      <c r="F21" s="476" t="str">
        <f>IFERROR('GCM_Purlin 1.0'!AX21*$W$19," ")</f>
        <v xml:space="preserve"> </v>
      </c>
      <c r="G21" s="476" t="str">
        <f>IFERROR('GCM_Purlin 1.0'!AY21*$W$19," ")</f>
        <v xml:space="preserve"> </v>
      </c>
      <c r="H21" s="476" t="str">
        <f>IFERROR('GCM_Purlin 1.0'!AZ21*$W$19," ")</f>
        <v xml:space="preserve"> </v>
      </c>
      <c r="I21" s="476" t="str">
        <f>IFERROR('GCM_Purlin 1.0'!BA21*$W$19," ")</f>
        <v xml:space="preserve"> </v>
      </c>
      <c r="J21" s="476" t="str">
        <f>IFERROR('GCM_Purlin 1.0'!BB21*$W$19," ")</f>
        <v xml:space="preserve"> </v>
      </c>
      <c r="K21" s="476" t="str">
        <f>IFERROR('GCM_Purlin 1.0'!BC21*$W$19," ")</f>
        <v xml:space="preserve"> </v>
      </c>
      <c r="L21" s="476" t="str">
        <f>IFERROR('GCM_Purlin 1.0'!BD21*$W$19," ")</f>
        <v xml:space="preserve"> </v>
      </c>
      <c r="M21" s="476" t="str">
        <f>IFERROR('GCM_Purlin 1.0'!BE21*$W$19," ")</f>
        <v xml:space="preserve"> </v>
      </c>
      <c r="N21" s="476" t="str">
        <f>IFERROR('GCM_Purlin 1.0'!BF21*$W$19," ")</f>
        <v xml:space="preserve"> </v>
      </c>
      <c r="O21" s="476" t="str">
        <f>IFERROR('GCM_Purlin 1.0'!BG21*$W$19," ")</f>
        <v xml:space="preserve"> </v>
      </c>
      <c r="P21" s="476" t="str">
        <f>IFERROR('GCM_Purlin 1.0'!BH21*$W$19," ")</f>
        <v xml:space="preserve"> </v>
      </c>
      <c r="Q21" s="476" t="str">
        <f>IFERROR('GCM_Purlin 1.0'!BI21*$W$19," ")</f>
        <v xml:space="preserve"> </v>
      </c>
      <c r="R21" s="476" t="str">
        <f>IFERROR('GCM_Purlin 1.0'!BJ21*$W$19," ")</f>
        <v xml:space="preserve"> </v>
      </c>
      <c r="S21" s="495" t="str">
        <f>IFERROR('GCM_Purlin 1.0'!BK21*$W$19," ")</f>
        <v xml:space="preserve"> </v>
      </c>
      <c r="T21" s="476"/>
      <c r="U21" s="604"/>
      <c r="V21" s="163" t="s">
        <v>763</v>
      </c>
      <c r="W21" s="485" t="e">
        <f>'GCM_Purlin 1.0'!BW61</f>
        <v>#VALUE!</v>
      </c>
      <c r="Y21" s="673"/>
      <c r="Z21" s="680"/>
      <c r="AA21" s="496" t="str">
        <f t="shared" ref="AA21:AP21" si="34">IFERROR((D38*Quarter_Area)+(D39*Quarter_Area)," ")</f>
        <v xml:space="preserve"> </v>
      </c>
      <c r="AB21" s="497" t="str">
        <f t="shared" si="34"/>
        <v xml:space="preserve"> </v>
      </c>
      <c r="AC21" s="497" t="str">
        <f t="shared" si="34"/>
        <v xml:space="preserve"> </v>
      </c>
      <c r="AD21" s="497" t="str">
        <f t="shared" si="34"/>
        <v xml:space="preserve"> </v>
      </c>
      <c r="AE21" s="497" t="str">
        <f t="shared" si="34"/>
        <v xml:space="preserve"> </v>
      </c>
      <c r="AF21" s="497" t="str">
        <f t="shared" si="34"/>
        <v xml:space="preserve"> </v>
      </c>
      <c r="AG21" s="497" t="str">
        <f t="shared" si="34"/>
        <v xml:space="preserve"> </v>
      </c>
      <c r="AH21" s="497" t="str">
        <f t="shared" si="34"/>
        <v xml:space="preserve"> </v>
      </c>
      <c r="AI21" s="497" t="str">
        <f t="shared" si="34"/>
        <v xml:space="preserve"> </v>
      </c>
      <c r="AJ21" s="497" t="str">
        <f t="shared" si="34"/>
        <v xml:space="preserve"> </v>
      </c>
      <c r="AK21" s="497" t="str">
        <f t="shared" si="34"/>
        <v xml:space="preserve"> </v>
      </c>
      <c r="AL21" s="497" t="str">
        <f t="shared" si="34"/>
        <v xml:space="preserve"> </v>
      </c>
      <c r="AM21" s="497" t="str">
        <f t="shared" si="34"/>
        <v xml:space="preserve"> </v>
      </c>
      <c r="AN21" s="497" t="str">
        <f t="shared" si="34"/>
        <v xml:space="preserve"> </v>
      </c>
      <c r="AO21" s="497" t="str">
        <f t="shared" si="34"/>
        <v xml:space="preserve"> </v>
      </c>
      <c r="AP21" s="498" t="str">
        <f t="shared" si="34"/>
        <v xml:space="preserve"> </v>
      </c>
      <c r="AS21" s="673"/>
      <c r="AT21" s="641"/>
      <c r="AU21" s="496" t="str">
        <f t="shared" ref="AU21:BJ21" si="35">IFERROR((D38*Quarter_Area*(m3b-(Twidth/2)))+(D39*Quarter_Area*(m4b-(Twidth/2)))," ")</f>
        <v xml:space="preserve"> </v>
      </c>
      <c r="AV21" s="497" t="str">
        <f t="shared" si="35"/>
        <v xml:space="preserve"> </v>
      </c>
      <c r="AW21" s="497" t="str">
        <f t="shared" si="35"/>
        <v xml:space="preserve"> </v>
      </c>
      <c r="AX21" s="497" t="str">
        <f t="shared" si="35"/>
        <v xml:space="preserve"> </v>
      </c>
      <c r="AY21" s="497" t="str">
        <f t="shared" si="35"/>
        <v xml:space="preserve"> </v>
      </c>
      <c r="AZ21" s="497" t="str">
        <f t="shared" si="35"/>
        <v xml:space="preserve"> </v>
      </c>
      <c r="BA21" s="497" t="str">
        <f t="shared" si="35"/>
        <v xml:space="preserve"> </v>
      </c>
      <c r="BB21" s="497" t="str">
        <f t="shared" si="35"/>
        <v xml:space="preserve"> </v>
      </c>
      <c r="BC21" s="497" t="str">
        <f t="shared" si="35"/>
        <v xml:space="preserve"> </v>
      </c>
      <c r="BD21" s="497" t="str">
        <f t="shared" si="35"/>
        <v xml:space="preserve"> </v>
      </c>
      <c r="BE21" s="497" t="str">
        <f t="shared" si="35"/>
        <v xml:space="preserve"> </v>
      </c>
      <c r="BF21" s="497" t="str">
        <f t="shared" si="35"/>
        <v xml:space="preserve"> </v>
      </c>
      <c r="BG21" s="497" t="str">
        <f t="shared" si="35"/>
        <v xml:space="preserve"> </v>
      </c>
      <c r="BH21" s="497" t="str">
        <f t="shared" si="35"/>
        <v xml:space="preserve"> </v>
      </c>
      <c r="BI21" s="497" t="str">
        <f t="shared" si="35"/>
        <v xml:space="preserve"> </v>
      </c>
      <c r="BJ21" s="498" t="str">
        <f t="shared" si="35"/>
        <v xml:space="preserve"> </v>
      </c>
    </row>
    <row r="22" spans="1:62" ht="15.75" customHeight="1" thickBot="1" x14ac:dyDescent="0.3">
      <c r="A22" s="604"/>
      <c r="B22" s="555"/>
      <c r="C22" s="494" t="str">
        <f>'GCM_Purlin 1.0'!AU22</f>
        <v>GCN3</v>
      </c>
      <c r="D22" s="476" t="str">
        <f>IFERROR('GCM_Purlin 1.0'!AV22*$W$19," ")</f>
        <v xml:space="preserve"> </v>
      </c>
      <c r="E22" s="476" t="str">
        <f>IFERROR('GCM_Purlin 1.0'!AW22*$W$19," ")</f>
        <v xml:space="preserve"> </v>
      </c>
      <c r="F22" s="476" t="str">
        <f>IFERROR('GCM_Purlin 1.0'!AX22*$W$19," ")</f>
        <v xml:space="preserve"> </v>
      </c>
      <c r="G22" s="476" t="str">
        <f>IFERROR('GCM_Purlin 1.0'!AY22*$W$19," ")</f>
        <v xml:space="preserve"> </v>
      </c>
      <c r="H22" s="476" t="str">
        <f>IFERROR('GCM_Purlin 1.0'!AZ22*$W$19," ")</f>
        <v xml:space="preserve"> </v>
      </c>
      <c r="I22" s="476" t="str">
        <f>IFERROR('GCM_Purlin 1.0'!BA22*$W$19," ")</f>
        <v xml:space="preserve"> </v>
      </c>
      <c r="J22" s="476" t="str">
        <f>IFERROR('GCM_Purlin 1.0'!BB22*$W$19," ")</f>
        <v xml:space="preserve"> </v>
      </c>
      <c r="K22" s="476" t="str">
        <f>IFERROR('GCM_Purlin 1.0'!BC22*$W$19," ")</f>
        <v xml:space="preserve"> </v>
      </c>
      <c r="L22" s="476" t="str">
        <f>IFERROR('GCM_Purlin 1.0'!BD22*$W$19," ")</f>
        <v xml:space="preserve"> </v>
      </c>
      <c r="M22" s="476" t="str">
        <f>IFERROR('GCM_Purlin 1.0'!BE22*$W$19," ")</f>
        <v xml:space="preserve"> </v>
      </c>
      <c r="N22" s="476" t="str">
        <f>IFERROR('GCM_Purlin 1.0'!BF22*$W$19," ")</f>
        <v xml:space="preserve"> </v>
      </c>
      <c r="O22" s="476" t="str">
        <f>IFERROR('GCM_Purlin 1.0'!BG22*$W$19," ")</f>
        <v xml:space="preserve"> </v>
      </c>
      <c r="P22" s="476" t="str">
        <f>IFERROR('GCM_Purlin 1.0'!BH22*$W$19," ")</f>
        <v xml:space="preserve"> </v>
      </c>
      <c r="Q22" s="476" t="str">
        <f>IFERROR('GCM_Purlin 1.0'!BI22*$W$19," ")</f>
        <v xml:space="preserve"> </v>
      </c>
      <c r="R22" s="476" t="str">
        <f>IFERROR('GCM_Purlin 1.0'!BJ22*$W$19," ")</f>
        <v xml:space="preserve"> </v>
      </c>
      <c r="S22" s="495" t="str">
        <f>IFERROR('GCM_Purlin 1.0'!BK22*$W$19," ")</f>
        <v xml:space="preserve"> </v>
      </c>
      <c r="T22" s="476"/>
      <c r="U22" s="668"/>
      <c r="V22" s="501" t="s">
        <v>765</v>
      </c>
      <c r="W22" s="502" t="e">
        <f>'GCM_Purlin 1.0'!BW64</f>
        <v>#VALUE!</v>
      </c>
      <c r="Y22" s="699"/>
      <c r="Z22" s="680"/>
      <c r="AA22" s="496" t="str">
        <f t="shared" ref="AA22:AP22" si="36">IFERROR((D40*Quarter_Area)+(D41*Quarter_Area)," ")</f>
        <v xml:space="preserve"> </v>
      </c>
      <c r="AB22" s="497" t="str">
        <f t="shared" si="36"/>
        <v xml:space="preserve"> </v>
      </c>
      <c r="AC22" s="497" t="str">
        <f t="shared" si="36"/>
        <v xml:space="preserve"> </v>
      </c>
      <c r="AD22" s="497" t="str">
        <f t="shared" si="36"/>
        <v xml:space="preserve"> </v>
      </c>
      <c r="AE22" s="497" t="str">
        <f t="shared" si="36"/>
        <v xml:space="preserve"> </v>
      </c>
      <c r="AF22" s="497" t="str">
        <f t="shared" si="36"/>
        <v xml:space="preserve"> </v>
      </c>
      <c r="AG22" s="497" t="str">
        <f t="shared" si="36"/>
        <v xml:space="preserve"> </v>
      </c>
      <c r="AH22" s="497" t="str">
        <f t="shared" si="36"/>
        <v xml:space="preserve"> </v>
      </c>
      <c r="AI22" s="497" t="str">
        <f t="shared" si="36"/>
        <v xml:space="preserve"> </v>
      </c>
      <c r="AJ22" s="497" t="str">
        <f t="shared" si="36"/>
        <v xml:space="preserve"> </v>
      </c>
      <c r="AK22" s="497" t="str">
        <f t="shared" si="36"/>
        <v xml:space="preserve"> </v>
      </c>
      <c r="AL22" s="497" t="str">
        <f t="shared" si="36"/>
        <v xml:space="preserve"> </v>
      </c>
      <c r="AM22" s="497" t="str">
        <f t="shared" si="36"/>
        <v xml:space="preserve"> </v>
      </c>
      <c r="AN22" s="497" t="str">
        <f t="shared" si="36"/>
        <v xml:space="preserve"> </v>
      </c>
      <c r="AO22" s="497" t="str">
        <f t="shared" si="36"/>
        <v xml:space="preserve"> </v>
      </c>
      <c r="AP22" s="498" t="str">
        <f t="shared" si="36"/>
        <v xml:space="preserve"> </v>
      </c>
      <c r="AS22" s="699"/>
      <c r="AT22" s="641"/>
      <c r="AU22" s="496" t="str">
        <f t="shared" ref="AU22:BJ22" si="37">IFERROR((D40*Quarter_Area*(m1b-(Twidth/2)))+(D41*Quarter_Area*(m2b-(Twidth/2)))," ")</f>
        <v xml:space="preserve"> </v>
      </c>
      <c r="AV22" s="497" t="str">
        <f t="shared" si="37"/>
        <v xml:space="preserve"> </v>
      </c>
      <c r="AW22" s="497" t="str">
        <f t="shared" si="37"/>
        <v xml:space="preserve"> </v>
      </c>
      <c r="AX22" s="497" t="str">
        <f t="shared" si="37"/>
        <v xml:space="preserve"> </v>
      </c>
      <c r="AY22" s="497" t="str">
        <f t="shared" si="37"/>
        <v xml:space="preserve"> </v>
      </c>
      <c r="AZ22" s="497" t="str">
        <f t="shared" si="37"/>
        <v xml:space="preserve"> </v>
      </c>
      <c r="BA22" s="497" t="str">
        <f t="shared" si="37"/>
        <v xml:space="preserve"> </v>
      </c>
      <c r="BB22" s="497" t="str">
        <f t="shared" si="37"/>
        <v xml:space="preserve"> </v>
      </c>
      <c r="BC22" s="497" t="str">
        <f t="shared" si="37"/>
        <v xml:space="preserve"> </v>
      </c>
      <c r="BD22" s="497" t="str">
        <f t="shared" si="37"/>
        <v xml:space="preserve"> </v>
      </c>
      <c r="BE22" s="497" t="str">
        <f t="shared" si="37"/>
        <v xml:space="preserve"> </v>
      </c>
      <c r="BF22" s="497" t="str">
        <f t="shared" si="37"/>
        <v xml:space="preserve"> </v>
      </c>
      <c r="BG22" s="497" t="str">
        <f t="shared" si="37"/>
        <v xml:space="preserve"> </v>
      </c>
      <c r="BH22" s="497" t="str">
        <f t="shared" si="37"/>
        <v xml:space="preserve"> </v>
      </c>
      <c r="BI22" s="497" t="str">
        <f t="shared" si="37"/>
        <v xml:space="preserve"> </v>
      </c>
      <c r="BJ22" s="498" t="str">
        <f t="shared" si="37"/>
        <v xml:space="preserve"> </v>
      </c>
    </row>
    <row r="23" spans="1:62" ht="15.75" customHeight="1" thickBot="1" x14ac:dyDescent="0.3">
      <c r="A23" s="668"/>
      <c r="B23" s="555"/>
      <c r="C23" s="503" t="str">
        <f>'GCM_Purlin 1.0'!AU23</f>
        <v>GCN4</v>
      </c>
      <c r="D23" s="504" t="str">
        <f>IFERROR('GCM_Purlin 1.0'!AV23*$W$19," ")</f>
        <v xml:space="preserve"> </v>
      </c>
      <c r="E23" s="504" t="str">
        <f>IFERROR('GCM_Purlin 1.0'!AW23*$W$19," ")</f>
        <v xml:space="preserve"> </v>
      </c>
      <c r="F23" s="504" t="str">
        <f>IFERROR('GCM_Purlin 1.0'!AX23*$W$19," ")</f>
        <v xml:space="preserve"> </v>
      </c>
      <c r="G23" s="504" t="str">
        <f>IFERROR('GCM_Purlin 1.0'!AY23*$W$19," ")</f>
        <v xml:space="preserve"> </v>
      </c>
      <c r="H23" s="504" t="str">
        <f>IFERROR('GCM_Purlin 1.0'!AZ23*$W$19," ")</f>
        <v xml:space="preserve"> </v>
      </c>
      <c r="I23" s="504" t="str">
        <f>IFERROR('GCM_Purlin 1.0'!BA23*$W$19," ")</f>
        <v xml:space="preserve"> </v>
      </c>
      <c r="J23" s="504" t="str">
        <f>IFERROR('GCM_Purlin 1.0'!BB23*$W$19," ")</f>
        <v xml:space="preserve"> </v>
      </c>
      <c r="K23" s="504" t="str">
        <f>IFERROR('GCM_Purlin 1.0'!BC23*$W$19," ")</f>
        <v xml:space="preserve"> </v>
      </c>
      <c r="L23" s="504" t="str">
        <f>IFERROR('GCM_Purlin 1.0'!BD23*$W$19," ")</f>
        <v xml:space="preserve"> </v>
      </c>
      <c r="M23" s="504" t="str">
        <f>IFERROR('GCM_Purlin 1.0'!BE23*$W$19," ")</f>
        <v xml:space="preserve"> </v>
      </c>
      <c r="N23" s="504" t="str">
        <f>IFERROR('GCM_Purlin 1.0'!BF23*$W$19," ")</f>
        <v xml:space="preserve"> </v>
      </c>
      <c r="O23" s="504" t="str">
        <f>IFERROR('GCM_Purlin 1.0'!BG23*$W$19," ")</f>
        <v xml:space="preserve"> </v>
      </c>
      <c r="P23" s="504" t="str">
        <f>IFERROR('GCM_Purlin 1.0'!BH23*$W$19," ")</f>
        <v xml:space="preserve"> </v>
      </c>
      <c r="Q23" s="504" t="str">
        <f>IFERROR('GCM_Purlin 1.0'!BI23*$W$19," ")</f>
        <v xml:space="preserve"> </v>
      </c>
      <c r="R23" s="504" t="str">
        <f>IFERROR('GCM_Purlin 1.0'!BJ23*$W$19," ")</f>
        <v xml:space="preserve"> </v>
      </c>
      <c r="S23" s="505" t="str">
        <f>IFERROR('GCM_Purlin 1.0'!BK23*$W$19," ")</f>
        <v xml:space="preserve"> </v>
      </c>
      <c r="T23" s="476"/>
      <c r="Y23" s="700"/>
      <c r="Z23" s="673"/>
      <c r="AA23" s="516" t="str">
        <f t="shared" ref="AA23:AP23" si="38">IFERROR((D42*Quarter_Area)+(D43*Quarter_Area)," ")</f>
        <v xml:space="preserve"> </v>
      </c>
      <c r="AB23" s="517" t="str">
        <f t="shared" si="38"/>
        <v xml:space="preserve"> </v>
      </c>
      <c r="AC23" s="517" t="str">
        <f t="shared" si="38"/>
        <v xml:space="preserve"> </v>
      </c>
      <c r="AD23" s="517" t="str">
        <f t="shared" si="38"/>
        <v xml:space="preserve"> </v>
      </c>
      <c r="AE23" s="517" t="str">
        <f t="shared" si="38"/>
        <v xml:space="preserve"> </v>
      </c>
      <c r="AF23" s="517" t="str">
        <f t="shared" si="38"/>
        <v xml:space="preserve"> </v>
      </c>
      <c r="AG23" s="517" t="str">
        <f t="shared" si="38"/>
        <v xml:space="preserve"> </v>
      </c>
      <c r="AH23" s="517" t="str">
        <f t="shared" si="38"/>
        <v xml:space="preserve"> </v>
      </c>
      <c r="AI23" s="517" t="str">
        <f t="shared" si="38"/>
        <v xml:space="preserve"> </v>
      </c>
      <c r="AJ23" s="517" t="str">
        <f t="shared" si="38"/>
        <v xml:space="preserve"> </v>
      </c>
      <c r="AK23" s="517" t="str">
        <f t="shared" si="38"/>
        <v xml:space="preserve"> </v>
      </c>
      <c r="AL23" s="517" t="str">
        <f t="shared" si="38"/>
        <v xml:space="preserve"> </v>
      </c>
      <c r="AM23" s="517" t="str">
        <f t="shared" si="38"/>
        <v xml:space="preserve"> </v>
      </c>
      <c r="AN23" s="517" t="str">
        <f t="shared" si="38"/>
        <v xml:space="preserve"> </v>
      </c>
      <c r="AO23" s="517" t="str">
        <f t="shared" si="38"/>
        <v xml:space="preserve"> </v>
      </c>
      <c r="AP23" s="518" t="str">
        <f t="shared" si="38"/>
        <v xml:space="preserve"> </v>
      </c>
      <c r="AS23" s="700"/>
      <c r="AT23" s="706"/>
      <c r="AU23" s="516" t="str">
        <f t="shared" ref="AU23:BJ23" si="39">IFERROR((D42*Quarter_Area*(m3b-(Twidth/2)))+(D43*Quarter_Area*(m4b-(Twidth/2)))," ")</f>
        <v xml:space="preserve"> </v>
      </c>
      <c r="AV23" s="517" t="str">
        <f t="shared" si="39"/>
        <v xml:space="preserve"> </v>
      </c>
      <c r="AW23" s="517" t="str">
        <f t="shared" si="39"/>
        <v xml:space="preserve"> </v>
      </c>
      <c r="AX23" s="517" t="str">
        <f t="shared" si="39"/>
        <v xml:space="preserve"> </v>
      </c>
      <c r="AY23" s="517" t="str">
        <f t="shared" si="39"/>
        <v xml:space="preserve"> </v>
      </c>
      <c r="AZ23" s="517" t="str">
        <f t="shared" si="39"/>
        <v xml:space="preserve"> </v>
      </c>
      <c r="BA23" s="517" t="str">
        <f t="shared" si="39"/>
        <v xml:space="preserve"> </v>
      </c>
      <c r="BB23" s="517" t="str">
        <f t="shared" si="39"/>
        <v xml:space="preserve"> </v>
      </c>
      <c r="BC23" s="517" t="str">
        <f t="shared" si="39"/>
        <v xml:space="preserve"> </v>
      </c>
      <c r="BD23" s="517" t="str">
        <f t="shared" si="39"/>
        <v xml:space="preserve"> </v>
      </c>
      <c r="BE23" s="517" t="str">
        <f t="shared" si="39"/>
        <v xml:space="preserve"> </v>
      </c>
      <c r="BF23" s="517" t="str">
        <f t="shared" si="39"/>
        <v xml:space="preserve"> </v>
      </c>
      <c r="BG23" s="517" t="str">
        <f t="shared" si="39"/>
        <v xml:space="preserve"> </v>
      </c>
      <c r="BH23" s="517" t="str">
        <f t="shared" si="39"/>
        <v xml:space="preserve"> </v>
      </c>
      <c r="BI23" s="517" t="str">
        <f t="shared" si="39"/>
        <v xml:space="preserve"> </v>
      </c>
      <c r="BJ23" s="518" t="str">
        <f t="shared" si="39"/>
        <v xml:space="preserve"> </v>
      </c>
    </row>
    <row r="24" spans="1:62" x14ac:dyDescent="0.25">
      <c r="A24" s="696">
        <v>1</v>
      </c>
      <c r="B24" s="702" t="str">
        <f>'GCM_Purlin 1.0'!AS24</f>
        <v>Downforce</v>
      </c>
      <c r="C24" s="481" t="str">
        <f>'GCM_Purlin 1.0'!AU24</f>
        <v>GCN1</v>
      </c>
      <c r="D24" s="513" t="str">
        <f>IFERROR('GCM_Purlin 1.0'!AV24*$W$5," ")</f>
        <v xml:space="preserve"> </v>
      </c>
      <c r="E24" s="482" t="str">
        <f>IFERROR('GCM_Purlin 1.0'!AW24*$W$5," ")</f>
        <v xml:space="preserve"> </v>
      </c>
      <c r="F24" s="482" t="str">
        <f>IFERROR('GCM_Purlin 1.0'!AX24*$W$5," ")</f>
        <v xml:space="preserve"> </v>
      </c>
      <c r="G24" s="482" t="str">
        <f>IFERROR('GCM_Purlin 1.0'!AY24*$W$5," ")</f>
        <v xml:space="preserve"> </v>
      </c>
      <c r="H24" s="482" t="str">
        <f>IFERROR('GCM_Purlin 1.0'!AZ24*$W$5," ")</f>
        <v xml:space="preserve"> </v>
      </c>
      <c r="I24" s="482" t="str">
        <f>IFERROR('GCM_Purlin 1.0'!BA24*$W$5," ")</f>
        <v xml:space="preserve"> </v>
      </c>
      <c r="J24" s="482" t="str">
        <f>IFERROR('GCM_Purlin 1.0'!BB24*$W$5," ")</f>
        <v xml:space="preserve"> </v>
      </c>
      <c r="K24" s="482" t="str">
        <f>IFERROR('GCM_Purlin 1.0'!BC24*$W$5," ")</f>
        <v xml:space="preserve"> </v>
      </c>
      <c r="L24" s="482" t="str">
        <f>IFERROR('GCM_Purlin 1.0'!BD24*$W$5," ")</f>
        <v xml:space="preserve"> </v>
      </c>
      <c r="M24" s="482" t="str">
        <f>IFERROR('GCM_Purlin 1.0'!BE24*$W$5," ")</f>
        <v xml:space="preserve"> </v>
      </c>
      <c r="N24" s="482" t="str">
        <f>IFERROR('GCM_Purlin 1.0'!BF24*$W$5," ")</f>
        <v xml:space="preserve"> </v>
      </c>
      <c r="O24" s="482" t="str">
        <f>IFERROR('GCM_Purlin 1.0'!BG24*$W$5," ")</f>
        <v xml:space="preserve"> </v>
      </c>
      <c r="P24" s="482" t="str">
        <f>IFERROR('GCM_Purlin 1.0'!BH24*$W$5," ")</f>
        <v xml:space="preserve"> </v>
      </c>
      <c r="Q24" s="482" t="str">
        <f>IFERROR('GCM_Purlin 1.0'!BI24*$W$5," ")</f>
        <v xml:space="preserve"> </v>
      </c>
      <c r="R24" s="482" t="str">
        <f>IFERROR('GCM_Purlin 1.0'!BJ24*$W$5," ")</f>
        <v xml:space="preserve"> </v>
      </c>
      <c r="S24" s="483" t="str">
        <f>IFERROR('GCM_Purlin 1.0'!BK24*$W$5," ")</f>
        <v xml:space="preserve"> </v>
      </c>
      <c r="T24" s="476"/>
    </row>
    <row r="25" spans="1:62" x14ac:dyDescent="0.25">
      <c r="A25" s="604"/>
      <c r="B25" s="555"/>
      <c r="C25" s="494" t="str">
        <f>'GCM_Purlin 1.0'!AU25</f>
        <v>GCN2</v>
      </c>
      <c r="D25" s="514" t="str">
        <f>IFERROR('GCM_Purlin 1.0'!AV25*$W$5," ")</f>
        <v xml:space="preserve"> </v>
      </c>
      <c r="E25" s="476" t="str">
        <f>IFERROR('GCM_Purlin 1.0'!AW25*$W$5," ")</f>
        <v xml:space="preserve"> </v>
      </c>
      <c r="F25" s="476" t="str">
        <f>IFERROR('GCM_Purlin 1.0'!AX25*$W$5," ")</f>
        <v xml:space="preserve"> </v>
      </c>
      <c r="G25" s="476" t="str">
        <f>IFERROR('GCM_Purlin 1.0'!AY25*$W$5," ")</f>
        <v xml:space="preserve"> </v>
      </c>
      <c r="H25" s="476" t="str">
        <f>IFERROR('GCM_Purlin 1.0'!AZ25*$W$5," ")</f>
        <v xml:space="preserve"> </v>
      </c>
      <c r="I25" s="476" t="str">
        <f>IFERROR('GCM_Purlin 1.0'!BA25*$W$5," ")</f>
        <v xml:space="preserve"> </v>
      </c>
      <c r="J25" s="476" t="str">
        <f>IFERROR('GCM_Purlin 1.0'!BB25*$W$5," ")</f>
        <v xml:space="preserve"> </v>
      </c>
      <c r="K25" s="476" t="str">
        <f>IFERROR('GCM_Purlin 1.0'!BC25*$W$5," ")</f>
        <v xml:space="preserve"> </v>
      </c>
      <c r="L25" s="476" t="str">
        <f>IFERROR('GCM_Purlin 1.0'!BD25*$W$5," ")</f>
        <v xml:space="preserve"> </v>
      </c>
      <c r="M25" s="476" t="str">
        <f>IFERROR('GCM_Purlin 1.0'!BE25*$W$5," ")</f>
        <v xml:space="preserve"> </v>
      </c>
      <c r="N25" s="476" t="str">
        <f>IFERROR('GCM_Purlin 1.0'!BF25*$W$5," ")</f>
        <v xml:space="preserve"> </v>
      </c>
      <c r="O25" s="476" t="str">
        <f>IFERROR('GCM_Purlin 1.0'!BG25*$W$5," ")</f>
        <v xml:space="preserve"> </v>
      </c>
      <c r="P25" s="476" t="str">
        <f>IFERROR('GCM_Purlin 1.0'!BH25*$W$5," ")</f>
        <v xml:space="preserve"> </v>
      </c>
      <c r="Q25" s="476" t="str">
        <f>IFERROR('GCM_Purlin 1.0'!BI25*$W$5," ")</f>
        <v xml:space="preserve"> </v>
      </c>
      <c r="R25" s="476" t="str">
        <f>IFERROR('GCM_Purlin 1.0'!BJ25*$W$5," ")</f>
        <v xml:space="preserve"> </v>
      </c>
      <c r="S25" s="495" t="str">
        <f>IFERROR('GCM_Purlin 1.0'!BK25*$W$5," ")</f>
        <v xml:space="preserve"> </v>
      </c>
      <c r="T25" s="476"/>
    </row>
    <row r="26" spans="1:62" x14ac:dyDescent="0.25">
      <c r="A26" s="604"/>
      <c r="B26" s="555"/>
      <c r="C26" s="494" t="str">
        <f>'GCM_Purlin 1.0'!AU26</f>
        <v>GCN3</v>
      </c>
      <c r="D26" s="514" t="str">
        <f>IFERROR('GCM_Purlin 1.0'!AV26*$W$5," ")</f>
        <v xml:space="preserve"> </v>
      </c>
      <c r="E26" s="476" t="str">
        <f>IFERROR('GCM_Purlin 1.0'!AW26*$W$5," ")</f>
        <v xml:space="preserve"> </v>
      </c>
      <c r="F26" s="476" t="str">
        <f>IFERROR('GCM_Purlin 1.0'!AX26*$W$5," ")</f>
        <v xml:space="preserve"> </v>
      </c>
      <c r="G26" s="476" t="str">
        <f>IFERROR('GCM_Purlin 1.0'!AY26*$W$5," ")</f>
        <v xml:space="preserve"> </v>
      </c>
      <c r="H26" s="476" t="str">
        <f>IFERROR('GCM_Purlin 1.0'!AZ26*$W$5," ")</f>
        <v xml:space="preserve"> </v>
      </c>
      <c r="I26" s="476" t="str">
        <f>IFERROR('GCM_Purlin 1.0'!BA26*$W$5," ")</f>
        <v xml:space="preserve"> </v>
      </c>
      <c r="J26" s="476" t="str">
        <f>IFERROR('GCM_Purlin 1.0'!BB26*$W$5," ")</f>
        <v xml:space="preserve"> </v>
      </c>
      <c r="K26" s="476" t="str">
        <f>IFERROR('GCM_Purlin 1.0'!BC26*$W$5," ")</f>
        <v xml:space="preserve"> </v>
      </c>
      <c r="L26" s="476" t="str">
        <f>IFERROR('GCM_Purlin 1.0'!BD26*$W$5," ")</f>
        <v xml:space="preserve"> </v>
      </c>
      <c r="M26" s="476" t="str">
        <f>IFERROR('GCM_Purlin 1.0'!BE26*$W$5," ")</f>
        <v xml:space="preserve"> </v>
      </c>
      <c r="N26" s="476" t="str">
        <f>IFERROR('GCM_Purlin 1.0'!BF26*$W$5," ")</f>
        <v xml:space="preserve"> </v>
      </c>
      <c r="O26" s="476" t="str">
        <f>IFERROR('GCM_Purlin 1.0'!BG26*$W$5," ")</f>
        <v xml:space="preserve"> </v>
      </c>
      <c r="P26" s="476" t="str">
        <f>IFERROR('GCM_Purlin 1.0'!BH26*$W$5," ")</f>
        <v xml:space="preserve"> </v>
      </c>
      <c r="Q26" s="476" t="str">
        <f>IFERROR('GCM_Purlin 1.0'!BI26*$W$5," ")</f>
        <v xml:space="preserve"> </v>
      </c>
      <c r="R26" s="476" t="str">
        <f>IFERROR('GCM_Purlin 1.0'!BJ26*$W$5," ")</f>
        <v xml:space="preserve"> </v>
      </c>
      <c r="S26" s="495" t="str">
        <f>IFERROR('GCM_Purlin 1.0'!BK26*$W$5," ")</f>
        <v xml:space="preserve"> </v>
      </c>
      <c r="T26" s="476"/>
    </row>
    <row r="27" spans="1:62" ht="15.75" customHeight="1" thickBot="1" x14ac:dyDescent="0.3">
      <c r="A27" s="604"/>
      <c r="B27" s="555"/>
      <c r="C27" s="503" t="str">
        <f>'GCM_Purlin 1.0'!AU27</f>
        <v>GCN4</v>
      </c>
      <c r="D27" s="515" t="str">
        <f>IFERROR('GCM_Purlin 1.0'!AV27*$W$5," ")</f>
        <v xml:space="preserve"> </v>
      </c>
      <c r="E27" s="504" t="str">
        <f>IFERROR('GCM_Purlin 1.0'!AW27*$W$5," ")</f>
        <v xml:space="preserve"> </v>
      </c>
      <c r="F27" s="504" t="str">
        <f>IFERROR('GCM_Purlin 1.0'!AX27*$W$5," ")</f>
        <v xml:space="preserve"> </v>
      </c>
      <c r="G27" s="504" t="str">
        <f>IFERROR('GCM_Purlin 1.0'!AY27*$W$5," ")</f>
        <v xml:space="preserve"> </v>
      </c>
      <c r="H27" s="504" t="str">
        <f>IFERROR('GCM_Purlin 1.0'!AZ27*$W$5," ")</f>
        <v xml:space="preserve"> </v>
      </c>
      <c r="I27" s="504" t="str">
        <f>IFERROR('GCM_Purlin 1.0'!BA27*$W$5," ")</f>
        <v xml:space="preserve"> </v>
      </c>
      <c r="J27" s="504" t="str">
        <f>IFERROR('GCM_Purlin 1.0'!BB27*$W$5," ")</f>
        <v xml:space="preserve"> </v>
      </c>
      <c r="K27" s="504" t="str">
        <f>IFERROR('GCM_Purlin 1.0'!BC27*$W$5," ")</f>
        <v xml:space="preserve"> </v>
      </c>
      <c r="L27" s="504" t="str">
        <f>IFERROR('GCM_Purlin 1.0'!BD27*$W$5," ")</f>
        <v xml:space="preserve"> </v>
      </c>
      <c r="M27" s="504" t="str">
        <f>IFERROR('GCM_Purlin 1.0'!BE27*$W$5," ")</f>
        <v xml:space="preserve"> </v>
      </c>
      <c r="N27" s="504" t="str">
        <f>IFERROR('GCM_Purlin 1.0'!BF27*$W$5," ")</f>
        <v xml:space="preserve"> </v>
      </c>
      <c r="O27" s="504" t="str">
        <f>IFERROR('GCM_Purlin 1.0'!BG27*$W$5," ")</f>
        <v xml:space="preserve"> </v>
      </c>
      <c r="P27" s="504" t="str">
        <f>IFERROR('GCM_Purlin 1.0'!BH27*$W$5," ")</f>
        <v xml:space="preserve"> </v>
      </c>
      <c r="Q27" s="504" t="str">
        <f>IFERROR('GCM_Purlin 1.0'!BI27*$W$5," ")</f>
        <v xml:space="preserve"> </v>
      </c>
      <c r="R27" s="504" t="str">
        <f>IFERROR('GCM_Purlin 1.0'!BJ27*$W$5," ")</f>
        <v xml:space="preserve"> </v>
      </c>
      <c r="S27" s="505" t="str">
        <f>IFERROR('GCM_Purlin 1.0'!BK27*$W$5," ")</f>
        <v xml:space="preserve"> </v>
      </c>
      <c r="T27" s="476"/>
    </row>
    <row r="28" spans="1:62" x14ac:dyDescent="0.25">
      <c r="A28" s="681">
        <v>2</v>
      </c>
      <c r="B28" s="555"/>
      <c r="C28" s="519" t="str">
        <f>'GCM_Purlin 1.0'!AU28</f>
        <v>GCN1</v>
      </c>
      <c r="D28" s="513" t="str">
        <f>IFERROR('GCM_Purlin 1.0'!AV28*$W$9," ")</f>
        <v xml:space="preserve"> </v>
      </c>
      <c r="E28" s="482" t="str">
        <f>IFERROR('GCM_Purlin 1.0'!AW28*$W$9," ")</f>
        <v xml:space="preserve"> </v>
      </c>
      <c r="F28" s="482" t="str">
        <f>IFERROR('GCM_Purlin 1.0'!AX28*$W$9," ")</f>
        <v xml:space="preserve"> </v>
      </c>
      <c r="G28" s="482" t="str">
        <f>IFERROR('GCM_Purlin 1.0'!AY28*$W$9," ")</f>
        <v xml:space="preserve"> </v>
      </c>
      <c r="H28" s="482" t="str">
        <f>IFERROR('GCM_Purlin 1.0'!AZ28*$W$9," ")</f>
        <v xml:space="preserve"> </v>
      </c>
      <c r="I28" s="482" t="str">
        <f>IFERROR('GCM_Purlin 1.0'!BA28*$W$9," ")</f>
        <v xml:space="preserve"> </v>
      </c>
      <c r="J28" s="482" t="str">
        <f>IFERROR('GCM_Purlin 1.0'!BB28*$W$9," ")</f>
        <v xml:space="preserve"> </v>
      </c>
      <c r="K28" s="482" t="str">
        <f>IFERROR('GCM_Purlin 1.0'!BC28*$W$9," ")</f>
        <v xml:space="preserve"> </v>
      </c>
      <c r="L28" s="482" t="str">
        <f>IFERROR('GCM_Purlin 1.0'!BD28*$W$9," ")</f>
        <v xml:space="preserve"> </v>
      </c>
      <c r="M28" s="482" t="str">
        <f>IFERROR('GCM_Purlin 1.0'!BE28*$W$9," ")</f>
        <v xml:space="preserve"> </v>
      </c>
      <c r="N28" s="482" t="str">
        <f>IFERROR('GCM_Purlin 1.0'!BF28*$W$9," ")</f>
        <v xml:space="preserve"> </v>
      </c>
      <c r="O28" s="482" t="str">
        <f>IFERROR('GCM_Purlin 1.0'!BG28*$W$9," ")</f>
        <v xml:space="preserve"> </v>
      </c>
      <c r="P28" s="482" t="str">
        <f>IFERROR('GCM_Purlin 1.0'!BH28*$W$9," ")</f>
        <v xml:space="preserve"> </v>
      </c>
      <c r="Q28" s="482" t="str">
        <f>IFERROR('GCM_Purlin 1.0'!BI28*$W$9," ")</f>
        <v xml:space="preserve"> </v>
      </c>
      <c r="R28" s="482" t="str">
        <f>IFERROR('GCM_Purlin 1.0'!BJ28*$W$9," ")</f>
        <v xml:space="preserve"> </v>
      </c>
      <c r="S28" s="483" t="str">
        <f>IFERROR('GCM_Purlin 1.0'!BK28*$W$9," ")</f>
        <v xml:space="preserve"> </v>
      </c>
      <c r="T28" s="476"/>
    </row>
    <row r="29" spans="1:62" x14ac:dyDescent="0.25">
      <c r="A29" s="604"/>
      <c r="B29" s="555"/>
      <c r="C29" s="520" t="str">
        <f>'GCM_Purlin 1.0'!AU29</f>
        <v>GCN2</v>
      </c>
      <c r="D29" s="514" t="str">
        <f>IFERROR('GCM_Purlin 1.0'!AV29*$W$9," ")</f>
        <v xml:space="preserve"> </v>
      </c>
      <c r="E29" s="476" t="str">
        <f>IFERROR('GCM_Purlin 1.0'!AW29*$W$9," ")</f>
        <v xml:space="preserve"> </v>
      </c>
      <c r="F29" s="476" t="str">
        <f>IFERROR('GCM_Purlin 1.0'!AX29*$W$9," ")</f>
        <v xml:space="preserve"> </v>
      </c>
      <c r="G29" s="476" t="str">
        <f>IFERROR('GCM_Purlin 1.0'!AY29*$W$9," ")</f>
        <v xml:space="preserve"> </v>
      </c>
      <c r="H29" s="476" t="str">
        <f>IFERROR('GCM_Purlin 1.0'!AZ29*$W$9," ")</f>
        <v xml:space="preserve"> </v>
      </c>
      <c r="I29" s="476" t="str">
        <f>IFERROR('GCM_Purlin 1.0'!BA29*$W$9," ")</f>
        <v xml:space="preserve"> </v>
      </c>
      <c r="J29" s="476" t="str">
        <f>IFERROR('GCM_Purlin 1.0'!BB29*$W$9," ")</f>
        <v xml:space="preserve"> </v>
      </c>
      <c r="K29" s="476" t="str">
        <f>IFERROR('GCM_Purlin 1.0'!BC29*$W$9," ")</f>
        <v xml:space="preserve"> </v>
      </c>
      <c r="L29" s="476" t="str">
        <f>IFERROR('GCM_Purlin 1.0'!BD29*$W$9," ")</f>
        <v xml:space="preserve"> </v>
      </c>
      <c r="M29" s="476" t="str">
        <f>IFERROR('GCM_Purlin 1.0'!BE29*$W$9," ")</f>
        <v xml:space="preserve"> </v>
      </c>
      <c r="N29" s="476" t="str">
        <f>IFERROR('GCM_Purlin 1.0'!BF29*$W$9," ")</f>
        <v xml:space="preserve"> </v>
      </c>
      <c r="O29" s="476" t="str">
        <f>IFERROR('GCM_Purlin 1.0'!BG29*$W$9," ")</f>
        <v xml:space="preserve"> </v>
      </c>
      <c r="P29" s="476" t="str">
        <f>IFERROR('GCM_Purlin 1.0'!BH29*$W$9," ")</f>
        <v xml:space="preserve"> </v>
      </c>
      <c r="Q29" s="476" t="str">
        <f>IFERROR('GCM_Purlin 1.0'!BI29*$W$9," ")</f>
        <v xml:space="preserve"> </v>
      </c>
      <c r="R29" s="476" t="str">
        <f>IFERROR('GCM_Purlin 1.0'!BJ29*$W$9," ")</f>
        <v xml:space="preserve"> </v>
      </c>
      <c r="S29" s="495" t="str">
        <f>IFERROR('GCM_Purlin 1.0'!BK29*$W$9," ")</f>
        <v xml:space="preserve"> </v>
      </c>
      <c r="T29" s="476"/>
    </row>
    <row r="30" spans="1:62" x14ac:dyDescent="0.25">
      <c r="A30" s="604"/>
      <c r="B30" s="555"/>
      <c r="C30" s="520" t="str">
        <f>'GCM_Purlin 1.0'!AU30</f>
        <v>GCN3</v>
      </c>
      <c r="D30" s="514" t="str">
        <f>IFERROR('GCM_Purlin 1.0'!AV30*$W$9," ")</f>
        <v xml:space="preserve"> </v>
      </c>
      <c r="E30" s="476" t="str">
        <f>IFERROR('GCM_Purlin 1.0'!AW30*$W$9," ")</f>
        <v xml:space="preserve"> </v>
      </c>
      <c r="F30" s="476" t="str">
        <f>IFERROR('GCM_Purlin 1.0'!AX30*$W$9," ")</f>
        <v xml:space="preserve"> </v>
      </c>
      <c r="G30" s="476" t="str">
        <f>IFERROR('GCM_Purlin 1.0'!AY30*$W$9," ")</f>
        <v xml:space="preserve"> </v>
      </c>
      <c r="H30" s="476" t="str">
        <f>IFERROR('GCM_Purlin 1.0'!AZ30*$W$9," ")</f>
        <v xml:space="preserve"> </v>
      </c>
      <c r="I30" s="476" t="str">
        <f>IFERROR('GCM_Purlin 1.0'!BA30*$W$9," ")</f>
        <v xml:space="preserve"> </v>
      </c>
      <c r="J30" s="476" t="str">
        <f>IFERROR('GCM_Purlin 1.0'!BB30*$W$9," ")</f>
        <v xml:space="preserve"> </v>
      </c>
      <c r="K30" s="476" t="str">
        <f>IFERROR('GCM_Purlin 1.0'!BC30*$W$9," ")</f>
        <v xml:space="preserve"> </v>
      </c>
      <c r="L30" s="476" t="str">
        <f>IFERROR('GCM_Purlin 1.0'!BD30*$W$9," ")</f>
        <v xml:space="preserve"> </v>
      </c>
      <c r="M30" s="476" t="str">
        <f>IFERROR('GCM_Purlin 1.0'!BE30*$W$9," ")</f>
        <v xml:space="preserve"> </v>
      </c>
      <c r="N30" s="476" t="str">
        <f>IFERROR('GCM_Purlin 1.0'!BF30*$W$9," ")</f>
        <v xml:space="preserve"> </v>
      </c>
      <c r="O30" s="476" t="str">
        <f>IFERROR('GCM_Purlin 1.0'!BG30*$W$9," ")</f>
        <v xml:space="preserve"> </v>
      </c>
      <c r="P30" s="476" t="str">
        <f>IFERROR('GCM_Purlin 1.0'!BH30*$W$9," ")</f>
        <v xml:space="preserve"> </v>
      </c>
      <c r="Q30" s="476" t="str">
        <f>IFERROR('GCM_Purlin 1.0'!BI30*$W$9," ")</f>
        <v xml:space="preserve"> </v>
      </c>
      <c r="R30" s="476" t="str">
        <f>IFERROR('GCM_Purlin 1.0'!BJ30*$W$9," ")</f>
        <v xml:space="preserve"> </v>
      </c>
      <c r="S30" s="495" t="str">
        <f>IFERROR('GCM_Purlin 1.0'!BK30*$W$9," ")</f>
        <v xml:space="preserve"> </v>
      </c>
      <c r="T30" s="476"/>
    </row>
    <row r="31" spans="1:62" ht="15.75" customHeight="1" thickBot="1" x14ac:dyDescent="0.3">
      <c r="A31" s="604"/>
      <c r="B31" s="555"/>
      <c r="C31" s="521" t="str">
        <f>'GCM_Purlin 1.0'!AU31</f>
        <v>GCN4</v>
      </c>
      <c r="D31" s="515" t="str">
        <f>IFERROR('GCM_Purlin 1.0'!AV31*$W$9," ")</f>
        <v xml:space="preserve"> </v>
      </c>
      <c r="E31" s="504" t="str">
        <f>IFERROR('GCM_Purlin 1.0'!AW31*$W$9," ")</f>
        <v xml:space="preserve"> </v>
      </c>
      <c r="F31" s="504" t="str">
        <f>IFERROR('GCM_Purlin 1.0'!AX31*$W$9," ")</f>
        <v xml:space="preserve"> </v>
      </c>
      <c r="G31" s="504" t="str">
        <f>IFERROR('GCM_Purlin 1.0'!AY31*$W$9," ")</f>
        <v xml:space="preserve"> </v>
      </c>
      <c r="H31" s="504" t="str">
        <f>IFERROR('GCM_Purlin 1.0'!AZ31*$W$9," ")</f>
        <v xml:space="preserve"> </v>
      </c>
      <c r="I31" s="504" t="str">
        <f>IFERROR('GCM_Purlin 1.0'!BA31*$W$9," ")</f>
        <v xml:space="preserve"> </v>
      </c>
      <c r="J31" s="504" t="str">
        <f>IFERROR('GCM_Purlin 1.0'!BB31*$W$9," ")</f>
        <v xml:space="preserve"> </v>
      </c>
      <c r="K31" s="504" t="str">
        <f>IFERROR('GCM_Purlin 1.0'!BC31*$W$9," ")</f>
        <v xml:space="preserve"> </v>
      </c>
      <c r="L31" s="504" t="str">
        <f>IFERROR('GCM_Purlin 1.0'!BD31*$W$9," ")</f>
        <v xml:space="preserve"> </v>
      </c>
      <c r="M31" s="504" t="str">
        <f>IFERROR('GCM_Purlin 1.0'!BE31*$W$9," ")</f>
        <v xml:space="preserve"> </v>
      </c>
      <c r="N31" s="504" t="str">
        <f>IFERROR('GCM_Purlin 1.0'!BF31*$W$9," ")</f>
        <v xml:space="preserve"> </v>
      </c>
      <c r="O31" s="504" t="str">
        <f>IFERROR('GCM_Purlin 1.0'!BG31*$W$9," ")</f>
        <v xml:space="preserve"> </v>
      </c>
      <c r="P31" s="504" t="str">
        <f>IFERROR('GCM_Purlin 1.0'!BH31*$W$9," ")</f>
        <v xml:space="preserve"> </v>
      </c>
      <c r="Q31" s="504" t="str">
        <f>IFERROR('GCM_Purlin 1.0'!BI31*$W$9," ")</f>
        <v xml:space="preserve"> </v>
      </c>
      <c r="R31" s="504" t="str">
        <f>IFERROR('GCM_Purlin 1.0'!BJ31*$W$9," ")</f>
        <v xml:space="preserve"> </v>
      </c>
      <c r="S31" s="505" t="str">
        <f>IFERROR('GCM_Purlin 1.0'!BK31*$W$9," ")</f>
        <v xml:space="preserve"> </v>
      </c>
      <c r="T31" s="476"/>
    </row>
    <row r="32" spans="1:62" x14ac:dyDescent="0.25">
      <c r="A32" s="690">
        <v>3</v>
      </c>
      <c r="B32" s="555"/>
      <c r="C32" s="481" t="str">
        <f>'GCM_Purlin 1.0'!AU32</f>
        <v>GCN1</v>
      </c>
      <c r="D32" s="513" t="str">
        <f>IFERROR('GCM_Purlin 1.0'!AV32*$W$13," ")</f>
        <v xml:space="preserve"> </v>
      </c>
      <c r="E32" s="482" t="str">
        <f>IFERROR('GCM_Purlin 1.0'!AW32*$W$13," ")</f>
        <v xml:space="preserve"> </v>
      </c>
      <c r="F32" s="482" t="str">
        <f>IFERROR('GCM_Purlin 1.0'!AX32*$W$13," ")</f>
        <v xml:space="preserve"> </v>
      </c>
      <c r="G32" s="482" t="str">
        <f>IFERROR('GCM_Purlin 1.0'!AY32*$W$13," ")</f>
        <v xml:space="preserve"> </v>
      </c>
      <c r="H32" s="482" t="str">
        <f>IFERROR('GCM_Purlin 1.0'!AZ32*$W$13," ")</f>
        <v xml:space="preserve"> </v>
      </c>
      <c r="I32" s="482" t="str">
        <f>IFERROR('GCM_Purlin 1.0'!BA32*$W$13," ")</f>
        <v xml:space="preserve"> </v>
      </c>
      <c r="J32" s="482" t="str">
        <f>IFERROR('GCM_Purlin 1.0'!BB32*$W$13," ")</f>
        <v xml:space="preserve"> </v>
      </c>
      <c r="K32" s="482" t="str">
        <f>IFERROR('GCM_Purlin 1.0'!BC32*$W$13," ")</f>
        <v xml:space="preserve"> </v>
      </c>
      <c r="L32" s="482" t="str">
        <f>IFERROR('GCM_Purlin 1.0'!BD32*$W$13," ")</f>
        <v xml:space="preserve"> </v>
      </c>
      <c r="M32" s="482" t="str">
        <f>IFERROR('GCM_Purlin 1.0'!BE32*$W$13," ")</f>
        <v xml:space="preserve"> </v>
      </c>
      <c r="N32" s="482" t="str">
        <f>IFERROR('GCM_Purlin 1.0'!BF32*$W$13," ")</f>
        <v xml:space="preserve"> </v>
      </c>
      <c r="O32" s="482" t="str">
        <f>IFERROR('GCM_Purlin 1.0'!BG32*$W$13," ")</f>
        <v xml:space="preserve"> </v>
      </c>
      <c r="P32" s="482" t="str">
        <f>IFERROR('GCM_Purlin 1.0'!BH32*$W$13," ")</f>
        <v xml:space="preserve"> </v>
      </c>
      <c r="Q32" s="482" t="str">
        <f>IFERROR('GCM_Purlin 1.0'!BI32*$W$13," ")</f>
        <v xml:space="preserve"> </v>
      </c>
      <c r="R32" s="482" t="str">
        <f>IFERROR('GCM_Purlin 1.0'!BJ32*$W$13," ")</f>
        <v xml:space="preserve"> </v>
      </c>
      <c r="S32" s="483" t="str">
        <f>IFERROR('GCM_Purlin 1.0'!BK32*$W$13," ")</f>
        <v xml:space="preserve"> </v>
      </c>
      <c r="T32" s="476"/>
    </row>
    <row r="33" spans="1:62" x14ac:dyDescent="0.25">
      <c r="A33" s="604"/>
      <c r="B33" s="555"/>
      <c r="C33" s="494" t="str">
        <f>'GCM_Purlin 1.0'!AU33</f>
        <v>GCN2</v>
      </c>
      <c r="D33" s="514" t="str">
        <f>IFERROR('GCM_Purlin 1.0'!AV33*$W$13," ")</f>
        <v xml:space="preserve"> </v>
      </c>
      <c r="E33" s="476" t="str">
        <f>IFERROR('GCM_Purlin 1.0'!AW33*$W$13," ")</f>
        <v xml:space="preserve"> </v>
      </c>
      <c r="F33" s="476" t="str">
        <f>IFERROR('GCM_Purlin 1.0'!AX33*$W$13," ")</f>
        <v xml:space="preserve"> </v>
      </c>
      <c r="G33" s="476" t="str">
        <f>IFERROR('GCM_Purlin 1.0'!AY33*$W$13," ")</f>
        <v xml:space="preserve"> </v>
      </c>
      <c r="H33" s="476" t="str">
        <f>IFERROR('GCM_Purlin 1.0'!AZ33*$W$13," ")</f>
        <v xml:space="preserve"> </v>
      </c>
      <c r="I33" s="476" t="str">
        <f>IFERROR('GCM_Purlin 1.0'!BA33*$W$13," ")</f>
        <v xml:space="preserve"> </v>
      </c>
      <c r="J33" s="476" t="str">
        <f>IFERROR('GCM_Purlin 1.0'!BB33*$W$13," ")</f>
        <v xml:space="preserve"> </v>
      </c>
      <c r="K33" s="476" t="str">
        <f>IFERROR('GCM_Purlin 1.0'!BC33*$W$13," ")</f>
        <v xml:space="preserve"> </v>
      </c>
      <c r="L33" s="476" t="str">
        <f>IFERROR('GCM_Purlin 1.0'!BD33*$W$13," ")</f>
        <v xml:space="preserve"> </v>
      </c>
      <c r="M33" s="476" t="str">
        <f>IFERROR('GCM_Purlin 1.0'!BE33*$W$13," ")</f>
        <v xml:space="preserve"> </v>
      </c>
      <c r="N33" s="476" t="str">
        <f>IFERROR('GCM_Purlin 1.0'!BF33*$W$13," ")</f>
        <v xml:space="preserve"> </v>
      </c>
      <c r="O33" s="476" t="str">
        <f>IFERROR('GCM_Purlin 1.0'!BG33*$W$13," ")</f>
        <v xml:space="preserve"> </v>
      </c>
      <c r="P33" s="476" t="str">
        <f>IFERROR('GCM_Purlin 1.0'!BH33*$W$13," ")</f>
        <v xml:space="preserve"> </v>
      </c>
      <c r="Q33" s="476" t="str">
        <f>IFERROR('GCM_Purlin 1.0'!BI33*$W$13," ")</f>
        <v xml:space="preserve"> </v>
      </c>
      <c r="R33" s="476" t="str">
        <f>IFERROR('GCM_Purlin 1.0'!BJ33*$W$13," ")</f>
        <v xml:space="preserve"> </v>
      </c>
      <c r="S33" s="495" t="str">
        <f>IFERROR('GCM_Purlin 1.0'!BK33*$W$13," ")</f>
        <v xml:space="preserve"> </v>
      </c>
      <c r="T33" s="476"/>
    </row>
    <row r="34" spans="1:62" x14ac:dyDescent="0.25">
      <c r="A34" s="604"/>
      <c r="B34" s="555"/>
      <c r="C34" s="494" t="str">
        <f>'GCM_Purlin 1.0'!AU34</f>
        <v>GCN3</v>
      </c>
      <c r="D34" s="514" t="str">
        <f>IFERROR('GCM_Purlin 1.0'!AV34*$W$13," ")</f>
        <v xml:space="preserve"> </v>
      </c>
      <c r="E34" s="476" t="str">
        <f>IFERROR('GCM_Purlin 1.0'!AW34*$W$13," ")</f>
        <v xml:space="preserve"> </v>
      </c>
      <c r="F34" s="476" t="str">
        <f>IFERROR('GCM_Purlin 1.0'!AX34*$W$13," ")</f>
        <v xml:space="preserve"> </v>
      </c>
      <c r="G34" s="476" t="str">
        <f>IFERROR('GCM_Purlin 1.0'!AY34*$W$13," ")</f>
        <v xml:space="preserve"> </v>
      </c>
      <c r="H34" s="476" t="str">
        <f>IFERROR('GCM_Purlin 1.0'!AZ34*$W$13," ")</f>
        <v xml:space="preserve"> </v>
      </c>
      <c r="I34" s="476" t="str">
        <f>IFERROR('GCM_Purlin 1.0'!BA34*$W$13," ")</f>
        <v xml:space="preserve"> </v>
      </c>
      <c r="J34" s="476" t="str">
        <f>IFERROR('GCM_Purlin 1.0'!BB34*$W$13," ")</f>
        <v xml:space="preserve"> </v>
      </c>
      <c r="K34" s="476" t="str">
        <f>IFERROR('GCM_Purlin 1.0'!BC34*$W$13," ")</f>
        <v xml:space="preserve"> </v>
      </c>
      <c r="L34" s="476" t="str">
        <f>IFERROR('GCM_Purlin 1.0'!BD34*$W$13," ")</f>
        <v xml:space="preserve"> </v>
      </c>
      <c r="M34" s="476" t="str">
        <f>IFERROR('GCM_Purlin 1.0'!BE34*$W$13," ")</f>
        <v xml:space="preserve"> </v>
      </c>
      <c r="N34" s="476" t="str">
        <f>IFERROR('GCM_Purlin 1.0'!BF34*$W$13," ")</f>
        <v xml:space="preserve"> </v>
      </c>
      <c r="O34" s="476" t="str">
        <f>IFERROR('GCM_Purlin 1.0'!BG34*$W$13," ")</f>
        <v xml:space="preserve"> </v>
      </c>
      <c r="P34" s="476" t="str">
        <f>IFERROR('GCM_Purlin 1.0'!BH34*$W$13," ")</f>
        <v xml:space="preserve"> </v>
      </c>
      <c r="Q34" s="476" t="str">
        <f>IFERROR('GCM_Purlin 1.0'!BI34*$W$13," ")</f>
        <v xml:space="preserve"> </v>
      </c>
      <c r="R34" s="476" t="str">
        <f>IFERROR('GCM_Purlin 1.0'!BJ34*$W$13," ")</f>
        <v xml:space="preserve"> </v>
      </c>
      <c r="S34" s="495" t="str">
        <f>IFERROR('GCM_Purlin 1.0'!BK34*$W$13," ")</f>
        <v xml:space="preserve"> </v>
      </c>
      <c r="T34" s="476"/>
    </row>
    <row r="35" spans="1:62" ht="15.75" customHeight="1" thickBot="1" x14ac:dyDescent="0.3">
      <c r="A35" s="604"/>
      <c r="B35" s="555"/>
      <c r="C35" s="503" t="str">
        <f>'GCM_Purlin 1.0'!AU35</f>
        <v>GCN4</v>
      </c>
      <c r="D35" s="515" t="str">
        <f>IFERROR('GCM_Purlin 1.0'!AV35*$W$13," ")</f>
        <v xml:space="preserve"> </v>
      </c>
      <c r="E35" s="504" t="str">
        <f>IFERROR('GCM_Purlin 1.0'!AW35*$W$13," ")</f>
        <v xml:space="preserve"> </v>
      </c>
      <c r="F35" s="504" t="str">
        <f>IFERROR('GCM_Purlin 1.0'!AX35*$W$13," ")</f>
        <v xml:space="preserve"> </v>
      </c>
      <c r="G35" s="504" t="str">
        <f>IFERROR('GCM_Purlin 1.0'!AY35*$W$13," ")</f>
        <v xml:space="preserve"> </v>
      </c>
      <c r="H35" s="504" t="str">
        <f>IFERROR('GCM_Purlin 1.0'!AZ35*$W$13," ")</f>
        <v xml:space="preserve"> </v>
      </c>
      <c r="I35" s="504" t="str">
        <f>IFERROR('GCM_Purlin 1.0'!BA35*$W$13," ")</f>
        <v xml:space="preserve"> </v>
      </c>
      <c r="J35" s="504" t="str">
        <f>IFERROR('GCM_Purlin 1.0'!BB35*$W$13," ")</f>
        <v xml:space="preserve"> </v>
      </c>
      <c r="K35" s="504" t="str">
        <f>IFERROR('GCM_Purlin 1.0'!BC35*$W$13," ")</f>
        <v xml:space="preserve"> </v>
      </c>
      <c r="L35" s="504" t="str">
        <f>IFERROR('GCM_Purlin 1.0'!BD35*$W$13," ")</f>
        <v xml:space="preserve"> </v>
      </c>
      <c r="M35" s="504" t="str">
        <f>IFERROR('GCM_Purlin 1.0'!BE35*$W$13," ")</f>
        <v xml:space="preserve"> </v>
      </c>
      <c r="N35" s="504" t="str">
        <f>IFERROR('GCM_Purlin 1.0'!BF35*$W$13," ")</f>
        <v xml:space="preserve"> </v>
      </c>
      <c r="O35" s="504" t="str">
        <f>IFERROR('GCM_Purlin 1.0'!BG35*$W$13," ")</f>
        <v xml:space="preserve"> </v>
      </c>
      <c r="P35" s="504" t="str">
        <f>IFERROR('GCM_Purlin 1.0'!BH35*$W$13," ")</f>
        <v xml:space="preserve"> </v>
      </c>
      <c r="Q35" s="504" t="str">
        <f>IFERROR('GCM_Purlin 1.0'!BI35*$W$13," ")</f>
        <v xml:space="preserve"> </v>
      </c>
      <c r="R35" s="504" t="str">
        <f>IFERROR('GCM_Purlin 1.0'!BJ35*$W$13," ")</f>
        <v xml:space="preserve"> </v>
      </c>
      <c r="S35" s="505" t="str">
        <f>IFERROR('GCM_Purlin 1.0'!BK35*$W$13," ")</f>
        <v xml:space="preserve"> </v>
      </c>
      <c r="T35" s="476"/>
    </row>
    <row r="36" spans="1:62" x14ac:dyDescent="0.25">
      <c r="A36" s="671">
        <v>4</v>
      </c>
      <c r="B36" s="555"/>
      <c r="C36" s="519" t="str">
        <f>'GCM_Purlin 1.0'!AU36</f>
        <v>GCN1</v>
      </c>
      <c r="D36" s="513" t="str">
        <f>IFERROR('GCM_Purlin 1.0'!AV36*$W$17," ")</f>
        <v xml:space="preserve"> </v>
      </c>
      <c r="E36" s="482" t="str">
        <f>IFERROR('GCM_Purlin 1.0'!AW36*$W$17," ")</f>
        <v xml:space="preserve"> </v>
      </c>
      <c r="F36" s="482" t="str">
        <f>IFERROR('GCM_Purlin 1.0'!AX36*$W$17," ")</f>
        <v xml:space="preserve"> </v>
      </c>
      <c r="G36" s="482" t="str">
        <f>IFERROR('GCM_Purlin 1.0'!AY36*$W$17," ")</f>
        <v xml:space="preserve"> </v>
      </c>
      <c r="H36" s="482" t="str">
        <f>IFERROR('GCM_Purlin 1.0'!AZ36*$W$17," ")</f>
        <v xml:space="preserve"> </v>
      </c>
      <c r="I36" s="482" t="str">
        <f>IFERROR('GCM_Purlin 1.0'!BA36*$W$17," ")</f>
        <v xml:space="preserve"> </v>
      </c>
      <c r="J36" s="482" t="str">
        <f>IFERROR('GCM_Purlin 1.0'!BB36*$W$17," ")</f>
        <v xml:space="preserve"> </v>
      </c>
      <c r="K36" s="482" t="str">
        <f>IFERROR('GCM_Purlin 1.0'!BC36*$W$17," ")</f>
        <v xml:space="preserve"> </v>
      </c>
      <c r="L36" s="482" t="str">
        <f>IFERROR('GCM_Purlin 1.0'!BD36*$W$17," ")</f>
        <v xml:space="preserve"> </v>
      </c>
      <c r="M36" s="482" t="str">
        <f>IFERROR('GCM_Purlin 1.0'!BE36*$W$17," ")</f>
        <v xml:space="preserve"> </v>
      </c>
      <c r="N36" s="482" t="str">
        <f>IFERROR('GCM_Purlin 1.0'!BF36*$W$17," ")</f>
        <v xml:space="preserve"> </v>
      </c>
      <c r="O36" s="482" t="str">
        <f>IFERROR('GCM_Purlin 1.0'!BG36*$W$17," ")</f>
        <v xml:space="preserve"> </v>
      </c>
      <c r="P36" s="482" t="str">
        <f>IFERROR('GCM_Purlin 1.0'!BH36*$W$17," ")</f>
        <v xml:space="preserve"> </v>
      </c>
      <c r="Q36" s="482" t="str">
        <f>IFERROR('GCM_Purlin 1.0'!BI36*$W$17," ")</f>
        <v xml:space="preserve"> </v>
      </c>
      <c r="R36" s="482" t="str">
        <f>IFERROR('GCM_Purlin 1.0'!BJ36*$W$17," ")</f>
        <v xml:space="preserve"> </v>
      </c>
      <c r="S36" s="483" t="str">
        <f>IFERROR('GCM_Purlin 1.0'!BK36*$W$17," ")</f>
        <v xml:space="preserve"> </v>
      </c>
      <c r="T36" s="476"/>
    </row>
    <row r="37" spans="1:62" x14ac:dyDescent="0.25">
      <c r="A37" s="604"/>
      <c r="B37" s="555"/>
      <c r="C37" s="520" t="str">
        <f>'GCM_Purlin 1.0'!AU37</f>
        <v>GCN2</v>
      </c>
      <c r="D37" s="514" t="str">
        <f>IFERROR('GCM_Purlin 1.0'!AV37*$W$17," ")</f>
        <v xml:space="preserve"> </v>
      </c>
      <c r="E37" s="476" t="str">
        <f>IFERROR('GCM_Purlin 1.0'!AW37*$W$17," ")</f>
        <v xml:space="preserve"> </v>
      </c>
      <c r="F37" s="476" t="str">
        <f>IFERROR('GCM_Purlin 1.0'!AX37*$W$17," ")</f>
        <v xml:space="preserve"> </v>
      </c>
      <c r="G37" s="476" t="str">
        <f>IFERROR('GCM_Purlin 1.0'!AY37*$W$17," ")</f>
        <v xml:space="preserve"> </v>
      </c>
      <c r="H37" s="476" t="str">
        <f>IFERROR('GCM_Purlin 1.0'!AZ37*$W$17," ")</f>
        <v xml:space="preserve"> </v>
      </c>
      <c r="I37" s="476" t="str">
        <f>IFERROR('GCM_Purlin 1.0'!BA37*$W$17," ")</f>
        <v xml:space="preserve"> </v>
      </c>
      <c r="J37" s="476" t="str">
        <f>IFERROR('GCM_Purlin 1.0'!BB37*$W$17," ")</f>
        <v xml:space="preserve"> </v>
      </c>
      <c r="K37" s="476" t="str">
        <f>IFERROR('GCM_Purlin 1.0'!BC37*$W$17," ")</f>
        <v xml:space="preserve"> </v>
      </c>
      <c r="L37" s="476" t="str">
        <f>IFERROR('GCM_Purlin 1.0'!BD37*$W$17," ")</f>
        <v xml:space="preserve"> </v>
      </c>
      <c r="M37" s="476" t="str">
        <f>IFERROR('GCM_Purlin 1.0'!BE37*$W$17," ")</f>
        <v xml:space="preserve"> </v>
      </c>
      <c r="N37" s="476" t="str">
        <f>IFERROR('GCM_Purlin 1.0'!BF37*$W$17," ")</f>
        <v xml:space="preserve"> </v>
      </c>
      <c r="O37" s="476" t="str">
        <f>IFERROR('GCM_Purlin 1.0'!BG37*$W$17," ")</f>
        <v xml:space="preserve"> </v>
      </c>
      <c r="P37" s="476" t="str">
        <f>IFERROR('GCM_Purlin 1.0'!BH37*$W$17," ")</f>
        <v xml:space="preserve"> </v>
      </c>
      <c r="Q37" s="476" t="str">
        <f>IFERROR('GCM_Purlin 1.0'!BI37*$W$17," ")</f>
        <v xml:space="preserve"> </v>
      </c>
      <c r="R37" s="476" t="str">
        <f>IFERROR('GCM_Purlin 1.0'!BJ37*$W$17," ")</f>
        <v xml:space="preserve"> </v>
      </c>
      <c r="S37" s="495" t="str">
        <f>IFERROR('GCM_Purlin 1.0'!BK37*$W$17," ")</f>
        <v xml:space="preserve"> </v>
      </c>
      <c r="T37" s="476"/>
    </row>
    <row r="38" spans="1:62" x14ac:dyDescent="0.25">
      <c r="A38" s="604"/>
      <c r="B38" s="555"/>
      <c r="C38" s="520" t="str">
        <f>'GCM_Purlin 1.0'!AU38</f>
        <v>GCN3</v>
      </c>
      <c r="D38" s="514" t="str">
        <f>IFERROR('GCM_Purlin 1.0'!AV38*$W$17," ")</f>
        <v xml:space="preserve"> </v>
      </c>
      <c r="E38" s="476" t="str">
        <f>IFERROR('GCM_Purlin 1.0'!AW38*$W$17," ")</f>
        <v xml:space="preserve"> </v>
      </c>
      <c r="F38" s="476" t="str">
        <f>IFERROR('GCM_Purlin 1.0'!AX38*$W$17," ")</f>
        <v xml:space="preserve"> </v>
      </c>
      <c r="G38" s="476" t="str">
        <f>IFERROR('GCM_Purlin 1.0'!AY38*$W$17," ")</f>
        <v xml:space="preserve"> </v>
      </c>
      <c r="H38" s="476" t="str">
        <f>IFERROR('GCM_Purlin 1.0'!AZ38*$W$17," ")</f>
        <v xml:space="preserve"> </v>
      </c>
      <c r="I38" s="476" t="str">
        <f>IFERROR('GCM_Purlin 1.0'!BA38*$W$17," ")</f>
        <v xml:space="preserve"> </v>
      </c>
      <c r="J38" s="476" t="str">
        <f>IFERROR('GCM_Purlin 1.0'!BB38*$W$17," ")</f>
        <v xml:space="preserve"> </v>
      </c>
      <c r="K38" s="476" t="str">
        <f>IFERROR('GCM_Purlin 1.0'!BC38*$W$17," ")</f>
        <v xml:space="preserve"> </v>
      </c>
      <c r="L38" s="476" t="str">
        <f>IFERROR('GCM_Purlin 1.0'!BD38*$W$17," ")</f>
        <v xml:space="preserve"> </v>
      </c>
      <c r="M38" s="476" t="str">
        <f>IFERROR('GCM_Purlin 1.0'!BE38*$W$17," ")</f>
        <v xml:space="preserve"> </v>
      </c>
      <c r="N38" s="476" t="str">
        <f>IFERROR('GCM_Purlin 1.0'!BF38*$W$17," ")</f>
        <v xml:space="preserve"> </v>
      </c>
      <c r="O38" s="476" t="str">
        <f>IFERROR('GCM_Purlin 1.0'!BG38*$W$17," ")</f>
        <v xml:space="preserve"> </v>
      </c>
      <c r="P38" s="476" t="str">
        <f>IFERROR('GCM_Purlin 1.0'!BH38*$W$17," ")</f>
        <v xml:space="preserve"> </v>
      </c>
      <c r="Q38" s="476" t="str">
        <f>IFERROR('GCM_Purlin 1.0'!BI38*$W$17," ")</f>
        <v xml:space="preserve"> </v>
      </c>
      <c r="R38" s="476" t="str">
        <f>IFERROR('GCM_Purlin 1.0'!BJ38*$W$17," ")</f>
        <v xml:space="preserve"> </v>
      </c>
      <c r="S38" s="495" t="str">
        <f>IFERROR('GCM_Purlin 1.0'!BK38*$W$17," ")</f>
        <v xml:space="preserve"> </v>
      </c>
      <c r="T38" s="476"/>
    </row>
    <row r="39" spans="1:62" ht="15.75" customHeight="1" thickBot="1" x14ac:dyDescent="0.3">
      <c r="A39" s="604"/>
      <c r="B39" s="555"/>
      <c r="C39" s="521" t="str">
        <f>'GCM_Purlin 1.0'!AU39</f>
        <v>GCN4</v>
      </c>
      <c r="D39" s="515" t="str">
        <f>IFERROR('GCM_Purlin 1.0'!AV39*$W$17," ")</f>
        <v xml:space="preserve"> </v>
      </c>
      <c r="E39" s="504" t="str">
        <f>IFERROR('GCM_Purlin 1.0'!AW39*$W$17," ")</f>
        <v xml:space="preserve"> </v>
      </c>
      <c r="F39" s="504" t="str">
        <f>IFERROR('GCM_Purlin 1.0'!AX39*$W$17," ")</f>
        <v xml:space="preserve"> </v>
      </c>
      <c r="G39" s="504" t="str">
        <f>IFERROR('GCM_Purlin 1.0'!AY39*$W$17," ")</f>
        <v xml:space="preserve"> </v>
      </c>
      <c r="H39" s="504" t="str">
        <f>IFERROR('GCM_Purlin 1.0'!AZ39*$W$17," ")</f>
        <v xml:space="preserve"> </v>
      </c>
      <c r="I39" s="504" t="str">
        <f>IFERROR('GCM_Purlin 1.0'!BA39*$W$17," ")</f>
        <v xml:space="preserve"> </v>
      </c>
      <c r="J39" s="504" t="str">
        <f>IFERROR('GCM_Purlin 1.0'!BB39*$W$17," ")</f>
        <v xml:space="preserve"> </v>
      </c>
      <c r="K39" s="504" t="str">
        <f>IFERROR('GCM_Purlin 1.0'!BC39*$W$17," ")</f>
        <v xml:space="preserve"> </v>
      </c>
      <c r="L39" s="504" t="str">
        <f>IFERROR('GCM_Purlin 1.0'!BD39*$W$17," ")</f>
        <v xml:space="preserve"> </v>
      </c>
      <c r="M39" s="504" t="str">
        <f>IFERROR('GCM_Purlin 1.0'!BE39*$W$17," ")</f>
        <v xml:space="preserve"> </v>
      </c>
      <c r="N39" s="504" t="str">
        <f>IFERROR('GCM_Purlin 1.0'!BF39*$W$17," ")</f>
        <v xml:space="preserve"> </v>
      </c>
      <c r="O39" s="504" t="str">
        <f>IFERROR('GCM_Purlin 1.0'!BG39*$W$17," ")</f>
        <v xml:space="preserve"> </v>
      </c>
      <c r="P39" s="504" t="str">
        <f>IFERROR('GCM_Purlin 1.0'!BH39*$W$17," ")</f>
        <v xml:space="preserve"> </v>
      </c>
      <c r="Q39" s="504" t="str">
        <f>IFERROR('GCM_Purlin 1.0'!BI39*$W$17," ")</f>
        <v xml:space="preserve"> </v>
      </c>
      <c r="R39" s="504" t="str">
        <f>IFERROR('GCM_Purlin 1.0'!BJ39*$W$17," ")</f>
        <v xml:space="preserve"> </v>
      </c>
      <c r="S39" s="505" t="str">
        <f>IFERROR('GCM_Purlin 1.0'!BK39*$W$17," ")</f>
        <v xml:space="preserve"> </v>
      </c>
      <c r="T39" s="476"/>
    </row>
    <row r="40" spans="1:62" x14ac:dyDescent="0.25">
      <c r="A40" s="687">
        <v>5</v>
      </c>
      <c r="B40" s="555"/>
      <c r="C40" s="481" t="str">
        <f>'GCM_Purlin 1.0'!AU40</f>
        <v>GCN1</v>
      </c>
      <c r="D40" s="513" t="str">
        <f>IFERROR('GCM_Purlin 1.0'!AV40*$W$21," ")</f>
        <v xml:space="preserve"> </v>
      </c>
      <c r="E40" s="482" t="str">
        <f>IFERROR('GCM_Purlin 1.0'!AW40*$W$21," ")</f>
        <v xml:space="preserve"> </v>
      </c>
      <c r="F40" s="482" t="str">
        <f>IFERROR('GCM_Purlin 1.0'!AX40*$W$21," ")</f>
        <v xml:space="preserve"> </v>
      </c>
      <c r="G40" s="482" t="str">
        <f>IFERROR('GCM_Purlin 1.0'!AY40*$W$21," ")</f>
        <v xml:space="preserve"> </v>
      </c>
      <c r="H40" s="482" t="str">
        <f>IFERROR('GCM_Purlin 1.0'!AZ40*$W$21," ")</f>
        <v xml:space="preserve"> </v>
      </c>
      <c r="I40" s="482" t="str">
        <f>IFERROR('GCM_Purlin 1.0'!BA40*$W$21," ")</f>
        <v xml:space="preserve"> </v>
      </c>
      <c r="J40" s="482" t="str">
        <f>IFERROR('GCM_Purlin 1.0'!BB40*$W$21," ")</f>
        <v xml:space="preserve"> </v>
      </c>
      <c r="K40" s="482" t="str">
        <f>IFERROR('GCM_Purlin 1.0'!BC40*$W$21," ")</f>
        <v xml:space="preserve"> </v>
      </c>
      <c r="L40" s="482" t="str">
        <f>IFERROR('GCM_Purlin 1.0'!BD40*$W$21," ")</f>
        <v xml:space="preserve"> </v>
      </c>
      <c r="M40" s="482" t="str">
        <f>IFERROR('GCM_Purlin 1.0'!BE40*$W$21," ")</f>
        <v xml:space="preserve"> </v>
      </c>
      <c r="N40" s="482" t="str">
        <f>IFERROR('GCM_Purlin 1.0'!BF40*$W$21," ")</f>
        <v xml:space="preserve"> </v>
      </c>
      <c r="O40" s="482" t="str">
        <f>IFERROR('GCM_Purlin 1.0'!BG40*$W$21," ")</f>
        <v xml:space="preserve"> </v>
      </c>
      <c r="P40" s="482" t="str">
        <f>IFERROR('GCM_Purlin 1.0'!BH40*$W$21," ")</f>
        <v xml:space="preserve"> </v>
      </c>
      <c r="Q40" s="482" t="str">
        <f>IFERROR('GCM_Purlin 1.0'!BI40*$W$21," ")</f>
        <v xml:space="preserve"> </v>
      </c>
      <c r="R40" s="482" t="str">
        <f>IFERROR('GCM_Purlin 1.0'!BJ40*$W$21," ")</f>
        <v xml:space="preserve"> </v>
      </c>
      <c r="S40" s="483" t="str">
        <f>IFERROR('GCM_Purlin 1.0'!BK40*$W$21," ")</f>
        <v xml:space="preserve"> </v>
      </c>
      <c r="T40" s="476"/>
    </row>
    <row r="41" spans="1:62" x14ac:dyDescent="0.25">
      <c r="A41" s="604"/>
      <c r="B41" s="555"/>
      <c r="C41" s="494" t="str">
        <f>'GCM_Purlin 1.0'!AU41</f>
        <v>GCN2</v>
      </c>
      <c r="D41" s="514" t="str">
        <f>IFERROR('GCM_Purlin 1.0'!AV41*$W$21," ")</f>
        <v xml:space="preserve"> </v>
      </c>
      <c r="E41" s="476" t="str">
        <f>IFERROR('GCM_Purlin 1.0'!AW41*$W$21," ")</f>
        <v xml:space="preserve"> </v>
      </c>
      <c r="F41" s="476" t="str">
        <f>IFERROR('GCM_Purlin 1.0'!AX41*$W$21," ")</f>
        <v xml:space="preserve"> </v>
      </c>
      <c r="G41" s="476" t="str">
        <f>IFERROR('GCM_Purlin 1.0'!AY41*$W$21," ")</f>
        <v xml:space="preserve"> </v>
      </c>
      <c r="H41" s="476" t="str">
        <f>IFERROR('GCM_Purlin 1.0'!AZ41*$W$21," ")</f>
        <v xml:space="preserve"> </v>
      </c>
      <c r="I41" s="476" t="str">
        <f>IFERROR('GCM_Purlin 1.0'!BA41*$W$21," ")</f>
        <v xml:space="preserve"> </v>
      </c>
      <c r="J41" s="476" t="str">
        <f>IFERROR('GCM_Purlin 1.0'!BB41*$W$21," ")</f>
        <v xml:space="preserve"> </v>
      </c>
      <c r="K41" s="476" t="str">
        <f>IFERROR('GCM_Purlin 1.0'!BC41*$W$21," ")</f>
        <v xml:space="preserve"> </v>
      </c>
      <c r="L41" s="476" t="str">
        <f>IFERROR('GCM_Purlin 1.0'!BD41*$W$21," ")</f>
        <v xml:space="preserve"> </v>
      </c>
      <c r="M41" s="476" t="str">
        <f>IFERROR('GCM_Purlin 1.0'!BE41*$W$21," ")</f>
        <v xml:space="preserve"> </v>
      </c>
      <c r="N41" s="476" t="str">
        <f>IFERROR('GCM_Purlin 1.0'!BF41*$W$21," ")</f>
        <v xml:space="preserve"> </v>
      </c>
      <c r="O41" s="476" t="str">
        <f>IFERROR('GCM_Purlin 1.0'!BG41*$W$21," ")</f>
        <v xml:space="preserve"> </v>
      </c>
      <c r="P41" s="476" t="str">
        <f>IFERROR('GCM_Purlin 1.0'!BH41*$W$21," ")</f>
        <v xml:space="preserve"> </v>
      </c>
      <c r="Q41" s="476" t="str">
        <f>IFERROR('GCM_Purlin 1.0'!BI41*$W$21," ")</f>
        <v xml:space="preserve"> </v>
      </c>
      <c r="R41" s="476" t="str">
        <f>IFERROR('GCM_Purlin 1.0'!BJ41*$W$21," ")</f>
        <v xml:space="preserve"> </v>
      </c>
      <c r="S41" s="495" t="str">
        <f>IFERROR('GCM_Purlin 1.0'!BK41*$W$21," ")</f>
        <v xml:space="preserve"> </v>
      </c>
      <c r="T41" s="476"/>
    </row>
    <row r="42" spans="1:62" x14ac:dyDescent="0.25">
      <c r="A42" s="604"/>
      <c r="B42" s="555"/>
      <c r="C42" s="494" t="str">
        <f>'GCM_Purlin 1.0'!AU42</f>
        <v>GCN3</v>
      </c>
      <c r="D42" s="514" t="str">
        <f>IFERROR('GCM_Purlin 1.0'!AV42*$W$21," ")</f>
        <v xml:space="preserve"> </v>
      </c>
      <c r="E42" s="476" t="str">
        <f>IFERROR('GCM_Purlin 1.0'!AW42*$W$21," ")</f>
        <v xml:space="preserve"> </v>
      </c>
      <c r="F42" s="476" t="str">
        <f>IFERROR('GCM_Purlin 1.0'!AX42*$W$21," ")</f>
        <v xml:space="preserve"> </v>
      </c>
      <c r="G42" s="476" t="str">
        <f>IFERROR('GCM_Purlin 1.0'!AY42*$W$21," ")</f>
        <v xml:space="preserve"> </v>
      </c>
      <c r="H42" s="476" t="str">
        <f>IFERROR('GCM_Purlin 1.0'!AZ42*$W$21," ")</f>
        <v xml:space="preserve"> </v>
      </c>
      <c r="I42" s="476" t="str">
        <f>IFERROR('GCM_Purlin 1.0'!BA42*$W$21," ")</f>
        <v xml:space="preserve"> </v>
      </c>
      <c r="J42" s="476" t="str">
        <f>IFERROR('GCM_Purlin 1.0'!BB42*$W$21," ")</f>
        <v xml:space="preserve"> </v>
      </c>
      <c r="K42" s="476" t="str">
        <f>IFERROR('GCM_Purlin 1.0'!BC42*$W$21," ")</f>
        <v xml:space="preserve"> </v>
      </c>
      <c r="L42" s="476" t="str">
        <f>IFERROR('GCM_Purlin 1.0'!BD42*$W$21," ")</f>
        <v xml:space="preserve"> </v>
      </c>
      <c r="M42" s="476" t="str">
        <f>IFERROR('GCM_Purlin 1.0'!BE42*$W$21," ")</f>
        <v xml:space="preserve"> </v>
      </c>
      <c r="N42" s="476" t="str">
        <f>IFERROR('GCM_Purlin 1.0'!BF42*$W$21," ")</f>
        <v xml:space="preserve"> </v>
      </c>
      <c r="O42" s="476" t="str">
        <f>IFERROR('GCM_Purlin 1.0'!BG42*$W$21," ")</f>
        <v xml:space="preserve"> </v>
      </c>
      <c r="P42" s="476" t="str">
        <f>IFERROR('GCM_Purlin 1.0'!BH42*$W$21," ")</f>
        <v xml:space="preserve"> </v>
      </c>
      <c r="Q42" s="476" t="str">
        <f>IFERROR('GCM_Purlin 1.0'!BI42*$W$21," ")</f>
        <v xml:space="preserve"> </v>
      </c>
      <c r="R42" s="476" t="str">
        <f>IFERROR('GCM_Purlin 1.0'!BJ42*$W$21," ")</f>
        <v xml:space="preserve"> </v>
      </c>
      <c r="S42" s="495" t="str">
        <f>IFERROR('GCM_Purlin 1.0'!BK42*$W$21," ")</f>
        <v xml:space="preserve"> </v>
      </c>
      <c r="T42" s="476"/>
    </row>
    <row r="43" spans="1:62" ht="15.75" customHeight="1" thickBot="1" x14ac:dyDescent="0.3">
      <c r="A43" s="605"/>
      <c r="B43" s="703"/>
      <c r="C43" s="503" t="str">
        <f>'GCM_Purlin 1.0'!AU43</f>
        <v>GCN4</v>
      </c>
      <c r="D43" s="515" t="str">
        <f>IFERROR('GCM_Purlin 1.0'!AV43*$W$21," ")</f>
        <v xml:space="preserve"> </v>
      </c>
      <c r="E43" s="504" t="str">
        <f>IFERROR('GCM_Purlin 1.0'!AW43*$W$21," ")</f>
        <v xml:space="preserve"> </v>
      </c>
      <c r="F43" s="504" t="str">
        <f>IFERROR('GCM_Purlin 1.0'!AX43*$W$21," ")</f>
        <v xml:space="preserve"> </v>
      </c>
      <c r="G43" s="504" t="str">
        <f>IFERROR('GCM_Purlin 1.0'!AY43*$W$21," ")</f>
        <v xml:space="preserve"> </v>
      </c>
      <c r="H43" s="504" t="str">
        <f>IFERROR('GCM_Purlin 1.0'!AZ43*$W$21," ")</f>
        <v xml:space="preserve"> </v>
      </c>
      <c r="I43" s="504" t="str">
        <f>IFERROR('GCM_Purlin 1.0'!BA43*$W$21," ")</f>
        <v xml:space="preserve"> </v>
      </c>
      <c r="J43" s="504" t="str">
        <f>IFERROR('GCM_Purlin 1.0'!BB43*$W$21," ")</f>
        <v xml:space="preserve"> </v>
      </c>
      <c r="K43" s="504" t="str">
        <f>IFERROR('GCM_Purlin 1.0'!BC43*$W$21," ")</f>
        <v xml:space="preserve"> </v>
      </c>
      <c r="L43" s="504" t="str">
        <f>IFERROR('GCM_Purlin 1.0'!BD43*$W$21," ")</f>
        <v xml:space="preserve"> </v>
      </c>
      <c r="M43" s="504" t="str">
        <f>IFERROR('GCM_Purlin 1.0'!BE43*$W$21," ")</f>
        <v xml:space="preserve"> </v>
      </c>
      <c r="N43" s="504" t="str">
        <f>IFERROR('GCM_Purlin 1.0'!BF43*$W$21," ")</f>
        <v xml:space="preserve"> </v>
      </c>
      <c r="O43" s="504" t="str">
        <f>IFERROR('GCM_Purlin 1.0'!BG43*$W$21," ")</f>
        <v xml:space="preserve"> </v>
      </c>
      <c r="P43" s="504" t="str">
        <f>IFERROR('GCM_Purlin 1.0'!BH43*$W$21," ")</f>
        <v xml:space="preserve"> </v>
      </c>
      <c r="Q43" s="504" t="str">
        <f>IFERROR('GCM_Purlin 1.0'!BI43*$W$21," ")</f>
        <v xml:space="preserve"> </v>
      </c>
      <c r="R43" s="504" t="str">
        <f>IFERROR('GCM_Purlin 1.0'!BJ43*$W$21," ")</f>
        <v xml:space="preserve"> </v>
      </c>
      <c r="S43" s="505" t="str">
        <f>IFERROR('GCM_Purlin 1.0'!BK43*$W$21," ")</f>
        <v xml:space="preserve"> </v>
      </c>
      <c r="T43" s="476"/>
    </row>
    <row r="44" spans="1:62" ht="15.75" customHeight="1" thickBot="1" x14ac:dyDescent="0.3">
      <c r="D44" s="476"/>
      <c r="E44" s="476"/>
      <c r="F44" s="476"/>
      <c r="G44" s="476"/>
      <c r="H44" s="476"/>
      <c r="I44" s="476"/>
      <c r="J44" s="476"/>
      <c r="K44" s="476"/>
      <c r="L44" s="476"/>
      <c r="M44" s="476"/>
      <c r="N44" s="476"/>
      <c r="O44" s="476"/>
      <c r="P44" s="476"/>
      <c r="Q44" s="476"/>
      <c r="R44" s="476"/>
      <c r="S44" s="476"/>
      <c r="T44" s="476"/>
    </row>
    <row r="45" spans="1:62" ht="15" customHeight="1" x14ac:dyDescent="0.25">
      <c r="A45" s="694" t="s">
        <v>769</v>
      </c>
      <c r="B45" s="547"/>
      <c r="C45" s="547"/>
      <c r="D45" s="547"/>
      <c r="E45" s="547"/>
      <c r="F45" s="547"/>
      <c r="G45" s="547"/>
      <c r="H45" s="547"/>
      <c r="I45" s="547"/>
      <c r="J45" s="547"/>
      <c r="K45" s="547"/>
      <c r="L45" s="547"/>
      <c r="M45" s="547"/>
      <c r="N45" s="547"/>
      <c r="O45" s="547"/>
      <c r="P45" s="568"/>
      <c r="Q45" s="468"/>
      <c r="R45" s="468"/>
      <c r="S45" s="469"/>
      <c r="T45" s="522"/>
      <c r="Y45" s="677" t="s">
        <v>755</v>
      </c>
      <c r="Z45" s="547"/>
      <c r="AA45" s="547"/>
      <c r="AB45" s="547"/>
      <c r="AC45" s="547"/>
      <c r="AD45" s="547"/>
      <c r="AE45" s="547"/>
      <c r="AF45" s="547"/>
      <c r="AG45" s="547"/>
      <c r="AH45" s="547"/>
      <c r="AI45" s="547"/>
      <c r="AJ45" s="547"/>
      <c r="AK45" s="547"/>
      <c r="AL45" s="547"/>
      <c r="AM45" s="547"/>
      <c r="AN45" s="547"/>
      <c r="AO45" s="547"/>
      <c r="AP45" s="548"/>
      <c r="AS45" s="677" t="s">
        <v>770</v>
      </c>
      <c r="AT45" s="547"/>
      <c r="AU45" s="547"/>
      <c r="AV45" s="547"/>
      <c r="AW45" s="547"/>
      <c r="AX45" s="547"/>
      <c r="AY45" s="547"/>
      <c r="AZ45" s="547"/>
      <c r="BA45" s="547"/>
      <c r="BB45" s="547"/>
      <c r="BC45" s="547"/>
      <c r="BD45" s="547"/>
      <c r="BE45" s="547"/>
      <c r="BF45" s="547"/>
      <c r="BG45" s="547"/>
      <c r="BH45" s="547"/>
      <c r="BI45" s="547"/>
      <c r="BJ45" s="548"/>
    </row>
    <row r="46" spans="1:62" ht="15.75" customHeight="1" thickBot="1" x14ac:dyDescent="0.3">
      <c r="A46" s="473" t="str">
        <f>'GCM_Purlin 1.0'!AR46</f>
        <v>Zone</v>
      </c>
      <c r="B46" s="35" t="str">
        <f>'GCM_Purlin 1.0'!AS46</f>
        <v>Load Type</v>
      </c>
      <c r="C46" s="41" t="str">
        <f>'GCM_Purlin 1.0'!AU46</f>
        <v>Chord Divisions</v>
      </c>
      <c r="D46" s="698" t="str">
        <f>'GCM_Purlin 1.0'!AV46</f>
        <v>Spans</v>
      </c>
      <c r="E46" s="675"/>
      <c r="F46" s="675"/>
      <c r="G46" s="675"/>
      <c r="H46" s="675"/>
      <c r="I46" s="675"/>
      <c r="J46" s="675"/>
      <c r="K46" s="675"/>
      <c r="L46" s="675"/>
      <c r="M46" s="675"/>
      <c r="N46" s="675"/>
      <c r="O46" s="675"/>
      <c r="P46" s="675"/>
      <c r="Q46" s="675"/>
      <c r="R46" s="675"/>
      <c r="S46" s="676"/>
      <c r="T46" s="1"/>
      <c r="Y46" s="363" t="s">
        <v>9</v>
      </c>
      <c r="Z46" s="365" t="s">
        <v>495</v>
      </c>
      <c r="AA46" s="697" t="s">
        <v>497</v>
      </c>
      <c r="AB46" s="551"/>
      <c r="AC46" s="551"/>
      <c r="AD46" s="551"/>
      <c r="AE46" s="551"/>
      <c r="AF46" s="551"/>
      <c r="AG46" s="551"/>
      <c r="AH46" s="551"/>
      <c r="AI46" s="551"/>
      <c r="AJ46" s="551"/>
      <c r="AK46" s="551"/>
      <c r="AL46" s="551"/>
      <c r="AM46" s="551"/>
      <c r="AN46" s="551"/>
      <c r="AO46" s="551"/>
      <c r="AP46" s="552"/>
      <c r="AS46" s="363" t="s">
        <v>9</v>
      </c>
      <c r="AT46" s="365" t="s">
        <v>495</v>
      </c>
      <c r="AU46" s="697" t="s">
        <v>497</v>
      </c>
      <c r="AV46" s="551"/>
      <c r="AW46" s="551"/>
      <c r="AX46" s="551"/>
      <c r="AY46" s="551"/>
      <c r="AZ46" s="551"/>
      <c r="BA46" s="551"/>
      <c r="BB46" s="551"/>
      <c r="BC46" s="551"/>
      <c r="BD46" s="551"/>
      <c r="BE46" s="551"/>
      <c r="BF46" s="551"/>
      <c r="BG46" s="551"/>
      <c r="BH46" s="551"/>
      <c r="BI46" s="551"/>
      <c r="BJ46" s="552"/>
    </row>
    <row r="47" spans="1:62" x14ac:dyDescent="0.25">
      <c r="A47" s="696">
        <v>1</v>
      </c>
      <c r="B47" s="637" t="str">
        <f>'GCM_Purlin 1.0'!AS47</f>
        <v>Uplift</v>
      </c>
      <c r="C47" s="519" t="str">
        <f>'GCM_Purlin 1.0'!AU47</f>
        <v>GCN1</v>
      </c>
      <c r="D47" s="513" t="str">
        <f>IFERROR('GCM_Purlin 1.0'!AV47*$W$4," ")</f>
        <v xml:space="preserve"> </v>
      </c>
      <c r="E47" s="482" t="str">
        <f>IFERROR('GCM_Purlin 1.0'!AW47*$W$4," ")</f>
        <v xml:space="preserve"> </v>
      </c>
      <c r="F47" s="482" t="str">
        <f>IFERROR('GCM_Purlin 1.0'!AX47*$W$4," ")</f>
        <v xml:space="preserve"> </v>
      </c>
      <c r="G47" s="482" t="str">
        <f>IFERROR('GCM_Purlin 1.0'!AY47*$W$4," ")</f>
        <v xml:space="preserve"> </v>
      </c>
      <c r="H47" s="482" t="str">
        <f>IFERROR('GCM_Purlin 1.0'!AZ47*$W$4," ")</f>
        <v xml:space="preserve"> </v>
      </c>
      <c r="I47" s="482" t="str">
        <f>IFERROR('GCM_Purlin 1.0'!BA47*$W$4," ")</f>
        <v xml:space="preserve"> </v>
      </c>
      <c r="J47" s="482" t="str">
        <f>IFERROR('GCM_Purlin 1.0'!BB47*$W$4," ")</f>
        <v xml:space="preserve"> </v>
      </c>
      <c r="K47" s="482" t="str">
        <f>IFERROR('GCM_Purlin 1.0'!BC47*$W$4," ")</f>
        <v xml:space="preserve"> </v>
      </c>
      <c r="L47" s="482" t="str">
        <f>IFERROR('GCM_Purlin 1.0'!BD47*$W$4," ")</f>
        <v xml:space="preserve"> </v>
      </c>
      <c r="M47" s="482" t="str">
        <f>IFERROR('GCM_Purlin 1.0'!BE47*$W$4," ")</f>
        <v xml:space="preserve"> </v>
      </c>
      <c r="N47" s="482" t="str">
        <f>IFERROR('GCM_Purlin 1.0'!BF47*$W$4," ")</f>
        <v xml:space="preserve"> </v>
      </c>
      <c r="O47" s="482" t="str">
        <f>IFERROR('GCM_Purlin 1.0'!BG47*$W$4," ")</f>
        <v xml:space="preserve"> </v>
      </c>
      <c r="P47" s="482" t="str">
        <f>IFERROR('GCM_Purlin 1.0'!BH47*$W$4," ")</f>
        <v xml:space="preserve"> </v>
      </c>
      <c r="Q47" s="482" t="str">
        <f>IFERROR('GCM_Purlin 1.0'!BI47*$W$4," ")</f>
        <v xml:space="preserve"> </v>
      </c>
      <c r="R47" s="482" t="str">
        <f>IFERROR('GCM_Purlin 1.0'!BJ47*$W$4," ")</f>
        <v xml:space="preserve"> </v>
      </c>
      <c r="S47" s="483" t="str">
        <f>IFERROR('GCM_Purlin 1.0'!BK47*$W$4," ")</f>
        <v xml:space="preserve"> </v>
      </c>
      <c r="T47" s="476"/>
      <c r="Y47" s="704"/>
      <c r="Z47" s="688" t="s">
        <v>6</v>
      </c>
      <c r="AA47" s="486" t="str">
        <f t="shared" ref="AA47:AP47" si="40">IFERROR((D47*Quarter_Area)+(D48*Quarter_Area)," ")</f>
        <v xml:space="preserve"> </v>
      </c>
      <c r="AB47" s="487" t="str">
        <f t="shared" si="40"/>
        <v xml:space="preserve"> </v>
      </c>
      <c r="AC47" s="487" t="str">
        <f t="shared" si="40"/>
        <v xml:space="preserve"> </v>
      </c>
      <c r="AD47" s="487" t="str">
        <f t="shared" si="40"/>
        <v xml:space="preserve"> </v>
      </c>
      <c r="AE47" s="487" t="str">
        <f t="shared" si="40"/>
        <v xml:space="preserve"> </v>
      </c>
      <c r="AF47" s="487" t="str">
        <f t="shared" si="40"/>
        <v xml:space="preserve"> </v>
      </c>
      <c r="AG47" s="487" t="str">
        <f t="shared" si="40"/>
        <v xml:space="preserve"> </v>
      </c>
      <c r="AH47" s="487" t="str">
        <f t="shared" si="40"/>
        <v xml:space="preserve"> </v>
      </c>
      <c r="AI47" s="487" t="str">
        <f t="shared" si="40"/>
        <v xml:space="preserve"> </v>
      </c>
      <c r="AJ47" s="487" t="str">
        <f t="shared" si="40"/>
        <v xml:space="preserve"> </v>
      </c>
      <c r="AK47" s="487" t="str">
        <f t="shared" si="40"/>
        <v xml:space="preserve"> </v>
      </c>
      <c r="AL47" s="487" t="str">
        <f t="shared" si="40"/>
        <v xml:space="preserve"> </v>
      </c>
      <c r="AM47" s="487" t="str">
        <f t="shared" si="40"/>
        <v xml:space="preserve"> </v>
      </c>
      <c r="AN47" s="487" t="str">
        <f t="shared" si="40"/>
        <v xml:space="preserve"> </v>
      </c>
      <c r="AO47" s="487" t="str">
        <f t="shared" si="40"/>
        <v xml:space="preserve"> </v>
      </c>
      <c r="AP47" s="488" t="str">
        <f t="shared" si="40"/>
        <v xml:space="preserve"> </v>
      </c>
      <c r="AS47" s="704"/>
      <c r="AT47" s="688" t="s">
        <v>6</v>
      </c>
      <c r="AU47" s="523" t="str">
        <f t="shared" ref="AU47:BJ47" si="41">IFERROR((D47*Quarter_Area*m1b)+(D48*Quarter_Area*m2b)," ")</f>
        <v xml:space="preserve"> </v>
      </c>
      <c r="AV47" s="524" t="str">
        <f t="shared" si="41"/>
        <v xml:space="preserve"> </v>
      </c>
      <c r="AW47" s="524" t="str">
        <f t="shared" si="41"/>
        <v xml:space="preserve"> </v>
      </c>
      <c r="AX47" s="524" t="str">
        <f t="shared" si="41"/>
        <v xml:space="preserve"> </v>
      </c>
      <c r="AY47" s="524" t="str">
        <f t="shared" si="41"/>
        <v xml:space="preserve"> </v>
      </c>
      <c r="AZ47" s="524" t="str">
        <f t="shared" si="41"/>
        <v xml:space="preserve"> </v>
      </c>
      <c r="BA47" s="524" t="str">
        <f t="shared" si="41"/>
        <v xml:space="preserve"> </v>
      </c>
      <c r="BB47" s="524" t="str">
        <f t="shared" si="41"/>
        <v xml:space="preserve"> </v>
      </c>
      <c r="BC47" s="524" t="str">
        <f t="shared" si="41"/>
        <v xml:space="preserve"> </v>
      </c>
      <c r="BD47" s="524" t="str">
        <f t="shared" si="41"/>
        <v xml:space="preserve"> </v>
      </c>
      <c r="BE47" s="524" t="str">
        <f t="shared" si="41"/>
        <v xml:space="preserve"> </v>
      </c>
      <c r="BF47" s="524" t="str">
        <f t="shared" si="41"/>
        <v xml:space="preserve"> </v>
      </c>
      <c r="BG47" s="524" t="str">
        <f t="shared" si="41"/>
        <v xml:space="preserve"> </v>
      </c>
      <c r="BH47" s="524" t="str">
        <f t="shared" si="41"/>
        <v xml:space="preserve"> </v>
      </c>
      <c r="BI47" s="524" t="str">
        <f t="shared" si="41"/>
        <v xml:space="preserve"> </v>
      </c>
      <c r="BJ47" s="525" t="str">
        <f t="shared" si="41"/>
        <v xml:space="preserve"> </v>
      </c>
    </row>
    <row r="48" spans="1:62" x14ac:dyDescent="0.25">
      <c r="A48" s="604"/>
      <c r="B48" s="555"/>
      <c r="C48" s="520" t="str">
        <f>'GCM_Purlin 1.0'!AU48</f>
        <v>GCN2</v>
      </c>
      <c r="D48" s="514" t="str">
        <f>IFERROR('GCM_Purlin 1.0'!AV48*$W$4," ")</f>
        <v xml:space="preserve"> </v>
      </c>
      <c r="E48" s="476" t="str">
        <f>IFERROR('GCM_Purlin 1.0'!AW48*$W$4," ")</f>
        <v xml:space="preserve"> </v>
      </c>
      <c r="F48" s="476" t="str">
        <f>IFERROR('GCM_Purlin 1.0'!AX48*$W$4," ")</f>
        <v xml:space="preserve"> </v>
      </c>
      <c r="G48" s="476" t="str">
        <f>IFERROR('GCM_Purlin 1.0'!AY48*$W$4," ")</f>
        <v xml:space="preserve"> </v>
      </c>
      <c r="H48" s="476" t="str">
        <f>IFERROR('GCM_Purlin 1.0'!AZ48*$W$4," ")</f>
        <v xml:space="preserve"> </v>
      </c>
      <c r="I48" s="476" t="str">
        <f>IFERROR('GCM_Purlin 1.0'!BA48*$W$4," ")</f>
        <v xml:space="preserve"> </v>
      </c>
      <c r="J48" s="476" t="str">
        <f>IFERROR('GCM_Purlin 1.0'!BB48*$W$4," ")</f>
        <v xml:space="preserve"> </v>
      </c>
      <c r="K48" s="476" t="str">
        <f>IFERROR('GCM_Purlin 1.0'!BC48*$W$4," ")</f>
        <v xml:space="preserve"> </v>
      </c>
      <c r="L48" s="476" t="str">
        <f>IFERROR('GCM_Purlin 1.0'!BD48*$W$4," ")</f>
        <v xml:space="preserve"> </v>
      </c>
      <c r="M48" s="476" t="str">
        <f>IFERROR('GCM_Purlin 1.0'!BE48*$W$4," ")</f>
        <v xml:space="preserve"> </v>
      </c>
      <c r="N48" s="476" t="str">
        <f>IFERROR('GCM_Purlin 1.0'!BF48*$W$4," ")</f>
        <v xml:space="preserve"> </v>
      </c>
      <c r="O48" s="476" t="str">
        <f>IFERROR('GCM_Purlin 1.0'!BG48*$W$4," ")</f>
        <v xml:space="preserve"> </v>
      </c>
      <c r="P48" s="476" t="str">
        <f>IFERROR('GCM_Purlin 1.0'!BH48*$W$4," ")</f>
        <v xml:space="preserve"> </v>
      </c>
      <c r="Q48" s="476" t="str">
        <f>IFERROR('GCM_Purlin 1.0'!BI48*$W$4," ")</f>
        <v xml:space="preserve"> </v>
      </c>
      <c r="R48" s="476" t="str">
        <f>IFERROR('GCM_Purlin 1.0'!BJ48*$W$4," ")</f>
        <v xml:space="preserve"> </v>
      </c>
      <c r="S48" s="495" t="str">
        <f>IFERROR('GCM_Purlin 1.0'!BK48*$W$4," ")</f>
        <v xml:space="preserve"> </v>
      </c>
      <c r="T48" s="476"/>
      <c r="Y48" s="673"/>
      <c r="Z48" s="680"/>
      <c r="AA48" s="496" t="str">
        <f t="shared" ref="AA48:AP48" si="42">IFERROR((D49*Quarter_Area)+(D50*Quarter_Area)," ")</f>
        <v xml:space="preserve"> </v>
      </c>
      <c r="AB48" s="497" t="str">
        <f t="shared" si="42"/>
        <v xml:space="preserve"> </v>
      </c>
      <c r="AC48" s="497" t="str">
        <f t="shared" si="42"/>
        <v xml:space="preserve"> </v>
      </c>
      <c r="AD48" s="497" t="str">
        <f t="shared" si="42"/>
        <v xml:space="preserve"> </v>
      </c>
      <c r="AE48" s="497" t="str">
        <f t="shared" si="42"/>
        <v xml:space="preserve"> </v>
      </c>
      <c r="AF48" s="497" t="str">
        <f t="shared" si="42"/>
        <v xml:space="preserve"> </v>
      </c>
      <c r="AG48" s="497" t="str">
        <f t="shared" si="42"/>
        <v xml:space="preserve"> </v>
      </c>
      <c r="AH48" s="497" t="str">
        <f t="shared" si="42"/>
        <v xml:space="preserve"> </v>
      </c>
      <c r="AI48" s="497" t="str">
        <f t="shared" si="42"/>
        <v xml:space="preserve"> </v>
      </c>
      <c r="AJ48" s="497" t="str">
        <f t="shared" si="42"/>
        <v xml:space="preserve"> </v>
      </c>
      <c r="AK48" s="497" t="str">
        <f t="shared" si="42"/>
        <v xml:space="preserve"> </v>
      </c>
      <c r="AL48" s="497" t="str">
        <f t="shared" si="42"/>
        <v xml:space="preserve"> </v>
      </c>
      <c r="AM48" s="497" t="str">
        <f t="shared" si="42"/>
        <v xml:space="preserve"> </v>
      </c>
      <c r="AN48" s="497" t="str">
        <f t="shared" si="42"/>
        <v xml:space="preserve"> </v>
      </c>
      <c r="AO48" s="497" t="str">
        <f t="shared" si="42"/>
        <v xml:space="preserve"> </v>
      </c>
      <c r="AP48" s="498" t="str">
        <f t="shared" si="42"/>
        <v xml:space="preserve"> </v>
      </c>
      <c r="AS48" s="673"/>
      <c r="AT48" s="680"/>
      <c r="AU48" s="496" t="str">
        <f t="shared" ref="AU48:BJ48" si="43">IFERROR((D49*Quarter_Area*m3b)+(D50*Quarter_Area*m4b)," ")</f>
        <v xml:space="preserve"> </v>
      </c>
      <c r="AV48" s="497" t="str">
        <f t="shared" si="43"/>
        <v xml:space="preserve"> </v>
      </c>
      <c r="AW48" s="497" t="str">
        <f t="shared" si="43"/>
        <v xml:space="preserve"> </v>
      </c>
      <c r="AX48" s="497" t="str">
        <f t="shared" si="43"/>
        <v xml:space="preserve"> </v>
      </c>
      <c r="AY48" s="497" t="str">
        <f t="shared" si="43"/>
        <v xml:space="preserve"> </v>
      </c>
      <c r="AZ48" s="497" t="str">
        <f t="shared" si="43"/>
        <v xml:space="preserve"> </v>
      </c>
      <c r="BA48" s="497" t="str">
        <f t="shared" si="43"/>
        <v xml:space="preserve"> </v>
      </c>
      <c r="BB48" s="497" t="str">
        <f t="shared" si="43"/>
        <v xml:space="preserve"> </v>
      </c>
      <c r="BC48" s="497" t="str">
        <f t="shared" si="43"/>
        <v xml:space="preserve"> </v>
      </c>
      <c r="BD48" s="497" t="str">
        <f t="shared" si="43"/>
        <v xml:space="preserve"> </v>
      </c>
      <c r="BE48" s="497" t="str">
        <f t="shared" si="43"/>
        <v xml:space="preserve"> </v>
      </c>
      <c r="BF48" s="497" t="str">
        <f t="shared" si="43"/>
        <v xml:space="preserve"> </v>
      </c>
      <c r="BG48" s="497" t="str">
        <f t="shared" si="43"/>
        <v xml:space="preserve"> </v>
      </c>
      <c r="BH48" s="497" t="str">
        <f t="shared" si="43"/>
        <v xml:space="preserve"> </v>
      </c>
      <c r="BI48" s="497" t="str">
        <f t="shared" si="43"/>
        <v xml:space="preserve"> </v>
      </c>
      <c r="BJ48" s="498" t="str">
        <f t="shared" si="43"/>
        <v xml:space="preserve"> </v>
      </c>
    </row>
    <row r="49" spans="1:62" x14ac:dyDescent="0.25">
      <c r="A49" s="604"/>
      <c r="B49" s="555"/>
      <c r="C49" s="520" t="str">
        <f>'GCM_Purlin 1.0'!AU49</f>
        <v>GCN3</v>
      </c>
      <c r="D49" s="514" t="str">
        <f>IFERROR('GCM_Purlin 1.0'!AV49*$W$4," ")</f>
        <v xml:space="preserve"> </v>
      </c>
      <c r="E49" s="476" t="str">
        <f>IFERROR('GCM_Purlin 1.0'!AW49*$W$4," ")</f>
        <v xml:space="preserve"> </v>
      </c>
      <c r="F49" s="476" t="str">
        <f>IFERROR('GCM_Purlin 1.0'!AX49*$W$4," ")</f>
        <v xml:space="preserve"> </v>
      </c>
      <c r="G49" s="476" t="str">
        <f>IFERROR('GCM_Purlin 1.0'!AY49*$W$4," ")</f>
        <v xml:space="preserve"> </v>
      </c>
      <c r="H49" s="476" t="str">
        <f>IFERROR('GCM_Purlin 1.0'!AZ49*$W$4," ")</f>
        <v xml:space="preserve"> </v>
      </c>
      <c r="I49" s="476" t="str">
        <f>IFERROR('GCM_Purlin 1.0'!BA49*$W$4," ")</f>
        <v xml:space="preserve"> </v>
      </c>
      <c r="J49" s="476" t="str">
        <f>IFERROR('GCM_Purlin 1.0'!BB49*$W$4," ")</f>
        <v xml:space="preserve"> </v>
      </c>
      <c r="K49" s="476" t="str">
        <f>IFERROR('GCM_Purlin 1.0'!BC49*$W$4," ")</f>
        <v xml:space="preserve"> </v>
      </c>
      <c r="L49" s="476" t="str">
        <f>IFERROR('GCM_Purlin 1.0'!BD49*$W$4," ")</f>
        <v xml:space="preserve"> </v>
      </c>
      <c r="M49" s="476" t="str">
        <f>IFERROR('GCM_Purlin 1.0'!BE49*$W$4," ")</f>
        <v xml:space="preserve"> </v>
      </c>
      <c r="N49" s="476" t="str">
        <f>IFERROR('GCM_Purlin 1.0'!BF49*$W$4," ")</f>
        <v xml:space="preserve"> </v>
      </c>
      <c r="O49" s="476" t="str">
        <f>IFERROR('GCM_Purlin 1.0'!BG49*$W$4," ")</f>
        <v xml:space="preserve"> </v>
      </c>
      <c r="P49" s="476" t="str">
        <f>IFERROR('GCM_Purlin 1.0'!BH49*$W$4," ")</f>
        <v xml:space="preserve"> </v>
      </c>
      <c r="Q49" s="476" t="str">
        <f>IFERROR('GCM_Purlin 1.0'!BI49*$W$4," ")</f>
        <v xml:space="preserve"> </v>
      </c>
      <c r="R49" s="476" t="str">
        <f>IFERROR('GCM_Purlin 1.0'!BJ49*$W$4," ")</f>
        <v xml:space="preserve"> </v>
      </c>
      <c r="S49" s="495" t="str">
        <f>IFERROR('GCM_Purlin 1.0'!BK49*$W$4," ")</f>
        <v xml:space="preserve"> </v>
      </c>
      <c r="T49" s="476"/>
      <c r="Y49" s="683"/>
      <c r="Z49" s="680"/>
      <c r="AA49" s="496" t="str">
        <f t="shared" ref="AA49:AP49" si="44">IFERROR((D51*Quarter_Area)+(D52*Quarter_Area)," ")</f>
        <v xml:space="preserve"> </v>
      </c>
      <c r="AB49" s="497" t="str">
        <f t="shared" si="44"/>
        <v xml:space="preserve"> </v>
      </c>
      <c r="AC49" s="497" t="str">
        <f t="shared" si="44"/>
        <v xml:space="preserve"> </v>
      </c>
      <c r="AD49" s="497" t="str">
        <f t="shared" si="44"/>
        <v xml:space="preserve"> </v>
      </c>
      <c r="AE49" s="497" t="str">
        <f t="shared" si="44"/>
        <v xml:space="preserve"> </v>
      </c>
      <c r="AF49" s="497" t="str">
        <f t="shared" si="44"/>
        <v xml:space="preserve"> </v>
      </c>
      <c r="AG49" s="497" t="str">
        <f t="shared" si="44"/>
        <v xml:space="preserve"> </v>
      </c>
      <c r="AH49" s="497" t="str">
        <f t="shared" si="44"/>
        <v xml:space="preserve"> </v>
      </c>
      <c r="AI49" s="497" t="str">
        <f t="shared" si="44"/>
        <v xml:space="preserve"> </v>
      </c>
      <c r="AJ49" s="497" t="str">
        <f t="shared" si="44"/>
        <v xml:space="preserve"> </v>
      </c>
      <c r="AK49" s="497" t="str">
        <f t="shared" si="44"/>
        <v xml:space="preserve"> </v>
      </c>
      <c r="AL49" s="497" t="str">
        <f t="shared" si="44"/>
        <v xml:space="preserve"> </v>
      </c>
      <c r="AM49" s="497" t="str">
        <f t="shared" si="44"/>
        <v xml:space="preserve"> </v>
      </c>
      <c r="AN49" s="497" t="str">
        <f t="shared" si="44"/>
        <v xml:space="preserve"> </v>
      </c>
      <c r="AO49" s="497" t="str">
        <f t="shared" si="44"/>
        <v xml:space="preserve"> </v>
      </c>
      <c r="AP49" s="498" t="str">
        <f t="shared" si="44"/>
        <v xml:space="preserve"> </v>
      </c>
      <c r="AS49" s="683"/>
      <c r="AT49" s="680"/>
      <c r="AU49" s="496" t="str">
        <f t="shared" ref="AU49:BJ49" si="45">IFERROR((D51*Quarter_Area*m1b)+(D52*Quarter_Area*m2b)," ")</f>
        <v xml:space="preserve"> </v>
      </c>
      <c r="AV49" s="497" t="str">
        <f t="shared" si="45"/>
        <v xml:space="preserve"> </v>
      </c>
      <c r="AW49" s="497" t="str">
        <f t="shared" si="45"/>
        <v xml:space="preserve"> </v>
      </c>
      <c r="AX49" s="497" t="str">
        <f t="shared" si="45"/>
        <v xml:space="preserve"> </v>
      </c>
      <c r="AY49" s="497" t="str">
        <f t="shared" si="45"/>
        <v xml:space="preserve"> </v>
      </c>
      <c r="AZ49" s="497" t="str">
        <f t="shared" si="45"/>
        <v xml:space="preserve"> </v>
      </c>
      <c r="BA49" s="497" t="str">
        <f t="shared" si="45"/>
        <v xml:space="preserve"> </v>
      </c>
      <c r="BB49" s="497" t="str">
        <f t="shared" si="45"/>
        <v xml:space="preserve"> </v>
      </c>
      <c r="BC49" s="497" t="str">
        <f t="shared" si="45"/>
        <v xml:space="preserve"> </v>
      </c>
      <c r="BD49" s="497" t="str">
        <f t="shared" si="45"/>
        <v xml:space="preserve"> </v>
      </c>
      <c r="BE49" s="497" t="str">
        <f t="shared" si="45"/>
        <v xml:space="preserve"> </v>
      </c>
      <c r="BF49" s="497" t="str">
        <f t="shared" si="45"/>
        <v xml:space="preserve"> </v>
      </c>
      <c r="BG49" s="497" t="str">
        <f t="shared" si="45"/>
        <v xml:space="preserve"> </v>
      </c>
      <c r="BH49" s="497" t="str">
        <f t="shared" si="45"/>
        <v xml:space="preserve"> </v>
      </c>
      <c r="BI49" s="497" t="str">
        <f t="shared" si="45"/>
        <v xml:space="preserve"> </v>
      </c>
      <c r="BJ49" s="498" t="str">
        <f t="shared" si="45"/>
        <v xml:space="preserve"> </v>
      </c>
    </row>
    <row r="50" spans="1:62" ht="15.75" customHeight="1" thickBot="1" x14ac:dyDescent="0.3">
      <c r="A50" s="604"/>
      <c r="B50" s="555"/>
      <c r="C50" s="521" t="str">
        <f>'GCM_Purlin 1.0'!AU50</f>
        <v>GCN4</v>
      </c>
      <c r="D50" s="515" t="str">
        <f>IFERROR('GCM_Purlin 1.0'!AV50*$W$4," ")</f>
        <v xml:space="preserve"> </v>
      </c>
      <c r="E50" s="504" t="str">
        <f>IFERROR('GCM_Purlin 1.0'!AW50*$W$4," ")</f>
        <v xml:space="preserve"> </v>
      </c>
      <c r="F50" s="504" t="str">
        <f>IFERROR('GCM_Purlin 1.0'!AX50*$W$4," ")</f>
        <v xml:space="preserve"> </v>
      </c>
      <c r="G50" s="504" t="str">
        <f>IFERROR('GCM_Purlin 1.0'!AY50*$W$4," ")</f>
        <v xml:space="preserve"> </v>
      </c>
      <c r="H50" s="504" t="str">
        <f>IFERROR('GCM_Purlin 1.0'!AZ50*$W$4," ")</f>
        <v xml:space="preserve"> </v>
      </c>
      <c r="I50" s="504" t="str">
        <f>IFERROR('GCM_Purlin 1.0'!BA50*$W$4," ")</f>
        <v xml:space="preserve"> </v>
      </c>
      <c r="J50" s="504" t="str">
        <f>IFERROR('GCM_Purlin 1.0'!BB50*$W$4," ")</f>
        <v xml:space="preserve"> </v>
      </c>
      <c r="K50" s="504" t="str">
        <f>IFERROR('GCM_Purlin 1.0'!BC50*$W$4," ")</f>
        <v xml:space="preserve"> </v>
      </c>
      <c r="L50" s="504" t="str">
        <f>IFERROR('GCM_Purlin 1.0'!BD50*$W$4," ")</f>
        <v xml:space="preserve"> </v>
      </c>
      <c r="M50" s="504" t="str">
        <f>IFERROR('GCM_Purlin 1.0'!BE50*$W$4," ")</f>
        <v xml:space="preserve"> </v>
      </c>
      <c r="N50" s="504" t="str">
        <f>IFERROR('GCM_Purlin 1.0'!BF50*$W$4," ")</f>
        <v xml:space="preserve"> </v>
      </c>
      <c r="O50" s="504" t="str">
        <f>IFERROR('GCM_Purlin 1.0'!BG50*$W$4," ")</f>
        <v xml:space="preserve"> </v>
      </c>
      <c r="P50" s="504" t="str">
        <f>IFERROR('GCM_Purlin 1.0'!BH50*$W$4," ")</f>
        <v xml:space="preserve"> </v>
      </c>
      <c r="Q50" s="504" t="str">
        <f>IFERROR('GCM_Purlin 1.0'!BI50*$W$4," ")</f>
        <v xml:space="preserve"> </v>
      </c>
      <c r="R50" s="504" t="str">
        <f>IFERROR('GCM_Purlin 1.0'!BJ50*$W$4," ")</f>
        <v xml:space="preserve"> </v>
      </c>
      <c r="S50" s="505" t="str">
        <f>IFERROR('GCM_Purlin 1.0'!BK50*$W$4," ")</f>
        <v xml:space="preserve"> </v>
      </c>
      <c r="T50" s="476"/>
      <c r="Y50" s="673"/>
      <c r="Z50" s="680"/>
      <c r="AA50" s="496" t="str">
        <f t="shared" ref="AA50:AP50" si="46">IFERROR((D53*Quarter_Area)+(D54*Quarter_Area)," ")</f>
        <v xml:space="preserve"> </v>
      </c>
      <c r="AB50" s="497" t="str">
        <f t="shared" si="46"/>
        <v xml:space="preserve"> </v>
      </c>
      <c r="AC50" s="497" t="str">
        <f t="shared" si="46"/>
        <v xml:space="preserve"> </v>
      </c>
      <c r="AD50" s="497" t="str">
        <f t="shared" si="46"/>
        <v xml:space="preserve"> </v>
      </c>
      <c r="AE50" s="497" t="str">
        <f t="shared" si="46"/>
        <v xml:space="preserve"> </v>
      </c>
      <c r="AF50" s="497" t="str">
        <f t="shared" si="46"/>
        <v xml:space="preserve"> </v>
      </c>
      <c r="AG50" s="497" t="str">
        <f t="shared" si="46"/>
        <v xml:space="preserve"> </v>
      </c>
      <c r="AH50" s="497" t="str">
        <f t="shared" si="46"/>
        <v xml:space="preserve"> </v>
      </c>
      <c r="AI50" s="497" t="str">
        <f t="shared" si="46"/>
        <v xml:space="preserve"> </v>
      </c>
      <c r="AJ50" s="497" t="str">
        <f t="shared" si="46"/>
        <v xml:space="preserve"> </v>
      </c>
      <c r="AK50" s="497" t="str">
        <f t="shared" si="46"/>
        <v xml:space="preserve"> </v>
      </c>
      <c r="AL50" s="497" t="str">
        <f t="shared" si="46"/>
        <v xml:space="preserve"> </v>
      </c>
      <c r="AM50" s="497" t="str">
        <f t="shared" si="46"/>
        <v xml:space="preserve"> </v>
      </c>
      <c r="AN50" s="497" t="str">
        <f t="shared" si="46"/>
        <v xml:space="preserve"> </v>
      </c>
      <c r="AO50" s="497" t="str">
        <f t="shared" si="46"/>
        <v xml:space="preserve"> </v>
      </c>
      <c r="AP50" s="498" t="str">
        <f t="shared" si="46"/>
        <v xml:space="preserve"> </v>
      </c>
      <c r="AS50" s="673"/>
      <c r="AT50" s="680"/>
      <c r="AU50" s="496" t="str">
        <f t="shared" ref="AU50:BJ50" si="47">IFERROR((D53*Quarter_Area*m3b)+(D54*Quarter_Area*m4b)," ")</f>
        <v xml:space="preserve"> </v>
      </c>
      <c r="AV50" s="497" t="str">
        <f t="shared" si="47"/>
        <v xml:space="preserve"> </v>
      </c>
      <c r="AW50" s="497" t="str">
        <f t="shared" si="47"/>
        <v xml:space="preserve"> </v>
      </c>
      <c r="AX50" s="497" t="str">
        <f t="shared" si="47"/>
        <v xml:space="preserve"> </v>
      </c>
      <c r="AY50" s="497" t="str">
        <f t="shared" si="47"/>
        <v xml:space="preserve"> </v>
      </c>
      <c r="AZ50" s="497" t="str">
        <f t="shared" si="47"/>
        <v xml:space="preserve"> </v>
      </c>
      <c r="BA50" s="497" t="str">
        <f t="shared" si="47"/>
        <v xml:space="preserve"> </v>
      </c>
      <c r="BB50" s="497" t="str">
        <f t="shared" si="47"/>
        <v xml:space="preserve"> </v>
      </c>
      <c r="BC50" s="497" t="str">
        <f t="shared" si="47"/>
        <v xml:space="preserve"> </v>
      </c>
      <c r="BD50" s="497" t="str">
        <f t="shared" si="47"/>
        <v xml:space="preserve"> </v>
      </c>
      <c r="BE50" s="497" t="str">
        <f t="shared" si="47"/>
        <v xml:space="preserve"> </v>
      </c>
      <c r="BF50" s="497" t="str">
        <f t="shared" si="47"/>
        <v xml:space="preserve"> </v>
      </c>
      <c r="BG50" s="497" t="str">
        <f t="shared" si="47"/>
        <v xml:space="preserve"> </v>
      </c>
      <c r="BH50" s="497" t="str">
        <f t="shared" si="47"/>
        <v xml:space="preserve"> </v>
      </c>
      <c r="BI50" s="497" t="str">
        <f t="shared" si="47"/>
        <v xml:space="preserve"> </v>
      </c>
      <c r="BJ50" s="498" t="str">
        <f t="shared" si="47"/>
        <v xml:space="preserve"> </v>
      </c>
    </row>
    <row r="51" spans="1:62" x14ac:dyDescent="0.25">
      <c r="A51" s="681">
        <v>2</v>
      </c>
      <c r="B51" s="555"/>
      <c r="C51" s="519" t="str">
        <f>'GCM_Purlin 1.0'!AU51</f>
        <v>GCN1</v>
      </c>
      <c r="D51" s="513" t="str">
        <f>IFERROR('GCM_Purlin 1.0'!AV51*$W$8," ")</f>
        <v xml:space="preserve"> </v>
      </c>
      <c r="E51" s="482" t="str">
        <f>IFERROR('GCM_Purlin 1.0'!AW51*$W$8," ")</f>
        <v xml:space="preserve"> </v>
      </c>
      <c r="F51" s="482" t="str">
        <f>IFERROR('GCM_Purlin 1.0'!AX51*$W$8," ")</f>
        <v xml:space="preserve"> </v>
      </c>
      <c r="G51" s="482" t="str">
        <f>IFERROR('GCM_Purlin 1.0'!AY51*$W$8," ")</f>
        <v xml:space="preserve"> </v>
      </c>
      <c r="H51" s="482" t="str">
        <f>IFERROR('GCM_Purlin 1.0'!AZ51*$W$8," ")</f>
        <v xml:space="preserve"> </v>
      </c>
      <c r="I51" s="482" t="str">
        <f>IFERROR('GCM_Purlin 1.0'!BA51*$W$8," ")</f>
        <v xml:space="preserve"> </v>
      </c>
      <c r="J51" s="482" t="str">
        <f>IFERROR('GCM_Purlin 1.0'!BB51*$W$8," ")</f>
        <v xml:space="preserve"> </v>
      </c>
      <c r="K51" s="482" t="str">
        <f>IFERROR('GCM_Purlin 1.0'!BC51*$W$8," ")</f>
        <v xml:space="preserve"> </v>
      </c>
      <c r="L51" s="482" t="str">
        <f>IFERROR('GCM_Purlin 1.0'!BD51*$W$8," ")</f>
        <v xml:space="preserve"> </v>
      </c>
      <c r="M51" s="482" t="str">
        <f>IFERROR('GCM_Purlin 1.0'!BE51*$W$8," ")</f>
        <v xml:space="preserve"> </v>
      </c>
      <c r="N51" s="482" t="str">
        <f>IFERROR('GCM_Purlin 1.0'!BF51*$W$8," ")</f>
        <v xml:space="preserve"> </v>
      </c>
      <c r="O51" s="482" t="str">
        <f>IFERROR('GCM_Purlin 1.0'!BG51*$W$8," ")</f>
        <v xml:space="preserve"> </v>
      </c>
      <c r="P51" s="482" t="str">
        <f>IFERROR('GCM_Purlin 1.0'!BH51*$W$8," ")</f>
        <v xml:space="preserve"> </v>
      </c>
      <c r="Q51" s="482" t="str">
        <f>IFERROR('GCM_Purlin 1.0'!BI51*$W$8," ")</f>
        <v xml:space="preserve"> </v>
      </c>
      <c r="R51" s="482" t="str">
        <f>IFERROR('GCM_Purlin 1.0'!BJ51*$W$8," ")</f>
        <v xml:space="preserve"> </v>
      </c>
      <c r="S51" s="483" t="str">
        <f>IFERROR('GCM_Purlin 1.0'!BK51*$W$8," ")</f>
        <v xml:space="preserve"> </v>
      </c>
      <c r="T51" s="476"/>
      <c r="Y51" s="678"/>
      <c r="Z51" s="680"/>
      <c r="AA51" s="496" t="str">
        <f t="shared" ref="AA51:AP51" si="48">IFERROR((D55*Quarter_Area)+(D56*Quarter_Area)," ")</f>
        <v xml:space="preserve"> </v>
      </c>
      <c r="AB51" s="497" t="str">
        <f t="shared" si="48"/>
        <v xml:space="preserve"> </v>
      </c>
      <c r="AC51" s="497" t="str">
        <f t="shared" si="48"/>
        <v xml:space="preserve"> </v>
      </c>
      <c r="AD51" s="497" t="str">
        <f t="shared" si="48"/>
        <v xml:space="preserve"> </v>
      </c>
      <c r="AE51" s="497" t="str">
        <f t="shared" si="48"/>
        <v xml:space="preserve"> </v>
      </c>
      <c r="AF51" s="497" t="str">
        <f t="shared" si="48"/>
        <v xml:space="preserve"> </v>
      </c>
      <c r="AG51" s="497" t="str">
        <f t="shared" si="48"/>
        <v xml:space="preserve"> </v>
      </c>
      <c r="AH51" s="497" t="str">
        <f t="shared" si="48"/>
        <v xml:space="preserve"> </v>
      </c>
      <c r="AI51" s="497" t="str">
        <f t="shared" si="48"/>
        <v xml:space="preserve"> </v>
      </c>
      <c r="AJ51" s="497" t="str">
        <f t="shared" si="48"/>
        <v xml:space="preserve"> </v>
      </c>
      <c r="AK51" s="497" t="str">
        <f t="shared" si="48"/>
        <v xml:space="preserve"> </v>
      </c>
      <c r="AL51" s="497" t="str">
        <f t="shared" si="48"/>
        <v xml:space="preserve"> </v>
      </c>
      <c r="AM51" s="497" t="str">
        <f t="shared" si="48"/>
        <v xml:space="preserve"> </v>
      </c>
      <c r="AN51" s="497" t="str">
        <f t="shared" si="48"/>
        <v xml:space="preserve"> </v>
      </c>
      <c r="AO51" s="497" t="str">
        <f t="shared" si="48"/>
        <v xml:space="preserve"> </v>
      </c>
      <c r="AP51" s="498" t="str">
        <f t="shared" si="48"/>
        <v xml:space="preserve"> </v>
      </c>
      <c r="AS51" s="678"/>
      <c r="AT51" s="680"/>
      <c r="AU51" s="496" t="str">
        <f t="shared" ref="AU51:BJ51" si="49">IFERROR((D55*Quarter_Area*m1b)+(D56*Quarter_Area*m2b)," ")</f>
        <v xml:space="preserve"> </v>
      </c>
      <c r="AV51" s="497" t="str">
        <f t="shared" si="49"/>
        <v xml:space="preserve"> </v>
      </c>
      <c r="AW51" s="497" t="str">
        <f t="shared" si="49"/>
        <v xml:space="preserve"> </v>
      </c>
      <c r="AX51" s="497" t="str">
        <f t="shared" si="49"/>
        <v xml:space="preserve"> </v>
      </c>
      <c r="AY51" s="497" t="str">
        <f t="shared" si="49"/>
        <v xml:space="preserve"> </v>
      </c>
      <c r="AZ51" s="497" t="str">
        <f t="shared" si="49"/>
        <v xml:space="preserve"> </v>
      </c>
      <c r="BA51" s="497" t="str">
        <f t="shared" si="49"/>
        <v xml:space="preserve"> </v>
      </c>
      <c r="BB51" s="497" t="str">
        <f t="shared" si="49"/>
        <v xml:space="preserve"> </v>
      </c>
      <c r="BC51" s="497" t="str">
        <f t="shared" si="49"/>
        <v xml:space="preserve"> </v>
      </c>
      <c r="BD51" s="497" t="str">
        <f t="shared" si="49"/>
        <v xml:space="preserve"> </v>
      </c>
      <c r="BE51" s="497" t="str">
        <f t="shared" si="49"/>
        <v xml:space="preserve"> </v>
      </c>
      <c r="BF51" s="497" t="str">
        <f t="shared" si="49"/>
        <v xml:space="preserve"> </v>
      </c>
      <c r="BG51" s="497" t="str">
        <f t="shared" si="49"/>
        <v xml:space="preserve"> </v>
      </c>
      <c r="BH51" s="497" t="str">
        <f t="shared" si="49"/>
        <v xml:space="preserve"> </v>
      </c>
      <c r="BI51" s="497" t="str">
        <f t="shared" si="49"/>
        <v xml:space="preserve"> </v>
      </c>
      <c r="BJ51" s="498" t="str">
        <f t="shared" si="49"/>
        <v xml:space="preserve"> </v>
      </c>
    </row>
    <row r="52" spans="1:62" x14ac:dyDescent="0.25">
      <c r="A52" s="604"/>
      <c r="B52" s="555"/>
      <c r="C52" s="520" t="str">
        <f>'GCM_Purlin 1.0'!AU52</f>
        <v>GCN2</v>
      </c>
      <c r="D52" s="514" t="str">
        <f>IFERROR('GCM_Purlin 1.0'!AV52*$W$8," ")</f>
        <v xml:space="preserve"> </v>
      </c>
      <c r="E52" s="476" t="str">
        <f>IFERROR('GCM_Purlin 1.0'!AW52*$W$8," ")</f>
        <v xml:space="preserve"> </v>
      </c>
      <c r="F52" s="476" t="str">
        <f>IFERROR('GCM_Purlin 1.0'!AX52*$W$8," ")</f>
        <v xml:space="preserve"> </v>
      </c>
      <c r="G52" s="476" t="str">
        <f>IFERROR('GCM_Purlin 1.0'!AY52*$W$8," ")</f>
        <v xml:space="preserve"> </v>
      </c>
      <c r="H52" s="476" t="str">
        <f>IFERROR('GCM_Purlin 1.0'!AZ52*$W$8," ")</f>
        <v xml:space="preserve"> </v>
      </c>
      <c r="I52" s="476" t="str">
        <f>IFERROR('GCM_Purlin 1.0'!BA52*$W$8," ")</f>
        <v xml:space="preserve"> </v>
      </c>
      <c r="J52" s="476" t="str">
        <f>IFERROR('GCM_Purlin 1.0'!BB52*$W$8," ")</f>
        <v xml:space="preserve"> </v>
      </c>
      <c r="K52" s="476" t="str">
        <f>IFERROR('GCM_Purlin 1.0'!BC52*$W$8," ")</f>
        <v xml:space="preserve"> </v>
      </c>
      <c r="L52" s="476" t="str">
        <f>IFERROR('GCM_Purlin 1.0'!BD52*$W$8," ")</f>
        <v xml:space="preserve"> </v>
      </c>
      <c r="M52" s="476" t="str">
        <f>IFERROR('GCM_Purlin 1.0'!BE52*$W$8," ")</f>
        <v xml:space="preserve"> </v>
      </c>
      <c r="N52" s="476" t="str">
        <f>IFERROR('GCM_Purlin 1.0'!BF52*$W$8," ")</f>
        <v xml:space="preserve"> </v>
      </c>
      <c r="O52" s="476" t="str">
        <f>IFERROR('GCM_Purlin 1.0'!BG52*$W$8," ")</f>
        <v xml:space="preserve"> </v>
      </c>
      <c r="P52" s="476" t="str">
        <f>IFERROR('GCM_Purlin 1.0'!BH52*$W$8," ")</f>
        <v xml:space="preserve"> </v>
      </c>
      <c r="Q52" s="476" t="str">
        <f>IFERROR('GCM_Purlin 1.0'!BI52*$W$8," ")</f>
        <v xml:space="preserve"> </v>
      </c>
      <c r="R52" s="476" t="str">
        <f>IFERROR('GCM_Purlin 1.0'!BJ52*$W$8," ")</f>
        <v xml:space="preserve"> </v>
      </c>
      <c r="S52" s="495" t="str">
        <f>IFERROR('GCM_Purlin 1.0'!BK52*$W$8," ")</f>
        <v xml:space="preserve"> </v>
      </c>
      <c r="T52" s="476"/>
      <c r="Y52" s="673"/>
      <c r="Z52" s="680"/>
      <c r="AA52" s="496" t="str">
        <f t="shared" ref="AA52:AP52" si="50">IFERROR((D57*Quarter_Area)+(D58*Quarter_Area)," ")</f>
        <v xml:space="preserve"> </v>
      </c>
      <c r="AB52" s="497" t="str">
        <f t="shared" si="50"/>
        <v xml:space="preserve"> </v>
      </c>
      <c r="AC52" s="497" t="str">
        <f t="shared" si="50"/>
        <v xml:space="preserve"> </v>
      </c>
      <c r="AD52" s="497" t="str">
        <f t="shared" si="50"/>
        <v xml:space="preserve"> </v>
      </c>
      <c r="AE52" s="497" t="str">
        <f t="shared" si="50"/>
        <v xml:space="preserve"> </v>
      </c>
      <c r="AF52" s="497" t="str">
        <f t="shared" si="50"/>
        <v xml:space="preserve"> </v>
      </c>
      <c r="AG52" s="497" t="str">
        <f t="shared" si="50"/>
        <v xml:space="preserve"> </v>
      </c>
      <c r="AH52" s="497" t="str">
        <f t="shared" si="50"/>
        <v xml:space="preserve"> </v>
      </c>
      <c r="AI52" s="497" t="str">
        <f t="shared" si="50"/>
        <v xml:space="preserve"> </v>
      </c>
      <c r="AJ52" s="497" t="str">
        <f t="shared" si="50"/>
        <v xml:space="preserve"> </v>
      </c>
      <c r="AK52" s="497" t="str">
        <f t="shared" si="50"/>
        <v xml:space="preserve"> </v>
      </c>
      <c r="AL52" s="497" t="str">
        <f t="shared" si="50"/>
        <v xml:space="preserve"> </v>
      </c>
      <c r="AM52" s="497" t="str">
        <f t="shared" si="50"/>
        <v xml:space="preserve"> </v>
      </c>
      <c r="AN52" s="497" t="str">
        <f t="shared" si="50"/>
        <v xml:space="preserve"> </v>
      </c>
      <c r="AO52" s="497" t="str">
        <f t="shared" si="50"/>
        <v xml:space="preserve"> </v>
      </c>
      <c r="AP52" s="498" t="str">
        <f t="shared" si="50"/>
        <v xml:space="preserve"> </v>
      </c>
      <c r="AS52" s="673"/>
      <c r="AT52" s="680"/>
      <c r="AU52" s="496" t="str">
        <f t="shared" ref="AU52:BJ52" si="51">IFERROR((D57*Quarter_Area*m3b)+(D58*Quarter_Area*m4b)," ")</f>
        <v xml:space="preserve"> </v>
      </c>
      <c r="AV52" s="497" t="str">
        <f t="shared" si="51"/>
        <v xml:space="preserve"> </v>
      </c>
      <c r="AW52" s="497" t="str">
        <f t="shared" si="51"/>
        <v xml:space="preserve"> </v>
      </c>
      <c r="AX52" s="497" t="str">
        <f t="shared" si="51"/>
        <v xml:space="preserve"> </v>
      </c>
      <c r="AY52" s="497" t="str">
        <f t="shared" si="51"/>
        <v xml:space="preserve"> </v>
      </c>
      <c r="AZ52" s="497" t="str">
        <f t="shared" si="51"/>
        <v xml:space="preserve"> </v>
      </c>
      <c r="BA52" s="497" t="str">
        <f t="shared" si="51"/>
        <v xml:space="preserve"> </v>
      </c>
      <c r="BB52" s="497" t="str">
        <f t="shared" si="51"/>
        <v xml:space="preserve"> </v>
      </c>
      <c r="BC52" s="497" t="str">
        <f t="shared" si="51"/>
        <v xml:space="preserve"> </v>
      </c>
      <c r="BD52" s="497" t="str">
        <f t="shared" si="51"/>
        <v xml:space="preserve"> </v>
      </c>
      <c r="BE52" s="497" t="str">
        <f t="shared" si="51"/>
        <v xml:space="preserve"> </v>
      </c>
      <c r="BF52" s="497" t="str">
        <f t="shared" si="51"/>
        <v xml:space="preserve"> </v>
      </c>
      <c r="BG52" s="497" t="str">
        <f t="shared" si="51"/>
        <v xml:space="preserve"> </v>
      </c>
      <c r="BH52" s="497" t="str">
        <f t="shared" si="51"/>
        <v xml:space="preserve"> </v>
      </c>
      <c r="BI52" s="497" t="str">
        <f t="shared" si="51"/>
        <v xml:space="preserve"> </v>
      </c>
      <c r="BJ52" s="498" t="str">
        <f t="shared" si="51"/>
        <v xml:space="preserve"> </v>
      </c>
    </row>
    <row r="53" spans="1:62" x14ac:dyDescent="0.25">
      <c r="A53" s="604"/>
      <c r="B53" s="555"/>
      <c r="C53" s="520" t="str">
        <f>'GCM_Purlin 1.0'!AU53</f>
        <v>GCN3</v>
      </c>
      <c r="D53" s="514" t="str">
        <f>IFERROR('GCM_Purlin 1.0'!AV53*$W$8," ")</f>
        <v xml:space="preserve"> </v>
      </c>
      <c r="E53" s="476" t="str">
        <f>IFERROR('GCM_Purlin 1.0'!AW53*$W$8," ")</f>
        <v xml:space="preserve"> </v>
      </c>
      <c r="F53" s="476" t="str">
        <f>IFERROR('GCM_Purlin 1.0'!AX53*$W$8," ")</f>
        <v xml:space="preserve"> </v>
      </c>
      <c r="G53" s="476" t="str">
        <f>IFERROR('GCM_Purlin 1.0'!AY53*$W$8," ")</f>
        <v xml:space="preserve"> </v>
      </c>
      <c r="H53" s="476" t="str">
        <f>IFERROR('GCM_Purlin 1.0'!AZ53*$W$8," ")</f>
        <v xml:space="preserve"> </v>
      </c>
      <c r="I53" s="476" t="str">
        <f>IFERROR('GCM_Purlin 1.0'!BA53*$W$8," ")</f>
        <v xml:space="preserve"> </v>
      </c>
      <c r="J53" s="476" t="str">
        <f>IFERROR('GCM_Purlin 1.0'!BB53*$W$8," ")</f>
        <v xml:space="preserve"> </v>
      </c>
      <c r="K53" s="476" t="str">
        <f>IFERROR('GCM_Purlin 1.0'!BC53*$W$8," ")</f>
        <v xml:space="preserve"> </v>
      </c>
      <c r="L53" s="476" t="str">
        <f>IFERROR('GCM_Purlin 1.0'!BD53*$W$8," ")</f>
        <v xml:space="preserve"> </v>
      </c>
      <c r="M53" s="476" t="str">
        <f>IFERROR('GCM_Purlin 1.0'!BE53*$W$8," ")</f>
        <v xml:space="preserve"> </v>
      </c>
      <c r="N53" s="476" t="str">
        <f>IFERROR('GCM_Purlin 1.0'!BF53*$W$8," ")</f>
        <v xml:space="preserve"> </v>
      </c>
      <c r="O53" s="476" t="str">
        <f>IFERROR('GCM_Purlin 1.0'!BG53*$W$8," ")</f>
        <v xml:space="preserve"> </v>
      </c>
      <c r="P53" s="476" t="str">
        <f>IFERROR('GCM_Purlin 1.0'!BH53*$W$8," ")</f>
        <v xml:space="preserve"> </v>
      </c>
      <c r="Q53" s="476" t="str">
        <f>IFERROR('GCM_Purlin 1.0'!BI53*$W$8," ")</f>
        <v xml:space="preserve"> </v>
      </c>
      <c r="R53" s="476" t="str">
        <f>IFERROR('GCM_Purlin 1.0'!BJ53*$W$8," ")</f>
        <v xml:space="preserve"> </v>
      </c>
      <c r="S53" s="495" t="str">
        <f>IFERROR('GCM_Purlin 1.0'!BK53*$W$8," ")</f>
        <v xml:space="preserve"> </v>
      </c>
      <c r="T53" s="476"/>
      <c r="Y53" s="672"/>
      <c r="Z53" s="680"/>
      <c r="AA53" s="496" t="str">
        <f t="shared" ref="AA53:AP53" si="52">IFERROR((D59*Quarter_Area)+(D60*Quarter_Area)," ")</f>
        <v xml:space="preserve"> </v>
      </c>
      <c r="AB53" s="497" t="str">
        <f t="shared" si="52"/>
        <v xml:space="preserve"> </v>
      </c>
      <c r="AC53" s="497" t="str">
        <f t="shared" si="52"/>
        <v xml:space="preserve"> </v>
      </c>
      <c r="AD53" s="497" t="str">
        <f t="shared" si="52"/>
        <v xml:space="preserve"> </v>
      </c>
      <c r="AE53" s="497" t="str">
        <f t="shared" si="52"/>
        <v xml:space="preserve"> </v>
      </c>
      <c r="AF53" s="497" t="str">
        <f t="shared" si="52"/>
        <v xml:space="preserve"> </v>
      </c>
      <c r="AG53" s="497" t="str">
        <f t="shared" si="52"/>
        <v xml:space="preserve"> </v>
      </c>
      <c r="AH53" s="497" t="str">
        <f t="shared" si="52"/>
        <v xml:space="preserve"> </v>
      </c>
      <c r="AI53" s="497" t="str">
        <f t="shared" si="52"/>
        <v xml:space="preserve"> </v>
      </c>
      <c r="AJ53" s="497" t="str">
        <f t="shared" si="52"/>
        <v xml:space="preserve"> </v>
      </c>
      <c r="AK53" s="497" t="str">
        <f t="shared" si="52"/>
        <v xml:space="preserve"> </v>
      </c>
      <c r="AL53" s="497" t="str">
        <f t="shared" si="52"/>
        <v xml:space="preserve"> </v>
      </c>
      <c r="AM53" s="497" t="str">
        <f t="shared" si="52"/>
        <v xml:space="preserve"> </v>
      </c>
      <c r="AN53" s="497" t="str">
        <f t="shared" si="52"/>
        <v xml:space="preserve"> </v>
      </c>
      <c r="AO53" s="497" t="str">
        <f t="shared" si="52"/>
        <v xml:space="preserve"> </v>
      </c>
      <c r="AP53" s="498" t="str">
        <f t="shared" si="52"/>
        <v xml:space="preserve"> </v>
      </c>
      <c r="AS53" s="672"/>
      <c r="AT53" s="680"/>
      <c r="AU53" s="496" t="str">
        <f t="shared" ref="AU53:BJ53" si="53">IFERROR((D59*Quarter_Area*m1b)+(D60*Quarter_Area*m2b)," ")</f>
        <v xml:space="preserve"> </v>
      </c>
      <c r="AV53" s="497" t="str">
        <f t="shared" si="53"/>
        <v xml:space="preserve"> </v>
      </c>
      <c r="AW53" s="497" t="str">
        <f t="shared" si="53"/>
        <v xml:space="preserve"> </v>
      </c>
      <c r="AX53" s="497" t="str">
        <f t="shared" si="53"/>
        <v xml:space="preserve"> </v>
      </c>
      <c r="AY53" s="497" t="str">
        <f t="shared" si="53"/>
        <v xml:space="preserve"> </v>
      </c>
      <c r="AZ53" s="497" t="str">
        <f t="shared" si="53"/>
        <v xml:space="preserve"> </v>
      </c>
      <c r="BA53" s="497" t="str">
        <f t="shared" si="53"/>
        <v xml:space="preserve"> </v>
      </c>
      <c r="BB53" s="497" t="str">
        <f t="shared" si="53"/>
        <v xml:space="preserve"> </v>
      </c>
      <c r="BC53" s="497" t="str">
        <f t="shared" si="53"/>
        <v xml:space="preserve"> </v>
      </c>
      <c r="BD53" s="497" t="str">
        <f t="shared" si="53"/>
        <v xml:space="preserve"> </v>
      </c>
      <c r="BE53" s="497" t="str">
        <f t="shared" si="53"/>
        <v xml:space="preserve"> </v>
      </c>
      <c r="BF53" s="497" t="str">
        <f t="shared" si="53"/>
        <v xml:space="preserve"> </v>
      </c>
      <c r="BG53" s="497" t="str">
        <f t="shared" si="53"/>
        <v xml:space="preserve"> </v>
      </c>
      <c r="BH53" s="497" t="str">
        <f t="shared" si="53"/>
        <v xml:space="preserve"> </v>
      </c>
      <c r="BI53" s="497" t="str">
        <f t="shared" si="53"/>
        <v xml:space="preserve"> </v>
      </c>
      <c r="BJ53" s="498" t="str">
        <f t="shared" si="53"/>
        <v xml:space="preserve"> </v>
      </c>
    </row>
    <row r="54" spans="1:62" ht="15.75" customHeight="1" thickBot="1" x14ac:dyDescent="0.3">
      <c r="A54" s="604"/>
      <c r="B54" s="555"/>
      <c r="C54" s="521" t="str">
        <f>'GCM_Purlin 1.0'!AU54</f>
        <v>GCN4</v>
      </c>
      <c r="D54" s="515" t="str">
        <f>IFERROR('GCM_Purlin 1.0'!AV54*$W$8," ")</f>
        <v xml:space="preserve"> </v>
      </c>
      <c r="E54" s="504" t="str">
        <f>IFERROR('GCM_Purlin 1.0'!AW54*$W$8," ")</f>
        <v xml:space="preserve"> </v>
      </c>
      <c r="F54" s="504" t="str">
        <f>IFERROR('GCM_Purlin 1.0'!AX54*$W$8," ")</f>
        <v xml:space="preserve"> </v>
      </c>
      <c r="G54" s="504" t="str">
        <f>IFERROR('GCM_Purlin 1.0'!AY54*$W$8," ")</f>
        <v xml:space="preserve"> </v>
      </c>
      <c r="H54" s="504" t="str">
        <f>IFERROR('GCM_Purlin 1.0'!AZ54*$W$8," ")</f>
        <v xml:space="preserve"> </v>
      </c>
      <c r="I54" s="504" t="str">
        <f>IFERROR('GCM_Purlin 1.0'!BA54*$W$8," ")</f>
        <v xml:space="preserve"> </v>
      </c>
      <c r="J54" s="504" t="str">
        <f>IFERROR('GCM_Purlin 1.0'!BB54*$W$8," ")</f>
        <v xml:space="preserve"> </v>
      </c>
      <c r="K54" s="504" t="str">
        <f>IFERROR('GCM_Purlin 1.0'!BC54*$W$8," ")</f>
        <v xml:space="preserve"> </v>
      </c>
      <c r="L54" s="504" t="str">
        <f>IFERROR('GCM_Purlin 1.0'!BD54*$W$8," ")</f>
        <v xml:space="preserve"> </v>
      </c>
      <c r="M54" s="504" t="str">
        <f>IFERROR('GCM_Purlin 1.0'!BE54*$W$8," ")</f>
        <v xml:space="preserve"> </v>
      </c>
      <c r="N54" s="504" t="str">
        <f>IFERROR('GCM_Purlin 1.0'!BF54*$W$8," ")</f>
        <v xml:space="preserve"> </v>
      </c>
      <c r="O54" s="504" t="str">
        <f>IFERROR('GCM_Purlin 1.0'!BG54*$W$8," ")</f>
        <v xml:space="preserve"> </v>
      </c>
      <c r="P54" s="504" t="str">
        <f>IFERROR('GCM_Purlin 1.0'!BH54*$W$8," ")</f>
        <v xml:space="preserve"> </v>
      </c>
      <c r="Q54" s="504" t="str">
        <f>IFERROR('GCM_Purlin 1.0'!BI54*$W$8," ")</f>
        <v xml:space="preserve"> </v>
      </c>
      <c r="R54" s="504" t="str">
        <f>IFERROR('GCM_Purlin 1.0'!BJ54*$W$8," ")</f>
        <v xml:space="preserve"> </v>
      </c>
      <c r="S54" s="505" t="str">
        <f>IFERROR('GCM_Purlin 1.0'!BK54*$W$8," ")</f>
        <v xml:space="preserve"> </v>
      </c>
      <c r="T54" s="476"/>
      <c r="Y54" s="673"/>
      <c r="Z54" s="680"/>
      <c r="AA54" s="496" t="str">
        <f t="shared" ref="AA54:AP54" si="54">IFERROR((D61*Quarter_Area)+(D62*Quarter_Area)," ")</f>
        <v xml:space="preserve"> </v>
      </c>
      <c r="AB54" s="497" t="str">
        <f t="shared" si="54"/>
        <v xml:space="preserve"> </v>
      </c>
      <c r="AC54" s="497" t="str">
        <f t="shared" si="54"/>
        <v xml:space="preserve"> </v>
      </c>
      <c r="AD54" s="497" t="str">
        <f t="shared" si="54"/>
        <v xml:space="preserve"> </v>
      </c>
      <c r="AE54" s="497" t="str">
        <f t="shared" si="54"/>
        <v xml:space="preserve"> </v>
      </c>
      <c r="AF54" s="497" t="str">
        <f t="shared" si="54"/>
        <v xml:space="preserve"> </v>
      </c>
      <c r="AG54" s="497" t="str">
        <f t="shared" si="54"/>
        <v xml:space="preserve"> </v>
      </c>
      <c r="AH54" s="497" t="str">
        <f t="shared" si="54"/>
        <v xml:space="preserve"> </v>
      </c>
      <c r="AI54" s="497" t="str">
        <f t="shared" si="54"/>
        <v xml:space="preserve"> </v>
      </c>
      <c r="AJ54" s="497" t="str">
        <f t="shared" si="54"/>
        <v xml:space="preserve"> </v>
      </c>
      <c r="AK54" s="497" t="str">
        <f t="shared" si="54"/>
        <v xml:space="preserve"> </v>
      </c>
      <c r="AL54" s="497" t="str">
        <f t="shared" si="54"/>
        <v xml:space="preserve"> </v>
      </c>
      <c r="AM54" s="497" t="str">
        <f t="shared" si="54"/>
        <v xml:space="preserve"> </v>
      </c>
      <c r="AN54" s="497" t="str">
        <f t="shared" si="54"/>
        <v xml:space="preserve"> </v>
      </c>
      <c r="AO54" s="497" t="str">
        <f t="shared" si="54"/>
        <v xml:space="preserve"> </v>
      </c>
      <c r="AP54" s="498" t="str">
        <f t="shared" si="54"/>
        <v xml:space="preserve"> </v>
      </c>
      <c r="AS54" s="673"/>
      <c r="AT54" s="680"/>
      <c r="AU54" s="496" t="str">
        <f t="shared" ref="AU54:BJ54" si="55">IFERROR((D61*Quarter_Area*m3b)+(D62*Quarter_Area*m4b)," ")</f>
        <v xml:space="preserve"> </v>
      </c>
      <c r="AV54" s="497" t="str">
        <f t="shared" si="55"/>
        <v xml:space="preserve"> </v>
      </c>
      <c r="AW54" s="497" t="str">
        <f t="shared" si="55"/>
        <v xml:space="preserve"> </v>
      </c>
      <c r="AX54" s="497" t="str">
        <f t="shared" si="55"/>
        <v xml:space="preserve"> </v>
      </c>
      <c r="AY54" s="497" t="str">
        <f t="shared" si="55"/>
        <v xml:space="preserve"> </v>
      </c>
      <c r="AZ54" s="497" t="str">
        <f t="shared" si="55"/>
        <v xml:space="preserve"> </v>
      </c>
      <c r="BA54" s="497" t="str">
        <f t="shared" si="55"/>
        <v xml:space="preserve"> </v>
      </c>
      <c r="BB54" s="497" t="str">
        <f t="shared" si="55"/>
        <v xml:space="preserve"> </v>
      </c>
      <c r="BC54" s="497" t="str">
        <f t="shared" si="55"/>
        <v xml:space="preserve"> </v>
      </c>
      <c r="BD54" s="497" t="str">
        <f t="shared" si="55"/>
        <v xml:space="preserve"> </v>
      </c>
      <c r="BE54" s="497" t="str">
        <f t="shared" si="55"/>
        <v xml:space="preserve"> </v>
      </c>
      <c r="BF54" s="497" t="str">
        <f t="shared" si="55"/>
        <v xml:space="preserve"> </v>
      </c>
      <c r="BG54" s="497" t="str">
        <f t="shared" si="55"/>
        <v xml:space="preserve"> </v>
      </c>
      <c r="BH54" s="497" t="str">
        <f t="shared" si="55"/>
        <v xml:space="preserve"> </v>
      </c>
      <c r="BI54" s="497" t="str">
        <f t="shared" si="55"/>
        <v xml:space="preserve"> </v>
      </c>
      <c r="BJ54" s="498" t="str">
        <f t="shared" si="55"/>
        <v xml:space="preserve"> </v>
      </c>
    </row>
    <row r="55" spans="1:62" x14ac:dyDescent="0.25">
      <c r="A55" s="690">
        <v>3</v>
      </c>
      <c r="B55" s="555"/>
      <c r="C55" s="519" t="str">
        <f>'GCM_Purlin 1.0'!AU55</f>
        <v>GCN1</v>
      </c>
      <c r="D55" s="513" t="str">
        <f>IFERROR('GCM_Purlin 1.0'!AV55*$W$12," ")</f>
        <v xml:space="preserve"> </v>
      </c>
      <c r="E55" s="482" t="str">
        <f>IFERROR('GCM_Purlin 1.0'!AW55*$W$12," ")</f>
        <v xml:space="preserve"> </v>
      </c>
      <c r="F55" s="482" t="str">
        <f>IFERROR('GCM_Purlin 1.0'!AX55*$W$12," ")</f>
        <v xml:space="preserve"> </v>
      </c>
      <c r="G55" s="482" t="str">
        <f>IFERROR('GCM_Purlin 1.0'!AY55*$W$12," ")</f>
        <v xml:space="preserve"> </v>
      </c>
      <c r="H55" s="482" t="str">
        <f>IFERROR('GCM_Purlin 1.0'!AZ55*$W$12," ")</f>
        <v xml:space="preserve"> </v>
      </c>
      <c r="I55" s="482" t="str">
        <f>IFERROR('GCM_Purlin 1.0'!BA55*$W$12," ")</f>
        <v xml:space="preserve"> </v>
      </c>
      <c r="J55" s="482" t="str">
        <f>IFERROR('GCM_Purlin 1.0'!BB55*$W$12," ")</f>
        <v xml:space="preserve"> </v>
      </c>
      <c r="K55" s="482" t="str">
        <f>IFERROR('GCM_Purlin 1.0'!BC55*$W$12," ")</f>
        <v xml:space="preserve"> </v>
      </c>
      <c r="L55" s="482" t="str">
        <f>IFERROR('GCM_Purlin 1.0'!BD55*$W$12," ")</f>
        <v xml:space="preserve"> </v>
      </c>
      <c r="M55" s="482" t="str">
        <f>IFERROR('GCM_Purlin 1.0'!BE55*$W$12," ")</f>
        <v xml:space="preserve"> </v>
      </c>
      <c r="N55" s="482" t="str">
        <f>IFERROR('GCM_Purlin 1.0'!BF55*$W$12," ")</f>
        <v xml:space="preserve"> </v>
      </c>
      <c r="O55" s="482" t="str">
        <f>IFERROR('GCM_Purlin 1.0'!BG55*$W$12," ")</f>
        <v xml:space="preserve"> </v>
      </c>
      <c r="P55" s="482" t="str">
        <f>IFERROR('GCM_Purlin 1.0'!BH55*$W$12," ")</f>
        <v xml:space="preserve"> </v>
      </c>
      <c r="Q55" s="482" t="str">
        <f>IFERROR('GCM_Purlin 1.0'!BI55*$W$12," ")</f>
        <v xml:space="preserve"> </v>
      </c>
      <c r="R55" s="482" t="str">
        <f>IFERROR('GCM_Purlin 1.0'!BJ55*$W$12," ")</f>
        <v xml:space="preserve"> </v>
      </c>
      <c r="S55" s="483" t="str">
        <f>IFERROR('GCM_Purlin 1.0'!BK55*$W$12," ")</f>
        <v xml:space="preserve"> </v>
      </c>
      <c r="T55" s="476"/>
      <c r="Y55" s="689"/>
      <c r="Z55" s="680"/>
      <c r="AA55" s="496" t="str">
        <f t="shared" ref="AA55:AP55" si="56">IFERROR((D63*Quarter_Area)+(D64*Quarter_Area)," ")</f>
        <v xml:space="preserve"> </v>
      </c>
      <c r="AB55" s="497" t="str">
        <f t="shared" si="56"/>
        <v xml:space="preserve"> </v>
      </c>
      <c r="AC55" s="497" t="str">
        <f t="shared" si="56"/>
        <v xml:space="preserve"> </v>
      </c>
      <c r="AD55" s="497" t="str">
        <f t="shared" si="56"/>
        <v xml:space="preserve"> </v>
      </c>
      <c r="AE55" s="497" t="str">
        <f t="shared" si="56"/>
        <v xml:space="preserve"> </v>
      </c>
      <c r="AF55" s="497" t="str">
        <f t="shared" si="56"/>
        <v xml:space="preserve"> </v>
      </c>
      <c r="AG55" s="497" t="str">
        <f t="shared" si="56"/>
        <v xml:space="preserve"> </v>
      </c>
      <c r="AH55" s="497" t="str">
        <f t="shared" si="56"/>
        <v xml:space="preserve"> </v>
      </c>
      <c r="AI55" s="497" t="str">
        <f t="shared" si="56"/>
        <v xml:space="preserve"> </v>
      </c>
      <c r="AJ55" s="497" t="str">
        <f t="shared" si="56"/>
        <v xml:space="preserve"> </v>
      </c>
      <c r="AK55" s="497" t="str">
        <f t="shared" si="56"/>
        <v xml:space="preserve"> </v>
      </c>
      <c r="AL55" s="497" t="str">
        <f t="shared" si="56"/>
        <v xml:space="preserve"> </v>
      </c>
      <c r="AM55" s="497" t="str">
        <f t="shared" si="56"/>
        <v xml:space="preserve"> </v>
      </c>
      <c r="AN55" s="497" t="str">
        <f t="shared" si="56"/>
        <v xml:space="preserve"> </v>
      </c>
      <c r="AO55" s="497" t="str">
        <f t="shared" si="56"/>
        <v xml:space="preserve"> </v>
      </c>
      <c r="AP55" s="498" t="str">
        <f t="shared" si="56"/>
        <v xml:space="preserve"> </v>
      </c>
      <c r="AS55" s="689"/>
      <c r="AT55" s="680"/>
      <c r="AU55" s="496" t="str">
        <f t="shared" ref="AU55:BJ55" si="57">IFERROR((D63*Quarter_Area*m1b)+(D64*Quarter_Area*m2b)," ")</f>
        <v xml:space="preserve"> </v>
      </c>
      <c r="AV55" s="497" t="str">
        <f t="shared" si="57"/>
        <v xml:space="preserve"> </v>
      </c>
      <c r="AW55" s="497" t="str">
        <f t="shared" si="57"/>
        <v xml:space="preserve"> </v>
      </c>
      <c r="AX55" s="497" t="str">
        <f t="shared" si="57"/>
        <v xml:space="preserve"> </v>
      </c>
      <c r="AY55" s="497" t="str">
        <f t="shared" si="57"/>
        <v xml:space="preserve"> </v>
      </c>
      <c r="AZ55" s="497" t="str">
        <f t="shared" si="57"/>
        <v xml:space="preserve"> </v>
      </c>
      <c r="BA55" s="497" t="str">
        <f t="shared" si="57"/>
        <v xml:space="preserve"> </v>
      </c>
      <c r="BB55" s="497" t="str">
        <f t="shared" si="57"/>
        <v xml:space="preserve"> </v>
      </c>
      <c r="BC55" s="497" t="str">
        <f t="shared" si="57"/>
        <v xml:space="preserve"> </v>
      </c>
      <c r="BD55" s="497" t="str">
        <f t="shared" si="57"/>
        <v xml:space="preserve"> </v>
      </c>
      <c r="BE55" s="497" t="str">
        <f t="shared" si="57"/>
        <v xml:space="preserve"> </v>
      </c>
      <c r="BF55" s="497" t="str">
        <f t="shared" si="57"/>
        <v xml:space="preserve"> </v>
      </c>
      <c r="BG55" s="497" t="str">
        <f t="shared" si="57"/>
        <v xml:space="preserve"> </v>
      </c>
      <c r="BH55" s="497" t="str">
        <f t="shared" si="57"/>
        <v xml:space="preserve"> </v>
      </c>
      <c r="BI55" s="497" t="str">
        <f t="shared" si="57"/>
        <v xml:space="preserve"> </v>
      </c>
      <c r="BJ55" s="498" t="str">
        <f t="shared" si="57"/>
        <v xml:space="preserve"> </v>
      </c>
    </row>
    <row r="56" spans="1:62" x14ac:dyDescent="0.25">
      <c r="A56" s="604"/>
      <c r="B56" s="555"/>
      <c r="C56" s="520" t="str">
        <f>'GCM_Purlin 1.0'!AU56</f>
        <v>GCN2</v>
      </c>
      <c r="D56" s="514" t="str">
        <f>IFERROR('GCM_Purlin 1.0'!AV56*$W$12," ")</f>
        <v xml:space="preserve"> </v>
      </c>
      <c r="E56" s="476" t="str">
        <f>IFERROR('GCM_Purlin 1.0'!AW56*$W$12," ")</f>
        <v xml:space="preserve"> </v>
      </c>
      <c r="F56" s="476" t="str">
        <f>IFERROR('GCM_Purlin 1.0'!AX56*$W$12," ")</f>
        <v xml:space="preserve"> </v>
      </c>
      <c r="G56" s="476" t="str">
        <f>IFERROR('GCM_Purlin 1.0'!AY56*$W$12," ")</f>
        <v xml:space="preserve"> </v>
      </c>
      <c r="H56" s="476" t="str">
        <f>IFERROR('GCM_Purlin 1.0'!AZ56*$W$12," ")</f>
        <v xml:space="preserve"> </v>
      </c>
      <c r="I56" s="476" t="str">
        <f>IFERROR('GCM_Purlin 1.0'!BA56*$W$12," ")</f>
        <v xml:space="preserve"> </v>
      </c>
      <c r="J56" s="476" t="str">
        <f>IFERROR('GCM_Purlin 1.0'!BB56*$W$12," ")</f>
        <v xml:space="preserve"> </v>
      </c>
      <c r="K56" s="476" t="str">
        <f>IFERROR('GCM_Purlin 1.0'!BC56*$W$12," ")</f>
        <v xml:space="preserve"> </v>
      </c>
      <c r="L56" s="476" t="str">
        <f>IFERROR('GCM_Purlin 1.0'!BD56*$W$12," ")</f>
        <v xml:space="preserve"> </v>
      </c>
      <c r="M56" s="476" t="str">
        <f>IFERROR('GCM_Purlin 1.0'!BE56*$W$12," ")</f>
        <v xml:space="preserve"> </v>
      </c>
      <c r="N56" s="476" t="str">
        <f>IFERROR('GCM_Purlin 1.0'!BF56*$W$12," ")</f>
        <v xml:space="preserve"> </v>
      </c>
      <c r="O56" s="476" t="str">
        <f>IFERROR('GCM_Purlin 1.0'!BG56*$W$12," ")</f>
        <v xml:space="preserve"> </v>
      </c>
      <c r="P56" s="476" t="str">
        <f>IFERROR('GCM_Purlin 1.0'!BH56*$W$12," ")</f>
        <v xml:space="preserve"> </v>
      </c>
      <c r="Q56" s="476" t="str">
        <f>IFERROR('GCM_Purlin 1.0'!BI56*$W$12," ")</f>
        <v xml:space="preserve"> </v>
      </c>
      <c r="R56" s="476" t="str">
        <f>IFERROR('GCM_Purlin 1.0'!BJ56*$W$12," ")</f>
        <v xml:space="preserve"> </v>
      </c>
      <c r="S56" s="495" t="str">
        <f>IFERROR('GCM_Purlin 1.0'!BK56*$W$12," ")</f>
        <v xml:space="preserve"> </v>
      </c>
      <c r="T56" s="476"/>
      <c r="Y56" s="673"/>
      <c r="Z56" s="673"/>
      <c r="AA56" s="496" t="str">
        <f t="shared" ref="AA56:AP56" si="58">IFERROR((D65*Quarter_Area)+(D66*Quarter_Area)," ")</f>
        <v xml:space="preserve"> </v>
      </c>
      <c r="AB56" s="497" t="str">
        <f t="shared" si="58"/>
        <v xml:space="preserve"> </v>
      </c>
      <c r="AC56" s="497" t="str">
        <f t="shared" si="58"/>
        <v xml:space="preserve"> </v>
      </c>
      <c r="AD56" s="497" t="str">
        <f t="shared" si="58"/>
        <v xml:space="preserve"> </v>
      </c>
      <c r="AE56" s="497" t="str">
        <f t="shared" si="58"/>
        <v xml:space="preserve"> </v>
      </c>
      <c r="AF56" s="497" t="str">
        <f t="shared" si="58"/>
        <v xml:space="preserve"> </v>
      </c>
      <c r="AG56" s="497" t="str">
        <f t="shared" si="58"/>
        <v xml:space="preserve"> </v>
      </c>
      <c r="AH56" s="497" t="str">
        <f t="shared" si="58"/>
        <v xml:space="preserve"> </v>
      </c>
      <c r="AI56" s="497" t="str">
        <f t="shared" si="58"/>
        <v xml:space="preserve"> </v>
      </c>
      <c r="AJ56" s="497" t="str">
        <f t="shared" si="58"/>
        <v xml:space="preserve"> </v>
      </c>
      <c r="AK56" s="497" t="str">
        <f t="shared" si="58"/>
        <v xml:space="preserve"> </v>
      </c>
      <c r="AL56" s="497" t="str">
        <f t="shared" si="58"/>
        <v xml:space="preserve"> </v>
      </c>
      <c r="AM56" s="497" t="str">
        <f t="shared" si="58"/>
        <v xml:space="preserve"> </v>
      </c>
      <c r="AN56" s="497" t="str">
        <f t="shared" si="58"/>
        <v xml:space="preserve"> </v>
      </c>
      <c r="AO56" s="497" t="str">
        <f t="shared" si="58"/>
        <v xml:space="preserve"> </v>
      </c>
      <c r="AP56" s="498" t="str">
        <f t="shared" si="58"/>
        <v xml:space="preserve"> </v>
      </c>
      <c r="AS56" s="673"/>
      <c r="AT56" s="673"/>
      <c r="AU56" s="496" t="str">
        <f t="shared" ref="AU56:BJ56" si="59">IFERROR((D65*Quarter_Area*m3b)+(D66*Quarter_Area*m4b)," ")</f>
        <v xml:space="preserve"> </v>
      </c>
      <c r="AV56" s="497" t="str">
        <f t="shared" si="59"/>
        <v xml:space="preserve"> </v>
      </c>
      <c r="AW56" s="497" t="str">
        <f t="shared" si="59"/>
        <v xml:space="preserve"> </v>
      </c>
      <c r="AX56" s="497" t="str">
        <f t="shared" si="59"/>
        <v xml:space="preserve"> </v>
      </c>
      <c r="AY56" s="497" t="str">
        <f t="shared" si="59"/>
        <v xml:space="preserve"> </v>
      </c>
      <c r="AZ56" s="497" t="str">
        <f t="shared" si="59"/>
        <v xml:space="preserve"> </v>
      </c>
      <c r="BA56" s="497" t="str">
        <f t="shared" si="59"/>
        <v xml:space="preserve"> </v>
      </c>
      <c r="BB56" s="497" t="str">
        <f t="shared" si="59"/>
        <v xml:space="preserve"> </v>
      </c>
      <c r="BC56" s="497" t="str">
        <f t="shared" si="59"/>
        <v xml:space="preserve"> </v>
      </c>
      <c r="BD56" s="497" t="str">
        <f t="shared" si="59"/>
        <v xml:space="preserve"> </v>
      </c>
      <c r="BE56" s="497" t="str">
        <f t="shared" si="59"/>
        <v xml:space="preserve"> </v>
      </c>
      <c r="BF56" s="497" t="str">
        <f t="shared" si="59"/>
        <v xml:space="preserve"> </v>
      </c>
      <c r="BG56" s="497" t="str">
        <f t="shared" si="59"/>
        <v xml:space="preserve"> </v>
      </c>
      <c r="BH56" s="497" t="str">
        <f t="shared" si="59"/>
        <v xml:space="preserve"> </v>
      </c>
      <c r="BI56" s="497" t="str">
        <f t="shared" si="59"/>
        <v xml:space="preserve"> </v>
      </c>
      <c r="BJ56" s="498" t="str">
        <f t="shared" si="59"/>
        <v xml:space="preserve"> </v>
      </c>
    </row>
    <row r="57" spans="1:62" x14ac:dyDescent="0.25">
      <c r="A57" s="604"/>
      <c r="B57" s="555"/>
      <c r="C57" s="520" t="str">
        <f>'GCM_Purlin 1.0'!AU57</f>
        <v>GCN3</v>
      </c>
      <c r="D57" s="514" t="str">
        <f>IFERROR('GCM_Purlin 1.0'!AV57*$W$12," ")</f>
        <v xml:space="preserve"> </v>
      </c>
      <c r="E57" s="476" t="str">
        <f>IFERROR('GCM_Purlin 1.0'!AW57*$W$12," ")</f>
        <v xml:space="preserve"> </v>
      </c>
      <c r="F57" s="476" t="str">
        <f>IFERROR('GCM_Purlin 1.0'!AX57*$W$12," ")</f>
        <v xml:space="preserve"> </v>
      </c>
      <c r="G57" s="476" t="str">
        <f>IFERROR('GCM_Purlin 1.0'!AY57*$W$12," ")</f>
        <v xml:space="preserve"> </v>
      </c>
      <c r="H57" s="476" t="str">
        <f>IFERROR('GCM_Purlin 1.0'!AZ57*$W$12," ")</f>
        <v xml:space="preserve"> </v>
      </c>
      <c r="I57" s="476" t="str">
        <f>IFERROR('GCM_Purlin 1.0'!BA57*$W$12," ")</f>
        <v xml:space="preserve"> </v>
      </c>
      <c r="J57" s="476" t="str">
        <f>IFERROR('GCM_Purlin 1.0'!BB57*$W$12," ")</f>
        <v xml:space="preserve"> </v>
      </c>
      <c r="K57" s="476" t="str">
        <f>IFERROR('GCM_Purlin 1.0'!BC57*$W$12," ")</f>
        <v xml:space="preserve"> </v>
      </c>
      <c r="L57" s="476" t="str">
        <f>IFERROR('GCM_Purlin 1.0'!BD57*$W$12," ")</f>
        <v xml:space="preserve"> </v>
      </c>
      <c r="M57" s="476" t="str">
        <f>IFERROR('GCM_Purlin 1.0'!BE57*$W$12," ")</f>
        <v xml:space="preserve"> </v>
      </c>
      <c r="N57" s="476" t="str">
        <f>IFERROR('GCM_Purlin 1.0'!BF57*$W$12," ")</f>
        <v xml:space="preserve"> </v>
      </c>
      <c r="O57" s="476" t="str">
        <f>IFERROR('GCM_Purlin 1.0'!BG57*$W$12," ")</f>
        <v xml:space="preserve"> </v>
      </c>
      <c r="P57" s="476" t="str">
        <f>IFERROR('GCM_Purlin 1.0'!BH57*$W$12," ")</f>
        <v xml:space="preserve"> </v>
      </c>
      <c r="Q57" s="476" t="str">
        <f>IFERROR('GCM_Purlin 1.0'!BI57*$W$12," ")</f>
        <v xml:space="preserve"> </v>
      </c>
      <c r="R57" s="476" t="str">
        <f>IFERROR('GCM_Purlin 1.0'!BJ57*$W$12," ")</f>
        <v xml:space="preserve"> </v>
      </c>
      <c r="S57" s="495" t="str">
        <f>IFERROR('GCM_Purlin 1.0'!BK57*$W$12," ")</f>
        <v xml:space="preserve"> </v>
      </c>
      <c r="T57" s="476"/>
      <c r="Y57" s="693"/>
      <c r="Z57" s="679" t="s">
        <v>7</v>
      </c>
      <c r="AA57" s="496" t="str">
        <f t="shared" ref="AA57:AP57" si="60">IFERROR((D67*Quarter_Area)+(D68*Quarter_Area)," ")</f>
        <v xml:space="preserve"> </v>
      </c>
      <c r="AB57" s="497" t="str">
        <f t="shared" si="60"/>
        <v xml:space="preserve"> </v>
      </c>
      <c r="AC57" s="497" t="str">
        <f t="shared" si="60"/>
        <v xml:space="preserve"> </v>
      </c>
      <c r="AD57" s="497" t="str">
        <f t="shared" si="60"/>
        <v xml:space="preserve"> </v>
      </c>
      <c r="AE57" s="497" t="str">
        <f t="shared" si="60"/>
        <v xml:space="preserve"> </v>
      </c>
      <c r="AF57" s="497" t="str">
        <f t="shared" si="60"/>
        <v xml:space="preserve"> </v>
      </c>
      <c r="AG57" s="497" t="str">
        <f t="shared" si="60"/>
        <v xml:space="preserve"> </v>
      </c>
      <c r="AH57" s="497" t="str">
        <f t="shared" si="60"/>
        <v xml:space="preserve"> </v>
      </c>
      <c r="AI57" s="497" t="str">
        <f t="shared" si="60"/>
        <v xml:space="preserve"> </v>
      </c>
      <c r="AJ57" s="497" t="str">
        <f t="shared" si="60"/>
        <v xml:space="preserve"> </v>
      </c>
      <c r="AK57" s="497" t="str">
        <f t="shared" si="60"/>
        <v xml:space="preserve"> </v>
      </c>
      <c r="AL57" s="497" t="str">
        <f t="shared" si="60"/>
        <v xml:space="preserve"> </v>
      </c>
      <c r="AM57" s="497" t="str">
        <f t="shared" si="60"/>
        <v xml:space="preserve"> </v>
      </c>
      <c r="AN57" s="497" t="str">
        <f t="shared" si="60"/>
        <v xml:space="preserve"> </v>
      </c>
      <c r="AO57" s="497" t="str">
        <f t="shared" si="60"/>
        <v xml:space="preserve"> </v>
      </c>
      <c r="AP57" s="498" t="str">
        <f t="shared" si="60"/>
        <v xml:space="preserve"> </v>
      </c>
      <c r="AS57" s="693"/>
      <c r="AT57" s="679" t="s">
        <v>7</v>
      </c>
      <c r="AU57" s="496" t="str">
        <f t="shared" ref="AU57:BJ57" si="61">IFERROR((D67*Quarter_Area*m1b)+(D68*Quarter_Area*m2b)," ")</f>
        <v xml:space="preserve"> </v>
      </c>
      <c r="AV57" s="497" t="str">
        <f t="shared" si="61"/>
        <v xml:space="preserve"> </v>
      </c>
      <c r="AW57" s="497" t="str">
        <f t="shared" si="61"/>
        <v xml:space="preserve"> </v>
      </c>
      <c r="AX57" s="497" t="str">
        <f t="shared" si="61"/>
        <v xml:space="preserve"> </v>
      </c>
      <c r="AY57" s="497" t="str">
        <f t="shared" si="61"/>
        <v xml:space="preserve"> </v>
      </c>
      <c r="AZ57" s="497" t="str">
        <f t="shared" si="61"/>
        <v xml:space="preserve"> </v>
      </c>
      <c r="BA57" s="497" t="str">
        <f t="shared" si="61"/>
        <v xml:space="preserve"> </v>
      </c>
      <c r="BB57" s="497" t="str">
        <f t="shared" si="61"/>
        <v xml:space="preserve"> </v>
      </c>
      <c r="BC57" s="497" t="str">
        <f t="shared" si="61"/>
        <v xml:space="preserve"> </v>
      </c>
      <c r="BD57" s="497" t="str">
        <f t="shared" si="61"/>
        <v xml:space="preserve"> </v>
      </c>
      <c r="BE57" s="497" t="str">
        <f t="shared" si="61"/>
        <v xml:space="preserve"> </v>
      </c>
      <c r="BF57" s="497" t="str">
        <f t="shared" si="61"/>
        <v xml:space="preserve"> </v>
      </c>
      <c r="BG57" s="497" t="str">
        <f t="shared" si="61"/>
        <v xml:space="preserve"> </v>
      </c>
      <c r="BH57" s="497" t="str">
        <f t="shared" si="61"/>
        <v xml:space="preserve"> </v>
      </c>
      <c r="BI57" s="497" t="str">
        <f t="shared" si="61"/>
        <v xml:space="preserve"> </v>
      </c>
      <c r="BJ57" s="498" t="str">
        <f t="shared" si="61"/>
        <v xml:space="preserve"> </v>
      </c>
    </row>
    <row r="58" spans="1:62" ht="15.75" customHeight="1" thickBot="1" x14ac:dyDescent="0.3">
      <c r="A58" s="604"/>
      <c r="B58" s="555"/>
      <c r="C58" s="521" t="str">
        <f>'GCM_Purlin 1.0'!AU58</f>
        <v>GCN4</v>
      </c>
      <c r="D58" s="515" t="str">
        <f>IFERROR('GCM_Purlin 1.0'!AV58*$W$12," ")</f>
        <v xml:space="preserve"> </v>
      </c>
      <c r="E58" s="504" t="str">
        <f>IFERROR('GCM_Purlin 1.0'!AW58*$W$12," ")</f>
        <v xml:space="preserve"> </v>
      </c>
      <c r="F58" s="504" t="str">
        <f>IFERROR('GCM_Purlin 1.0'!AX58*$W$12," ")</f>
        <v xml:space="preserve"> </v>
      </c>
      <c r="G58" s="504" t="str">
        <f>IFERROR('GCM_Purlin 1.0'!AY58*$W$12," ")</f>
        <v xml:space="preserve"> </v>
      </c>
      <c r="H58" s="504" t="str">
        <f>IFERROR('GCM_Purlin 1.0'!AZ58*$W$12," ")</f>
        <v xml:space="preserve"> </v>
      </c>
      <c r="I58" s="504" t="str">
        <f>IFERROR('GCM_Purlin 1.0'!BA58*$W$12," ")</f>
        <v xml:space="preserve"> </v>
      </c>
      <c r="J58" s="504" t="str">
        <f>IFERROR('GCM_Purlin 1.0'!BB58*$W$12," ")</f>
        <v xml:space="preserve"> </v>
      </c>
      <c r="K58" s="504" t="str">
        <f>IFERROR('GCM_Purlin 1.0'!BC58*$W$12," ")</f>
        <v xml:space="preserve"> </v>
      </c>
      <c r="L58" s="504" t="str">
        <f>IFERROR('GCM_Purlin 1.0'!BD58*$W$12," ")</f>
        <v xml:space="preserve"> </v>
      </c>
      <c r="M58" s="504" t="str">
        <f>IFERROR('GCM_Purlin 1.0'!BE58*$W$12," ")</f>
        <v xml:space="preserve"> </v>
      </c>
      <c r="N58" s="504" t="str">
        <f>IFERROR('GCM_Purlin 1.0'!BF58*$W$12," ")</f>
        <v xml:space="preserve"> </v>
      </c>
      <c r="O58" s="504" t="str">
        <f>IFERROR('GCM_Purlin 1.0'!BG58*$W$12," ")</f>
        <v xml:space="preserve"> </v>
      </c>
      <c r="P58" s="504" t="str">
        <f>IFERROR('GCM_Purlin 1.0'!BH58*$W$12," ")</f>
        <v xml:space="preserve"> </v>
      </c>
      <c r="Q58" s="504" t="str">
        <f>IFERROR('GCM_Purlin 1.0'!BI58*$W$12," ")</f>
        <v xml:space="preserve"> </v>
      </c>
      <c r="R58" s="504" t="str">
        <f>IFERROR('GCM_Purlin 1.0'!BJ58*$W$12," ")</f>
        <v xml:space="preserve"> </v>
      </c>
      <c r="S58" s="505" t="str">
        <f>IFERROR('GCM_Purlin 1.0'!BK58*$W$12," ")</f>
        <v xml:space="preserve"> </v>
      </c>
      <c r="T58" s="476"/>
      <c r="Y58" s="673"/>
      <c r="Z58" s="680"/>
      <c r="AA58" s="496" t="str">
        <f t="shared" ref="AA58:AP58" si="62">IFERROR((D69*Quarter_Area)+(D70*Quarter_Area)," ")</f>
        <v xml:space="preserve"> </v>
      </c>
      <c r="AB58" s="497" t="str">
        <f t="shared" si="62"/>
        <v xml:space="preserve"> </v>
      </c>
      <c r="AC58" s="497" t="str">
        <f t="shared" si="62"/>
        <v xml:space="preserve"> </v>
      </c>
      <c r="AD58" s="497" t="str">
        <f t="shared" si="62"/>
        <v xml:space="preserve"> </v>
      </c>
      <c r="AE58" s="497" t="str">
        <f t="shared" si="62"/>
        <v xml:space="preserve"> </v>
      </c>
      <c r="AF58" s="497" t="str">
        <f t="shared" si="62"/>
        <v xml:space="preserve"> </v>
      </c>
      <c r="AG58" s="497" t="str">
        <f t="shared" si="62"/>
        <v xml:space="preserve"> </v>
      </c>
      <c r="AH58" s="497" t="str">
        <f t="shared" si="62"/>
        <v xml:space="preserve"> </v>
      </c>
      <c r="AI58" s="497" t="str">
        <f t="shared" si="62"/>
        <v xml:space="preserve"> </v>
      </c>
      <c r="AJ58" s="497" t="str">
        <f t="shared" si="62"/>
        <v xml:space="preserve"> </v>
      </c>
      <c r="AK58" s="497" t="str">
        <f t="shared" si="62"/>
        <v xml:space="preserve"> </v>
      </c>
      <c r="AL58" s="497" t="str">
        <f t="shared" si="62"/>
        <v xml:space="preserve"> </v>
      </c>
      <c r="AM58" s="497" t="str">
        <f t="shared" si="62"/>
        <v xml:space="preserve"> </v>
      </c>
      <c r="AN58" s="497" t="str">
        <f t="shared" si="62"/>
        <v xml:space="preserve"> </v>
      </c>
      <c r="AO58" s="497" t="str">
        <f t="shared" si="62"/>
        <v xml:space="preserve"> </v>
      </c>
      <c r="AP58" s="498" t="str">
        <f t="shared" si="62"/>
        <v xml:space="preserve"> </v>
      </c>
      <c r="AS58" s="673"/>
      <c r="AT58" s="680"/>
      <c r="AU58" s="496" t="str">
        <f t="shared" ref="AU58:BJ58" si="63">IFERROR((D69*Quarter_Area*m3b)+(D70*Quarter_Area*m4b)," ")</f>
        <v xml:space="preserve"> </v>
      </c>
      <c r="AV58" s="497" t="str">
        <f t="shared" si="63"/>
        <v xml:space="preserve"> </v>
      </c>
      <c r="AW58" s="497" t="str">
        <f t="shared" si="63"/>
        <v xml:space="preserve"> </v>
      </c>
      <c r="AX58" s="497" t="str">
        <f t="shared" si="63"/>
        <v xml:space="preserve"> </v>
      </c>
      <c r="AY58" s="497" t="str">
        <f t="shared" si="63"/>
        <v xml:space="preserve"> </v>
      </c>
      <c r="AZ58" s="497" t="str">
        <f t="shared" si="63"/>
        <v xml:space="preserve"> </v>
      </c>
      <c r="BA58" s="497" t="str">
        <f t="shared" si="63"/>
        <v xml:space="preserve"> </v>
      </c>
      <c r="BB58" s="497" t="str">
        <f t="shared" si="63"/>
        <v xml:space="preserve"> </v>
      </c>
      <c r="BC58" s="497" t="str">
        <f t="shared" si="63"/>
        <v xml:space="preserve"> </v>
      </c>
      <c r="BD58" s="497" t="str">
        <f t="shared" si="63"/>
        <v xml:space="preserve"> </v>
      </c>
      <c r="BE58" s="497" t="str">
        <f t="shared" si="63"/>
        <v xml:space="preserve"> </v>
      </c>
      <c r="BF58" s="497" t="str">
        <f t="shared" si="63"/>
        <v xml:space="preserve"> </v>
      </c>
      <c r="BG58" s="497" t="str">
        <f t="shared" si="63"/>
        <v xml:space="preserve"> </v>
      </c>
      <c r="BH58" s="497" t="str">
        <f t="shared" si="63"/>
        <v xml:space="preserve"> </v>
      </c>
      <c r="BI58" s="497" t="str">
        <f t="shared" si="63"/>
        <v xml:space="preserve"> </v>
      </c>
      <c r="BJ58" s="498" t="str">
        <f t="shared" si="63"/>
        <v xml:space="preserve"> </v>
      </c>
    </row>
    <row r="59" spans="1:62" x14ac:dyDescent="0.25">
      <c r="A59" s="671">
        <v>4</v>
      </c>
      <c r="B59" s="555"/>
      <c r="C59" s="519" t="str">
        <f>'GCM_Purlin 1.0'!AU59</f>
        <v>GCN1</v>
      </c>
      <c r="D59" s="513" t="str">
        <f>IFERROR('GCM_Purlin 1.0'!AV59*$W$16," ")</f>
        <v xml:space="preserve"> </v>
      </c>
      <c r="E59" s="482" t="str">
        <f>IFERROR('GCM_Purlin 1.0'!AW59*$W$16," ")</f>
        <v xml:space="preserve"> </v>
      </c>
      <c r="F59" s="482" t="str">
        <f>IFERROR('GCM_Purlin 1.0'!AX59*$W$16," ")</f>
        <v xml:space="preserve"> </v>
      </c>
      <c r="G59" s="482" t="str">
        <f>IFERROR('GCM_Purlin 1.0'!AY59*$W$16," ")</f>
        <v xml:space="preserve"> </v>
      </c>
      <c r="H59" s="482" t="str">
        <f>IFERROR('GCM_Purlin 1.0'!AZ59*$W$16," ")</f>
        <v xml:space="preserve"> </v>
      </c>
      <c r="I59" s="482" t="str">
        <f>IFERROR('GCM_Purlin 1.0'!BA59*$W$16," ")</f>
        <v xml:space="preserve"> </v>
      </c>
      <c r="J59" s="482" t="str">
        <f>IFERROR('GCM_Purlin 1.0'!BB59*$W$16," ")</f>
        <v xml:space="preserve"> </v>
      </c>
      <c r="K59" s="482" t="str">
        <f>IFERROR('GCM_Purlin 1.0'!BC59*$W$16," ")</f>
        <v xml:space="preserve"> </v>
      </c>
      <c r="L59" s="482" t="str">
        <f>IFERROR('GCM_Purlin 1.0'!BD59*$W$16," ")</f>
        <v xml:space="preserve"> </v>
      </c>
      <c r="M59" s="482" t="str">
        <f>IFERROR('GCM_Purlin 1.0'!BE59*$W$16," ")</f>
        <v xml:space="preserve"> </v>
      </c>
      <c r="N59" s="482" t="str">
        <f>IFERROR('GCM_Purlin 1.0'!BF59*$W$16," ")</f>
        <v xml:space="preserve"> </v>
      </c>
      <c r="O59" s="482" t="str">
        <f>IFERROR('GCM_Purlin 1.0'!BG59*$W$16," ")</f>
        <v xml:space="preserve"> </v>
      </c>
      <c r="P59" s="482" t="str">
        <f>IFERROR('GCM_Purlin 1.0'!BH59*$W$16," ")</f>
        <v xml:space="preserve"> </v>
      </c>
      <c r="Q59" s="482" t="str">
        <f>IFERROR('GCM_Purlin 1.0'!BI59*$W$16," ")</f>
        <v xml:space="preserve"> </v>
      </c>
      <c r="R59" s="482" t="str">
        <f>IFERROR('GCM_Purlin 1.0'!BJ59*$W$16," ")</f>
        <v xml:space="preserve"> </v>
      </c>
      <c r="S59" s="483" t="str">
        <f>IFERROR('GCM_Purlin 1.0'!BK59*$W$16," ")</f>
        <v xml:space="preserve"> </v>
      </c>
      <c r="T59" s="476"/>
      <c r="Y59" s="683"/>
      <c r="Z59" s="680"/>
      <c r="AA59" s="496" t="str">
        <f t="shared" ref="AA59:AP59" si="64">IFERROR((D71*Quarter_Area)+(D72*Quarter_Area)," ")</f>
        <v xml:space="preserve"> </v>
      </c>
      <c r="AB59" s="497" t="str">
        <f t="shared" si="64"/>
        <v xml:space="preserve"> </v>
      </c>
      <c r="AC59" s="497" t="str">
        <f t="shared" si="64"/>
        <v xml:space="preserve"> </v>
      </c>
      <c r="AD59" s="497" t="str">
        <f t="shared" si="64"/>
        <v xml:space="preserve"> </v>
      </c>
      <c r="AE59" s="497" t="str">
        <f t="shared" si="64"/>
        <v xml:space="preserve"> </v>
      </c>
      <c r="AF59" s="497" t="str">
        <f t="shared" si="64"/>
        <v xml:space="preserve"> </v>
      </c>
      <c r="AG59" s="497" t="str">
        <f t="shared" si="64"/>
        <v xml:space="preserve"> </v>
      </c>
      <c r="AH59" s="497" t="str">
        <f t="shared" si="64"/>
        <v xml:space="preserve"> </v>
      </c>
      <c r="AI59" s="497" t="str">
        <f t="shared" si="64"/>
        <v xml:space="preserve"> </v>
      </c>
      <c r="AJ59" s="497" t="str">
        <f t="shared" si="64"/>
        <v xml:space="preserve"> </v>
      </c>
      <c r="AK59" s="497" t="str">
        <f t="shared" si="64"/>
        <v xml:space="preserve"> </v>
      </c>
      <c r="AL59" s="497" t="str">
        <f t="shared" si="64"/>
        <v xml:space="preserve"> </v>
      </c>
      <c r="AM59" s="497" t="str">
        <f t="shared" si="64"/>
        <v xml:space="preserve"> </v>
      </c>
      <c r="AN59" s="497" t="str">
        <f t="shared" si="64"/>
        <v xml:space="preserve"> </v>
      </c>
      <c r="AO59" s="497" t="str">
        <f t="shared" si="64"/>
        <v xml:space="preserve"> </v>
      </c>
      <c r="AP59" s="498" t="str">
        <f t="shared" si="64"/>
        <v xml:space="preserve"> </v>
      </c>
      <c r="AS59" s="683"/>
      <c r="AT59" s="680"/>
      <c r="AU59" s="496" t="str">
        <f t="shared" ref="AU59:BJ59" si="65">IFERROR((D71*Quarter_Area*m1b)+(D72*Quarter_Area*m2b)," ")</f>
        <v xml:space="preserve"> </v>
      </c>
      <c r="AV59" s="497" t="str">
        <f t="shared" si="65"/>
        <v xml:space="preserve"> </v>
      </c>
      <c r="AW59" s="497" t="str">
        <f t="shared" si="65"/>
        <v xml:space="preserve"> </v>
      </c>
      <c r="AX59" s="497" t="str">
        <f t="shared" si="65"/>
        <v xml:space="preserve"> </v>
      </c>
      <c r="AY59" s="497" t="str">
        <f t="shared" si="65"/>
        <v xml:space="preserve"> </v>
      </c>
      <c r="AZ59" s="497" t="str">
        <f t="shared" si="65"/>
        <v xml:space="preserve"> </v>
      </c>
      <c r="BA59" s="497" t="str">
        <f t="shared" si="65"/>
        <v xml:space="preserve"> </v>
      </c>
      <c r="BB59" s="497" t="str">
        <f t="shared" si="65"/>
        <v xml:space="preserve"> </v>
      </c>
      <c r="BC59" s="497" t="str">
        <f t="shared" si="65"/>
        <v xml:space="preserve"> </v>
      </c>
      <c r="BD59" s="497" t="str">
        <f t="shared" si="65"/>
        <v xml:space="preserve"> </v>
      </c>
      <c r="BE59" s="497" t="str">
        <f t="shared" si="65"/>
        <v xml:space="preserve"> </v>
      </c>
      <c r="BF59" s="497" t="str">
        <f t="shared" si="65"/>
        <v xml:space="preserve"> </v>
      </c>
      <c r="BG59" s="497" t="str">
        <f t="shared" si="65"/>
        <v xml:space="preserve"> </v>
      </c>
      <c r="BH59" s="497" t="str">
        <f t="shared" si="65"/>
        <v xml:space="preserve"> </v>
      </c>
      <c r="BI59" s="497" t="str">
        <f t="shared" si="65"/>
        <v xml:space="preserve"> </v>
      </c>
      <c r="BJ59" s="498" t="str">
        <f t="shared" si="65"/>
        <v xml:space="preserve"> </v>
      </c>
    </row>
    <row r="60" spans="1:62" x14ac:dyDescent="0.25">
      <c r="A60" s="604"/>
      <c r="B60" s="555"/>
      <c r="C60" s="520" t="str">
        <f>'GCM_Purlin 1.0'!AU60</f>
        <v>GCN2</v>
      </c>
      <c r="D60" s="514" t="str">
        <f>IFERROR('GCM_Purlin 1.0'!AV60*$W$16," ")</f>
        <v xml:space="preserve"> </v>
      </c>
      <c r="E60" s="476" t="str">
        <f>IFERROR('GCM_Purlin 1.0'!AW60*$W$16," ")</f>
        <v xml:space="preserve"> </v>
      </c>
      <c r="F60" s="476" t="str">
        <f>IFERROR('GCM_Purlin 1.0'!AX60*$W$16," ")</f>
        <v xml:space="preserve"> </v>
      </c>
      <c r="G60" s="476" t="str">
        <f>IFERROR('GCM_Purlin 1.0'!AY60*$W$16," ")</f>
        <v xml:space="preserve"> </v>
      </c>
      <c r="H60" s="476" t="str">
        <f>IFERROR('GCM_Purlin 1.0'!AZ60*$W$16," ")</f>
        <v xml:space="preserve"> </v>
      </c>
      <c r="I60" s="476" t="str">
        <f>IFERROR('GCM_Purlin 1.0'!BA60*$W$16," ")</f>
        <v xml:space="preserve"> </v>
      </c>
      <c r="J60" s="476" t="str">
        <f>IFERROR('GCM_Purlin 1.0'!BB60*$W$16," ")</f>
        <v xml:space="preserve"> </v>
      </c>
      <c r="K60" s="476" t="str">
        <f>IFERROR('GCM_Purlin 1.0'!BC60*$W$16," ")</f>
        <v xml:space="preserve"> </v>
      </c>
      <c r="L60" s="476" t="str">
        <f>IFERROR('GCM_Purlin 1.0'!BD60*$W$16," ")</f>
        <v xml:space="preserve"> </v>
      </c>
      <c r="M60" s="476" t="str">
        <f>IFERROR('GCM_Purlin 1.0'!BE60*$W$16," ")</f>
        <v xml:space="preserve"> </v>
      </c>
      <c r="N60" s="476" t="str">
        <f>IFERROR('GCM_Purlin 1.0'!BF60*$W$16," ")</f>
        <v xml:space="preserve"> </v>
      </c>
      <c r="O60" s="476" t="str">
        <f>IFERROR('GCM_Purlin 1.0'!BG60*$W$16," ")</f>
        <v xml:space="preserve"> </v>
      </c>
      <c r="P60" s="476" t="str">
        <f>IFERROR('GCM_Purlin 1.0'!BH60*$W$16," ")</f>
        <v xml:space="preserve"> </v>
      </c>
      <c r="Q60" s="476" t="str">
        <f>IFERROR('GCM_Purlin 1.0'!BI60*$W$16," ")</f>
        <v xml:space="preserve"> </v>
      </c>
      <c r="R60" s="476" t="str">
        <f>IFERROR('GCM_Purlin 1.0'!BJ60*$W$16," ")</f>
        <v xml:space="preserve"> </v>
      </c>
      <c r="S60" s="495" t="str">
        <f>IFERROR('GCM_Purlin 1.0'!BK60*$W$16," ")</f>
        <v xml:space="preserve"> </v>
      </c>
      <c r="T60" s="476"/>
      <c r="Y60" s="673"/>
      <c r="Z60" s="680"/>
      <c r="AA60" s="496" t="str">
        <f t="shared" ref="AA60:AP60" si="66">IFERROR((D73*Quarter_Area)+(D74*Quarter_Area)," ")</f>
        <v xml:space="preserve"> </v>
      </c>
      <c r="AB60" s="497" t="str">
        <f t="shared" si="66"/>
        <v xml:space="preserve"> </v>
      </c>
      <c r="AC60" s="497" t="str">
        <f t="shared" si="66"/>
        <v xml:space="preserve"> </v>
      </c>
      <c r="AD60" s="497" t="str">
        <f t="shared" si="66"/>
        <v xml:space="preserve"> </v>
      </c>
      <c r="AE60" s="497" t="str">
        <f t="shared" si="66"/>
        <v xml:space="preserve"> </v>
      </c>
      <c r="AF60" s="497" t="str">
        <f t="shared" si="66"/>
        <v xml:space="preserve"> </v>
      </c>
      <c r="AG60" s="497" t="str">
        <f t="shared" si="66"/>
        <v xml:space="preserve"> </v>
      </c>
      <c r="AH60" s="497" t="str">
        <f t="shared" si="66"/>
        <v xml:space="preserve"> </v>
      </c>
      <c r="AI60" s="497" t="str">
        <f t="shared" si="66"/>
        <v xml:space="preserve"> </v>
      </c>
      <c r="AJ60" s="497" t="str">
        <f t="shared" si="66"/>
        <v xml:space="preserve"> </v>
      </c>
      <c r="AK60" s="497" t="str">
        <f t="shared" si="66"/>
        <v xml:space="preserve"> </v>
      </c>
      <c r="AL60" s="497" t="str">
        <f t="shared" si="66"/>
        <v xml:space="preserve"> </v>
      </c>
      <c r="AM60" s="497" t="str">
        <f t="shared" si="66"/>
        <v xml:space="preserve"> </v>
      </c>
      <c r="AN60" s="497" t="str">
        <f t="shared" si="66"/>
        <v xml:space="preserve"> </v>
      </c>
      <c r="AO60" s="497" t="str">
        <f t="shared" si="66"/>
        <v xml:space="preserve"> </v>
      </c>
      <c r="AP60" s="498" t="str">
        <f t="shared" si="66"/>
        <v xml:space="preserve"> </v>
      </c>
      <c r="AS60" s="673"/>
      <c r="AT60" s="680"/>
      <c r="AU60" s="496" t="str">
        <f t="shared" ref="AU60:BJ60" si="67">IFERROR((D73*Quarter_Area*m3b)+(D74*Quarter_Area*m4b)," ")</f>
        <v xml:space="preserve"> </v>
      </c>
      <c r="AV60" s="497" t="str">
        <f t="shared" si="67"/>
        <v xml:space="preserve"> </v>
      </c>
      <c r="AW60" s="497" t="str">
        <f t="shared" si="67"/>
        <v xml:space="preserve"> </v>
      </c>
      <c r="AX60" s="497" t="str">
        <f t="shared" si="67"/>
        <v xml:space="preserve"> </v>
      </c>
      <c r="AY60" s="497" t="str">
        <f t="shared" si="67"/>
        <v xml:space="preserve"> </v>
      </c>
      <c r="AZ60" s="497" t="str">
        <f t="shared" si="67"/>
        <v xml:space="preserve"> </v>
      </c>
      <c r="BA60" s="497" t="str">
        <f t="shared" si="67"/>
        <v xml:space="preserve"> </v>
      </c>
      <c r="BB60" s="497" t="str">
        <f t="shared" si="67"/>
        <v xml:space="preserve"> </v>
      </c>
      <c r="BC60" s="497" t="str">
        <f t="shared" si="67"/>
        <v xml:space="preserve"> </v>
      </c>
      <c r="BD60" s="497" t="str">
        <f t="shared" si="67"/>
        <v xml:space="preserve"> </v>
      </c>
      <c r="BE60" s="497" t="str">
        <f t="shared" si="67"/>
        <v xml:space="preserve"> </v>
      </c>
      <c r="BF60" s="497" t="str">
        <f t="shared" si="67"/>
        <v xml:space="preserve"> </v>
      </c>
      <c r="BG60" s="497" t="str">
        <f t="shared" si="67"/>
        <v xml:space="preserve"> </v>
      </c>
      <c r="BH60" s="497" t="str">
        <f t="shared" si="67"/>
        <v xml:space="preserve"> </v>
      </c>
      <c r="BI60" s="497" t="str">
        <f t="shared" si="67"/>
        <v xml:space="preserve"> </v>
      </c>
      <c r="BJ60" s="498" t="str">
        <f t="shared" si="67"/>
        <v xml:space="preserve"> </v>
      </c>
    </row>
    <row r="61" spans="1:62" x14ac:dyDescent="0.25">
      <c r="A61" s="604"/>
      <c r="B61" s="555"/>
      <c r="C61" s="520" t="str">
        <f>'GCM_Purlin 1.0'!AU61</f>
        <v>GCN3</v>
      </c>
      <c r="D61" s="514" t="str">
        <f>IFERROR('GCM_Purlin 1.0'!AV61*$W$16," ")</f>
        <v xml:space="preserve"> </v>
      </c>
      <c r="E61" s="476" t="str">
        <f>IFERROR('GCM_Purlin 1.0'!AW61*$W$16," ")</f>
        <v xml:space="preserve"> </v>
      </c>
      <c r="F61" s="476" t="str">
        <f>IFERROR('GCM_Purlin 1.0'!AX61*$W$16," ")</f>
        <v xml:space="preserve"> </v>
      </c>
      <c r="G61" s="476" t="str">
        <f>IFERROR('GCM_Purlin 1.0'!AY61*$W$16," ")</f>
        <v xml:space="preserve"> </v>
      </c>
      <c r="H61" s="476" t="str">
        <f>IFERROR('GCM_Purlin 1.0'!AZ61*$W$16," ")</f>
        <v xml:space="preserve"> </v>
      </c>
      <c r="I61" s="476" t="str">
        <f>IFERROR('GCM_Purlin 1.0'!BA61*$W$16," ")</f>
        <v xml:space="preserve"> </v>
      </c>
      <c r="J61" s="476" t="str">
        <f>IFERROR('GCM_Purlin 1.0'!BB61*$W$16," ")</f>
        <v xml:space="preserve"> </v>
      </c>
      <c r="K61" s="476" t="str">
        <f>IFERROR('GCM_Purlin 1.0'!BC61*$W$16," ")</f>
        <v xml:space="preserve"> </v>
      </c>
      <c r="L61" s="476" t="str">
        <f>IFERROR('GCM_Purlin 1.0'!BD61*$W$16," ")</f>
        <v xml:space="preserve"> </v>
      </c>
      <c r="M61" s="476" t="str">
        <f>IFERROR('GCM_Purlin 1.0'!BE61*$W$16," ")</f>
        <v xml:space="preserve"> </v>
      </c>
      <c r="N61" s="476" t="str">
        <f>IFERROR('GCM_Purlin 1.0'!BF61*$W$16," ")</f>
        <v xml:space="preserve"> </v>
      </c>
      <c r="O61" s="476" t="str">
        <f>IFERROR('GCM_Purlin 1.0'!BG61*$W$16," ")</f>
        <v xml:space="preserve"> </v>
      </c>
      <c r="P61" s="476" t="str">
        <f>IFERROR('GCM_Purlin 1.0'!BH61*$W$16," ")</f>
        <v xml:space="preserve"> </v>
      </c>
      <c r="Q61" s="476" t="str">
        <f>IFERROR('GCM_Purlin 1.0'!BI61*$W$16," ")</f>
        <v xml:space="preserve"> </v>
      </c>
      <c r="R61" s="476" t="str">
        <f>IFERROR('GCM_Purlin 1.0'!BJ61*$W$16," ")</f>
        <v xml:space="preserve"> </v>
      </c>
      <c r="S61" s="495" t="str">
        <f>IFERROR('GCM_Purlin 1.0'!BK61*$W$16," ")</f>
        <v xml:space="preserve"> </v>
      </c>
      <c r="T61" s="476"/>
      <c r="Y61" s="678"/>
      <c r="Z61" s="680"/>
      <c r="AA61" s="496" t="str">
        <f t="shared" ref="AA61:AP61" si="68">IFERROR((D75*Quarter_Area)+(D76*Quarter_Area)," ")</f>
        <v xml:space="preserve"> </v>
      </c>
      <c r="AB61" s="497" t="str">
        <f t="shared" si="68"/>
        <v xml:space="preserve"> </v>
      </c>
      <c r="AC61" s="497" t="str">
        <f t="shared" si="68"/>
        <v xml:space="preserve"> </v>
      </c>
      <c r="AD61" s="497" t="str">
        <f t="shared" si="68"/>
        <v xml:space="preserve"> </v>
      </c>
      <c r="AE61" s="497" t="str">
        <f t="shared" si="68"/>
        <v xml:space="preserve"> </v>
      </c>
      <c r="AF61" s="497" t="str">
        <f t="shared" si="68"/>
        <v xml:space="preserve"> </v>
      </c>
      <c r="AG61" s="497" t="str">
        <f t="shared" si="68"/>
        <v xml:space="preserve"> </v>
      </c>
      <c r="AH61" s="497" t="str">
        <f t="shared" si="68"/>
        <v xml:space="preserve"> </v>
      </c>
      <c r="AI61" s="497" t="str">
        <f t="shared" si="68"/>
        <v xml:space="preserve"> </v>
      </c>
      <c r="AJ61" s="497" t="str">
        <f t="shared" si="68"/>
        <v xml:space="preserve"> </v>
      </c>
      <c r="AK61" s="497" t="str">
        <f t="shared" si="68"/>
        <v xml:space="preserve"> </v>
      </c>
      <c r="AL61" s="497" t="str">
        <f t="shared" si="68"/>
        <v xml:space="preserve"> </v>
      </c>
      <c r="AM61" s="497" t="str">
        <f t="shared" si="68"/>
        <v xml:space="preserve"> </v>
      </c>
      <c r="AN61" s="497" t="str">
        <f t="shared" si="68"/>
        <v xml:space="preserve"> </v>
      </c>
      <c r="AO61" s="497" t="str">
        <f t="shared" si="68"/>
        <v xml:space="preserve"> </v>
      </c>
      <c r="AP61" s="498" t="str">
        <f t="shared" si="68"/>
        <v xml:space="preserve"> </v>
      </c>
      <c r="AS61" s="678"/>
      <c r="AT61" s="680"/>
      <c r="AU61" s="496" t="str">
        <f t="shared" ref="AU61:BJ61" si="69">IFERROR((D75*Quarter_Area*m1b)+(D76*Quarter_Area*m2b)," ")</f>
        <v xml:space="preserve"> </v>
      </c>
      <c r="AV61" s="497" t="str">
        <f t="shared" si="69"/>
        <v xml:space="preserve"> </v>
      </c>
      <c r="AW61" s="497" t="str">
        <f t="shared" si="69"/>
        <v xml:space="preserve"> </v>
      </c>
      <c r="AX61" s="497" t="str">
        <f t="shared" si="69"/>
        <v xml:space="preserve"> </v>
      </c>
      <c r="AY61" s="497" t="str">
        <f t="shared" si="69"/>
        <v xml:space="preserve"> </v>
      </c>
      <c r="AZ61" s="497" t="str">
        <f t="shared" si="69"/>
        <v xml:space="preserve"> </v>
      </c>
      <c r="BA61" s="497" t="str">
        <f t="shared" si="69"/>
        <v xml:space="preserve"> </v>
      </c>
      <c r="BB61" s="497" t="str">
        <f t="shared" si="69"/>
        <v xml:space="preserve"> </v>
      </c>
      <c r="BC61" s="497" t="str">
        <f t="shared" si="69"/>
        <v xml:space="preserve"> </v>
      </c>
      <c r="BD61" s="497" t="str">
        <f t="shared" si="69"/>
        <v xml:space="preserve"> </v>
      </c>
      <c r="BE61" s="497" t="str">
        <f t="shared" si="69"/>
        <v xml:space="preserve"> </v>
      </c>
      <c r="BF61" s="497" t="str">
        <f t="shared" si="69"/>
        <v xml:space="preserve"> </v>
      </c>
      <c r="BG61" s="497" t="str">
        <f t="shared" si="69"/>
        <v xml:space="preserve"> </v>
      </c>
      <c r="BH61" s="497" t="str">
        <f t="shared" si="69"/>
        <v xml:space="preserve"> </v>
      </c>
      <c r="BI61" s="497" t="str">
        <f t="shared" si="69"/>
        <v xml:space="preserve"> </v>
      </c>
      <c r="BJ61" s="498" t="str">
        <f t="shared" si="69"/>
        <v xml:space="preserve"> </v>
      </c>
    </row>
    <row r="62" spans="1:62" ht="15.75" customHeight="1" thickBot="1" x14ac:dyDescent="0.3">
      <c r="A62" s="604"/>
      <c r="B62" s="555"/>
      <c r="C62" s="521" t="str">
        <f>'GCM_Purlin 1.0'!AU62</f>
        <v>GCN4</v>
      </c>
      <c r="D62" s="515" t="str">
        <f>IFERROR('GCM_Purlin 1.0'!AV62*$W$16," ")</f>
        <v xml:space="preserve"> </v>
      </c>
      <c r="E62" s="504" t="str">
        <f>IFERROR('GCM_Purlin 1.0'!AW62*$W$16," ")</f>
        <v xml:space="preserve"> </v>
      </c>
      <c r="F62" s="504" t="str">
        <f>IFERROR('GCM_Purlin 1.0'!AX62*$W$16," ")</f>
        <v xml:space="preserve"> </v>
      </c>
      <c r="G62" s="504" t="str">
        <f>IFERROR('GCM_Purlin 1.0'!AY62*$W$16," ")</f>
        <v xml:space="preserve"> </v>
      </c>
      <c r="H62" s="504" t="str">
        <f>IFERROR('GCM_Purlin 1.0'!AZ62*$W$16," ")</f>
        <v xml:space="preserve"> </v>
      </c>
      <c r="I62" s="504" t="str">
        <f>IFERROR('GCM_Purlin 1.0'!BA62*$W$16," ")</f>
        <v xml:space="preserve"> </v>
      </c>
      <c r="J62" s="504" t="str">
        <f>IFERROR('GCM_Purlin 1.0'!BB62*$W$16," ")</f>
        <v xml:space="preserve"> </v>
      </c>
      <c r="K62" s="504" t="str">
        <f>IFERROR('GCM_Purlin 1.0'!BC62*$W$16," ")</f>
        <v xml:space="preserve"> </v>
      </c>
      <c r="L62" s="504" t="str">
        <f>IFERROR('GCM_Purlin 1.0'!BD62*$W$16," ")</f>
        <v xml:space="preserve"> </v>
      </c>
      <c r="M62" s="504" t="str">
        <f>IFERROR('GCM_Purlin 1.0'!BE62*$W$16," ")</f>
        <v xml:space="preserve"> </v>
      </c>
      <c r="N62" s="504" t="str">
        <f>IFERROR('GCM_Purlin 1.0'!BF62*$W$16," ")</f>
        <v xml:space="preserve"> </v>
      </c>
      <c r="O62" s="504" t="str">
        <f>IFERROR('GCM_Purlin 1.0'!BG62*$W$16," ")</f>
        <v xml:space="preserve"> </v>
      </c>
      <c r="P62" s="504" t="str">
        <f>IFERROR('GCM_Purlin 1.0'!BH62*$W$16," ")</f>
        <v xml:space="preserve"> </v>
      </c>
      <c r="Q62" s="504" t="str">
        <f>IFERROR('GCM_Purlin 1.0'!BI62*$W$16," ")</f>
        <v xml:space="preserve"> </v>
      </c>
      <c r="R62" s="504" t="str">
        <f>IFERROR('GCM_Purlin 1.0'!BJ62*$W$16," ")</f>
        <v xml:space="preserve"> </v>
      </c>
      <c r="S62" s="505" t="str">
        <f>IFERROR('GCM_Purlin 1.0'!BK62*$W$16," ")</f>
        <v xml:space="preserve"> </v>
      </c>
      <c r="T62" s="476"/>
      <c r="Y62" s="673"/>
      <c r="Z62" s="680"/>
      <c r="AA62" s="496" t="str">
        <f t="shared" ref="AA62:AP62" si="70">IFERROR((D77*Quarter_Area)+(D78*Quarter_Area)," ")</f>
        <v xml:space="preserve"> </v>
      </c>
      <c r="AB62" s="497" t="str">
        <f t="shared" si="70"/>
        <v xml:space="preserve"> </v>
      </c>
      <c r="AC62" s="497" t="str">
        <f t="shared" si="70"/>
        <v xml:space="preserve"> </v>
      </c>
      <c r="AD62" s="497" t="str">
        <f t="shared" si="70"/>
        <v xml:space="preserve"> </v>
      </c>
      <c r="AE62" s="497" t="str">
        <f t="shared" si="70"/>
        <v xml:space="preserve"> </v>
      </c>
      <c r="AF62" s="497" t="str">
        <f t="shared" si="70"/>
        <v xml:space="preserve"> </v>
      </c>
      <c r="AG62" s="497" t="str">
        <f t="shared" si="70"/>
        <v xml:space="preserve"> </v>
      </c>
      <c r="AH62" s="497" t="str">
        <f t="shared" si="70"/>
        <v xml:space="preserve"> </v>
      </c>
      <c r="AI62" s="497" t="str">
        <f t="shared" si="70"/>
        <v xml:space="preserve"> </v>
      </c>
      <c r="AJ62" s="497" t="str">
        <f t="shared" si="70"/>
        <v xml:space="preserve"> </v>
      </c>
      <c r="AK62" s="497" t="str">
        <f t="shared" si="70"/>
        <v xml:space="preserve"> </v>
      </c>
      <c r="AL62" s="497" t="str">
        <f t="shared" si="70"/>
        <v xml:space="preserve"> </v>
      </c>
      <c r="AM62" s="497" t="str">
        <f t="shared" si="70"/>
        <v xml:space="preserve"> </v>
      </c>
      <c r="AN62" s="497" t="str">
        <f t="shared" si="70"/>
        <v xml:space="preserve"> </v>
      </c>
      <c r="AO62" s="497" t="str">
        <f t="shared" si="70"/>
        <v xml:space="preserve"> </v>
      </c>
      <c r="AP62" s="498" t="str">
        <f t="shared" si="70"/>
        <v xml:space="preserve"> </v>
      </c>
      <c r="AS62" s="673"/>
      <c r="AT62" s="680"/>
      <c r="AU62" s="496" t="str">
        <f t="shared" ref="AU62:BJ62" si="71">IFERROR((D77*Quarter_Area*m3b)+(D78*Quarter_Area*m4b)," ")</f>
        <v xml:space="preserve"> </v>
      </c>
      <c r="AV62" s="497" t="str">
        <f t="shared" si="71"/>
        <v xml:space="preserve"> </v>
      </c>
      <c r="AW62" s="497" t="str">
        <f t="shared" si="71"/>
        <v xml:space="preserve"> </v>
      </c>
      <c r="AX62" s="497" t="str">
        <f t="shared" si="71"/>
        <v xml:space="preserve"> </v>
      </c>
      <c r="AY62" s="497" t="str">
        <f t="shared" si="71"/>
        <v xml:space="preserve"> </v>
      </c>
      <c r="AZ62" s="497" t="str">
        <f t="shared" si="71"/>
        <v xml:space="preserve"> </v>
      </c>
      <c r="BA62" s="497" t="str">
        <f t="shared" si="71"/>
        <v xml:space="preserve"> </v>
      </c>
      <c r="BB62" s="497" t="str">
        <f t="shared" si="71"/>
        <v xml:space="preserve"> </v>
      </c>
      <c r="BC62" s="497" t="str">
        <f t="shared" si="71"/>
        <v xml:space="preserve"> </v>
      </c>
      <c r="BD62" s="497" t="str">
        <f t="shared" si="71"/>
        <v xml:space="preserve"> </v>
      </c>
      <c r="BE62" s="497" t="str">
        <f t="shared" si="71"/>
        <v xml:space="preserve"> </v>
      </c>
      <c r="BF62" s="497" t="str">
        <f t="shared" si="71"/>
        <v xml:space="preserve"> </v>
      </c>
      <c r="BG62" s="497" t="str">
        <f t="shared" si="71"/>
        <v xml:space="preserve"> </v>
      </c>
      <c r="BH62" s="497" t="str">
        <f t="shared" si="71"/>
        <v xml:space="preserve"> </v>
      </c>
      <c r="BI62" s="497" t="str">
        <f t="shared" si="71"/>
        <v xml:space="preserve"> </v>
      </c>
      <c r="BJ62" s="498" t="str">
        <f t="shared" si="71"/>
        <v xml:space="preserve"> </v>
      </c>
    </row>
    <row r="63" spans="1:62" x14ac:dyDescent="0.25">
      <c r="A63" s="684">
        <v>5</v>
      </c>
      <c r="B63" s="555"/>
      <c r="C63" s="519" t="str">
        <f>'GCM_Purlin 1.0'!AU63</f>
        <v>GCN1</v>
      </c>
      <c r="D63" s="513" t="str">
        <f>IFERROR('GCM_Purlin 1.0'!AV63*$W$20," ")</f>
        <v xml:space="preserve"> </v>
      </c>
      <c r="E63" s="482" t="str">
        <f>IFERROR('GCM_Purlin 1.0'!AW63*$W$20," ")</f>
        <v xml:space="preserve"> </v>
      </c>
      <c r="F63" s="482" t="str">
        <f>IFERROR('GCM_Purlin 1.0'!AX63*$W$20," ")</f>
        <v xml:space="preserve"> </v>
      </c>
      <c r="G63" s="482" t="str">
        <f>IFERROR('GCM_Purlin 1.0'!AY63*$W$20," ")</f>
        <v xml:space="preserve"> </v>
      </c>
      <c r="H63" s="482" t="str">
        <f>IFERROR('GCM_Purlin 1.0'!AZ63*$W$20," ")</f>
        <v xml:space="preserve"> </v>
      </c>
      <c r="I63" s="482" t="str">
        <f>IFERROR('GCM_Purlin 1.0'!BA63*$W$20," ")</f>
        <v xml:space="preserve"> </v>
      </c>
      <c r="J63" s="482" t="str">
        <f>IFERROR('GCM_Purlin 1.0'!BB63*$W$20," ")</f>
        <v xml:space="preserve"> </v>
      </c>
      <c r="K63" s="482" t="str">
        <f>IFERROR('GCM_Purlin 1.0'!BC63*$W$20," ")</f>
        <v xml:space="preserve"> </v>
      </c>
      <c r="L63" s="482" t="str">
        <f>IFERROR('GCM_Purlin 1.0'!BD63*$W$20," ")</f>
        <v xml:space="preserve"> </v>
      </c>
      <c r="M63" s="482" t="str">
        <f>IFERROR('GCM_Purlin 1.0'!BE63*$W$20," ")</f>
        <v xml:space="preserve"> </v>
      </c>
      <c r="N63" s="482" t="str">
        <f>IFERROR('GCM_Purlin 1.0'!BF63*$W$20," ")</f>
        <v xml:space="preserve"> </v>
      </c>
      <c r="O63" s="482" t="str">
        <f>IFERROR('GCM_Purlin 1.0'!BG63*$W$20," ")</f>
        <v xml:space="preserve"> </v>
      </c>
      <c r="P63" s="482" t="str">
        <f>IFERROR('GCM_Purlin 1.0'!BH63*$W$20," ")</f>
        <v xml:space="preserve"> </v>
      </c>
      <c r="Q63" s="482" t="str">
        <f>IFERROR('GCM_Purlin 1.0'!BI63*$W$20," ")</f>
        <v xml:space="preserve"> </v>
      </c>
      <c r="R63" s="482" t="str">
        <f>IFERROR('GCM_Purlin 1.0'!BJ63*$W$20," ")</f>
        <v xml:space="preserve"> </v>
      </c>
      <c r="S63" s="483" t="str">
        <f>IFERROR('GCM_Purlin 1.0'!BK63*$W$20," ")</f>
        <v xml:space="preserve"> </v>
      </c>
      <c r="T63" s="476"/>
      <c r="Y63" s="672"/>
      <c r="Z63" s="680"/>
      <c r="AA63" s="496" t="str">
        <f t="shared" ref="AA63:AP63" si="72">IFERROR((D79*Quarter_Area)+(D80*Quarter_Area)," ")</f>
        <v xml:space="preserve"> </v>
      </c>
      <c r="AB63" s="497" t="str">
        <f t="shared" si="72"/>
        <v xml:space="preserve"> </v>
      </c>
      <c r="AC63" s="497" t="str">
        <f t="shared" si="72"/>
        <v xml:space="preserve"> </v>
      </c>
      <c r="AD63" s="497" t="str">
        <f t="shared" si="72"/>
        <v xml:space="preserve"> </v>
      </c>
      <c r="AE63" s="497" t="str">
        <f t="shared" si="72"/>
        <v xml:space="preserve"> </v>
      </c>
      <c r="AF63" s="497" t="str">
        <f t="shared" si="72"/>
        <v xml:space="preserve"> </v>
      </c>
      <c r="AG63" s="497" t="str">
        <f t="shared" si="72"/>
        <v xml:space="preserve"> </v>
      </c>
      <c r="AH63" s="497" t="str">
        <f t="shared" si="72"/>
        <v xml:space="preserve"> </v>
      </c>
      <c r="AI63" s="497" t="str">
        <f t="shared" si="72"/>
        <v xml:space="preserve"> </v>
      </c>
      <c r="AJ63" s="497" t="str">
        <f t="shared" si="72"/>
        <v xml:space="preserve"> </v>
      </c>
      <c r="AK63" s="497" t="str">
        <f t="shared" si="72"/>
        <v xml:space="preserve"> </v>
      </c>
      <c r="AL63" s="497" t="str">
        <f t="shared" si="72"/>
        <v xml:space="preserve"> </v>
      </c>
      <c r="AM63" s="497" t="str">
        <f t="shared" si="72"/>
        <v xml:space="preserve"> </v>
      </c>
      <c r="AN63" s="497" t="str">
        <f t="shared" si="72"/>
        <v xml:space="preserve"> </v>
      </c>
      <c r="AO63" s="497" t="str">
        <f t="shared" si="72"/>
        <v xml:space="preserve"> </v>
      </c>
      <c r="AP63" s="498" t="str">
        <f t="shared" si="72"/>
        <v xml:space="preserve"> </v>
      </c>
      <c r="AS63" s="672"/>
      <c r="AT63" s="680"/>
      <c r="AU63" s="496" t="str">
        <f t="shared" ref="AU63:BJ63" si="73">IFERROR((D79*Quarter_Area*m1b)+(D80*Quarter_Area*m2b)," ")</f>
        <v xml:space="preserve"> </v>
      </c>
      <c r="AV63" s="497" t="str">
        <f t="shared" si="73"/>
        <v xml:space="preserve"> </v>
      </c>
      <c r="AW63" s="497" t="str">
        <f t="shared" si="73"/>
        <v xml:space="preserve"> </v>
      </c>
      <c r="AX63" s="497" t="str">
        <f t="shared" si="73"/>
        <v xml:space="preserve"> </v>
      </c>
      <c r="AY63" s="497" t="str">
        <f t="shared" si="73"/>
        <v xml:space="preserve"> </v>
      </c>
      <c r="AZ63" s="497" t="str">
        <f t="shared" si="73"/>
        <v xml:space="preserve"> </v>
      </c>
      <c r="BA63" s="497" t="str">
        <f t="shared" si="73"/>
        <v xml:space="preserve"> </v>
      </c>
      <c r="BB63" s="497" t="str">
        <f t="shared" si="73"/>
        <v xml:space="preserve"> </v>
      </c>
      <c r="BC63" s="497" t="str">
        <f t="shared" si="73"/>
        <v xml:space="preserve"> </v>
      </c>
      <c r="BD63" s="497" t="str">
        <f t="shared" si="73"/>
        <v xml:space="preserve"> </v>
      </c>
      <c r="BE63" s="497" t="str">
        <f t="shared" si="73"/>
        <v xml:space="preserve"> </v>
      </c>
      <c r="BF63" s="497" t="str">
        <f t="shared" si="73"/>
        <v xml:space="preserve"> </v>
      </c>
      <c r="BG63" s="497" t="str">
        <f t="shared" si="73"/>
        <v xml:space="preserve"> </v>
      </c>
      <c r="BH63" s="497" t="str">
        <f t="shared" si="73"/>
        <v xml:space="preserve"> </v>
      </c>
      <c r="BI63" s="497" t="str">
        <f t="shared" si="73"/>
        <v xml:space="preserve"> </v>
      </c>
      <c r="BJ63" s="498" t="str">
        <f t="shared" si="73"/>
        <v xml:space="preserve"> </v>
      </c>
    </row>
    <row r="64" spans="1:62" x14ac:dyDescent="0.25">
      <c r="A64" s="604"/>
      <c r="B64" s="555"/>
      <c r="C64" s="520" t="str">
        <f>'GCM_Purlin 1.0'!AU64</f>
        <v>GCN2</v>
      </c>
      <c r="D64" s="514" t="str">
        <f>IFERROR('GCM_Purlin 1.0'!AV64*$W$20," ")</f>
        <v xml:space="preserve"> </v>
      </c>
      <c r="E64" s="476" t="str">
        <f>IFERROR('GCM_Purlin 1.0'!AW64*$W$20," ")</f>
        <v xml:space="preserve"> </v>
      </c>
      <c r="F64" s="476" t="str">
        <f>IFERROR('GCM_Purlin 1.0'!AX64*$W$20," ")</f>
        <v xml:space="preserve"> </v>
      </c>
      <c r="G64" s="476" t="str">
        <f>IFERROR('GCM_Purlin 1.0'!AY64*$W$20," ")</f>
        <v xml:space="preserve"> </v>
      </c>
      <c r="H64" s="476" t="str">
        <f>IFERROR('GCM_Purlin 1.0'!AZ64*$W$20," ")</f>
        <v xml:space="preserve"> </v>
      </c>
      <c r="I64" s="476" t="str">
        <f>IFERROR('GCM_Purlin 1.0'!BA64*$W$20," ")</f>
        <v xml:space="preserve"> </v>
      </c>
      <c r="J64" s="476" t="str">
        <f>IFERROR('GCM_Purlin 1.0'!BB64*$W$20," ")</f>
        <v xml:space="preserve"> </v>
      </c>
      <c r="K64" s="476" t="str">
        <f>IFERROR('GCM_Purlin 1.0'!BC64*$W$20," ")</f>
        <v xml:space="preserve"> </v>
      </c>
      <c r="L64" s="476" t="str">
        <f>IFERROR('GCM_Purlin 1.0'!BD64*$W$20," ")</f>
        <v xml:space="preserve"> </v>
      </c>
      <c r="M64" s="476" t="str">
        <f>IFERROR('GCM_Purlin 1.0'!BE64*$W$20," ")</f>
        <v xml:space="preserve"> </v>
      </c>
      <c r="N64" s="476" t="str">
        <f>IFERROR('GCM_Purlin 1.0'!BF64*$W$20," ")</f>
        <v xml:space="preserve"> </v>
      </c>
      <c r="O64" s="476" t="str">
        <f>IFERROR('GCM_Purlin 1.0'!BG64*$W$20," ")</f>
        <v xml:space="preserve"> </v>
      </c>
      <c r="P64" s="476" t="str">
        <f>IFERROR('GCM_Purlin 1.0'!BH64*$W$20," ")</f>
        <v xml:space="preserve"> </v>
      </c>
      <c r="Q64" s="476" t="str">
        <f>IFERROR('GCM_Purlin 1.0'!BI64*$W$20," ")</f>
        <v xml:space="preserve"> </v>
      </c>
      <c r="R64" s="476" t="str">
        <f>IFERROR('GCM_Purlin 1.0'!BJ64*$W$20," ")</f>
        <v xml:space="preserve"> </v>
      </c>
      <c r="S64" s="495" t="str">
        <f>IFERROR('GCM_Purlin 1.0'!BK64*$W$20," ")</f>
        <v xml:space="preserve"> </v>
      </c>
      <c r="T64" s="476"/>
      <c r="Y64" s="673"/>
      <c r="Z64" s="680"/>
      <c r="AA64" s="496" t="str">
        <f t="shared" ref="AA64:AP64" si="74">IFERROR((D81*Quarter_Area)+(D82*Quarter_Area)," ")</f>
        <v xml:space="preserve"> </v>
      </c>
      <c r="AB64" s="497" t="str">
        <f t="shared" si="74"/>
        <v xml:space="preserve"> </v>
      </c>
      <c r="AC64" s="497" t="str">
        <f t="shared" si="74"/>
        <v xml:space="preserve"> </v>
      </c>
      <c r="AD64" s="497" t="str">
        <f t="shared" si="74"/>
        <v xml:space="preserve"> </v>
      </c>
      <c r="AE64" s="497" t="str">
        <f t="shared" si="74"/>
        <v xml:space="preserve"> </v>
      </c>
      <c r="AF64" s="497" t="str">
        <f t="shared" si="74"/>
        <v xml:space="preserve"> </v>
      </c>
      <c r="AG64" s="497" t="str">
        <f t="shared" si="74"/>
        <v xml:space="preserve"> </v>
      </c>
      <c r="AH64" s="497" t="str">
        <f t="shared" si="74"/>
        <v xml:space="preserve"> </v>
      </c>
      <c r="AI64" s="497" t="str">
        <f t="shared" si="74"/>
        <v xml:space="preserve"> </v>
      </c>
      <c r="AJ64" s="497" t="str">
        <f t="shared" si="74"/>
        <v xml:space="preserve"> </v>
      </c>
      <c r="AK64" s="497" t="str">
        <f t="shared" si="74"/>
        <v xml:space="preserve"> </v>
      </c>
      <c r="AL64" s="497" t="str">
        <f t="shared" si="74"/>
        <v xml:space="preserve"> </v>
      </c>
      <c r="AM64" s="497" t="str">
        <f t="shared" si="74"/>
        <v xml:space="preserve"> </v>
      </c>
      <c r="AN64" s="497" t="str">
        <f t="shared" si="74"/>
        <v xml:space="preserve"> </v>
      </c>
      <c r="AO64" s="497" t="str">
        <f t="shared" si="74"/>
        <v xml:space="preserve"> </v>
      </c>
      <c r="AP64" s="498" t="str">
        <f t="shared" si="74"/>
        <v xml:space="preserve"> </v>
      </c>
      <c r="AS64" s="673"/>
      <c r="AT64" s="680"/>
      <c r="AU64" s="496" t="str">
        <f t="shared" ref="AU64:BJ64" si="75">IFERROR((D81*Quarter_Area*m3b)+(D82*Quarter_Area*m4b)," ")</f>
        <v xml:space="preserve"> </v>
      </c>
      <c r="AV64" s="497" t="str">
        <f t="shared" si="75"/>
        <v xml:space="preserve"> </v>
      </c>
      <c r="AW64" s="497" t="str">
        <f t="shared" si="75"/>
        <v xml:space="preserve"> </v>
      </c>
      <c r="AX64" s="497" t="str">
        <f t="shared" si="75"/>
        <v xml:space="preserve"> </v>
      </c>
      <c r="AY64" s="497" t="str">
        <f t="shared" si="75"/>
        <v xml:space="preserve"> </v>
      </c>
      <c r="AZ64" s="497" t="str">
        <f t="shared" si="75"/>
        <v xml:space="preserve"> </v>
      </c>
      <c r="BA64" s="497" t="str">
        <f t="shared" si="75"/>
        <v xml:space="preserve"> </v>
      </c>
      <c r="BB64" s="497" t="str">
        <f t="shared" si="75"/>
        <v xml:space="preserve"> </v>
      </c>
      <c r="BC64" s="497" t="str">
        <f t="shared" si="75"/>
        <v xml:space="preserve"> </v>
      </c>
      <c r="BD64" s="497" t="str">
        <f t="shared" si="75"/>
        <v xml:space="preserve"> </v>
      </c>
      <c r="BE64" s="497" t="str">
        <f t="shared" si="75"/>
        <v xml:space="preserve"> </v>
      </c>
      <c r="BF64" s="497" t="str">
        <f t="shared" si="75"/>
        <v xml:space="preserve"> </v>
      </c>
      <c r="BG64" s="497" t="str">
        <f t="shared" si="75"/>
        <v xml:space="preserve"> </v>
      </c>
      <c r="BH64" s="497" t="str">
        <f t="shared" si="75"/>
        <v xml:space="preserve"> </v>
      </c>
      <c r="BI64" s="497" t="str">
        <f t="shared" si="75"/>
        <v xml:space="preserve"> </v>
      </c>
      <c r="BJ64" s="498" t="str">
        <f t="shared" si="75"/>
        <v xml:space="preserve"> </v>
      </c>
    </row>
    <row r="65" spans="1:62" x14ac:dyDescent="0.25">
      <c r="A65" s="604"/>
      <c r="B65" s="555"/>
      <c r="C65" s="520" t="str">
        <f>'GCM_Purlin 1.0'!AU65</f>
        <v>GCN3</v>
      </c>
      <c r="D65" s="514" t="str">
        <f>IFERROR('GCM_Purlin 1.0'!AV65*$W$20," ")</f>
        <v xml:space="preserve"> </v>
      </c>
      <c r="E65" s="476" t="str">
        <f>IFERROR('GCM_Purlin 1.0'!AW65*$W$20," ")</f>
        <v xml:space="preserve"> </v>
      </c>
      <c r="F65" s="476" t="str">
        <f>IFERROR('GCM_Purlin 1.0'!AX65*$W$20," ")</f>
        <v xml:space="preserve"> </v>
      </c>
      <c r="G65" s="476" t="str">
        <f>IFERROR('GCM_Purlin 1.0'!AY65*$W$20," ")</f>
        <v xml:space="preserve"> </v>
      </c>
      <c r="H65" s="476" t="str">
        <f>IFERROR('GCM_Purlin 1.0'!AZ65*$W$20," ")</f>
        <v xml:space="preserve"> </v>
      </c>
      <c r="I65" s="476" t="str">
        <f>IFERROR('GCM_Purlin 1.0'!BA65*$W$20," ")</f>
        <v xml:space="preserve"> </v>
      </c>
      <c r="J65" s="476" t="str">
        <f>IFERROR('GCM_Purlin 1.0'!BB65*$W$20," ")</f>
        <v xml:space="preserve"> </v>
      </c>
      <c r="K65" s="476" t="str">
        <f>IFERROR('GCM_Purlin 1.0'!BC65*$W$20," ")</f>
        <v xml:space="preserve"> </v>
      </c>
      <c r="L65" s="476" t="str">
        <f>IFERROR('GCM_Purlin 1.0'!BD65*$W$20," ")</f>
        <v xml:space="preserve"> </v>
      </c>
      <c r="M65" s="476" t="str">
        <f>IFERROR('GCM_Purlin 1.0'!BE65*$W$20," ")</f>
        <v xml:space="preserve"> </v>
      </c>
      <c r="N65" s="476" t="str">
        <f>IFERROR('GCM_Purlin 1.0'!BF65*$W$20," ")</f>
        <v xml:space="preserve"> </v>
      </c>
      <c r="O65" s="476" t="str">
        <f>IFERROR('GCM_Purlin 1.0'!BG65*$W$20," ")</f>
        <v xml:space="preserve"> </v>
      </c>
      <c r="P65" s="476" t="str">
        <f>IFERROR('GCM_Purlin 1.0'!BH65*$W$20," ")</f>
        <v xml:space="preserve"> </v>
      </c>
      <c r="Q65" s="476" t="str">
        <f>IFERROR('GCM_Purlin 1.0'!BI65*$W$20," ")</f>
        <v xml:space="preserve"> </v>
      </c>
      <c r="R65" s="476" t="str">
        <f>IFERROR('GCM_Purlin 1.0'!BJ65*$W$20," ")</f>
        <v xml:space="preserve"> </v>
      </c>
      <c r="S65" s="495" t="str">
        <f>IFERROR('GCM_Purlin 1.0'!BK65*$W$20," ")</f>
        <v xml:space="preserve"> </v>
      </c>
      <c r="T65" s="476"/>
      <c r="Y65" s="699"/>
      <c r="Z65" s="680"/>
      <c r="AA65" s="496" t="str">
        <f t="shared" ref="AA65:AP65" si="76">IFERROR((D83*Quarter_Area)+(D84*Quarter_Area)," ")</f>
        <v xml:space="preserve"> </v>
      </c>
      <c r="AB65" s="497" t="str">
        <f t="shared" si="76"/>
        <v xml:space="preserve"> </v>
      </c>
      <c r="AC65" s="497" t="str">
        <f t="shared" si="76"/>
        <v xml:space="preserve"> </v>
      </c>
      <c r="AD65" s="497" t="str">
        <f t="shared" si="76"/>
        <v xml:space="preserve"> </v>
      </c>
      <c r="AE65" s="497" t="str">
        <f t="shared" si="76"/>
        <v xml:space="preserve"> </v>
      </c>
      <c r="AF65" s="497" t="str">
        <f t="shared" si="76"/>
        <v xml:space="preserve"> </v>
      </c>
      <c r="AG65" s="497" t="str">
        <f t="shared" si="76"/>
        <v xml:space="preserve"> </v>
      </c>
      <c r="AH65" s="497" t="str">
        <f t="shared" si="76"/>
        <v xml:space="preserve"> </v>
      </c>
      <c r="AI65" s="497" t="str">
        <f t="shared" si="76"/>
        <v xml:space="preserve"> </v>
      </c>
      <c r="AJ65" s="497" t="str">
        <f t="shared" si="76"/>
        <v xml:space="preserve"> </v>
      </c>
      <c r="AK65" s="497" t="str">
        <f t="shared" si="76"/>
        <v xml:space="preserve"> </v>
      </c>
      <c r="AL65" s="497" t="str">
        <f t="shared" si="76"/>
        <v xml:space="preserve"> </v>
      </c>
      <c r="AM65" s="497" t="str">
        <f t="shared" si="76"/>
        <v xml:space="preserve"> </v>
      </c>
      <c r="AN65" s="497" t="str">
        <f t="shared" si="76"/>
        <v xml:space="preserve"> </v>
      </c>
      <c r="AO65" s="497" t="str">
        <f t="shared" si="76"/>
        <v xml:space="preserve"> </v>
      </c>
      <c r="AP65" s="498" t="str">
        <f t="shared" si="76"/>
        <v xml:space="preserve"> </v>
      </c>
      <c r="AS65" s="699"/>
      <c r="AT65" s="680"/>
      <c r="AU65" s="496" t="str">
        <f t="shared" ref="AU65:BJ65" si="77">IFERROR((D83*Quarter_Area*m1b)+(D84*Quarter_Area*m2b)," ")</f>
        <v xml:space="preserve"> </v>
      </c>
      <c r="AV65" s="497" t="str">
        <f t="shared" si="77"/>
        <v xml:space="preserve"> </v>
      </c>
      <c r="AW65" s="497" t="str">
        <f t="shared" si="77"/>
        <v xml:space="preserve"> </v>
      </c>
      <c r="AX65" s="497" t="str">
        <f t="shared" si="77"/>
        <v xml:space="preserve"> </v>
      </c>
      <c r="AY65" s="497" t="str">
        <f t="shared" si="77"/>
        <v xml:space="preserve"> </v>
      </c>
      <c r="AZ65" s="497" t="str">
        <f t="shared" si="77"/>
        <v xml:space="preserve"> </v>
      </c>
      <c r="BA65" s="497" t="str">
        <f t="shared" si="77"/>
        <v xml:space="preserve"> </v>
      </c>
      <c r="BB65" s="497" t="str">
        <f t="shared" si="77"/>
        <v xml:space="preserve"> </v>
      </c>
      <c r="BC65" s="497" t="str">
        <f t="shared" si="77"/>
        <v xml:space="preserve"> </v>
      </c>
      <c r="BD65" s="497" t="str">
        <f t="shared" si="77"/>
        <v xml:space="preserve"> </v>
      </c>
      <c r="BE65" s="497" t="str">
        <f t="shared" si="77"/>
        <v xml:space="preserve"> </v>
      </c>
      <c r="BF65" s="497" t="str">
        <f t="shared" si="77"/>
        <v xml:space="preserve"> </v>
      </c>
      <c r="BG65" s="497" t="str">
        <f t="shared" si="77"/>
        <v xml:space="preserve"> </v>
      </c>
      <c r="BH65" s="497" t="str">
        <f t="shared" si="77"/>
        <v xml:space="preserve"> </v>
      </c>
      <c r="BI65" s="497" t="str">
        <f t="shared" si="77"/>
        <v xml:space="preserve"> </v>
      </c>
      <c r="BJ65" s="498" t="str">
        <f t="shared" si="77"/>
        <v xml:space="preserve"> </v>
      </c>
    </row>
    <row r="66" spans="1:62" ht="15.75" customHeight="1" thickBot="1" x14ac:dyDescent="0.3">
      <c r="A66" s="668"/>
      <c r="B66" s="555"/>
      <c r="C66" s="521" t="str">
        <f>'GCM_Purlin 1.0'!AU66</f>
        <v>GCN4</v>
      </c>
      <c r="D66" s="515" t="str">
        <f>IFERROR('GCM_Purlin 1.0'!AV66*$W$20," ")</f>
        <v xml:space="preserve"> </v>
      </c>
      <c r="E66" s="504" t="str">
        <f>IFERROR('GCM_Purlin 1.0'!AW66*$W$20," ")</f>
        <v xml:space="preserve"> </v>
      </c>
      <c r="F66" s="504" t="str">
        <f>IFERROR('GCM_Purlin 1.0'!AX66*$W$20," ")</f>
        <v xml:space="preserve"> </v>
      </c>
      <c r="G66" s="504" t="str">
        <f>IFERROR('GCM_Purlin 1.0'!AY66*$W$20," ")</f>
        <v xml:space="preserve"> </v>
      </c>
      <c r="H66" s="504" t="str">
        <f>IFERROR('GCM_Purlin 1.0'!AZ66*$W$20," ")</f>
        <v xml:space="preserve"> </v>
      </c>
      <c r="I66" s="504" t="str">
        <f>IFERROR('GCM_Purlin 1.0'!BA66*$W$20," ")</f>
        <v xml:space="preserve"> </v>
      </c>
      <c r="J66" s="504" t="str">
        <f>IFERROR('GCM_Purlin 1.0'!BB66*$W$20," ")</f>
        <v xml:space="preserve"> </v>
      </c>
      <c r="K66" s="504" t="str">
        <f>IFERROR('GCM_Purlin 1.0'!BC66*$W$20," ")</f>
        <v xml:space="preserve"> </v>
      </c>
      <c r="L66" s="504" t="str">
        <f>IFERROR('GCM_Purlin 1.0'!BD66*$W$20," ")</f>
        <v xml:space="preserve"> </v>
      </c>
      <c r="M66" s="504" t="str">
        <f>IFERROR('GCM_Purlin 1.0'!BE66*$W$20," ")</f>
        <v xml:space="preserve"> </v>
      </c>
      <c r="N66" s="504" t="str">
        <f>IFERROR('GCM_Purlin 1.0'!BF66*$W$20," ")</f>
        <v xml:space="preserve"> </v>
      </c>
      <c r="O66" s="504" t="str">
        <f>IFERROR('GCM_Purlin 1.0'!BG66*$W$20," ")</f>
        <v xml:space="preserve"> </v>
      </c>
      <c r="P66" s="504" t="str">
        <f>IFERROR('GCM_Purlin 1.0'!BH66*$W$20," ")</f>
        <v xml:space="preserve"> </v>
      </c>
      <c r="Q66" s="504" t="str">
        <f>IFERROR('GCM_Purlin 1.0'!BI66*$W$20," ")</f>
        <v xml:space="preserve"> </v>
      </c>
      <c r="R66" s="504" t="str">
        <f>IFERROR('GCM_Purlin 1.0'!BJ66*$W$20," ")</f>
        <v xml:space="preserve"> </v>
      </c>
      <c r="S66" s="505" t="str">
        <f>IFERROR('GCM_Purlin 1.0'!BK66*$W$20," ")</f>
        <v xml:space="preserve"> </v>
      </c>
      <c r="T66" s="476"/>
      <c r="Y66" s="700"/>
      <c r="Z66" s="673"/>
      <c r="AA66" s="516" t="str">
        <f t="shared" ref="AA66:AP66" si="78">IFERROR((D85*Quarter_Area)+(D86*Quarter_Area)," ")</f>
        <v xml:space="preserve"> </v>
      </c>
      <c r="AB66" s="517" t="str">
        <f t="shared" si="78"/>
        <v xml:space="preserve"> </v>
      </c>
      <c r="AC66" s="517" t="str">
        <f t="shared" si="78"/>
        <v xml:space="preserve"> </v>
      </c>
      <c r="AD66" s="517" t="str">
        <f t="shared" si="78"/>
        <v xml:space="preserve"> </v>
      </c>
      <c r="AE66" s="517" t="str">
        <f t="shared" si="78"/>
        <v xml:space="preserve"> </v>
      </c>
      <c r="AF66" s="517" t="str">
        <f t="shared" si="78"/>
        <v xml:space="preserve"> </v>
      </c>
      <c r="AG66" s="517" t="str">
        <f t="shared" si="78"/>
        <v xml:space="preserve"> </v>
      </c>
      <c r="AH66" s="517" t="str">
        <f t="shared" si="78"/>
        <v xml:space="preserve"> </v>
      </c>
      <c r="AI66" s="517" t="str">
        <f t="shared" si="78"/>
        <v xml:space="preserve"> </v>
      </c>
      <c r="AJ66" s="517" t="str">
        <f t="shared" si="78"/>
        <v xml:space="preserve"> </v>
      </c>
      <c r="AK66" s="517" t="str">
        <f t="shared" si="78"/>
        <v xml:space="preserve"> </v>
      </c>
      <c r="AL66" s="517" t="str">
        <f t="shared" si="78"/>
        <v xml:space="preserve"> </v>
      </c>
      <c r="AM66" s="517" t="str">
        <f t="shared" si="78"/>
        <v xml:space="preserve"> </v>
      </c>
      <c r="AN66" s="517" t="str">
        <f t="shared" si="78"/>
        <v xml:space="preserve"> </v>
      </c>
      <c r="AO66" s="517" t="str">
        <f t="shared" si="78"/>
        <v xml:space="preserve"> </v>
      </c>
      <c r="AP66" s="518" t="str">
        <f t="shared" si="78"/>
        <v xml:space="preserve"> </v>
      </c>
      <c r="AS66" s="700"/>
      <c r="AT66" s="673"/>
      <c r="AU66" s="516" t="str">
        <f t="shared" ref="AU66:BJ66" si="79">IFERROR((D85*Quarter_Area*m3b)+(D86*Quarter_Area*m4b)," ")</f>
        <v xml:space="preserve"> </v>
      </c>
      <c r="AV66" s="517" t="str">
        <f t="shared" si="79"/>
        <v xml:space="preserve"> </v>
      </c>
      <c r="AW66" s="517" t="str">
        <f t="shared" si="79"/>
        <v xml:space="preserve"> </v>
      </c>
      <c r="AX66" s="517" t="str">
        <f t="shared" si="79"/>
        <v xml:space="preserve"> </v>
      </c>
      <c r="AY66" s="517" t="str">
        <f t="shared" si="79"/>
        <v xml:space="preserve"> </v>
      </c>
      <c r="AZ66" s="517" t="str">
        <f t="shared" si="79"/>
        <v xml:space="preserve"> </v>
      </c>
      <c r="BA66" s="517" t="str">
        <f t="shared" si="79"/>
        <v xml:space="preserve"> </v>
      </c>
      <c r="BB66" s="517" t="str">
        <f t="shared" si="79"/>
        <v xml:space="preserve"> </v>
      </c>
      <c r="BC66" s="517" t="str">
        <f t="shared" si="79"/>
        <v xml:space="preserve"> </v>
      </c>
      <c r="BD66" s="517" t="str">
        <f t="shared" si="79"/>
        <v xml:space="preserve"> </v>
      </c>
      <c r="BE66" s="517" t="str">
        <f t="shared" si="79"/>
        <v xml:space="preserve"> </v>
      </c>
      <c r="BF66" s="517" t="str">
        <f t="shared" si="79"/>
        <v xml:space="preserve"> </v>
      </c>
      <c r="BG66" s="517" t="str">
        <f t="shared" si="79"/>
        <v xml:space="preserve"> </v>
      </c>
      <c r="BH66" s="517" t="str">
        <f t="shared" si="79"/>
        <v xml:space="preserve"> </v>
      </c>
      <c r="BI66" s="517" t="str">
        <f t="shared" si="79"/>
        <v xml:space="preserve"> </v>
      </c>
      <c r="BJ66" s="518" t="str">
        <f t="shared" si="79"/>
        <v xml:space="preserve"> </v>
      </c>
    </row>
    <row r="67" spans="1:62" x14ac:dyDescent="0.25">
      <c r="A67" s="696">
        <v>1</v>
      </c>
      <c r="B67" s="702" t="str">
        <f>'GCM_Purlin 1.0'!AS67</f>
        <v>Downforce</v>
      </c>
      <c r="C67" s="519" t="str">
        <f>'GCM_Purlin 1.0'!AU67</f>
        <v>GCN1</v>
      </c>
      <c r="D67" s="513" t="str">
        <f>IFERROR('GCM_Purlin 1.0'!AV67*$W$6," ")</f>
        <v xml:space="preserve"> </v>
      </c>
      <c r="E67" s="482" t="str">
        <f>IFERROR('GCM_Purlin 1.0'!AW67*$W$6," ")</f>
        <v xml:space="preserve"> </v>
      </c>
      <c r="F67" s="482" t="str">
        <f>IFERROR('GCM_Purlin 1.0'!AX67*$W$6," ")</f>
        <v xml:space="preserve"> </v>
      </c>
      <c r="G67" s="482" t="str">
        <f>IFERROR('GCM_Purlin 1.0'!AY67*$W$6," ")</f>
        <v xml:space="preserve"> </v>
      </c>
      <c r="H67" s="482" t="str">
        <f>IFERROR('GCM_Purlin 1.0'!AZ67*$W$6," ")</f>
        <v xml:space="preserve"> </v>
      </c>
      <c r="I67" s="482" t="str">
        <f>IFERROR('GCM_Purlin 1.0'!BA67*$W$6," ")</f>
        <v xml:space="preserve"> </v>
      </c>
      <c r="J67" s="482" t="str">
        <f>IFERROR('GCM_Purlin 1.0'!BB67*$W$6," ")</f>
        <v xml:space="preserve"> </v>
      </c>
      <c r="K67" s="482" t="str">
        <f>IFERROR('GCM_Purlin 1.0'!BC67*$W$6," ")</f>
        <v xml:space="preserve"> </v>
      </c>
      <c r="L67" s="482" t="str">
        <f>IFERROR('GCM_Purlin 1.0'!BD67*$W$6," ")</f>
        <v xml:space="preserve"> </v>
      </c>
      <c r="M67" s="482" t="str">
        <f>IFERROR('GCM_Purlin 1.0'!BE67*$W$6," ")</f>
        <v xml:space="preserve"> </v>
      </c>
      <c r="N67" s="482" t="str">
        <f>IFERROR('GCM_Purlin 1.0'!BF67*$W$6," ")</f>
        <v xml:space="preserve"> </v>
      </c>
      <c r="O67" s="482" t="str">
        <f>IFERROR('GCM_Purlin 1.0'!BG67*$W$6," ")</f>
        <v xml:space="preserve"> </v>
      </c>
      <c r="P67" s="482" t="str">
        <f>IFERROR('GCM_Purlin 1.0'!BH67*$W$6," ")</f>
        <v xml:space="preserve"> </v>
      </c>
      <c r="Q67" s="482" t="str">
        <f>IFERROR('GCM_Purlin 1.0'!BI67*$W$6," ")</f>
        <v xml:space="preserve"> </v>
      </c>
      <c r="R67" s="482" t="str">
        <f>IFERROR('GCM_Purlin 1.0'!BJ67*$W$6," ")</f>
        <v xml:space="preserve"> </v>
      </c>
      <c r="S67" s="483" t="str">
        <f>IFERROR('GCM_Purlin 1.0'!BK67*$W$6," ")</f>
        <v xml:space="preserve"> </v>
      </c>
      <c r="T67" s="476"/>
    </row>
    <row r="68" spans="1:62" x14ac:dyDescent="0.25">
      <c r="A68" s="604"/>
      <c r="B68" s="555"/>
      <c r="C68" s="520" t="str">
        <f>'GCM_Purlin 1.0'!AU68</f>
        <v>GCN2</v>
      </c>
      <c r="D68" s="514" t="str">
        <f>IFERROR('GCM_Purlin 1.0'!AV68*$W$6," ")</f>
        <v xml:space="preserve"> </v>
      </c>
      <c r="E68" s="476" t="str">
        <f>IFERROR('GCM_Purlin 1.0'!AW68*$W$6," ")</f>
        <v xml:space="preserve"> </v>
      </c>
      <c r="F68" s="476" t="str">
        <f>IFERROR('GCM_Purlin 1.0'!AX68*$W$6," ")</f>
        <v xml:space="preserve"> </v>
      </c>
      <c r="G68" s="476" t="str">
        <f>IFERROR('GCM_Purlin 1.0'!AY68*$W$6," ")</f>
        <v xml:space="preserve"> </v>
      </c>
      <c r="H68" s="476" t="str">
        <f>IFERROR('GCM_Purlin 1.0'!AZ68*$W$6," ")</f>
        <v xml:space="preserve"> </v>
      </c>
      <c r="I68" s="476" t="str">
        <f>IFERROR('GCM_Purlin 1.0'!BA68*$W$6," ")</f>
        <v xml:space="preserve"> </v>
      </c>
      <c r="J68" s="476" t="str">
        <f>IFERROR('GCM_Purlin 1.0'!BB68*$W$6," ")</f>
        <v xml:space="preserve"> </v>
      </c>
      <c r="K68" s="476" t="str">
        <f>IFERROR('GCM_Purlin 1.0'!BC68*$W$6," ")</f>
        <v xml:space="preserve"> </v>
      </c>
      <c r="L68" s="476" t="str">
        <f>IFERROR('GCM_Purlin 1.0'!BD68*$W$6," ")</f>
        <v xml:space="preserve"> </v>
      </c>
      <c r="M68" s="476" t="str">
        <f>IFERROR('GCM_Purlin 1.0'!BE68*$W$6," ")</f>
        <v xml:space="preserve"> </v>
      </c>
      <c r="N68" s="476" t="str">
        <f>IFERROR('GCM_Purlin 1.0'!BF68*$W$6," ")</f>
        <v xml:space="preserve"> </v>
      </c>
      <c r="O68" s="476" t="str">
        <f>IFERROR('GCM_Purlin 1.0'!BG68*$W$6," ")</f>
        <v xml:space="preserve"> </v>
      </c>
      <c r="P68" s="476" t="str">
        <f>IFERROR('GCM_Purlin 1.0'!BH68*$W$6," ")</f>
        <v xml:space="preserve"> </v>
      </c>
      <c r="Q68" s="476" t="str">
        <f>IFERROR('GCM_Purlin 1.0'!BI68*$W$6," ")</f>
        <v xml:space="preserve"> </v>
      </c>
      <c r="R68" s="476" t="str">
        <f>IFERROR('GCM_Purlin 1.0'!BJ68*$W$6," ")</f>
        <v xml:space="preserve"> </v>
      </c>
      <c r="S68" s="495" t="str">
        <f>IFERROR('GCM_Purlin 1.0'!BK68*$W$6," ")</f>
        <v xml:space="preserve"> </v>
      </c>
      <c r="T68" s="476"/>
    </row>
    <row r="69" spans="1:62" x14ac:dyDescent="0.25">
      <c r="A69" s="604"/>
      <c r="B69" s="555"/>
      <c r="C69" s="520" t="str">
        <f>'GCM_Purlin 1.0'!AU69</f>
        <v>GCN3</v>
      </c>
      <c r="D69" s="514" t="str">
        <f>IFERROR('GCM_Purlin 1.0'!AV69*$W$6," ")</f>
        <v xml:space="preserve"> </v>
      </c>
      <c r="E69" s="476" t="str">
        <f>IFERROR('GCM_Purlin 1.0'!AW69*$W$6," ")</f>
        <v xml:space="preserve"> </v>
      </c>
      <c r="F69" s="476" t="str">
        <f>IFERROR('GCM_Purlin 1.0'!AX69*$W$6," ")</f>
        <v xml:space="preserve"> </v>
      </c>
      <c r="G69" s="476" t="str">
        <f>IFERROR('GCM_Purlin 1.0'!AY69*$W$6," ")</f>
        <v xml:space="preserve"> </v>
      </c>
      <c r="H69" s="476" t="str">
        <f>IFERROR('GCM_Purlin 1.0'!AZ69*$W$6," ")</f>
        <v xml:space="preserve"> </v>
      </c>
      <c r="I69" s="476" t="str">
        <f>IFERROR('GCM_Purlin 1.0'!BA69*$W$6," ")</f>
        <v xml:space="preserve"> </v>
      </c>
      <c r="J69" s="476" t="str">
        <f>IFERROR('GCM_Purlin 1.0'!BB69*$W$6," ")</f>
        <v xml:space="preserve"> </v>
      </c>
      <c r="K69" s="476" t="str">
        <f>IFERROR('GCM_Purlin 1.0'!BC69*$W$6," ")</f>
        <v xml:space="preserve"> </v>
      </c>
      <c r="L69" s="476" t="str">
        <f>IFERROR('GCM_Purlin 1.0'!BD69*$W$6," ")</f>
        <v xml:space="preserve"> </v>
      </c>
      <c r="M69" s="476" t="str">
        <f>IFERROR('GCM_Purlin 1.0'!BE69*$W$6," ")</f>
        <v xml:space="preserve"> </v>
      </c>
      <c r="N69" s="476" t="str">
        <f>IFERROR('GCM_Purlin 1.0'!BF69*$W$6," ")</f>
        <v xml:space="preserve"> </v>
      </c>
      <c r="O69" s="476" t="str">
        <f>IFERROR('GCM_Purlin 1.0'!BG69*$W$6," ")</f>
        <v xml:space="preserve"> </v>
      </c>
      <c r="P69" s="476" t="str">
        <f>IFERROR('GCM_Purlin 1.0'!BH69*$W$6," ")</f>
        <v xml:space="preserve"> </v>
      </c>
      <c r="Q69" s="476" t="str">
        <f>IFERROR('GCM_Purlin 1.0'!BI69*$W$6," ")</f>
        <v xml:space="preserve"> </v>
      </c>
      <c r="R69" s="476" t="str">
        <f>IFERROR('GCM_Purlin 1.0'!BJ69*$W$6," ")</f>
        <v xml:space="preserve"> </v>
      </c>
      <c r="S69" s="495" t="str">
        <f>IFERROR('GCM_Purlin 1.0'!BK69*$W$6," ")</f>
        <v xml:space="preserve"> </v>
      </c>
      <c r="T69" s="476"/>
    </row>
    <row r="70" spans="1:62" ht="15.75" customHeight="1" thickBot="1" x14ac:dyDescent="0.3">
      <c r="A70" s="604"/>
      <c r="B70" s="555"/>
      <c r="C70" s="521" t="str">
        <f>'GCM_Purlin 1.0'!AU70</f>
        <v>GCN4</v>
      </c>
      <c r="D70" s="515" t="str">
        <f>IFERROR('GCM_Purlin 1.0'!AV70*$W$6," ")</f>
        <v xml:space="preserve"> </v>
      </c>
      <c r="E70" s="504" t="str">
        <f>IFERROR('GCM_Purlin 1.0'!AW70*$W$6," ")</f>
        <v xml:space="preserve"> </v>
      </c>
      <c r="F70" s="504" t="str">
        <f>IFERROR('GCM_Purlin 1.0'!AX70*$W$6," ")</f>
        <v xml:space="preserve"> </v>
      </c>
      <c r="G70" s="504" t="str">
        <f>IFERROR('GCM_Purlin 1.0'!AY70*$W$6," ")</f>
        <v xml:space="preserve"> </v>
      </c>
      <c r="H70" s="504" t="str">
        <f>IFERROR('GCM_Purlin 1.0'!AZ70*$W$6," ")</f>
        <v xml:space="preserve"> </v>
      </c>
      <c r="I70" s="504" t="str">
        <f>IFERROR('GCM_Purlin 1.0'!BA70*$W$6," ")</f>
        <v xml:space="preserve"> </v>
      </c>
      <c r="J70" s="504" t="str">
        <f>IFERROR('GCM_Purlin 1.0'!BB70*$W$6," ")</f>
        <v xml:space="preserve"> </v>
      </c>
      <c r="K70" s="504" t="str">
        <f>IFERROR('GCM_Purlin 1.0'!BC70*$W$6," ")</f>
        <v xml:space="preserve"> </v>
      </c>
      <c r="L70" s="504" t="str">
        <f>IFERROR('GCM_Purlin 1.0'!BD70*$W$6," ")</f>
        <v xml:space="preserve"> </v>
      </c>
      <c r="M70" s="504" t="str">
        <f>IFERROR('GCM_Purlin 1.0'!BE70*$W$6," ")</f>
        <v xml:space="preserve"> </v>
      </c>
      <c r="N70" s="504" t="str">
        <f>IFERROR('GCM_Purlin 1.0'!BF70*$W$6," ")</f>
        <v xml:space="preserve"> </v>
      </c>
      <c r="O70" s="504" t="str">
        <f>IFERROR('GCM_Purlin 1.0'!BG70*$W$6," ")</f>
        <v xml:space="preserve"> </v>
      </c>
      <c r="P70" s="504" t="str">
        <f>IFERROR('GCM_Purlin 1.0'!BH70*$W$6," ")</f>
        <v xml:space="preserve"> </v>
      </c>
      <c r="Q70" s="504" t="str">
        <f>IFERROR('GCM_Purlin 1.0'!BI70*$W$6," ")</f>
        <v xml:space="preserve"> </v>
      </c>
      <c r="R70" s="504" t="str">
        <f>IFERROR('GCM_Purlin 1.0'!BJ70*$W$6," ")</f>
        <v xml:space="preserve"> </v>
      </c>
      <c r="S70" s="505" t="str">
        <f>IFERROR('GCM_Purlin 1.0'!BK70*$W$6," ")</f>
        <v xml:space="preserve"> </v>
      </c>
      <c r="T70" s="476"/>
    </row>
    <row r="71" spans="1:62" x14ac:dyDescent="0.25">
      <c r="A71" s="681">
        <v>2</v>
      </c>
      <c r="B71" s="555"/>
      <c r="C71" s="519" t="str">
        <f>'GCM_Purlin 1.0'!AU71</f>
        <v>GCN1</v>
      </c>
      <c r="D71" s="513" t="str">
        <f>IFERROR('GCM_Purlin 1.0'!AV71*$W$10," ")</f>
        <v xml:space="preserve"> </v>
      </c>
      <c r="E71" s="482" t="str">
        <f>IFERROR('GCM_Purlin 1.0'!AW71*$W$10," ")</f>
        <v xml:space="preserve"> </v>
      </c>
      <c r="F71" s="482" t="str">
        <f>IFERROR('GCM_Purlin 1.0'!AX71*$W$10," ")</f>
        <v xml:space="preserve"> </v>
      </c>
      <c r="G71" s="482" t="str">
        <f>IFERROR('GCM_Purlin 1.0'!AY71*$W$10," ")</f>
        <v xml:space="preserve"> </v>
      </c>
      <c r="H71" s="482" t="str">
        <f>IFERROR('GCM_Purlin 1.0'!AZ71*$W$10," ")</f>
        <v xml:space="preserve"> </v>
      </c>
      <c r="I71" s="482" t="str">
        <f>IFERROR('GCM_Purlin 1.0'!BA71*$W$10," ")</f>
        <v xml:space="preserve"> </v>
      </c>
      <c r="J71" s="482" t="str">
        <f>IFERROR('GCM_Purlin 1.0'!BB71*$W$10," ")</f>
        <v xml:space="preserve"> </v>
      </c>
      <c r="K71" s="482" t="str">
        <f>IFERROR('GCM_Purlin 1.0'!BC71*$W$10," ")</f>
        <v xml:space="preserve"> </v>
      </c>
      <c r="L71" s="482" t="str">
        <f>IFERROR('GCM_Purlin 1.0'!BD71*$W$10," ")</f>
        <v xml:space="preserve"> </v>
      </c>
      <c r="M71" s="482" t="str">
        <f>IFERROR('GCM_Purlin 1.0'!BE71*$W$10," ")</f>
        <v xml:space="preserve"> </v>
      </c>
      <c r="N71" s="482" t="str">
        <f>IFERROR('GCM_Purlin 1.0'!BF71*$W$10," ")</f>
        <v xml:space="preserve"> </v>
      </c>
      <c r="O71" s="482" t="str">
        <f>IFERROR('GCM_Purlin 1.0'!BG71*$W$10," ")</f>
        <v xml:space="preserve"> </v>
      </c>
      <c r="P71" s="482" t="str">
        <f>IFERROR('GCM_Purlin 1.0'!BH71*$W$10," ")</f>
        <v xml:space="preserve"> </v>
      </c>
      <c r="Q71" s="482" t="str">
        <f>IFERROR('GCM_Purlin 1.0'!BI71*$W$10," ")</f>
        <v xml:space="preserve"> </v>
      </c>
      <c r="R71" s="482" t="str">
        <f>IFERROR('GCM_Purlin 1.0'!BJ71*$W$10," ")</f>
        <v xml:space="preserve"> </v>
      </c>
      <c r="S71" s="483" t="str">
        <f>IFERROR('GCM_Purlin 1.0'!BK71*$W$10," ")</f>
        <v xml:space="preserve"> </v>
      </c>
      <c r="T71" s="476"/>
    </row>
    <row r="72" spans="1:62" x14ac:dyDescent="0.25">
      <c r="A72" s="604"/>
      <c r="B72" s="555"/>
      <c r="C72" s="520" t="str">
        <f>'GCM_Purlin 1.0'!AU72</f>
        <v>GCN2</v>
      </c>
      <c r="D72" s="514" t="str">
        <f>IFERROR('GCM_Purlin 1.0'!AV72*$W$10," ")</f>
        <v xml:space="preserve"> </v>
      </c>
      <c r="E72" s="476" t="str">
        <f>IFERROR('GCM_Purlin 1.0'!AW72*$W$10," ")</f>
        <v xml:space="preserve"> </v>
      </c>
      <c r="F72" s="476" t="str">
        <f>IFERROR('GCM_Purlin 1.0'!AX72*$W$10," ")</f>
        <v xml:space="preserve"> </v>
      </c>
      <c r="G72" s="476" t="str">
        <f>IFERROR('GCM_Purlin 1.0'!AY72*$W$10," ")</f>
        <v xml:space="preserve"> </v>
      </c>
      <c r="H72" s="476" t="str">
        <f>IFERROR('GCM_Purlin 1.0'!AZ72*$W$10," ")</f>
        <v xml:space="preserve"> </v>
      </c>
      <c r="I72" s="476" t="str">
        <f>IFERROR('GCM_Purlin 1.0'!BA72*$W$10," ")</f>
        <v xml:space="preserve"> </v>
      </c>
      <c r="J72" s="476" t="str">
        <f>IFERROR('GCM_Purlin 1.0'!BB72*$W$10," ")</f>
        <v xml:space="preserve"> </v>
      </c>
      <c r="K72" s="476" t="str">
        <f>IFERROR('GCM_Purlin 1.0'!BC72*$W$10," ")</f>
        <v xml:space="preserve"> </v>
      </c>
      <c r="L72" s="476" t="str">
        <f>IFERROR('GCM_Purlin 1.0'!BD72*$W$10," ")</f>
        <v xml:space="preserve"> </v>
      </c>
      <c r="M72" s="476" t="str">
        <f>IFERROR('GCM_Purlin 1.0'!BE72*$W$10," ")</f>
        <v xml:space="preserve"> </v>
      </c>
      <c r="N72" s="476" t="str">
        <f>IFERROR('GCM_Purlin 1.0'!BF72*$W$10," ")</f>
        <v xml:space="preserve"> </v>
      </c>
      <c r="O72" s="476" t="str">
        <f>IFERROR('GCM_Purlin 1.0'!BG72*$W$10," ")</f>
        <v xml:space="preserve"> </v>
      </c>
      <c r="P72" s="476" t="str">
        <f>IFERROR('GCM_Purlin 1.0'!BH72*$W$10," ")</f>
        <v xml:space="preserve"> </v>
      </c>
      <c r="Q72" s="476" t="str">
        <f>IFERROR('GCM_Purlin 1.0'!BI72*$W$10," ")</f>
        <v xml:space="preserve"> </v>
      </c>
      <c r="R72" s="476" t="str">
        <f>IFERROR('GCM_Purlin 1.0'!BJ72*$W$10," ")</f>
        <v xml:space="preserve"> </v>
      </c>
      <c r="S72" s="495" t="str">
        <f>IFERROR('GCM_Purlin 1.0'!BK72*$W$10," ")</f>
        <v xml:space="preserve"> </v>
      </c>
      <c r="T72" s="476"/>
    </row>
    <row r="73" spans="1:62" x14ac:dyDescent="0.25">
      <c r="A73" s="604"/>
      <c r="B73" s="555"/>
      <c r="C73" s="520" t="str">
        <f>'GCM_Purlin 1.0'!AU73</f>
        <v>GCN3</v>
      </c>
      <c r="D73" s="514" t="str">
        <f>IFERROR('GCM_Purlin 1.0'!AV73*$W$10," ")</f>
        <v xml:space="preserve"> </v>
      </c>
      <c r="E73" s="476" t="str">
        <f>IFERROR('GCM_Purlin 1.0'!AW73*$W$10," ")</f>
        <v xml:space="preserve"> </v>
      </c>
      <c r="F73" s="476" t="str">
        <f>IFERROR('GCM_Purlin 1.0'!AX73*$W$10," ")</f>
        <v xml:space="preserve"> </v>
      </c>
      <c r="G73" s="476" t="str">
        <f>IFERROR('GCM_Purlin 1.0'!AY73*$W$10," ")</f>
        <v xml:space="preserve"> </v>
      </c>
      <c r="H73" s="476" t="str">
        <f>IFERROR('GCM_Purlin 1.0'!AZ73*$W$10," ")</f>
        <v xml:space="preserve"> </v>
      </c>
      <c r="I73" s="476" t="str">
        <f>IFERROR('GCM_Purlin 1.0'!BA73*$W$10," ")</f>
        <v xml:space="preserve"> </v>
      </c>
      <c r="J73" s="476" t="str">
        <f>IFERROR('GCM_Purlin 1.0'!BB73*$W$10," ")</f>
        <v xml:space="preserve"> </v>
      </c>
      <c r="K73" s="476" t="str">
        <f>IFERROR('GCM_Purlin 1.0'!BC73*$W$10," ")</f>
        <v xml:space="preserve"> </v>
      </c>
      <c r="L73" s="476" t="str">
        <f>IFERROR('GCM_Purlin 1.0'!BD73*$W$10," ")</f>
        <v xml:space="preserve"> </v>
      </c>
      <c r="M73" s="476" t="str">
        <f>IFERROR('GCM_Purlin 1.0'!BE73*$W$10," ")</f>
        <v xml:space="preserve"> </v>
      </c>
      <c r="N73" s="476" t="str">
        <f>IFERROR('GCM_Purlin 1.0'!BF73*$W$10," ")</f>
        <v xml:space="preserve"> </v>
      </c>
      <c r="O73" s="476" t="str">
        <f>IFERROR('GCM_Purlin 1.0'!BG73*$W$10," ")</f>
        <v xml:space="preserve"> </v>
      </c>
      <c r="P73" s="476" t="str">
        <f>IFERROR('GCM_Purlin 1.0'!BH73*$W$10," ")</f>
        <v xml:space="preserve"> </v>
      </c>
      <c r="Q73" s="476" t="str">
        <f>IFERROR('GCM_Purlin 1.0'!BI73*$W$10," ")</f>
        <v xml:space="preserve"> </v>
      </c>
      <c r="R73" s="476" t="str">
        <f>IFERROR('GCM_Purlin 1.0'!BJ73*$W$10," ")</f>
        <v xml:space="preserve"> </v>
      </c>
      <c r="S73" s="495" t="str">
        <f>IFERROR('GCM_Purlin 1.0'!BK73*$W$10," ")</f>
        <v xml:space="preserve"> </v>
      </c>
      <c r="T73" s="476"/>
    </row>
    <row r="74" spans="1:62" ht="15.75" customHeight="1" thickBot="1" x14ac:dyDescent="0.3">
      <c r="A74" s="604"/>
      <c r="B74" s="555"/>
      <c r="C74" s="521" t="str">
        <f>'GCM_Purlin 1.0'!AU74</f>
        <v>GCN4</v>
      </c>
      <c r="D74" s="515" t="str">
        <f>IFERROR('GCM_Purlin 1.0'!AV74*$W$10," ")</f>
        <v xml:space="preserve"> </v>
      </c>
      <c r="E74" s="504" t="str">
        <f>IFERROR('GCM_Purlin 1.0'!AW74*$W$10," ")</f>
        <v xml:space="preserve"> </v>
      </c>
      <c r="F74" s="504" t="str">
        <f>IFERROR('GCM_Purlin 1.0'!AX74*$W$10," ")</f>
        <v xml:space="preserve"> </v>
      </c>
      <c r="G74" s="504" t="str">
        <f>IFERROR('GCM_Purlin 1.0'!AY74*$W$10," ")</f>
        <v xml:space="preserve"> </v>
      </c>
      <c r="H74" s="504" t="str">
        <f>IFERROR('GCM_Purlin 1.0'!AZ74*$W$10," ")</f>
        <v xml:space="preserve"> </v>
      </c>
      <c r="I74" s="504" t="str">
        <f>IFERROR('GCM_Purlin 1.0'!BA74*$W$10," ")</f>
        <v xml:space="preserve"> </v>
      </c>
      <c r="J74" s="504" t="str">
        <f>IFERROR('GCM_Purlin 1.0'!BB74*$W$10," ")</f>
        <v xml:space="preserve"> </v>
      </c>
      <c r="K74" s="504" t="str">
        <f>IFERROR('GCM_Purlin 1.0'!BC74*$W$10," ")</f>
        <v xml:space="preserve"> </v>
      </c>
      <c r="L74" s="504" t="str">
        <f>IFERROR('GCM_Purlin 1.0'!BD74*$W$10," ")</f>
        <v xml:space="preserve"> </v>
      </c>
      <c r="M74" s="504" t="str">
        <f>IFERROR('GCM_Purlin 1.0'!BE74*$W$10," ")</f>
        <v xml:space="preserve"> </v>
      </c>
      <c r="N74" s="504" t="str">
        <f>IFERROR('GCM_Purlin 1.0'!BF74*$W$10," ")</f>
        <v xml:space="preserve"> </v>
      </c>
      <c r="O74" s="504" t="str">
        <f>IFERROR('GCM_Purlin 1.0'!BG74*$W$10," ")</f>
        <v xml:space="preserve"> </v>
      </c>
      <c r="P74" s="504" t="str">
        <f>IFERROR('GCM_Purlin 1.0'!BH74*$W$10," ")</f>
        <v xml:space="preserve"> </v>
      </c>
      <c r="Q74" s="504" t="str">
        <f>IFERROR('GCM_Purlin 1.0'!BI74*$W$10," ")</f>
        <v xml:space="preserve"> </v>
      </c>
      <c r="R74" s="504" t="str">
        <f>IFERROR('GCM_Purlin 1.0'!BJ74*$W$10," ")</f>
        <v xml:space="preserve"> </v>
      </c>
      <c r="S74" s="505" t="str">
        <f>IFERROR('GCM_Purlin 1.0'!BK74*$W$10," ")</f>
        <v xml:space="preserve"> </v>
      </c>
      <c r="T74" s="476"/>
    </row>
    <row r="75" spans="1:62" x14ac:dyDescent="0.25">
      <c r="A75" s="690">
        <v>3</v>
      </c>
      <c r="B75" s="555"/>
      <c r="C75" s="519" t="str">
        <f>'GCM_Purlin 1.0'!AU75</f>
        <v>GCN1</v>
      </c>
      <c r="D75" s="513" t="str">
        <f>IFERROR('GCM_Purlin 1.0'!AV75*$W$14," ")</f>
        <v xml:space="preserve"> </v>
      </c>
      <c r="E75" s="482" t="str">
        <f>IFERROR('GCM_Purlin 1.0'!AW75*$W$14," ")</f>
        <v xml:space="preserve"> </v>
      </c>
      <c r="F75" s="482" t="str">
        <f>IFERROR('GCM_Purlin 1.0'!AX75*$W$14," ")</f>
        <v xml:space="preserve"> </v>
      </c>
      <c r="G75" s="482" t="str">
        <f>IFERROR('GCM_Purlin 1.0'!AY75*$W$14," ")</f>
        <v xml:space="preserve"> </v>
      </c>
      <c r="H75" s="482" t="str">
        <f>IFERROR('GCM_Purlin 1.0'!AZ75*$W$14," ")</f>
        <v xml:space="preserve"> </v>
      </c>
      <c r="I75" s="482" t="str">
        <f>IFERROR('GCM_Purlin 1.0'!BA75*$W$14," ")</f>
        <v xml:space="preserve"> </v>
      </c>
      <c r="J75" s="482" t="str">
        <f>IFERROR('GCM_Purlin 1.0'!BB75*$W$14," ")</f>
        <v xml:space="preserve"> </v>
      </c>
      <c r="K75" s="482" t="str">
        <f>IFERROR('GCM_Purlin 1.0'!BC75*$W$14," ")</f>
        <v xml:space="preserve"> </v>
      </c>
      <c r="L75" s="482" t="str">
        <f>IFERROR('GCM_Purlin 1.0'!BD75*$W$14," ")</f>
        <v xml:space="preserve"> </v>
      </c>
      <c r="M75" s="482" t="str">
        <f>IFERROR('GCM_Purlin 1.0'!BE75*$W$14," ")</f>
        <v xml:space="preserve"> </v>
      </c>
      <c r="N75" s="482" t="str">
        <f>IFERROR('GCM_Purlin 1.0'!BF75*$W$14," ")</f>
        <v xml:space="preserve"> </v>
      </c>
      <c r="O75" s="482" t="str">
        <f>IFERROR('GCM_Purlin 1.0'!BG75*$W$14," ")</f>
        <v xml:space="preserve"> </v>
      </c>
      <c r="P75" s="482" t="str">
        <f>IFERROR('GCM_Purlin 1.0'!BH75*$W$14," ")</f>
        <v xml:space="preserve"> </v>
      </c>
      <c r="Q75" s="482" t="str">
        <f>IFERROR('GCM_Purlin 1.0'!BI75*$W$14," ")</f>
        <v xml:space="preserve"> </v>
      </c>
      <c r="R75" s="482" t="str">
        <f>IFERROR('GCM_Purlin 1.0'!BJ75*$W$14," ")</f>
        <v xml:space="preserve"> </v>
      </c>
      <c r="S75" s="483" t="str">
        <f>IFERROR('GCM_Purlin 1.0'!BK75*$W$14," ")</f>
        <v xml:space="preserve"> </v>
      </c>
      <c r="T75" s="476"/>
    </row>
    <row r="76" spans="1:62" x14ac:dyDescent="0.25">
      <c r="A76" s="604"/>
      <c r="B76" s="555"/>
      <c r="C76" s="520" t="str">
        <f>'GCM_Purlin 1.0'!AU76</f>
        <v>GCN2</v>
      </c>
      <c r="D76" s="514" t="str">
        <f>IFERROR('GCM_Purlin 1.0'!AV76*$W$14," ")</f>
        <v xml:space="preserve"> </v>
      </c>
      <c r="E76" s="476" t="str">
        <f>IFERROR('GCM_Purlin 1.0'!AW76*$W$14," ")</f>
        <v xml:space="preserve"> </v>
      </c>
      <c r="F76" s="476" t="str">
        <f>IFERROR('GCM_Purlin 1.0'!AX76*$W$14," ")</f>
        <v xml:space="preserve"> </v>
      </c>
      <c r="G76" s="476" t="str">
        <f>IFERROR('GCM_Purlin 1.0'!AY76*$W$14," ")</f>
        <v xml:space="preserve"> </v>
      </c>
      <c r="H76" s="476" t="str">
        <f>IFERROR('GCM_Purlin 1.0'!AZ76*$W$14," ")</f>
        <v xml:space="preserve"> </v>
      </c>
      <c r="I76" s="476" t="str">
        <f>IFERROR('GCM_Purlin 1.0'!BA76*$W$14," ")</f>
        <v xml:space="preserve"> </v>
      </c>
      <c r="J76" s="476" t="str">
        <f>IFERROR('GCM_Purlin 1.0'!BB76*$W$14," ")</f>
        <v xml:space="preserve"> </v>
      </c>
      <c r="K76" s="476" t="str">
        <f>IFERROR('GCM_Purlin 1.0'!BC76*$W$14," ")</f>
        <v xml:space="preserve"> </v>
      </c>
      <c r="L76" s="476" t="str">
        <f>IFERROR('GCM_Purlin 1.0'!BD76*$W$14," ")</f>
        <v xml:space="preserve"> </v>
      </c>
      <c r="M76" s="476" t="str">
        <f>IFERROR('GCM_Purlin 1.0'!BE76*$W$14," ")</f>
        <v xml:space="preserve"> </v>
      </c>
      <c r="N76" s="476" t="str">
        <f>IFERROR('GCM_Purlin 1.0'!BF76*$W$14," ")</f>
        <v xml:space="preserve"> </v>
      </c>
      <c r="O76" s="476" t="str">
        <f>IFERROR('GCM_Purlin 1.0'!BG76*$W$14," ")</f>
        <v xml:space="preserve"> </v>
      </c>
      <c r="P76" s="476" t="str">
        <f>IFERROR('GCM_Purlin 1.0'!BH76*$W$14," ")</f>
        <v xml:space="preserve"> </v>
      </c>
      <c r="Q76" s="476" t="str">
        <f>IFERROR('GCM_Purlin 1.0'!BI76*$W$14," ")</f>
        <v xml:space="preserve"> </v>
      </c>
      <c r="R76" s="476" t="str">
        <f>IFERROR('GCM_Purlin 1.0'!BJ76*$W$14," ")</f>
        <v xml:space="preserve"> </v>
      </c>
      <c r="S76" s="495" t="str">
        <f>IFERROR('GCM_Purlin 1.0'!BK76*$W$14," ")</f>
        <v xml:space="preserve"> </v>
      </c>
      <c r="T76" s="476"/>
    </row>
    <row r="77" spans="1:62" x14ac:dyDescent="0.25">
      <c r="A77" s="604"/>
      <c r="B77" s="555"/>
      <c r="C77" s="520" t="str">
        <f>'GCM_Purlin 1.0'!AU77</f>
        <v>GCN3</v>
      </c>
      <c r="D77" s="514" t="str">
        <f>IFERROR('GCM_Purlin 1.0'!AV77*$W$14," ")</f>
        <v xml:space="preserve"> </v>
      </c>
      <c r="E77" s="476" t="str">
        <f>IFERROR('GCM_Purlin 1.0'!AW77*$W$14," ")</f>
        <v xml:space="preserve"> </v>
      </c>
      <c r="F77" s="476" t="str">
        <f>IFERROR('GCM_Purlin 1.0'!AX77*$W$14," ")</f>
        <v xml:space="preserve"> </v>
      </c>
      <c r="G77" s="476" t="str">
        <f>IFERROR('GCM_Purlin 1.0'!AY77*$W$14," ")</f>
        <v xml:space="preserve"> </v>
      </c>
      <c r="H77" s="476" t="str">
        <f>IFERROR('GCM_Purlin 1.0'!AZ77*$W$14," ")</f>
        <v xml:space="preserve"> </v>
      </c>
      <c r="I77" s="476" t="str">
        <f>IFERROR('GCM_Purlin 1.0'!BA77*$W$14," ")</f>
        <v xml:space="preserve"> </v>
      </c>
      <c r="J77" s="476" t="str">
        <f>IFERROR('GCM_Purlin 1.0'!BB77*$W$14," ")</f>
        <v xml:space="preserve"> </v>
      </c>
      <c r="K77" s="476" t="str">
        <f>IFERROR('GCM_Purlin 1.0'!BC77*$W$14," ")</f>
        <v xml:space="preserve"> </v>
      </c>
      <c r="L77" s="476" t="str">
        <f>IFERROR('GCM_Purlin 1.0'!BD77*$W$14," ")</f>
        <v xml:space="preserve"> </v>
      </c>
      <c r="M77" s="476" t="str">
        <f>IFERROR('GCM_Purlin 1.0'!BE77*$W$14," ")</f>
        <v xml:space="preserve"> </v>
      </c>
      <c r="N77" s="476" t="str">
        <f>IFERROR('GCM_Purlin 1.0'!BF77*$W$14," ")</f>
        <v xml:space="preserve"> </v>
      </c>
      <c r="O77" s="476" t="str">
        <f>IFERROR('GCM_Purlin 1.0'!BG77*$W$14," ")</f>
        <v xml:space="preserve"> </v>
      </c>
      <c r="P77" s="476" t="str">
        <f>IFERROR('GCM_Purlin 1.0'!BH77*$W$14," ")</f>
        <v xml:space="preserve"> </v>
      </c>
      <c r="Q77" s="476" t="str">
        <f>IFERROR('GCM_Purlin 1.0'!BI77*$W$14," ")</f>
        <v xml:space="preserve"> </v>
      </c>
      <c r="R77" s="476" t="str">
        <f>IFERROR('GCM_Purlin 1.0'!BJ77*$W$14," ")</f>
        <v xml:space="preserve"> </v>
      </c>
      <c r="S77" s="495" t="str">
        <f>IFERROR('GCM_Purlin 1.0'!BK77*$W$14," ")</f>
        <v xml:space="preserve"> </v>
      </c>
      <c r="T77" s="476"/>
    </row>
    <row r="78" spans="1:62" ht="15.75" customHeight="1" thickBot="1" x14ac:dyDescent="0.3">
      <c r="A78" s="604"/>
      <c r="B78" s="555"/>
      <c r="C78" s="521" t="str">
        <f>'GCM_Purlin 1.0'!AU78</f>
        <v>GCN4</v>
      </c>
      <c r="D78" s="515" t="str">
        <f>IFERROR('GCM_Purlin 1.0'!AV78*$W$14," ")</f>
        <v xml:space="preserve"> </v>
      </c>
      <c r="E78" s="504" t="str">
        <f>IFERROR('GCM_Purlin 1.0'!AW78*$W$14," ")</f>
        <v xml:space="preserve"> </v>
      </c>
      <c r="F78" s="504" t="str">
        <f>IFERROR('GCM_Purlin 1.0'!AX78*$W$14," ")</f>
        <v xml:space="preserve"> </v>
      </c>
      <c r="G78" s="504" t="str">
        <f>IFERROR('GCM_Purlin 1.0'!AY78*$W$14," ")</f>
        <v xml:space="preserve"> </v>
      </c>
      <c r="H78" s="504" t="str">
        <f>IFERROR('GCM_Purlin 1.0'!AZ78*$W$14," ")</f>
        <v xml:space="preserve"> </v>
      </c>
      <c r="I78" s="504" t="str">
        <f>IFERROR('GCM_Purlin 1.0'!BA78*$W$14," ")</f>
        <v xml:space="preserve"> </v>
      </c>
      <c r="J78" s="504" t="str">
        <f>IFERROR('GCM_Purlin 1.0'!BB78*$W$14," ")</f>
        <v xml:space="preserve"> </v>
      </c>
      <c r="K78" s="504" t="str">
        <f>IFERROR('GCM_Purlin 1.0'!BC78*$W$14," ")</f>
        <v xml:space="preserve"> </v>
      </c>
      <c r="L78" s="504" t="str">
        <f>IFERROR('GCM_Purlin 1.0'!BD78*$W$14," ")</f>
        <v xml:space="preserve"> </v>
      </c>
      <c r="M78" s="504" t="str">
        <f>IFERROR('GCM_Purlin 1.0'!BE78*$W$14," ")</f>
        <v xml:space="preserve"> </v>
      </c>
      <c r="N78" s="504" t="str">
        <f>IFERROR('GCM_Purlin 1.0'!BF78*$W$14," ")</f>
        <v xml:space="preserve"> </v>
      </c>
      <c r="O78" s="504" t="str">
        <f>IFERROR('GCM_Purlin 1.0'!BG78*$W$14," ")</f>
        <v xml:space="preserve"> </v>
      </c>
      <c r="P78" s="504" t="str">
        <f>IFERROR('GCM_Purlin 1.0'!BH78*$W$14," ")</f>
        <v xml:space="preserve"> </v>
      </c>
      <c r="Q78" s="504" t="str">
        <f>IFERROR('GCM_Purlin 1.0'!BI78*$W$14," ")</f>
        <v xml:space="preserve"> </v>
      </c>
      <c r="R78" s="504" t="str">
        <f>IFERROR('GCM_Purlin 1.0'!BJ78*$W$14," ")</f>
        <v xml:space="preserve"> </v>
      </c>
      <c r="S78" s="505" t="str">
        <f>IFERROR('GCM_Purlin 1.0'!BK78*$W$14," ")</f>
        <v xml:space="preserve"> </v>
      </c>
      <c r="T78" s="476"/>
    </row>
    <row r="79" spans="1:62" x14ac:dyDescent="0.25">
      <c r="A79" s="671">
        <v>4</v>
      </c>
      <c r="B79" s="555"/>
      <c r="C79" s="519" t="str">
        <f>'GCM_Purlin 1.0'!AU79</f>
        <v>GCN1</v>
      </c>
      <c r="D79" s="513" t="str">
        <f>IFERROR('GCM_Purlin 1.0'!AV79*$W$18," ")</f>
        <v xml:space="preserve"> </v>
      </c>
      <c r="E79" s="482" t="str">
        <f>IFERROR('GCM_Purlin 1.0'!AW79*$W$18," ")</f>
        <v xml:space="preserve"> </v>
      </c>
      <c r="F79" s="482" t="str">
        <f>IFERROR('GCM_Purlin 1.0'!AX79*$W$18," ")</f>
        <v xml:space="preserve"> </v>
      </c>
      <c r="G79" s="482" t="str">
        <f>IFERROR('GCM_Purlin 1.0'!AY79*$W$18," ")</f>
        <v xml:space="preserve"> </v>
      </c>
      <c r="H79" s="482" t="str">
        <f>IFERROR('GCM_Purlin 1.0'!AZ79*$W$18," ")</f>
        <v xml:space="preserve"> </v>
      </c>
      <c r="I79" s="482" t="str">
        <f>IFERROR('GCM_Purlin 1.0'!BA79*$W$18," ")</f>
        <v xml:space="preserve"> </v>
      </c>
      <c r="J79" s="482" t="str">
        <f>IFERROR('GCM_Purlin 1.0'!BB79*$W$18," ")</f>
        <v xml:space="preserve"> </v>
      </c>
      <c r="K79" s="482" t="str">
        <f>IFERROR('GCM_Purlin 1.0'!BC79*$W$18," ")</f>
        <v xml:space="preserve"> </v>
      </c>
      <c r="L79" s="482" t="str">
        <f>IFERROR('GCM_Purlin 1.0'!BD79*$W$18," ")</f>
        <v xml:space="preserve"> </v>
      </c>
      <c r="M79" s="482" t="str">
        <f>IFERROR('GCM_Purlin 1.0'!BE79*$W$18," ")</f>
        <v xml:space="preserve"> </v>
      </c>
      <c r="N79" s="482" t="str">
        <f>IFERROR('GCM_Purlin 1.0'!BF79*$W$18," ")</f>
        <v xml:space="preserve"> </v>
      </c>
      <c r="O79" s="482" t="str">
        <f>IFERROR('GCM_Purlin 1.0'!BG79*$W$18," ")</f>
        <v xml:space="preserve"> </v>
      </c>
      <c r="P79" s="482" t="str">
        <f>IFERROR('GCM_Purlin 1.0'!BH79*$W$18," ")</f>
        <v xml:space="preserve"> </v>
      </c>
      <c r="Q79" s="482" t="str">
        <f>IFERROR('GCM_Purlin 1.0'!BI79*$W$18," ")</f>
        <v xml:space="preserve"> </v>
      </c>
      <c r="R79" s="482" t="str">
        <f>IFERROR('GCM_Purlin 1.0'!BJ79*$W$18," ")</f>
        <v xml:space="preserve"> </v>
      </c>
      <c r="S79" s="483" t="str">
        <f>IFERROR('GCM_Purlin 1.0'!BK79*$W$18," ")</f>
        <v xml:space="preserve"> </v>
      </c>
      <c r="T79" s="476"/>
    </row>
    <row r="80" spans="1:62" x14ac:dyDescent="0.25">
      <c r="A80" s="604"/>
      <c r="B80" s="555"/>
      <c r="C80" s="520" t="str">
        <f>'GCM_Purlin 1.0'!AU80</f>
        <v>GCN2</v>
      </c>
      <c r="D80" s="514" t="str">
        <f>IFERROR('GCM_Purlin 1.0'!AV80*$W$18," ")</f>
        <v xml:space="preserve"> </v>
      </c>
      <c r="E80" s="476" t="str">
        <f>IFERROR('GCM_Purlin 1.0'!AW80*$W$18," ")</f>
        <v xml:space="preserve"> </v>
      </c>
      <c r="F80" s="476" t="str">
        <f>IFERROR('GCM_Purlin 1.0'!AX80*$W$18," ")</f>
        <v xml:space="preserve"> </v>
      </c>
      <c r="G80" s="476" t="str">
        <f>IFERROR('GCM_Purlin 1.0'!AY80*$W$18," ")</f>
        <v xml:space="preserve"> </v>
      </c>
      <c r="H80" s="476" t="str">
        <f>IFERROR('GCM_Purlin 1.0'!AZ80*$W$18," ")</f>
        <v xml:space="preserve"> </v>
      </c>
      <c r="I80" s="476" t="str">
        <f>IFERROR('GCM_Purlin 1.0'!BA80*$W$18," ")</f>
        <v xml:space="preserve"> </v>
      </c>
      <c r="J80" s="476" t="str">
        <f>IFERROR('GCM_Purlin 1.0'!BB80*$W$18," ")</f>
        <v xml:space="preserve"> </v>
      </c>
      <c r="K80" s="476" t="str">
        <f>IFERROR('GCM_Purlin 1.0'!BC80*$W$18," ")</f>
        <v xml:space="preserve"> </v>
      </c>
      <c r="L80" s="476" t="str">
        <f>IFERROR('GCM_Purlin 1.0'!BD80*$W$18," ")</f>
        <v xml:space="preserve"> </v>
      </c>
      <c r="M80" s="476" t="str">
        <f>IFERROR('GCM_Purlin 1.0'!BE80*$W$18," ")</f>
        <v xml:space="preserve"> </v>
      </c>
      <c r="N80" s="476" t="str">
        <f>IFERROR('GCM_Purlin 1.0'!BF80*$W$18," ")</f>
        <v xml:space="preserve"> </v>
      </c>
      <c r="O80" s="476" t="str">
        <f>IFERROR('GCM_Purlin 1.0'!BG80*$W$18," ")</f>
        <v xml:space="preserve"> </v>
      </c>
      <c r="P80" s="476" t="str">
        <f>IFERROR('GCM_Purlin 1.0'!BH80*$W$18," ")</f>
        <v xml:space="preserve"> </v>
      </c>
      <c r="Q80" s="476" t="str">
        <f>IFERROR('GCM_Purlin 1.0'!BI80*$W$18," ")</f>
        <v xml:space="preserve"> </v>
      </c>
      <c r="R80" s="476" t="str">
        <f>IFERROR('GCM_Purlin 1.0'!BJ80*$W$18," ")</f>
        <v xml:space="preserve"> </v>
      </c>
      <c r="S80" s="495" t="str">
        <f>IFERROR('GCM_Purlin 1.0'!BK80*$W$18," ")</f>
        <v xml:space="preserve"> </v>
      </c>
      <c r="T80" s="476"/>
    </row>
    <row r="81" spans="1:20" x14ac:dyDescent="0.25">
      <c r="A81" s="604"/>
      <c r="B81" s="555"/>
      <c r="C81" s="520" t="str">
        <f>'GCM_Purlin 1.0'!AU81</f>
        <v>GCN3</v>
      </c>
      <c r="D81" s="514" t="str">
        <f>IFERROR('GCM_Purlin 1.0'!AV81*$W$18," ")</f>
        <v xml:space="preserve"> </v>
      </c>
      <c r="E81" s="476" t="str">
        <f>IFERROR('GCM_Purlin 1.0'!AW81*$W$18," ")</f>
        <v xml:space="preserve"> </v>
      </c>
      <c r="F81" s="476" t="str">
        <f>IFERROR('GCM_Purlin 1.0'!AX81*$W$18," ")</f>
        <v xml:space="preserve"> </v>
      </c>
      <c r="G81" s="476" t="str">
        <f>IFERROR('GCM_Purlin 1.0'!AY81*$W$18," ")</f>
        <v xml:space="preserve"> </v>
      </c>
      <c r="H81" s="476" t="str">
        <f>IFERROR('GCM_Purlin 1.0'!AZ81*$W$18," ")</f>
        <v xml:space="preserve"> </v>
      </c>
      <c r="I81" s="476" t="str">
        <f>IFERROR('GCM_Purlin 1.0'!BA81*$W$18," ")</f>
        <v xml:space="preserve"> </v>
      </c>
      <c r="J81" s="476" t="str">
        <f>IFERROR('GCM_Purlin 1.0'!BB81*$W$18," ")</f>
        <v xml:space="preserve"> </v>
      </c>
      <c r="K81" s="476" t="str">
        <f>IFERROR('GCM_Purlin 1.0'!BC81*$W$18," ")</f>
        <v xml:space="preserve"> </v>
      </c>
      <c r="L81" s="476" t="str">
        <f>IFERROR('GCM_Purlin 1.0'!BD81*$W$18," ")</f>
        <v xml:space="preserve"> </v>
      </c>
      <c r="M81" s="476" t="str">
        <f>IFERROR('GCM_Purlin 1.0'!BE81*$W$18," ")</f>
        <v xml:space="preserve"> </v>
      </c>
      <c r="N81" s="476" t="str">
        <f>IFERROR('GCM_Purlin 1.0'!BF81*$W$18," ")</f>
        <v xml:space="preserve"> </v>
      </c>
      <c r="O81" s="476" t="str">
        <f>IFERROR('GCM_Purlin 1.0'!BG81*$W$18," ")</f>
        <v xml:space="preserve"> </v>
      </c>
      <c r="P81" s="476" t="str">
        <f>IFERROR('GCM_Purlin 1.0'!BH81*$W$18," ")</f>
        <v xml:space="preserve"> </v>
      </c>
      <c r="Q81" s="476" t="str">
        <f>IFERROR('GCM_Purlin 1.0'!BI81*$W$18," ")</f>
        <v xml:space="preserve"> </v>
      </c>
      <c r="R81" s="476" t="str">
        <f>IFERROR('GCM_Purlin 1.0'!BJ81*$W$18," ")</f>
        <v xml:space="preserve"> </v>
      </c>
      <c r="S81" s="495" t="str">
        <f>IFERROR('GCM_Purlin 1.0'!BK81*$W$18," ")</f>
        <v xml:space="preserve"> </v>
      </c>
      <c r="T81" s="476"/>
    </row>
    <row r="82" spans="1:20" ht="15.75" customHeight="1" thickBot="1" x14ac:dyDescent="0.3">
      <c r="A82" s="604"/>
      <c r="B82" s="555"/>
      <c r="C82" s="521" t="str">
        <f>'GCM_Purlin 1.0'!AU82</f>
        <v>GCN4</v>
      </c>
      <c r="D82" s="515" t="str">
        <f>IFERROR('GCM_Purlin 1.0'!AV82*$W$18," ")</f>
        <v xml:space="preserve"> </v>
      </c>
      <c r="E82" s="504" t="str">
        <f>IFERROR('GCM_Purlin 1.0'!AW82*$W$18," ")</f>
        <v xml:space="preserve"> </v>
      </c>
      <c r="F82" s="504" t="str">
        <f>IFERROR('GCM_Purlin 1.0'!AX82*$W$18," ")</f>
        <v xml:space="preserve"> </v>
      </c>
      <c r="G82" s="504" t="str">
        <f>IFERROR('GCM_Purlin 1.0'!AY82*$W$18," ")</f>
        <v xml:space="preserve"> </v>
      </c>
      <c r="H82" s="504" t="str">
        <f>IFERROR('GCM_Purlin 1.0'!AZ82*$W$18," ")</f>
        <v xml:space="preserve"> </v>
      </c>
      <c r="I82" s="504" t="str">
        <f>IFERROR('GCM_Purlin 1.0'!BA82*$W$18," ")</f>
        <v xml:space="preserve"> </v>
      </c>
      <c r="J82" s="504" t="str">
        <f>IFERROR('GCM_Purlin 1.0'!BB82*$W$18," ")</f>
        <v xml:space="preserve"> </v>
      </c>
      <c r="K82" s="504" t="str">
        <f>IFERROR('GCM_Purlin 1.0'!BC82*$W$18," ")</f>
        <v xml:space="preserve"> </v>
      </c>
      <c r="L82" s="504" t="str">
        <f>IFERROR('GCM_Purlin 1.0'!BD82*$W$18," ")</f>
        <v xml:space="preserve"> </v>
      </c>
      <c r="M82" s="504" t="str">
        <f>IFERROR('GCM_Purlin 1.0'!BE82*$W$18," ")</f>
        <v xml:space="preserve"> </v>
      </c>
      <c r="N82" s="504" t="str">
        <f>IFERROR('GCM_Purlin 1.0'!BF82*$W$18," ")</f>
        <v xml:space="preserve"> </v>
      </c>
      <c r="O82" s="504" t="str">
        <f>IFERROR('GCM_Purlin 1.0'!BG82*$W$18," ")</f>
        <v xml:space="preserve"> </v>
      </c>
      <c r="P82" s="504" t="str">
        <f>IFERROR('GCM_Purlin 1.0'!BH82*$W$18," ")</f>
        <v xml:space="preserve"> </v>
      </c>
      <c r="Q82" s="504" t="str">
        <f>IFERROR('GCM_Purlin 1.0'!BI82*$W$18," ")</f>
        <v xml:space="preserve"> </v>
      </c>
      <c r="R82" s="504" t="str">
        <f>IFERROR('GCM_Purlin 1.0'!BJ82*$W$18," ")</f>
        <v xml:space="preserve"> </v>
      </c>
      <c r="S82" s="505" t="str">
        <f>IFERROR('GCM_Purlin 1.0'!BK82*$W$18," ")</f>
        <v xml:space="preserve"> </v>
      </c>
      <c r="T82" s="476"/>
    </row>
    <row r="83" spans="1:20" x14ac:dyDescent="0.25">
      <c r="A83" s="687">
        <v>5</v>
      </c>
      <c r="B83" s="555"/>
      <c r="C83" s="519" t="str">
        <f>'GCM_Purlin 1.0'!AU83</f>
        <v>GCN1</v>
      </c>
      <c r="D83" s="513" t="str">
        <f>IFERROR('GCM_Purlin 1.0'!AV83*$W$22," ")</f>
        <v xml:space="preserve"> </v>
      </c>
      <c r="E83" s="482" t="str">
        <f>IFERROR('GCM_Purlin 1.0'!AW83*$W$22," ")</f>
        <v xml:space="preserve"> </v>
      </c>
      <c r="F83" s="482" t="str">
        <f>IFERROR('GCM_Purlin 1.0'!AX83*$W$22," ")</f>
        <v xml:space="preserve"> </v>
      </c>
      <c r="G83" s="482" t="str">
        <f>IFERROR('GCM_Purlin 1.0'!AY83*$W$22," ")</f>
        <v xml:space="preserve"> </v>
      </c>
      <c r="H83" s="482" t="str">
        <f>IFERROR('GCM_Purlin 1.0'!AZ83*$W$22," ")</f>
        <v xml:space="preserve"> </v>
      </c>
      <c r="I83" s="482" t="str">
        <f>IFERROR('GCM_Purlin 1.0'!BA83*$W$22," ")</f>
        <v xml:space="preserve"> </v>
      </c>
      <c r="J83" s="482" t="str">
        <f>IFERROR('GCM_Purlin 1.0'!BB83*$W$22," ")</f>
        <v xml:space="preserve"> </v>
      </c>
      <c r="K83" s="482" t="str">
        <f>IFERROR('GCM_Purlin 1.0'!BC83*$W$22," ")</f>
        <v xml:space="preserve"> </v>
      </c>
      <c r="L83" s="482" t="str">
        <f>IFERROR('GCM_Purlin 1.0'!BD83*$W$22," ")</f>
        <v xml:space="preserve"> </v>
      </c>
      <c r="M83" s="482" t="str">
        <f>IFERROR('GCM_Purlin 1.0'!BE83*$W$22," ")</f>
        <v xml:space="preserve"> </v>
      </c>
      <c r="N83" s="482" t="str">
        <f>IFERROR('GCM_Purlin 1.0'!BF83*$W$22," ")</f>
        <v xml:space="preserve"> </v>
      </c>
      <c r="O83" s="482" t="str">
        <f>IFERROR('GCM_Purlin 1.0'!BG83*$W$22," ")</f>
        <v xml:space="preserve"> </v>
      </c>
      <c r="P83" s="482" t="str">
        <f>IFERROR('GCM_Purlin 1.0'!BH83*$W$22," ")</f>
        <v xml:space="preserve"> </v>
      </c>
      <c r="Q83" s="482" t="str">
        <f>IFERROR('GCM_Purlin 1.0'!BI83*$W$22," ")</f>
        <v xml:space="preserve"> </v>
      </c>
      <c r="R83" s="482" t="str">
        <f>IFERROR('GCM_Purlin 1.0'!BJ83*$W$22," ")</f>
        <v xml:space="preserve"> </v>
      </c>
      <c r="S83" s="483" t="str">
        <f>IFERROR('GCM_Purlin 1.0'!BK83*$W$22," ")</f>
        <v xml:space="preserve"> </v>
      </c>
      <c r="T83" s="476"/>
    </row>
    <row r="84" spans="1:20" x14ac:dyDescent="0.25">
      <c r="A84" s="604"/>
      <c r="B84" s="555"/>
      <c r="C84" s="520" t="str">
        <f>'GCM_Purlin 1.0'!AU84</f>
        <v>GCN2</v>
      </c>
      <c r="D84" s="514" t="str">
        <f>IFERROR('GCM_Purlin 1.0'!AV84*$W$22," ")</f>
        <v xml:space="preserve"> </v>
      </c>
      <c r="E84" s="476" t="str">
        <f>IFERROR('GCM_Purlin 1.0'!AW84*$W$22," ")</f>
        <v xml:space="preserve"> </v>
      </c>
      <c r="F84" s="476" t="str">
        <f>IFERROR('GCM_Purlin 1.0'!AX84*$W$22," ")</f>
        <v xml:space="preserve"> </v>
      </c>
      <c r="G84" s="476" t="str">
        <f>IFERROR('GCM_Purlin 1.0'!AY84*$W$22," ")</f>
        <v xml:space="preserve"> </v>
      </c>
      <c r="H84" s="476" t="str">
        <f>IFERROR('GCM_Purlin 1.0'!AZ84*$W$22," ")</f>
        <v xml:space="preserve"> </v>
      </c>
      <c r="I84" s="476" t="str">
        <f>IFERROR('GCM_Purlin 1.0'!BA84*$W$22," ")</f>
        <v xml:space="preserve"> </v>
      </c>
      <c r="J84" s="476" t="str">
        <f>IFERROR('GCM_Purlin 1.0'!BB84*$W$22," ")</f>
        <v xml:space="preserve"> </v>
      </c>
      <c r="K84" s="476" t="str">
        <f>IFERROR('GCM_Purlin 1.0'!BC84*$W$22," ")</f>
        <v xml:space="preserve"> </v>
      </c>
      <c r="L84" s="476" t="str">
        <f>IFERROR('GCM_Purlin 1.0'!BD84*$W$22," ")</f>
        <v xml:space="preserve"> </v>
      </c>
      <c r="M84" s="476" t="str">
        <f>IFERROR('GCM_Purlin 1.0'!BE84*$W$22," ")</f>
        <v xml:space="preserve"> </v>
      </c>
      <c r="N84" s="476" t="str">
        <f>IFERROR('GCM_Purlin 1.0'!BF84*$W$22," ")</f>
        <v xml:space="preserve"> </v>
      </c>
      <c r="O84" s="476" t="str">
        <f>IFERROR('GCM_Purlin 1.0'!BG84*$W$22," ")</f>
        <v xml:space="preserve"> </v>
      </c>
      <c r="P84" s="476" t="str">
        <f>IFERROR('GCM_Purlin 1.0'!BH84*$W$22," ")</f>
        <v xml:space="preserve"> </v>
      </c>
      <c r="Q84" s="476" t="str">
        <f>IFERROR('GCM_Purlin 1.0'!BI84*$W$22," ")</f>
        <v xml:space="preserve"> </v>
      </c>
      <c r="R84" s="476" t="str">
        <f>IFERROR('GCM_Purlin 1.0'!BJ84*$W$22," ")</f>
        <v xml:space="preserve"> </v>
      </c>
      <c r="S84" s="495" t="str">
        <f>IFERROR('GCM_Purlin 1.0'!BK84*$W$22," ")</f>
        <v xml:space="preserve"> </v>
      </c>
      <c r="T84" s="476"/>
    </row>
    <row r="85" spans="1:20" x14ac:dyDescent="0.25">
      <c r="A85" s="604"/>
      <c r="B85" s="555"/>
      <c r="C85" s="520" t="str">
        <f>'GCM_Purlin 1.0'!AU85</f>
        <v>GCN3</v>
      </c>
      <c r="D85" s="514" t="str">
        <f>IFERROR('GCM_Purlin 1.0'!AV85*$W$22," ")</f>
        <v xml:space="preserve"> </v>
      </c>
      <c r="E85" s="476" t="str">
        <f>IFERROR('GCM_Purlin 1.0'!AW85*$W$22," ")</f>
        <v xml:space="preserve"> </v>
      </c>
      <c r="F85" s="476" t="str">
        <f>IFERROR('GCM_Purlin 1.0'!AX85*$W$22," ")</f>
        <v xml:space="preserve"> </v>
      </c>
      <c r="G85" s="476" t="str">
        <f>IFERROR('GCM_Purlin 1.0'!AY85*$W$22," ")</f>
        <v xml:space="preserve"> </v>
      </c>
      <c r="H85" s="476" t="str">
        <f>IFERROR('GCM_Purlin 1.0'!AZ85*$W$22," ")</f>
        <v xml:space="preserve"> </v>
      </c>
      <c r="I85" s="476" t="str">
        <f>IFERROR('GCM_Purlin 1.0'!BA85*$W$22," ")</f>
        <v xml:space="preserve"> </v>
      </c>
      <c r="J85" s="476" t="str">
        <f>IFERROR('GCM_Purlin 1.0'!BB85*$W$22," ")</f>
        <v xml:space="preserve"> </v>
      </c>
      <c r="K85" s="476" t="str">
        <f>IFERROR('GCM_Purlin 1.0'!BC85*$W$22," ")</f>
        <v xml:space="preserve"> </v>
      </c>
      <c r="L85" s="476" t="str">
        <f>IFERROR('GCM_Purlin 1.0'!BD85*$W$22," ")</f>
        <v xml:space="preserve"> </v>
      </c>
      <c r="M85" s="476" t="str">
        <f>IFERROR('GCM_Purlin 1.0'!BE85*$W$22," ")</f>
        <v xml:space="preserve"> </v>
      </c>
      <c r="N85" s="476" t="str">
        <f>IFERROR('GCM_Purlin 1.0'!BF85*$W$22," ")</f>
        <v xml:space="preserve"> </v>
      </c>
      <c r="O85" s="476" t="str">
        <f>IFERROR('GCM_Purlin 1.0'!BG85*$W$22," ")</f>
        <v xml:space="preserve"> </v>
      </c>
      <c r="P85" s="476" t="str">
        <f>IFERROR('GCM_Purlin 1.0'!BH85*$W$22," ")</f>
        <v xml:space="preserve"> </v>
      </c>
      <c r="Q85" s="476" t="str">
        <f>IFERROR('GCM_Purlin 1.0'!BI85*$W$22," ")</f>
        <v xml:space="preserve"> </v>
      </c>
      <c r="R85" s="476" t="str">
        <f>IFERROR('GCM_Purlin 1.0'!BJ85*$W$22," ")</f>
        <v xml:space="preserve"> </v>
      </c>
      <c r="S85" s="495" t="str">
        <f>IFERROR('GCM_Purlin 1.0'!BK85*$W$22," ")</f>
        <v xml:space="preserve"> </v>
      </c>
      <c r="T85" s="476"/>
    </row>
    <row r="86" spans="1:20" ht="15.75" customHeight="1" thickBot="1" x14ac:dyDescent="0.3">
      <c r="A86" s="605"/>
      <c r="B86" s="703"/>
      <c r="C86" s="521" t="str">
        <f>'GCM_Purlin 1.0'!AU86</f>
        <v>GCN4</v>
      </c>
      <c r="D86" s="515" t="str">
        <f>IFERROR('GCM_Purlin 1.0'!AV86*$W$22," ")</f>
        <v xml:space="preserve"> </v>
      </c>
      <c r="E86" s="504" t="str">
        <f>IFERROR('GCM_Purlin 1.0'!AW86*$W$22," ")</f>
        <v xml:space="preserve"> </v>
      </c>
      <c r="F86" s="504" t="str">
        <f>IFERROR('GCM_Purlin 1.0'!AX86*$W$22," ")</f>
        <v xml:space="preserve"> </v>
      </c>
      <c r="G86" s="504" t="str">
        <f>IFERROR('GCM_Purlin 1.0'!AY86*$W$22," ")</f>
        <v xml:space="preserve"> </v>
      </c>
      <c r="H86" s="504" t="str">
        <f>IFERROR('GCM_Purlin 1.0'!AZ86*$W$22," ")</f>
        <v xml:space="preserve"> </v>
      </c>
      <c r="I86" s="504" t="str">
        <f>IFERROR('GCM_Purlin 1.0'!BA86*$W$22," ")</f>
        <v xml:space="preserve"> </v>
      </c>
      <c r="J86" s="504" t="str">
        <f>IFERROR('GCM_Purlin 1.0'!BB86*$W$22," ")</f>
        <v xml:space="preserve"> </v>
      </c>
      <c r="K86" s="504" t="str">
        <f>IFERROR('GCM_Purlin 1.0'!BC86*$W$22," ")</f>
        <v xml:space="preserve"> </v>
      </c>
      <c r="L86" s="504" t="str">
        <f>IFERROR('GCM_Purlin 1.0'!BD86*$W$22," ")</f>
        <v xml:space="preserve"> </v>
      </c>
      <c r="M86" s="504" t="str">
        <f>IFERROR('GCM_Purlin 1.0'!BE86*$W$22," ")</f>
        <v xml:space="preserve"> </v>
      </c>
      <c r="N86" s="504" t="str">
        <f>IFERROR('GCM_Purlin 1.0'!BF86*$W$22," ")</f>
        <v xml:space="preserve"> </v>
      </c>
      <c r="O86" s="504" t="str">
        <f>IFERROR('GCM_Purlin 1.0'!BG86*$W$22," ")</f>
        <v xml:space="preserve"> </v>
      </c>
      <c r="P86" s="504" t="str">
        <f>IFERROR('GCM_Purlin 1.0'!BH86*$W$22," ")</f>
        <v xml:space="preserve"> </v>
      </c>
      <c r="Q86" s="504" t="str">
        <f>IFERROR('GCM_Purlin 1.0'!BI86*$W$22," ")</f>
        <v xml:space="preserve"> </v>
      </c>
      <c r="R86" s="504" t="str">
        <f>IFERROR('GCM_Purlin 1.0'!BJ86*$W$22," ")</f>
        <v xml:space="preserve"> </v>
      </c>
      <c r="S86" s="505" t="str">
        <f>IFERROR('GCM_Purlin 1.0'!BK86*$W$22," ")</f>
        <v xml:space="preserve"> </v>
      </c>
      <c r="T86" s="476"/>
    </row>
    <row r="87" spans="1:20" x14ac:dyDescent="0.25">
      <c r="D87" s="476"/>
      <c r="E87" s="476"/>
      <c r="F87" s="476"/>
      <c r="G87" s="476"/>
      <c r="H87" s="476"/>
      <c r="I87" s="476"/>
      <c r="J87" s="476"/>
      <c r="K87" s="476"/>
      <c r="L87" s="476"/>
      <c r="M87" s="476"/>
      <c r="N87" s="476"/>
      <c r="O87" s="476"/>
      <c r="P87" s="476"/>
      <c r="Q87" s="476"/>
      <c r="R87" s="476"/>
      <c r="S87" s="476"/>
      <c r="T87" s="476"/>
    </row>
    <row r="88" spans="1:20" x14ac:dyDescent="0.25">
      <c r="D88" s="476"/>
      <c r="E88" s="476"/>
      <c r="F88" s="476"/>
      <c r="G88" s="476"/>
      <c r="H88" s="476"/>
      <c r="I88" s="476"/>
      <c r="J88" s="476"/>
      <c r="K88" s="476"/>
      <c r="L88" s="476"/>
      <c r="M88" s="476"/>
      <c r="N88" s="476"/>
      <c r="O88" s="476"/>
      <c r="P88" s="476"/>
      <c r="Q88" s="476"/>
      <c r="R88" s="476"/>
      <c r="S88" s="476"/>
      <c r="T88" s="476"/>
    </row>
    <row r="89" spans="1:20" x14ac:dyDescent="0.25">
      <c r="D89" s="476"/>
      <c r="E89" s="476"/>
      <c r="F89" s="476"/>
      <c r="G89" s="476"/>
      <c r="H89" s="476"/>
      <c r="I89" s="476"/>
      <c r="J89" s="476"/>
      <c r="K89" s="476"/>
      <c r="L89" s="476"/>
      <c r="M89" s="476"/>
      <c r="N89" s="476"/>
      <c r="O89" s="476"/>
      <c r="P89" s="476"/>
      <c r="Q89" s="476"/>
      <c r="R89" s="476"/>
      <c r="S89" s="476"/>
      <c r="T89" s="476"/>
    </row>
    <row r="90" spans="1:20" x14ac:dyDescent="0.25">
      <c r="D90" s="476"/>
      <c r="E90" s="476"/>
      <c r="F90" s="476"/>
      <c r="G90" s="476"/>
      <c r="H90" s="476"/>
      <c r="I90" s="476"/>
      <c r="J90" s="476"/>
      <c r="K90" s="476"/>
      <c r="L90" s="476"/>
      <c r="M90" s="476"/>
      <c r="N90" s="476"/>
      <c r="O90" s="476"/>
      <c r="P90" s="476"/>
      <c r="Q90" s="476"/>
      <c r="R90" s="476"/>
      <c r="S90" s="476"/>
      <c r="T90" s="476"/>
    </row>
    <row r="91" spans="1:20" x14ac:dyDescent="0.25">
      <c r="D91" s="476"/>
      <c r="E91" s="476"/>
      <c r="F91" s="476"/>
      <c r="G91" s="476"/>
      <c r="H91" s="476"/>
      <c r="I91" s="476"/>
      <c r="J91" s="476"/>
      <c r="K91" s="476"/>
      <c r="L91" s="476"/>
      <c r="M91" s="476"/>
      <c r="N91" s="476"/>
      <c r="O91" s="476"/>
      <c r="P91" s="476"/>
      <c r="Q91" s="476"/>
      <c r="R91" s="476"/>
      <c r="S91" s="476"/>
      <c r="T91" s="476"/>
    </row>
    <row r="92" spans="1:20" x14ac:dyDescent="0.25">
      <c r="D92" s="476"/>
      <c r="E92" s="476"/>
      <c r="F92" s="476"/>
      <c r="G92" s="476"/>
      <c r="H92" s="476"/>
      <c r="I92" s="476"/>
      <c r="J92" s="476"/>
      <c r="K92" s="476"/>
      <c r="L92" s="476"/>
      <c r="M92" s="476"/>
      <c r="N92" s="476"/>
      <c r="O92" s="476"/>
      <c r="P92" s="476"/>
      <c r="Q92" s="476"/>
      <c r="R92" s="476"/>
      <c r="S92" s="476"/>
      <c r="T92" s="476"/>
    </row>
    <row r="93" spans="1:20" x14ac:dyDescent="0.25">
      <c r="D93" s="476"/>
      <c r="E93" s="476"/>
      <c r="F93" s="476"/>
      <c r="G93" s="476"/>
      <c r="H93" s="476"/>
      <c r="I93" s="476"/>
      <c r="J93" s="476"/>
      <c r="K93" s="476"/>
      <c r="L93" s="476"/>
      <c r="M93" s="476"/>
      <c r="N93" s="476"/>
      <c r="O93" s="476"/>
      <c r="P93" s="476"/>
      <c r="Q93" s="476"/>
      <c r="R93" s="476"/>
      <c r="S93" s="476"/>
      <c r="T93" s="476"/>
    </row>
    <row r="94" spans="1:20" x14ac:dyDescent="0.25">
      <c r="D94" s="476"/>
      <c r="E94" s="476"/>
      <c r="F94" s="476"/>
      <c r="G94" s="476"/>
      <c r="H94" s="476"/>
      <c r="I94" s="476"/>
      <c r="J94" s="476"/>
      <c r="K94" s="476"/>
      <c r="L94" s="476"/>
      <c r="M94" s="476"/>
      <c r="N94" s="476"/>
      <c r="O94" s="476"/>
      <c r="P94" s="476"/>
      <c r="Q94" s="476"/>
      <c r="R94" s="476"/>
      <c r="S94" s="476"/>
      <c r="T94" s="476"/>
    </row>
    <row r="95" spans="1:20" x14ac:dyDescent="0.25">
      <c r="D95" s="476"/>
      <c r="E95" s="476"/>
      <c r="F95" s="476"/>
      <c r="G95" s="476"/>
      <c r="H95" s="476"/>
      <c r="I95" s="476"/>
      <c r="J95" s="476"/>
      <c r="K95" s="476"/>
      <c r="L95" s="476"/>
      <c r="M95" s="476"/>
      <c r="N95" s="476"/>
      <c r="O95" s="476"/>
      <c r="P95" s="476"/>
      <c r="Q95" s="476"/>
      <c r="R95" s="476"/>
      <c r="S95" s="476"/>
      <c r="T95" s="476"/>
    </row>
    <row r="96" spans="1:20" x14ac:dyDescent="0.25">
      <c r="D96" s="476"/>
      <c r="E96" s="476"/>
      <c r="F96" s="476"/>
      <c r="G96" s="476"/>
      <c r="H96" s="476"/>
      <c r="I96" s="476"/>
      <c r="J96" s="476"/>
      <c r="K96" s="476"/>
      <c r="L96" s="476"/>
      <c r="M96" s="476"/>
      <c r="N96" s="476"/>
      <c r="O96" s="476"/>
      <c r="P96" s="476"/>
      <c r="Q96" s="476"/>
      <c r="R96" s="476"/>
      <c r="S96" s="476"/>
      <c r="T96" s="476"/>
    </row>
    <row r="97" spans="4:20" x14ac:dyDescent="0.25">
      <c r="D97" s="476"/>
      <c r="E97" s="476"/>
      <c r="F97" s="476"/>
      <c r="G97" s="476"/>
      <c r="H97" s="476"/>
      <c r="I97" s="476"/>
      <c r="J97" s="476"/>
      <c r="K97" s="476"/>
      <c r="L97" s="476"/>
      <c r="M97" s="476"/>
      <c r="N97" s="476"/>
      <c r="O97" s="476"/>
      <c r="P97" s="476"/>
      <c r="Q97" s="476"/>
      <c r="R97" s="476"/>
      <c r="S97" s="476"/>
      <c r="T97" s="476"/>
    </row>
    <row r="98" spans="4:20" x14ac:dyDescent="0.25">
      <c r="D98" s="476"/>
      <c r="E98" s="476"/>
      <c r="F98" s="476"/>
      <c r="G98" s="476"/>
      <c r="H98" s="476"/>
      <c r="I98" s="476"/>
      <c r="J98" s="476"/>
      <c r="K98" s="476"/>
      <c r="L98" s="476"/>
      <c r="M98" s="476"/>
      <c r="N98" s="476"/>
      <c r="O98" s="476"/>
      <c r="P98" s="476"/>
      <c r="Q98" s="476"/>
      <c r="R98" s="476"/>
      <c r="S98" s="476"/>
      <c r="T98" s="476"/>
    </row>
    <row r="99" spans="4:20" x14ac:dyDescent="0.25">
      <c r="D99" s="476"/>
      <c r="E99" s="476"/>
      <c r="F99" s="476"/>
      <c r="G99" s="476"/>
      <c r="H99" s="476"/>
      <c r="I99" s="476"/>
      <c r="J99" s="476"/>
      <c r="K99" s="476"/>
      <c r="L99" s="476"/>
      <c r="M99" s="476"/>
      <c r="N99" s="476"/>
      <c r="O99" s="476"/>
      <c r="P99" s="476"/>
      <c r="Q99" s="476"/>
      <c r="R99" s="476"/>
      <c r="S99" s="476"/>
      <c r="T99" s="476"/>
    </row>
    <row r="100" spans="4:20" x14ac:dyDescent="0.25">
      <c r="D100" s="476"/>
      <c r="E100" s="476"/>
      <c r="F100" s="476"/>
      <c r="G100" s="476"/>
      <c r="H100" s="476"/>
      <c r="I100" s="476"/>
      <c r="J100" s="476"/>
      <c r="K100" s="476"/>
      <c r="L100" s="476"/>
      <c r="M100" s="476"/>
      <c r="N100" s="476"/>
      <c r="O100" s="476"/>
      <c r="P100" s="476"/>
      <c r="Q100" s="476"/>
      <c r="R100" s="476"/>
      <c r="S100" s="476"/>
      <c r="T100" s="476"/>
    </row>
    <row r="101" spans="4:20" x14ac:dyDescent="0.25">
      <c r="D101" s="476"/>
      <c r="E101" s="476"/>
      <c r="F101" s="476"/>
      <c r="G101" s="476"/>
      <c r="H101" s="476"/>
      <c r="I101" s="476"/>
      <c r="J101" s="476"/>
      <c r="K101" s="476"/>
      <c r="L101" s="476"/>
      <c r="M101" s="476"/>
      <c r="N101" s="476"/>
      <c r="O101" s="476"/>
      <c r="P101" s="476"/>
      <c r="Q101" s="476"/>
      <c r="R101" s="476"/>
      <c r="S101" s="476"/>
      <c r="T101" s="476"/>
    </row>
    <row r="102" spans="4:20" x14ac:dyDescent="0.25">
      <c r="D102" s="476"/>
      <c r="E102" s="476"/>
      <c r="F102" s="476"/>
      <c r="G102" s="476"/>
      <c r="H102" s="476"/>
      <c r="I102" s="476"/>
      <c r="J102" s="476"/>
      <c r="K102" s="476"/>
      <c r="L102" s="476"/>
      <c r="M102" s="476"/>
      <c r="N102" s="476"/>
      <c r="O102" s="476"/>
      <c r="P102" s="476"/>
      <c r="Q102" s="476"/>
      <c r="R102" s="476"/>
      <c r="S102" s="476"/>
      <c r="T102" s="476"/>
    </row>
    <row r="103" spans="4:20" x14ac:dyDescent="0.25">
      <c r="D103" s="476"/>
      <c r="E103" s="476"/>
      <c r="F103" s="476"/>
      <c r="G103" s="476"/>
      <c r="H103" s="476"/>
      <c r="I103" s="476"/>
      <c r="J103" s="476"/>
      <c r="K103" s="476"/>
      <c r="L103" s="476"/>
      <c r="M103" s="476"/>
      <c r="N103" s="476"/>
      <c r="O103" s="476"/>
      <c r="P103" s="476"/>
      <c r="Q103" s="476"/>
      <c r="R103" s="476"/>
      <c r="S103" s="476"/>
      <c r="T103" s="476"/>
    </row>
    <row r="104" spans="4:20" x14ac:dyDescent="0.25">
      <c r="D104" s="476"/>
      <c r="E104" s="476"/>
      <c r="F104" s="476"/>
      <c r="G104" s="476"/>
      <c r="H104" s="476"/>
      <c r="I104" s="476"/>
      <c r="J104" s="476"/>
      <c r="K104" s="476"/>
      <c r="L104" s="476"/>
      <c r="M104" s="476"/>
      <c r="N104" s="476"/>
      <c r="O104" s="476"/>
      <c r="P104" s="476"/>
      <c r="Q104" s="476"/>
      <c r="R104" s="476"/>
      <c r="S104" s="476"/>
      <c r="T104" s="476"/>
    </row>
    <row r="105" spans="4:20" x14ac:dyDescent="0.25">
      <c r="D105" s="476"/>
      <c r="E105" s="476"/>
      <c r="F105" s="476"/>
      <c r="G105" s="476"/>
      <c r="H105" s="476"/>
      <c r="I105" s="476"/>
      <c r="J105" s="476"/>
      <c r="K105" s="476"/>
      <c r="L105" s="476"/>
      <c r="M105" s="476"/>
      <c r="N105" s="476"/>
      <c r="O105" s="476"/>
      <c r="P105" s="476"/>
      <c r="Q105" s="476"/>
      <c r="R105" s="476"/>
      <c r="S105" s="476"/>
      <c r="T105" s="476"/>
    </row>
    <row r="106" spans="4:20" x14ac:dyDescent="0.25">
      <c r="D106" s="476"/>
      <c r="E106" s="476"/>
      <c r="F106" s="476"/>
      <c r="G106" s="476"/>
      <c r="H106" s="476"/>
      <c r="I106" s="476"/>
      <c r="J106" s="476"/>
      <c r="K106" s="476"/>
      <c r="L106" s="476"/>
      <c r="M106" s="476"/>
      <c r="N106" s="476"/>
      <c r="O106" s="476"/>
      <c r="P106" s="476"/>
      <c r="Q106" s="476"/>
      <c r="R106" s="476"/>
      <c r="S106" s="476"/>
      <c r="T106" s="476"/>
    </row>
    <row r="107" spans="4:20" x14ac:dyDescent="0.25">
      <c r="D107" s="476"/>
      <c r="E107" s="476"/>
      <c r="F107" s="476"/>
      <c r="G107" s="476"/>
      <c r="H107" s="476"/>
      <c r="I107" s="476"/>
      <c r="J107" s="476"/>
      <c r="K107" s="476"/>
      <c r="L107" s="476"/>
      <c r="M107" s="476"/>
      <c r="N107" s="476"/>
      <c r="O107" s="476"/>
      <c r="P107" s="476"/>
      <c r="Q107" s="476"/>
      <c r="R107" s="476"/>
      <c r="S107" s="476"/>
      <c r="T107" s="476"/>
    </row>
    <row r="108" spans="4:20" x14ac:dyDescent="0.25">
      <c r="D108" s="476"/>
      <c r="E108" s="476"/>
      <c r="F108" s="476"/>
      <c r="G108" s="476"/>
      <c r="H108" s="476"/>
      <c r="I108" s="476"/>
      <c r="J108" s="476"/>
      <c r="K108" s="476"/>
      <c r="L108" s="476"/>
      <c r="M108" s="476"/>
      <c r="N108" s="476"/>
      <c r="O108" s="476"/>
      <c r="P108" s="476"/>
      <c r="Q108" s="476"/>
      <c r="R108" s="476"/>
      <c r="S108" s="476"/>
      <c r="T108" s="476"/>
    </row>
    <row r="109" spans="4:20" x14ac:dyDescent="0.25">
      <c r="D109" s="476"/>
      <c r="E109" s="476"/>
      <c r="F109" s="476"/>
      <c r="G109" s="476"/>
      <c r="H109" s="476"/>
      <c r="I109" s="476"/>
      <c r="J109" s="476"/>
      <c r="K109" s="476"/>
      <c r="L109" s="476"/>
      <c r="M109" s="476"/>
      <c r="N109" s="476"/>
      <c r="O109" s="476"/>
      <c r="P109" s="476"/>
      <c r="Q109" s="476"/>
      <c r="R109" s="476"/>
      <c r="S109" s="476"/>
      <c r="T109" s="476"/>
    </row>
    <row r="110" spans="4:20" x14ac:dyDescent="0.25">
      <c r="D110" s="476"/>
      <c r="E110" s="476"/>
      <c r="F110" s="476"/>
      <c r="G110" s="476"/>
      <c r="H110" s="476"/>
      <c r="I110" s="476"/>
      <c r="J110" s="476"/>
      <c r="K110" s="476"/>
      <c r="L110" s="476"/>
      <c r="M110" s="476"/>
      <c r="N110" s="476"/>
      <c r="O110" s="476"/>
      <c r="P110" s="476"/>
      <c r="Q110" s="476"/>
      <c r="R110" s="476"/>
      <c r="S110" s="476"/>
      <c r="T110" s="476"/>
    </row>
    <row r="111" spans="4:20" x14ac:dyDescent="0.25">
      <c r="D111" s="476"/>
      <c r="E111" s="476"/>
      <c r="F111" s="476"/>
      <c r="G111" s="476"/>
      <c r="H111" s="476"/>
      <c r="I111" s="476"/>
      <c r="J111" s="476"/>
      <c r="K111" s="476"/>
      <c r="L111" s="476"/>
      <c r="M111" s="476"/>
      <c r="N111" s="476"/>
      <c r="O111" s="476"/>
      <c r="P111" s="476"/>
      <c r="Q111" s="476"/>
      <c r="R111" s="476"/>
      <c r="S111" s="476"/>
      <c r="T111" s="476"/>
    </row>
    <row r="112" spans="4:20" x14ac:dyDescent="0.25">
      <c r="D112" s="476"/>
      <c r="E112" s="476"/>
      <c r="F112" s="476"/>
      <c r="G112" s="476"/>
      <c r="H112" s="476"/>
      <c r="I112" s="476"/>
      <c r="J112" s="476"/>
      <c r="K112" s="476"/>
      <c r="L112" s="476"/>
      <c r="M112" s="476"/>
      <c r="N112" s="476"/>
      <c r="O112" s="476"/>
      <c r="P112" s="476"/>
      <c r="Q112" s="476"/>
      <c r="R112" s="476"/>
      <c r="S112" s="476"/>
      <c r="T112" s="476"/>
    </row>
    <row r="113" spans="4:20" x14ac:dyDescent="0.25">
      <c r="D113" s="476"/>
      <c r="E113" s="476"/>
      <c r="F113" s="476"/>
      <c r="G113" s="476"/>
      <c r="H113" s="476"/>
      <c r="I113" s="476"/>
      <c r="J113" s="476"/>
      <c r="K113" s="476"/>
      <c r="L113" s="476"/>
      <c r="M113" s="476"/>
      <c r="N113" s="476"/>
      <c r="O113" s="476"/>
      <c r="P113" s="476"/>
      <c r="Q113" s="476"/>
      <c r="R113" s="476"/>
      <c r="S113" s="476"/>
      <c r="T113" s="476"/>
    </row>
    <row r="114" spans="4:20" x14ac:dyDescent="0.25">
      <c r="D114" s="476"/>
      <c r="E114" s="476"/>
      <c r="F114" s="476"/>
      <c r="G114" s="476"/>
      <c r="H114" s="476"/>
      <c r="I114" s="476"/>
      <c r="J114" s="476"/>
      <c r="K114" s="476"/>
      <c r="L114" s="476"/>
      <c r="M114" s="476"/>
      <c r="N114" s="476"/>
      <c r="O114" s="476"/>
      <c r="P114" s="476"/>
      <c r="Q114" s="476"/>
      <c r="R114" s="476"/>
      <c r="S114" s="476"/>
      <c r="T114" s="476"/>
    </row>
    <row r="115" spans="4:20" x14ac:dyDescent="0.25">
      <c r="D115" s="476"/>
      <c r="E115" s="476"/>
      <c r="F115" s="476"/>
      <c r="G115" s="476"/>
      <c r="H115" s="476"/>
      <c r="I115" s="476"/>
      <c r="J115" s="476"/>
      <c r="K115" s="476"/>
      <c r="L115" s="476"/>
      <c r="M115" s="476"/>
      <c r="N115" s="476"/>
      <c r="O115" s="476"/>
      <c r="P115" s="476"/>
      <c r="Q115" s="476"/>
      <c r="R115" s="476"/>
      <c r="S115" s="476"/>
      <c r="T115" s="476"/>
    </row>
    <row r="116" spans="4:20" x14ac:dyDescent="0.25">
      <c r="D116" s="476"/>
      <c r="E116" s="476"/>
      <c r="F116" s="476"/>
      <c r="G116" s="476"/>
      <c r="H116" s="476"/>
      <c r="I116" s="476"/>
      <c r="J116" s="476"/>
      <c r="K116" s="476"/>
      <c r="L116" s="476"/>
      <c r="M116" s="476"/>
      <c r="N116" s="476"/>
      <c r="O116" s="476"/>
      <c r="P116" s="476"/>
      <c r="Q116" s="476"/>
      <c r="R116" s="476"/>
      <c r="S116" s="476"/>
      <c r="T116" s="476"/>
    </row>
    <row r="117" spans="4:20" x14ac:dyDescent="0.25">
      <c r="D117" s="476"/>
      <c r="E117" s="476"/>
      <c r="F117" s="476"/>
      <c r="G117" s="476"/>
      <c r="H117" s="476"/>
      <c r="I117" s="476"/>
      <c r="J117" s="476"/>
      <c r="K117" s="476"/>
      <c r="L117" s="476"/>
      <c r="M117" s="476"/>
      <c r="N117" s="476"/>
      <c r="O117" s="476"/>
      <c r="P117" s="476"/>
      <c r="Q117" s="476"/>
      <c r="R117" s="476"/>
      <c r="S117" s="476"/>
      <c r="T117" s="476"/>
    </row>
    <row r="118" spans="4:20" x14ac:dyDescent="0.25">
      <c r="D118" s="476"/>
      <c r="E118" s="476"/>
      <c r="F118" s="476"/>
      <c r="G118" s="476"/>
      <c r="H118" s="476"/>
      <c r="I118" s="476"/>
      <c r="J118" s="476"/>
      <c r="K118" s="476"/>
      <c r="L118" s="476"/>
      <c r="M118" s="476"/>
      <c r="N118" s="476"/>
      <c r="O118" s="476"/>
      <c r="P118" s="476"/>
      <c r="Q118" s="476"/>
      <c r="R118" s="476"/>
      <c r="S118" s="476"/>
      <c r="T118" s="476"/>
    </row>
    <row r="119" spans="4:20" x14ac:dyDescent="0.25">
      <c r="D119" s="476"/>
      <c r="E119" s="476"/>
      <c r="F119" s="476"/>
      <c r="G119" s="476"/>
      <c r="H119" s="476"/>
      <c r="I119" s="476"/>
      <c r="J119" s="476"/>
      <c r="K119" s="476"/>
      <c r="L119" s="476"/>
      <c r="M119" s="476"/>
      <c r="N119" s="476"/>
      <c r="O119" s="476"/>
      <c r="P119" s="476"/>
      <c r="Q119" s="476"/>
      <c r="R119" s="476"/>
      <c r="S119" s="476"/>
      <c r="T119" s="476"/>
    </row>
    <row r="120" spans="4:20" x14ac:dyDescent="0.25">
      <c r="D120" s="476"/>
      <c r="E120" s="476"/>
      <c r="F120" s="476"/>
      <c r="G120" s="476"/>
      <c r="H120" s="476"/>
      <c r="I120" s="476"/>
      <c r="J120" s="476"/>
      <c r="K120" s="476"/>
      <c r="L120" s="476"/>
      <c r="M120" s="476"/>
      <c r="N120" s="476"/>
      <c r="O120" s="476"/>
      <c r="P120" s="476"/>
      <c r="Q120" s="476"/>
      <c r="R120" s="476"/>
      <c r="S120" s="476"/>
      <c r="T120" s="476"/>
    </row>
    <row r="121" spans="4:20" x14ac:dyDescent="0.25">
      <c r="D121" s="476"/>
      <c r="E121" s="476"/>
      <c r="F121" s="476"/>
      <c r="G121" s="476"/>
      <c r="H121" s="476"/>
      <c r="I121" s="476"/>
      <c r="J121" s="476"/>
      <c r="K121" s="476"/>
      <c r="L121" s="476"/>
      <c r="M121" s="476"/>
      <c r="N121" s="476"/>
      <c r="O121" s="476"/>
      <c r="P121" s="476"/>
      <c r="Q121" s="476"/>
      <c r="R121" s="476"/>
      <c r="S121" s="476"/>
      <c r="T121" s="476"/>
    </row>
    <row r="122" spans="4:20" x14ac:dyDescent="0.25">
      <c r="D122" s="476"/>
      <c r="E122" s="476"/>
      <c r="F122" s="476"/>
      <c r="G122" s="476"/>
      <c r="H122" s="476"/>
      <c r="I122" s="476"/>
      <c r="J122" s="476"/>
      <c r="K122" s="476"/>
      <c r="L122" s="476"/>
      <c r="M122" s="476"/>
      <c r="N122" s="476"/>
      <c r="O122" s="476"/>
      <c r="P122" s="476"/>
      <c r="Q122" s="476"/>
      <c r="R122" s="476"/>
      <c r="S122" s="476"/>
      <c r="T122" s="476"/>
    </row>
    <row r="123" spans="4:20" x14ac:dyDescent="0.25">
      <c r="D123" s="476"/>
      <c r="E123" s="476"/>
      <c r="F123" s="476"/>
      <c r="G123" s="476"/>
      <c r="H123" s="476"/>
      <c r="I123" s="476"/>
      <c r="J123" s="476"/>
      <c r="K123" s="476"/>
      <c r="L123" s="476"/>
      <c r="M123" s="476"/>
      <c r="N123" s="476"/>
      <c r="O123" s="476"/>
      <c r="P123" s="476"/>
      <c r="Q123" s="476"/>
      <c r="R123" s="476"/>
      <c r="S123" s="476"/>
      <c r="T123" s="476"/>
    </row>
    <row r="124" spans="4:20" x14ac:dyDescent="0.25">
      <c r="D124" s="476"/>
      <c r="E124" s="476"/>
      <c r="F124" s="476"/>
      <c r="G124" s="476"/>
      <c r="H124" s="476"/>
      <c r="I124" s="476"/>
      <c r="J124" s="476"/>
      <c r="K124" s="476"/>
      <c r="L124" s="476"/>
      <c r="M124" s="476"/>
      <c r="N124" s="476"/>
      <c r="O124" s="476"/>
      <c r="P124" s="476"/>
      <c r="Q124" s="476"/>
      <c r="R124" s="476"/>
      <c r="S124" s="476"/>
      <c r="T124" s="476"/>
    </row>
    <row r="125" spans="4:20" x14ac:dyDescent="0.25">
      <c r="D125" s="476"/>
      <c r="E125" s="476"/>
      <c r="F125" s="476"/>
      <c r="G125" s="476"/>
      <c r="H125" s="476"/>
      <c r="I125" s="476"/>
      <c r="J125" s="476"/>
      <c r="K125" s="476"/>
      <c r="L125" s="476"/>
      <c r="M125" s="476"/>
      <c r="N125" s="476"/>
      <c r="O125" s="476"/>
      <c r="P125" s="476"/>
      <c r="Q125" s="476"/>
      <c r="R125" s="476"/>
      <c r="S125" s="476"/>
      <c r="T125" s="476"/>
    </row>
    <row r="126" spans="4:20" x14ac:dyDescent="0.25">
      <c r="D126" s="476"/>
      <c r="E126" s="476"/>
      <c r="F126" s="476"/>
      <c r="G126" s="476"/>
      <c r="H126" s="476"/>
      <c r="I126" s="476"/>
      <c r="J126" s="476"/>
      <c r="K126" s="476"/>
      <c r="L126" s="476"/>
      <c r="M126" s="476"/>
      <c r="N126" s="476"/>
      <c r="O126" s="476"/>
      <c r="P126" s="476"/>
      <c r="Q126" s="476"/>
      <c r="R126" s="476"/>
      <c r="S126" s="476"/>
      <c r="T126" s="476"/>
    </row>
    <row r="127" spans="4:20" x14ac:dyDescent="0.25">
      <c r="D127" s="476"/>
      <c r="E127" s="476"/>
      <c r="F127" s="476"/>
      <c r="G127" s="476"/>
      <c r="H127" s="476"/>
      <c r="I127" s="476"/>
      <c r="J127" s="476"/>
      <c r="K127" s="476"/>
      <c r="L127" s="476"/>
      <c r="M127" s="476"/>
      <c r="N127" s="476"/>
      <c r="O127" s="476"/>
      <c r="P127" s="476"/>
      <c r="Q127" s="476"/>
      <c r="R127" s="476"/>
      <c r="S127" s="476"/>
      <c r="T127" s="476"/>
    </row>
    <row r="128" spans="4:20" x14ac:dyDescent="0.25">
      <c r="D128" s="476"/>
      <c r="E128" s="476"/>
      <c r="F128" s="476"/>
      <c r="G128" s="476"/>
      <c r="H128" s="476"/>
      <c r="I128" s="476"/>
      <c r="J128" s="476"/>
      <c r="K128" s="476"/>
      <c r="L128" s="476"/>
      <c r="M128" s="476"/>
      <c r="N128" s="476"/>
      <c r="O128" s="476"/>
      <c r="P128" s="476"/>
      <c r="Q128" s="476"/>
      <c r="R128" s="476"/>
      <c r="S128" s="476"/>
      <c r="T128" s="476"/>
    </row>
    <row r="129" spans="4:20" x14ac:dyDescent="0.25">
      <c r="D129" s="476"/>
      <c r="E129" s="476"/>
      <c r="F129" s="476"/>
      <c r="G129" s="476"/>
      <c r="H129" s="476"/>
      <c r="I129" s="476"/>
      <c r="J129" s="476"/>
      <c r="K129" s="476"/>
      <c r="L129" s="476"/>
      <c r="M129" s="476"/>
      <c r="N129" s="476"/>
      <c r="O129" s="476"/>
      <c r="P129" s="476"/>
      <c r="Q129" s="476"/>
      <c r="R129" s="476"/>
      <c r="S129" s="476"/>
      <c r="T129" s="476"/>
    </row>
    <row r="130" spans="4:20" x14ac:dyDescent="0.25">
      <c r="D130" s="476"/>
      <c r="E130" s="476"/>
      <c r="F130" s="476"/>
      <c r="G130" s="476"/>
      <c r="H130" s="476"/>
      <c r="I130" s="476"/>
      <c r="J130" s="476"/>
      <c r="K130" s="476"/>
      <c r="L130" s="476"/>
      <c r="M130" s="476"/>
      <c r="N130" s="476"/>
      <c r="O130" s="476"/>
      <c r="P130" s="476"/>
      <c r="Q130" s="476"/>
      <c r="R130" s="476"/>
      <c r="S130" s="476"/>
      <c r="T130" s="476"/>
    </row>
  </sheetData>
  <mergeCells count="96">
    <mergeCell ref="AT47:AT56"/>
    <mergeCell ref="AS53:AS54"/>
    <mergeCell ref="A47:A50"/>
    <mergeCell ref="Y47:Y48"/>
    <mergeCell ref="Y4:Y5"/>
    <mergeCell ref="AS55:AS56"/>
    <mergeCell ref="AS4:AS5"/>
    <mergeCell ref="Z14:Z23"/>
    <mergeCell ref="AS14:AS15"/>
    <mergeCell ref="A2:P2"/>
    <mergeCell ref="AS47:AS48"/>
    <mergeCell ref="A20:A23"/>
    <mergeCell ref="BS6:BT6"/>
    <mergeCell ref="AT14:AT23"/>
    <mergeCell ref="A4:A7"/>
    <mergeCell ref="AT4:AT13"/>
    <mergeCell ref="Y8:Y9"/>
    <mergeCell ref="A28:A31"/>
    <mergeCell ref="A24:A27"/>
    <mergeCell ref="AS10:AS11"/>
    <mergeCell ref="AA3:AP3"/>
    <mergeCell ref="A16:A19"/>
    <mergeCell ref="Y20:Y21"/>
    <mergeCell ref="AU46:BJ46"/>
    <mergeCell ref="BM2:BN2"/>
    <mergeCell ref="A75:A78"/>
    <mergeCell ref="AS61:AS62"/>
    <mergeCell ref="A55:A58"/>
    <mergeCell ref="B24:B43"/>
    <mergeCell ref="Y65:Y66"/>
    <mergeCell ref="D46:S46"/>
    <mergeCell ref="Y57:Y58"/>
    <mergeCell ref="AS65:AS66"/>
    <mergeCell ref="Y63:Y64"/>
    <mergeCell ref="A51:A54"/>
    <mergeCell ref="AS63:AS64"/>
    <mergeCell ref="AS51:AS52"/>
    <mergeCell ref="B67:B86"/>
    <mergeCell ref="Y59:Y60"/>
    <mergeCell ref="Y61:Y62"/>
    <mergeCell ref="A59:A62"/>
    <mergeCell ref="D3:S3"/>
    <mergeCell ref="AS22:AS23"/>
    <mergeCell ref="U11:U14"/>
    <mergeCell ref="AS59:AS60"/>
    <mergeCell ref="AS6:AS7"/>
    <mergeCell ref="AS12:AS13"/>
    <mergeCell ref="Y22:Y23"/>
    <mergeCell ref="Y6:Y7"/>
    <mergeCell ref="U3:U6"/>
    <mergeCell ref="Y12:Y13"/>
    <mergeCell ref="BS2:BT2"/>
    <mergeCell ref="A83:A86"/>
    <mergeCell ref="Z4:Z13"/>
    <mergeCell ref="A36:A39"/>
    <mergeCell ref="Y55:Y56"/>
    <mergeCell ref="A12:A15"/>
    <mergeCell ref="BP2:BQ2"/>
    <mergeCell ref="U7:U10"/>
    <mergeCell ref="Z47:Z56"/>
    <mergeCell ref="A32:A35"/>
    <mergeCell ref="Y49:Y50"/>
    <mergeCell ref="AS57:AS58"/>
    <mergeCell ref="AT57:AT66"/>
    <mergeCell ref="A45:P45"/>
    <mergeCell ref="AS49:AS50"/>
    <mergeCell ref="U19:U22"/>
    <mergeCell ref="BP9:BQ9"/>
    <mergeCell ref="Y45:AP45"/>
    <mergeCell ref="A8:A11"/>
    <mergeCell ref="Y16:Y17"/>
    <mergeCell ref="AS16:AS17"/>
    <mergeCell ref="Y18:Y19"/>
    <mergeCell ref="AS45:BJ45"/>
    <mergeCell ref="AS18:AS19"/>
    <mergeCell ref="AS20:AS21"/>
    <mergeCell ref="A40:A43"/>
    <mergeCell ref="Y14:Y15"/>
    <mergeCell ref="BM9:BN9"/>
    <mergeCell ref="B4:B23"/>
    <mergeCell ref="U15:U18"/>
    <mergeCell ref="V2:W2"/>
    <mergeCell ref="A79:A82"/>
    <mergeCell ref="Y10:Y11"/>
    <mergeCell ref="AU3:BJ3"/>
    <mergeCell ref="AS2:BJ2"/>
    <mergeCell ref="Y51:Y52"/>
    <mergeCell ref="Z57:Z66"/>
    <mergeCell ref="AS8:AS9"/>
    <mergeCell ref="A71:A74"/>
    <mergeCell ref="B47:B66"/>
    <mergeCell ref="A63:A66"/>
    <mergeCell ref="A67:A70"/>
    <mergeCell ref="Y53:Y54"/>
    <mergeCell ref="AA46:AP46"/>
    <mergeCell ref="Y2:AP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2:AT168"/>
  <sheetViews>
    <sheetView view="pageBreakPreview" topLeftCell="AL3" zoomScale="80" zoomScaleNormal="100" zoomScaleSheetLayoutView="80" workbookViewId="0">
      <selection activeCell="AT4" sqref="AT4"/>
    </sheetView>
  </sheetViews>
  <sheetFormatPr defaultRowHeight="15" x14ac:dyDescent="0.25"/>
  <cols>
    <col min="2" max="2" width="22.28515625" bestFit="1" customWidth="1"/>
    <col min="3" max="3" width="32.140625" bestFit="1" customWidth="1"/>
    <col min="4" max="4" width="17.5703125" customWidth="1"/>
    <col min="5" max="5" width="16.7109375" customWidth="1"/>
    <col min="6" max="6" width="15.42578125" customWidth="1"/>
    <col min="7" max="7" width="14.140625" customWidth="1"/>
    <col min="8" max="8" width="13" customWidth="1"/>
    <col min="9" max="9" width="14.42578125" customWidth="1"/>
    <col min="12" max="12" width="9.140625" customWidth="1"/>
    <col min="13" max="13" width="22.28515625" customWidth="1"/>
    <col min="14" max="14" width="36.42578125" customWidth="1"/>
    <col min="15" max="15" width="16.5703125" customWidth="1"/>
    <col min="16" max="16" width="15.140625" customWidth="1"/>
    <col min="17" max="17" width="13.85546875" customWidth="1"/>
    <col min="18" max="18" width="11.7109375" customWidth="1"/>
    <col min="19" max="19" width="15.5703125" customWidth="1"/>
    <col min="20" max="20" width="13.140625" customWidth="1"/>
    <col min="21" max="22" width="9.140625" customWidth="1"/>
    <col min="24" max="24" width="15.42578125" bestFit="1" customWidth="1"/>
    <col min="25" max="25" width="10.28515625" bestFit="1" customWidth="1"/>
    <col min="26" max="26" width="15.7109375" bestFit="1" customWidth="1"/>
    <col min="27" max="29" width="20.7109375" customWidth="1"/>
    <col min="30" max="30" width="23.5703125" hidden="1" customWidth="1"/>
    <col min="31" max="31" width="23.85546875" hidden="1" customWidth="1"/>
    <col min="32" max="32" width="23.5703125" hidden="1" customWidth="1"/>
    <col min="33" max="33" width="24.7109375" hidden="1" customWidth="1"/>
    <col min="34" max="34" width="20.7109375" hidden="1" customWidth="1"/>
    <col min="35" max="35" width="21.7109375" hidden="1" customWidth="1"/>
    <col min="36" max="36" width="23.5703125" bestFit="1" customWidth="1"/>
    <col min="37" max="37" width="26.42578125" bestFit="1" customWidth="1"/>
    <col min="38" max="38" width="28.85546875" customWidth="1"/>
    <col min="39" max="39" width="26.42578125" bestFit="1" customWidth="1"/>
    <col min="40" max="40" width="27.7109375" bestFit="1" customWidth="1"/>
    <col min="41" max="42" width="28.140625" bestFit="1" customWidth="1"/>
    <col min="43" max="43" width="17.140625" bestFit="1" customWidth="1"/>
    <col min="44" max="44" width="15" customWidth="1"/>
    <col min="45" max="45" width="19.85546875" bestFit="1" customWidth="1"/>
    <col min="46" max="46" width="22.28515625" bestFit="1" customWidth="1"/>
  </cols>
  <sheetData>
    <row r="2" spans="2:46" ht="15.75" customHeight="1" x14ac:dyDescent="0.25">
      <c r="B2" s="345" t="s">
        <v>442</v>
      </c>
      <c r="C2" s="716" t="str">
        <f>Inputs!B1</f>
        <v xml:space="preserve">Customer </v>
      </c>
      <c r="D2" s="554"/>
      <c r="E2" s="346"/>
      <c r="M2" s="345" t="s">
        <v>442</v>
      </c>
      <c r="N2" s="716" t="str">
        <f>$C$2</f>
        <v xml:space="preserve">Customer </v>
      </c>
      <c r="O2" s="554"/>
      <c r="P2" s="346"/>
      <c r="AO2" t="s">
        <v>164</v>
      </c>
      <c r="AP2" t="s">
        <v>164</v>
      </c>
    </row>
    <row r="3" spans="2:46" ht="15.75" customHeight="1" x14ac:dyDescent="0.25">
      <c r="B3" s="347" t="s">
        <v>443</v>
      </c>
      <c r="C3" s="713" t="str">
        <f>Inputs!B2</f>
        <v xml:space="preserve">Project </v>
      </c>
      <c r="D3" s="556"/>
      <c r="E3" s="346"/>
      <c r="M3" s="347" t="s">
        <v>443</v>
      </c>
      <c r="N3" s="713" t="str">
        <f>$C$3</f>
        <v xml:space="preserve">Project </v>
      </c>
      <c r="O3" s="556"/>
      <c r="P3" s="346"/>
      <c r="AH3" s="386"/>
      <c r="AI3" s="386"/>
      <c r="AK3" s="386"/>
      <c r="AL3" s="386"/>
      <c r="AM3" s="386"/>
      <c r="AN3" s="386"/>
      <c r="AO3" s="30"/>
      <c r="AP3" s="30"/>
    </row>
    <row r="4" spans="2:46" ht="15.75" customHeight="1" x14ac:dyDescent="0.25">
      <c r="B4" s="347" t="s">
        <v>444</v>
      </c>
      <c r="C4" s="713" t="str">
        <f>Inputs!B3</f>
        <v xml:space="preserve">City, State Zip </v>
      </c>
      <c r="D4" s="556"/>
      <c r="E4" s="346"/>
      <c r="M4" s="347" t="s">
        <v>444</v>
      </c>
      <c r="N4" s="713" t="str">
        <f>$C$4</f>
        <v xml:space="preserve">City, State Zip </v>
      </c>
      <c r="O4" s="556"/>
      <c r="P4" s="346"/>
      <c r="X4" s="35"/>
      <c r="Y4" s="35" t="s">
        <v>771</v>
      </c>
      <c r="Z4" s="35" t="s">
        <v>772</v>
      </c>
      <c r="AA4" s="35" t="s">
        <v>773</v>
      </c>
      <c r="AB4" s="35" t="s">
        <v>774</v>
      </c>
      <c r="AC4" s="35" t="s">
        <v>775</v>
      </c>
      <c r="AD4" s="35" t="s">
        <v>776</v>
      </c>
      <c r="AE4" s="35" t="s">
        <v>777</v>
      </c>
      <c r="AF4" s="35" t="s">
        <v>778</v>
      </c>
      <c r="AG4" s="35" t="s">
        <v>779</v>
      </c>
      <c r="AH4" s="341" t="s">
        <v>780</v>
      </c>
      <c r="AI4" s="332" t="s">
        <v>781</v>
      </c>
      <c r="AJ4" s="373" t="s">
        <v>782</v>
      </c>
      <c r="AK4" s="332" t="s">
        <v>783</v>
      </c>
      <c r="AL4" s="332" t="s">
        <v>784</v>
      </c>
      <c r="AM4" s="332" t="s">
        <v>785</v>
      </c>
      <c r="AN4" s="332" t="s">
        <v>786</v>
      </c>
      <c r="AO4" s="6" t="s">
        <v>787</v>
      </c>
      <c r="AP4" s="6" t="s">
        <v>788</v>
      </c>
      <c r="AQ4" s="35" t="s">
        <v>789</v>
      </c>
      <c r="AR4" s="35" t="s">
        <v>790</v>
      </c>
      <c r="AS4" s="35" t="s">
        <v>791</v>
      </c>
      <c r="AT4" s="35"/>
    </row>
    <row r="5" spans="2:46" ht="16.5" customHeight="1" thickBot="1" x14ac:dyDescent="0.3">
      <c r="B5" s="347" t="s">
        <v>792</v>
      </c>
      <c r="C5" s="346" t="e">
        <f>"1x"&amp;(P_Left+P_Right)&amp;" FTS Configuration"</f>
        <v>#VALUE!</v>
      </c>
      <c r="D5" s="348"/>
      <c r="E5" s="346"/>
      <c r="M5" s="347" t="s">
        <v>792</v>
      </c>
      <c r="N5" s="346" t="e">
        <f>$C$5</f>
        <v>#VALUE!</v>
      </c>
      <c r="O5" s="348"/>
      <c r="P5" s="346"/>
      <c r="X5" s="35" t="s">
        <v>0</v>
      </c>
      <c r="Y5" s="35">
        <f>'Top of Pile Load Calcs'!CV36</f>
        <v>0</v>
      </c>
      <c r="Z5" s="35">
        <f>'Top of Pile Load Calcs'!CW36</f>
        <v>0</v>
      </c>
      <c r="AA5" s="35">
        <f>IF(Theta=55, 0, 'Top of Pile Load Calcs'!CX36)</f>
        <v>0</v>
      </c>
      <c r="AB5" s="35">
        <f>'Top of Pile Load Calcs'!CY36</f>
        <v>0</v>
      </c>
      <c r="AC5" s="35">
        <f>'Top of Pile Load Calcs'!CZ36</f>
        <v>0</v>
      </c>
      <c r="AD5" s="35" t="e">
        <f>SIN(Radians)*'Top of Pile Load Calcs'!EA36</f>
        <v>#VALUE!</v>
      </c>
      <c r="AE5" s="35" t="e">
        <f>SIN(Radians)*'Top of Pile Load Calcs'!DZ36</f>
        <v>#VALUE!</v>
      </c>
      <c r="AF5" s="35" t="e">
        <f>COS(Radians)*'Top of Pile Load Calcs'!EA36</f>
        <v>#VALUE!</v>
      </c>
      <c r="AG5" s="35" t="e">
        <f>COS(Radians)*'Top of Pile Load Calcs'!DZ36</f>
        <v>#VALUE!</v>
      </c>
      <c r="AH5" s="35">
        <f>IF(Theta&lt;55,0,'Top of Pile Load Calcs'!EC36)</f>
        <v>0</v>
      </c>
      <c r="AI5" s="35">
        <f>IF(Theta&lt;55,0,'Top of Pile Load Calcs'!EB36)</f>
        <v>0</v>
      </c>
      <c r="AJ5" s="35">
        <f t="shared" ref="AJ5:AJ10" si="0">AC5*SMA</f>
        <v>0</v>
      </c>
      <c r="AK5" s="9" t="e">
        <f ca="1">AD5*Inputs!B58</f>
        <v>#VALUE!</v>
      </c>
      <c r="AL5" s="9" t="e">
        <f ca="1">AE5*Inputs!B57</f>
        <v>#VALUE!</v>
      </c>
      <c r="AM5" s="9" t="e">
        <f ca="1">AF5*Inputs!B58</f>
        <v>#VALUE!</v>
      </c>
      <c r="AN5" s="9" t="e">
        <f ca="1">AG5*Inputs!B57</f>
        <v>#VALUE!</v>
      </c>
      <c r="AO5" s="9" t="e">
        <f ca="1">AH5*Inputs!B58</f>
        <v>#VALUE!</v>
      </c>
      <c r="AP5" s="9" t="e">
        <f ca="1">AI5*Inputs!B57</f>
        <v>#VALUE!</v>
      </c>
      <c r="AQ5" s="9">
        <f t="shared" ref="AQ5:AQ10" si="1">AB5*SMA</f>
        <v>0</v>
      </c>
      <c r="AR5" s="9">
        <f t="shared" ref="AR5:AS7" si="2">Slope*Y5</f>
        <v>0</v>
      </c>
      <c r="AS5" s="9">
        <f t="shared" si="2"/>
        <v>0</v>
      </c>
      <c r="AT5" s="9"/>
    </row>
    <row r="6" spans="2:46" ht="15.75" customHeight="1" x14ac:dyDescent="0.25">
      <c r="B6" s="347" t="s">
        <v>793</v>
      </c>
      <c r="C6" s="710" t="str">
        <f>Inputs!B4</f>
        <v>X/XX/XX - XXX</v>
      </c>
      <c r="D6" s="711"/>
      <c r="E6" s="349"/>
      <c r="F6" s="718" t="s">
        <v>0</v>
      </c>
      <c r="G6" s="548"/>
      <c r="M6" s="347" t="s">
        <v>793</v>
      </c>
      <c r="N6" s="710" t="str">
        <f>$C$6</f>
        <v>X/XX/XX - XXX</v>
      </c>
      <c r="O6" s="711"/>
      <c r="P6" s="349"/>
      <c r="Q6" s="714" t="s">
        <v>2</v>
      </c>
      <c r="R6" s="548"/>
      <c r="X6" s="35" t="s">
        <v>1</v>
      </c>
      <c r="Y6" s="35">
        <f>'Top of Pile Load Calcs'!DA36</f>
        <v>0</v>
      </c>
      <c r="Z6" s="35">
        <f>'Top of Pile Load Calcs'!DB36</f>
        <v>0</v>
      </c>
      <c r="AA6" s="35">
        <f>IF(Theta=55,0, 'Top of Pile Load Calcs'!DC36)</f>
        <v>0</v>
      </c>
      <c r="AB6" s="35">
        <f>'Top of Pile Load Calcs'!DD36</f>
        <v>0</v>
      </c>
      <c r="AC6" s="35">
        <f>'Top of Pile Load Calcs'!DE36</f>
        <v>0</v>
      </c>
      <c r="AD6" s="35" t="e">
        <f>SIN(Radians)*'Top of Pile Load Calcs'!EE36</f>
        <v>#VALUE!</v>
      </c>
      <c r="AE6" s="35" t="e">
        <f>SIN(Radians)*'Top of Pile Load Calcs'!ED36</f>
        <v>#VALUE!</v>
      </c>
      <c r="AF6" s="35" t="e">
        <f>COS(Radians)*'Top of Pile Load Calcs'!EE36</f>
        <v>#VALUE!</v>
      </c>
      <c r="AG6" s="35" t="e">
        <f>COS(Radians)*'Top of Pile Load Calcs'!ED36</f>
        <v>#VALUE!</v>
      </c>
      <c r="AH6" s="35">
        <f>IF(Theta&lt;55,0,'Top of Pile Load Calcs'!EG36)</f>
        <v>0</v>
      </c>
      <c r="AI6" s="35">
        <f>IF(Theta&lt;55,0,'Top of Pile Load Calcs'!EF36)</f>
        <v>0</v>
      </c>
      <c r="AJ6" s="35">
        <f t="shared" si="0"/>
        <v>0</v>
      </c>
      <c r="AK6" s="9" t="e">
        <f ca="1">AD6*Inputs!B60</f>
        <v>#VALUE!</v>
      </c>
      <c r="AL6" s="9" t="e">
        <f ca="1">AE6*Inputs!B59</f>
        <v>#VALUE!</v>
      </c>
      <c r="AM6" s="9" t="e">
        <f ca="1">AF6*Inputs!B60</f>
        <v>#VALUE!</v>
      </c>
      <c r="AN6" s="9" t="e">
        <f ca="1">AG6*Inputs!B59</f>
        <v>#VALUE!</v>
      </c>
      <c r="AO6" s="9" t="e">
        <f ca="1">AH6*Inputs!B60</f>
        <v>#VALUE!</v>
      </c>
      <c r="AP6" s="9" t="e">
        <f ca="1">AI6*Inputs!B59</f>
        <v>#VALUE!</v>
      </c>
      <c r="AQ6" s="9">
        <f t="shared" si="1"/>
        <v>0</v>
      </c>
      <c r="AR6" s="9">
        <f t="shared" si="2"/>
        <v>0</v>
      </c>
      <c r="AS6" s="9">
        <f t="shared" si="2"/>
        <v>0</v>
      </c>
      <c r="AT6" s="9"/>
    </row>
    <row r="7" spans="2:46" ht="16.5" customHeight="1" thickBot="1" x14ac:dyDescent="0.3">
      <c r="B7" s="350" t="s">
        <v>794</v>
      </c>
      <c r="C7" s="351" t="s">
        <v>795</v>
      </c>
      <c r="D7" s="372"/>
      <c r="E7" s="349"/>
      <c r="F7" s="550"/>
      <c r="G7" s="552"/>
      <c r="M7" s="350" t="s">
        <v>794</v>
      </c>
      <c r="N7" s="351" t="str">
        <f>$C$7</f>
        <v>TBD by Others</v>
      </c>
      <c r="O7" s="372"/>
      <c r="P7" s="349"/>
      <c r="Q7" s="550"/>
      <c r="R7" s="552"/>
      <c r="X7" s="35" t="s">
        <v>2</v>
      </c>
      <c r="Y7" s="35">
        <f>'Top of Pile Load Calcs'!DF36</f>
        <v>0</v>
      </c>
      <c r="Z7" s="35">
        <f>'Top of Pile Load Calcs'!DG36</f>
        <v>0</v>
      </c>
      <c r="AA7" s="35">
        <f>IF(Theta=55,0, 'Top of Pile Load Calcs'!DH36)</f>
        <v>0</v>
      </c>
      <c r="AB7" s="35">
        <f>'Top of Pile Load Calcs'!DI36</f>
        <v>0</v>
      </c>
      <c r="AC7" s="35">
        <f>'Top of Pile Load Calcs'!DJ36</f>
        <v>0</v>
      </c>
      <c r="AD7" s="35" t="e">
        <f>SIN(Radians)*'Top of Pile Load Calcs'!EI36</f>
        <v>#VALUE!</v>
      </c>
      <c r="AE7" s="35" t="e">
        <f>SIN(Radians)*'Top of Pile Load Calcs'!EH36</f>
        <v>#VALUE!</v>
      </c>
      <c r="AF7" s="35" t="e">
        <f>COS(Radians)*'Top of Pile Load Calcs'!EI36</f>
        <v>#VALUE!</v>
      </c>
      <c r="AG7" s="35" t="e">
        <f>COS(Radians)*'Top of Pile Load Calcs'!EH36</f>
        <v>#VALUE!</v>
      </c>
      <c r="AH7" s="35">
        <f>IF(Theta&lt;55,0,'Top of Pile Load Calcs'!EK36)</f>
        <v>0</v>
      </c>
      <c r="AI7" s="35">
        <f>IF(Theta&lt;55,0,'Top of Pile Load Calcs'!EJ36)</f>
        <v>0</v>
      </c>
      <c r="AJ7" s="35">
        <f t="shared" si="0"/>
        <v>0</v>
      </c>
      <c r="AK7" s="9" t="e">
        <f ca="1">AD7*Inputs!B62</f>
        <v>#VALUE!</v>
      </c>
      <c r="AL7" s="9" t="e">
        <f ca="1">AE7*Inputs!B61</f>
        <v>#VALUE!</v>
      </c>
      <c r="AM7" s="9" t="e">
        <f ca="1">AF7*Inputs!B62</f>
        <v>#VALUE!</v>
      </c>
      <c r="AN7" s="9" t="e">
        <f ca="1">AG7*Inputs!B61</f>
        <v>#VALUE!</v>
      </c>
      <c r="AO7" s="9" t="e">
        <f ca="1">AH7*Inputs!B62</f>
        <v>#VALUE!</v>
      </c>
      <c r="AP7" s="9" t="e">
        <f ca="1">AI7*Inputs!B61</f>
        <v>#VALUE!</v>
      </c>
      <c r="AQ7" s="9">
        <f t="shared" si="1"/>
        <v>0</v>
      </c>
      <c r="AR7" s="9">
        <f t="shared" si="2"/>
        <v>0</v>
      </c>
      <c r="AS7" s="9">
        <f t="shared" si="2"/>
        <v>0</v>
      </c>
      <c r="AT7" s="9"/>
    </row>
    <row r="8" spans="2:46" ht="15.75" customHeight="1" x14ac:dyDescent="0.25">
      <c r="D8" s="371"/>
      <c r="E8" s="349"/>
      <c r="O8" s="371"/>
      <c r="P8" s="349"/>
      <c r="X8" s="35" t="s">
        <v>3</v>
      </c>
      <c r="Y8" s="35">
        <f>'Top of Pile Load Calcs'!DK36</f>
        <v>0</v>
      </c>
      <c r="Z8" s="35">
        <f>'Top of Pile Load Calcs'!DL36</f>
        <v>0</v>
      </c>
      <c r="AA8" s="35">
        <f>IF(Theta=55, 0, 'Top of Pile Load Calcs'!DM36)</f>
        <v>0</v>
      </c>
      <c r="AB8" s="35">
        <f>'Top of Pile Load Calcs'!DN36</f>
        <v>0</v>
      </c>
      <c r="AC8" s="35">
        <f>'Top of Pile Load Calcs'!DO36</f>
        <v>0</v>
      </c>
      <c r="AD8" s="35" t="e">
        <f>SIN(Radians)*'Top of Pile Load Calcs'!EM36</f>
        <v>#VALUE!</v>
      </c>
      <c r="AE8" s="35" t="e">
        <f>SIN(Radians)*'Top of Pile Load Calcs'!EL36</f>
        <v>#VALUE!</v>
      </c>
      <c r="AF8" s="35" t="e">
        <f>COS(Radians)*'Top of Pile Load Calcs'!EM36</f>
        <v>#VALUE!</v>
      </c>
      <c r="AG8" s="35" t="e">
        <f>COS(Radians)*'Top of Pile Load Calcs'!EL36</f>
        <v>#VALUE!</v>
      </c>
      <c r="AH8" s="35" t="e">
        <f>'Aerolastic Coefficients'!B51*-1</f>
        <v>#VALUE!</v>
      </c>
      <c r="AI8" s="35" t="e">
        <f>'Aerolastic Coefficients'!B50*-1</f>
        <v>#VALUE!</v>
      </c>
      <c r="AJ8" s="35">
        <f t="shared" si="0"/>
        <v>0</v>
      </c>
      <c r="AK8" s="9" t="e">
        <f ca="1">AD8*Inputs!B64</f>
        <v>#VALUE!</v>
      </c>
      <c r="AL8" s="9" t="e">
        <f ca="1">AE8*Inputs!B63</f>
        <v>#VALUE!</v>
      </c>
      <c r="AM8" s="9" t="e">
        <f ca="1">AF8*Inputs!B64</f>
        <v>#VALUE!</v>
      </c>
      <c r="AN8" s="9" t="e">
        <f ca="1">AG8*Inputs!B63</f>
        <v>#VALUE!</v>
      </c>
      <c r="AO8" s="9" t="e">
        <f>AH8</f>
        <v>#VALUE!</v>
      </c>
      <c r="AP8" s="9" t="e">
        <f>AI8</f>
        <v>#VALUE!</v>
      </c>
      <c r="AQ8" s="9">
        <f t="shared" si="1"/>
        <v>0</v>
      </c>
      <c r="AR8" s="9">
        <f>Slope*SUM('Top of Pile Load Calcs'!CQ5:CQ19)</f>
        <v>0</v>
      </c>
      <c r="AS8" s="9">
        <f>Slope*Z8</f>
        <v>0</v>
      </c>
      <c r="AT8" s="9"/>
    </row>
    <row r="9" spans="2:46" ht="15.75" customHeight="1" thickBot="1" x14ac:dyDescent="0.3">
      <c r="X9" s="35" t="s">
        <v>4</v>
      </c>
      <c r="Y9" s="35">
        <f>'Top of Pile Load Calcs'!DP36</f>
        <v>0</v>
      </c>
      <c r="Z9" s="35">
        <f>'Top of Pile Load Calcs'!DQ36</f>
        <v>0</v>
      </c>
      <c r="AA9" s="35">
        <f>IF(Theta=55, 0, 'Top of Pile Load Calcs'!DR36)</f>
        <v>0</v>
      </c>
      <c r="AB9" s="35">
        <f>'Top of Pile Load Calcs'!DS36</f>
        <v>0</v>
      </c>
      <c r="AC9" s="35">
        <f>'Top of Pile Load Calcs'!DT36</f>
        <v>0</v>
      </c>
      <c r="AD9" s="35" t="e">
        <f>SIN(Radians)*'Top of Pile Load Calcs'!EQ36</f>
        <v>#VALUE!</v>
      </c>
      <c r="AE9" s="35" t="e">
        <f>SIN(Radians)*'Top of Pile Load Calcs'!EP36</f>
        <v>#VALUE!</v>
      </c>
      <c r="AF9" s="35" t="e">
        <f>COS(Radians)*'Top of Pile Load Calcs'!EQ36</f>
        <v>#VALUE!</v>
      </c>
      <c r="AG9" s="35" t="e">
        <f>COS(Radians)*'Top of Pile Load Calcs'!EP36</f>
        <v>#VALUE!</v>
      </c>
      <c r="AH9" s="35">
        <f>IF(Theta&lt;55,0,'Top of Pile Load Calcs'!ES36)</f>
        <v>0</v>
      </c>
      <c r="AI9" s="35">
        <f>IF(Theta&lt;55,0,'Top of Pile Load Calcs'!ER36)</f>
        <v>0</v>
      </c>
      <c r="AJ9" s="35">
        <f t="shared" si="0"/>
        <v>0</v>
      </c>
      <c r="AK9" s="9" t="e">
        <f ca="1">AD9*Inputs!B66</f>
        <v>#VALUE!</v>
      </c>
      <c r="AL9" s="9" t="e">
        <f ca="1">AE9*Inputs!B65</f>
        <v>#VALUE!</v>
      </c>
      <c r="AM9" s="9" t="e">
        <f ca="1">AF9*Inputs!B66</f>
        <v>#VALUE!</v>
      </c>
      <c r="AN9" s="9" t="e">
        <f ca="1">AG9*Inputs!B65</f>
        <v>#VALUE!</v>
      </c>
      <c r="AO9" s="9" t="e">
        <f ca="1">AH9*Inputs!B66</f>
        <v>#VALUE!</v>
      </c>
      <c r="AP9" s="9" t="e">
        <f ca="1">AI9*Inputs!B65</f>
        <v>#VALUE!</v>
      </c>
      <c r="AQ9" s="9">
        <f t="shared" si="1"/>
        <v>0</v>
      </c>
      <c r="AR9" s="9">
        <f>Slope*Y9</f>
        <v>0</v>
      </c>
      <c r="AS9" s="9">
        <f>Slope*Z9</f>
        <v>0</v>
      </c>
      <c r="AT9" s="9"/>
    </row>
    <row r="10" spans="2:46" x14ac:dyDescent="0.25">
      <c r="B10" s="715" t="str">
        <f>"Factored Post Reaction - DRIVE @ "&amp;Inputs!$B$33&amp;" DEGREES"</f>
        <v>Factored Post Reaction - DRIVE @ XX DEGREES</v>
      </c>
      <c r="C10" s="547"/>
      <c r="D10" s="547"/>
      <c r="E10" s="547"/>
      <c r="F10" s="547"/>
      <c r="G10" s="547"/>
      <c r="H10" s="547"/>
      <c r="I10" s="548"/>
      <c r="M10" s="717" t="str">
        <f>"Factored Post Reaction - IDLER @ "&amp;Inputs!$B$33&amp;" DEGREES"</f>
        <v>Factored Post Reaction - IDLER @ XX DEGREES</v>
      </c>
      <c r="N10" s="547"/>
      <c r="O10" s="547"/>
      <c r="P10" s="547"/>
      <c r="Q10" s="547"/>
      <c r="R10" s="547"/>
      <c r="S10" s="547"/>
      <c r="T10" s="547"/>
      <c r="U10" s="14"/>
      <c r="X10" s="35" t="s">
        <v>796</v>
      </c>
      <c r="Y10" s="35">
        <f>'Top of Pile Load Calcs'!DU36</f>
        <v>0</v>
      </c>
      <c r="Z10" s="35">
        <f>'Top of Pile Load Calcs'!DV36</f>
        <v>0</v>
      </c>
      <c r="AA10" s="35">
        <f>IF(Theta=55,0,'Top of Pile Load Calcs'!DW36)</f>
        <v>0</v>
      </c>
      <c r="AB10" s="35">
        <f>'Top of Pile Load Calcs'!DX36</f>
        <v>0</v>
      </c>
      <c r="AC10" s="35">
        <f>'Top of Pile Load Calcs'!DY36</f>
        <v>0</v>
      </c>
      <c r="AD10" s="35" t="e">
        <f>SIN(Radians)*'Top of Pile Load Calcs'!EU36</f>
        <v>#VALUE!</v>
      </c>
      <c r="AE10" s="35" t="e">
        <f>SIN(Radians)*'Top of Pile Load Calcs'!ET36</f>
        <v>#VALUE!</v>
      </c>
      <c r="AF10" s="35" t="e">
        <f>COS(Radians)*'Top of Pile Load Calcs'!EU36</f>
        <v>#VALUE!</v>
      </c>
      <c r="AG10" s="35" t="e">
        <f>COS(Radians)*'Top of Pile Load Calcs'!ET36</f>
        <v>#VALUE!</v>
      </c>
      <c r="AH10" s="35" t="e">
        <f>'Aerolastic Coefficients'!B49*-1</f>
        <v>#VALUE!</v>
      </c>
      <c r="AI10" s="35" t="e">
        <f>'Aerolastic Coefficients'!B48*-1</f>
        <v>#VALUE!</v>
      </c>
      <c r="AJ10" s="35">
        <f t="shared" si="0"/>
        <v>0</v>
      </c>
      <c r="AK10" s="9" t="e">
        <f ca="1">AD10*Inputs!B58</f>
        <v>#VALUE!</v>
      </c>
      <c r="AL10" s="9" t="e">
        <f ca="1">AE10*Inputs!B57</f>
        <v>#VALUE!</v>
      </c>
      <c r="AM10" s="9" t="e">
        <f ca="1">AF10*Inputs!B58</f>
        <v>#VALUE!</v>
      </c>
      <c r="AN10" s="9" t="e">
        <f ca="1">AG10*Inputs!B57</f>
        <v>#VALUE!</v>
      </c>
      <c r="AO10" s="9" t="e">
        <f>AH10</f>
        <v>#VALUE!</v>
      </c>
      <c r="AP10" s="9" t="e">
        <f>AI10</f>
        <v>#VALUE!</v>
      </c>
      <c r="AQ10" s="9">
        <f t="shared" si="1"/>
        <v>0</v>
      </c>
      <c r="AR10" s="9">
        <f>Slope*SUM('Top of Pile Load Calcs'!CN5:CN19)</f>
        <v>0</v>
      </c>
      <c r="AS10" s="9">
        <f>Slope*Z10</f>
        <v>0</v>
      </c>
      <c r="AT10" s="9"/>
    </row>
    <row r="11" spans="2:46" ht="15.75" customHeight="1" thickBot="1" x14ac:dyDescent="0.3">
      <c r="B11" s="712" t="s">
        <v>797</v>
      </c>
      <c r="C11" s="551"/>
      <c r="D11" s="551"/>
      <c r="E11" s="551"/>
      <c r="F11" s="551"/>
      <c r="G11" s="551"/>
      <c r="H11" s="551"/>
      <c r="I11" s="552"/>
      <c r="M11" s="712" t="str">
        <f>B11</f>
        <v xml:space="preserve">Top of Pile Loads </v>
      </c>
      <c r="N11" s="551"/>
      <c r="O11" s="551"/>
      <c r="P11" s="551"/>
      <c r="Q11" s="551"/>
      <c r="R11" s="551"/>
      <c r="S11" s="551"/>
      <c r="T11" s="552"/>
    </row>
    <row r="12" spans="2:46" ht="60.75" customHeight="1" thickBot="1" x14ac:dyDescent="0.3">
      <c r="B12" s="352" t="s">
        <v>798</v>
      </c>
      <c r="C12" s="352" t="s">
        <v>799</v>
      </c>
      <c r="D12" s="352" t="s">
        <v>800</v>
      </c>
      <c r="E12" s="353" t="s">
        <v>801</v>
      </c>
      <c r="F12" s="353" t="s">
        <v>802</v>
      </c>
      <c r="G12" s="353" t="s">
        <v>803</v>
      </c>
      <c r="H12" s="353" t="s">
        <v>804</v>
      </c>
      <c r="I12" s="353" t="s">
        <v>805</v>
      </c>
      <c r="M12" s="352" t="s">
        <v>798</v>
      </c>
      <c r="N12" s="352" t="s">
        <v>799</v>
      </c>
      <c r="O12" s="352" t="s">
        <v>800</v>
      </c>
      <c r="P12" s="353" t="s">
        <v>801</v>
      </c>
      <c r="Q12" s="353" t="s">
        <v>802</v>
      </c>
      <c r="R12" s="353" t="s">
        <v>803</v>
      </c>
      <c r="S12" s="353" t="s">
        <v>804</v>
      </c>
      <c r="T12" s="353" t="s">
        <v>805</v>
      </c>
    </row>
    <row r="13" spans="2:46" x14ac:dyDescent="0.25">
      <c r="B13" s="354">
        <v>1</v>
      </c>
      <c r="C13" s="355" t="s">
        <v>806</v>
      </c>
      <c r="D13" s="356" t="s">
        <v>807</v>
      </c>
      <c r="E13" s="357">
        <v>0</v>
      </c>
      <c r="F13" s="357">
        <f>$Y$10*1.4</f>
        <v>0</v>
      </c>
      <c r="G13" s="357">
        <f>$AR$10*1.4</f>
        <v>0</v>
      </c>
      <c r="H13" s="357">
        <f t="shared" ref="H13:H41" si="3">G13*SMA</f>
        <v>0</v>
      </c>
      <c r="I13" s="358">
        <f t="shared" ref="I13:I21" si="4">-F13*Ecc</f>
        <v>0</v>
      </c>
      <c r="M13" s="354">
        <v>1</v>
      </c>
      <c r="N13" s="355" t="s">
        <v>806</v>
      </c>
      <c r="O13" s="356" t="s">
        <v>807</v>
      </c>
      <c r="P13" s="357">
        <v>0</v>
      </c>
      <c r="Q13" s="357">
        <f>$Y$7*1.4</f>
        <v>0</v>
      </c>
      <c r="R13" s="357">
        <f>$AR$7*1.4</f>
        <v>0</v>
      </c>
      <c r="S13" s="357">
        <f t="shared" ref="S13:S41" si="5">R13*SMA</f>
        <v>0</v>
      </c>
      <c r="T13" s="358">
        <f t="shared" ref="T13:T21" si="6">IF(Theta&lt;55,0,IF((-Q13*Ecc)&lt;0,0,-Q13*Ecc))</f>
        <v>0</v>
      </c>
    </row>
    <row r="14" spans="2:46" x14ac:dyDescent="0.25">
      <c r="B14" s="359">
        <v>2</v>
      </c>
      <c r="C14" s="360" t="s">
        <v>808</v>
      </c>
      <c r="D14" s="209" t="s">
        <v>807</v>
      </c>
      <c r="E14" s="361">
        <v>0</v>
      </c>
      <c r="F14" s="361">
        <f>$Y$10*1.25</f>
        <v>0</v>
      </c>
      <c r="G14" s="361">
        <f>$AR$10*1.25</f>
        <v>0</v>
      </c>
      <c r="H14" s="361">
        <f t="shared" si="3"/>
        <v>0</v>
      </c>
      <c r="I14" s="362">
        <f t="shared" si="4"/>
        <v>0</v>
      </c>
      <c r="M14" s="359">
        <v>2</v>
      </c>
      <c r="N14" s="360" t="s">
        <v>808</v>
      </c>
      <c r="O14" s="209" t="s">
        <v>807</v>
      </c>
      <c r="P14" s="361">
        <v>0</v>
      </c>
      <c r="Q14" s="361">
        <f>$Y$7*1.25</f>
        <v>0</v>
      </c>
      <c r="R14" s="361">
        <f>$AR$7*1.25</f>
        <v>0</v>
      </c>
      <c r="S14" s="361">
        <f t="shared" si="5"/>
        <v>0</v>
      </c>
      <c r="T14" s="362">
        <f t="shared" si="6"/>
        <v>0</v>
      </c>
    </row>
    <row r="15" spans="2:46" x14ac:dyDescent="0.25">
      <c r="B15" s="359">
        <v>3</v>
      </c>
      <c r="C15" s="360" t="s">
        <v>809</v>
      </c>
      <c r="D15" s="209" t="s">
        <v>807</v>
      </c>
      <c r="E15" s="361">
        <v>0</v>
      </c>
      <c r="F15" s="361">
        <f>$Y$10*1.25+0.5*$Z$10</f>
        <v>0</v>
      </c>
      <c r="G15" s="361">
        <f>$AR$10*1.25+0.5*$AS$10</f>
        <v>0</v>
      </c>
      <c r="H15" s="361">
        <f t="shared" si="3"/>
        <v>0</v>
      </c>
      <c r="I15" s="362">
        <f t="shared" si="4"/>
        <v>0</v>
      </c>
      <c r="M15" s="359">
        <v>3</v>
      </c>
      <c r="N15" s="360" t="s">
        <v>809</v>
      </c>
      <c r="O15" s="209" t="s">
        <v>807</v>
      </c>
      <c r="P15" s="361">
        <v>0</v>
      </c>
      <c r="Q15" s="361">
        <f>$Y$7*1.25+0.5*$Z$7</f>
        <v>0</v>
      </c>
      <c r="R15" s="361">
        <f>$AR$7*1.25+0.5*$AS$7</f>
        <v>0</v>
      </c>
      <c r="S15" s="361">
        <f t="shared" si="5"/>
        <v>0</v>
      </c>
      <c r="T15" s="362">
        <f t="shared" si="6"/>
        <v>0</v>
      </c>
    </row>
    <row r="16" spans="2:46" x14ac:dyDescent="0.25">
      <c r="B16" s="359">
        <v>4</v>
      </c>
      <c r="C16" s="360" t="s">
        <v>810</v>
      </c>
      <c r="D16" s="209" t="s">
        <v>807</v>
      </c>
      <c r="E16" s="361">
        <v>0</v>
      </c>
      <c r="F16" s="361">
        <f>$Y$10*0.9</f>
        <v>0</v>
      </c>
      <c r="G16" s="361">
        <f>$AR$10*0.9</f>
        <v>0</v>
      </c>
      <c r="H16" s="361">
        <f t="shared" si="3"/>
        <v>0</v>
      </c>
      <c r="I16" s="362">
        <f t="shared" si="4"/>
        <v>0</v>
      </c>
      <c r="M16" s="359">
        <v>4</v>
      </c>
      <c r="N16" s="360" t="s">
        <v>810</v>
      </c>
      <c r="O16" s="209" t="s">
        <v>807</v>
      </c>
      <c r="P16" s="361">
        <v>0</v>
      </c>
      <c r="Q16" s="361">
        <f>$Y$7*0.9</f>
        <v>0</v>
      </c>
      <c r="R16" s="361">
        <f>$AR$7*0.9</f>
        <v>0</v>
      </c>
      <c r="S16" s="361">
        <f t="shared" si="5"/>
        <v>0</v>
      </c>
      <c r="T16" s="362">
        <f t="shared" si="6"/>
        <v>0</v>
      </c>
    </row>
    <row r="17" spans="2:20" x14ac:dyDescent="0.25">
      <c r="B17" s="359">
        <v>5</v>
      </c>
      <c r="C17" s="360" t="s">
        <v>811</v>
      </c>
      <c r="D17" s="209" t="s">
        <v>807</v>
      </c>
      <c r="E17" s="361">
        <v>0</v>
      </c>
      <c r="F17" s="361">
        <f>$Y$10*0.9+0.5*$Z$10</f>
        <v>0</v>
      </c>
      <c r="G17" s="361">
        <f>$AR$10*0.9+0.5*$AS$10</f>
        <v>0</v>
      </c>
      <c r="H17" s="361">
        <f t="shared" si="3"/>
        <v>0</v>
      </c>
      <c r="I17" s="362">
        <f t="shared" si="4"/>
        <v>0</v>
      </c>
      <c r="M17" s="359">
        <v>5</v>
      </c>
      <c r="N17" s="360" t="s">
        <v>811</v>
      </c>
      <c r="O17" s="209" t="s">
        <v>807</v>
      </c>
      <c r="P17" s="361">
        <v>0</v>
      </c>
      <c r="Q17" s="361">
        <f>$Y$7*0.9+0.5*$Z$7</f>
        <v>0</v>
      </c>
      <c r="R17" s="361">
        <f>$AR$7*0.9+0.5*$AS$7</f>
        <v>0</v>
      </c>
      <c r="S17" s="361">
        <f t="shared" si="5"/>
        <v>0</v>
      </c>
      <c r="T17" s="362">
        <f t="shared" si="6"/>
        <v>0</v>
      </c>
    </row>
    <row r="18" spans="2:20" x14ac:dyDescent="0.25">
      <c r="B18" s="359">
        <v>6</v>
      </c>
      <c r="C18" s="360" t="s">
        <v>812</v>
      </c>
      <c r="D18" s="209" t="s">
        <v>807</v>
      </c>
      <c r="E18" s="361">
        <v>0</v>
      </c>
      <c r="F18" s="361">
        <f>$Y$10*1.25+1.5*$Z$10</f>
        <v>0</v>
      </c>
      <c r="G18" s="361">
        <f>$AR$10*1.25+1.5*$AS$10</f>
        <v>0</v>
      </c>
      <c r="H18" s="361">
        <f t="shared" si="3"/>
        <v>0</v>
      </c>
      <c r="I18" s="362">
        <f t="shared" si="4"/>
        <v>0</v>
      </c>
      <c r="M18" s="359">
        <v>6</v>
      </c>
      <c r="N18" s="360" t="s">
        <v>812</v>
      </c>
      <c r="O18" s="209" t="s">
        <v>807</v>
      </c>
      <c r="P18" s="361">
        <v>0</v>
      </c>
      <c r="Q18" s="361">
        <f>$Y$7*1.25+1.5*$Z$7</f>
        <v>0</v>
      </c>
      <c r="R18" s="361">
        <f>$AR$7*1.25+1.5*$AS$7</f>
        <v>0</v>
      </c>
      <c r="S18" s="361">
        <f t="shared" si="5"/>
        <v>0</v>
      </c>
      <c r="T18" s="362">
        <f t="shared" si="6"/>
        <v>0</v>
      </c>
    </row>
    <row r="19" spans="2:20" x14ac:dyDescent="0.25">
      <c r="B19" s="359">
        <v>7</v>
      </c>
      <c r="C19" s="360" t="s">
        <v>813</v>
      </c>
      <c r="D19" s="209" t="s">
        <v>807</v>
      </c>
      <c r="E19" s="361">
        <v>0</v>
      </c>
      <c r="F19" s="361">
        <f>$Y$10*1.25+1.5*$Z$10</f>
        <v>0</v>
      </c>
      <c r="G19" s="361">
        <f>$AR$10*1.25+1.5*$AS$10</f>
        <v>0</v>
      </c>
      <c r="H19" s="361">
        <f t="shared" si="3"/>
        <v>0</v>
      </c>
      <c r="I19" s="362">
        <f t="shared" si="4"/>
        <v>0</v>
      </c>
      <c r="M19" s="359">
        <v>7</v>
      </c>
      <c r="N19" s="360" t="s">
        <v>813</v>
      </c>
      <c r="O19" s="209" t="s">
        <v>807</v>
      </c>
      <c r="P19" s="361">
        <v>0</v>
      </c>
      <c r="Q19" s="361">
        <f>$Y$7*1.25+1.5*$Z$7</f>
        <v>0</v>
      </c>
      <c r="R19" s="361">
        <f>$AR$7*1.25+1.5*$AS$7</f>
        <v>0</v>
      </c>
      <c r="S19" s="361">
        <f t="shared" si="5"/>
        <v>0</v>
      </c>
      <c r="T19" s="362">
        <f t="shared" si="6"/>
        <v>0</v>
      </c>
    </row>
    <row r="20" spans="2:20" x14ac:dyDescent="0.25">
      <c r="B20" s="359">
        <v>8</v>
      </c>
      <c r="C20" s="360" t="s">
        <v>814</v>
      </c>
      <c r="D20" s="209" t="s">
        <v>807</v>
      </c>
      <c r="E20" s="361">
        <v>0</v>
      </c>
      <c r="F20" s="361">
        <f>0.9*$Y$10+1.5*$Z$10</f>
        <v>0</v>
      </c>
      <c r="G20" s="361">
        <f>0.9*$AR$10+1.5*$AS$10</f>
        <v>0</v>
      </c>
      <c r="H20" s="361">
        <f t="shared" si="3"/>
        <v>0</v>
      </c>
      <c r="I20" s="362">
        <f t="shared" si="4"/>
        <v>0</v>
      </c>
      <c r="M20" s="359">
        <v>8</v>
      </c>
      <c r="N20" s="360" t="s">
        <v>814</v>
      </c>
      <c r="O20" s="209" t="s">
        <v>807</v>
      </c>
      <c r="P20" s="361">
        <v>0</v>
      </c>
      <c r="Q20" s="361">
        <f>0.9*$Y$7+1.5*$Z$7</f>
        <v>0</v>
      </c>
      <c r="R20" s="361">
        <f>0.9*$AR$7+1.5*$AS$7</f>
        <v>0</v>
      </c>
      <c r="S20" s="361">
        <f t="shared" si="5"/>
        <v>0</v>
      </c>
      <c r="T20" s="362">
        <f t="shared" si="6"/>
        <v>0</v>
      </c>
    </row>
    <row r="21" spans="2:20" x14ac:dyDescent="0.25">
      <c r="B21" s="359">
        <v>9</v>
      </c>
      <c r="C21" s="360" t="s">
        <v>815</v>
      </c>
      <c r="D21" s="209" t="s">
        <v>807</v>
      </c>
      <c r="E21" s="361">
        <v>0</v>
      </c>
      <c r="F21" s="361">
        <f>0.9*$Y$10+1.5*$Z$10</f>
        <v>0</v>
      </c>
      <c r="G21" s="361">
        <f>0.9*$AR$10+1.5*$AS$10</f>
        <v>0</v>
      </c>
      <c r="H21" s="361">
        <f t="shared" si="3"/>
        <v>0</v>
      </c>
      <c r="I21" s="362">
        <f t="shared" si="4"/>
        <v>0</v>
      </c>
      <c r="M21" s="359">
        <v>9</v>
      </c>
      <c r="N21" s="360" t="s">
        <v>815</v>
      </c>
      <c r="O21" s="209" t="s">
        <v>807</v>
      </c>
      <c r="P21" s="361">
        <v>0</v>
      </c>
      <c r="Q21" s="361">
        <f>0.9*$Y$7+1.5*$Z$7</f>
        <v>0</v>
      </c>
      <c r="R21" s="361">
        <f>0.9*$AR$7+1.5*$AS$7</f>
        <v>0</v>
      </c>
      <c r="S21" s="361">
        <f t="shared" si="5"/>
        <v>0</v>
      </c>
      <c r="T21" s="362">
        <f t="shared" si="6"/>
        <v>0</v>
      </c>
    </row>
    <row r="22" spans="2:20" x14ac:dyDescent="0.25">
      <c r="B22" s="359">
        <v>10</v>
      </c>
      <c r="C22" s="360" t="s">
        <v>816</v>
      </c>
      <c r="D22" s="209" t="s">
        <v>807</v>
      </c>
      <c r="E22" s="361" t="e">
        <f ca="1">0.4*$AL$10</f>
        <v>#VALUE!</v>
      </c>
      <c r="F22" s="361" t="e">
        <f ca="1">1.25*$Y$10+0.4*$AN$10</f>
        <v>#VALUE!</v>
      </c>
      <c r="G22" s="361">
        <f>1.25*$AR$10</f>
        <v>0</v>
      </c>
      <c r="H22" s="361">
        <f t="shared" si="3"/>
        <v>0</v>
      </c>
      <c r="I22" s="362" t="e">
        <f ca="1">0.4*$AP$10-F22*Ecc</f>
        <v>#VALUE!</v>
      </c>
      <c r="M22" s="359">
        <v>10</v>
      </c>
      <c r="N22" s="360" t="s">
        <v>816</v>
      </c>
      <c r="O22" s="209" t="s">
        <v>807</v>
      </c>
      <c r="P22" s="361" t="e">
        <f ca="1">0.4*$AL$7</f>
        <v>#VALUE!</v>
      </c>
      <c r="Q22" s="361" t="e">
        <f ca="1">1.25*$Y$7+0.4*$AN$7</f>
        <v>#VALUE!</v>
      </c>
      <c r="R22" s="361">
        <f>1.25*$AR$7</f>
        <v>0</v>
      </c>
      <c r="S22" s="361">
        <f t="shared" si="5"/>
        <v>0</v>
      </c>
      <c r="T22" s="362" t="e">
        <f ca="1">IF(Theta&lt;55,0,IF((0.4*$AP$7-Q22*Ecc)&lt;0,0,0.4*$AP$7-Q22*Ecc))</f>
        <v>#VALUE!</v>
      </c>
    </row>
    <row r="23" spans="2:20" x14ac:dyDescent="0.25">
      <c r="B23" s="359">
        <v>11</v>
      </c>
      <c r="C23" s="360" t="s">
        <v>817</v>
      </c>
      <c r="D23" s="209" t="s">
        <v>807</v>
      </c>
      <c r="E23" s="361" t="e">
        <f ca="1">0.4*$AK$10</f>
        <v>#VALUE!</v>
      </c>
      <c r="F23" s="361" t="e">
        <f ca="1">1.25*$Y$10+0.4*$AM$10</f>
        <v>#VALUE!</v>
      </c>
      <c r="G23" s="361">
        <f>1.25*$AR$10</f>
        <v>0</v>
      </c>
      <c r="H23" s="361">
        <f t="shared" si="3"/>
        <v>0</v>
      </c>
      <c r="I23" s="362" t="e">
        <f ca="1">0.4*$AO$10-F23*Ecc</f>
        <v>#VALUE!</v>
      </c>
      <c r="M23" s="359">
        <v>11</v>
      </c>
      <c r="N23" s="360" t="s">
        <v>817</v>
      </c>
      <c r="O23" s="209" t="s">
        <v>807</v>
      </c>
      <c r="P23" s="361" t="e">
        <f ca="1">0.4*$AK$7</f>
        <v>#VALUE!</v>
      </c>
      <c r="Q23" s="361" t="e">
        <f ca="1">1.25*$Y$7+0.4*$AM$7</f>
        <v>#VALUE!</v>
      </c>
      <c r="R23" s="361">
        <f>1.25*$AR$7</f>
        <v>0</v>
      </c>
      <c r="S23" s="361">
        <f t="shared" si="5"/>
        <v>0</v>
      </c>
      <c r="T23" s="362" t="e">
        <f ca="1">IF(Theta&lt;55,0,IF((0.4*$AO$7-Q23*Ecc)&lt;0,0,(0.4*$AO$7-Q23*Ecc)))</f>
        <v>#VALUE!</v>
      </c>
    </row>
    <row r="24" spans="2:20" x14ac:dyDescent="0.25">
      <c r="B24" s="359">
        <v>12</v>
      </c>
      <c r="C24" s="360" t="s">
        <v>818</v>
      </c>
      <c r="D24" s="209" t="s">
        <v>807</v>
      </c>
      <c r="E24" s="361" t="e">
        <f ca="1">0.4*$AL$10</f>
        <v>#VALUE!</v>
      </c>
      <c r="F24" s="361" t="e">
        <f ca="1">0.9*$Y$10+0.4*$AN$10</f>
        <v>#VALUE!</v>
      </c>
      <c r="G24" s="361">
        <f>0.9*$AR$10</f>
        <v>0</v>
      </c>
      <c r="H24" s="361">
        <f t="shared" si="3"/>
        <v>0</v>
      </c>
      <c r="I24" s="362" t="e">
        <f ca="1">0.4*$AP$10-F24*Ecc</f>
        <v>#VALUE!</v>
      </c>
      <c r="M24" s="359">
        <v>12</v>
      </c>
      <c r="N24" s="360" t="s">
        <v>818</v>
      </c>
      <c r="O24" s="209" t="s">
        <v>807</v>
      </c>
      <c r="P24" s="361" t="e">
        <f ca="1">0.4*$AL$7</f>
        <v>#VALUE!</v>
      </c>
      <c r="Q24" s="361" t="e">
        <f ca="1">0.9*$Y$7+0.4*$AN$7</f>
        <v>#VALUE!</v>
      </c>
      <c r="R24" s="361">
        <f>0.9*$AR$7</f>
        <v>0</v>
      </c>
      <c r="S24" s="361">
        <f t="shared" si="5"/>
        <v>0</v>
      </c>
      <c r="T24" s="362" t="e">
        <f ca="1">IF(Theta&lt;0,0,IF((0.4*$AP$7-Q24*Ecc)&lt;0,0,(0.4*$AP$7-Q24*Ecc)))</f>
        <v>#VALUE!</v>
      </c>
    </row>
    <row r="25" spans="2:20" x14ac:dyDescent="0.25">
      <c r="B25" s="359">
        <v>13</v>
      </c>
      <c r="C25" s="360" t="s">
        <v>819</v>
      </c>
      <c r="D25" s="209" t="s">
        <v>807</v>
      </c>
      <c r="E25" s="361" t="e">
        <f ca="1">0.4*$AK$10</f>
        <v>#VALUE!</v>
      </c>
      <c r="F25" s="361" t="e">
        <f ca="1">0.9*$Y$10+0.4*$AM$10</f>
        <v>#VALUE!</v>
      </c>
      <c r="G25" s="361">
        <f>0.9*$AR$10</f>
        <v>0</v>
      </c>
      <c r="H25" s="361">
        <f t="shared" si="3"/>
        <v>0</v>
      </c>
      <c r="I25" s="362" t="e">
        <f ca="1">0.4*$AO$10-F25*Ecc</f>
        <v>#VALUE!</v>
      </c>
      <c r="M25" s="359">
        <v>13</v>
      </c>
      <c r="N25" s="360" t="s">
        <v>819</v>
      </c>
      <c r="O25" s="209" t="s">
        <v>807</v>
      </c>
      <c r="P25" s="361" t="e">
        <f ca="1">0.4*$AK$7</f>
        <v>#VALUE!</v>
      </c>
      <c r="Q25" s="361" t="e">
        <f ca="1">0.9*$Y$7+0.4*$AM$7</f>
        <v>#VALUE!</v>
      </c>
      <c r="R25" s="361">
        <f>0.9*$AR$7</f>
        <v>0</v>
      </c>
      <c r="S25" s="361">
        <f t="shared" si="5"/>
        <v>0</v>
      </c>
      <c r="T25" s="362" t="e">
        <f ca="1">IF(Theta&lt;55,0,IF((0.4*$AO$7-Q25*Ecc)&lt;0,0,(0.4*$AO$7-Q25*Ecc)))</f>
        <v>#VALUE!</v>
      </c>
    </row>
    <row r="26" spans="2:20" x14ac:dyDescent="0.25">
      <c r="B26" s="359">
        <v>14</v>
      </c>
      <c r="C26" s="360" t="s">
        <v>820</v>
      </c>
      <c r="D26" s="209" t="s">
        <v>807</v>
      </c>
      <c r="E26" s="361" t="e">
        <f ca="1">0.4*$AL$10</f>
        <v>#VALUE!</v>
      </c>
      <c r="F26" s="361" t="e">
        <f ca="1">1.25*$Y$10+0.4*$AN$10+1.5*$Z$10</f>
        <v>#VALUE!</v>
      </c>
      <c r="G26" s="361">
        <f>1.25*$AR$10+1.5*$AS$10</f>
        <v>0</v>
      </c>
      <c r="H26" s="361">
        <f t="shared" si="3"/>
        <v>0</v>
      </c>
      <c r="I26" s="362" t="e">
        <f ca="1">0.4*$AP$10-F26*Ecc</f>
        <v>#VALUE!</v>
      </c>
      <c r="M26" s="359">
        <v>14</v>
      </c>
      <c r="N26" s="360" t="s">
        <v>820</v>
      </c>
      <c r="O26" s="209" t="s">
        <v>807</v>
      </c>
      <c r="P26" s="361" t="e">
        <f ca="1">0.4*$AL$7</f>
        <v>#VALUE!</v>
      </c>
      <c r="Q26" s="361" t="e">
        <f ca="1">1.25*$Y$7+0.4*$AN$7+1.5*$Z$7</f>
        <v>#VALUE!</v>
      </c>
      <c r="R26" s="361">
        <f>1.25*$AR$7+1.5*$AS$7</f>
        <v>0</v>
      </c>
      <c r="S26" s="361">
        <f t="shared" si="5"/>
        <v>0</v>
      </c>
      <c r="T26" s="362" t="e">
        <f ca="1">IF(Theta&lt;55,0,IF((0.4*$AP$7-Q26*Ecc)&lt;0,0,(0.4*$AP$7-Q26*Ecc)))</f>
        <v>#VALUE!</v>
      </c>
    </row>
    <row r="27" spans="2:20" x14ac:dyDescent="0.25">
      <c r="B27" s="359">
        <v>15</v>
      </c>
      <c r="C27" s="360" t="s">
        <v>821</v>
      </c>
      <c r="D27" s="209" t="s">
        <v>807</v>
      </c>
      <c r="E27" s="361" t="e">
        <f ca="1">0.4*$AK$10</f>
        <v>#VALUE!</v>
      </c>
      <c r="F27" s="361" t="e">
        <f ca="1">1.25*$Y$10+0.4*$AM$10+1.5*$Z$10</f>
        <v>#VALUE!</v>
      </c>
      <c r="G27" s="361">
        <f>1.25*$AR$10+1.5*$AS$10</f>
        <v>0</v>
      </c>
      <c r="H27" s="361">
        <f t="shared" si="3"/>
        <v>0</v>
      </c>
      <c r="I27" s="362" t="e">
        <f ca="1">0.4*$AO$10-F27*Ecc</f>
        <v>#VALUE!</v>
      </c>
      <c r="M27" s="359">
        <v>15</v>
      </c>
      <c r="N27" s="360" t="s">
        <v>821</v>
      </c>
      <c r="O27" s="209" t="s">
        <v>807</v>
      </c>
      <c r="P27" s="361" t="e">
        <f ca="1">0.4*$AK$7</f>
        <v>#VALUE!</v>
      </c>
      <c r="Q27" s="361" t="e">
        <f ca="1">1.25*$Y$7+0.4*$AM$7+1.5*$Z$7</f>
        <v>#VALUE!</v>
      </c>
      <c r="R27" s="361">
        <f>1.25*$AR$7+1.5*$AS$7</f>
        <v>0</v>
      </c>
      <c r="S27" s="361">
        <f t="shared" si="5"/>
        <v>0</v>
      </c>
      <c r="T27" s="362" t="e">
        <f ca="1">IF(Theta&lt;55,0,IF((0.4*$AO$7-Q27*Ecc)&lt;0,0,(0.4*$AO$7-Q27*Ecc)))</f>
        <v>#VALUE!</v>
      </c>
    </row>
    <row r="28" spans="2:20" x14ac:dyDescent="0.25">
      <c r="B28" s="359">
        <v>16</v>
      </c>
      <c r="C28" s="360" t="s">
        <v>822</v>
      </c>
      <c r="D28" s="209" t="s">
        <v>807</v>
      </c>
      <c r="E28" s="361" t="e">
        <f ca="1">0.4*$AL$10</f>
        <v>#VALUE!</v>
      </c>
      <c r="F28" s="361" t="e">
        <f ca="1">0.9*$Y$10+0.4*$AN$10+1.5*$Z$10</f>
        <v>#VALUE!</v>
      </c>
      <c r="G28" s="361">
        <f>0.9*$AR$10+1.5*$AS$10</f>
        <v>0</v>
      </c>
      <c r="H28" s="361">
        <f t="shared" si="3"/>
        <v>0</v>
      </c>
      <c r="I28" s="362" t="e">
        <f ca="1">0.4*$AP$10-F28*Ecc</f>
        <v>#VALUE!</v>
      </c>
      <c r="M28" s="359">
        <v>16</v>
      </c>
      <c r="N28" s="360" t="s">
        <v>822</v>
      </c>
      <c r="O28" s="209" t="s">
        <v>807</v>
      </c>
      <c r="P28" s="361" t="e">
        <f ca="1">0.4*$AL$7</f>
        <v>#VALUE!</v>
      </c>
      <c r="Q28" s="361" t="e">
        <f ca="1">0.9*$Y$7+0.4*$AN$7+1.5*$Z$7</f>
        <v>#VALUE!</v>
      </c>
      <c r="R28" s="361">
        <f>0.9*$AR$7+1.5*$AS$7</f>
        <v>0</v>
      </c>
      <c r="S28" s="361">
        <f t="shared" si="5"/>
        <v>0</v>
      </c>
      <c r="T28" s="362" t="e">
        <f ca="1">IF(Theta&lt;55,0,IF((0.4*$AP$7-Q28*Ecc)&lt;0,0,(0.4*$AP$7-Q28*Ecc)))</f>
        <v>#VALUE!</v>
      </c>
    </row>
    <row r="29" spans="2:20" x14ac:dyDescent="0.25">
      <c r="B29" s="359">
        <v>17</v>
      </c>
      <c r="C29" s="360" t="s">
        <v>823</v>
      </c>
      <c r="D29" s="209" t="s">
        <v>807</v>
      </c>
      <c r="E29" s="361" t="e">
        <f ca="1">0.4*$AK$10</f>
        <v>#VALUE!</v>
      </c>
      <c r="F29" s="361" t="e">
        <f ca="1">0.9*$Y$10+0.4*$AM$10+1.5*$Z$10</f>
        <v>#VALUE!</v>
      </c>
      <c r="G29" s="361">
        <f>0.9*$AR$10+1.5*$AS$10</f>
        <v>0</v>
      </c>
      <c r="H29" s="361">
        <f t="shared" si="3"/>
        <v>0</v>
      </c>
      <c r="I29" s="362" t="e">
        <f ca="1">0.4*$AO$10-F29*Ecc</f>
        <v>#VALUE!</v>
      </c>
      <c r="M29" s="359">
        <v>17</v>
      </c>
      <c r="N29" s="360" t="s">
        <v>823</v>
      </c>
      <c r="O29" s="209" t="s">
        <v>807</v>
      </c>
      <c r="P29" s="361" t="e">
        <f ca="1">0.4*$AK$7</f>
        <v>#VALUE!</v>
      </c>
      <c r="Q29" s="361" t="e">
        <f ca="1">0.9*$Y$7+0.4*$AM$7+1.5*$Z$7</f>
        <v>#VALUE!</v>
      </c>
      <c r="R29" s="361">
        <f>0.9*$AR$7+1.5*$AS$7</f>
        <v>0</v>
      </c>
      <c r="S29" s="361">
        <f t="shared" si="5"/>
        <v>0</v>
      </c>
      <c r="T29" s="362" t="e">
        <f ca="1">IF(Theta&lt;55,0,IF((0.4*$AO$7-Q29*Ecc)&lt;0,0,(0.4*$AO$7-Q29*Ecc)))</f>
        <v>#VALUE!</v>
      </c>
    </row>
    <row r="30" spans="2:20" x14ac:dyDescent="0.25">
      <c r="B30" s="359">
        <v>18</v>
      </c>
      <c r="C30" s="360" t="s">
        <v>824</v>
      </c>
      <c r="D30" s="209" t="s">
        <v>807</v>
      </c>
      <c r="E30" s="361" t="e">
        <f ca="1">1.4*$AL$10</f>
        <v>#VALUE!</v>
      </c>
      <c r="F30" s="361" t="e">
        <f ca="1">1.25*$Y$10+1.4*$AN$10</f>
        <v>#VALUE!</v>
      </c>
      <c r="G30" s="361">
        <f>1.25*$AR$10</f>
        <v>0</v>
      </c>
      <c r="H30" s="361">
        <f t="shared" si="3"/>
        <v>0</v>
      </c>
      <c r="I30" s="362" t="e">
        <f ca="1">1.4*$AP$10-F30*Ecc</f>
        <v>#VALUE!</v>
      </c>
      <c r="M30" s="359">
        <v>18</v>
      </c>
      <c r="N30" s="360" t="s">
        <v>824</v>
      </c>
      <c r="O30" s="209" t="s">
        <v>807</v>
      </c>
      <c r="P30" s="361" t="e">
        <f ca="1">1.4*$AL$7</f>
        <v>#VALUE!</v>
      </c>
      <c r="Q30" s="361" t="e">
        <f ca="1">1.25*$Y$7+1.4*$AN$7</f>
        <v>#VALUE!</v>
      </c>
      <c r="R30" s="361">
        <f>1.25*$AR$7</f>
        <v>0</v>
      </c>
      <c r="S30" s="361">
        <f t="shared" si="5"/>
        <v>0</v>
      </c>
      <c r="T30" s="362" t="e">
        <f ca="1">IF(Theta&lt;55,0,IF((1.4*$AP$7-Q30*Ecc)&lt;0,0,(1.4*$AP$7-Q30*Ecc)))</f>
        <v>#VALUE!</v>
      </c>
    </row>
    <row r="31" spans="2:20" x14ac:dyDescent="0.25">
      <c r="B31" s="359">
        <v>19</v>
      </c>
      <c r="C31" s="360" t="s">
        <v>825</v>
      </c>
      <c r="D31" s="209" t="s">
        <v>807</v>
      </c>
      <c r="E31" s="361" t="e">
        <f ca="1">1.4*$AK$10</f>
        <v>#VALUE!</v>
      </c>
      <c r="F31" s="361" t="e">
        <f ca="1">1.25*$Y$10+1.4*$AM$10</f>
        <v>#VALUE!</v>
      </c>
      <c r="G31" s="361">
        <f>1.25*$AR$10</f>
        <v>0</v>
      </c>
      <c r="H31" s="361">
        <f t="shared" si="3"/>
        <v>0</v>
      </c>
      <c r="I31" s="362" t="e">
        <f ca="1">1.4*$AO$10-F31*Ecc</f>
        <v>#VALUE!</v>
      </c>
      <c r="M31" s="359">
        <v>19</v>
      </c>
      <c r="N31" s="360" t="s">
        <v>825</v>
      </c>
      <c r="O31" s="209" t="s">
        <v>807</v>
      </c>
      <c r="P31" s="361" t="e">
        <f ca="1">1.4*$AK$7</f>
        <v>#VALUE!</v>
      </c>
      <c r="Q31" s="361" t="e">
        <f ca="1">1.25*$Y$7+1.4*$AM$7</f>
        <v>#VALUE!</v>
      </c>
      <c r="R31" s="361">
        <f>1.25*$AR$7</f>
        <v>0</v>
      </c>
      <c r="S31" s="361">
        <f t="shared" si="5"/>
        <v>0</v>
      </c>
      <c r="T31" s="362" t="e">
        <f ca="1">IF(Theta&lt;55,0,IF((1.4*$AO$7-Q31*Ecc)&lt;0,0,(1.4*$AO$7-Q31*Ecc)))</f>
        <v>#VALUE!</v>
      </c>
    </row>
    <row r="32" spans="2:20" x14ac:dyDescent="0.25">
      <c r="B32" s="359">
        <v>20</v>
      </c>
      <c r="C32" s="360" t="s">
        <v>826</v>
      </c>
      <c r="D32" s="209" t="s">
        <v>807</v>
      </c>
      <c r="E32" s="361" t="e">
        <f ca="1">1.4*$AL$10</f>
        <v>#VALUE!</v>
      </c>
      <c r="F32" s="361" t="e">
        <f ca="1">1.25*$Y$10+1.4*$AN$10</f>
        <v>#VALUE!</v>
      </c>
      <c r="G32" s="361">
        <f>1.25*$AR$10</f>
        <v>0</v>
      </c>
      <c r="H32" s="361">
        <f t="shared" si="3"/>
        <v>0</v>
      </c>
      <c r="I32" s="362" t="e">
        <f ca="1">1.4*$AP$10-F32*Ecc</f>
        <v>#VALUE!</v>
      </c>
      <c r="M32" s="359">
        <v>20</v>
      </c>
      <c r="N32" s="360" t="s">
        <v>826</v>
      </c>
      <c r="O32" s="209" t="s">
        <v>807</v>
      </c>
      <c r="P32" s="361" t="e">
        <f ca="1">1.4*$AL$7</f>
        <v>#VALUE!</v>
      </c>
      <c r="Q32" s="361" t="e">
        <f ca="1">1.25*$Y$7+1.4*$AN$7</f>
        <v>#VALUE!</v>
      </c>
      <c r="R32" s="361">
        <f>1.25*$AR$7</f>
        <v>0</v>
      </c>
      <c r="S32" s="361">
        <f t="shared" si="5"/>
        <v>0</v>
      </c>
      <c r="T32" s="362" t="e">
        <f ca="1">IF(Theta&lt;55,0,IF((1.4*$AP$7-Q32*Ecc)&lt;0,0,(1.4*$AP$7-Q32*Ecc)))</f>
        <v>#VALUE!</v>
      </c>
    </row>
    <row r="33" spans="1:20" x14ac:dyDescent="0.25">
      <c r="B33" s="359">
        <v>21</v>
      </c>
      <c r="C33" s="360" t="s">
        <v>827</v>
      </c>
      <c r="D33" s="209" t="s">
        <v>807</v>
      </c>
      <c r="E33" s="361" t="e">
        <f ca="1">1.4*$AK$10</f>
        <v>#VALUE!</v>
      </c>
      <c r="F33" s="361" t="e">
        <f ca="1">1.25*$Y$10+1.4*$AM$10</f>
        <v>#VALUE!</v>
      </c>
      <c r="G33" s="361">
        <f>1.25*$AR$10</f>
        <v>0</v>
      </c>
      <c r="H33" s="361">
        <f t="shared" si="3"/>
        <v>0</v>
      </c>
      <c r="I33" s="362" t="e">
        <f ca="1">1.4*$AO$10-F33*Ecc</f>
        <v>#VALUE!</v>
      </c>
      <c r="M33" s="359">
        <v>21</v>
      </c>
      <c r="N33" s="360" t="s">
        <v>827</v>
      </c>
      <c r="O33" s="209" t="s">
        <v>807</v>
      </c>
      <c r="P33" s="361" t="e">
        <f ca="1">1.4*$AK$7</f>
        <v>#VALUE!</v>
      </c>
      <c r="Q33" s="361" t="e">
        <f ca="1">1.25*$Y$7+1.4*$AM$7</f>
        <v>#VALUE!</v>
      </c>
      <c r="R33" s="361">
        <f>1.25*$AR$7</f>
        <v>0</v>
      </c>
      <c r="S33" s="361">
        <f t="shared" si="5"/>
        <v>0</v>
      </c>
      <c r="T33" s="362" t="e">
        <f ca="1">IF(Theta&lt;55,0,IF((1.4*$AO$7-Q33*Ecc)&lt;0,0,(1.4*$AO$7-Q33*Ecc)))</f>
        <v>#VALUE!</v>
      </c>
    </row>
    <row r="34" spans="1:20" x14ac:dyDescent="0.25">
      <c r="B34" s="359">
        <v>22</v>
      </c>
      <c r="C34" s="360" t="s">
        <v>828</v>
      </c>
      <c r="D34" s="209" t="s">
        <v>807</v>
      </c>
      <c r="E34" s="361" t="e">
        <f ca="1">1.4*$AL$10</f>
        <v>#VALUE!</v>
      </c>
      <c r="F34" s="361" t="e">
        <f ca="1">1.25*$Y$10+1.4*$AN$10+0.5*$Z$10</f>
        <v>#VALUE!</v>
      </c>
      <c r="G34" s="361">
        <f>1.25*$AR$10+0.5*$AS$10</f>
        <v>0</v>
      </c>
      <c r="H34" s="361">
        <f t="shared" si="3"/>
        <v>0</v>
      </c>
      <c r="I34" s="362" t="e">
        <f ca="1">0.4*$AP$10-F34*Ecc</f>
        <v>#VALUE!</v>
      </c>
      <c r="M34" s="359">
        <v>22</v>
      </c>
      <c r="N34" s="360" t="s">
        <v>828</v>
      </c>
      <c r="O34" s="209" t="s">
        <v>807</v>
      </c>
      <c r="P34" s="361" t="e">
        <f ca="1">1.4*$AL$7</f>
        <v>#VALUE!</v>
      </c>
      <c r="Q34" s="361" t="e">
        <f ca="1">1.25*$Y$7+1.4*$AN$7+0.5*$Z$7</f>
        <v>#VALUE!</v>
      </c>
      <c r="R34" s="361">
        <f>1.25*$AR$7+0.5*$AS$7</f>
        <v>0</v>
      </c>
      <c r="S34" s="361">
        <f t="shared" si="5"/>
        <v>0</v>
      </c>
      <c r="T34" s="362" t="e">
        <f ca="1">IF(Theta&lt;55,0,IF((0.4*$AP$7-Q34*Ecc)&lt;0,0,(0.4*$AP$7-Q34*Ecc)))</f>
        <v>#VALUE!</v>
      </c>
    </row>
    <row r="35" spans="1:20" x14ac:dyDescent="0.25">
      <c r="B35" s="359">
        <v>23</v>
      </c>
      <c r="C35" s="360" t="s">
        <v>829</v>
      </c>
      <c r="D35" s="209" t="s">
        <v>807</v>
      </c>
      <c r="E35" s="361" t="e">
        <f ca="1">1.4*$AK$10</f>
        <v>#VALUE!</v>
      </c>
      <c r="F35" s="361" t="e">
        <f ca="1">1.25*$Y$10+1.4*$AM$10+0.5*$Z$10</f>
        <v>#VALUE!</v>
      </c>
      <c r="G35" s="361">
        <f>1.25*$AR$10+0.5*$AS$10</f>
        <v>0</v>
      </c>
      <c r="H35" s="361">
        <f t="shared" si="3"/>
        <v>0</v>
      </c>
      <c r="I35" s="362" t="e">
        <f ca="1">0.4*$AO$10-F35*Ecc</f>
        <v>#VALUE!</v>
      </c>
      <c r="M35" s="359">
        <v>23</v>
      </c>
      <c r="N35" s="360" t="s">
        <v>829</v>
      </c>
      <c r="O35" s="209" t="s">
        <v>807</v>
      </c>
      <c r="P35" s="361" t="e">
        <f ca="1">1.4*$AK$7</f>
        <v>#VALUE!</v>
      </c>
      <c r="Q35" s="361" t="e">
        <f ca="1">1.25*$Y$7+1.4*$AM$7+0.5*$Z$7</f>
        <v>#VALUE!</v>
      </c>
      <c r="R35" s="361">
        <f>1.25*$AR$7+0.5*$AS$7</f>
        <v>0</v>
      </c>
      <c r="S35" s="361">
        <f t="shared" si="5"/>
        <v>0</v>
      </c>
      <c r="T35" s="362" t="e">
        <f ca="1">IF(Theta&lt;55,0,IF((0.4*$AO$7-Q35*Ecc)&lt;0,0,(0.4*$AO$7-Q35*Ecc)))</f>
        <v>#VALUE!</v>
      </c>
    </row>
    <row r="36" spans="1:20" x14ac:dyDescent="0.25">
      <c r="B36" s="359">
        <v>24</v>
      </c>
      <c r="C36" s="360" t="s">
        <v>830</v>
      </c>
      <c r="D36" s="209" t="s">
        <v>807</v>
      </c>
      <c r="E36" s="361" t="e">
        <f ca="1">1.4*$AL$10</f>
        <v>#VALUE!</v>
      </c>
      <c r="F36" s="361" t="e">
        <f ca="1">0.9*$Y$10+1.4*$AN$10</f>
        <v>#VALUE!</v>
      </c>
      <c r="G36" s="361">
        <f>0.9*$AR$10</f>
        <v>0</v>
      </c>
      <c r="H36" s="361">
        <f t="shared" si="3"/>
        <v>0</v>
      </c>
      <c r="I36" s="362" t="e">
        <f ca="1">1.4*$AP$10-F36*Ecc</f>
        <v>#VALUE!</v>
      </c>
      <c r="M36" s="359">
        <v>24</v>
      </c>
      <c r="N36" s="360" t="s">
        <v>830</v>
      </c>
      <c r="O36" s="209" t="s">
        <v>807</v>
      </c>
      <c r="P36" s="361" t="e">
        <f ca="1">1.4*$AL$7</f>
        <v>#VALUE!</v>
      </c>
      <c r="Q36" s="361" t="e">
        <f ca="1">0.9*$Y$7+1.4*$AN$7</f>
        <v>#VALUE!</v>
      </c>
      <c r="R36" s="361">
        <f>0.9*$AR$7</f>
        <v>0</v>
      </c>
      <c r="S36" s="361">
        <f t="shared" si="5"/>
        <v>0</v>
      </c>
      <c r="T36" s="362" t="e">
        <f ca="1">IF(Theta&lt;55,0,IF((1.4*$AP$7-Q36*Ecc)&lt;0,0,(1.4*$AP$7-Q36*Ecc)))</f>
        <v>#VALUE!</v>
      </c>
    </row>
    <row r="37" spans="1:20" x14ac:dyDescent="0.25">
      <c r="B37" s="359">
        <v>25</v>
      </c>
      <c r="C37" s="360" t="s">
        <v>831</v>
      </c>
      <c r="D37" s="209" t="s">
        <v>807</v>
      </c>
      <c r="E37" s="361" t="e">
        <f ca="1">1.4*$AK$10</f>
        <v>#VALUE!</v>
      </c>
      <c r="F37" s="361" t="e">
        <f ca="1">0.9*$Y$10+1.4*$AM$10</f>
        <v>#VALUE!</v>
      </c>
      <c r="G37" s="361">
        <f>0.9*$AR$10</f>
        <v>0</v>
      </c>
      <c r="H37" s="361">
        <f t="shared" si="3"/>
        <v>0</v>
      </c>
      <c r="I37" s="362" t="e">
        <f ca="1">1.4*$AO$10-F37*Ecc</f>
        <v>#VALUE!</v>
      </c>
      <c r="M37" s="359">
        <v>25</v>
      </c>
      <c r="N37" s="360" t="s">
        <v>831</v>
      </c>
      <c r="O37" s="209" t="s">
        <v>807</v>
      </c>
      <c r="P37" s="361" t="e">
        <f ca="1">1.4*$AK$7</f>
        <v>#VALUE!</v>
      </c>
      <c r="Q37" s="361" t="e">
        <f ca="1">0.9*$Y$7+1.4*$AM$7</f>
        <v>#VALUE!</v>
      </c>
      <c r="R37" s="361">
        <f>0.9*$AR$7</f>
        <v>0</v>
      </c>
      <c r="S37" s="361">
        <f t="shared" si="5"/>
        <v>0</v>
      </c>
      <c r="T37" s="362" t="e">
        <f ca="1">IF(Theta&lt;55,0,IF((1.4*$AO$7-Q37*Ecc)&lt;0,0,(1.4*$AO$7-Q37*Ecc)))</f>
        <v>#VALUE!</v>
      </c>
    </row>
    <row r="38" spans="1:20" x14ac:dyDescent="0.25">
      <c r="B38" s="359">
        <v>26</v>
      </c>
      <c r="C38" s="360" t="s">
        <v>832</v>
      </c>
      <c r="D38" s="209" t="s">
        <v>807</v>
      </c>
      <c r="E38" s="361" t="e">
        <f ca="1">1.4*$AL$10</f>
        <v>#VALUE!</v>
      </c>
      <c r="F38" s="361" t="e">
        <f ca="1">0.9*$Y$10+1.4*$AN$10</f>
        <v>#VALUE!</v>
      </c>
      <c r="G38" s="361">
        <f>0.9*$AR$10</f>
        <v>0</v>
      </c>
      <c r="H38" s="361">
        <f t="shared" si="3"/>
        <v>0</v>
      </c>
      <c r="I38" s="362" t="e">
        <f ca="1">1.4*$AP$10-F38*Ecc</f>
        <v>#VALUE!</v>
      </c>
      <c r="M38" s="359">
        <v>26</v>
      </c>
      <c r="N38" s="360" t="s">
        <v>832</v>
      </c>
      <c r="O38" s="209" t="s">
        <v>807</v>
      </c>
      <c r="P38" s="361" t="e">
        <f ca="1">1.4*$AL$7</f>
        <v>#VALUE!</v>
      </c>
      <c r="Q38" s="361" t="e">
        <f ca="1">0.9*$Y$7+1.4*$AN$7</f>
        <v>#VALUE!</v>
      </c>
      <c r="R38" s="361">
        <f>0.9*$AR$7</f>
        <v>0</v>
      </c>
      <c r="S38" s="361">
        <f t="shared" si="5"/>
        <v>0</v>
      </c>
      <c r="T38" s="362" t="e">
        <f ca="1">IF(Theta&lt;55,0,IF((1.4*$AP$7-Q38*Ecc)&lt;0,0,(1.4*$AP$7-Q38*Ecc)))</f>
        <v>#VALUE!</v>
      </c>
    </row>
    <row r="39" spans="1:20" x14ac:dyDescent="0.25">
      <c r="B39" s="359">
        <v>27</v>
      </c>
      <c r="C39" s="360" t="s">
        <v>833</v>
      </c>
      <c r="D39" s="209" t="s">
        <v>807</v>
      </c>
      <c r="E39" s="361" t="e">
        <f ca="1">1.4*$AK$10</f>
        <v>#VALUE!</v>
      </c>
      <c r="F39" s="361" t="e">
        <f ca="1">0.9*$Y$10+1.4*$AM$10</f>
        <v>#VALUE!</v>
      </c>
      <c r="G39" s="361">
        <f>0.9*$AR$10</f>
        <v>0</v>
      </c>
      <c r="H39" s="361">
        <f t="shared" si="3"/>
        <v>0</v>
      </c>
      <c r="I39" s="362" t="e">
        <f ca="1">1.4*$AO$10-F39*Ecc</f>
        <v>#VALUE!</v>
      </c>
      <c r="M39" s="359">
        <v>27</v>
      </c>
      <c r="N39" s="360" t="s">
        <v>833</v>
      </c>
      <c r="O39" s="209" t="s">
        <v>807</v>
      </c>
      <c r="P39" s="361" t="e">
        <f ca="1">1.4*$AK$7</f>
        <v>#VALUE!</v>
      </c>
      <c r="Q39" s="361" t="e">
        <f ca="1">0.9*$Y$7+1.4*$AM$7</f>
        <v>#VALUE!</v>
      </c>
      <c r="R39" s="361">
        <f>0.9*$AR$7</f>
        <v>0</v>
      </c>
      <c r="S39" s="361">
        <f t="shared" si="5"/>
        <v>0</v>
      </c>
      <c r="T39" s="362" t="e">
        <f ca="1">IF(Theta&lt;55,0,IF((1.4*$AO$7-Q39*Ecc)&lt;0,0,(1.4*$AO$7-Q39*Ecc)))</f>
        <v>#VALUE!</v>
      </c>
    </row>
    <row r="40" spans="1:20" x14ac:dyDescent="0.25">
      <c r="B40" s="359">
        <v>28</v>
      </c>
      <c r="C40" s="360" t="s">
        <v>834</v>
      </c>
      <c r="D40" s="209" t="s">
        <v>807</v>
      </c>
      <c r="E40" s="361" t="e">
        <f ca="1">1.4*$AL$10</f>
        <v>#VALUE!</v>
      </c>
      <c r="F40" s="361" t="e">
        <f ca="1">0.9*$Y$10+1.4*$AN$10+0.5*$Z$10</f>
        <v>#VALUE!</v>
      </c>
      <c r="G40" s="361">
        <f>0.9*$AR$10+0.5*$AS$10</f>
        <v>0</v>
      </c>
      <c r="H40" s="361">
        <f t="shared" si="3"/>
        <v>0</v>
      </c>
      <c r="I40" s="362" t="e">
        <f ca="1">0.4*$AP$10-F40*Ecc</f>
        <v>#VALUE!</v>
      </c>
      <c r="M40" s="359">
        <v>28</v>
      </c>
      <c r="N40" s="360" t="s">
        <v>834</v>
      </c>
      <c r="O40" s="209" t="s">
        <v>807</v>
      </c>
      <c r="P40" s="361" t="e">
        <f ca="1">1.4*$AL$7</f>
        <v>#VALUE!</v>
      </c>
      <c r="Q40" s="361" t="e">
        <f ca="1">0.9*$Y$7+1.4*$AN$7+0.5*$Z$7</f>
        <v>#VALUE!</v>
      </c>
      <c r="R40" s="361">
        <f>0.9*$AR$7+0.5*$AS$7</f>
        <v>0</v>
      </c>
      <c r="S40" s="361">
        <f t="shared" si="5"/>
        <v>0</v>
      </c>
      <c r="T40" s="362" t="e">
        <f ca="1">IF(Theta&lt;55,0,IF((0.4*$AP$7-Q40*Ecc)&lt;0,0,(0.4*$AP$7-Q40*Ecc)))</f>
        <v>#VALUE!</v>
      </c>
    </row>
    <row r="41" spans="1:20" ht="15.75" customHeight="1" thickBot="1" x14ac:dyDescent="0.3">
      <c r="B41" s="363">
        <v>29</v>
      </c>
      <c r="C41" s="364" t="s">
        <v>835</v>
      </c>
      <c r="D41" s="365" t="s">
        <v>807</v>
      </c>
      <c r="E41" s="366" t="e">
        <f ca="1">1.4*$AK$10</f>
        <v>#VALUE!</v>
      </c>
      <c r="F41" s="366" t="e">
        <f ca="1">0.9*$Y$10+1.4*$AM$10+0.5*$Z$10</f>
        <v>#VALUE!</v>
      </c>
      <c r="G41" s="366">
        <f>0.9*$AR$10+0.5*$AS$10</f>
        <v>0</v>
      </c>
      <c r="H41" s="366">
        <f t="shared" si="3"/>
        <v>0</v>
      </c>
      <c r="I41" s="367" t="e">
        <f ca="1">0.4*$AO$10-F41*Ecc</f>
        <v>#VALUE!</v>
      </c>
      <c r="M41" s="363">
        <v>29</v>
      </c>
      <c r="N41" s="364" t="s">
        <v>835</v>
      </c>
      <c r="O41" s="365" t="s">
        <v>807</v>
      </c>
      <c r="P41" s="366" t="e">
        <f ca="1">1.4*$AK$7</f>
        <v>#VALUE!</v>
      </c>
      <c r="Q41" s="366" t="e">
        <f ca="1">0.9*$Y$7+1.4*$AM$7+0.5*$Z$7</f>
        <v>#VALUE!</v>
      </c>
      <c r="R41" s="366">
        <f>0.9*$AR$7+0.5*$AS$7</f>
        <v>0</v>
      </c>
      <c r="S41" s="366">
        <f t="shared" si="5"/>
        <v>0</v>
      </c>
      <c r="T41" s="367" t="e">
        <f ca="1">IF(Theta&lt;55,0,IF((0.4*$AO$7-Q41*Ecc)&lt;0,0,(0.4*$AO$7-Q41*Ecc)))</f>
        <v>#VALUE!</v>
      </c>
    </row>
    <row r="42" spans="1:20" x14ac:dyDescent="0.25">
      <c r="B42" s="368" t="s">
        <v>836</v>
      </c>
      <c r="C42" s="369" t="s">
        <v>837</v>
      </c>
      <c r="M42" s="368" t="s">
        <v>836</v>
      </c>
      <c r="N42" s="369" t="s">
        <v>837</v>
      </c>
    </row>
    <row r="43" spans="1:20" x14ac:dyDescent="0.25">
      <c r="B43" s="368" t="s">
        <v>838</v>
      </c>
      <c r="C43" s="369" t="s">
        <v>839</v>
      </c>
      <c r="M43" s="368" t="s">
        <v>838</v>
      </c>
      <c r="N43" s="369" t="s">
        <v>839</v>
      </c>
    </row>
    <row r="44" spans="1:20" x14ac:dyDescent="0.25">
      <c r="B44" s="368" t="s">
        <v>474</v>
      </c>
      <c r="C44" s="369" t="s">
        <v>840</v>
      </c>
      <c r="M44" s="368" t="s">
        <v>474</v>
      </c>
      <c r="N44" s="369" t="s">
        <v>840</v>
      </c>
    </row>
    <row r="45" spans="1:20" x14ac:dyDescent="0.25">
      <c r="A45" s="260"/>
      <c r="B45" s="368" t="s">
        <v>266</v>
      </c>
      <c r="C45" s="369" t="s">
        <v>841</v>
      </c>
      <c r="L45" s="260"/>
      <c r="M45" s="368" t="s">
        <v>266</v>
      </c>
      <c r="N45" s="369" t="s">
        <v>841</v>
      </c>
    </row>
    <row r="46" spans="1:20" x14ac:dyDescent="0.25">
      <c r="M46" s="368"/>
      <c r="N46" s="369"/>
    </row>
    <row r="47" spans="1:20" x14ac:dyDescent="0.25">
      <c r="B47" s="368"/>
      <c r="C47" s="369"/>
      <c r="M47" s="368"/>
      <c r="N47" s="369"/>
    </row>
    <row r="48" spans="1:20" x14ac:dyDescent="0.25">
      <c r="B48" s="368"/>
      <c r="C48" s="369"/>
      <c r="M48" s="368"/>
      <c r="N48" s="369"/>
    </row>
    <row r="49" spans="2:20" x14ac:dyDescent="0.25">
      <c r="B49" s="7"/>
      <c r="C49" s="77"/>
      <c r="D49" s="7"/>
      <c r="M49" s="7"/>
      <c r="N49" s="77"/>
      <c r="O49" s="7"/>
    </row>
    <row r="50" spans="2:20" x14ac:dyDescent="0.25">
      <c r="B50" s="7"/>
      <c r="C50" s="77"/>
      <c r="D50" s="7"/>
      <c r="E50" s="370"/>
      <c r="F50" s="370"/>
      <c r="G50" s="370"/>
      <c r="H50" s="370"/>
      <c r="I50" s="370"/>
      <c r="M50" s="7"/>
      <c r="N50" s="77"/>
      <c r="O50" s="7"/>
      <c r="P50" s="370"/>
      <c r="Q50" s="370"/>
      <c r="R50" s="370"/>
      <c r="S50" s="370"/>
      <c r="T50" s="370"/>
    </row>
    <row r="51" spans="2:20" x14ac:dyDescent="0.25">
      <c r="B51" s="7"/>
      <c r="C51" s="77"/>
      <c r="D51" s="7"/>
      <c r="E51" s="370"/>
      <c r="F51" s="370"/>
      <c r="G51" s="370"/>
      <c r="H51" s="370"/>
      <c r="I51" s="370"/>
      <c r="M51" s="7"/>
      <c r="N51" s="77"/>
      <c r="O51" s="7"/>
      <c r="P51" s="370"/>
      <c r="Q51" s="370"/>
      <c r="R51" s="370"/>
      <c r="S51" s="370"/>
      <c r="T51" s="370"/>
    </row>
    <row r="52" spans="2:20" x14ac:dyDescent="0.25">
      <c r="B52" s="7"/>
      <c r="C52" s="77"/>
      <c r="D52" s="7"/>
      <c r="E52" s="370"/>
      <c r="F52" s="370"/>
      <c r="G52" s="370"/>
      <c r="H52" s="370"/>
      <c r="I52" s="370"/>
      <c r="M52" s="7"/>
      <c r="N52" s="77"/>
      <c r="O52" s="7"/>
      <c r="P52" s="370"/>
      <c r="Q52" s="370"/>
      <c r="R52" s="370"/>
      <c r="S52" s="370"/>
      <c r="T52" s="370"/>
    </row>
    <row r="53" spans="2:20" x14ac:dyDescent="0.25">
      <c r="B53" s="7"/>
      <c r="C53" s="77"/>
      <c r="D53" s="7"/>
      <c r="E53" s="370"/>
      <c r="F53" s="370"/>
      <c r="G53" s="370"/>
      <c r="H53" s="370"/>
      <c r="I53" s="370"/>
      <c r="M53" s="7"/>
      <c r="N53" s="77"/>
      <c r="O53" s="7"/>
      <c r="P53" s="370"/>
      <c r="Q53" s="370"/>
      <c r="R53" s="370"/>
      <c r="S53" s="370"/>
      <c r="T53" s="370"/>
    </row>
    <row r="54" spans="2:20" x14ac:dyDescent="0.25">
      <c r="B54" s="7"/>
      <c r="C54" s="77"/>
      <c r="D54" s="7"/>
      <c r="E54" s="370"/>
      <c r="F54" s="370"/>
      <c r="G54" s="370"/>
      <c r="H54" s="370"/>
      <c r="I54" s="370"/>
      <c r="M54" s="7"/>
      <c r="N54" s="77"/>
      <c r="O54" s="7"/>
      <c r="P54" s="370"/>
      <c r="Q54" s="370"/>
      <c r="R54" s="370"/>
      <c r="S54" s="370"/>
      <c r="T54" s="370"/>
    </row>
    <row r="55" spans="2:20" x14ac:dyDescent="0.25">
      <c r="B55" s="7"/>
      <c r="C55" s="77"/>
      <c r="D55" s="7"/>
      <c r="E55" s="370"/>
      <c r="F55" s="370"/>
      <c r="G55" s="370"/>
      <c r="H55" s="370"/>
      <c r="I55" s="370"/>
      <c r="M55" s="7"/>
      <c r="N55" s="77"/>
      <c r="O55" s="7"/>
      <c r="P55" s="370"/>
      <c r="Q55" s="370"/>
      <c r="R55" s="370"/>
      <c r="S55" s="370"/>
      <c r="T55" s="370"/>
    </row>
    <row r="56" spans="2:20" x14ac:dyDescent="0.25">
      <c r="B56" s="7"/>
      <c r="C56" s="77"/>
      <c r="D56" s="7"/>
      <c r="E56" s="370"/>
      <c r="F56" s="370"/>
      <c r="G56" s="370"/>
      <c r="H56" s="370"/>
      <c r="I56" s="370"/>
      <c r="M56" s="7"/>
      <c r="N56" s="77"/>
      <c r="O56" s="7"/>
      <c r="P56" s="370"/>
      <c r="Q56" s="370"/>
      <c r="R56" s="370"/>
      <c r="S56" s="370"/>
      <c r="T56" s="370"/>
    </row>
    <row r="57" spans="2:20" x14ac:dyDescent="0.25">
      <c r="B57" s="7"/>
      <c r="C57" s="77"/>
      <c r="D57" s="7"/>
      <c r="E57" s="370"/>
      <c r="F57" s="370"/>
      <c r="G57" s="370"/>
      <c r="H57" s="370"/>
      <c r="I57" s="370"/>
      <c r="M57" s="7"/>
      <c r="N57" s="77"/>
      <c r="O57" s="7"/>
      <c r="P57" s="370"/>
      <c r="Q57" s="370"/>
      <c r="R57" s="370"/>
      <c r="S57" s="370"/>
      <c r="T57" s="370"/>
    </row>
    <row r="59" spans="2:20" ht="15.75" customHeight="1" x14ac:dyDescent="0.25">
      <c r="B59" s="345" t="s">
        <v>442</v>
      </c>
      <c r="C59" s="716" t="str">
        <f>$C$2</f>
        <v xml:space="preserve">Customer </v>
      </c>
      <c r="D59" s="554"/>
      <c r="E59" s="346"/>
      <c r="M59" s="345" t="s">
        <v>442</v>
      </c>
      <c r="N59" s="716" t="str">
        <f>$C$2</f>
        <v xml:space="preserve">Customer </v>
      </c>
      <c r="O59" s="554"/>
      <c r="P59" s="346"/>
    </row>
    <row r="60" spans="2:20" ht="15.75" customHeight="1" x14ac:dyDescent="0.25">
      <c r="B60" s="347" t="s">
        <v>443</v>
      </c>
      <c r="C60" s="713" t="str">
        <f>$C$3</f>
        <v xml:space="preserve">Project </v>
      </c>
      <c r="D60" s="556"/>
      <c r="E60" s="346"/>
      <c r="M60" s="347" t="s">
        <v>443</v>
      </c>
      <c r="N60" s="713" t="str">
        <f>$C$3</f>
        <v xml:space="preserve">Project </v>
      </c>
      <c r="O60" s="556"/>
      <c r="P60" s="346"/>
    </row>
    <row r="61" spans="2:20" ht="15.75" customHeight="1" x14ac:dyDescent="0.25">
      <c r="B61" s="347" t="s">
        <v>444</v>
      </c>
      <c r="C61" s="713" t="str">
        <f>$C$4</f>
        <v xml:space="preserve">City, State Zip </v>
      </c>
      <c r="D61" s="556"/>
      <c r="E61" s="346"/>
      <c r="M61" s="347" t="s">
        <v>444</v>
      </c>
      <c r="N61" s="713" t="str">
        <f>$C$4</f>
        <v xml:space="preserve">City, State Zip </v>
      </c>
      <c r="O61" s="556"/>
      <c r="P61" s="346"/>
    </row>
    <row r="62" spans="2:20" ht="16.5" customHeight="1" thickBot="1" x14ac:dyDescent="0.3">
      <c r="B62" s="347" t="s">
        <v>792</v>
      </c>
      <c r="C62" s="346" t="e">
        <f>$C$5</f>
        <v>#VALUE!</v>
      </c>
      <c r="D62" s="348"/>
      <c r="E62" s="346"/>
      <c r="M62" s="347" t="s">
        <v>792</v>
      </c>
      <c r="N62" s="346" t="e">
        <f>$C$5</f>
        <v>#VALUE!</v>
      </c>
      <c r="O62" s="348"/>
      <c r="P62" s="346"/>
    </row>
    <row r="63" spans="2:20" ht="15.75" customHeight="1" x14ac:dyDescent="0.25">
      <c r="B63" s="347" t="s">
        <v>793</v>
      </c>
      <c r="C63" s="710" t="str">
        <f>$C$6</f>
        <v>X/XX/XX - XXX</v>
      </c>
      <c r="D63" s="711"/>
      <c r="E63" s="349"/>
      <c r="F63" s="718" t="s">
        <v>0</v>
      </c>
      <c r="G63" s="548"/>
      <c r="M63" s="347" t="s">
        <v>793</v>
      </c>
      <c r="N63" s="710" t="str">
        <f>$C$6</f>
        <v>X/XX/XX - XXX</v>
      </c>
      <c r="O63" s="711"/>
      <c r="P63" s="349"/>
      <c r="Q63" s="720" t="s">
        <v>3</v>
      </c>
      <c r="R63" s="548"/>
    </row>
    <row r="64" spans="2:20" ht="16.5" customHeight="1" thickBot="1" x14ac:dyDescent="0.3">
      <c r="B64" s="350" t="s">
        <v>794</v>
      </c>
      <c r="C64" s="351" t="str">
        <f>$C$7</f>
        <v>TBD by Others</v>
      </c>
      <c r="D64" s="372"/>
      <c r="E64" s="349"/>
      <c r="F64" s="550"/>
      <c r="G64" s="552"/>
      <c r="M64" s="350" t="s">
        <v>794</v>
      </c>
      <c r="N64" s="351" t="str">
        <f>$C$7</f>
        <v>TBD by Others</v>
      </c>
      <c r="O64" s="372"/>
      <c r="P64" s="349"/>
      <c r="Q64" s="550"/>
      <c r="R64" s="552"/>
    </row>
    <row r="65" spans="2:20" ht="15.75" customHeight="1" x14ac:dyDescent="0.25">
      <c r="D65" s="371"/>
      <c r="E65" s="349"/>
      <c r="O65" s="371"/>
      <c r="P65" s="349"/>
    </row>
    <row r="66" spans="2:20" ht="15.75" customHeight="1" thickBot="1" x14ac:dyDescent="0.3"/>
    <row r="67" spans="2:20" x14ac:dyDescent="0.25">
      <c r="B67" s="715" t="str">
        <f>"Factored Post Reaction - IDLER @ "&amp;Inputs!$B$33&amp;" DEGREES"</f>
        <v>Factored Post Reaction - IDLER @ XX DEGREES</v>
      </c>
      <c r="C67" s="547"/>
      <c r="D67" s="547"/>
      <c r="E67" s="547"/>
      <c r="F67" s="547"/>
      <c r="G67" s="547"/>
      <c r="H67" s="547"/>
      <c r="I67" s="548"/>
      <c r="M67" s="715" t="str">
        <f>"Factored Post Reaction - DRIVE @ "&amp;Inputs!$B$33&amp;" DEGREES"</f>
        <v>Factored Post Reaction - DRIVE @ XX DEGREES</v>
      </c>
      <c r="N67" s="547"/>
      <c r="O67" s="547"/>
      <c r="P67" s="547"/>
      <c r="Q67" s="547"/>
      <c r="R67" s="547"/>
      <c r="S67" s="547"/>
      <c r="T67" s="548"/>
    </row>
    <row r="68" spans="2:20" ht="15.75" customHeight="1" thickBot="1" x14ac:dyDescent="0.3">
      <c r="B68" s="712" t="str">
        <f>B11</f>
        <v xml:space="preserve">Top of Pile Loads </v>
      </c>
      <c r="C68" s="551"/>
      <c r="D68" s="551"/>
      <c r="E68" s="551"/>
      <c r="F68" s="551"/>
      <c r="G68" s="551"/>
      <c r="H68" s="551"/>
      <c r="I68" s="552"/>
      <c r="M68" s="712" t="str">
        <f>B11</f>
        <v xml:space="preserve">Top of Pile Loads </v>
      </c>
      <c r="N68" s="551"/>
      <c r="O68" s="551"/>
      <c r="P68" s="551"/>
      <c r="Q68" s="551"/>
      <c r="R68" s="551"/>
      <c r="S68" s="551"/>
      <c r="T68" s="552"/>
    </row>
    <row r="69" spans="2:20" ht="60.75" customHeight="1" thickBot="1" x14ac:dyDescent="0.3">
      <c r="B69" s="352" t="s">
        <v>798</v>
      </c>
      <c r="C69" s="352" t="s">
        <v>799</v>
      </c>
      <c r="D69" s="352" t="s">
        <v>800</v>
      </c>
      <c r="E69" s="353" t="s">
        <v>801</v>
      </c>
      <c r="F69" s="353" t="s">
        <v>802</v>
      </c>
      <c r="G69" s="353" t="s">
        <v>803</v>
      </c>
      <c r="H69" s="353" t="s">
        <v>804</v>
      </c>
      <c r="I69" s="353" t="s">
        <v>805</v>
      </c>
      <c r="M69" s="352" t="s">
        <v>798</v>
      </c>
      <c r="N69" s="352" t="s">
        <v>799</v>
      </c>
      <c r="O69" s="352" t="s">
        <v>800</v>
      </c>
      <c r="P69" s="353" t="s">
        <v>801</v>
      </c>
      <c r="Q69" s="353" t="s">
        <v>802</v>
      </c>
      <c r="R69" s="353" t="s">
        <v>803</v>
      </c>
      <c r="S69" s="353" t="s">
        <v>804</v>
      </c>
      <c r="T69" s="353" t="s">
        <v>805</v>
      </c>
    </row>
    <row r="70" spans="2:20" x14ac:dyDescent="0.25">
      <c r="B70" s="354">
        <v>1</v>
      </c>
      <c r="C70" s="355" t="s">
        <v>806</v>
      </c>
      <c r="D70" s="356" t="s">
        <v>807</v>
      </c>
      <c r="E70" s="357">
        <v>0</v>
      </c>
      <c r="F70" s="357">
        <f>$Y$5*1.4</f>
        <v>0</v>
      </c>
      <c r="G70" s="357">
        <f>$AR$5*1.4</f>
        <v>0</v>
      </c>
      <c r="H70" s="357">
        <f t="shared" ref="H70:H98" si="7">G70*SMA</f>
        <v>0</v>
      </c>
      <c r="I70" s="358">
        <f t="shared" ref="I70:I78" si="8">IF(Theta&lt;55,0,IF((-F70*Ecc)&lt;0,0,-F70*Ecc))</f>
        <v>0</v>
      </c>
      <c r="M70" s="354">
        <v>1</v>
      </c>
      <c r="N70" s="355" t="s">
        <v>806</v>
      </c>
      <c r="O70" s="356" t="s">
        <v>807</v>
      </c>
      <c r="P70" s="357">
        <v>0</v>
      </c>
      <c r="Q70" s="357">
        <f>$Y$8*1.4</f>
        <v>0</v>
      </c>
      <c r="R70" s="357">
        <f>$AR$8*1.4</f>
        <v>0</v>
      </c>
      <c r="S70" s="357">
        <f t="shared" ref="S70:S98" si="9">R70*SMA</f>
        <v>0</v>
      </c>
      <c r="T70" s="358">
        <f t="shared" ref="T70:T78" si="10">-Q70*Ecc</f>
        <v>0</v>
      </c>
    </row>
    <row r="71" spans="2:20" x14ac:dyDescent="0.25">
      <c r="B71" s="359">
        <v>2</v>
      </c>
      <c r="C71" s="360" t="s">
        <v>808</v>
      </c>
      <c r="D71" s="209" t="s">
        <v>807</v>
      </c>
      <c r="E71" s="361">
        <v>0</v>
      </c>
      <c r="F71" s="361">
        <f>$Y$5*1.25</f>
        <v>0</v>
      </c>
      <c r="G71" s="361">
        <f>$AR$5*1.25</f>
        <v>0</v>
      </c>
      <c r="H71" s="361">
        <f t="shared" si="7"/>
        <v>0</v>
      </c>
      <c r="I71" s="362">
        <f t="shared" si="8"/>
        <v>0</v>
      </c>
      <c r="M71" s="359">
        <v>2</v>
      </c>
      <c r="N71" s="360" t="s">
        <v>808</v>
      </c>
      <c r="O71" s="209" t="s">
        <v>807</v>
      </c>
      <c r="P71" s="361">
        <v>0</v>
      </c>
      <c r="Q71" s="361">
        <f>$Y$8*1.25</f>
        <v>0</v>
      </c>
      <c r="R71" s="361">
        <f>$AR$8*1.25</f>
        <v>0</v>
      </c>
      <c r="S71" s="361">
        <f t="shared" si="9"/>
        <v>0</v>
      </c>
      <c r="T71" s="362">
        <f t="shared" si="10"/>
        <v>0</v>
      </c>
    </row>
    <row r="72" spans="2:20" x14ac:dyDescent="0.25">
      <c r="B72" s="359">
        <v>3</v>
      </c>
      <c r="C72" s="360" t="s">
        <v>809</v>
      </c>
      <c r="D72" s="209" t="s">
        <v>807</v>
      </c>
      <c r="E72" s="361">
        <v>0</v>
      </c>
      <c r="F72" s="361">
        <f>$Y$5*1.25+0.5*$Z$5</f>
        <v>0</v>
      </c>
      <c r="G72" s="361">
        <f>$AR$5*1.25+0.5*$AS$5</f>
        <v>0</v>
      </c>
      <c r="H72" s="361">
        <f t="shared" si="7"/>
        <v>0</v>
      </c>
      <c r="I72" s="362">
        <f t="shared" si="8"/>
        <v>0</v>
      </c>
      <c r="M72" s="359">
        <v>3</v>
      </c>
      <c r="N72" s="360" t="s">
        <v>809</v>
      </c>
      <c r="O72" s="209" t="s">
        <v>807</v>
      </c>
      <c r="P72" s="361">
        <v>0</v>
      </c>
      <c r="Q72" s="361">
        <f>$Y$8*1.25+0.5*$Z$8</f>
        <v>0</v>
      </c>
      <c r="R72" s="361">
        <f>$AR$8*1.25+0.5*$AS$8</f>
        <v>0</v>
      </c>
      <c r="S72" s="361">
        <f t="shared" si="9"/>
        <v>0</v>
      </c>
      <c r="T72" s="362">
        <f t="shared" si="10"/>
        <v>0</v>
      </c>
    </row>
    <row r="73" spans="2:20" x14ac:dyDescent="0.25">
      <c r="B73" s="359">
        <v>4</v>
      </c>
      <c r="C73" s="360" t="s">
        <v>810</v>
      </c>
      <c r="D73" s="209" t="s">
        <v>807</v>
      </c>
      <c r="E73" s="361">
        <v>0</v>
      </c>
      <c r="F73" s="361">
        <f>$Y$5*0.9</f>
        <v>0</v>
      </c>
      <c r="G73" s="361">
        <f>$AR$5*0.9</f>
        <v>0</v>
      </c>
      <c r="H73" s="361">
        <f t="shared" si="7"/>
        <v>0</v>
      </c>
      <c r="I73" s="362">
        <f t="shared" si="8"/>
        <v>0</v>
      </c>
      <c r="M73" s="359">
        <v>4</v>
      </c>
      <c r="N73" s="360" t="s">
        <v>810</v>
      </c>
      <c r="O73" s="209" t="s">
        <v>807</v>
      </c>
      <c r="P73" s="361">
        <v>0</v>
      </c>
      <c r="Q73" s="361">
        <f>$Y$8*0.9</f>
        <v>0</v>
      </c>
      <c r="R73" s="361">
        <f>$AR$8*0.9</f>
        <v>0</v>
      </c>
      <c r="S73" s="361">
        <f t="shared" si="9"/>
        <v>0</v>
      </c>
      <c r="T73" s="362">
        <f t="shared" si="10"/>
        <v>0</v>
      </c>
    </row>
    <row r="74" spans="2:20" x14ac:dyDescent="0.25">
      <c r="B74" s="359">
        <v>5</v>
      </c>
      <c r="C74" s="360" t="s">
        <v>811</v>
      </c>
      <c r="D74" s="209" t="s">
        <v>807</v>
      </c>
      <c r="E74" s="361">
        <v>0</v>
      </c>
      <c r="F74" s="361">
        <f>$Y$5*0.9+0.5*$Z$5</f>
        <v>0</v>
      </c>
      <c r="G74" s="361">
        <f>$AR$5*0.9+0.5*$AS$5</f>
        <v>0</v>
      </c>
      <c r="H74" s="361">
        <f t="shared" si="7"/>
        <v>0</v>
      </c>
      <c r="I74" s="362">
        <f t="shared" si="8"/>
        <v>0</v>
      </c>
      <c r="M74" s="359">
        <v>5</v>
      </c>
      <c r="N74" s="360" t="s">
        <v>811</v>
      </c>
      <c r="O74" s="209" t="s">
        <v>807</v>
      </c>
      <c r="P74" s="361">
        <v>0</v>
      </c>
      <c r="Q74" s="361">
        <f>$Y$8*0.9+0.5*$Z$8</f>
        <v>0</v>
      </c>
      <c r="R74" s="361">
        <f>$AR$8*0.9+0.5*$AS$8</f>
        <v>0</v>
      </c>
      <c r="S74" s="361">
        <f t="shared" si="9"/>
        <v>0</v>
      </c>
      <c r="T74" s="362">
        <f t="shared" si="10"/>
        <v>0</v>
      </c>
    </row>
    <row r="75" spans="2:20" x14ac:dyDescent="0.25">
      <c r="B75" s="359">
        <v>6</v>
      </c>
      <c r="C75" s="360" t="s">
        <v>812</v>
      </c>
      <c r="D75" s="209" t="s">
        <v>807</v>
      </c>
      <c r="E75" s="361">
        <v>0</v>
      </c>
      <c r="F75" s="361">
        <f>$Y$5*1.25+1.5*$Z$5</f>
        <v>0</v>
      </c>
      <c r="G75" s="361">
        <f>$AR$5*1.25+1.5*$AS$5</f>
        <v>0</v>
      </c>
      <c r="H75" s="361">
        <f t="shared" si="7"/>
        <v>0</v>
      </c>
      <c r="I75" s="362">
        <f t="shared" si="8"/>
        <v>0</v>
      </c>
      <c r="M75" s="359">
        <v>6</v>
      </c>
      <c r="N75" s="360" t="s">
        <v>812</v>
      </c>
      <c r="O75" s="209" t="s">
        <v>807</v>
      </c>
      <c r="P75" s="361">
        <v>0</v>
      </c>
      <c r="Q75" s="361">
        <f>$Y$8*1.25+1.5*$Z$8</f>
        <v>0</v>
      </c>
      <c r="R75" s="361">
        <f>$AR$8*1.25+1.5*$AS$8</f>
        <v>0</v>
      </c>
      <c r="S75" s="361">
        <f t="shared" si="9"/>
        <v>0</v>
      </c>
      <c r="T75" s="362">
        <f t="shared" si="10"/>
        <v>0</v>
      </c>
    </row>
    <row r="76" spans="2:20" x14ac:dyDescent="0.25">
      <c r="B76" s="359">
        <v>7</v>
      </c>
      <c r="C76" s="360" t="s">
        <v>813</v>
      </c>
      <c r="D76" s="209" t="s">
        <v>807</v>
      </c>
      <c r="E76" s="361">
        <v>0</v>
      </c>
      <c r="F76" s="361">
        <f>$Y$5*1.25+1.5*$Z$5</f>
        <v>0</v>
      </c>
      <c r="G76" s="361">
        <f>$AR$5*1.25+1.5*$AS$5</f>
        <v>0</v>
      </c>
      <c r="H76" s="361">
        <f t="shared" si="7"/>
        <v>0</v>
      </c>
      <c r="I76" s="362">
        <f t="shared" si="8"/>
        <v>0</v>
      </c>
      <c r="M76" s="359">
        <v>7</v>
      </c>
      <c r="N76" s="360" t="s">
        <v>813</v>
      </c>
      <c r="O76" s="209" t="s">
        <v>807</v>
      </c>
      <c r="P76" s="361">
        <v>0</v>
      </c>
      <c r="Q76" s="361">
        <f>$Y$8*1.25+1.5*$Z$8</f>
        <v>0</v>
      </c>
      <c r="R76" s="361">
        <f>$AR$8*1.25+1.5*$AS$8</f>
        <v>0</v>
      </c>
      <c r="S76" s="361">
        <f t="shared" si="9"/>
        <v>0</v>
      </c>
      <c r="T76" s="362">
        <f t="shared" si="10"/>
        <v>0</v>
      </c>
    </row>
    <row r="77" spans="2:20" x14ac:dyDescent="0.25">
      <c r="B77" s="359">
        <v>8</v>
      </c>
      <c r="C77" s="360" t="s">
        <v>814</v>
      </c>
      <c r="D77" s="209" t="s">
        <v>807</v>
      </c>
      <c r="E77" s="361">
        <v>0</v>
      </c>
      <c r="F77" s="361">
        <f>0.9*$Y$5+1.5*$Z$5</f>
        <v>0</v>
      </c>
      <c r="G77" s="361">
        <f>0.9*$AR$5+1.5*$AS$5</f>
        <v>0</v>
      </c>
      <c r="H77" s="361">
        <f t="shared" si="7"/>
        <v>0</v>
      </c>
      <c r="I77" s="362">
        <f t="shared" si="8"/>
        <v>0</v>
      </c>
      <c r="M77" s="359">
        <v>8</v>
      </c>
      <c r="N77" s="360" t="s">
        <v>814</v>
      </c>
      <c r="O77" s="209" t="s">
        <v>807</v>
      </c>
      <c r="P77" s="361">
        <v>0</v>
      </c>
      <c r="Q77" s="361">
        <f>0.9*$Y$8+1.5*$Z$8</f>
        <v>0</v>
      </c>
      <c r="R77" s="361">
        <f>0.9*$AR$8+1.5*$AS$8</f>
        <v>0</v>
      </c>
      <c r="S77" s="361">
        <f t="shared" si="9"/>
        <v>0</v>
      </c>
      <c r="T77" s="362">
        <f t="shared" si="10"/>
        <v>0</v>
      </c>
    </row>
    <row r="78" spans="2:20" x14ac:dyDescent="0.25">
      <c r="B78" s="359">
        <v>9</v>
      </c>
      <c r="C78" s="360" t="s">
        <v>815</v>
      </c>
      <c r="D78" s="209" t="s">
        <v>807</v>
      </c>
      <c r="E78" s="361">
        <v>0</v>
      </c>
      <c r="F78" s="361">
        <f>0.9*$Y$5+1.5*$Z$5</f>
        <v>0</v>
      </c>
      <c r="G78" s="361">
        <f>0.9*$AR$5+1.5*$AS$5</f>
        <v>0</v>
      </c>
      <c r="H78" s="361">
        <f t="shared" si="7"/>
        <v>0</v>
      </c>
      <c r="I78" s="362">
        <f t="shared" si="8"/>
        <v>0</v>
      </c>
      <c r="M78" s="359">
        <v>9</v>
      </c>
      <c r="N78" s="360" t="s">
        <v>815</v>
      </c>
      <c r="O78" s="209" t="s">
        <v>807</v>
      </c>
      <c r="P78" s="361">
        <v>0</v>
      </c>
      <c r="Q78" s="361">
        <f>0.9*$Y$8+1.5*$Z$8</f>
        <v>0</v>
      </c>
      <c r="R78" s="361">
        <f>0.9*$AR$8+1.5*$AS$8</f>
        <v>0</v>
      </c>
      <c r="S78" s="361">
        <f t="shared" si="9"/>
        <v>0</v>
      </c>
      <c r="T78" s="362">
        <f t="shared" si="10"/>
        <v>0</v>
      </c>
    </row>
    <row r="79" spans="2:20" x14ac:dyDescent="0.25">
      <c r="B79" s="359">
        <v>10</v>
      </c>
      <c r="C79" s="360" t="s">
        <v>816</v>
      </c>
      <c r="D79" s="209" t="s">
        <v>807</v>
      </c>
      <c r="E79" s="361" t="e">
        <f ca="1">0.4*$AL$5</f>
        <v>#VALUE!</v>
      </c>
      <c r="F79" s="361" t="e">
        <f ca="1">1.25*$Y$5+0.4*$AN$5</f>
        <v>#VALUE!</v>
      </c>
      <c r="G79" s="361">
        <f>1.25*$AR$5</f>
        <v>0</v>
      </c>
      <c r="H79" s="361">
        <f t="shared" si="7"/>
        <v>0</v>
      </c>
      <c r="I79" s="362" t="e">
        <f ca="1">IF(Theta&lt;55,0,IF((0.4*$AP$5-F79*Ecc)&lt;0,0,0.4*$AP$5-F79*Ecc))</f>
        <v>#VALUE!</v>
      </c>
      <c r="M79" s="359">
        <v>10</v>
      </c>
      <c r="N79" s="360" t="s">
        <v>816</v>
      </c>
      <c r="O79" s="209" t="s">
        <v>807</v>
      </c>
      <c r="P79" s="361" t="e">
        <f ca="1">0.4*$AL$8</f>
        <v>#VALUE!</v>
      </c>
      <c r="Q79" s="361" t="e">
        <f ca="1">1.25*$Y$8+0.4*$AN$8</f>
        <v>#VALUE!</v>
      </c>
      <c r="R79" s="361">
        <f>1.25*$AR$8</f>
        <v>0</v>
      </c>
      <c r="S79" s="361">
        <f t="shared" si="9"/>
        <v>0</v>
      </c>
      <c r="T79" s="362" t="e">
        <f ca="1">0.4*$AP$8-Q79*Ecc</f>
        <v>#VALUE!</v>
      </c>
    </row>
    <row r="80" spans="2:20" x14ac:dyDescent="0.25">
      <c r="B80" s="359">
        <v>11</v>
      </c>
      <c r="C80" s="360" t="s">
        <v>817</v>
      </c>
      <c r="D80" s="209" t="s">
        <v>807</v>
      </c>
      <c r="E80" s="361" t="e">
        <f ca="1">0.4*$AK$5</f>
        <v>#VALUE!</v>
      </c>
      <c r="F80" s="361" t="e">
        <f ca="1">1.25*$Y$5+0.4*$AM$5</f>
        <v>#VALUE!</v>
      </c>
      <c r="G80" s="361">
        <f>1.25*$AR$5</f>
        <v>0</v>
      </c>
      <c r="H80" s="361">
        <f t="shared" si="7"/>
        <v>0</v>
      </c>
      <c r="I80" s="362" t="e">
        <f ca="1">IF(Theta&lt;55,0,IF((0.4*$AO$5-F80*Ecc)&lt;0,0,(0.4*$AO$5-F80*Ecc)))</f>
        <v>#VALUE!</v>
      </c>
      <c r="M80" s="359">
        <v>11</v>
      </c>
      <c r="N80" s="360" t="s">
        <v>817</v>
      </c>
      <c r="O80" s="209" t="s">
        <v>807</v>
      </c>
      <c r="P80" s="361" t="e">
        <f ca="1">0.4*$AK$8</f>
        <v>#VALUE!</v>
      </c>
      <c r="Q80" s="361" t="e">
        <f ca="1">1.25*$Y$8+0.4*$AM$8</f>
        <v>#VALUE!</v>
      </c>
      <c r="R80" s="361">
        <f>1.25*$AR$8</f>
        <v>0</v>
      </c>
      <c r="S80" s="361">
        <f t="shared" si="9"/>
        <v>0</v>
      </c>
      <c r="T80" s="362" t="e">
        <f ca="1">0.4*$AO$8-Q80*Ecc</f>
        <v>#VALUE!</v>
      </c>
    </row>
    <row r="81" spans="2:20" x14ac:dyDescent="0.25">
      <c r="B81" s="359">
        <v>12</v>
      </c>
      <c r="C81" s="360" t="s">
        <v>818</v>
      </c>
      <c r="D81" s="209" t="s">
        <v>807</v>
      </c>
      <c r="E81" s="361" t="e">
        <f ca="1">0.4*$AL$5</f>
        <v>#VALUE!</v>
      </c>
      <c r="F81" s="361" t="e">
        <f ca="1">0.9*$Y$5+0.4*$AN$5</f>
        <v>#VALUE!</v>
      </c>
      <c r="G81" s="361">
        <f>0.9*$AR$5</f>
        <v>0</v>
      </c>
      <c r="H81" s="361">
        <f t="shared" si="7"/>
        <v>0</v>
      </c>
      <c r="I81" s="362" t="e">
        <f ca="1">IF(Theta&lt;0,0,IF((0.4*$AP$5-F81*Ecc)&lt;0,0,(0.4*$AP$5-F81*Ecc)))</f>
        <v>#VALUE!</v>
      </c>
      <c r="M81" s="359">
        <v>12</v>
      </c>
      <c r="N81" s="360" t="s">
        <v>818</v>
      </c>
      <c r="O81" s="209" t="s">
        <v>807</v>
      </c>
      <c r="P81" s="361" t="e">
        <f ca="1">0.4*$AL$8</f>
        <v>#VALUE!</v>
      </c>
      <c r="Q81" s="361" t="e">
        <f ca="1">0.9*$Y$8+0.4*$AN$8</f>
        <v>#VALUE!</v>
      </c>
      <c r="R81" s="361">
        <f>0.9*$AR$8</f>
        <v>0</v>
      </c>
      <c r="S81" s="361">
        <f t="shared" si="9"/>
        <v>0</v>
      </c>
      <c r="T81" s="362" t="e">
        <f ca="1">0.4*$AP$8-Q81*Ecc</f>
        <v>#VALUE!</v>
      </c>
    </row>
    <row r="82" spans="2:20" x14ac:dyDescent="0.25">
      <c r="B82" s="359">
        <v>13</v>
      </c>
      <c r="C82" s="360" t="s">
        <v>819</v>
      </c>
      <c r="D82" s="209" t="s">
        <v>807</v>
      </c>
      <c r="E82" s="361" t="e">
        <f ca="1">0.4*$AK$5</f>
        <v>#VALUE!</v>
      </c>
      <c r="F82" s="361" t="e">
        <f ca="1">0.9*$Y$5+0.4*$AM$5</f>
        <v>#VALUE!</v>
      </c>
      <c r="G82" s="361">
        <f>0.9*$AR$5</f>
        <v>0</v>
      </c>
      <c r="H82" s="361">
        <f t="shared" si="7"/>
        <v>0</v>
      </c>
      <c r="I82" s="362" t="e">
        <f ca="1">IF(Theta&lt;55,0,IF((0.4*$AO$5-F82*Ecc)&lt;0,0,(0.4*$AO$5-F82*Ecc)))</f>
        <v>#VALUE!</v>
      </c>
      <c r="M82" s="359">
        <v>13</v>
      </c>
      <c r="N82" s="360" t="s">
        <v>819</v>
      </c>
      <c r="O82" s="209" t="s">
        <v>807</v>
      </c>
      <c r="P82" s="361" t="e">
        <f ca="1">0.4*$AK$8</f>
        <v>#VALUE!</v>
      </c>
      <c r="Q82" s="361" t="e">
        <f ca="1">0.9*$Y$8+0.4*$AM$8</f>
        <v>#VALUE!</v>
      </c>
      <c r="R82" s="361">
        <f>0.9*$AR$8</f>
        <v>0</v>
      </c>
      <c r="S82" s="361">
        <f t="shared" si="9"/>
        <v>0</v>
      </c>
      <c r="T82" s="362" t="e">
        <f ca="1">0.4*$AO$8-Q82*Ecc</f>
        <v>#VALUE!</v>
      </c>
    </row>
    <row r="83" spans="2:20" x14ac:dyDescent="0.25">
      <c r="B83" s="359">
        <v>14</v>
      </c>
      <c r="C83" s="360" t="s">
        <v>820</v>
      </c>
      <c r="D83" s="209" t="s">
        <v>807</v>
      </c>
      <c r="E83" s="361" t="e">
        <f ca="1">0.4*$AL$5</f>
        <v>#VALUE!</v>
      </c>
      <c r="F83" s="361" t="e">
        <f ca="1">1.25*$Y$5+0.4*$AN$5+1.5*$Z$5</f>
        <v>#VALUE!</v>
      </c>
      <c r="G83" s="361">
        <f>1.25*$AR$5+1.5*$AS$5</f>
        <v>0</v>
      </c>
      <c r="H83" s="361">
        <f t="shared" si="7"/>
        <v>0</v>
      </c>
      <c r="I83" s="362" t="e">
        <f ca="1">IF(Theta&lt;55,0,IF((0.4*$AP$5-F83*Ecc)&lt;0,0,(0.4*$AP$5-F83*Ecc)))</f>
        <v>#VALUE!</v>
      </c>
      <c r="M83" s="359">
        <v>14</v>
      </c>
      <c r="N83" s="360" t="s">
        <v>820</v>
      </c>
      <c r="O83" s="209" t="s">
        <v>807</v>
      </c>
      <c r="P83" s="361" t="e">
        <f ca="1">0.4*$AL$8</f>
        <v>#VALUE!</v>
      </c>
      <c r="Q83" s="361" t="e">
        <f ca="1">1.25*$Y$8+0.4*$AN$8+1.5*$Z$8</f>
        <v>#VALUE!</v>
      </c>
      <c r="R83" s="361">
        <f>1.25*$AR$8+1.5*$AS$8</f>
        <v>0</v>
      </c>
      <c r="S83" s="361">
        <f t="shared" si="9"/>
        <v>0</v>
      </c>
      <c r="T83" s="362" t="e">
        <f ca="1">0.4*$AP$8-Q83*Ecc</f>
        <v>#VALUE!</v>
      </c>
    </row>
    <row r="84" spans="2:20" x14ac:dyDescent="0.25">
      <c r="B84" s="359">
        <v>15</v>
      </c>
      <c r="C84" s="360" t="s">
        <v>821</v>
      </c>
      <c r="D84" s="209" t="s">
        <v>807</v>
      </c>
      <c r="E84" s="361" t="e">
        <f ca="1">0.4*$AK$5</f>
        <v>#VALUE!</v>
      </c>
      <c r="F84" s="361" t="e">
        <f ca="1">1.25*$Y$5+0.4*$AM$5+1.5*$Z$5</f>
        <v>#VALUE!</v>
      </c>
      <c r="G84" s="361">
        <f>1.25*$AR$5+1.5*$AS$5</f>
        <v>0</v>
      </c>
      <c r="H84" s="361">
        <f t="shared" si="7"/>
        <v>0</v>
      </c>
      <c r="I84" s="362" t="e">
        <f ca="1">IF(Theta&lt;55,0,IF((0.4*$AO$5-F84*Ecc)&lt;0,0,(0.4*$AO$5-F84*Ecc)))</f>
        <v>#VALUE!</v>
      </c>
      <c r="M84" s="359">
        <v>15</v>
      </c>
      <c r="N84" s="360" t="s">
        <v>821</v>
      </c>
      <c r="O84" s="209" t="s">
        <v>807</v>
      </c>
      <c r="P84" s="361" t="e">
        <f ca="1">0.4*$AK$8</f>
        <v>#VALUE!</v>
      </c>
      <c r="Q84" s="361" t="e">
        <f ca="1">1.25*$Y$8+0.4*$AM$8+1.5*$Z$8</f>
        <v>#VALUE!</v>
      </c>
      <c r="R84" s="361">
        <f>1.25*$AR$8+1.5*$AS$8</f>
        <v>0</v>
      </c>
      <c r="S84" s="361">
        <f t="shared" si="9"/>
        <v>0</v>
      </c>
      <c r="T84" s="362" t="e">
        <f ca="1">0.4*$AO$8-Q84*Ecc</f>
        <v>#VALUE!</v>
      </c>
    </row>
    <row r="85" spans="2:20" x14ac:dyDescent="0.25">
      <c r="B85" s="359">
        <v>16</v>
      </c>
      <c r="C85" s="360" t="s">
        <v>822</v>
      </c>
      <c r="D85" s="209" t="s">
        <v>807</v>
      </c>
      <c r="E85" s="361" t="e">
        <f ca="1">0.4*$AL$5</f>
        <v>#VALUE!</v>
      </c>
      <c r="F85" s="361" t="e">
        <f ca="1">0.9*$Y$5+0.4*$AN$5+1.5*$Z$5</f>
        <v>#VALUE!</v>
      </c>
      <c r="G85" s="361">
        <f>0.9*$AR$5+1.5*$AS$5</f>
        <v>0</v>
      </c>
      <c r="H85" s="361">
        <f t="shared" si="7"/>
        <v>0</v>
      </c>
      <c r="I85" s="362" t="e">
        <f ca="1">IF(Theta&lt;55,0,IF((0.4*$AP$5-F85*Ecc)&lt;0,0,(0.4*$AP$5-F85*Ecc)))</f>
        <v>#VALUE!</v>
      </c>
      <c r="M85" s="359">
        <v>16</v>
      </c>
      <c r="N85" s="360" t="s">
        <v>822</v>
      </c>
      <c r="O85" s="209" t="s">
        <v>807</v>
      </c>
      <c r="P85" s="361" t="e">
        <f ca="1">0.4*$AL$8</f>
        <v>#VALUE!</v>
      </c>
      <c r="Q85" s="361" t="e">
        <f ca="1">0.9*$Y$8+0.4*$AN$8+1.5*$Z$8</f>
        <v>#VALUE!</v>
      </c>
      <c r="R85" s="361">
        <f>0.9*$AR$8+1.5*$AS$8</f>
        <v>0</v>
      </c>
      <c r="S85" s="361">
        <f t="shared" si="9"/>
        <v>0</v>
      </c>
      <c r="T85" s="362" t="e">
        <f ca="1">0.4*$AP$8-Q85*Ecc</f>
        <v>#VALUE!</v>
      </c>
    </row>
    <row r="86" spans="2:20" x14ac:dyDescent="0.25">
      <c r="B86" s="359">
        <v>17</v>
      </c>
      <c r="C86" s="360" t="s">
        <v>823</v>
      </c>
      <c r="D86" s="209" t="s">
        <v>807</v>
      </c>
      <c r="E86" s="361" t="e">
        <f ca="1">0.4*$AK$5</f>
        <v>#VALUE!</v>
      </c>
      <c r="F86" s="361" t="e">
        <f ca="1">0.9*$Y$5+0.4*$AM$5+1.5*$Z$5</f>
        <v>#VALUE!</v>
      </c>
      <c r="G86" s="361">
        <f>0.9*$AR$5+1.5*$AS$5</f>
        <v>0</v>
      </c>
      <c r="H86" s="361">
        <f t="shared" si="7"/>
        <v>0</v>
      </c>
      <c r="I86" s="362" t="e">
        <f ca="1">IF(Theta&lt;55,0,IF((0.4*$AO$5-F86*Ecc)&lt;0,0,(0.4*$AO$5-F86*Ecc)))</f>
        <v>#VALUE!</v>
      </c>
      <c r="M86" s="359">
        <v>17</v>
      </c>
      <c r="N86" s="360" t="s">
        <v>823</v>
      </c>
      <c r="O86" s="209" t="s">
        <v>807</v>
      </c>
      <c r="P86" s="361" t="e">
        <f ca="1">0.4*$AK$8</f>
        <v>#VALUE!</v>
      </c>
      <c r="Q86" s="361" t="e">
        <f ca="1">0.9*$Y$8+0.4*$AM$8+1.5*$Z$8</f>
        <v>#VALUE!</v>
      </c>
      <c r="R86" s="361">
        <f>0.9*$AR$8+1.5*$AS$8</f>
        <v>0</v>
      </c>
      <c r="S86" s="361">
        <f t="shared" si="9"/>
        <v>0</v>
      </c>
      <c r="T86" s="362" t="e">
        <f ca="1">0.4*$AO$8-Q86*Ecc</f>
        <v>#VALUE!</v>
      </c>
    </row>
    <row r="87" spans="2:20" x14ac:dyDescent="0.25">
      <c r="B87" s="359">
        <v>18</v>
      </c>
      <c r="C87" s="360" t="s">
        <v>824</v>
      </c>
      <c r="D87" s="209" t="s">
        <v>807</v>
      </c>
      <c r="E87" s="361" t="e">
        <f ca="1">1.4*$AL$5</f>
        <v>#VALUE!</v>
      </c>
      <c r="F87" s="361" t="e">
        <f ca="1">1.25*$Y$5+1.4*$AN$5</f>
        <v>#VALUE!</v>
      </c>
      <c r="G87" s="361">
        <f>1.25*$AR$5</f>
        <v>0</v>
      </c>
      <c r="H87" s="361">
        <f t="shared" si="7"/>
        <v>0</v>
      </c>
      <c r="I87" s="362" t="e">
        <f ca="1">IF(Theta&lt;55,0,IF((1.4*$AP$5-F87*Ecc)&lt;0,0,(1.4*$AP$5-F87*Ecc)))</f>
        <v>#VALUE!</v>
      </c>
      <c r="M87" s="359">
        <v>18</v>
      </c>
      <c r="N87" s="360" t="s">
        <v>824</v>
      </c>
      <c r="O87" s="209" t="s">
        <v>807</v>
      </c>
      <c r="P87" s="361" t="e">
        <f ca="1">1.4*$AL$8</f>
        <v>#VALUE!</v>
      </c>
      <c r="Q87" s="361" t="e">
        <f ca="1">1.25*$Y$8+1.4*$AN$8</f>
        <v>#VALUE!</v>
      </c>
      <c r="R87" s="361">
        <f>1.25*$AR$8</f>
        <v>0</v>
      </c>
      <c r="S87" s="361">
        <f t="shared" si="9"/>
        <v>0</v>
      </c>
      <c r="T87" s="362" t="e">
        <f ca="1">1.4*$AP$8-Q87*Ecc</f>
        <v>#VALUE!</v>
      </c>
    </row>
    <row r="88" spans="2:20" x14ac:dyDescent="0.25">
      <c r="B88" s="359">
        <v>19</v>
      </c>
      <c r="C88" s="360" t="s">
        <v>825</v>
      </c>
      <c r="D88" s="209" t="s">
        <v>807</v>
      </c>
      <c r="E88" s="361" t="e">
        <f ca="1">1.4*$AK$5</f>
        <v>#VALUE!</v>
      </c>
      <c r="F88" s="361" t="e">
        <f ca="1">1.25*$Y$5+1.4*$AM$5</f>
        <v>#VALUE!</v>
      </c>
      <c r="G88" s="361">
        <f>1.25*$AR$5</f>
        <v>0</v>
      </c>
      <c r="H88" s="361">
        <f t="shared" si="7"/>
        <v>0</v>
      </c>
      <c r="I88" s="362" t="e">
        <f ca="1">IF(Theta&lt;55,0,IF((1.4*$AO$5-F88*Ecc)&lt;0,0,(1.4*$AO$5-F88*Ecc)))</f>
        <v>#VALUE!</v>
      </c>
      <c r="M88" s="359">
        <v>19</v>
      </c>
      <c r="N88" s="360" t="s">
        <v>825</v>
      </c>
      <c r="O88" s="209" t="s">
        <v>807</v>
      </c>
      <c r="P88" s="361" t="e">
        <f ca="1">1.4*$AK$8</f>
        <v>#VALUE!</v>
      </c>
      <c r="Q88" s="361" t="e">
        <f ca="1">1.25*$Y$8+1.4*$AM$8</f>
        <v>#VALUE!</v>
      </c>
      <c r="R88" s="361">
        <f>1.25*$AR$8</f>
        <v>0</v>
      </c>
      <c r="S88" s="361">
        <f t="shared" si="9"/>
        <v>0</v>
      </c>
      <c r="T88" s="362" t="e">
        <f ca="1">1.4*$AO$8-Q88*Ecc</f>
        <v>#VALUE!</v>
      </c>
    </row>
    <row r="89" spans="2:20" x14ac:dyDescent="0.25">
      <c r="B89" s="359">
        <v>20</v>
      </c>
      <c r="C89" s="360" t="s">
        <v>826</v>
      </c>
      <c r="D89" s="209" t="s">
        <v>807</v>
      </c>
      <c r="E89" s="361" t="e">
        <f ca="1">1.4*$AL$5</f>
        <v>#VALUE!</v>
      </c>
      <c r="F89" s="361" t="e">
        <f ca="1">1.25*$Y$5+1.4*$AN$5</f>
        <v>#VALUE!</v>
      </c>
      <c r="G89" s="361">
        <f>1.25*$AR$5</f>
        <v>0</v>
      </c>
      <c r="H89" s="361">
        <f t="shared" si="7"/>
        <v>0</v>
      </c>
      <c r="I89" s="362" t="e">
        <f ca="1">IF(Theta&lt;55,0,IF((1.4*$AP$5-F89*Ecc)&lt;0,0,(1.4*$AP$5-F89*Ecc)))</f>
        <v>#VALUE!</v>
      </c>
      <c r="M89" s="359">
        <v>20</v>
      </c>
      <c r="N89" s="360" t="s">
        <v>826</v>
      </c>
      <c r="O89" s="209" t="s">
        <v>807</v>
      </c>
      <c r="P89" s="361" t="e">
        <f ca="1">1.4*$AL$8</f>
        <v>#VALUE!</v>
      </c>
      <c r="Q89" s="361" t="e">
        <f ca="1">1.25*$Y$8+1.4*$AN$8</f>
        <v>#VALUE!</v>
      </c>
      <c r="R89" s="361">
        <f>1.25*$AR$8</f>
        <v>0</v>
      </c>
      <c r="S89" s="361">
        <f t="shared" si="9"/>
        <v>0</v>
      </c>
      <c r="T89" s="362" t="e">
        <f ca="1">1.4*$AP$8-Q89*Ecc</f>
        <v>#VALUE!</v>
      </c>
    </row>
    <row r="90" spans="2:20" x14ac:dyDescent="0.25">
      <c r="B90" s="359">
        <v>21</v>
      </c>
      <c r="C90" s="360" t="s">
        <v>827</v>
      </c>
      <c r="D90" s="209" t="s">
        <v>807</v>
      </c>
      <c r="E90" s="361" t="e">
        <f ca="1">1.4*$AK$5</f>
        <v>#VALUE!</v>
      </c>
      <c r="F90" s="361" t="e">
        <f ca="1">1.25*$Y$5+1.4*$AM$5</f>
        <v>#VALUE!</v>
      </c>
      <c r="G90" s="361">
        <f>1.25*$AR$5</f>
        <v>0</v>
      </c>
      <c r="H90" s="361">
        <f t="shared" si="7"/>
        <v>0</v>
      </c>
      <c r="I90" s="362" t="e">
        <f ca="1">IF(Theta&lt;55,0,IF((1.4*$AO$5-F90*Ecc)&lt;0,0,(1.4*$AO$5-F90*Ecc)))</f>
        <v>#VALUE!</v>
      </c>
      <c r="M90" s="359">
        <v>21</v>
      </c>
      <c r="N90" s="360" t="s">
        <v>827</v>
      </c>
      <c r="O90" s="209" t="s">
        <v>807</v>
      </c>
      <c r="P90" s="361" t="e">
        <f ca="1">1.4*$AK$8</f>
        <v>#VALUE!</v>
      </c>
      <c r="Q90" s="361" t="e">
        <f ca="1">1.25*$Y$8+1.4*$AM$8</f>
        <v>#VALUE!</v>
      </c>
      <c r="R90" s="361">
        <f>1.25*$AR$8</f>
        <v>0</v>
      </c>
      <c r="S90" s="361">
        <f t="shared" si="9"/>
        <v>0</v>
      </c>
      <c r="T90" s="362" t="e">
        <f ca="1">1.4*$AO$8-Q90*Ecc</f>
        <v>#VALUE!</v>
      </c>
    </row>
    <row r="91" spans="2:20" x14ac:dyDescent="0.25">
      <c r="B91" s="359">
        <v>22</v>
      </c>
      <c r="C91" s="360" t="s">
        <v>828</v>
      </c>
      <c r="D91" s="209" t="s">
        <v>807</v>
      </c>
      <c r="E91" s="361" t="e">
        <f ca="1">1.4*$AL$5</f>
        <v>#VALUE!</v>
      </c>
      <c r="F91" s="361" t="e">
        <f ca="1">1.25*$Y$5+1.4*$AN$5+0.5*$Z$5</f>
        <v>#VALUE!</v>
      </c>
      <c r="G91" s="361">
        <f>1.25*$AR$5+0.5*$AS$5</f>
        <v>0</v>
      </c>
      <c r="H91" s="361">
        <f t="shared" si="7"/>
        <v>0</v>
      </c>
      <c r="I91" s="362" t="e">
        <f ca="1">IF(Theta&lt;55,0,IF((0.4*$AP$5-F91*Ecc)&lt;0,0,(0.4*$AP$5-F91*Ecc)))</f>
        <v>#VALUE!</v>
      </c>
      <c r="M91" s="359">
        <v>22</v>
      </c>
      <c r="N91" s="360" t="s">
        <v>828</v>
      </c>
      <c r="O91" s="209" t="s">
        <v>807</v>
      </c>
      <c r="P91" s="361" t="e">
        <f ca="1">1.4*$AL$8</f>
        <v>#VALUE!</v>
      </c>
      <c r="Q91" s="361" t="e">
        <f ca="1">1.25*$Y$8+1.4*$AN$8+0.5*$Z$8</f>
        <v>#VALUE!</v>
      </c>
      <c r="R91" s="361">
        <f>1.25*$AR$8+0.5*$AS$8</f>
        <v>0</v>
      </c>
      <c r="S91" s="361">
        <f t="shared" si="9"/>
        <v>0</v>
      </c>
      <c r="T91" s="362" t="e">
        <f ca="1">0.4*$AP$8-Q91*Ecc</f>
        <v>#VALUE!</v>
      </c>
    </row>
    <row r="92" spans="2:20" x14ac:dyDescent="0.25">
      <c r="B92" s="359">
        <v>23</v>
      </c>
      <c r="C92" s="360" t="s">
        <v>829</v>
      </c>
      <c r="D92" s="209" t="s">
        <v>807</v>
      </c>
      <c r="E92" s="361" t="e">
        <f ca="1">1.4*$AK$5</f>
        <v>#VALUE!</v>
      </c>
      <c r="F92" s="361" t="e">
        <f ca="1">1.25*$Y$5+1.4*$AM$5+0.5*$Z$5</f>
        <v>#VALUE!</v>
      </c>
      <c r="G92" s="361">
        <f>1.25*$AR$5+0.5*$AS$5</f>
        <v>0</v>
      </c>
      <c r="H92" s="361">
        <f t="shared" si="7"/>
        <v>0</v>
      </c>
      <c r="I92" s="362" t="e">
        <f ca="1">IF(Theta&lt;55,0,IF((0.4*$AO$5-F92*Ecc)&lt;0,0,(0.4*$AO$5-F92*Ecc)))</f>
        <v>#VALUE!</v>
      </c>
      <c r="M92" s="359">
        <v>23</v>
      </c>
      <c r="N92" s="360" t="s">
        <v>829</v>
      </c>
      <c r="O92" s="209" t="s">
        <v>807</v>
      </c>
      <c r="P92" s="361" t="e">
        <f ca="1">1.4*$AK$8</f>
        <v>#VALUE!</v>
      </c>
      <c r="Q92" s="361" t="e">
        <f ca="1">1.25*$Y$8+1.4*$AM$8+0.5*$Z$8</f>
        <v>#VALUE!</v>
      </c>
      <c r="R92" s="361">
        <f>1.25*$AR$8+0.5*$AS$8</f>
        <v>0</v>
      </c>
      <c r="S92" s="361">
        <f t="shared" si="9"/>
        <v>0</v>
      </c>
      <c r="T92" s="362" t="e">
        <f ca="1">0.4*$AO$8-Q92*Ecc</f>
        <v>#VALUE!</v>
      </c>
    </row>
    <row r="93" spans="2:20" x14ac:dyDescent="0.25">
      <c r="B93" s="359">
        <v>24</v>
      </c>
      <c r="C93" s="360" t="s">
        <v>830</v>
      </c>
      <c r="D93" s="209" t="s">
        <v>807</v>
      </c>
      <c r="E93" s="361" t="e">
        <f ca="1">1.4*$AL$5</f>
        <v>#VALUE!</v>
      </c>
      <c r="F93" s="361" t="e">
        <f ca="1">0.9*$Y$5+1.4*$AN$5</f>
        <v>#VALUE!</v>
      </c>
      <c r="G93" s="361">
        <f>0.9*$AR$5</f>
        <v>0</v>
      </c>
      <c r="H93" s="361">
        <f t="shared" si="7"/>
        <v>0</v>
      </c>
      <c r="I93" s="362" t="e">
        <f ca="1">IF(Theta&lt;55,0,IF((1.4*$AP$5-F93*Ecc)&lt;0,0,(1.4*$AP$5-F93*Ecc)))</f>
        <v>#VALUE!</v>
      </c>
      <c r="M93" s="359">
        <v>24</v>
      </c>
      <c r="N93" s="360" t="s">
        <v>830</v>
      </c>
      <c r="O93" s="209" t="s">
        <v>807</v>
      </c>
      <c r="P93" s="361" t="e">
        <f ca="1">1.4*$AL$8</f>
        <v>#VALUE!</v>
      </c>
      <c r="Q93" s="361" t="e">
        <f ca="1">0.9*$Y$8+1.4*$AN$8</f>
        <v>#VALUE!</v>
      </c>
      <c r="R93" s="361">
        <f>0.9*$AR$8</f>
        <v>0</v>
      </c>
      <c r="S93" s="361">
        <f t="shared" si="9"/>
        <v>0</v>
      </c>
      <c r="T93" s="362" t="e">
        <f ca="1">1.4*$AP$8-Q93*Ecc</f>
        <v>#VALUE!</v>
      </c>
    </row>
    <row r="94" spans="2:20" x14ac:dyDescent="0.25">
      <c r="B94" s="359">
        <v>25</v>
      </c>
      <c r="C94" s="360" t="s">
        <v>831</v>
      </c>
      <c r="D94" s="209" t="s">
        <v>807</v>
      </c>
      <c r="E94" s="361" t="e">
        <f ca="1">1.4*$AK$5</f>
        <v>#VALUE!</v>
      </c>
      <c r="F94" s="361" t="e">
        <f ca="1">0.9*$Y$5+1.4*$AM$5</f>
        <v>#VALUE!</v>
      </c>
      <c r="G94" s="361">
        <f>0.9*$AR$5</f>
        <v>0</v>
      </c>
      <c r="H94" s="361">
        <f t="shared" si="7"/>
        <v>0</v>
      </c>
      <c r="I94" s="362" t="e">
        <f ca="1">IF(Theta&lt;55,0,IF((1.4*$AO$5-F94*Ecc)&lt;0,0,(1.4*$AO$5-F94*Ecc)))</f>
        <v>#VALUE!</v>
      </c>
      <c r="M94" s="359">
        <v>25</v>
      </c>
      <c r="N94" s="360" t="s">
        <v>831</v>
      </c>
      <c r="O94" s="209" t="s">
        <v>807</v>
      </c>
      <c r="P94" s="361" t="e">
        <f ca="1">1.4*$AK$8</f>
        <v>#VALUE!</v>
      </c>
      <c r="Q94" s="361" t="e">
        <f ca="1">0.9*$Y$8+1.4*$AM$8</f>
        <v>#VALUE!</v>
      </c>
      <c r="R94" s="361">
        <f>0.9*$AR$8</f>
        <v>0</v>
      </c>
      <c r="S94" s="361">
        <f t="shared" si="9"/>
        <v>0</v>
      </c>
      <c r="T94" s="362" t="e">
        <f ca="1">1.4*$AO$8-Q94*Ecc</f>
        <v>#VALUE!</v>
      </c>
    </row>
    <row r="95" spans="2:20" x14ac:dyDescent="0.25">
      <c r="B95" s="359">
        <v>26</v>
      </c>
      <c r="C95" s="360" t="s">
        <v>832</v>
      </c>
      <c r="D95" s="209" t="s">
        <v>807</v>
      </c>
      <c r="E95" s="361" t="e">
        <f ca="1">1.4*$AL$5</f>
        <v>#VALUE!</v>
      </c>
      <c r="F95" s="361" t="e">
        <f ca="1">0.9*$Y$5+1.4*$AN$5</f>
        <v>#VALUE!</v>
      </c>
      <c r="G95" s="361">
        <f>0.9*$AR$5</f>
        <v>0</v>
      </c>
      <c r="H95" s="361">
        <f t="shared" si="7"/>
        <v>0</v>
      </c>
      <c r="I95" s="362" t="e">
        <f ca="1">IF(Theta&lt;55,0,IF((1.4*$AP$5-F95*Ecc)&lt;0,0,(1.4*$AP$5-F95*Ecc)))</f>
        <v>#VALUE!</v>
      </c>
      <c r="M95" s="359">
        <v>26</v>
      </c>
      <c r="N95" s="360" t="s">
        <v>832</v>
      </c>
      <c r="O95" s="209" t="s">
        <v>807</v>
      </c>
      <c r="P95" s="361" t="e">
        <f ca="1">1.4*$AL$8</f>
        <v>#VALUE!</v>
      </c>
      <c r="Q95" s="361" t="e">
        <f ca="1">0.9*$Y$8+1.4*$AN$8</f>
        <v>#VALUE!</v>
      </c>
      <c r="R95" s="361">
        <f>0.9*$AR$8</f>
        <v>0</v>
      </c>
      <c r="S95" s="361">
        <f t="shared" si="9"/>
        <v>0</v>
      </c>
      <c r="T95" s="362" t="e">
        <f ca="1">1.4*$AP$8-Q95*Ecc</f>
        <v>#VALUE!</v>
      </c>
    </row>
    <row r="96" spans="2:20" x14ac:dyDescent="0.25">
      <c r="B96" s="359">
        <v>27</v>
      </c>
      <c r="C96" s="360" t="s">
        <v>833</v>
      </c>
      <c r="D96" s="209" t="s">
        <v>807</v>
      </c>
      <c r="E96" s="361" t="e">
        <f ca="1">1.4*$AK$5</f>
        <v>#VALUE!</v>
      </c>
      <c r="F96" s="361" t="e">
        <f ca="1">0.9*$Y$5+1.4*$AM$5</f>
        <v>#VALUE!</v>
      </c>
      <c r="G96" s="361">
        <f>0.9*$AR$5</f>
        <v>0</v>
      </c>
      <c r="H96" s="361">
        <f t="shared" si="7"/>
        <v>0</v>
      </c>
      <c r="I96" s="362" t="e">
        <f ca="1">IF(Theta&lt;55,0,IF((1.4*$AO$5-F96*Ecc)&lt;0,0,(1.4*$AO$5-F96*Ecc)))</f>
        <v>#VALUE!</v>
      </c>
      <c r="M96" s="359">
        <v>27</v>
      </c>
      <c r="N96" s="360" t="s">
        <v>833</v>
      </c>
      <c r="O96" s="209" t="s">
        <v>807</v>
      </c>
      <c r="P96" s="361" t="e">
        <f ca="1">1.4*$AK$8</f>
        <v>#VALUE!</v>
      </c>
      <c r="Q96" s="361" t="e">
        <f ca="1">0.9*$Y$8+1.4*$AM$8</f>
        <v>#VALUE!</v>
      </c>
      <c r="R96" s="361">
        <f>0.9*$AR$8</f>
        <v>0</v>
      </c>
      <c r="S96" s="361">
        <f t="shared" si="9"/>
        <v>0</v>
      </c>
      <c r="T96" s="362" t="e">
        <f ca="1">1.4*$AO$8-Q96*Ecc</f>
        <v>#VALUE!</v>
      </c>
    </row>
    <row r="97" spans="1:20" x14ac:dyDescent="0.25">
      <c r="B97" s="359">
        <v>28</v>
      </c>
      <c r="C97" s="360" t="s">
        <v>834</v>
      </c>
      <c r="D97" s="209" t="s">
        <v>807</v>
      </c>
      <c r="E97" s="361" t="e">
        <f ca="1">1.4*$AL$5</f>
        <v>#VALUE!</v>
      </c>
      <c r="F97" s="361" t="e">
        <f ca="1">0.9*$Y$5+1.4*$AN$5+0.5*$Z$5</f>
        <v>#VALUE!</v>
      </c>
      <c r="G97" s="361">
        <f>0.9*$AR$5+0.5*$AS$5</f>
        <v>0</v>
      </c>
      <c r="H97" s="361">
        <f t="shared" si="7"/>
        <v>0</v>
      </c>
      <c r="I97" s="362" t="e">
        <f ca="1">IF(Theta&lt;55,0,IF((0.4*$AP$5-F97*Ecc)&lt;0,0,(0.4*$AP$5-F97*Ecc)))</f>
        <v>#VALUE!</v>
      </c>
      <c r="M97" s="359">
        <v>28</v>
      </c>
      <c r="N97" s="360" t="s">
        <v>834</v>
      </c>
      <c r="O97" s="209" t="s">
        <v>807</v>
      </c>
      <c r="P97" s="361" t="e">
        <f ca="1">1.4*$AL$8</f>
        <v>#VALUE!</v>
      </c>
      <c r="Q97" s="361" t="e">
        <f ca="1">0.9*$Y$8+1.4*$AN$8+0.5*$Z$8</f>
        <v>#VALUE!</v>
      </c>
      <c r="R97" s="361">
        <f>0.9*$AR$8+0.5*$AS$8</f>
        <v>0</v>
      </c>
      <c r="S97" s="361">
        <f t="shared" si="9"/>
        <v>0</v>
      </c>
      <c r="T97" s="362" t="e">
        <f ca="1">0.4*$AP$8-Q97*Ecc</f>
        <v>#VALUE!</v>
      </c>
    </row>
    <row r="98" spans="1:20" ht="15.75" customHeight="1" thickBot="1" x14ac:dyDescent="0.3">
      <c r="B98" s="363">
        <v>29</v>
      </c>
      <c r="C98" s="364" t="s">
        <v>835</v>
      </c>
      <c r="D98" s="365" t="s">
        <v>807</v>
      </c>
      <c r="E98" s="366" t="e">
        <f ca="1">1.4*$AK$5</f>
        <v>#VALUE!</v>
      </c>
      <c r="F98" s="366" t="e">
        <f ca="1">0.9*$Y$5+1.4*$AM$5+0.5*$Z$5</f>
        <v>#VALUE!</v>
      </c>
      <c r="G98" s="366">
        <f>0.9*$AR$5+0.5*$AS$5</f>
        <v>0</v>
      </c>
      <c r="H98" s="366">
        <f t="shared" si="7"/>
        <v>0</v>
      </c>
      <c r="I98" s="367" t="e">
        <f ca="1">IF(Theta&lt;55,0,IF((0.4*$AO$5-F98*Ecc)&lt;0,0,(0.4*$AO$5-F98*Ecc)))</f>
        <v>#VALUE!</v>
      </c>
      <c r="M98" s="363">
        <v>29</v>
      </c>
      <c r="N98" s="364" t="s">
        <v>835</v>
      </c>
      <c r="O98" s="365" t="s">
        <v>807</v>
      </c>
      <c r="P98" s="366" t="e">
        <f ca="1">1.4*$AK$8</f>
        <v>#VALUE!</v>
      </c>
      <c r="Q98" s="366" t="e">
        <f ca="1">0.9*$Y$8+1.4*$AM$8+0.5*$Z$8</f>
        <v>#VALUE!</v>
      </c>
      <c r="R98" s="366">
        <f>0.9*$AR$8+0.5*$AS$8</f>
        <v>0</v>
      </c>
      <c r="S98" s="366">
        <f t="shared" si="9"/>
        <v>0</v>
      </c>
      <c r="T98" s="367" t="e">
        <f ca="1">0.4*$AO$8-Q98*Ecc</f>
        <v>#VALUE!</v>
      </c>
    </row>
    <row r="99" spans="1:20" x14ac:dyDescent="0.25">
      <c r="B99" s="368" t="s">
        <v>836</v>
      </c>
      <c r="C99" s="369" t="s">
        <v>837</v>
      </c>
      <c r="M99" s="368" t="s">
        <v>836</v>
      </c>
      <c r="N99" s="369" t="s">
        <v>837</v>
      </c>
    </row>
    <row r="100" spans="1:20" x14ac:dyDescent="0.25">
      <c r="B100" s="368" t="s">
        <v>838</v>
      </c>
      <c r="C100" s="369" t="s">
        <v>839</v>
      </c>
      <c r="M100" s="368" t="s">
        <v>838</v>
      </c>
      <c r="N100" s="369" t="s">
        <v>839</v>
      </c>
    </row>
    <row r="101" spans="1:20" x14ac:dyDescent="0.25">
      <c r="B101" s="368" t="s">
        <v>474</v>
      </c>
      <c r="C101" s="369" t="s">
        <v>840</v>
      </c>
      <c r="M101" s="368" t="s">
        <v>474</v>
      </c>
      <c r="N101" s="369" t="s">
        <v>840</v>
      </c>
    </row>
    <row r="102" spans="1:20" x14ac:dyDescent="0.25">
      <c r="A102" s="260"/>
      <c r="B102" s="368" t="s">
        <v>266</v>
      </c>
      <c r="C102" s="369" t="s">
        <v>841</v>
      </c>
      <c r="L102" s="260"/>
      <c r="M102" s="368" t="s">
        <v>266</v>
      </c>
      <c r="N102" s="369" t="s">
        <v>841</v>
      </c>
    </row>
    <row r="103" spans="1:20" x14ac:dyDescent="0.25">
      <c r="B103" s="368"/>
      <c r="C103" s="369"/>
      <c r="M103" s="368"/>
      <c r="N103" s="369"/>
    </row>
    <row r="104" spans="1:20" x14ac:dyDescent="0.25">
      <c r="B104" s="368"/>
      <c r="C104" s="369"/>
      <c r="M104" s="368"/>
      <c r="N104" s="369"/>
    </row>
    <row r="105" spans="1:20" x14ac:dyDescent="0.25">
      <c r="B105" s="368"/>
      <c r="C105" s="369"/>
      <c r="M105" s="368"/>
      <c r="N105" s="369"/>
    </row>
    <row r="106" spans="1:20" x14ac:dyDescent="0.25">
      <c r="B106" s="7"/>
      <c r="C106" s="77"/>
      <c r="D106" s="7"/>
      <c r="M106" s="7"/>
      <c r="N106" s="77"/>
      <c r="O106" s="7"/>
    </row>
    <row r="107" spans="1:20" x14ac:dyDescent="0.25">
      <c r="B107" s="7"/>
      <c r="C107" s="77"/>
      <c r="D107" s="7"/>
      <c r="E107" s="370"/>
      <c r="F107" s="370"/>
      <c r="G107" s="370"/>
      <c r="H107" s="370"/>
      <c r="I107" s="370"/>
      <c r="M107" s="7"/>
      <c r="N107" s="77"/>
      <c r="O107" s="7"/>
      <c r="P107" s="370"/>
      <c r="Q107" s="370"/>
      <c r="R107" s="370"/>
      <c r="S107" s="370"/>
      <c r="T107" s="370"/>
    </row>
    <row r="108" spans="1:20" x14ac:dyDescent="0.25">
      <c r="B108" s="7"/>
      <c r="C108" s="77"/>
      <c r="D108" s="7"/>
      <c r="E108" s="370"/>
      <c r="F108" s="370"/>
      <c r="G108" s="370"/>
      <c r="H108" s="370"/>
      <c r="I108" s="370"/>
      <c r="M108" s="7"/>
      <c r="N108" s="77"/>
      <c r="O108" s="7"/>
      <c r="P108" s="370"/>
      <c r="Q108" s="370"/>
      <c r="R108" s="370"/>
      <c r="S108" s="370"/>
      <c r="T108" s="370"/>
    </row>
    <row r="109" spans="1:20" x14ac:dyDescent="0.25">
      <c r="B109" s="7"/>
      <c r="C109" s="77"/>
      <c r="D109" s="7"/>
      <c r="E109" s="370"/>
      <c r="F109" s="370"/>
      <c r="G109" s="370"/>
      <c r="H109" s="370"/>
      <c r="I109" s="370"/>
      <c r="M109" s="7"/>
      <c r="N109" s="77"/>
      <c r="O109" s="7"/>
      <c r="P109" s="370"/>
      <c r="Q109" s="370"/>
      <c r="R109" s="370"/>
      <c r="S109" s="370"/>
      <c r="T109" s="370"/>
    </row>
    <row r="110" spans="1:20" x14ac:dyDescent="0.25">
      <c r="B110" s="7"/>
      <c r="C110" s="77"/>
      <c r="D110" s="7"/>
      <c r="E110" s="370"/>
      <c r="F110" s="370"/>
      <c r="G110" s="370"/>
      <c r="H110" s="370"/>
      <c r="I110" s="370"/>
      <c r="M110" s="7"/>
      <c r="N110" s="77"/>
      <c r="O110" s="7"/>
      <c r="P110" s="370"/>
      <c r="Q110" s="370"/>
      <c r="R110" s="370"/>
      <c r="S110" s="370"/>
      <c r="T110" s="370"/>
    </row>
    <row r="111" spans="1:20" x14ac:dyDescent="0.25">
      <c r="B111" s="7"/>
      <c r="C111" s="77"/>
      <c r="D111" s="7"/>
      <c r="E111" s="370"/>
      <c r="F111" s="370"/>
      <c r="G111" s="370"/>
      <c r="H111" s="370"/>
      <c r="I111" s="370"/>
      <c r="M111" s="7"/>
      <c r="N111" s="77"/>
      <c r="O111" s="7"/>
      <c r="P111" s="370"/>
      <c r="Q111" s="370"/>
      <c r="R111" s="370"/>
      <c r="S111" s="370"/>
      <c r="T111" s="370"/>
    </row>
    <row r="112" spans="1:20" x14ac:dyDescent="0.25">
      <c r="B112" s="7"/>
      <c r="C112" s="77"/>
      <c r="D112" s="7"/>
      <c r="E112" s="370"/>
      <c r="F112" s="370"/>
      <c r="G112" s="370"/>
      <c r="H112" s="370"/>
      <c r="I112" s="370"/>
      <c r="M112" s="7"/>
      <c r="N112" s="77"/>
      <c r="O112" s="7"/>
      <c r="P112" s="370"/>
      <c r="Q112" s="370"/>
      <c r="R112" s="370"/>
      <c r="S112" s="370"/>
      <c r="T112" s="370"/>
    </row>
    <row r="114" spans="2:20" ht="15.75" customHeight="1" x14ac:dyDescent="0.25">
      <c r="B114" s="345" t="s">
        <v>442</v>
      </c>
      <c r="C114" s="716" t="str">
        <f>$C$2</f>
        <v xml:space="preserve">Customer </v>
      </c>
      <c r="D114" s="554"/>
      <c r="E114" s="346"/>
      <c r="M114" s="345" t="s">
        <v>442</v>
      </c>
      <c r="N114" s="716" t="str">
        <f>$C$2</f>
        <v xml:space="preserve">Customer </v>
      </c>
      <c r="O114" s="554"/>
      <c r="P114" s="346"/>
    </row>
    <row r="115" spans="2:20" ht="15.75" customHeight="1" x14ac:dyDescent="0.25">
      <c r="B115" s="347" t="s">
        <v>443</v>
      </c>
      <c r="C115" s="713" t="str">
        <f>$C$3</f>
        <v xml:space="preserve">Project </v>
      </c>
      <c r="D115" s="556"/>
      <c r="E115" s="346"/>
      <c r="M115" s="347" t="s">
        <v>443</v>
      </c>
      <c r="N115" s="713" t="str">
        <f>$C$3</f>
        <v xml:space="preserve">Project </v>
      </c>
      <c r="O115" s="556"/>
      <c r="P115" s="346"/>
    </row>
    <row r="116" spans="2:20" ht="15.75" customHeight="1" x14ac:dyDescent="0.25">
      <c r="B116" s="347" t="s">
        <v>444</v>
      </c>
      <c r="C116" s="713" t="str">
        <f>$C$4</f>
        <v xml:space="preserve">City, State Zip </v>
      </c>
      <c r="D116" s="556"/>
      <c r="E116" s="346"/>
      <c r="M116" s="347" t="s">
        <v>444</v>
      </c>
      <c r="N116" s="713" t="str">
        <f>$C$4</f>
        <v xml:space="preserve">City, State Zip </v>
      </c>
      <c r="O116" s="556"/>
      <c r="P116" s="346"/>
    </row>
    <row r="117" spans="2:20" ht="16.5" customHeight="1" thickBot="1" x14ac:dyDescent="0.3">
      <c r="B117" s="347" t="s">
        <v>792</v>
      </c>
      <c r="C117" s="346" t="e">
        <f>$C$5</f>
        <v>#VALUE!</v>
      </c>
      <c r="D117" s="348"/>
      <c r="E117" s="346"/>
      <c r="M117" s="347" t="s">
        <v>792</v>
      </c>
      <c r="N117" s="346" t="e">
        <f>$C$5</f>
        <v>#VALUE!</v>
      </c>
      <c r="O117" s="348"/>
      <c r="P117" s="346"/>
    </row>
    <row r="118" spans="2:20" ht="15.75" customHeight="1" x14ac:dyDescent="0.25">
      <c r="B118" s="347" t="s">
        <v>793</v>
      </c>
      <c r="C118" s="710" t="str">
        <f>$C$6</f>
        <v>X/XX/XX - XXX</v>
      </c>
      <c r="D118" s="711"/>
      <c r="E118" s="349"/>
      <c r="F118" s="719" t="s">
        <v>1</v>
      </c>
      <c r="G118" s="548"/>
      <c r="M118" s="347" t="s">
        <v>793</v>
      </c>
      <c r="N118" s="710" t="str">
        <f>$C$6</f>
        <v>X/XX/XX - XXX</v>
      </c>
      <c r="O118" s="711"/>
      <c r="P118" s="349"/>
      <c r="Q118" s="709" t="s">
        <v>4</v>
      </c>
      <c r="R118" s="548"/>
    </row>
    <row r="119" spans="2:20" ht="16.5" customHeight="1" thickBot="1" x14ac:dyDescent="0.3">
      <c r="B119" s="350" t="s">
        <v>794</v>
      </c>
      <c r="C119" s="351" t="str">
        <f>$C$7</f>
        <v>TBD by Others</v>
      </c>
      <c r="D119" s="372"/>
      <c r="E119" s="349"/>
      <c r="F119" s="550"/>
      <c r="G119" s="552"/>
      <c r="M119" s="350" t="s">
        <v>794</v>
      </c>
      <c r="N119" s="351" t="str">
        <f>$C$7</f>
        <v>TBD by Others</v>
      </c>
      <c r="O119" s="372"/>
      <c r="P119" s="349"/>
      <c r="Q119" s="550"/>
      <c r="R119" s="552"/>
    </row>
    <row r="120" spans="2:20" ht="15.75" customHeight="1" x14ac:dyDescent="0.25">
      <c r="D120" s="371"/>
      <c r="E120" s="349"/>
      <c r="O120" s="371"/>
      <c r="P120" s="349"/>
    </row>
    <row r="121" spans="2:20" ht="15.75" customHeight="1" thickBot="1" x14ac:dyDescent="0.3"/>
    <row r="122" spans="2:20" x14ac:dyDescent="0.25">
      <c r="B122" s="715" t="str">
        <f>"Factored Post Reaction - IDLER @ "&amp;Inputs!$B$33&amp;" DEGREES"</f>
        <v>Factored Post Reaction - IDLER @ XX DEGREES</v>
      </c>
      <c r="C122" s="547"/>
      <c r="D122" s="547"/>
      <c r="E122" s="547"/>
      <c r="F122" s="547"/>
      <c r="G122" s="547"/>
      <c r="H122" s="547"/>
      <c r="I122" s="548"/>
      <c r="M122" s="715" t="str">
        <f>"Factored Post Reaction - IDLER @ "&amp;Inputs!$B$33&amp;" DEGREES"</f>
        <v>Factored Post Reaction - IDLER @ XX DEGREES</v>
      </c>
      <c r="N122" s="547"/>
      <c r="O122" s="547"/>
      <c r="P122" s="547"/>
      <c r="Q122" s="547"/>
      <c r="R122" s="547"/>
      <c r="S122" s="547"/>
      <c r="T122" s="548"/>
    </row>
    <row r="123" spans="2:20" ht="15.75" customHeight="1" thickBot="1" x14ac:dyDescent="0.3">
      <c r="B123" s="712" t="str">
        <f>B11</f>
        <v xml:space="preserve">Top of Pile Loads </v>
      </c>
      <c r="C123" s="551"/>
      <c r="D123" s="551"/>
      <c r="E123" s="551"/>
      <c r="F123" s="551"/>
      <c r="G123" s="551"/>
      <c r="H123" s="551"/>
      <c r="I123" s="552"/>
      <c r="M123" s="712" t="str">
        <f>B11</f>
        <v xml:space="preserve">Top of Pile Loads </v>
      </c>
      <c r="N123" s="551"/>
      <c r="O123" s="551"/>
      <c r="P123" s="551"/>
      <c r="Q123" s="551"/>
      <c r="R123" s="551"/>
      <c r="S123" s="551"/>
      <c r="T123" s="552"/>
    </row>
    <row r="124" spans="2:20" ht="60.75" customHeight="1" thickBot="1" x14ac:dyDescent="0.3">
      <c r="B124" s="352" t="s">
        <v>798</v>
      </c>
      <c r="C124" s="352" t="s">
        <v>799</v>
      </c>
      <c r="D124" s="352" t="s">
        <v>800</v>
      </c>
      <c r="E124" s="353" t="s">
        <v>801</v>
      </c>
      <c r="F124" s="353" t="s">
        <v>802</v>
      </c>
      <c r="G124" s="353" t="s">
        <v>803</v>
      </c>
      <c r="H124" s="353" t="s">
        <v>804</v>
      </c>
      <c r="I124" s="353" t="s">
        <v>805</v>
      </c>
      <c r="M124" s="352" t="s">
        <v>798</v>
      </c>
      <c r="N124" s="352" t="s">
        <v>799</v>
      </c>
      <c r="O124" s="352" t="s">
        <v>800</v>
      </c>
      <c r="P124" s="353" t="s">
        <v>801</v>
      </c>
      <c r="Q124" s="353" t="s">
        <v>802</v>
      </c>
      <c r="R124" s="353" t="s">
        <v>803</v>
      </c>
      <c r="S124" s="353" t="s">
        <v>804</v>
      </c>
      <c r="T124" s="353" t="s">
        <v>805</v>
      </c>
    </row>
    <row r="125" spans="2:20" x14ac:dyDescent="0.25">
      <c r="B125" s="354">
        <v>1</v>
      </c>
      <c r="C125" s="355" t="s">
        <v>806</v>
      </c>
      <c r="D125" s="356" t="s">
        <v>807</v>
      </c>
      <c r="E125" s="357">
        <v>0</v>
      </c>
      <c r="F125" s="357">
        <f>$Y$6*1.4</f>
        <v>0</v>
      </c>
      <c r="G125" s="357">
        <f>$AR$6*1.4</f>
        <v>0</v>
      </c>
      <c r="H125" s="357">
        <f t="shared" ref="H125:H153" si="11">G125*SMA</f>
        <v>0</v>
      </c>
      <c r="I125" s="358">
        <f t="shared" ref="I125:I133" si="12">IF(Theta&lt;55,0,IF((-F125*Ecc)&lt;0,0,-F125*Ecc))</f>
        <v>0</v>
      </c>
      <c r="M125" s="354">
        <v>1</v>
      </c>
      <c r="N125" s="355" t="s">
        <v>806</v>
      </c>
      <c r="O125" s="356" t="s">
        <v>807</v>
      </c>
      <c r="P125" s="357">
        <v>0</v>
      </c>
      <c r="Q125" s="357">
        <f>$Y$9*1.4</f>
        <v>0</v>
      </c>
      <c r="R125" s="357">
        <f>$AR$9*1.4</f>
        <v>0</v>
      </c>
      <c r="S125" s="357">
        <f t="shared" ref="S125:S153" si="13">R125*SMA</f>
        <v>0</v>
      </c>
      <c r="T125" s="358">
        <f t="shared" ref="T125:T133" si="14">IF(Theta&lt;55,0,IF((-Q125*Ecc)&lt;0,0,-Q125*Ecc))</f>
        <v>0</v>
      </c>
    </row>
    <row r="126" spans="2:20" x14ac:dyDescent="0.25">
      <c r="B126" s="359">
        <v>2</v>
      </c>
      <c r="C126" s="360" t="s">
        <v>808</v>
      </c>
      <c r="D126" s="209" t="s">
        <v>807</v>
      </c>
      <c r="E126" s="361">
        <v>0</v>
      </c>
      <c r="F126" s="361">
        <f>$Y$6*1.25</f>
        <v>0</v>
      </c>
      <c r="G126" s="361">
        <f>$AR$6*1.25</f>
        <v>0</v>
      </c>
      <c r="H126" s="361">
        <f t="shared" si="11"/>
        <v>0</v>
      </c>
      <c r="I126" s="362">
        <f t="shared" si="12"/>
        <v>0</v>
      </c>
      <c r="M126" s="359">
        <v>2</v>
      </c>
      <c r="N126" s="360" t="s">
        <v>808</v>
      </c>
      <c r="O126" s="209" t="s">
        <v>807</v>
      </c>
      <c r="P126" s="361">
        <v>0</v>
      </c>
      <c r="Q126" s="361">
        <f>$Y$9*1.25</f>
        <v>0</v>
      </c>
      <c r="R126" s="361">
        <f>$AR$9*1.25</f>
        <v>0</v>
      </c>
      <c r="S126" s="361">
        <f t="shared" si="13"/>
        <v>0</v>
      </c>
      <c r="T126" s="362">
        <f t="shared" si="14"/>
        <v>0</v>
      </c>
    </row>
    <row r="127" spans="2:20" x14ac:dyDescent="0.25">
      <c r="B127" s="359">
        <v>3</v>
      </c>
      <c r="C127" s="360" t="s">
        <v>809</v>
      </c>
      <c r="D127" s="209" t="s">
        <v>807</v>
      </c>
      <c r="E127" s="361">
        <v>0</v>
      </c>
      <c r="F127" s="361">
        <f>$Y$6*1.25+0.5*$Z$6</f>
        <v>0</v>
      </c>
      <c r="G127" s="361">
        <f>$AR$6*1.25+0.5*$AS$6</f>
        <v>0</v>
      </c>
      <c r="H127" s="361">
        <f t="shared" si="11"/>
        <v>0</v>
      </c>
      <c r="I127" s="362">
        <f t="shared" si="12"/>
        <v>0</v>
      </c>
      <c r="M127" s="359">
        <v>3</v>
      </c>
      <c r="N127" s="360" t="s">
        <v>809</v>
      </c>
      <c r="O127" s="209" t="s">
        <v>807</v>
      </c>
      <c r="P127" s="361">
        <v>0</v>
      </c>
      <c r="Q127" s="361">
        <f>$Y$9*1.25+0.5*$Z$9</f>
        <v>0</v>
      </c>
      <c r="R127" s="361">
        <f>$AR$9*1.25+0.5*$AS$9</f>
        <v>0</v>
      </c>
      <c r="S127" s="361">
        <f t="shared" si="13"/>
        <v>0</v>
      </c>
      <c r="T127" s="362">
        <f t="shared" si="14"/>
        <v>0</v>
      </c>
    </row>
    <row r="128" spans="2:20" x14ac:dyDescent="0.25">
      <c r="B128" s="359">
        <v>4</v>
      </c>
      <c r="C128" s="360" t="s">
        <v>810</v>
      </c>
      <c r="D128" s="209" t="s">
        <v>807</v>
      </c>
      <c r="E128" s="361">
        <v>0</v>
      </c>
      <c r="F128" s="361">
        <f>$Y$6*0.9</f>
        <v>0</v>
      </c>
      <c r="G128" s="361">
        <f>$AR$6*0.9</f>
        <v>0</v>
      </c>
      <c r="H128" s="361">
        <f t="shared" si="11"/>
        <v>0</v>
      </c>
      <c r="I128" s="362">
        <f t="shared" si="12"/>
        <v>0</v>
      </c>
      <c r="M128" s="359">
        <v>4</v>
      </c>
      <c r="N128" s="360" t="s">
        <v>810</v>
      </c>
      <c r="O128" s="209" t="s">
        <v>807</v>
      </c>
      <c r="P128" s="361">
        <v>0</v>
      </c>
      <c r="Q128" s="361">
        <f>$Y$9*0.9</f>
        <v>0</v>
      </c>
      <c r="R128" s="361">
        <f>$AR$9*0.9</f>
        <v>0</v>
      </c>
      <c r="S128" s="361">
        <f t="shared" si="13"/>
        <v>0</v>
      </c>
      <c r="T128" s="362">
        <f t="shared" si="14"/>
        <v>0</v>
      </c>
    </row>
    <row r="129" spans="2:20" x14ac:dyDescent="0.25">
      <c r="B129" s="359">
        <v>5</v>
      </c>
      <c r="C129" s="360" t="s">
        <v>811</v>
      </c>
      <c r="D129" s="209" t="s">
        <v>807</v>
      </c>
      <c r="E129" s="361">
        <v>0</v>
      </c>
      <c r="F129" s="361">
        <f>$Y$6*0.9+0.5*$Z$6</f>
        <v>0</v>
      </c>
      <c r="G129" s="361">
        <f>$AR$6*0.9+0.5*$AS$6</f>
        <v>0</v>
      </c>
      <c r="H129" s="361">
        <f t="shared" si="11"/>
        <v>0</v>
      </c>
      <c r="I129" s="362">
        <f t="shared" si="12"/>
        <v>0</v>
      </c>
      <c r="M129" s="359">
        <v>5</v>
      </c>
      <c r="N129" s="360" t="s">
        <v>811</v>
      </c>
      <c r="O129" s="209" t="s">
        <v>807</v>
      </c>
      <c r="P129" s="361">
        <v>0</v>
      </c>
      <c r="Q129" s="361">
        <f>$Y$9*0.9+0.5*$Z$9</f>
        <v>0</v>
      </c>
      <c r="R129" s="361">
        <f>$AR$9*0.9+0.5*$AS$9</f>
        <v>0</v>
      </c>
      <c r="S129" s="361">
        <f t="shared" si="13"/>
        <v>0</v>
      </c>
      <c r="T129" s="362">
        <f t="shared" si="14"/>
        <v>0</v>
      </c>
    </row>
    <row r="130" spans="2:20" x14ac:dyDescent="0.25">
      <c r="B130" s="359">
        <v>6</v>
      </c>
      <c r="C130" s="360" t="s">
        <v>812</v>
      </c>
      <c r="D130" s="209" t="s">
        <v>807</v>
      </c>
      <c r="E130" s="361">
        <v>0</v>
      </c>
      <c r="F130" s="361">
        <f>$Y$6*1.25+1.5*$Z$6</f>
        <v>0</v>
      </c>
      <c r="G130" s="361">
        <f>$AR$6*1.25+1.5*$AS$6</f>
        <v>0</v>
      </c>
      <c r="H130" s="361">
        <f t="shared" si="11"/>
        <v>0</v>
      </c>
      <c r="I130" s="362">
        <f t="shared" si="12"/>
        <v>0</v>
      </c>
      <c r="M130" s="359">
        <v>6</v>
      </c>
      <c r="N130" s="360" t="s">
        <v>812</v>
      </c>
      <c r="O130" s="209" t="s">
        <v>807</v>
      </c>
      <c r="P130" s="361">
        <v>0</v>
      </c>
      <c r="Q130" s="361">
        <f>$Y$9*1.25+1.5*$Z$9</f>
        <v>0</v>
      </c>
      <c r="R130" s="361">
        <f>$AR$9*1.25+1.5*$AS$9</f>
        <v>0</v>
      </c>
      <c r="S130" s="361">
        <f t="shared" si="13"/>
        <v>0</v>
      </c>
      <c r="T130" s="362">
        <f t="shared" si="14"/>
        <v>0</v>
      </c>
    </row>
    <row r="131" spans="2:20" x14ac:dyDescent="0.25">
      <c r="B131" s="359">
        <v>7</v>
      </c>
      <c r="C131" s="360" t="s">
        <v>813</v>
      </c>
      <c r="D131" s="209" t="s">
        <v>807</v>
      </c>
      <c r="E131" s="361">
        <v>0</v>
      </c>
      <c r="F131" s="361">
        <f>$Y$6*1.25+1.5*$Z$6</f>
        <v>0</v>
      </c>
      <c r="G131" s="361">
        <f>$AR$6*1.25+1.5*$AS$6</f>
        <v>0</v>
      </c>
      <c r="H131" s="361">
        <f t="shared" si="11"/>
        <v>0</v>
      </c>
      <c r="I131" s="362">
        <f t="shared" si="12"/>
        <v>0</v>
      </c>
      <c r="M131" s="359">
        <v>7</v>
      </c>
      <c r="N131" s="360" t="s">
        <v>813</v>
      </c>
      <c r="O131" s="209" t="s">
        <v>807</v>
      </c>
      <c r="P131" s="361">
        <v>0</v>
      </c>
      <c r="Q131" s="361">
        <f>$Y$9*1.25+1.5*$Z$9</f>
        <v>0</v>
      </c>
      <c r="R131" s="361">
        <f>$AR$9*1.25+1.5*$AS$9</f>
        <v>0</v>
      </c>
      <c r="S131" s="361">
        <f t="shared" si="13"/>
        <v>0</v>
      </c>
      <c r="T131" s="362">
        <f t="shared" si="14"/>
        <v>0</v>
      </c>
    </row>
    <row r="132" spans="2:20" x14ac:dyDescent="0.25">
      <c r="B132" s="359">
        <v>8</v>
      </c>
      <c r="C132" s="360" t="s">
        <v>814</v>
      </c>
      <c r="D132" s="209" t="s">
        <v>807</v>
      </c>
      <c r="E132" s="361">
        <v>0</v>
      </c>
      <c r="F132" s="361">
        <f>0.9*$Y$6+1.5*$Z$6</f>
        <v>0</v>
      </c>
      <c r="G132" s="361">
        <f>0.9*$AR$6+1.5*$AS$6</f>
        <v>0</v>
      </c>
      <c r="H132" s="361">
        <f t="shared" si="11"/>
        <v>0</v>
      </c>
      <c r="I132" s="362">
        <f t="shared" si="12"/>
        <v>0</v>
      </c>
      <c r="M132" s="359">
        <v>8</v>
      </c>
      <c r="N132" s="360" t="s">
        <v>814</v>
      </c>
      <c r="O132" s="209" t="s">
        <v>807</v>
      </c>
      <c r="P132" s="361">
        <v>0</v>
      </c>
      <c r="Q132" s="361">
        <f>0.9*$Y$9+1.5*$Z$9</f>
        <v>0</v>
      </c>
      <c r="R132" s="361">
        <f>0.9*$AR$9+1.5*$AS$9</f>
        <v>0</v>
      </c>
      <c r="S132" s="361">
        <f t="shared" si="13"/>
        <v>0</v>
      </c>
      <c r="T132" s="362">
        <f t="shared" si="14"/>
        <v>0</v>
      </c>
    </row>
    <row r="133" spans="2:20" x14ac:dyDescent="0.25">
      <c r="B133" s="359">
        <v>9</v>
      </c>
      <c r="C133" s="360" t="s">
        <v>815</v>
      </c>
      <c r="D133" s="209" t="s">
        <v>807</v>
      </c>
      <c r="E133" s="361">
        <v>0</v>
      </c>
      <c r="F133" s="361">
        <f>0.9*$Y$6+1.5*$Z$6</f>
        <v>0</v>
      </c>
      <c r="G133" s="361">
        <f>0.9*$AR$6+1.5*$AS$6</f>
        <v>0</v>
      </c>
      <c r="H133" s="361">
        <f t="shared" si="11"/>
        <v>0</v>
      </c>
      <c r="I133" s="362">
        <f t="shared" si="12"/>
        <v>0</v>
      </c>
      <c r="M133" s="359">
        <v>9</v>
      </c>
      <c r="N133" s="360" t="s">
        <v>815</v>
      </c>
      <c r="O133" s="209" t="s">
        <v>807</v>
      </c>
      <c r="P133" s="361">
        <v>0</v>
      </c>
      <c r="Q133" s="361">
        <f>0.9*$Y$9+1.5*$Z$9</f>
        <v>0</v>
      </c>
      <c r="R133" s="361">
        <f>0.9*$AR$9+1.5*$AS$9</f>
        <v>0</v>
      </c>
      <c r="S133" s="361">
        <f t="shared" si="13"/>
        <v>0</v>
      </c>
      <c r="T133" s="362">
        <f t="shared" si="14"/>
        <v>0</v>
      </c>
    </row>
    <row r="134" spans="2:20" x14ac:dyDescent="0.25">
      <c r="B134" s="359">
        <v>10</v>
      </c>
      <c r="C134" s="360" t="s">
        <v>816</v>
      </c>
      <c r="D134" s="209" t="s">
        <v>807</v>
      </c>
      <c r="E134" s="361" t="e">
        <f ca="1">0.4*$AL$6</f>
        <v>#VALUE!</v>
      </c>
      <c r="F134" s="361" t="e">
        <f ca="1">1.25*$Y$6+0.4*$AN$6</f>
        <v>#VALUE!</v>
      </c>
      <c r="G134" s="361">
        <f>1.25*$AR$6</f>
        <v>0</v>
      </c>
      <c r="H134" s="361">
        <f t="shared" si="11"/>
        <v>0</v>
      </c>
      <c r="I134" s="362" t="e">
        <f ca="1">IF(Theta&lt;55,0,IF((0.4*$AP$6-F134*Ecc)&lt;0,0,0.4*$AP$6-F134*Ecc))</f>
        <v>#VALUE!</v>
      </c>
      <c r="M134" s="359">
        <v>10</v>
      </c>
      <c r="N134" s="360" t="s">
        <v>816</v>
      </c>
      <c r="O134" s="209" t="s">
        <v>807</v>
      </c>
      <c r="P134" s="361" t="e">
        <f ca="1">0.4*$AL$9</f>
        <v>#VALUE!</v>
      </c>
      <c r="Q134" s="361" t="e">
        <f ca="1">1.25*$Y$9+0.4*$AN$9</f>
        <v>#VALUE!</v>
      </c>
      <c r="R134" s="361">
        <f>1.25*$AR$9</f>
        <v>0</v>
      </c>
      <c r="S134" s="361">
        <f t="shared" si="13"/>
        <v>0</v>
      </c>
      <c r="T134" s="362" t="e">
        <f ca="1">IF(Theta&lt;55,0,IF((0.4*$AP$9-Q134*Ecc)&lt;0,0,0.4*$AP$9-Q134*Ecc))</f>
        <v>#VALUE!</v>
      </c>
    </row>
    <row r="135" spans="2:20" x14ac:dyDescent="0.25">
      <c r="B135" s="359">
        <v>11</v>
      </c>
      <c r="C135" s="360" t="s">
        <v>817</v>
      </c>
      <c r="D135" s="209" t="s">
        <v>807</v>
      </c>
      <c r="E135" s="361" t="e">
        <f ca="1">0.4*$AK$6</f>
        <v>#VALUE!</v>
      </c>
      <c r="F135" s="361" t="e">
        <f ca="1">1.25*$Y$6+0.4*$AM$6</f>
        <v>#VALUE!</v>
      </c>
      <c r="G135" s="361">
        <f>1.25*$AR$6</f>
        <v>0</v>
      </c>
      <c r="H135" s="361">
        <f t="shared" si="11"/>
        <v>0</v>
      </c>
      <c r="I135" s="362" t="e">
        <f ca="1">IF(Theta&lt;55,0,IF((0.4*$AO$6-F135*Ecc)&lt;0,0,(0.4*$AO$6-F135*Ecc)))</f>
        <v>#VALUE!</v>
      </c>
      <c r="M135" s="359">
        <v>11</v>
      </c>
      <c r="N135" s="360" t="s">
        <v>817</v>
      </c>
      <c r="O135" s="209" t="s">
        <v>807</v>
      </c>
      <c r="P135" s="361" t="e">
        <f ca="1">0.4*$AK$9</f>
        <v>#VALUE!</v>
      </c>
      <c r="Q135" s="361" t="e">
        <f ca="1">1.25*$Y$9+0.4*$AM$9</f>
        <v>#VALUE!</v>
      </c>
      <c r="R135" s="361">
        <f>1.25*$AR$9</f>
        <v>0</v>
      </c>
      <c r="S135" s="361">
        <f t="shared" si="13"/>
        <v>0</v>
      </c>
      <c r="T135" s="362" t="e">
        <f ca="1">IF(Theta&lt;55,0,IF((0.4*$AO$9-Q135*Ecc)&lt;0,0,(0.4*$AO$9-Q135*Ecc)))</f>
        <v>#VALUE!</v>
      </c>
    </row>
    <row r="136" spans="2:20" x14ac:dyDescent="0.25">
      <c r="B136" s="359">
        <v>12</v>
      </c>
      <c r="C136" s="360" t="s">
        <v>818</v>
      </c>
      <c r="D136" s="209" t="s">
        <v>807</v>
      </c>
      <c r="E136" s="361" t="e">
        <f ca="1">0.4*$AL$6</f>
        <v>#VALUE!</v>
      </c>
      <c r="F136" s="361" t="e">
        <f ca="1">0.9*$Y$6+0.4*$AN$6</f>
        <v>#VALUE!</v>
      </c>
      <c r="G136" s="361">
        <f>0.9*$AR$6</f>
        <v>0</v>
      </c>
      <c r="H136" s="361">
        <f t="shared" si="11"/>
        <v>0</v>
      </c>
      <c r="I136" s="362" t="e">
        <f ca="1">IF(Theta&lt;0,0,IF((0.4*$AP$6-F136*Ecc)&lt;0,0,(0.4*$AP$6-F136*Ecc)))</f>
        <v>#VALUE!</v>
      </c>
      <c r="M136" s="359">
        <v>12</v>
      </c>
      <c r="N136" s="360" t="s">
        <v>818</v>
      </c>
      <c r="O136" s="209" t="s">
        <v>807</v>
      </c>
      <c r="P136" s="361" t="e">
        <f ca="1">0.4*$AL$9</f>
        <v>#VALUE!</v>
      </c>
      <c r="Q136" s="361" t="e">
        <f ca="1">0.9*$Y$9+0.4*$AN$9</f>
        <v>#VALUE!</v>
      </c>
      <c r="R136" s="361">
        <f>0.9*$AR$9</f>
        <v>0</v>
      </c>
      <c r="S136" s="361">
        <f t="shared" si="13"/>
        <v>0</v>
      </c>
      <c r="T136" s="362" t="e">
        <f ca="1">IF(Theta&lt;0,0,IF((0.4*$AP$9-Q136*Ecc)&lt;0,0,(0.4*$AP$9-Q136*Ecc)))</f>
        <v>#VALUE!</v>
      </c>
    </row>
    <row r="137" spans="2:20" x14ac:dyDescent="0.25">
      <c r="B137" s="359">
        <v>13</v>
      </c>
      <c r="C137" s="360" t="s">
        <v>819</v>
      </c>
      <c r="D137" s="209" t="s">
        <v>807</v>
      </c>
      <c r="E137" s="361" t="e">
        <f ca="1">0.4*$AK$6</f>
        <v>#VALUE!</v>
      </c>
      <c r="F137" s="361" t="e">
        <f ca="1">0.9*$Y$6+0.4*$AM$6</f>
        <v>#VALUE!</v>
      </c>
      <c r="G137" s="361">
        <f>0.9*$AR$6</f>
        <v>0</v>
      </c>
      <c r="H137" s="361">
        <f t="shared" si="11"/>
        <v>0</v>
      </c>
      <c r="I137" s="362" t="e">
        <f ca="1">IF(Theta&lt;55,0,IF((0.4*$AO$6-F137*Ecc)&lt;0,0,(0.4*$AO$6-F137*Ecc)))</f>
        <v>#VALUE!</v>
      </c>
      <c r="M137" s="359">
        <v>13</v>
      </c>
      <c r="N137" s="360" t="s">
        <v>819</v>
      </c>
      <c r="O137" s="209" t="s">
        <v>807</v>
      </c>
      <c r="P137" s="361" t="e">
        <f ca="1">0.4*$AK$9</f>
        <v>#VALUE!</v>
      </c>
      <c r="Q137" s="361" t="e">
        <f ca="1">0.9*$Y$9+0.4*$AM$9</f>
        <v>#VALUE!</v>
      </c>
      <c r="R137" s="361">
        <f>0.9*$AR$9</f>
        <v>0</v>
      </c>
      <c r="S137" s="361">
        <f t="shared" si="13"/>
        <v>0</v>
      </c>
      <c r="T137" s="362" t="e">
        <f ca="1">IF(Theta&lt;55,0,IF((0.4*$AO$9-Q137*Ecc)&lt;0,0,(0.4*$AO$9-Q137*Ecc)))</f>
        <v>#VALUE!</v>
      </c>
    </row>
    <row r="138" spans="2:20" x14ac:dyDescent="0.25">
      <c r="B138" s="359">
        <v>14</v>
      </c>
      <c r="C138" s="360" t="s">
        <v>820</v>
      </c>
      <c r="D138" s="209" t="s">
        <v>807</v>
      </c>
      <c r="E138" s="361" t="e">
        <f ca="1">0.4*$AL$6</f>
        <v>#VALUE!</v>
      </c>
      <c r="F138" s="361" t="e">
        <f ca="1">1.25*$Y$6+0.4*$AN$6+1.5*$Z$6</f>
        <v>#VALUE!</v>
      </c>
      <c r="G138" s="361">
        <f>1.25*$AR$6+1.5*$AS$6</f>
        <v>0</v>
      </c>
      <c r="H138" s="361">
        <f t="shared" si="11"/>
        <v>0</v>
      </c>
      <c r="I138" s="362" t="e">
        <f ca="1">IF(Theta&lt;55,0,IF((0.4*$AP$6-F138*Ecc)&lt;0,0,(0.4*$AP$6-F138*Ecc)))</f>
        <v>#VALUE!</v>
      </c>
      <c r="M138" s="359">
        <v>14</v>
      </c>
      <c r="N138" s="360" t="s">
        <v>820</v>
      </c>
      <c r="O138" s="209" t="s">
        <v>807</v>
      </c>
      <c r="P138" s="361" t="e">
        <f ca="1">0.4*$AL$9</f>
        <v>#VALUE!</v>
      </c>
      <c r="Q138" s="361" t="e">
        <f ca="1">1.25*$Y$9+0.4*$AN$9+1.5*$Z$9</f>
        <v>#VALUE!</v>
      </c>
      <c r="R138" s="361">
        <f>1.25*$AR$9+1.5*$AS$9</f>
        <v>0</v>
      </c>
      <c r="S138" s="361">
        <f t="shared" si="13"/>
        <v>0</v>
      </c>
      <c r="T138" s="362" t="e">
        <f ca="1">IF(Theta&lt;55,0,IF((0.4*$AP$9-Q138*Ecc)&lt;0,0,(0.4*$AP$9-Q138*Ecc)))</f>
        <v>#VALUE!</v>
      </c>
    </row>
    <row r="139" spans="2:20" x14ac:dyDescent="0.25">
      <c r="B139" s="359">
        <v>15</v>
      </c>
      <c r="C139" s="360" t="s">
        <v>821</v>
      </c>
      <c r="D139" s="209" t="s">
        <v>807</v>
      </c>
      <c r="E139" s="361" t="e">
        <f ca="1">0.4*$AK$6</f>
        <v>#VALUE!</v>
      </c>
      <c r="F139" s="361" t="e">
        <f ca="1">1.25*$Y$6+0.4*$AM$6+1.5*$Z$6</f>
        <v>#VALUE!</v>
      </c>
      <c r="G139" s="361">
        <f>1.25*$AR$6+1.5*$AS$6</f>
        <v>0</v>
      </c>
      <c r="H139" s="361">
        <f t="shared" si="11"/>
        <v>0</v>
      </c>
      <c r="I139" s="362" t="e">
        <f ca="1">IF(Theta&lt;55,0,IF((0.4*$AO$6-F139*Ecc)&lt;0,0,(0.4*$AO$6-F139*Ecc)))</f>
        <v>#VALUE!</v>
      </c>
      <c r="M139" s="359">
        <v>15</v>
      </c>
      <c r="N139" s="360" t="s">
        <v>821</v>
      </c>
      <c r="O139" s="209" t="s">
        <v>807</v>
      </c>
      <c r="P139" s="361" t="e">
        <f ca="1">0.4*$AK$9</f>
        <v>#VALUE!</v>
      </c>
      <c r="Q139" s="361" t="e">
        <f ca="1">1.25*$Y$9+0.4*$AM$9+1.5*$Z$9</f>
        <v>#VALUE!</v>
      </c>
      <c r="R139" s="361">
        <f>1.25*$AR$9+1.5*$AS$9</f>
        <v>0</v>
      </c>
      <c r="S139" s="361">
        <f t="shared" si="13"/>
        <v>0</v>
      </c>
      <c r="T139" s="362" t="e">
        <f ca="1">IF(Theta&lt;55,0,IF((0.4*$AO$9-Q139*Ecc)&lt;0,0,(0.4*$AO$9-Q139*Ecc)))</f>
        <v>#VALUE!</v>
      </c>
    </row>
    <row r="140" spans="2:20" x14ac:dyDescent="0.25">
      <c r="B140" s="359">
        <v>16</v>
      </c>
      <c r="C140" s="360" t="s">
        <v>822</v>
      </c>
      <c r="D140" s="209" t="s">
        <v>807</v>
      </c>
      <c r="E140" s="361" t="e">
        <f ca="1">0.4*$AL$6</f>
        <v>#VALUE!</v>
      </c>
      <c r="F140" s="361" t="e">
        <f ca="1">0.9*$Y$6+0.4*$AN$6+1.5*$Z$6</f>
        <v>#VALUE!</v>
      </c>
      <c r="G140" s="361">
        <f>0.9*$AR$6+1.5*$AS$6</f>
        <v>0</v>
      </c>
      <c r="H140" s="361">
        <f t="shared" si="11"/>
        <v>0</v>
      </c>
      <c r="I140" s="362" t="e">
        <f ca="1">IF(Theta&lt;55,0,IF((0.4*$AP$6-F140*Ecc)&lt;0,0,(0.4*$AP$6-F140*Ecc)))</f>
        <v>#VALUE!</v>
      </c>
      <c r="M140" s="359">
        <v>16</v>
      </c>
      <c r="N140" s="360" t="s">
        <v>822</v>
      </c>
      <c r="O140" s="209" t="s">
        <v>807</v>
      </c>
      <c r="P140" s="361" t="e">
        <f ca="1">0.4*$AL$9</f>
        <v>#VALUE!</v>
      </c>
      <c r="Q140" s="361" t="e">
        <f ca="1">0.9*$Y$9+0.4*$AN$9+1.5*$Z$9</f>
        <v>#VALUE!</v>
      </c>
      <c r="R140" s="361">
        <f>0.9*$AR$9+1.5*$AS$9</f>
        <v>0</v>
      </c>
      <c r="S140" s="361">
        <f t="shared" si="13"/>
        <v>0</v>
      </c>
      <c r="T140" s="362" t="e">
        <f ca="1">IF(Theta&lt;55,0,IF((0.4*$AP$9-Q140*Ecc)&lt;0,0,(0.4*$AP$9-Q140*Ecc)))</f>
        <v>#VALUE!</v>
      </c>
    </row>
    <row r="141" spans="2:20" x14ac:dyDescent="0.25">
      <c r="B141" s="359">
        <v>17</v>
      </c>
      <c r="C141" s="360" t="s">
        <v>823</v>
      </c>
      <c r="D141" s="209" t="s">
        <v>807</v>
      </c>
      <c r="E141" s="361" t="e">
        <f ca="1">0.4*$AK$6</f>
        <v>#VALUE!</v>
      </c>
      <c r="F141" s="361" t="e">
        <f ca="1">0.9*$Y$6+0.4*$AM$6+1.5*$Z$6</f>
        <v>#VALUE!</v>
      </c>
      <c r="G141" s="361">
        <f>0.9*$AR$6+1.5*$AS$6</f>
        <v>0</v>
      </c>
      <c r="H141" s="361">
        <f t="shared" si="11"/>
        <v>0</v>
      </c>
      <c r="I141" s="362" t="e">
        <f ca="1">IF(Theta&lt;55,0,IF((0.4*$AO$6-F141*Ecc)&lt;0,0,(0.4*$AO$6-F141*Ecc)))</f>
        <v>#VALUE!</v>
      </c>
      <c r="M141" s="359">
        <v>17</v>
      </c>
      <c r="N141" s="360" t="s">
        <v>823</v>
      </c>
      <c r="O141" s="209" t="s">
        <v>807</v>
      </c>
      <c r="P141" s="361" t="e">
        <f ca="1">0.4*$AK$9</f>
        <v>#VALUE!</v>
      </c>
      <c r="Q141" s="361" t="e">
        <f ca="1">0.9*$Y$9+0.4*$AM$9+1.5*$Z$9</f>
        <v>#VALUE!</v>
      </c>
      <c r="R141" s="361">
        <f>0.9*$AR$9+1.5*$AS$9</f>
        <v>0</v>
      </c>
      <c r="S141" s="361">
        <f t="shared" si="13"/>
        <v>0</v>
      </c>
      <c r="T141" s="362" t="e">
        <f ca="1">IF(Theta&lt;55,0,IF((0.4*$AO$9-Q141*Ecc)&lt;0,0,(0.4*$AO$9-Q141*Ecc)))</f>
        <v>#VALUE!</v>
      </c>
    </row>
    <row r="142" spans="2:20" x14ac:dyDescent="0.25">
      <c r="B142" s="359">
        <v>18</v>
      </c>
      <c r="C142" s="360" t="s">
        <v>824</v>
      </c>
      <c r="D142" s="209" t="s">
        <v>807</v>
      </c>
      <c r="E142" s="361" t="e">
        <f ca="1">1.4*$AL$6</f>
        <v>#VALUE!</v>
      </c>
      <c r="F142" s="361" t="e">
        <f ca="1">1.25*$Y$6+1.4*$AN$6</f>
        <v>#VALUE!</v>
      </c>
      <c r="G142" s="361">
        <f>1.25*$AR$6</f>
        <v>0</v>
      </c>
      <c r="H142" s="361">
        <f t="shared" si="11"/>
        <v>0</v>
      </c>
      <c r="I142" s="362" t="e">
        <f ca="1">IF(Theta&lt;55,0,IF((1.4*$AP$6-F142*Ecc)&lt;0,0,(1.4*$AP$6-F142*Ecc)))</f>
        <v>#VALUE!</v>
      </c>
      <c r="M142" s="359">
        <v>18</v>
      </c>
      <c r="N142" s="360" t="s">
        <v>824</v>
      </c>
      <c r="O142" s="209" t="s">
        <v>807</v>
      </c>
      <c r="P142" s="361" t="e">
        <f ca="1">1.4*$AL$9</f>
        <v>#VALUE!</v>
      </c>
      <c r="Q142" s="361" t="e">
        <f ca="1">1.25*$Y$9+1.4*$AN$9</f>
        <v>#VALUE!</v>
      </c>
      <c r="R142" s="361">
        <f>1.25*$AR$9</f>
        <v>0</v>
      </c>
      <c r="S142" s="361">
        <f t="shared" si="13"/>
        <v>0</v>
      </c>
      <c r="T142" s="362" t="e">
        <f ca="1">IF(Theta&lt;55,0,IF((1.4*$AP$9-Q142*Ecc)&lt;0,0,(1.4*$AP$9-Q142*Ecc)))</f>
        <v>#VALUE!</v>
      </c>
    </row>
    <row r="143" spans="2:20" x14ac:dyDescent="0.25">
      <c r="B143" s="359">
        <v>19</v>
      </c>
      <c r="C143" s="360" t="s">
        <v>825</v>
      </c>
      <c r="D143" s="209" t="s">
        <v>807</v>
      </c>
      <c r="E143" s="361" t="e">
        <f ca="1">1.4*$AK$6</f>
        <v>#VALUE!</v>
      </c>
      <c r="F143" s="361" t="e">
        <f ca="1">1.25*$Y$6+1.4*$AM$6</f>
        <v>#VALUE!</v>
      </c>
      <c r="G143" s="361">
        <f>1.25*$AR$6</f>
        <v>0</v>
      </c>
      <c r="H143" s="361">
        <f t="shared" si="11"/>
        <v>0</v>
      </c>
      <c r="I143" s="362" t="e">
        <f ca="1">IF(Theta&lt;55,0,IF((1.4*$AO$6-F143*Ecc)&lt;0,0,(1.4*$AO$6-F143*Ecc)))</f>
        <v>#VALUE!</v>
      </c>
      <c r="M143" s="359">
        <v>19</v>
      </c>
      <c r="N143" s="360" t="s">
        <v>825</v>
      </c>
      <c r="O143" s="209" t="s">
        <v>807</v>
      </c>
      <c r="P143" s="361" t="e">
        <f ca="1">1.4*$AK$9</f>
        <v>#VALUE!</v>
      </c>
      <c r="Q143" s="361" t="e">
        <f ca="1">1.25*$Y$9+1.4*$AM$9</f>
        <v>#VALUE!</v>
      </c>
      <c r="R143" s="361">
        <f>1.25*$AR$9</f>
        <v>0</v>
      </c>
      <c r="S143" s="361">
        <f t="shared" si="13"/>
        <v>0</v>
      </c>
      <c r="T143" s="362" t="e">
        <f ca="1">IF(Theta&lt;55,0,IF((1.4*$AO$9-Q143*Ecc)&lt;0,0,(1.4*$AO$9-Q143*Ecc)))</f>
        <v>#VALUE!</v>
      </c>
    </row>
    <row r="144" spans="2:20" x14ac:dyDescent="0.25">
      <c r="B144" s="359">
        <v>20</v>
      </c>
      <c r="C144" s="360" t="s">
        <v>826</v>
      </c>
      <c r="D144" s="209" t="s">
        <v>807</v>
      </c>
      <c r="E144" s="361" t="e">
        <f ca="1">1.4*$AL$6</f>
        <v>#VALUE!</v>
      </c>
      <c r="F144" s="361" t="e">
        <f ca="1">1.25*$Y$6+1.4*$AN$6</f>
        <v>#VALUE!</v>
      </c>
      <c r="G144" s="361">
        <f>1.25*$AR$6</f>
        <v>0</v>
      </c>
      <c r="H144" s="361">
        <f t="shared" si="11"/>
        <v>0</v>
      </c>
      <c r="I144" s="362" t="e">
        <f ca="1">IF(Theta&lt;55,0,IF((1.4*$AP$6-F144*Ecc)&lt;0,0,(1.4*$AP$6-F144*Ecc)))</f>
        <v>#VALUE!</v>
      </c>
      <c r="M144" s="359">
        <v>20</v>
      </c>
      <c r="N144" s="360" t="s">
        <v>826</v>
      </c>
      <c r="O144" s="209" t="s">
        <v>807</v>
      </c>
      <c r="P144" s="361" t="e">
        <f ca="1">1.4*$AL$9</f>
        <v>#VALUE!</v>
      </c>
      <c r="Q144" s="361" t="e">
        <f ca="1">1.25*$Y$9+1.4*$AN$9</f>
        <v>#VALUE!</v>
      </c>
      <c r="R144" s="361">
        <f>1.25*$AR$9</f>
        <v>0</v>
      </c>
      <c r="S144" s="361">
        <f t="shared" si="13"/>
        <v>0</v>
      </c>
      <c r="T144" s="362" t="e">
        <f ca="1">IF(Theta&lt;55,0,IF((1.4*$AP$9-Q144*Ecc)&lt;0,0,(1.4*$AP$9-Q144*Ecc)))</f>
        <v>#VALUE!</v>
      </c>
    </row>
    <row r="145" spans="1:20" x14ac:dyDescent="0.25">
      <c r="B145" s="359">
        <v>21</v>
      </c>
      <c r="C145" s="360" t="s">
        <v>827</v>
      </c>
      <c r="D145" s="209" t="s">
        <v>807</v>
      </c>
      <c r="E145" s="361" t="e">
        <f ca="1">1.4*$AK$6</f>
        <v>#VALUE!</v>
      </c>
      <c r="F145" s="361" t="e">
        <f ca="1">1.25*$Y$6+1.4*$AM$6</f>
        <v>#VALUE!</v>
      </c>
      <c r="G145" s="361">
        <f>1.25*$AR$6</f>
        <v>0</v>
      </c>
      <c r="H145" s="361">
        <f t="shared" si="11"/>
        <v>0</v>
      </c>
      <c r="I145" s="362" t="e">
        <f ca="1">IF(Theta&lt;55,0,IF((1.4*$AO$6-F145*Ecc)&lt;0,0,(1.4*$AO$6-F145*Ecc)))</f>
        <v>#VALUE!</v>
      </c>
      <c r="M145" s="359">
        <v>21</v>
      </c>
      <c r="N145" s="360" t="s">
        <v>827</v>
      </c>
      <c r="O145" s="209" t="s">
        <v>807</v>
      </c>
      <c r="P145" s="361" t="e">
        <f ca="1">1.4*$AK$9</f>
        <v>#VALUE!</v>
      </c>
      <c r="Q145" s="361" t="e">
        <f ca="1">1.25*$Y$9+1.4*$AM$9</f>
        <v>#VALUE!</v>
      </c>
      <c r="R145" s="361">
        <f>1.25*$AR$9</f>
        <v>0</v>
      </c>
      <c r="S145" s="361">
        <f t="shared" si="13"/>
        <v>0</v>
      </c>
      <c r="T145" s="362" t="e">
        <f ca="1">IF(Theta&lt;55,0,IF((1.4*$AO$9-Q145*Ecc)&lt;0,0,(1.4*$AO$9-Q145*Ecc)))</f>
        <v>#VALUE!</v>
      </c>
    </row>
    <row r="146" spans="1:20" x14ac:dyDescent="0.25">
      <c r="B146" s="359">
        <v>22</v>
      </c>
      <c r="C146" s="360" t="s">
        <v>828</v>
      </c>
      <c r="D146" s="209" t="s">
        <v>807</v>
      </c>
      <c r="E146" s="361" t="e">
        <f ca="1">1.4*$AL$6</f>
        <v>#VALUE!</v>
      </c>
      <c r="F146" s="361" t="e">
        <f ca="1">1.25*$Y$6+1.4*$AN$6+0.5*$Z$6</f>
        <v>#VALUE!</v>
      </c>
      <c r="G146" s="361">
        <f>1.25*$AR$6+0.5*$AS$6</f>
        <v>0</v>
      </c>
      <c r="H146" s="361">
        <f t="shared" si="11"/>
        <v>0</v>
      </c>
      <c r="I146" s="362" t="e">
        <f ca="1">IF(Theta&lt;55,0,IF((0.4*$AP$6-F146*Ecc)&lt;0,0,(0.4*$AP$6-F146*Ecc)))</f>
        <v>#VALUE!</v>
      </c>
      <c r="M146" s="359">
        <v>22</v>
      </c>
      <c r="N146" s="360" t="s">
        <v>828</v>
      </c>
      <c r="O146" s="209" t="s">
        <v>807</v>
      </c>
      <c r="P146" s="361" t="e">
        <f ca="1">1.4*$AL$9</f>
        <v>#VALUE!</v>
      </c>
      <c r="Q146" s="361" t="e">
        <f ca="1">1.25*$Y$9+1.4*$AN$9+0.5*$Z$9</f>
        <v>#VALUE!</v>
      </c>
      <c r="R146" s="361">
        <f>1.25*$AR$9+0.5*$AS$9</f>
        <v>0</v>
      </c>
      <c r="S146" s="361">
        <f t="shared" si="13"/>
        <v>0</v>
      </c>
      <c r="T146" s="362" t="e">
        <f ca="1">IF(Theta&lt;55,0,IF((0.4*$AP$9-Q146*Ecc)&lt;0,0,(0.4*$AP$9-Q146*Ecc)))</f>
        <v>#VALUE!</v>
      </c>
    </row>
    <row r="147" spans="1:20" x14ac:dyDescent="0.25">
      <c r="B147" s="359">
        <v>23</v>
      </c>
      <c r="C147" s="360" t="s">
        <v>829</v>
      </c>
      <c r="D147" s="209" t="s">
        <v>807</v>
      </c>
      <c r="E147" s="361" t="e">
        <f ca="1">1.4*$AK$6</f>
        <v>#VALUE!</v>
      </c>
      <c r="F147" s="361" t="e">
        <f ca="1">1.25*$Y$6+1.4*$AM$6+0.5*$Z$6</f>
        <v>#VALUE!</v>
      </c>
      <c r="G147" s="361">
        <f>1.25*$AR$6+0.5*$AS$6</f>
        <v>0</v>
      </c>
      <c r="H147" s="361">
        <f t="shared" si="11"/>
        <v>0</v>
      </c>
      <c r="I147" s="362" t="e">
        <f ca="1">IF(Theta&lt;55,0,IF((0.4*$AO$6-F147*Ecc)&lt;0,0,(0.4*$AO$6-F147*Ecc)))</f>
        <v>#VALUE!</v>
      </c>
      <c r="M147" s="359">
        <v>23</v>
      </c>
      <c r="N147" s="360" t="s">
        <v>829</v>
      </c>
      <c r="O147" s="209" t="s">
        <v>807</v>
      </c>
      <c r="P147" s="361" t="e">
        <f ca="1">1.4*$AK$9</f>
        <v>#VALUE!</v>
      </c>
      <c r="Q147" s="361" t="e">
        <f ca="1">1.25*$Y$9+1.4*$AM$9+0.5*$Z$9</f>
        <v>#VALUE!</v>
      </c>
      <c r="R147" s="361">
        <f>1.25*$AR$9+0.5*$AS$9</f>
        <v>0</v>
      </c>
      <c r="S147" s="361">
        <f t="shared" si="13"/>
        <v>0</v>
      </c>
      <c r="T147" s="362" t="e">
        <f ca="1">IF(Theta&lt;55,0,IF((0.4*$AO$9-Q147*Ecc)&lt;0,0,(0.4*$AO$9-Q147*Ecc)))</f>
        <v>#VALUE!</v>
      </c>
    </row>
    <row r="148" spans="1:20" x14ac:dyDescent="0.25">
      <c r="B148" s="359">
        <v>24</v>
      </c>
      <c r="C148" s="360" t="s">
        <v>830</v>
      </c>
      <c r="D148" s="209" t="s">
        <v>807</v>
      </c>
      <c r="E148" s="361" t="e">
        <f ca="1">1.4*$AL$6</f>
        <v>#VALUE!</v>
      </c>
      <c r="F148" s="361" t="e">
        <f ca="1">0.9*$Y$6+1.4*$AN$6</f>
        <v>#VALUE!</v>
      </c>
      <c r="G148" s="361">
        <f>0.9*$AR$6</f>
        <v>0</v>
      </c>
      <c r="H148" s="361">
        <f t="shared" si="11"/>
        <v>0</v>
      </c>
      <c r="I148" s="362" t="e">
        <f ca="1">IF(Theta&lt;55,0,IF((1.4*$AP$6-F148*Ecc)&lt;0,0,(1.4*$AP$6-F148*Ecc)))</f>
        <v>#VALUE!</v>
      </c>
      <c r="M148" s="359">
        <v>24</v>
      </c>
      <c r="N148" s="360" t="s">
        <v>830</v>
      </c>
      <c r="O148" s="209" t="s">
        <v>807</v>
      </c>
      <c r="P148" s="361" t="e">
        <f ca="1">1.4*$AL$9</f>
        <v>#VALUE!</v>
      </c>
      <c r="Q148" s="361" t="e">
        <f ca="1">0.9*$Y$9+1.4*$AN$9</f>
        <v>#VALUE!</v>
      </c>
      <c r="R148" s="361">
        <f>0.9*$AR$9</f>
        <v>0</v>
      </c>
      <c r="S148" s="361">
        <f t="shared" si="13"/>
        <v>0</v>
      </c>
      <c r="T148" s="362" t="e">
        <f ca="1">IF(Theta&lt;55,0,IF((1.4*$AP$9-Q148*Ecc)&lt;0,0,(1.4*$AP$9-Q148*Ecc)))</f>
        <v>#VALUE!</v>
      </c>
    </row>
    <row r="149" spans="1:20" x14ac:dyDescent="0.25">
      <c r="B149" s="359">
        <v>25</v>
      </c>
      <c r="C149" s="360" t="s">
        <v>831</v>
      </c>
      <c r="D149" s="209" t="s">
        <v>807</v>
      </c>
      <c r="E149" s="361" t="e">
        <f ca="1">1.4*$AK$6</f>
        <v>#VALUE!</v>
      </c>
      <c r="F149" s="361" t="e">
        <f ca="1">0.9*$Y$6+1.4*$AM$6</f>
        <v>#VALUE!</v>
      </c>
      <c r="G149" s="361">
        <f>0.9*$AR$6</f>
        <v>0</v>
      </c>
      <c r="H149" s="361">
        <f t="shared" si="11"/>
        <v>0</v>
      </c>
      <c r="I149" s="362" t="e">
        <f ca="1">IF(Theta&lt;55,0,IF((1.4*$AO$6-F149*Ecc)&lt;0,0,(1.4*$AO$6-F149*Ecc)))</f>
        <v>#VALUE!</v>
      </c>
      <c r="M149" s="359">
        <v>25</v>
      </c>
      <c r="N149" s="360" t="s">
        <v>831</v>
      </c>
      <c r="O149" s="209" t="s">
        <v>807</v>
      </c>
      <c r="P149" s="361" t="e">
        <f ca="1">1.4*$AK$9</f>
        <v>#VALUE!</v>
      </c>
      <c r="Q149" s="361" t="e">
        <f ca="1">0.9*$Y$9+1.4*$AM$9</f>
        <v>#VALUE!</v>
      </c>
      <c r="R149" s="361">
        <f>0.9*$AR$9</f>
        <v>0</v>
      </c>
      <c r="S149" s="361">
        <f t="shared" si="13"/>
        <v>0</v>
      </c>
      <c r="T149" s="362" t="e">
        <f ca="1">IF(Theta&lt;55,0,IF((1.4*$AO$9-Q149*Ecc)&lt;0,0,(1.4*$AO$9-Q149*Ecc)))</f>
        <v>#VALUE!</v>
      </c>
    </row>
    <row r="150" spans="1:20" x14ac:dyDescent="0.25">
      <c r="B150" s="359">
        <v>26</v>
      </c>
      <c r="C150" s="360" t="s">
        <v>832</v>
      </c>
      <c r="D150" s="209" t="s">
        <v>807</v>
      </c>
      <c r="E150" s="361" t="e">
        <f ca="1">1.4*$AL$6</f>
        <v>#VALUE!</v>
      </c>
      <c r="F150" s="361" t="e">
        <f ca="1">0.9*$Y$6+1.4*$AN$6</f>
        <v>#VALUE!</v>
      </c>
      <c r="G150" s="361">
        <f>0.9*$AR$6</f>
        <v>0</v>
      </c>
      <c r="H150" s="361">
        <f t="shared" si="11"/>
        <v>0</v>
      </c>
      <c r="I150" s="362" t="e">
        <f ca="1">IF(Theta&lt;55,0,IF((1.4*$AP$6-F150*Ecc)&lt;0,0,(1.4*$AP$6-F150*Ecc)))</f>
        <v>#VALUE!</v>
      </c>
      <c r="M150" s="359">
        <v>26</v>
      </c>
      <c r="N150" s="360" t="s">
        <v>832</v>
      </c>
      <c r="O150" s="209" t="s">
        <v>807</v>
      </c>
      <c r="P150" s="361" t="e">
        <f ca="1">1.4*$AL$9</f>
        <v>#VALUE!</v>
      </c>
      <c r="Q150" s="361" t="e">
        <f ca="1">0.9*$Y$9+1.4*$AN$9</f>
        <v>#VALUE!</v>
      </c>
      <c r="R150" s="361">
        <f>0.9*$AR$9</f>
        <v>0</v>
      </c>
      <c r="S150" s="361">
        <f t="shared" si="13"/>
        <v>0</v>
      </c>
      <c r="T150" s="362" t="e">
        <f ca="1">IF(Theta&lt;55,0,IF((1.4*$AP$9-Q150*Ecc)&lt;0,0,(1.4*$AP$9-Q150*Ecc)))</f>
        <v>#VALUE!</v>
      </c>
    </row>
    <row r="151" spans="1:20" x14ac:dyDescent="0.25">
      <c r="B151" s="359">
        <v>27</v>
      </c>
      <c r="C151" s="360" t="s">
        <v>833</v>
      </c>
      <c r="D151" s="209" t="s">
        <v>807</v>
      </c>
      <c r="E151" s="361" t="e">
        <f ca="1">1.4*$AK$6</f>
        <v>#VALUE!</v>
      </c>
      <c r="F151" s="361" t="e">
        <f ca="1">0.9*$Y$6+1.4*$AM$6</f>
        <v>#VALUE!</v>
      </c>
      <c r="G151" s="361">
        <f>0.9*$AR$6</f>
        <v>0</v>
      </c>
      <c r="H151" s="361">
        <f t="shared" si="11"/>
        <v>0</v>
      </c>
      <c r="I151" s="362" t="e">
        <f ca="1">IF(Theta&lt;55,0,IF((1.4*$AO$6-F151*Ecc)&lt;0,0,(1.4*$AO$6-F151*Ecc)))</f>
        <v>#VALUE!</v>
      </c>
      <c r="M151" s="359">
        <v>27</v>
      </c>
      <c r="N151" s="360" t="s">
        <v>833</v>
      </c>
      <c r="O151" s="209" t="s">
        <v>807</v>
      </c>
      <c r="P151" s="361" t="e">
        <f ca="1">1.4*$AK$9</f>
        <v>#VALUE!</v>
      </c>
      <c r="Q151" s="361" t="e">
        <f ca="1">0.9*$Y$9+1.4*$AM$9</f>
        <v>#VALUE!</v>
      </c>
      <c r="R151" s="361">
        <f>0.9*$AR$9</f>
        <v>0</v>
      </c>
      <c r="S151" s="361">
        <f t="shared" si="13"/>
        <v>0</v>
      </c>
      <c r="T151" s="362" t="e">
        <f ca="1">IF(Theta&lt;55,0,IF((1.4*$AO$9-Q151*Ecc)&lt;0,0,(1.4*$AO$9-Q151*Ecc)))</f>
        <v>#VALUE!</v>
      </c>
    </row>
    <row r="152" spans="1:20" x14ac:dyDescent="0.25">
      <c r="B152" s="359">
        <v>28</v>
      </c>
      <c r="C152" s="360" t="s">
        <v>834</v>
      </c>
      <c r="D152" s="209" t="s">
        <v>807</v>
      </c>
      <c r="E152" s="361" t="e">
        <f ca="1">1.4*$AL$6</f>
        <v>#VALUE!</v>
      </c>
      <c r="F152" s="361" t="e">
        <f ca="1">0.9*$Y$6+1.4*$AN$6+0.5*$Z$6</f>
        <v>#VALUE!</v>
      </c>
      <c r="G152" s="361">
        <f>0.9*$AR$6+0.5*$AS$6</f>
        <v>0</v>
      </c>
      <c r="H152" s="361">
        <f t="shared" si="11"/>
        <v>0</v>
      </c>
      <c r="I152" s="362" t="e">
        <f ca="1">IF(Theta&lt;55,0,IF((0.4*$AP$6-F152*Ecc)&lt;0,0,(0.4*$AP$6-F152*Ecc)))</f>
        <v>#VALUE!</v>
      </c>
      <c r="M152" s="359">
        <v>28</v>
      </c>
      <c r="N152" s="360" t="s">
        <v>834</v>
      </c>
      <c r="O152" s="209" t="s">
        <v>807</v>
      </c>
      <c r="P152" s="361" t="e">
        <f ca="1">1.4*$AL$9</f>
        <v>#VALUE!</v>
      </c>
      <c r="Q152" s="361" t="e">
        <f ca="1">0.9*$Y$9+1.4*$AN$9+0.5*$Z$9</f>
        <v>#VALUE!</v>
      </c>
      <c r="R152" s="361">
        <f>0.9*$AR$9+0.5*$AS$9</f>
        <v>0</v>
      </c>
      <c r="S152" s="361">
        <f t="shared" si="13"/>
        <v>0</v>
      </c>
      <c r="T152" s="362" t="e">
        <f ca="1">IF(Theta&lt;55,0,IF((0.4*$AP$9-Q152*Ecc)&lt;0,0,(0.4*$AP$9-Q152*Ecc)))</f>
        <v>#VALUE!</v>
      </c>
    </row>
    <row r="153" spans="1:20" ht="15.75" customHeight="1" thickBot="1" x14ac:dyDescent="0.3">
      <c r="B153" s="363">
        <v>29</v>
      </c>
      <c r="C153" s="364" t="s">
        <v>835</v>
      </c>
      <c r="D153" s="365" t="s">
        <v>807</v>
      </c>
      <c r="E153" s="366" t="e">
        <f ca="1">1.4*$AK$6</f>
        <v>#VALUE!</v>
      </c>
      <c r="F153" s="366" t="e">
        <f ca="1">0.9*$Y$6+1.4*$AM$6+0.5*$Z$6</f>
        <v>#VALUE!</v>
      </c>
      <c r="G153" s="366">
        <f>0.9*$AR$6+0.5*$AS$6</f>
        <v>0</v>
      </c>
      <c r="H153" s="366">
        <f t="shared" si="11"/>
        <v>0</v>
      </c>
      <c r="I153" s="367" t="e">
        <f ca="1">IF(Theta&lt;55,0,IF((0.4*$AO$6-F153*Ecc)&lt;0,0,(0.4*$AO$6-F153*Ecc)))</f>
        <v>#VALUE!</v>
      </c>
      <c r="M153" s="363">
        <v>29</v>
      </c>
      <c r="N153" s="364" t="s">
        <v>835</v>
      </c>
      <c r="O153" s="365" t="s">
        <v>807</v>
      </c>
      <c r="P153" s="366" t="e">
        <f ca="1">1.4*$AK$9</f>
        <v>#VALUE!</v>
      </c>
      <c r="Q153" s="366" t="e">
        <f ca="1">0.9*$Y$9+1.4*$AM$9+0.5*$Z$9</f>
        <v>#VALUE!</v>
      </c>
      <c r="R153" s="366">
        <f>0.9*$AR$9+0.5*$AS$9</f>
        <v>0</v>
      </c>
      <c r="S153" s="366">
        <f t="shared" si="13"/>
        <v>0</v>
      </c>
      <c r="T153" s="367" t="e">
        <f ca="1">IF(Theta&lt;55,0,IF((0.4*$AO$9-Q153*Ecc)&lt;0,0,(0.4*$AO$9-Q153*Ecc)))</f>
        <v>#VALUE!</v>
      </c>
    </row>
    <row r="154" spans="1:20" x14ac:dyDescent="0.25">
      <c r="B154" s="368" t="s">
        <v>836</v>
      </c>
      <c r="C154" s="369" t="s">
        <v>837</v>
      </c>
      <c r="M154" s="368" t="s">
        <v>836</v>
      </c>
      <c r="N154" s="369" t="s">
        <v>837</v>
      </c>
    </row>
    <row r="155" spans="1:20" x14ac:dyDescent="0.25">
      <c r="B155" s="368" t="s">
        <v>838</v>
      </c>
      <c r="C155" s="369" t="s">
        <v>839</v>
      </c>
      <c r="M155" s="368" t="s">
        <v>838</v>
      </c>
      <c r="N155" s="369" t="s">
        <v>839</v>
      </c>
    </row>
    <row r="156" spans="1:20" x14ac:dyDescent="0.25">
      <c r="B156" s="368" t="s">
        <v>474</v>
      </c>
      <c r="C156" s="369" t="s">
        <v>840</v>
      </c>
      <c r="M156" s="368" t="s">
        <v>474</v>
      </c>
      <c r="N156" s="369" t="s">
        <v>840</v>
      </c>
    </row>
    <row r="157" spans="1:20" x14ac:dyDescent="0.25">
      <c r="B157" s="368" t="s">
        <v>266</v>
      </c>
      <c r="C157" s="369" t="s">
        <v>841</v>
      </c>
      <c r="M157" s="368" t="s">
        <v>266</v>
      </c>
      <c r="N157" s="369" t="s">
        <v>841</v>
      </c>
    </row>
    <row r="158" spans="1:20" x14ac:dyDescent="0.25">
      <c r="A158" s="260"/>
      <c r="B158" s="368"/>
      <c r="C158" s="369"/>
      <c r="L158" s="260"/>
      <c r="M158" s="368"/>
      <c r="N158" s="369"/>
    </row>
    <row r="159" spans="1:20" x14ac:dyDescent="0.25">
      <c r="B159" s="368"/>
      <c r="C159" s="369"/>
      <c r="M159" s="368"/>
      <c r="N159" s="369"/>
    </row>
    <row r="160" spans="1:20" x14ac:dyDescent="0.25">
      <c r="B160" s="368"/>
      <c r="C160" s="369"/>
      <c r="M160" s="368"/>
      <c r="N160" s="369"/>
    </row>
    <row r="161" spans="2:20" x14ac:dyDescent="0.25">
      <c r="B161" s="368"/>
      <c r="C161" s="369"/>
      <c r="M161" s="368"/>
      <c r="N161" s="369"/>
    </row>
    <row r="162" spans="2:20" x14ac:dyDescent="0.25">
      <c r="B162" s="7"/>
      <c r="C162" s="77"/>
      <c r="D162" s="7"/>
      <c r="M162" s="7"/>
      <c r="N162" s="77"/>
      <c r="O162" s="7"/>
    </row>
    <row r="163" spans="2:20" x14ac:dyDescent="0.25">
      <c r="B163" s="7"/>
      <c r="C163" s="77"/>
      <c r="D163" s="7"/>
      <c r="E163" s="370"/>
      <c r="F163" s="370"/>
      <c r="G163" s="370"/>
      <c r="H163" s="370"/>
      <c r="I163" s="370"/>
      <c r="M163" s="7"/>
      <c r="N163" s="77"/>
      <c r="O163" s="7"/>
      <c r="P163" s="370"/>
      <c r="Q163" s="370"/>
      <c r="R163" s="370"/>
      <c r="S163" s="370"/>
      <c r="T163" s="370"/>
    </row>
    <row r="164" spans="2:20" x14ac:dyDescent="0.25">
      <c r="B164" s="7"/>
      <c r="C164" s="77"/>
      <c r="D164" s="7"/>
      <c r="E164" s="370"/>
      <c r="F164" s="370"/>
      <c r="G164" s="370"/>
      <c r="H164" s="370"/>
      <c r="I164" s="370"/>
      <c r="M164" s="7"/>
      <c r="N164" s="77"/>
      <c r="O164" s="7"/>
      <c r="P164" s="370"/>
      <c r="Q164" s="370"/>
      <c r="R164" s="370"/>
      <c r="S164" s="370"/>
      <c r="T164" s="370"/>
    </row>
    <row r="165" spans="2:20" x14ac:dyDescent="0.25">
      <c r="B165" s="7"/>
      <c r="C165" s="77"/>
      <c r="D165" s="7"/>
      <c r="E165" s="370"/>
      <c r="F165" s="370"/>
      <c r="G165" s="370"/>
      <c r="H165" s="370"/>
      <c r="I165" s="370"/>
      <c r="M165" s="7"/>
      <c r="N165" s="77"/>
      <c r="O165" s="7"/>
      <c r="P165" s="370"/>
      <c r="Q165" s="370"/>
      <c r="R165" s="370"/>
      <c r="S165" s="370"/>
      <c r="T165" s="370"/>
    </row>
    <row r="166" spans="2:20" x14ac:dyDescent="0.25">
      <c r="B166" s="7"/>
      <c r="C166" s="77"/>
      <c r="D166" s="7"/>
      <c r="E166" s="370"/>
      <c r="F166" s="370"/>
      <c r="G166" s="370"/>
      <c r="H166" s="370"/>
      <c r="I166" s="370"/>
      <c r="M166" s="7"/>
      <c r="N166" s="77"/>
      <c r="O166" s="7"/>
      <c r="P166" s="370"/>
      <c r="Q166" s="370"/>
      <c r="R166" s="370"/>
      <c r="S166" s="370"/>
      <c r="T166" s="370"/>
    </row>
    <row r="167" spans="2:20" x14ac:dyDescent="0.25">
      <c r="B167" s="7"/>
      <c r="C167" s="77"/>
      <c r="D167" s="7"/>
      <c r="E167" s="370"/>
      <c r="F167" s="370"/>
      <c r="G167" s="370"/>
      <c r="H167" s="370"/>
      <c r="I167" s="370"/>
      <c r="M167" s="7"/>
      <c r="N167" s="77"/>
      <c r="O167" s="7"/>
      <c r="P167" s="370"/>
      <c r="Q167" s="370"/>
      <c r="R167" s="370"/>
      <c r="S167" s="370"/>
      <c r="T167" s="370"/>
    </row>
    <row r="168" spans="2:20" x14ac:dyDescent="0.25">
      <c r="B168" s="7"/>
      <c r="C168" s="77"/>
      <c r="D168" s="7"/>
      <c r="E168" s="370"/>
      <c r="F168" s="370"/>
      <c r="G168" s="370"/>
      <c r="H168" s="370"/>
      <c r="I168" s="370"/>
      <c r="M168" s="7"/>
      <c r="N168" s="77"/>
      <c r="O168" s="7"/>
      <c r="P168" s="370"/>
      <c r="Q168" s="370"/>
      <c r="R168" s="370"/>
      <c r="S168" s="370"/>
      <c r="T168" s="370"/>
    </row>
  </sheetData>
  <mergeCells count="42">
    <mergeCell ref="C3:D3"/>
    <mergeCell ref="M122:T122"/>
    <mergeCell ref="N2:O2"/>
    <mergeCell ref="N115:O115"/>
    <mergeCell ref="M11:T11"/>
    <mergeCell ref="M10:T10"/>
    <mergeCell ref="B67:I67"/>
    <mergeCell ref="N61:O61"/>
    <mergeCell ref="C114:D114"/>
    <mergeCell ref="C59:D59"/>
    <mergeCell ref="C2:D2"/>
    <mergeCell ref="C60:D60"/>
    <mergeCell ref="C115:D115"/>
    <mergeCell ref="B10:I10"/>
    <mergeCell ref="F63:G64"/>
    <mergeCell ref="C61:D61"/>
    <mergeCell ref="F6:G7"/>
    <mergeCell ref="N59:O59"/>
    <mergeCell ref="B122:I122"/>
    <mergeCell ref="M123:T123"/>
    <mergeCell ref="C4:D4"/>
    <mergeCell ref="N3:O3"/>
    <mergeCell ref="B11:I11"/>
    <mergeCell ref="C63:D63"/>
    <mergeCell ref="C118:D118"/>
    <mergeCell ref="N116:O116"/>
    <mergeCell ref="F118:G119"/>
    <mergeCell ref="N60:O60"/>
    <mergeCell ref="B68:I68"/>
    <mergeCell ref="N6:O6"/>
    <mergeCell ref="B123:I123"/>
    <mergeCell ref="Q63:R64"/>
    <mergeCell ref="N118:O118"/>
    <mergeCell ref="N114:O114"/>
    <mergeCell ref="Q118:R119"/>
    <mergeCell ref="C6:D6"/>
    <mergeCell ref="N63:O63"/>
    <mergeCell ref="M68:T68"/>
    <mergeCell ref="N4:O4"/>
    <mergeCell ref="Q6:R7"/>
    <mergeCell ref="M67:T67"/>
    <mergeCell ref="C116:D116"/>
  </mergeCells>
  <pageMargins left="0.7" right="0.7" top="0.75" bottom="0.75" header="0.3" footer="0.3"/>
  <pageSetup scale="55" orientation="landscape" r:id="rId1"/>
  <rowBreaks count="2" manualBreakCount="2">
    <brk id="57" max="21" man="1"/>
    <brk id="112" max="21" man="1"/>
  </rowBreaks>
  <colBreaks count="1" manualBreakCount="1">
    <brk id="11" max="145" man="1"/>
  </col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dimension ref="A2:AT146"/>
  <sheetViews>
    <sheetView view="pageBreakPreview" zoomScale="80" zoomScaleNormal="100" zoomScaleSheetLayoutView="80" workbookViewId="0">
      <selection activeCell="D18" sqref="D18"/>
    </sheetView>
  </sheetViews>
  <sheetFormatPr defaultRowHeight="15" x14ac:dyDescent="0.25"/>
  <cols>
    <col min="2" max="2" width="22.28515625" bestFit="1" customWidth="1"/>
    <col min="3" max="3" width="41.85546875" customWidth="1"/>
    <col min="4" max="4" width="17.5703125" customWidth="1"/>
    <col min="5" max="5" width="16.7109375" customWidth="1"/>
    <col min="6" max="6" width="15.42578125" customWidth="1"/>
    <col min="7" max="7" width="14.140625" customWidth="1"/>
    <col min="8" max="8" width="13" customWidth="1"/>
    <col min="9" max="9" width="14.42578125" customWidth="1"/>
    <col min="12" max="12" width="8.7109375" customWidth="1"/>
    <col min="13" max="13" width="22.28515625" customWidth="1"/>
    <col min="14" max="14" width="41.85546875" customWidth="1"/>
    <col min="15" max="15" width="16.5703125" customWidth="1"/>
    <col min="16" max="16" width="15.140625" customWidth="1"/>
    <col min="17" max="17" width="13.85546875" customWidth="1"/>
    <col min="18" max="18" width="11.7109375" customWidth="1"/>
    <col min="19" max="19" width="15.5703125" customWidth="1"/>
    <col min="20" max="20" width="13.140625" customWidth="1"/>
    <col min="21" max="23" width="8.7109375" customWidth="1"/>
    <col min="24" max="24" width="15.42578125" bestFit="1" customWidth="1"/>
    <col min="26" max="26" width="15.7109375" bestFit="1" customWidth="1"/>
    <col min="27" max="29" width="20.7109375" customWidth="1"/>
    <col min="30" max="30" width="23.5703125" bestFit="1" customWidth="1"/>
    <col min="31" max="31" width="23.85546875" customWidth="1"/>
    <col min="32" max="32" width="23.5703125" bestFit="1" customWidth="1"/>
    <col min="33" max="33" width="24.7109375" bestFit="1" customWidth="1"/>
    <col min="34" max="34" width="20.7109375" customWidth="1"/>
    <col min="35" max="35" width="21.7109375" customWidth="1"/>
    <col min="36" max="36" width="23.5703125" bestFit="1" customWidth="1"/>
    <col min="37" max="37" width="26.42578125" bestFit="1" customWidth="1"/>
    <col min="38" max="38" width="28.85546875" customWidth="1"/>
    <col min="39" max="39" width="26.42578125" bestFit="1" customWidth="1"/>
    <col min="40" max="40" width="27.7109375" bestFit="1" customWidth="1"/>
    <col min="41" max="42" width="28.140625" bestFit="1" customWidth="1"/>
    <col min="43" max="43" width="17.140625" bestFit="1" customWidth="1"/>
    <col min="44" max="44" width="15" customWidth="1"/>
    <col min="45" max="45" width="19.85546875" bestFit="1" customWidth="1"/>
    <col min="46" max="46" width="22.85546875" bestFit="1" customWidth="1"/>
  </cols>
  <sheetData>
    <row r="2" spans="2:46" ht="15.75" customHeight="1" x14ac:dyDescent="0.25">
      <c r="B2" s="345" t="s">
        <v>442</v>
      </c>
      <c r="C2" s="716" t="str">
        <f>Inputs!B1</f>
        <v xml:space="preserve">Customer </v>
      </c>
      <c r="D2" s="554"/>
      <c r="E2" s="346"/>
      <c r="M2" s="345" t="s">
        <v>442</v>
      </c>
      <c r="N2" s="716" t="str">
        <f>$C$2</f>
        <v xml:space="preserve">Customer </v>
      </c>
      <c r="O2" s="554"/>
      <c r="P2" s="346"/>
      <c r="AO2" t="s">
        <v>164</v>
      </c>
      <c r="AP2" t="s">
        <v>164</v>
      </c>
    </row>
    <row r="3" spans="2:46" ht="15.75" customHeight="1" x14ac:dyDescent="0.25">
      <c r="B3" s="347" t="s">
        <v>443</v>
      </c>
      <c r="C3" s="713" t="str">
        <f>Inputs!B2</f>
        <v xml:space="preserve">Project </v>
      </c>
      <c r="D3" s="556"/>
      <c r="E3" s="346"/>
      <c r="M3" s="347" t="s">
        <v>443</v>
      </c>
      <c r="N3" s="713" t="str">
        <f>$C$3</f>
        <v xml:space="preserve">Project </v>
      </c>
      <c r="O3" s="556"/>
      <c r="P3" s="346"/>
      <c r="AH3" s="386"/>
      <c r="AI3" s="386"/>
      <c r="AK3" s="386"/>
      <c r="AL3" s="386"/>
      <c r="AM3" s="386"/>
      <c r="AN3" s="386"/>
      <c r="AO3" s="30"/>
      <c r="AP3" s="30"/>
    </row>
    <row r="4" spans="2:46" ht="15.75" customHeight="1" x14ac:dyDescent="0.25">
      <c r="B4" s="347" t="s">
        <v>444</v>
      </c>
      <c r="C4" s="713" t="str">
        <f>Inputs!B3</f>
        <v xml:space="preserve">City, State Zip </v>
      </c>
      <c r="D4" s="556"/>
      <c r="E4" s="346"/>
      <c r="M4" s="347" t="s">
        <v>444</v>
      </c>
      <c r="N4" s="713" t="str">
        <f>$C$4</f>
        <v xml:space="preserve">City, State Zip </v>
      </c>
      <c r="O4" s="556"/>
      <c r="P4" s="346"/>
      <c r="X4" s="35"/>
      <c r="Y4" s="35" t="s">
        <v>771</v>
      </c>
      <c r="Z4" s="35" t="s">
        <v>772</v>
      </c>
      <c r="AA4" s="35" t="s">
        <v>773</v>
      </c>
      <c r="AB4" s="35" t="s">
        <v>774</v>
      </c>
      <c r="AC4" s="35" t="s">
        <v>775</v>
      </c>
      <c r="AD4" s="35" t="s">
        <v>776</v>
      </c>
      <c r="AE4" s="35" t="s">
        <v>777</v>
      </c>
      <c r="AF4" s="35" t="s">
        <v>778</v>
      </c>
      <c r="AG4" s="35" t="s">
        <v>779</v>
      </c>
      <c r="AH4" s="341" t="s">
        <v>780</v>
      </c>
      <c r="AI4" s="332" t="s">
        <v>781</v>
      </c>
      <c r="AJ4" s="373" t="s">
        <v>782</v>
      </c>
      <c r="AK4" s="332" t="s">
        <v>783</v>
      </c>
      <c r="AL4" s="332" t="s">
        <v>784</v>
      </c>
      <c r="AM4" s="332" t="s">
        <v>785</v>
      </c>
      <c r="AN4" s="332" t="s">
        <v>786</v>
      </c>
      <c r="AO4" s="6" t="s">
        <v>787</v>
      </c>
      <c r="AP4" s="6" t="s">
        <v>788</v>
      </c>
      <c r="AQ4" s="35" t="s">
        <v>789</v>
      </c>
      <c r="AR4" s="35" t="s">
        <v>790</v>
      </c>
      <c r="AS4" s="35" t="s">
        <v>791</v>
      </c>
      <c r="AT4" s="35" t="s">
        <v>842</v>
      </c>
    </row>
    <row r="5" spans="2:46" ht="16.5" customHeight="1" thickBot="1" x14ac:dyDescent="0.3">
      <c r="B5" s="347" t="s">
        <v>792</v>
      </c>
      <c r="C5" s="346" t="e">
        <f>"1x"&amp;(P_Left+P_Right)&amp;" FTS Configuration"</f>
        <v>#VALUE!</v>
      </c>
      <c r="D5" s="348"/>
      <c r="E5" s="346"/>
      <c r="M5" s="347" t="s">
        <v>792</v>
      </c>
      <c r="N5" s="346" t="e">
        <f>$C$5</f>
        <v>#VALUE!</v>
      </c>
      <c r="O5" s="348"/>
      <c r="P5" s="346"/>
      <c r="X5" s="35" t="s">
        <v>0</v>
      </c>
      <c r="Y5" s="35">
        <f>'Top of Pile Load Calcs'!CV36</f>
        <v>0</v>
      </c>
      <c r="Z5" s="35">
        <f>'Top of Pile Load Calcs'!CW36</f>
        <v>0</v>
      </c>
      <c r="AA5" s="35">
        <f>IF(Theta=55, 0, 'Top of Pile Load Calcs'!CX36)</f>
        <v>0</v>
      </c>
      <c r="AB5" s="35">
        <f>'Top of Pile Load Calcs'!CY36</f>
        <v>0</v>
      </c>
      <c r="AC5" s="35">
        <f>'Top of Pile Load Calcs'!CZ36</f>
        <v>0</v>
      </c>
      <c r="AD5" s="35" t="e">
        <f>SIN(Radians)*'Top of Pile Load Calcs'!EA36</f>
        <v>#VALUE!</v>
      </c>
      <c r="AE5" s="35" t="e">
        <f>SIN(Radians)*'Top of Pile Load Calcs'!DZ36</f>
        <v>#VALUE!</v>
      </c>
      <c r="AF5" s="35" t="e">
        <f>COS(Radians)*'Top of Pile Load Calcs'!EA36</f>
        <v>#VALUE!</v>
      </c>
      <c r="AG5" s="35" t="e">
        <f>COS(Radians)*'Top of Pile Load Calcs'!DZ36</f>
        <v>#VALUE!</v>
      </c>
      <c r="AH5" s="35">
        <f>IF(Theta&lt;55,0,'Top of Pile Load Calcs'!EC36)</f>
        <v>0</v>
      </c>
      <c r="AI5" s="35">
        <f>IF(Theta&lt;55,0,'Top of Pile Load Calcs'!EB36)</f>
        <v>0</v>
      </c>
      <c r="AJ5" s="35">
        <f t="shared" ref="AJ5:AJ10" si="0">AC5*SMA</f>
        <v>0</v>
      </c>
      <c r="AK5" s="9" t="e">
        <f ca="1">AD5*Inputs!B58</f>
        <v>#VALUE!</v>
      </c>
      <c r="AL5" s="9" t="e">
        <f ca="1">AE5*Inputs!B57</f>
        <v>#VALUE!</v>
      </c>
      <c r="AM5" s="9" t="e">
        <f ca="1">AF5*Inputs!B58</f>
        <v>#VALUE!</v>
      </c>
      <c r="AN5" s="9" t="e">
        <f ca="1">AG5*Inputs!B57</f>
        <v>#VALUE!</v>
      </c>
      <c r="AO5" s="9" t="e">
        <f ca="1">AH5*Inputs!B58</f>
        <v>#VALUE!</v>
      </c>
      <c r="AP5" s="9" t="e">
        <f ca="1">AI5*Inputs!B57</f>
        <v>#VALUE!</v>
      </c>
      <c r="AQ5" s="9">
        <f t="shared" ref="AQ5:AQ10" si="1">AB5*SMA</f>
        <v>0</v>
      </c>
      <c r="AR5" s="9">
        <f t="shared" ref="AR5:AS7" si="2">Slope*Y5</f>
        <v>0</v>
      </c>
      <c r="AS5" s="9">
        <f t="shared" si="2"/>
        <v>0</v>
      </c>
      <c r="AT5" s="9">
        <f t="shared" ref="AT5:AT10" si="3">AB5</f>
        <v>0</v>
      </c>
    </row>
    <row r="6" spans="2:46" ht="15.75" customHeight="1" x14ac:dyDescent="0.25">
      <c r="B6" s="347" t="s">
        <v>793</v>
      </c>
      <c r="C6" s="710" t="str">
        <f>Inputs!B4</f>
        <v>X/XX/XX - XXX</v>
      </c>
      <c r="D6" s="711"/>
      <c r="E6" s="349"/>
      <c r="F6" s="718" t="s">
        <v>0</v>
      </c>
      <c r="G6" s="548"/>
      <c r="M6" s="347" t="s">
        <v>793</v>
      </c>
      <c r="N6" s="710" t="str">
        <f>$C$6</f>
        <v>X/XX/XX - XXX</v>
      </c>
      <c r="O6" s="711"/>
      <c r="P6" s="349"/>
      <c r="Q6" s="714" t="s">
        <v>2</v>
      </c>
      <c r="R6" s="548"/>
      <c r="X6" s="35" t="s">
        <v>1</v>
      </c>
      <c r="Y6" s="35">
        <f>'Top of Pile Load Calcs'!DA36</f>
        <v>0</v>
      </c>
      <c r="Z6" s="35">
        <f>'Top of Pile Load Calcs'!DB36</f>
        <v>0</v>
      </c>
      <c r="AA6" s="35">
        <f>IF(Theta=55,0, 'Top of Pile Load Calcs'!DC36)</f>
        <v>0</v>
      </c>
      <c r="AB6" s="35">
        <f>'Top of Pile Load Calcs'!DD36</f>
        <v>0</v>
      </c>
      <c r="AC6" s="35">
        <f>'Top of Pile Load Calcs'!DE36</f>
        <v>0</v>
      </c>
      <c r="AD6" s="35" t="e">
        <f>SIN(Radians)*'Top of Pile Load Calcs'!EE36</f>
        <v>#VALUE!</v>
      </c>
      <c r="AE6" s="35" t="e">
        <f>SIN(Radians)*'Top of Pile Load Calcs'!ED36</f>
        <v>#VALUE!</v>
      </c>
      <c r="AF6" s="35" t="e">
        <f>COS(Radians)*'Top of Pile Load Calcs'!EE36</f>
        <v>#VALUE!</v>
      </c>
      <c r="AG6" s="35" t="e">
        <f>COS(Radians)*'Top of Pile Load Calcs'!ED36</f>
        <v>#VALUE!</v>
      </c>
      <c r="AH6" s="35">
        <f>IF(Theta&lt;55,0,'Top of Pile Load Calcs'!EG36)</f>
        <v>0</v>
      </c>
      <c r="AI6" s="35">
        <f>IF(Theta&lt;55,0,'Top of Pile Load Calcs'!EF36)</f>
        <v>0</v>
      </c>
      <c r="AJ6" s="35">
        <f t="shared" si="0"/>
        <v>0</v>
      </c>
      <c r="AK6" s="9" t="e">
        <f ca="1">AD6*Inputs!B60</f>
        <v>#VALUE!</v>
      </c>
      <c r="AL6" s="9" t="e">
        <f ca="1">AE6*Inputs!B59</f>
        <v>#VALUE!</v>
      </c>
      <c r="AM6" s="9" t="e">
        <f ca="1">AF6*Inputs!B60</f>
        <v>#VALUE!</v>
      </c>
      <c r="AN6" s="9" t="e">
        <f ca="1">AG6*Inputs!B59</f>
        <v>#VALUE!</v>
      </c>
      <c r="AO6" s="9" t="e">
        <f ca="1">AH6*Inputs!B60</f>
        <v>#VALUE!</v>
      </c>
      <c r="AP6" s="9" t="e">
        <f ca="1">AI6*Inputs!B59</f>
        <v>#VALUE!</v>
      </c>
      <c r="AQ6" s="9">
        <f t="shared" si="1"/>
        <v>0</v>
      </c>
      <c r="AR6" s="9">
        <f t="shared" si="2"/>
        <v>0</v>
      </c>
      <c r="AS6" s="9">
        <f t="shared" si="2"/>
        <v>0</v>
      </c>
      <c r="AT6" s="9">
        <f t="shared" si="3"/>
        <v>0</v>
      </c>
    </row>
    <row r="7" spans="2:46" ht="16.5" customHeight="1" thickBot="1" x14ac:dyDescent="0.3">
      <c r="B7" s="350" t="s">
        <v>794</v>
      </c>
      <c r="C7" s="351" t="s">
        <v>795</v>
      </c>
      <c r="D7" s="372"/>
      <c r="E7" s="349"/>
      <c r="F7" s="550"/>
      <c r="G7" s="552"/>
      <c r="M7" s="350" t="s">
        <v>794</v>
      </c>
      <c r="N7" s="351" t="str">
        <f>$C$7</f>
        <v>TBD by Others</v>
      </c>
      <c r="O7" s="372"/>
      <c r="P7" s="349"/>
      <c r="Q7" s="550"/>
      <c r="R7" s="552"/>
      <c r="X7" s="35" t="s">
        <v>2</v>
      </c>
      <c r="Y7" s="35">
        <f>'Top of Pile Load Calcs'!DF36</f>
        <v>0</v>
      </c>
      <c r="Z7" s="35">
        <f>'Top of Pile Load Calcs'!DG36</f>
        <v>0</v>
      </c>
      <c r="AA7" s="35">
        <f>IF(Theta=55,0, 'Top of Pile Load Calcs'!DH36)</f>
        <v>0</v>
      </c>
      <c r="AB7" s="35">
        <f>'Top of Pile Load Calcs'!DI36</f>
        <v>0</v>
      </c>
      <c r="AC7" s="35">
        <f>'Top of Pile Load Calcs'!DJ36</f>
        <v>0</v>
      </c>
      <c r="AD7" s="35" t="e">
        <f>SIN(Radians)*'Top of Pile Load Calcs'!EI36</f>
        <v>#VALUE!</v>
      </c>
      <c r="AE7" s="35" t="e">
        <f>SIN(Radians)*'Top of Pile Load Calcs'!EH36</f>
        <v>#VALUE!</v>
      </c>
      <c r="AF7" s="35" t="e">
        <f>COS(Radians)*'Top of Pile Load Calcs'!EI36</f>
        <v>#VALUE!</v>
      </c>
      <c r="AG7" s="35" t="e">
        <f>COS(Radians)*'Top of Pile Load Calcs'!EH36</f>
        <v>#VALUE!</v>
      </c>
      <c r="AH7" s="35">
        <f>IF(Theta&lt;55,0,'Top of Pile Load Calcs'!EK36)</f>
        <v>0</v>
      </c>
      <c r="AI7" s="35">
        <f>IF(Theta&lt;55,0,'Top of Pile Load Calcs'!EJ36)</f>
        <v>0</v>
      </c>
      <c r="AJ7" s="35">
        <f t="shared" si="0"/>
        <v>0</v>
      </c>
      <c r="AK7" s="9" t="e">
        <f ca="1">AD7*Inputs!B62</f>
        <v>#VALUE!</v>
      </c>
      <c r="AL7" s="9" t="e">
        <f ca="1">AE7*Inputs!B61</f>
        <v>#VALUE!</v>
      </c>
      <c r="AM7" s="9" t="e">
        <f ca="1">AF7*Inputs!B62</f>
        <v>#VALUE!</v>
      </c>
      <c r="AN7" s="9" t="e">
        <f ca="1">AG7*Inputs!B61</f>
        <v>#VALUE!</v>
      </c>
      <c r="AO7" s="9" t="e">
        <f ca="1">AH7*Inputs!B62</f>
        <v>#VALUE!</v>
      </c>
      <c r="AP7" s="9" t="e">
        <f ca="1">AI7*Inputs!B61</f>
        <v>#VALUE!</v>
      </c>
      <c r="AQ7" s="9">
        <f t="shared" si="1"/>
        <v>0</v>
      </c>
      <c r="AR7" s="9">
        <f t="shared" si="2"/>
        <v>0</v>
      </c>
      <c r="AS7" s="9">
        <f t="shared" si="2"/>
        <v>0</v>
      </c>
      <c r="AT7" s="9">
        <f t="shared" si="3"/>
        <v>0</v>
      </c>
    </row>
    <row r="8" spans="2:46" ht="15.75" customHeight="1" x14ac:dyDescent="0.25">
      <c r="D8" s="371"/>
      <c r="E8" s="349"/>
      <c r="O8" s="371"/>
      <c r="P8" s="349"/>
      <c r="X8" s="35" t="s">
        <v>3</v>
      </c>
      <c r="Y8" s="35">
        <f>'Top of Pile Load Calcs'!DK36</f>
        <v>0</v>
      </c>
      <c r="Z8" s="35">
        <f>'Top of Pile Load Calcs'!DL36</f>
        <v>0</v>
      </c>
      <c r="AA8" s="35">
        <f>IF(Theta=55, 0, 'Top of Pile Load Calcs'!DM36)</f>
        <v>0</v>
      </c>
      <c r="AB8" s="35">
        <f>'Top of Pile Load Calcs'!DN36</f>
        <v>0</v>
      </c>
      <c r="AC8" s="35">
        <f>'Top of Pile Load Calcs'!DO36</f>
        <v>0</v>
      </c>
      <c r="AD8" s="35" t="e">
        <f>SIN(Radians)*'Top of Pile Load Calcs'!EM36</f>
        <v>#VALUE!</v>
      </c>
      <c r="AE8" s="35" t="e">
        <f>SIN(Radians)*'Top of Pile Load Calcs'!EL36</f>
        <v>#VALUE!</v>
      </c>
      <c r="AF8" s="35" t="e">
        <f>COS(Radians)*'Top of Pile Load Calcs'!EM36</f>
        <v>#VALUE!</v>
      </c>
      <c r="AG8" s="35" t="e">
        <f>COS(Radians)*'Top of Pile Load Calcs'!EL36</f>
        <v>#VALUE!</v>
      </c>
      <c r="AH8" s="35" t="e">
        <f>'Aerolastic Coefficients'!B51*-1</f>
        <v>#VALUE!</v>
      </c>
      <c r="AI8" s="35" t="e">
        <f>'Aerolastic Coefficients'!B50*-1</f>
        <v>#VALUE!</v>
      </c>
      <c r="AJ8" s="35">
        <f t="shared" si="0"/>
        <v>0</v>
      </c>
      <c r="AK8" s="9" t="e">
        <f ca="1">AD8*Inputs!B64</f>
        <v>#VALUE!</v>
      </c>
      <c r="AL8" s="9" t="e">
        <f ca="1">AE8*Inputs!B63</f>
        <v>#VALUE!</v>
      </c>
      <c r="AM8" s="9" t="e">
        <f ca="1">AF8*Inputs!B64</f>
        <v>#VALUE!</v>
      </c>
      <c r="AN8" s="9" t="e">
        <f ca="1">AG8*Inputs!B63</f>
        <v>#VALUE!</v>
      </c>
      <c r="AO8" s="9" t="e">
        <f>AH8</f>
        <v>#VALUE!</v>
      </c>
      <c r="AP8" s="9" t="e">
        <f>AI8</f>
        <v>#VALUE!</v>
      </c>
      <c r="AQ8" s="9">
        <f t="shared" si="1"/>
        <v>0</v>
      </c>
      <c r="AR8" s="9">
        <f>Slope*SUM('Top of Pile Load Calcs'!CQ5:CQ19)</f>
        <v>0</v>
      </c>
      <c r="AS8" s="9">
        <f>Slope*Z8</f>
        <v>0</v>
      </c>
      <c r="AT8" s="9">
        <f t="shared" si="3"/>
        <v>0</v>
      </c>
    </row>
    <row r="9" spans="2:46" ht="15.75" customHeight="1" thickBot="1" x14ac:dyDescent="0.3">
      <c r="X9" s="35" t="s">
        <v>4</v>
      </c>
      <c r="Y9" s="35">
        <f>'Top of Pile Load Calcs'!DP36</f>
        <v>0</v>
      </c>
      <c r="Z9" s="35">
        <f>'Top of Pile Load Calcs'!DQ36</f>
        <v>0</v>
      </c>
      <c r="AA9" s="35">
        <f>IF(Theta=55, 0, 'Top of Pile Load Calcs'!DR36)</f>
        <v>0</v>
      </c>
      <c r="AB9" s="35">
        <f>'Top of Pile Load Calcs'!DS36</f>
        <v>0</v>
      </c>
      <c r="AC9" s="35">
        <f>'Top of Pile Load Calcs'!DT36</f>
        <v>0</v>
      </c>
      <c r="AD9" s="35" t="e">
        <f>SIN(Radians)*'Top of Pile Load Calcs'!EQ36</f>
        <v>#VALUE!</v>
      </c>
      <c r="AE9" s="35" t="e">
        <f>SIN(Radians)*'Top of Pile Load Calcs'!EP36</f>
        <v>#VALUE!</v>
      </c>
      <c r="AF9" s="35" t="e">
        <f>COS(Radians)*'Top of Pile Load Calcs'!EQ36</f>
        <v>#VALUE!</v>
      </c>
      <c r="AG9" s="35" t="e">
        <f>COS(Radians)*'Top of Pile Load Calcs'!EP36</f>
        <v>#VALUE!</v>
      </c>
      <c r="AH9" s="35">
        <f>IF(Theta&lt;55,0,'Top of Pile Load Calcs'!ES36)</f>
        <v>0</v>
      </c>
      <c r="AI9" s="35">
        <f>IF(Theta&lt;55,0,'Top of Pile Load Calcs'!ER36)</f>
        <v>0</v>
      </c>
      <c r="AJ9" s="35">
        <f t="shared" si="0"/>
        <v>0</v>
      </c>
      <c r="AK9" s="9" t="e">
        <f ca="1">AD9*Inputs!B66</f>
        <v>#VALUE!</v>
      </c>
      <c r="AL9" s="9" t="e">
        <f ca="1">AE9*Inputs!B65</f>
        <v>#VALUE!</v>
      </c>
      <c r="AM9" s="9" t="e">
        <f ca="1">AF9*Inputs!B66</f>
        <v>#VALUE!</v>
      </c>
      <c r="AN9" s="9" t="e">
        <f ca="1">AG9*Inputs!B65</f>
        <v>#VALUE!</v>
      </c>
      <c r="AO9" s="9" t="e">
        <f ca="1">AH9*Inputs!B66</f>
        <v>#VALUE!</v>
      </c>
      <c r="AP9" s="9" t="e">
        <f ca="1">AI9*Inputs!B65</f>
        <v>#VALUE!</v>
      </c>
      <c r="AQ9" s="9">
        <f t="shared" si="1"/>
        <v>0</v>
      </c>
      <c r="AR9" s="9">
        <f>Slope*Y9</f>
        <v>0</v>
      </c>
      <c r="AS9" s="9">
        <f>Slope*Z9</f>
        <v>0</v>
      </c>
      <c r="AT9" s="9">
        <f t="shared" si="3"/>
        <v>0</v>
      </c>
    </row>
    <row r="10" spans="2:46" x14ac:dyDescent="0.25">
      <c r="B10" s="715" t="str">
        <f>"Factored Post Reaction - DRIVE @ "&amp;Inputs!$B$33&amp;" DEGREES"</f>
        <v>Factored Post Reaction - DRIVE @ XX DEGREES</v>
      </c>
      <c r="C10" s="547"/>
      <c r="D10" s="547"/>
      <c r="E10" s="547"/>
      <c r="F10" s="547"/>
      <c r="G10" s="547"/>
      <c r="H10" s="547"/>
      <c r="I10" s="548"/>
      <c r="M10" s="717" t="str">
        <f>"Factored Post Reaction - IDLER @ "&amp;Inputs!$B$33&amp;" DEGREES"</f>
        <v>Factored Post Reaction - IDLER @ XX DEGREES</v>
      </c>
      <c r="N10" s="547"/>
      <c r="O10" s="547"/>
      <c r="P10" s="547"/>
      <c r="Q10" s="547"/>
      <c r="R10" s="547"/>
      <c r="S10" s="547"/>
      <c r="T10" s="547"/>
      <c r="U10" s="14"/>
      <c r="X10" s="35" t="s">
        <v>796</v>
      </c>
      <c r="Y10" s="35">
        <f>'Top of Pile Load Calcs'!DU36</f>
        <v>0</v>
      </c>
      <c r="Z10" s="35">
        <f>'Top of Pile Load Calcs'!DV36</f>
        <v>0</v>
      </c>
      <c r="AA10" s="35">
        <f>IF(Theta=55,0,'Top of Pile Load Calcs'!DW36)</f>
        <v>0</v>
      </c>
      <c r="AB10" s="35">
        <f>'Top of Pile Load Calcs'!DX36</f>
        <v>0</v>
      </c>
      <c r="AC10" s="35">
        <f>'Top of Pile Load Calcs'!DY36</f>
        <v>0</v>
      </c>
      <c r="AD10" s="35" t="e">
        <f>SIN(Radians)*'Top of Pile Load Calcs'!EU36</f>
        <v>#VALUE!</v>
      </c>
      <c r="AE10" s="35" t="e">
        <f>SIN(Radians)*'Top of Pile Load Calcs'!ET36</f>
        <v>#VALUE!</v>
      </c>
      <c r="AF10" s="35" t="e">
        <f>COS(Radians)*'Top of Pile Load Calcs'!EU36</f>
        <v>#VALUE!</v>
      </c>
      <c r="AG10" s="35" t="e">
        <f>COS(Radians)*'Top of Pile Load Calcs'!ET36</f>
        <v>#VALUE!</v>
      </c>
      <c r="AH10" s="35" t="e">
        <f>'Aerolastic Coefficients'!B49*-1</f>
        <v>#VALUE!</v>
      </c>
      <c r="AI10" s="35" t="e">
        <f>'Aerolastic Coefficients'!B48*-1</f>
        <v>#VALUE!</v>
      </c>
      <c r="AJ10" s="35">
        <f t="shared" si="0"/>
        <v>0</v>
      </c>
      <c r="AK10" s="9" t="e">
        <f ca="1">AD10*Inputs!B58</f>
        <v>#VALUE!</v>
      </c>
      <c r="AL10" s="9" t="e">
        <f ca="1">AE10*Inputs!B57</f>
        <v>#VALUE!</v>
      </c>
      <c r="AM10" s="9" t="e">
        <f ca="1">AF10*Inputs!B58</f>
        <v>#VALUE!</v>
      </c>
      <c r="AN10" s="9" t="e">
        <f ca="1">AG10*Inputs!B57</f>
        <v>#VALUE!</v>
      </c>
      <c r="AO10" s="9" t="e">
        <f>AH10</f>
        <v>#VALUE!</v>
      </c>
      <c r="AP10" s="9" t="e">
        <f>AI10</f>
        <v>#VALUE!</v>
      </c>
      <c r="AQ10" s="9">
        <f t="shared" si="1"/>
        <v>0</v>
      </c>
      <c r="AR10" s="9">
        <f>Slope*SUM('Top of Pile Load Calcs'!CN5:CN19)</f>
        <v>0</v>
      </c>
      <c r="AS10" s="9">
        <f>Slope*Z10</f>
        <v>0</v>
      </c>
      <c r="AT10" s="9">
        <f t="shared" si="3"/>
        <v>0</v>
      </c>
    </row>
    <row r="11" spans="2:46" ht="15.75" customHeight="1" thickBot="1" x14ac:dyDescent="0.3">
      <c r="B11" s="712" t="s">
        <v>797</v>
      </c>
      <c r="C11" s="551"/>
      <c r="D11" s="551"/>
      <c r="E11" s="551"/>
      <c r="F11" s="551"/>
      <c r="G11" s="551"/>
      <c r="H11" s="551"/>
      <c r="I11" s="552"/>
      <c r="M11" s="712" t="str">
        <f>B11</f>
        <v xml:space="preserve">Top of Pile Loads </v>
      </c>
      <c r="N11" s="551"/>
      <c r="O11" s="551"/>
      <c r="P11" s="551"/>
      <c r="Q11" s="551"/>
      <c r="R11" s="551"/>
      <c r="S11" s="551"/>
      <c r="T11" s="552"/>
    </row>
    <row r="12" spans="2:46" ht="60.75" customHeight="1" thickBot="1" x14ac:dyDescent="0.3">
      <c r="B12" s="352" t="s">
        <v>798</v>
      </c>
      <c r="C12" s="352" t="s">
        <v>843</v>
      </c>
      <c r="D12" s="352" t="s">
        <v>800</v>
      </c>
      <c r="E12" s="353" t="s">
        <v>801</v>
      </c>
      <c r="F12" s="353" t="s">
        <v>802</v>
      </c>
      <c r="G12" s="353" t="s">
        <v>803</v>
      </c>
      <c r="H12" s="353" t="s">
        <v>804</v>
      </c>
      <c r="I12" s="353" t="s">
        <v>805</v>
      </c>
      <c r="M12" s="352" t="s">
        <v>798</v>
      </c>
      <c r="N12" s="352" t="s">
        <v>799</v>
      </c>
      <c r="O12" s="352" t="s">
        <v>800</v>
      </c>
      <c r="P12" s="353" t="s">
        <v>801</v>
      </c>
      <c r="Q12" s="353" t="s">
        <v>802</v>
      </c>
      <c r="R12" s="353" t="s">
        <v>803</v>
      </c>
      <c r="S12" s="353" t="s">
        <v>804</v>
      </c>
      <c r="T12" s="353" t="s">
        <v>805</v>
      </c>
    </row>
    <row r="13" spans="2:46" x14ac:dyDescent="0.25">
      <c r="B13" s="354">
        <v>1</v>
      </c>
      <c r="C13" s="355" t="s">
        <v>836</v>
      </c>
      <c r="D13" s="356" t="s">
        <v>807</v>
      </c>
      <c r="E13" s="357">
        <v>0</v>
      </c>
      <c r="F13" s="357">
        <f>$Y$10</f>
        <v>0</v>
      </c>
      <c r="G13" s="357">
        <f>$AR$10</f>
        <v>0</v>
      </c>
      <c r="H13" s="357">
        <f t="shared" ref="H13:H34" si="4">G13*SMA</f>
        <v>0</v>
      </c>
      <c r="I13" s="358">
        <f>-F13*Ecc</f>
        <v>0</v>
      </c>
      <c r="M13" s="354">
        <v>1</v>
      </c>
      <c r="N13" s="355" t="s">
        <v>836</v>
      </c>
      <c r="O13" s="356" t="s">
        <v>807</v>
      </c>
      <c r="P13" s="357">
        <v>0</v>
      </c>
      <c r="Q13" s="357">
        <f>$Y$7</f>
        <v>0</v>
      </c>
      <c r="R13" s="357">
        <f>$AR$7</f>
        <v>0</v>
      </c>
      <c r="S13" s="357">
        <f t="shared" ref="S13:S34" si="5">R13*SMA</f>
        <v>0</v>
      </c>
      <c r="T13" s="358">
        <f>IF(Theta&lt;55,0,IF(-Q13*Ecc&lt;0,0,-Q13*Ecc))</f>
        <v>0</v>
      </c>
    </row>
    <row r="14" spans="2:46" x14ac:dyDescent="0.25">
      <c r="B14" s="359">
        <v>2</v>
      </c>
      <c r="C14" s="9" t="s">
        <v>844</v>
      </c>
      <c r="D14" s="209" t="s">
        <v>807</v>
      </c>
      <c r="E14" s="361">
        <v>0</v>
      </c>
      <c r="F14" s="361">
        <f>($Y$10)</f>
        <v>0</v>
      </c>
      <c r="G14" s="361">
        <f>$AR$10</f>
        <v>0</v>
      </c>
      <c r="H14" s="361">
        <f t="shared" si="4"/>
        <v>0</v>
      </c>
      <c r="I14" s="362">
        <f>-F14*Ecc</f>
        <v>0</v>
      </c>
      <c r="M14" s="359">
        <v>2</v>
      </c>
      <c r="N14" s="9" t="s">
        <v>844</v>
      </c>
      <c r="O14" s="209" t="s">
        <v>807</v>
      </c>
      <c r="P14" s="361">
        <v>0</v>
      </c>
      <c r="Q14" s="361">
        <f>($Y$7)</f>
        <v>0</v>
      </c>
      <c r="R14" s="361">
        <f>$AR$7</f>
        <v>0</v>
      </c>
      <c r="S14" s="361">
        <f t="shared" si="5"/>
        <v>0</v>
      </c>
      <c r="T14" s="362">
        <f>IF(Theta&lt;55,0,IF(-Q14*Ecc&lt;0,0,-Q14*Ecc))</f>
        <v>0</v>
      </c>
    </row>
    <row r="15" spans="2:46" x14ac:dyDescent="0.25">
      <c r="B15" s="359">
        <v>3</v>
      </c>
      <c r="C15" s="9" t="s">
        <v>845</v>
      </c>
      <c r="D15" s="209" t="s">
        <v>807</v>
      </c>
      <c r="E15" s="361">
        <v>0</v>
      </c>
      <c r="F15" s="361">
        <f>($Y$10+0.7*$Z$10)</f>
        <v>0</v>
      </c>
      <c r="G15" s="361">
        <f>$AR$10+$AS$10*0.7</f>
        <v>0</v>
      </c>
      <c r="H15" s="361">
        <f t="shared" si="4"/>
        <v>0</v>
      </c>
      <c r="I15" s="362">
        <f>-F15*Ecc</f>
        <v>0</v>
      </c>
      <c r="M15" s="359">
        <v>3</v>
      </c>
      <c r="N15" s="9" t="s">
        <v>845</v>
      </c>
      <c r="O15" s="209" t="s">
        <v>807</v>
      </c>
      <c r="P15" s="361">
        <v>0</v>
      </c>
      <c r="Q15" s="361">
        <f>($Y$7+0.7*$Z$7)</f>
        <v>0</v>
      </c>
      <c r="R15" s="361">
        <f>$AR$7+$AS$7*0.7</f>
        <v>0</v>
      </c>
      <c r="S15" s="361">
        <f t="shared" si="5"/>
        <v>0</v>
      </c>
      <c r="T15" s="362">
        <f>IF(Theta&lt;55,0,IF(-Q15*Ecc&lt;0,0,-Q15*Ecc))</f>
        <v>0</v>
      </c>
    </row>
    <row r="16" spans="2:46" x14ac:dyDescent="0.25">
      <c r="B16" s="359">
        <v>4</v>
      </c>
      <c r="C16" s="360" t="s">
        <v>846</v>
      </c>
      <c r="D16" s="209" t="s">
        <v>807</v>
      </c>
      <c r="E16" s="361">
        <v>0</v>
      </c>
      <c r="F16" s="361">
        <f>($Y$10+0.525*$Z$10)</f>
        <v>0</v>
      </c>
      <c r="G16" s="361">
        <f>$AR$10+$AS$10*0.525</f>
        <v>0</v>
      </c>
      <c r="H16" s="361">
        <f t="shared" si="4"/>
        <v>0</v>
      </c>
      <c r="I16" s="362">
        <f>-F16*Ecc</f>
        <v>0</v>
      </c>
      <c r="M16" s="359">
        <v>4</v>
      </c>
      <c r="N16" s="360" t="s">
        <v>846</v>
      </c>
      <c r="O16" s="209" t="s">
        <v>807</v>
      </c>
      <c r="P16" s="361">
        <v>0</v>
      </c>
      <c r="Q16" s="361">
        <f>($Y$7+0.525*$Z$7)</f>
        <v>0</v>
      </c>
      <c r="R16" s="361">
        <f>$AR$7+$AS$7*0.525</f>
        <v>0</v>
      </c>
      <c r="S16" s="361">
        <f t="shared" si="5"/>
        <v>0</v>
      </c>
      <c r="T16" s="362">
        <f>IF(Theta&lt;55,0,IF(-Q16*Ecc&lt;0,0,-Q16*Ecc))</f>
        <v>0</v>
      </c>
    </row>
    <row r="17" spans="2:20" x14ac:dyDescent="0.25">
      <c r="B17" s="359">
        <v>5</v>
      </c>
      <c r="C17" s="360" t="s">
        <v>847</v>
      </c>
      <c r="D17" s="209" t="s">
        <v>807</v>
      </c>
      <c r="E17" s="361" t="e">
        <f ca="1">(0.6*$AL$10)+(0.6*$AA$10)</f>
        <v>#VALUE!</v>
      </c>
      <c r="F17" s="361" t="e">
        <f ca="1">($Y$10)+(0.6*($AN$10))</f>
        <v>#VALUE!</v>
      </c>
      <c r="G17" s="361">
        <f>$AR$10</f>
        <v>0</v>
      </c>
      <c r="H17" s="361">
        <f t="shared" si="4"/>
        <v>0</v>
      </c>
      <c r="I17" s="362" t="e">
        <f ca="1">(0.6*$AP$10)-(F17*Ecc)</f>
        <v>#VALUE!</v>
      </c>
      <c r="M17" s="359">
        <v>5</v>
      </c>
      <c r="N17" s="360" t="s">
        <v>847</v>
      </c>
      <c r="O17" s="209" t="s">
        <v>807</v>
      </c>
      <c r="P17" s="361" t="e">
        <f ca="1">(0.6*$AL$7)+(0.6*$AA$7)</f>
        <v>#VALUE!</v>
      </c>
      <c r="Q17" s="361" t="e">
        <f ca="1">($Y$7)+(0.6*($AN$7))</f>
        <v>#VALUE!</v>
      </c>
      <c r="R17" s="361">
        <f>$AR$7</f>
        <v>0</v>
      </c>
      <c r="S17" s="361">
        <f t="shared" si="5"/>
        <v>0</v>
      </c>
      <c r="T17" s="362" t="e">
        <f ca="1">IF(Theta&lt;55,0,IF(((0.6*$AP$7)-(Q17*Ecc))&lt;0,0,(0.6*$AP$7)-(Q17*Ecc)))</f>
        <v>#VALUE!</v>
      </c>
    </row>
    <row r="18" spans="2:20" x14ac:dyDescent="0.25">
      <c r="B18" s="359">
        <v>6</v>
      </c>
      <c r="C18" s="360" t="s">
        <v>848</v>
      </c>
      <c r="D18" s="209" t="s">
        <v>807</v>
      </c>
      <c r="E18" s="361" t="e">
        <f ca="1">(0.6*$AK$10)+(0.6*$AA$10)</f>
        <v>#VALUE!</v>
      </c>
      <c r="F18" s="361" t="e">
        <f ca="1">($Y$10)+(0.6*$AM$10)</f>
        <v>#VALUE!</v>
      </c>
      <c r="G18" s="361">
        <f>$AR$10</f>
        <v>0</v>
      </c>
      <c r="H18" s="361">
        <f t="shared" si="4"/>
        <v>0</v>
      </c>
      <c r="I18" s="362" t="e">
        <f ca="1">(0.6*$AO$10)-(F18*Ecc)</f>
        <v>#VALUE!</v>
      </c>
      <c r="M18" s="359">
        <v>6</v>
      </c>
      <c r="N18" s="360" t="s">
        <v>848</v>
      </c>
      <c r="O18" s="209" t="s">
        <v>807</v>
      </c>
      <c r="P18" s="361" t="e">
        <f ca="1">(0.6*$AK$7)+(0.6*$AA$7)</f>
        <v>#VALUE!</v>
      </c>
      <c r="Q18" s="361" t="e">
        <f ca="1">($Y$7)+(0.6*$AM$7)</f>
        <v>#VALUE!</v>
      </c>
      <c r="R18" s="361">
        <f>$AR$7</f>
        <v>0</v>
      </c>
      <c r="S18" s="361">
        <f t="shared" si="5"/>
        <v>0</v>
      </c>
      <c r="T18" s="362" t="e">
        <f ca="1">IF(Theta&lt;55,0,IF(((0.6*$AO$7)-(Q18*Ecc))&lt;0,0,((0.6*$AO$7)-(Q18*Ecc))))</f>
        <v>#VALUE!</v>
      </c>
    </row>
    <row r="19" spans="2:20" x14ac:dyDescent="0.25">
      <c r="B19" s="359">
        <v>7</v>
      </c>
      <c r="C19" s="360" t="s">
        <v>849</v>
      </c>
      <c r="D19" s="209" t="s">
        <v>807</v>
      </c>
      <c r="E19" s="361" t="e">
        <f ca="1">+(0.45*($AL$10+$AA$10))</f>
        <v>#VALUE!</v>
      </c>
      <c r="F19" s="361" t="e">
        <f ca="1">($Y$10)+(0.45*$AN$10)+(0.525*$Z$10)</f>
        <v>#VALUE!</v>
      </c>
      <c r="G19" s="361">
        <f>$AR$10+0.525*$AS$10</f>
        <v>0</v>
      </c>
      <c r="H19" s="361">
        <f t="shared" si="4"/>
        <v>0</v>
      </c>
      <c r="I19" s="362" t="e">
        <f ca="1">(0.45*$AP$10)-(F19*Ecc)</f>
        <v>#VALUE!</v>
      </c>
      <c r="M19" s="359">
        <v>7</v>
      </c>
      <c r="N19" s="360" t="s">
        <v>849</v>
      </c>
      <c r="O19" s="209" t="s">
        <v>807</v>
      </c>
      <c r="P19" s="361" t="e">
        <f ca="1">+(0.45*($AL$7+$AA$7))</f>
        <v>#VALUE!</v>
      </c>
      <c r="Q19" s="361" t="e">
        <f ca="1">($Y$7)+(0.45*$AN$7)+(0.525*$Z$7)</f>
        <v>#VALUE!</v>
      </c>
      <c r="R19" s="361">
        <f>$AR$7+0.525*$AS$7</f>
        <v>0</v>
      </c>
      <c r="S19" s="361">
        <f t="shared" si="5"/>
        <v>0</v>
      </c>
      <c r="T19" s="362" t="e">
        <f ca="1">IF(Theta&lt;55,0,IF(((0.45*$AP$7)-(Q19*Ecc))&lt;0,0,((0.45*$AP$7)-(Q19*Ecc))))</f>
        <v>#VALUE!</v>
      </c>
    </row>
    <row r="20" spans="2:20" x14ac:dyDescent="0.25">
      <c r="B20" s="359">
        <v>8</v>
      </c>
      <c r="C20" s="360" t="s">
        <v>850</v>
      </c>
      <c r="D20" s="209" t="s">
        <v>807</v>
      </c>
      <c r="E20" s="361" t="e">
        <f ca="1">(0.45*($AA$10+$AK$10))</f>
        <v>#VALUE!</v>
      </c>
      <c r="F20" s="361" t="e">
        <f ca="1">($Y$10)+(0.45*$AM$10)+(0.525*$Z$10)</f>
        <v>#VALUE!</v>
      </c>
      <c r="G20" s="361">
        <f>$AR$10+0.525*$AS$10</f>
        <v>0</v>
      </c>
      <c r="H20" s="361">
        <f t="shared" si="4"/>
        <v>0</v>
      </c>
      <c r="I20" s="362" t="e">
        <f ca="1">(0.45*$AO$10)-(F20*Ecc)</f>
        <v>#VALUE!</v>
      </c>
      <c r="M20" s="359">
        <v>8</v>
      </c>
      <c r="N20" s="360" t="s">
        <v>850</v>
      </c>
      <c r="O20" s="209" t="s">
        <v>807</v>
      </c>
      <c r="P20" s="361" t="e">
        <f ca="1">(0.45*($AA$7+$AK$7))</f>
        <v>#VALUE!</v>
      </c>
      <c r="Q20" s="361" t="e">
        <f ca="1">($Y$7)+(0.45*$AM$7)+(0.525*$Z$7)</f>
        <v>#VALUE!</v>
      </c>
      <c r="R20" s="361">
        <f>$AR$7+0.525*$AS$7</f>
        <v>0</v>
      </c>
      <c r="S20" s="361">
        <f t="shared" si="5"/>
        <v>0</v>
      </c>
      <c r="T20" s="362" t="e">
        <f ca="1">IF(Theta&lt;55,0,IF(((0.45*$AO$7)-(Q20*Ecc))&lt;0,0,((0.45*$AO$7)-(Q20*Ecc))))</f>
        <v>#VALUE!</v>
      </c>
    </row>
    <row r="21" spans="2:20" x14ac:dyDescent="0.25">
      <c r="B21" s="359">
        <v>9</v>
      </c>
      <c r="C21" s="360" t="s">
        <v>851</v>
      </c>
      <c r="D21" s="209" t="s">
        <v>807</v>
      </c>
      <c r="E21" s="361" t="e">
        <f ca="1">(0.6*($AA$10+$AL$10))</f>
        <v>#VALUE!</v>
      </c>
      <c r="F21" s="361" t="e">
        <f ca="1">(0.6*$Y$10)+($AN$10*0.6)</f>
        <v>#VALUE!</v>
      </c>
      <c r="G21" s="361">
        <f>$AR$10*0.6</f>
        <v>0</v>
      </c>
      <c r="H21" s="361">
        <f t="shared" si="4"/>
        <v>0</v>
      </c>
      <c r="I21" s="362" t="e">
        <f ca="1">(0.6*$AP$10)-(F21*Ecc)</f>
        <v>#VALUE!</v>
      </c>
      <c r="M21" s="359">
        <v>9</v>
      </c>
      <c r="N21" s="360" t="s">
        <v>851</v>
      </c>
      <c r="O21" s="209" t="s">
        <v>807</v>
      </c>
      <c r="P21" s="361" t="e">
        <f ca="1">(0.6*($AA$7+$AL$7))</f>
        <v>#VALUE!</v>
      </c>
      <c r="Q21" s="361" t="e">
        <f ca="1">(0.6*$Y$7)+($AN$7*0.6)</f>
        <v>#VALUE!</v>
      </c>
      <c r="R21" s="361">
        <f>$AR$7*0.6</f>
        <v>0</v>
      </c>
      <c r="S21" s="361">
        <f t="shared" si="5"/>
        <v>0</v>
      </c>
      <c r="T21" s="362" t="e">
        <f ca="1">IF(Theta&lt;55,0,IF(((0.6*$AP$7)-(Q21*Ecc))&lt;0,0,((0.6*$AP$7)-(Q21*Ecc))))</f>
        <v>#VALUE!</v>
      </c>
    </row>
    <row r="22" spans="2:20" x14ac:dyDescent="0.25">
      <c r="B22" s="359">
        <v>10</v>
      </c>
      <c r="C22" s="360" t="s">
        <v>852</v>
      </c>
      <c r="D22" s="209" t="s">
        <v>807</v>
      </c>
      <c r="E22" s="361" t="e">
        <f ca="1">(0.6*($AA$10+$AK$10))</f>
        <v>#VALUE!</v>
      </c>
      <c r="F22" s="361" t="e">
        <f ca="1">(0.6*$Y$10)+(0.6*$AM$10)</f>
        <v>#VALUE!</v>
      </c>
      <c r="G22" s="361">
        <f>$AR$10*0.6</f>
        <v>0</v>
      </c>
      <c r="H22" s="361">
        <f t="shared" si="4"/>
        <v>0</v>
      </c>
      <c r="I22" s="362" t="e">
        <f ca="1">(0.6*$AO$10)-(F22*Ecc)</f>
        <v>#VALUE!</v>
      </c>
      <c r="M22" s="359">
        <v>10</v>
      </c>
      <c r="N22" s="360" t="s">
        <v>852</v>
      </c>
      <c r="O22" s="209" t="s">
        <v>807</v>
      </c>
      <c r="P22" s="361" t="e">
        <f ca="1">(0.6*($AA$7+$AK$7))</f>
        <v>#VALUE!</v>
      </c>
      <c r="Q22" s="361" t="e">
        <f ca="1">(0.6*$Y$7)+(0.6*$AM$7)</f>
        <v>#VALUE!</v>
      </c>
      <c r="R22" s="361">
        <f>$AR$7*0.6</f>
        <v>0</v>
      </c>
      <c r="S22" s="361">
        <f t="shared" si="5"/>
        <v>0</v>
      </c>
      <c r="T22" s="362" t="e">
        <f ca="1">IF(Theta&lt;55,0,IF(((0.6*$AO$7)-(Q22*Ecc))&lt;0,0,((0.6*$AO$7)-(Q22*Ecc))))</f>
        <v>#VALUE!</v>
      </c>
    </row>
    <row r="23" spans="2:20" x14ac:dyDescent="0.25">
      <c r="B23" s="359">
        <v>11</v>
      </c>
      <c r="C23" s="360" t="s">
        <v>853</v>
      </c>
      <c r="D23" s="209" t="s">
        <v>807</v>
      </c>
      <c r="E23" s="361">
        <f>(0.7*$AB$10)</f>
        <v>0</v>
      </c>
      <c r="F23" s="361">
        <f>($Y$10)+0.7*$AT$10</f>
        <v>0</v>
      </c>
      <c r="G23" s="361">
        <f>$AR$10</f>
        <v>0</v>
      </c>
      <c r="H23" s="361">
        <f t="shared" si="4"/>
        <v>0</v>
      </c>
      <c r="I23" s="362">
        <f>(0.7*$AQ$10)-(F23*Ecc)</f>
        <v>0</v>
      </c>
      <c r="M23" s="359">
        <v>11</v>
      </c>
      <c r="N23" s="360" t="s">
        <v>853</v>
      </c>
      <c r="O23" s="209" t="s">
        <v>807</v>
      </c>
      <c r="P23" s="361">
        <f>(0.7*$AB$7)</f>
        <v>0</v>
      </c>
      <c r="Q23" s="361">
        <f>($Y$7)+0.7*$AT$7</f>
        <v>0</v>
      </c>
      <c r="R23" s="361">
        <f>$AR$7</f>
        <v>0</v>
      </c>
      <c r="S23" s="361">
        <f t="shared" si="5"/>
        <v>0</v>
      </c>
      <c r="T23" s="362">
        <f>IF(Theta&lt;55,0,IF(((0.7*$AQ$7)-(Q23*Ecc))&lt;0,0,((0.7*$AQ$7)-(Q23*Ecc))))</f>
        <v>0</v>
      </c>
    </row>
    <row r="24" spans="2:20" x14ac:dyDescent="0.25">
      <c r="B24" s="359">
        <v>12</v>
      </c>
      <c r="C24" s="360" t="s">
        <v>854</v>
      </c>
      <c r="D24" s="209" t="s">
        <v>807</v>
      </c>
      <c r="E24" s="361">
        <f>-(0.7*$AB$10)</f>
        <v>0</v>
      </c>
      <c r="F24" s="361">
        <f>$Y$10-0.7*$AT$10</f>
        <v>0</v>
      </c>
      <c r="G24" s="361">
        <f>$AR$10</f>
        <v>0</v>
      </c>
      <c r="H24" s="361">
        <f t="shared" si="4"/>
        <v>0</v>
      </c>
      <c r="I24" s="362">
        <f>(-0.7*$AQ$10)-(F24*Ecc)</f>
        <v>0</v>
      </c>
      <c r="M24" s="359">
        <v>12</v>
      </c>
      <c r="N24" s="360" t="s">
        <v>854</v>
      </c>
      <c r="O24" s="209" t="s">
        <v>807</v>
      </c>
      <c r="P24" s="361">
        <f>-(0.7*$AB$7)</f>
        <v>0</v>
      </c>
      <c r="Q24" s="361">
        <f>$Y$7-0.7*$AT$7</f>
        <v>0</v>
      </c>
      <c r="R24" s="361">
        <f>$AR$7</f>
        <v>0</v>
      </c>
      <c r="S24" s="361">
        <f t="shared" si="5"/>
        <v>0</v>
      </c>
      <c r="T24" s="362">
        <f>IF(Theta&lt;55,0,IF(((-0.7*$AQ$7)-(Q24*Ecc))&lt;0,0,((-0.7*$AQ$7)-(Q24*Ecc))))</f>
        <v>0</v>
      </c>
    </row>
    <row r="25" spans="2:20" x14ac:dyDescent="0.25">
      <c r="B25" s="359">
        <v>13</v>
      </c>
      <c r="C25" s="360" t="s">
        <v>855</v>
      </c>
      <c r="D25" s="209" t="s">
        <v>807</v>
      </c>
      <c r="E25" s="361">
        <v>0</v>
      </c>
      <c r="F25" s="361">
        <f>$Y$10+0.7*$AT$10</f>
        <v>0</v>
      </c>
      <c r="G25" s="361">
        <f>0.7*$AC$10+$AR$10</f>
        <v>0</v>
      </c>
      <c r="H25" s="361">
        <f t="shared" si="4"/>
        <v>0</v>
      </c>
      <c r="I25" s="362">
        <f>-F25*Ecc</f>
        <v>0</v>
      </c>
      <c r="M25" s="359">
        <v>13</v>
      </c>
      <c r="N25" s="360" t="s">
        <v>855</v>
      </c>
      <c r="O25" s="209" t="s">
        <v>807</v>
      </c>
      <c r="P25" s="361">
        <v>0</v>
      </c>
      <c r="Q25" s="361">
        <f>$Y$7+0.7*$AT$7</f>
        <v>0</v>
      </c>
      <c r="R25" s="361">
        <f>0.7*$AC$7+$AR$7</f>
        <v>0</v>
      </c>
      <c r="S25" s="361">
        <f t="shared" si="5"/>
        <v>0</v>
      </c>
      <c r="T25" s="362">
        <f>IF(Theta&lt;55,0,IF(-Q25*Ecc&lt;0,0,-Q25*Ecc))</f>
        <v>0</v>
      </c>
    </row>
    <row r="26" spans="2:20" x14ac:dyDescent="0.25">
      <c r="B26" s="359">
        <v>14</v>
      </c>
      <c r="C26" s="360" t="s">
        <v>856</v>
      </c>
      <c r="D26" s="209" t="s">
        <v>807</v>
      </c>
      <c r="E26" s="361">
        <v>0</v>
      </c>
      <c r="F26" s="361">
        <f>$Y$10-0.7*$AT$10</f>
        <v>0</v>
      </c>
      <c r="G26" s="361">
        <f>-0.7*$AC$10+$AR$10</f>
        <v>0</v>
      </c>
      <c r="H26" s="361">
        <f t="shared" si="4"/>
        <v>0</v>
      </c>
      <c r="I26" s="362">
        <f>-F26*Ecc</f>
        <v>0</v>
      </c>
      <c r="M26" s="359">
        <v>14</v>
      </c>
      <c r="N26" s="360" t="s">
        <v>856</v>
      </c>
      <c r="O26" s="209" t="s">
        <v>807</v>
      </c>
      <c r="P26" s="361">
        <v>0</v>
      </c>
      <c r="Q26" s="361">
        <f>$Y$7-0.7*$AT$7</f>
        <v>0</v>
      </c>
      <c r="R26" s="361">
        <f>-0.7*$AC$7+$AR$7</f>
        <v>0</v>
      </c>
      <c r="S26" s="361">
        <f t="shared" si="5"/>
        <v>0</v>
      </c>
      <c r="T26" s="362">
        <f>IF(Theta&lt;55,0,IF(-Q26*Ecc&lt;0,0,-Q26*Ecc))</f>
        <v>0</v>
      </c>
    </row>
    <row r="27" spans="2:20" x14ac:dyDescent="0.25">
      <c r="B27" s="359">
        <v>15</v>
      </c>
      <c r="C27" s="360" t="s">
        <v>857</v>
      </c>
      <c r="D27" s="209" t="s">
        <v>807</v>
      </c>
      <c r="E27" s="361">
        <f>(0.525*$AB$10)</f>
        <v>0</v>
      </c>
      <c r="F27" s="361">
        <f>($Y$10)+(0.1*$Z$10)+0.525*$AT$10</f>
        <v>0</v>
      </c>
      <c r="G27" s="361">
        <f>$AR$10+0.1*$AS$10</f>
        <v>0</v>
      </c>
      <c r="H27" s="361">
        <f t="shared" si="4"/>
        <v>0</v>
      </c>
      <c r="I27" s="362">
        <f>(0.525*$AQ$10)-(F27*Ecc)</f>
        <v>0</v>
      </c>
      <c r="M27" s="359">
        <v>15</v>
      </c>
      <c r="N27" s="360" t="s">
        <v>857</v>
      </c>
      <c r="O27" s="209" t="s">
        <v>807</v>
      </c>
      <c r="P27" s="361">
        <f>(0.525*$AB$7)</f>
        <v>0</v>
      </c>
      <c r="Q27" s="361">
        <f>($Y$7)+(0.1*$Z$7)+0.525*$AT$7</f>
        <v>0</v>
      </c>
      <c r="R27" s="361">
        <f>$AR$7+0.1*$AS$7</f>
        <v>0</v>
      </c>
      <c r="S27" s="361">
        <f t="shared" si="5"/>
        <v>0</v>
      </c>
      <c r="T27" s="362">
        <f>IF(Theta&lt;55,0,IF(((0.525*$AQ$7)-(Q27*Ecc))&lt;0,0,((0.525*$AQ$7)-(Q27*Ecc))))</f>
        <v>0</v>
      </c>
    </row>
    <row r="28" spans="2:20" x14ac:dyDescent="0.25">
      <c r="B28" s="359">
        <v>16</v>
      </c>
      <c r="C28" s="360" t="s">
        <v>858</v>
      </c>
      <c r="D28" s="209" t="s">
        <v>807</v>
      </c>
      <c r="E28" s="361">
        <f>-(0.525*$AB$10)</f>
        <v>0</v>
      </c>
      <c r="F28" s="361">
        <f>($Y$10)+(0.1*$Z$10)-0.525*$AT$10</f>
        <v>0</v>
      </c>
      <c r="G28" s="361">
        <f>$AR$10+0.1*$AS$10</f>
        <v>0</v>
      </c>
      <c r="H28" s="361">
        <f t="shared" si="4"/>
        <v>0</v>
      </c>
      <c r="I28" s="362">
        <f>(-0.525*$AQ$10)-(F28*Ecc)</f>
        <v>0</v>
      </c>
      <c r="M28" s="359">
        <v>16</v>
      </c>
      <c r="N28" s="360" t="s">
        <v>858</v>
      </c>
      <c r="O28" s="209" t="s">
        <v>807</v>
      </c>
      <c r="P28" s="361">
        <f>-(0.525*$AB$7)</f>
        <v>0</v>
      </c>
      <c r="Q28" s="361">
        <f>($Y$7)+(0.1*$Z$7)-0.525*$AT$7</f>
        <v>0</v>
      </c>
      <c r="R28" s="361">
        <f>$AR$7+0.1*$AS$7</f>
        <v>0</v>
      </c>
      <c r="S28" s="361">
        <f t="shared" si="5"/>
        <v>0</v>
      </c>
      <c r="T28" s="362">
        <f>IF(Theta&lt;55,0,IF(((-0.525*$AQ$7)-(Q28*Ecc))&lt;0,0,((-0.525*$AQ$7)-(Q28*Ecc))))</f>
        <v>0</v>
      </c>
    </row>
    <row r="29" spans="2:20" x14ac:dyDescent="0.25">
      <c r="B29" s="359">
        <v>17</v>
      </c>
      <c r="C29" s="360" t="s">
        <v>859</v>
      </c>
      <c r="D29" s="209" t="s">
        <v>807</v>
      </c>
      <c r="E29" s="361">
        <v>0</v>
      </c>
      <c r="F29" s="361">
        <f>($Y$10)+(0.1*$Z$10)+0.525*$AT$10</f>
        <v>0</v>
      </c>
      <c r="G29" s="361">
        <f>0.525*$AC$10+$AR$10+0.1*$AS$10</f>
        <v>0</v>
      </c>
      <c r="H29" s="361">
        <f t="shared" si="4"/>
        <v>0</v>
      </c>
      <c r="I29" s="362">
        <f>-F29*Ecc</f>
        <v>0</v>
      </c>
      <c r="M29" s="359">
        <v>17</v>
      </c>
      <c r="N29" s="360" t="s">
        <v>859</v>
      </c>
      <c r="O29" s="209" t="s">
        <v>807</v>
      </c>
      <c r="P29" s="361">
        <v>0</v>
      </c>
      <c r="Q29" s="361">
        <f>($Y$7)+(0.1*$Z$7)+0.525*$AT$7</f>
        <v>0</v>
      </c>
      <c r="R29" s="361">
        <f>0.525*$AC$7+$AR$7+0.1*$AS$7</f>
        <v>0</v>
      </c>
      <c r="S29" s="361">
        <f t="shared" si="5"/>
        <v>0</v>
      </c>
      <c r="T29" s="362">
        <f>IF(Theta&lt;55,0,IF(-Q29*Ecc&lt;0,0,-Q29*Ecc))</f>
        <v>0</v>
      </c>
    </row>
    <row r="30" spans="2:20" x14ac:dyDescent="0.25">
      <c r="B30" s="359">
        <v>18</v>
      </c>
      <c r="C30" s="360" t="s">
        <v>860</v>
      </c>
      <c r="D30" s="209" t="s">
        <v>807</v>
      </c>
      <c r="E30" s="361">
        <v>0</v>
      </c>
      <c r="F30" s="361">
        <f>($Y$10)+(0.1*$Z$10)-0.525*$AT$10</f>
        <v>0</v>
      </c>
      <c r="G30" s="361">
        <f>-0.525*$AC$10+$AR$10+0.1*$AS$10</f>
        <v>0</v>
      </c>
      <c r="H30" s="361">
        <f t="shared" si="4"/>
        <v>0</v>
      </c>
      <c r="I30" s="362">
        <f>-F30*Ecc</f>
        <v>0</v>
      </c>
      <c r="M30" s="359">
        <v>18</v>
      </c>
      <c r="N30" s="360" t="s">
        <v>860</v>
      </c>
      <c r="O30" s="209" t="s">
        <v>807</v>
      </c>
      <c r="P30" s="361">
        <v>0</v>
      </c>
      <c r="Q30" s="361">
        <f>($Y$7)+(0.1*$Z$7)-0.525*$AT$7</f>
        <v>0</v>
      </c>
      <c r="R30" s="361">
        <f>-0.525*$AC$7+$AR$7+0.1*$AS$7</f>
        <v>0</v>
      </c>
      <c r="S30" s="361">
        <f t="shared" si="5"/>
        <v>0</v>
      </c>
      <c r="T30" s="362">
        <f>IF(Theta&lt;55,0,IF(-Q30*Ecc&lt;0,0,-Q30*Ecc))</f>
        <v>0</v>
      </c>
    </row>
    <row r="31" spans="2:20" x14ac:dyDescent="0.25">
      <c r="B31" s="359">
        <v>19</v>
      </c>
      <c r="C31" s="360" t="s">
        <v>861</v>
      </c>
      <c r="D31" s="209" t="s">
        <v>807</v>
      </c>
      <c r="E31" s="361">
        <f>(0.7*$AB$10)</f>
        <v>0</v>
      </c>
      <c r="F31" s="361">
        <f>($Y$10)*0.6+0.7*$AT$10</f>
        <v>0</v>
      </c>
      <c r="G31" s="361">
        <f>$AR$10*0.6</f>
        <v>0</v>
      </c>
      <c r="H31" s="361">
        <f t="shared" si="4"/>
        <v>0</v>
      </c>
      <c r="I31" s="362">
        <f>(0.7*$AQ$10)-(F31*Ecc)</f>
        <v>0</v>
      </c>
      <c r="M31" s="359">
        <v>19</v>
      </c>
      <c r="N31" s="360" t="s">
        <v>861</v>
      </c>
      <c r="O31" s="209" t="s">
        <v>807</v>
      </c>
      <c r="P31" s="361">
        <f>(0.7*$AB$7)</f>
        <v>0</v>
      </c>
      <c r="Q31" s="361">
        <f>($Y$7)*0.6+0.7*$AT$7</f>
        <v>0</v>
      </c>
      <c r="R31" s="361">
        <f>$AR$7*0.6</f>
        <v>0</v>
      </c>
      <c r="S31" s="361">
        <f t="shared" si="5"/>
        <v>0</v>
      </c>
      <c r="T31" s="362">
        <f>IF(Theta&lt;55,0,IF(((0.7*$AQ$7)-(Q31*Ecc))&lt;0,0,((0.7*$AQ$7)-(Q31*Ecc))))</f>
        <v>0</v>
      </c>
    </row>
    <row r="32" spans="2:20" x14ac:dyDescent="0.25">
      <c r="B32" s="359">
        <v>20</v>
      </c>
      <c r="C32" s="360" t="s">
        <v>862</v>
      </c>
      <c r="D32" s="209" t="s">
        <v>807</v>
      </c>
      <c r="E32" s="361">
        <f>-(0.7*$AB$10)</f>
        <v>0</v>
      </c>
      <c r="F32" s="361">
        <f>0.6*$Y$10-0.7*$AT$10</f>
        <v>0</v>
      </c>
      <c r="G32" s="361">
        <f>$AR$10*0.6</f>
        <v>0</v>
      </c>
      <c r="H32" s="361">
        <f t="shared" si="4"/>
        <v>0</v>
      </c>
      <c r="I32" s="362">
        <f>(-0.7*$AQ$10)-(F32*Ecc)</f>
        <v>0</v>
      </c>
      <c r="M32" s="359">
        <v>20</v>
      </c>
      <c r="N32" s="360" t="s">
        <v>862</v>
      </c>
      <c r="O32" s="209" t="s">
        <v>807</v>
      </c>
      <c r="P32" s="361">
        <f>-(0.7*$AB$7)</f>
        <v>0</v>
      </c>
      <c r="Q32" s="361">
        <f>0.6*$Y$7-0.7*$AT$7</f>
        <v>0</v>
      </c>
      <c r="R32" s="361">
        <f>$AR$7*0.6</f>
        <v>0</v>
      </c>
      <c r="S32" s="361">
        <f t="shared" si="5"/>
        <v>0</v>
      </c>
      <c r="T32" s="362">
        <f>IF(Theta&lt;55,0,IF(((-0.7*$AQ$7)-(Q32*Ecc))&lt;0,0,((-0.7*$AQ$7)-(Q32*Ecc))))</f>
        <v>0</v>
      </c>
    </row>
    <row r="33" spans="1:20" x14ac:dyDescent="0.25">
      <c r="B33" s="359">
        <v>21</v>
      </c>
      <c r="C33" s="360" t="s">
        <v>863</v>
      </c>
      <c r="D33" s="209" t="s">
        <v>807</v>
      </c>
      <c r="E33" s="361">
        <v>0</v>
      </c>
      <c r="F33" s="361">
        <f>(0.6*$Y$10)+0.7*$AT$10</f>
        <v>0</v>
      </c>
      <c r="G33" s="361">
        <f>0.7*$AC$10+$AR$10*0.6</f>
        <v>0</v>
      </c>
      <c r="H33" s="361">
        <f t="shared" si="4"/>
        <v>0</v>
      </c>
      <c r="I33" s="362">
        <f>-F33*Ecc</f>
        <v>0</v>
      </c>
      <c r="M33" s="359">
        <v>21</v>
      </c>
      <c r="N33" s="360" t="s">
        <v>863</v>
      </c>
      <c r="O33" s="209" t="s">
        <v>807</v>
      </c>
      <c r="P33" s="361">
        <v>0</v>
      </c>
      <c r="Q33" s="361">
        <f>(0.6*$Y$7)+0.7*$AT$7</f>
        <v>0</v>
      </c>
      <c r="R33" s="361">
        <f>0.7*$AC$7+$AR$7*0.6</f>
        <v>0</v>
      </c>
      <c r="S33" s="361">
        <f t="shared" si="5"/>
        <v>0</v>
      </c>
      <c r="T33" s="362">
        <f>IF(Theta&lt;55,0,IF(-Q33*Ecc&lt;0,0,-Q33*Ecc))</f>
        <v>0</v>
      </c>
    </row>
    <row r="34" spans="1:20" ht="15.75" customHeight="1" thickBot="1" x14ac:dyDescent="0.3">
      <c r="B34" s="363">
        <v>22</v>
      </c>
      <c r="C34" s="364" t="s">
        <v>864</v>
      </c>
      <c r="D34" s="365" t="s">
        <v>807</v>
      </c>
      <c r="E34" s="366">
        <v>0</v>
      </c>
      <c r="F34" s="366">
        <f>(0.6*$Y$10)-0.7*$AT$10</f>
        <v>0</v>
      </c>
      <c r="G34" s="366">
        <f>-0.7*$AC$10+$AR$10*0.6</f>
        <v>0</v>
      </c>
      <c r="H34" s="366">
        <f t="shared" si="4"/>
        <v>0</v>
      </c>
      <c r="I34" s="367">
        <f>-F34*Ecc</f>
        <v>0</v>
      </c>
      <c r="M34" s="363">
        <v>22</v>
      </c>
      <c r="N34" s="364" t="s">
        <v>864</v>
      </c>
      <c r="O34" s="365" t="s">
        <v>807</v>
      </c>
      <c r="P34" s="366">
        <v>0</v>
      </c>
      <c r="Q34" s="366">
        <f>(0.6*$Y$7)-0.7*$AT$7</f>
        <v>0</v>
      </c>
      <c r="R34" s="366">
        <f>-0.7*$AC$7+$AR$7*0.6</f>
        <v>0</v>
      </c>
      <c r="S34" s="366">
        <f t="shared" si="5"/>
        <v>0</v>
      </c>
      <c r="T34" s="367">
        <f>IF(Theta&lt;55,0,IF(-Q34*Ecc&lt;0,0,-Q34*Ecc))</f>
        <v>0</v>
      </c>
    </row>
    <row r="35" spans="1:20" x14ac:dyDescent="0.25">
      <c r="B35" s="368" t="s">
        <v>865</v>
      </c>
      <c r="C35" s="369" t="s">
        <v>866</v>
      </c>
      <c r="M35" s="368" t="s">
        <v>865</v>
      </c>
      <c r="N35" s="369" t="s">
        <v>866</v>
      </c>
    </row>
    <row r="36" spans="1:20" x14ac:dyDescent="0.25">
      <c r="B36" s="368" t="s">
        <v>836</v>
      </c>
      <c r="C36" s="369" t="s">
        <v>837</v>
      </c>
      <c r="M36" s="368" t="s">
        <v>836</v>
      </c>
      <c r="N36" s="369" t="s">
        <v>837</v>
      </c>
    </row>
    <row r="37" spans="1:20" x14ac:dyDescent="0.25">
      <c r="B37" s="368" t="s">
        <v>838</v>
      </c>
      <c r="C37" s="369" t="s">
        <v>839</v>
      </c>
      <c r="M37" s="368" t="s">
        <v>838</v>
      </c>
      <c r="N37" s="369" t="s">
        <v>839</v>
      </c>
    </row>
    <row r="38" spans="1:20" x14ac:dyDescent="0.25">
      <c r="A38" s="260"/>
      <c r="B38" s="368" t="s">
        <v>474</v>
      </c>
      <c r="C38" s="369" t="s">
        <v>840</v>
      </c>
      <c r="L38" s="260"/>
      <c r="M38" s="368" t="s">
        <v>474</v>
      </c>
      <c r="N38" s="369" t="s">
        <v>840</v>
      </c>
    </row>
    <row r="39" spans="1:20" x14ac:dyDescent="0.25">
      <c r="B39" s="368" t="s">
        <v>867</v>
      </c>
      <c r="C39" s="369" t="s">
        <v>868</v>
      </c>
      <c r="M39" s="368" t="s">
        <v>867</v>
      </c>
      <c r="N39" s="369" t="s">
        <v>868</v>
      </c>
    </row>
    <row r="40" spans="1:20" x14ac:dyDescent="0.25">
      <c r="B40" s="368" t="s">
        <v>266</v>
      </c>
      <c r="C40" s="369" t="s">
        <v>869</v>
      </c>
      <c r="M40" s="368" t="s">
        <v>266</v>
      </c>
      <c r="N40" s="369" t="s">
        <v>869</v>
      </c>
    </row>
    <row r="41" spans="1:20" x14ac:dyDescent="0.25">
      <c r="B41" s="368"/>
      <c r="C41" s="369"/>
      <c r="M41" s="368"/>
      <c r="N41" s="369"/>
    </row>
    <row r="42" spans="1:20" x14ac:dyDescent="0.25">
      <c r="B42" s="7"/>
      <c r="C42" s="77"/>
      <c r="D42" s="7"/>
      <c r="M42" s="7"/>
      <c r="N42" s="77"/>
      <c r="O42" s="7"/>
    </row>
    <row r="43" spans="1:20" x14ac:dyDescent="0.25">
      <c r="B43" s="7"/>
      <c r="C43" s="77"/>
      <c r="D43" s="7"/>
      <c r="E43" s="370"/>
      <c r="F43" s="370"/>
      <c r="G43" s="370"/>
      <c r="H43" s="370"/>
      <c r="I43" s="370"/>
      <c r="M43" s="7"/>
      <c r="N43" s="77"/>
      <c r="O43" s="7"/>
      <c r="P43" s="370"/>
      <c r="Q43" s="370"/>
      <c r="R43" s="370"/>
      <c r="S43" s="370"/>
      <c r="T43" s="370"/>
    </row>
    <row r="44" spans="1:20" x14ac:dyDescent="0.25">
      <c r="B44" s="7"/>
      <c r="C44" s="77"/>
      <c r="D44" s="7"/>
      <c r="E44" s="370"/>
      <c r="F44" s="370"/>
      <c r="G44" s="370"/>
      <c r="H44" s="370"/>
      <c r="I44" s="370"/>
      <c r="M44" s="7"/>
      <c r="N44" s="77"/>
      <c r="O44" s="7"/>
      <c r="P44" s="370"/>
      <c r="Q44" s="370"/>
      <c r="R44" s="370"/>
      <c r="S44" s="370"/>
      <c r="T44" s="370"/>
    </row>
    <row r="45" spans="1:20" x14ac:dyDescent="0.25">
      <c r="B45" s="7"/>
      <c r="C45" s="77"/>
      <c r="D45" s="7"/>
      <c r="E45" s="370"/>
      <c r="F45" s="370"/>
      <c r="G45" s="370"/>
      <c r="H45" s="370"/>
      <c r="I45" s="370"/>
      <c r="M45" s="7"/>
      <c r="N45" s="77"/>
      <c r="O45" s="7"/>
      <c r="P45" s="370"/>
      <c r="Q45" s="370"/>
      <c r="R45" s="370"/>
      <c r="S45" s="370"/>
      <c r="T45" s="370"/>
    </row>
    <row r="46" spans="1:20" x14ac:dyDescent="0.25">
      <c r="B46" s="7"/>
      <c r="C46" s="77"/>
      <c r="D46" s="7"/>
      <c r="E46" s="370"/>
      <c r="F46" s="370"/>
      <c r="G46" s="370"/>
      <c r="H46" s="370"/>
      <c r="I46" s="370"/>
      <c r="M46" s="7"/>
      <c r="N46" s="77"/>
      <c r="O46" s="7"/>
      <c r="P46" s="370"/>
      <c r="Q46" s="370"/>
      <c r="R46" s="370"/>
      <c r="S46" s="370"/>
      <c r="T46" s="370"/>
    </row>
    <row r="47" spans="1:20" x14ac:dyDescent="0.25">
      <c r="B47" s="7"/>
      <c r="C47" s="77"/>
      <c r="D47" s="7"/>
      <c r="E47" s="370"/>
      <c r="F47" s="370"/>
      <c r="G47" s="370"/>
      <c r="H47" s="370"/>
      <c r="I47" s="370"/>
      <c r="M47" s="7"/>
      <c r="N47" s="77"/>
      <c r="O47" s="7"/>
      <c r="P47" s="370"/>
      <c r="Q47" s="370"/>
      <c r="R47" s="370"/>
      <c r="S47" s="370"/>
      <c r="T47" s="370"/>
    </row>
    <row r="48" spans="1:20" x14ac:dyDescent="0.25">
      <c r="B48" s="7"/>
      <c r="C48" s="77"/>
      <c r="D48" s="7"/>
      <c r="E48" s="370"/>
      <c r="F48" s="370"/>
      <c r="G48" s="370"/>
      <c r="H48" s="370"/>
      <c r="I48" s="370"/>
      <c r="M48" s="7"/>
      <c r="N48" s="77"/>
      <c r="O48" s="7"/>
      <c r="P48" s="370"/>
      <c r="Q48" s="370"/>
      <c r="R48" s="370"/>
      <c r="S48" s="370"/>
      <c r="T48" s="370"/>
    </row>
    <row r="49" spans="2:20" x14ac:dyDescent="0.25">
      <c r="B49" s="7"/>
      <c r="C49" s="77"/>
      <c r="D49" s="7"/>
      <c r="E49" s="370"/>
      <c r="F49" s="370"/>
      <c r="G49" s="370"/>
      <c r="H49" s="370"/>
      <c r="I49" s="370"/>
      <c r="M49" s="7"/>
      <c r="N49" s="77"/>
      <c r="O49" s="7"/>
      <c r="P49" s="370"/>
      <c r="Q49" s="370"/>
      <c r="R49" s="370"/>
      <c r="S49" s="370"/>
      <c r="T49" s="370"/>
    </row>
    <row r="50" spans="2:20" x14ac:dyDescent="0.25">
      <c r="B50" s="7"/>
      <c r="C50" s="77"/>
      <c r="D50" s="7"/>
      <c r="E50" s="370"/>
      <c r="F50" s="370"/>
      <c r="G50" s="370"/>
      <c r="H50" s="370"/>
      <c r="I50" s="370"/>
      <c r="M50" s="7"/>
      <c r="N50" s="77"/>
      <c r="O50" s="7"/>
      <c r="P50" s="370"/>
      <c r="Q50" s="370"/>
      <c r="R50" s="370"/>
      <c r="S50" s="370"/>
      <c r="T50" s="370"/>
    </row>
    <row r="52" spans="2:20" ht="15.75" customHeight="1" x14ac:dyDescent="0.25">
      <c r="B52" s="345" t="s">
        <v>442</v>
      </c>
      <c r="C52" s="716" t="str">
        <f>$C$2</f>
        <v xml:space="preserve">Customer </v>
      </c>
      <c r="D52" s="554"/>
      <c r="E52" s="346"/>
      <c r="M52" s="345" t="s">
        <v>442</v>
      </c>
      <c r="N52" s="716" t="str">
        <f>$C$2</f>
        <v xml:space="preserve">Customer </v>
      </c>
      <c r="O52" s="554"/>
      <c r="P52" s="346"/>
    </row>
    <row r="53" spans="2:20" ht="15.75" customHeight="1" x14ac:dyDescent="0.25">
      <c r="B53" s="347" t="s">
        <v>443</v>
      </c>
      <c r="C53" s="713" t="str">
        <f>$C$3</f>
        <v xml:space="preserve">Project </v>
      </c>
      <c r="D53" s="556"/>
      <c r="E53" s="346"/>
      <c r="M53" s="347" t="s">
        <v>443</v>
      </c>
      <c r="N53" s="713" t="str">
        <f>$C$3</f>
        <v xml:space="preserve">Project </v>
      </c>
      <c r="O53" s="556"/>
      <c r="P53" s="346"/>
    </row>
    <row r="54" spans="2:20" ht="15.75" customHeight="1" x14ac:dyDescent="0.25">
      <c r="B54" s="347" t="s">
        <v>444</v>
      </c>
      <c r="C54" s="713" t="str">
        <f>$C$4</f>
        <v xml:space="preserve">City, State Zip </v>
      </c>
      <c r="D54" s="556"/>
      <c r="E54" s="346"/>
      <c r="M54" s="347" t="s">
        <v>444</v>
      </c>
      <c r="N54" s="713" t="str">
        <f>$C$4</f>
        <v xml:space="preserve">City, State Zip </v>
      </c>
      <c r="O54" s="556"/>
      <c r="P54" s="346"/>
    </row>
    <row r="55" spans="2:20" ht="16.5" customHeight="1" thickBot="1" x14ac:dyDescent="0.3">
      <c r="B55" s="347" t="s">
        <v>792</v>
      </c>
      <c r="C55" s="346" t="e">
        <f>$C$5</f>
        <v>#VALUE!</v>
      </c>
      <c r="D55" s="348"/>
      <c r="E55" s="346"/>
      <c r="M55" s="347" t="s">
        <v>792</v>
      </c>
      <c r="N55" s="346" t="e">
        <f>$C$5</f>
        <v>#VALUE!</v>
      </c>
      <c r="O55" s="348"/>
      <c r="P55" s="346"/>
    </row>
    <row r="56" spans="2:20" ht="15.75" customHeight="1" x14ac:dyDescent="0.25">
      <c r="B56" s="347" t="s">
        <v>793</v>
      </c>
      <c r="C56" s="710" t="str">
        <f>$C$6</f>
        <v>X/XX/XX - XXX</v>
      </c>
      <c r="D56" s="711"/>
      <c r="E56" s="349"/>
      <c r="F56" s="718" t="s">
        <v>0</v>
      </c>
      <c r="G56" s="548"/>
      <c r="M56" s="347" t="s">
        <v>793</v>
      </c>
      <c r="N56" s="710" t="str">
        <f>$C$6</f>
        <v>X/XX/XX - XXX</v>
      </c>
      <c r="O56" s="711"/>
      <c r="P56" s="349"/>
      <c r="Q56" s="720" t="s">
        <v>3</v>
      </c>
      <c r="R56" s="548"/>
    </row>
    <row r="57" spans="2:20" ht="16.5" customHeight="1" thickBot="1" x14ac:dyDescent="0.3">
      <c r="B57" s="350" t="s">
        <v>794</v>
      </c>
      <c r="C57" s="351" t="str">
        <f>$C$7</f>
        <v>TBD by Others</v>
      </c>
      <c r="D57" s="372"/>
      <c r="E57" s="349"/>
      <c r="F57" s="550"/>
      <c r="G57" s="552"/>
      <c r="M57" s="350" t="s">
        <v>794</v>
      </c>
      <c r="N57" s="351" t="str">
        <f>$C$7</f>
        <v>TBD by Others</v>
      </c>
      <c r="O57" s="372"/>
      <c r="P57" s="349"/>
      <c r="Q57" s="550"/>
      <c r="R57" s="552"/>
    </row>
    <row r="58" spans="2:20" ht="15.75" customHeight="1" x14ac:dyDescent="0.25">
      <c r="D58" s="371"/>
      <c r="E58" s="349"/>
      <c r="O58" s="371"/>
      <c r="P58" s="349"/>
    </row>
    <row r="59" spans="2:20" ht="15.75" customHeight="1" thickBot="1" x14ac:dyDescent="0.3"/>
    <row r="60" spans="2:20" x14ac:dyDescent="0.25">
      <c r="B60" s="715" t="str">
        <f>"Factored Post Reaction - IDLER @ "&amp;Inputs!$B$33&amp;" DEGREES"</f>
        <v>Factored Post Reaction - IDLER @ XX DEGREES</v>
      </c>
      <c r="C60" s="547"/>
      <c r="D60" s="547"/>
      <c r="E60" s="547"/>
      <c r="F60" s="547"/>
      <c r="G60" s="547"/>
      <c r="H60" s="547"/>
      <c r="I60" s="548"/>
      <c r="M60" s="715" t="str">
        <f>"Factored Post Reaction - DRIVE @ "&amp;Inputs!$B$33&amp;" DEGREES"</f>
        <v>Factored Post Reaction - DRIVE @ XX DEGREES</v>
      </c>
      <c r="N60" s="547"/>
      <c r="O60" s="547"/>
      <c r="P60" s="547"/>
      <c r="Q60" s="547"/>
      <c r="R60" s="547"/>
      <c r="S60" s="547"/>
      <c r="T60" s="548"/>
    </row>
    <row r="61" spans="2:20" ht="15.75" customHeight="1" thickBot="1" x14ac:dyDescent="0.3">
      <c r="B61" s="712" t="str">
        <f>B11</f>
        <v xml:space="preserve">Top of Pile Loads </v>
      </c>
      <c r="C61" s="551"/>
      <c r="D61" s="551"/>
      <c r="E61" s="551"/>
      <c r="F61" s="551"/>
      <c r="G61" s="551"/>
      <c r="H61" s="551"/>
      <c r="I61" s="552"/>
      <c r="M61" s="712" t="str">
        <f>B11</f>
        <v xml:space="preserve">Top of Pile Loads </v>
      </c>
      <c r="N61" s="551"/>
      <c r="O61" s="551"/>
      <c r="P61" s="551"/>
      <c r="Q61" s="551"/>
      <c r="R61" s="551"/>
      <c r="S61" s="551"/>
      <c r="T61" s="552"/>
    </row>
    <row r="62" spans="2:20" ht="60.75" customHeight="1" thickBot="1" x14ac:dyDescent="0.3">
      <c r="B62" s="352" t="s">
        <v>798</v>
      </c>
      <c r="C62" s="352" t="s">
        <v>799</v>
      </c>
      <c r="D62" s="352" t="s">
        <v>800</v>
      </c>
      <c r="E62" s="353" t="s">
        <v>801</v>
      </c>
      <c r="F62" s="353" t="s">
        <v>802</v>
      </c>
      <c r="G62" s="353" t="s">
        <v>803</v>
      </c>
      <c r="H62" s="353" t="s">
        <v>804</v>
      </c>
      <c r="I62" s="353" t="s">
        <v>805</v>
      </c>
      <c r="M62" s="352" t="s">
        <v>798</v>
      </c>
      <c r="N62" s="352" t="s">
        <v>799</v>
      </c>
      <c r="O62" s="352" t="s">
        <v>800</v>
      </c>
      <c r="P62" s="353" t="s">
        <v>801</v>
      </c>
      <c r="Q62" s="353" t="s">
        <v>802</v>
      </c>
      <c r="R62" s="353" t="s">
        <v>803</v>
      </c>
      <c r="S62" s="353" t="s">
        <v>804</v>
      </c>
      <c r="T62" s="353" t="s">
        <v>805</v>
      </c>
    </row>
    <row r="63" spans="2:20" x14ac:dyDescent="0.25">
      <c r="B63" s="354">
        <v>1</v>
      </c>
      <c r="C63" s="355" t="s">
        <v>836</v>
      </c>
      <c r="D63" s="356" t="s">
        <v>807</v>
      </c>
      <c r="E63" s="357">
        <v>0</v>
      </c>
      <c r="F63" s="357">
        <f>$Y$5</f>
        <v>0</v>
      </c>
      <c r="G63" s="357">
        <f>$AR$5</f>
        <v>0</v>
      </c>
      <c r="H63" s="357">
        <f t="shared" ref="H63:H84" si="6">G63*SMA</f>
        <v>0</v>
      </c>
      <c r="I63" s="358">
        <f>IF(Theta&lt;55,0,IF(-F63*Ecc&lt;0,0,-F63*Ecc))</f>
        <v>0</v>
      </c>
      <c r="M63" s="354">
        <v>1</v>
      </c>
      <c r="N63" s="355" t="s">
        <v>836</v>
      </c>
      <c r="O63" s="356" t="s">
        <v>807</v>
      </c>
      <c r="P63" s="357">
        <v>0</v>
      </c>
      <c r="Q63" s="357">
        <f>$Y$8</f>
        <v>0</v>
      </c>
      <c r="R63" s="357">
        <f>$AR$8</f>
        <v>0</v>
      </c>
      <c r="S63" s="357">
        <f t="shared" ref="S63:S84" si="7">R63*SMA</f>
        <v>0</v>
      </c>
      <c r="T63" s="358">
        <f>-Q63*Ecc</f>
        <v>0</v>
      </c>
    </row>
    <row r="64" spans="2:20" x14ac:dyDescent="0.25">
      <c r="B64" s="359">
        <v>2</v>
      </c>
      <c r="C64" s="9" t="s">
        <v>844</v>
      </c>
      <c r="D64" s="209" t="s">
        <v>807</v>
      </c>
      <c r="E64" s="361">
        <v>0</v>
      </c>
      <c r="F64" s="361">
        <f>($Y$5)</f>
        <v>0</v>
      </c>
      <c r="G64" s="361">
        <f>$AR$5</f>
        <v>0</v>
      </c>
      <c r="H64" s="361">
        <f t="shared" si="6"/>
        <v>0</v>
      </c>
      <c r="I64" s="362">
        <f>IF(Theta&lt;55,0,IF(-F64*Ecc&lt;0,0,-F64*Ecc))</f>
        <v>0</v>
      </c>
      <c r="M64" s="359">
        <v>2</v>
      </c>
      <c r="N64" s="9" t="s">
        <v>844</v>
      </c>
      <c r="O64" s="209" t="s">
        <v>807</v>
      </c>
      <c r="P64" s="361">
        <v>0</v>
      </c>
      <c r="Q64" s="361">
        <f>($Y$8)</f>
        <v>0</v>
      </c>
      <c r="R64" s="361">
        <f>$AR$8</f>
        <v>0</v>
      </c>
      <c r="S64" s="361">
        <f t="shared" si="7"/>
        <v>0</v>
      </c>
      <c r="T64" s="362">
        <f>-Q64*Ecc</f>
        <v>0</v>
      </c>
    </row>
    <row r="65" spans="2:20" x14ac:dyDescent="0.25">
      <c r="B65" s="359">
        <v>3</v>
      </c>
      <c r="C65" s="9" t="s">
        <v>845</v>
      </c>
      <c r="D65" s="209" t="s">
        <v>807</v>
      </c>
      <c r="E65" s="361">
        <v>0</v>
      </c>
      <c r="F65" s="361">
        <f>($Y$5+0.7*$Z$5)</f>
        <v>0</v>
      </c>
      <c r="G65" s="361">
        <f>$AR$5+$AS$5*0.7</f>
        <v>0</v>
      </c>
      <c r="H65" s="361">
        <f t="shared" si="6"/>
        <v>0</v>
      </c>
      <c r="I65" s="362">
        <f>IF(Theta&lt;55,0,IF(-F65*Ecc&lt;0,0,-F65*Ecc))</f>
        <v>0</v>
      </c>
      <c r="M65" s="359">
        <v>3</v>
      </c>
      <c r="N65" s="9" t="s">
        <v>845</v>
      </c>
      <c r="O65" s="209" t="s">
        <v>807</v>
      </c>
      <c r="P65" s="361">
        <v>0</v>
      </c>
      <c r="Q65" s="361">
        <f>($Y$8+0.7*$Z$8)</f>
        <v>0</v>
      </c>
      <c r="R65" s="361">
        <f>$AR$8+$AS$8*0.7</f>
        <v>0</v>
      </c>
      <c r="S65" s="361">
        <f t="shared" si="7"/>
        <v>0</v>
      </c>
      <c r="T65" s="362">
        <f>-Q65*Ecc</f>
        <v>0</v>
      </c>
    </row>
    <row r="66" spans="2:20" x14ac:dyDescent="0.25">
      <c r="B66" s="359">
        <v>4</v>
      </c>
      <c r="C66" s="360" t="s">
        <v>846</v>
      </c>
      <c r="D66" s="209" t="s">
        <v>807</v>
      </c>
      <c r="E66" s="361">
        <v>0</v>
      </c>
      <c r="F66" s="361">
        <f>($Y$5+0.525*$Z$5)</f>
        <v>0</v>
      </c>
      <c r="G66" s="361">
        <f>$AR$5+$AS$5*0.525</f>
        <v>0</v>
      </c>
      <c r="H66" s="361">
        <f t="shared" si="6"/>
        <v>0</v>
      </c>
      <c r="I66" s="362">
        <f>IF(Theta&lt;55,0,IF(-F66*Ecc&lt;0,0,-F66*Ecc))</f>
        <v>0</v>
      </c>
      <c r="M66" s="359">
        <v>4</v>
      </c>
      <c r="N66" s="360" t="s">
        <v>846</v>
      </c>
      <c r="O66" s="209" t="s">
        <v>807</v>
      </c>
      <c r="P66" s="361">
        <v>0</v>
      </c>
      <c r="Q66" s="361">
        <f>($Y$8+0.525*$Z$8)</f>
        <v>0</v>
      </c>
      <c r="R66" s="361">
        <f>$AR$8+$AS$8*0.525</f>
        <v>0</v>
      </c>
      <c r="S66" s="361">
        <f t="shared" si="7"/>
        <v>0</v>
      </c>
      <c r="T66" s="362">
        <f>-Q66*Ecc</f>
        <v>0</v>
      </c>
    </row>
    <row r="67" spans="2:20" x14ac:dyDescent="0.25">
      <c r="B67" s="359">
        <v>5</v>
      </c>
      <c r="C67" s="360" t="s">
        <v>847</v>
      </c>
      <c r="D67" s="209" t="s">
        <v>807</v>
      </c>
      <c r="E67" s="361" t="e">
        <f ca="1">(0.6*$AL$5)+(0.6*$AA$5)</f>
        <v>#VALUE!</v>
      </c>
      <c r="F67" s="361" t="e">
        <f ca="1">($Y$5)+(0.6*($AN$5))</f>
        <v>#VALUE!</v>
      </c>
      <c r="G67" s="361">
        <f>$AR$5</f>
        <v>0</v>
      </c>
      <c r="H67" s="361">
        <f t="shared" si="6"/>
        <v>0</v>
      </c>
      <c r="I67" s="362" t="e">
        <f ca="1">IF(Theta&lt;55,0,IF(((0.6*$AP$5)-(F67*Ecc))&lt;0,0,(0.6*$AP$5)-(F67*Ecc)))</f>
        <v>#VALUE!</v>
      </c>
      <c r="M67" s="359">
        <v>5</v>
      </c>
      <c r="N67" s="360" t="s">
        <v>847</v>
      </c>
      <c r="O67" s="209" t="s">
        <v>807</v>
      </c>
      <c r="P67" s="361" t="e">
        <f ca="1">(0.6*$AL$8)+(0.6*$AA$8)</f>
        <v>#VALUE!</v>
      </c>
      <c r="Q67" s="361" t="e">
        <f ca="1">($Y$8)+(0.6*($AN$8))</f>
        <v>#VALUE!</v>
      </c>
      <c r="R67" s="361">
        <f>$AR$8</f>
        <v>0</v>
      </c>
      <c r="S67" s="361">
        <f t="shared" si="7"/>
        <v>0</v>
      </c>
      <c r="T67" s="362" t="e">
        <f ca="1">(0.6*$AP$8)-(Q67*Ecc)</f>
        <v>#VALUE!</v>
      </c>
    </row>
    <row r="68" spans="2:20" x14ac:dyDescent="0.25">
      <c r="B68" s="359">
        <v>6</v>
      </c>
      <c r="C68" s="360" t="s">
        <v>848</v>
      </c>
      <c r="D68" s="209" t="s">
        <v>807</v>
      </c>
      <c r="E68" s="361" t="e">
        <f ca="1">(0.6*$AK$5)+(0.6*$AA$5)</f>
        <v>#VALUE!</v>
      </c>
      <c r="F68" s="361" t="e">
        <f ca="1">($Y$5)+(0.6*$AM$5)</f>
        <v>#VALUE!</v>
      </c>
      <c r="G68" s="361">
        <f>$AR$5</f>
        <v>0</v>
      </c>
      <c r="H68" s="361">
        <f t="shared" si="6"/>
        <v>0</v>
      </c>
      <c r="I68" s="362" t="e">
        <f ca="1">IF(Theta&lt;55,0,IF(((0.6*$AO$5)-(F68*Ecc))&lt;0,0,((0.6*$AO$5)-(F68*Ecc))))</f>
        <v>#VALUE!</v>
      </c>
      <c r="M68" s="359">
        <v>6</v>
      </c>
      <c r="N68" s="360" t="s">
        <v>848</v>
      </c>
      <c r="O68" s="209" t="s">
        <v>807</v>
      </c>
      <c r="P68" s="361" t="e">
        <f ca="1">(0.6*$AK$8)+(0.6*$AA$8)</f>
        <v>#VALUE!</v>
      </c>
      <c r="Q68" s="361" t="e">
        <f ca="1">($Y$8)+(0.6*$AM$8)</f>
        <v>#VALUE!</v>
      </c>
      <c r="R68" s="361">
        <f>$AR$8</f>
        <v>0</v>
      </c>
      <c r="S68" s="361">
        <f t="shared" si="7"/>
        <v>0</v>
      </c>
      <c r="T68" s="362" t="e">
        <f ca="1">(0.6*$AO$8)-(Q68*Ecc)</f>
        <v>#VALUE!</v>
      </c>
    </row>
    <row r="69" spans="2:20" x14ac:dyDescent="0.25">
      <c r="B69" s="359">
        <v>7</v>
      </c>
      <c r="C69" s="360" t="s">
        <v>849</v>
      </c>
      <c r="D69" s="209" t="s">
        <v>807</v>
      </c>
      <c r="E69" s="361" t="e">
        <f ca="1">+(0.45*($AL$5+$AA$5))</f>
        <v>#VALUE!</v>
      </c>
      <c r="F69" s="361" t="e">
        <f ca="1">($Y$5)+(0.45*$AN$5)+(0.525*$Z$5)</f>
        <v>#VALUE!</v>
      </c>
      <c r="G69" s="361">
        <f>$AR$5+0.525*$AS$5</f>
        <v>0</v>
      </c>
      <c r="H69" s="361">
        <f t="shared" si="6"/>
        <v>0</v>
      </c>
      <c r="I69" s="362" t="e">
        <f ca="1">IF(Theta&lt;55,0,IF(((0.45*$AP$5)-(F69*Ecc))&lt;0,0,((0.45*$AP$5)-(F69*Ecc))))</f>
        <v>#VALUE!</v>
      </c>
      <c r="M69" s="359">
        <v>7</v>
      </c>
      <c r="N69" s="360" t="s">
        <v>849</v>
      </c>
      <c r="O69" s="209" t="s">
        <v>807</v>
      </c>
      <c r="P69" s="361" t="e">
        <f ca="1">+(0.45*($AL$8+$AA$8))</f>
        <v>#VALUE!</v>
      </c>
      <c r="Q69" s="361" t="e">
        <f ca="1">($Y$8)+(0.45*$AN$8)+(0.525*$Z$8)</f>
        <v>#VALUE!</v>
      </c>
      <c r="R69" s="361">
        <f>$AR$8+0.525*$AS$8</f>
        <v>0</v>
      </c>
      <c r="S69" s="361">
        <f t="shared" si="7"/>
        <v>0</v>
      </c>
      <c r="T69" s="362" t="e">
        <f ca="1">(0.45*$AP$8)-(Q69*Ecc)</f>
        <v>#VALUE!</v>
      </c>
    </row>
    <row r="70" spans="2:20" x14ac:dyDescent="0.25">
      <c r="B70" s="359">
        <v>8</v>
      </c>
      <c r="C70" s="360" t="s">
        <v>850</v>
      </c>
      <c r="D70" s="209" t="s">
        <v>807</v>
      </c>
      <c r="E70" s="361" t="e">
        <f ca="1">(0.45*($AA$5+$AK$5))</f>
        <v>#VALUE!</v>
      </c>
      <c r="F70" s="361" t="e">
        <f ca="1">($Y$5)+(0.45*$AM$5)+(0.525*$Z$5)</f>
        <v>#VALUE!</v>
      </c>
      <c r="G70" s="361">
        <f>$AR$5+0.525*$AS$5</f>
        <v>0</v>
      </c>
      <c r="H70" s="361">
        <f t="shared" si="6"/>
        <v>0</v>
      </c>
      <c r="I70" s="362" t="e">
        <f ca="1">IF(Theta&lt;55,0,IF(((0.45*$AO$5)-(F70*Ecc))&lt;0,0,((0.45*$AO$5)-(F70*Ecc))))</f>
        <v>#VALUE!</v>
      </c>
      <c r="M70" s="359">
        <v>8</v>
      </c>
      <c r="N70" s="360" t="s">
        <v>850</v>
      </c>
      <c r="O70" s="209" t="s">
        <v>807</v>
      </c>
      <c r="P70" s="361" t="e">
        <f ca="1">(0.45*($AA$8+$AK$8))</f>
        <v>#VALUE!</v>
      </c>
      <c r="Q70" s="361" t="e">
        <f ca="1">($Y$8)+(0.45*$AM$8)+(0.525*$Z$8)</f>
        <v>#VALUE!</v>
      </c>
      <c r="R70" s="361">
        <f>$AR$8+0.525*$AS$8</f>
        <v>0</v>
      </c>
      <c r="S70" s="361">
        <f t="shared" si="7"/>
        <v>0</v>
      </c>
      <c r="T70" s="362" t="e">
        <f ca="1">(0.45*$AO$8)-(Q70*Ecc)</f>
        <v>#VALUE!</v>
      </c>
    </row>
    <row r="71" spans="2:20" x14ac:dyDescent="0.25">
      <c r="B71" s="359">
        <v>9</v>
      </c>
      <c r="C71" s="360" t="s">
        <v>851</v>
      </c>
      <c r="D71" s="209" t="s">
        <v>807</v>
      </c>
      <c r="E71" s="361" t="e">
        <f ca="1">(0.6*($AA$5+$AL$5))</f>
        <v>#VALUE!</v>
      </c>
      <c r="F71" s="361" t="e">
        <f ca="1">(0.6*$Y$5)+($AN$5*0.6)</f>
        <v>#VALUE!</v>
      </c>
      <c r="G71" s="361">
        <f>$AR$5*0.6</f>
        <v>0</v>
      </c>
      <c r="H71" s="361">
        <f t="shared" si="6"/>
        <v>0</v>
      </c>
      <c r="I71" s="362" t="e">
        <f ca="1">IF(Theta&lt;55,0,IF(((0.6*$AP$5)-(F71*Ecc))&lt;0,0,((0.6*$AP$5)-(F71*Ecc))))</f>
        <v>#VALUE!</v>
      </c>
      <c r="M71" s="359">
        <v>9</v>
      </c>
      <c r="N71" s="360" t="s">
        <v>851</v>
      </c>
      <c r="O71" s="209" t="s">
        <v>807</v>
      </c>
      <c r="P71" s="361" t="e">
        <f ca="1">(0.6*($AA$8+$AL$8))</f>
        <v>#VALUE!</v>
      </c>
      <c r="Q71" s="361" t="e">
        <f ca="1">(0.6*$Y$8)+($AN$8*0.6)</f>
        <v>#VALUE!</v>
      </c>
      <c r="R71" s="361">
        <f>$AR$8*0.6</f>
        <v>0</v>
      </c>
      <c r="S71" s="361">
        <f t="shared" si="7"/>
        <v>0</v>
      </c>
      <c r="T71" s="362" t="e">
        <f ca="1">(0.6*$AP$8)-(Q71*Ecc)</f>
        <v>#VALUE!</v>
      </c>
    </row>
    <row r="72" spans="2:20" x14ac:dyDescent="0.25">
      <c r="B72" s="359">
        <v>10</v>
      </c>
      <c r="C72" s="360" t="s">
        <v>852</v>
      </c>
      <c r="D72" s="209" t="s">
        <v>807</v>
      </c>
      <c r="E72" s="361" t="e">
        <f ca="1">(0.6*($AA$5+$AK$5))</f>
        <v>#VALUE!</v>
      </c>
      <c r="F72" s="361" t="e">
        <f ca="1">(0.6*$Y$5)+(0.6*$AM$5)</f>
        <v>#VALUE!</v>
      </c>
      <c r="G72" s="361">
        <f>$AR$5*0.6</f>
        <v>0</v>
      </c>
      <c r="H72" s="361">
        <f t="shared" si="6"/>
        <v>0</v>
      </c>
      <c r="I72" s="362" t="e">
        <f ca="1">IF(Theta&lt;55,0,IF(((0.6*$AO$5)-(F72*Ecc))&lt;0,0,((0.6*$AO$5)-(F72*Ecc))))</f>
        <v>#VALUE!</v>
      </c>
      <c r="M72" s="359">
        <v>10</v>
      </c>
      <c r="N72" s="360" t="s">
        <v>852</v>
      </c>
      <c r="O72" s="209" t="s">
        <v>807</v>
      </c>
      <c r="P72" s="361" t="e">
        <f ca="1">(0.6*($AA$8+$AK$8))</f>
        <v>#VALUE!</v>
      </c>
      <c r="Q72" s="361" t="e">
        <f ca="1">(0.6*$Y$8)+(0.6*$AM$8)</f>
        <v>#VALUE!</v>
      </c>
      <c r="R72" s="361">
        <f>$AR$8*0.6</f>
        <v>0</v>
      </c>
      <c r="S72" s="361">
        <f t="shared" si="7"/>
        <v>0</v>
      </c>
      <c r="T72" s="362" t="e">
        <f ca="1">(0.6*$AO$8)-(Q72*Ecc)</f>
        <v>#VALUE!</v>
      </c>
    </row>
    <row r="73" spans="2:20" x14ac:dyDescent="0.25">
      <c r="B73" s="359">
        <v>11</v>
      </c>
      <c r="C73" s="360" t="s">
        <v>853</v>
      </c>
      <c r="D73" s="209" t="s">
        <v>807</v>
      </c>
      <c r="E73" s="361">
        <f>(0.7*$AB$5)</f>
        <v>0</v>
      </c>
      <c r="F73" s="361">
        <f>($Y$5)+0.7*$AT$5</f>
        <v>0</v>
      </c>
      <c r="G73" s="361">
        <f>$AR$5</f>
        <v>0</v>
      </c>
      <c r="H73" s="361">
        <f t="shared" si="6"/>
        <v>0</v>
      </c>
      <c r="I73" s="362">
        <f>IF(Theta&lt;55,0,IF(((0.7*$AQ$5)-(F73*Ecc))&lt;0,0,((0.7*$AQ$5)-(F73*Ecc))))</f>
        <v>0</v>
      </c>
      <c r="M73" s="359">
        <v>11</v>
      </c>
      <c r="N73" s="360" t="s">
        <v>853</v>
      </c>
      <c r="O73" s="209" t="s">
        <v>807</v>
      </c>
      <c r="P73" s="361">
        <f>(0.7*$AB$8)</f>
        <v>0</v>
      </c>
      <c r="Q73" s="361">
        <f>($Y$8)+0.7*$AT$8</f>
        <v>0</v>
      </c>
      <c r="R73" s="361">
        <f>$AR$8</f>
        <v>0</v>
      </c>
      <c r="S73" s="361">
        <f t="shared" si="7"/>
        <v>0</v>
      </c>
      <c r="T73" s="362">
        <f>(0.7*$AQ$8)-(Q73*Ecc)</f>
        <v>0</v>
      </c>
    </row>
    <row r="74" spans="2:20" x14ac:dyDescent="0.25">
      <c r="B74" s="359">
        <v>12</v>
      </c>
      <c r="C74" s="360" t="s">
        <v>854</v>
      </c>
      <c r="D74" s="209" t="s">
        <v>807</v>
      </c>
      <c r="E74" s="361">
        <f>-(0.7*$AB$5)</f>
        <v>0</v>
      </c>
      <c r="F74" s="361">
        <f>$Y$5-0.7*$AT$5</f>
        <v>0</v>
      </c>
      <c r="G74" s="361">
        <f>$AR$5</f>
        <v>0</v>
      </c>
      <c r="H74" s="361">
        <f t="shared" si="6"/>
        <v>0</v>
      </c>
      <c r="I74" s="362">
        <f>IF(Theta&lt;55,0,IF(((-0.7*$AQ$5)-(F74*Ecc))&lt;0,0,((-0.7*$AQ$5)-(F74*Ecc))))</f>
        <v>0</v>
      </c>
      <c r="M74" s="359">
        <v>12</v>
      </c>
      <c r="N74" s="360" t="s">
        <v>854</v>
      </c>
      <c r="O74" s="209" t="s">
        <v>807</v>
      </c>
      <c r="P74" s="361">
        <f>-(0.7*$AB$8)</f>
        <v>0</v>
      </c>
      <c r="Q74" s="361">
        <f>$Y$8-0.7*$AT$8</f>
        <v>0</v>
      </c>
      <c r="R74" s="361">
        <f>$AR$8</f>
        <v>0</v>
      </c>
      <c r="S74" s="361">
        <f t="shared" si="7"/>
        <v>0</v>
      </c>
      <c r="T74" s="362">
        <f>(-0.7*$AQ$8)-(Q74*Ecc)</f>
        <v>0</v>
      </c>
    </row>
    <row r="75" spans="2:20" x14ac:dyDescent="0.25">
      <c r="B75" s="359">
        <v>13</v>
      </c>
      <c r="C75" s="360" t="s">
        <v>855</v>
      </c>
      <c r="D75" s="209" t="s">
        <v>807</v>
      </c>
      <c r="E75" s="361">
        <v>0</v>
      </c>
      <c r="F75" s="361">
        <f>$Y$5+0.7*$AT$5</f>
        <v>0</v>
      </c>
      <c r="G75" s="361">
        <f>0.7*$AC$5+$AR$5</f>
        <v>0</v>
      </c>
      <c r="H75" s="361">
        <f t="shared" si="6"/>
        <v>0</v>
      </c>
      <c r="I75" s="362">
        <f>IF(Theta&lt;55,0,IF(-F75*Ecc&lt;0,0,-F75*Ecc))</f>
        <v>0</v>
      </c>
      <c r="M75" s="359">
        <v>13</v>
      </c>
      <c r="N75" s="360" t="s">
        <v>855</v>
      </c>
      <c r="O75" s="209" t="s">
        <v>807</v>
      </c>
      <c r="P75" s="361">
        <v>0</v>
      </c>
      <c r="Q75" s="361">
        <f>$Y$8+0.7*$AT$8</f>
        <v>0</v>
      </c>
      <c r="R75" s="361">
        <f>0.7*$AC$8+$AR$8</f>
        <v>0</v>
      </c>
      <c r="S75" s="361">
        <f t="shared" si="7"/>
        <v>0</v>
      </c>
      <c r="T75" s="362">
        <f>-Q75*Ecc</f>
        <v>0</v>
      </c>
    </row>
    <row r="76" spans="2:20" x14ac:dyDescent="0.25">
      <c r="B76" s="359">
        <v>14</v>
      </c>
      <c r="C76" s="360" t="s">
        <v>856</v>
      </c>
      <c r="D76" s="209" t="s">
        <v>807</v>
      </c>
      <c r="E76" s="361">
        <v>0</v>
      </c>
      <c r="F76" s="361">
        <f>$Y$5-0.7*$AT$5</f>
        <v>0</v>
      </c>
      <c r="G76" s="361">
        <f>-0.7*$AC$5+$AR$5</f>
        <v>0</v>
      </c>
      <c r="H76" s="361">
        <f t="shared" si="6"/>
        <v>0</v>
      </c>
      <c r="I76" s="362">
        <f>IF(Theta&lt;55,0,IF(-F76*Ecc&lt;0,0,-F76*Ecc))</f>
        <v>0</v>
      </c>
      <c r="M76" s="359">
        <v>14</v>
      </c>
      <c r="N76" s="360" t="s">
        <v>856</v>
      </c>
      <c r="O76" s="209" t="s">
        <v>807</v>
      </c>
      <c r="P76" s="361">
        <v>0</v>
      </c>
      <c r="Q76" s="361">
        <f>$Y$8-0.7*$AT$8</f>
        <v>0</v>
      </c>
      <c r="R76" s="361">
        <f>-0.7*$AC$8+$AR$8</f>
        <v>0</v>
      </c>
      <c r="S76" s="361">
        <f t="shared" si="7"/>
        <v>0</v>
      </c>
      <c r="T76" s="362">
        <f>-Q76*Ecc</f>
        <v>0</v>
      </c>
    </row>
    <row r="77" spans="2:20" x14ac:dyDescent="0.25">
      <c r="B77" s="359">
        <v>15</v>
      </c>
      <c r="C77" s="360" t="s">
        <v>857</v>
      </c>
      <c r="D77" s="209" t="s">
        <v>807</v>
      </c>
      <c r="E77" s="361">
        <f>(0.525*$AB$5)</f>
        <v>0</v>
      </c>
      <c r="F77" s="361">
        <f>($Y$5)+(0.1*$Z$5)+0.525*$AT$5</f>
        <v>0</v>
      </c>
      <c r="G77" s="361">
        <f>$AR$5+0.1*$AS$5</f>
        <v>0</v>
      </c>
      <c r="H77" s="361">
        <f t="shared" si="6"/>
        <v>0</v>
      </c>
      <c r="I77" s="362">
        <f>IF(Theta&lt;55,0,IF(((0.525*$AQ$5)-(F77*Ecc))&lt;0,0,((0.525*$AQ$5)-(F77*Ecc))))</f>
        <v>0</v>
      </c>
      <c r="M77" s="359">
        <v>15</v>
      </c>
      <c r="N77" s="360" t="s">
        <v>857</v>
      </c>
      <c r="O77" s="209" t="s">
        <v>807</v>
      </c>
      <c r="P77" s="361">
        <f>(0.525*$AB$8)</f>
        <v>0</v>
      </c>
      <c r="Q77" s="361">
        <f>($Y$8)+(0.1*$Z$8)+0.525*$AT$8</f>
        <v>0</v>
      </c>
      <c r="R77" s="361">
        <f>$AR$8+0.1*$AS$8</f>
        <v>0</v>
      </c>
      <c r="S77" s="361">
        <f t="shared" si="7"/>
        <v>0</v>
      </c>
      <c r="T77" s="362">
        <f>(0.525*$AQ$8)-(Q77*Ecc)</f>
        <v>0</v>
      </c>
    </row>
    <row r="78" spans="2:20" x14ac:dyDescent="0.25">
      <c r="B78" s="359">
        <v>16</v>
      </c>
      <c r="C78" s="360" t="s">
        <v>858</v>
      </c>
      <c r="D78" s="209" t="s">
        <v>807</v>
      </c>
      <c r="E78" s="361">
        <f>-(0.525*$AB$5)</f>
        <v>0</v>
      </c>
      <c r="F78" s="361">
        <f>($Y$5)+(0.1*$Z$5)-0.525*$AT$5</f>
        <v>0</v>
      </c>
      <c r="G78" s="361">
        <f>$AR$5+0.1*$AS$5</f>
        <v>0</v>
      </c>
      <c r="H78" s="361">
        <f t="shared" si="6"/>
        <v>0</v>
      </c>
      <c r="I78" s="362">
        <f>IF(Theta&lt;55,0,IF(((-0.525*$AQ$5)-(F78*Ecc))&lt;0,0,((-0.525*$AQ$5)-(F78*Ecc))))</f>
        <v>0</v>
      </c>
      <c r="M78" s="359">
        <v>16</v>
      </c>
      <c r="N78" s="360" t="s">
        <v>858</v>
      </c>
      <c r="O78" s="209" t="s">
        <v>807</v>
      </c>
      <c r="P78" s="361">
        <f>-(0.525*$AB$8)</f>
        <v>0</v>
      </c>
      <c r="Q78" s="361">
        <f>($Y$8)+(0.1*$Z$8)-0.525*$AT$8</f>
        <v>0</v>
      </c>
      <c r="R78" s="361">
        <f>$AR$8+0.1*$AS$8</f>
        <v>0</v>
      </c>
      <c r="S78" s="361">
        <f t="shared" si="7"/>
        <v>0</v>
      </c>
      <c r="T78" s="362">
        <f>(-0.525*$AQ$8)-(Q78*Ecc)</f>
        <v>0</v>
      </c>
    </row>
    <row r="79" spans="2:20" x14ac:dyDescent="0.25">
      <c r="B79" s="359">
        <v>17</v>
      </c>
      <c r="C79" s="360" t="s">
        <v>859</v>
      </c>
      <c r="D79" s="209" t="s">
        <v>807</v>
      </c>
      <c r="E79" s="361">
        <v>0</v>
      </c>
      <c r="F79" s="361">
        <f>($Y$5)+(0.1*$Z$5)+0.525*$AT$5</f>
        <v>0</v>
      </c>
      <c r="G79" s="361">
        <f>0.525*$AC$5+$AR$5+0.1*$AS$5</f>
        <v>0</v>
      </c>
      <c r="H79" s="361">
        <f t="shared" si="6"/>
        <v>0</v>
      </c>
      <c r="I79" s="362">
        <f>IF(Theta&lt;55,0,IF(-F79*Ecc&lt;0,0,-F79*Ecc))</f>
        <v>0</v>
      </c>
      <c r="M79" s="359">
        <v>17</v>
      </c>
      <c r="N79" s="360" t="s">
        <v>859</v>
      </c>
      <c r="O79" s="209" t="s">
        <v>807</v>
      </c>
      <c r="P79" s="361">
        <v>0</v>
      </c>
      <c r="Q79" s="361">
        <f>($Y$8)+(0.1*$Z$8)+0.525*$AT$8</f>
        <v>0</v>
      </c>
      <c r="R79" s="361">
        <f>0.525*$AC$8+$AR$8+0.1*$AS$8</f>
        <v>0</v>
      </c>
      <c r="S79" s="361">
        <f t="shared" si="7"/>
        <v>0</v>
      </c>
      <c r="T79" s="362">
        <f>-Q79*Ecc</f>
        <v>0</v>
      </c>
    </row>
    <row r="80" spans="2:20" x14ac:dyDescent="0.25">
      <c r="B80" s="359">
        <v>18</v>
      </c>
      <c r="C80" s="360" t="s">
        <v>860</v>
      </c>
      <c r="D80" s="209" t="s">
        <v>807</v>
      </c>
      <c r="E80" s="361">
        <v>0</v>
      </c>
      <c r="F80" s="361">
        <f>($Y$5)+(0.1*$Z$5)-0.525*$AT$5</f>
        <v>0</v>
      </c>
      <c r="G80" s="361">
        <f>-0.525*$AC$5+$AR$5+0.1*$AS$5</f>
        <v>0</v>
      </c>
      <c r="H80" s="361">
        <f t="shared" si="6"/>
        <v>0</v>
      </c>
      <c r="I80" s="362">
        <f>IF(Theta&lt;55,0,IF(-F80*Ecc&lt;0,0,-F80*Ecc))</f>
        <v>0</v>
      </c>
      <c r="M80" s="359">
        <v>18</v>
      </c>
      <c r="N80" s="360" t="s">
        <v>860</v>
      </c>
      <c r="O80" s="209" t="s">
        <v>807</v>
      </c>
      <c r="P80" s="361">
        <v>0</v>
      </c>
      <c r="Q80" s="361">
        <f>($Y$8)+(0.1*$Z$8)-0.525*$AT$8</f>
        <v>0</v>
      </c>
      <c r="R80" s="361">
        <f>-0.525*$AC$8+$AR$8+0.1*$AS$8</f>
        <v>0</v>
      </c>
      <c r="S80" s="361">
        <f t="shared" si="7"/>
        <v>0</v>
      </c>
      <c r="T80" s="362">
        <f>-Q80*Ecc</f>
        <v>0</v>
      </c>
    </row>
    <row r="81" spans="1:20" x14ac:dyDescent="0.25">
      <c r="B81" s="359">
        <v>19</v>
      </c>
      <c r="C81" s="360" t="s">
        <v>861</v>
      </c>
      <c r="D81" s="209" t="s">
        <v>807</v>
      </c>
      <c r="E81" s="361">
        <f>(0.7*$AB$5)</f>
        <v>0</v>
      </c>
      <c r="F81" s="361">
        <f>($Y$5)*0.6+0.7*$AT$5</f>
        <v>0</v>
      </c>
      <c r="G81" s="361">
        <f>$AR$5*0.6</f>
        <v>0</v>
      </c>
      <c r="H81" s="361">
        <f t="shared" si="6"/>
        <v>0</v>
      </c>
      <c r="I81" s="362">
        <f>IF(Theta&lt;55,0,IF(((0.7*$AQ$5)-(F81*Ecc))&lt;0,0,((0.7*$AQ$5)-(F81*Ecc))))</f>
        <v>0</v>
      </c>
      <c r="M81" s="359">
        <v>19</v>
      </c>
      <c r="N81" s="360" t="s">
        <v>861</v>
      </c>
      <c r="O81" s="209" t="s">
        <v>807</v>
      </c>
      <c r="P81" s="361">
        <f>(0.7*$AB$8)</f>
        <v>0</v>
      </c>
      <c r="Q81" s="361">
        <f>($Y$8)*0.6+0.7*$AT$8</f>
        <v>0</v>
      </c>
      <c r="R81" s="361">
        <f>$AR$8*0.6</f>
        <v>0</v>
      </c>
      <c r="S81" s="361">
        <f t="shared" si="7"/>
        <v>0</v>
      </c>
      <c r="T81" s="362">
        <f>(0.7*$AQ$8)-(Q81*Ecc)</f>
        <v>0</v>
      </c>
    </row>
    <row r="82" spans="1:20" x14ac:dyDescent="0.25">
      <c r="B82" s="359">
        <v>20</v>
      </c>
      <c r="C82" s="360" t="s">
        <v>862</v>
      </c>
      <c r="D82" s="209" t="s">
        <v>807</v>
      </c>
      <c r="E82" s="361">
        <f>-(0.7*$AB$5)</f>
        <v>0</v>
      </c>
      <c r="F82" s="361">
        <f>0.6*$Y$5-0.7*$AT$5</f>
        <v>0</v>
      </c>
      <c r="G82" s="361">
        <f>$AR$5*0.6</f>
        <v>0</v>
      </c>
      <c r="H82" s="361">
        <f t="shared" si="6"/>
        <v>0</v>
      </c>
      <c r="I82" s="362">
        <f>IF(Theta&lt;55,0,IF(((-0.7*$AQ$5)-(F82*Ecc))&lt;0,0,((-0.7*$AQ$5)-(F82*Ecc))))</f>
        <v>0</v>
      </c>
      <c r="M82" s="359">
        <v>20</v>
      </c>
      <c r="N82" s="360" t="s">
        <v>862</v>
      </c>
      <c r="O82" s="209" t="s">
        <v>807</v>
      </c>
      <c r="P82" s="361">
        <f>-(0.7*$AB$8)</f>
        <v>0</v>
      </c>
      <c r="Q82" s="361">
        <f>0.6*$Y$8-0.7*$AT$8</f>
        <v>0</v>
      </c>
      <c r="R82" s="361">
        <f>$AR$8*0.6</f>
        <v>0</v>
      </c>
      <c r="S82" s="361">
        <f t="shared" si="7"/>
        <v>0</v>
      </c>
      <c r="T82" s="362">
        <f>(-0.7*$AQ$8)-(Q82*Ecc)</f>
        <v>0</v>
      </c>
    </row>
    <row r="83" spans="1:20" x14ac:dyDescent="0.25">
      <c r="B83" s="359">
        <v>21</v>
      </c>
      <c r="C83" s="360" t="s">
        <v>863</v>
      </c>
      <c r="D83" s="209" t="s">
        <v>807</v>
      </c>
      <c r="E83" s="361">
        <v>0</v>
      </c>
      <c r="F83" s="361">
        <f>(0.6*$Y$5)+0.7*$AT$5</f>
        <v>0</v>
      </c>
      <c r="G83" s="361">
        <f>0.7*$AC$5+$AR$5*0.6</f>
        <v>0</v>
      </c>
      <c r="H83" s="361">
        <f t="shared" si="6"/>
        <v>0</v>
      </c>
      <c r="I83" s="362">
        <f>IF(Theta&lt;55,0,IF(-F83*Ecc&lt;0,0,-F83*Ecc))</f>
        <v>0</v>
      </c>
      <c r="M83" s="359">
        <v>21</v>
      </c>
      <c r="N83" s="360" t="s">
        <v>863</v>
      </c>
      <c r="O83" s="209" t="s">
        <v>807</v>
      </c>
      <c r="P83" s="361">
        <v>0</v>
      </c>
      <c r="Q83" s="361">
        <f>(0.6*$Y$8)+0.7*$AT$8</f>
        <v>0</v>
      </c>
      <c r="R83" s="361">
        <f>0.7*$AC$8+$AR$8*0.6</f>
        <v>0</v>
      </c>
      <c r="S83" s="361">
        <f t="shared" si="7"/>
        <v>0</v>
      </c>
      <c r="T83" s="362">
        <f>-Q83*Ecc</f>
        <v>0</v>
      </c>
    </row>
    <row r="84" spans="1:20" ht="15.75" customHeight="1" thickBot="1" x14ac:dyDescent="0.3">
      <c r="B84" s="363">
        <v>22</v>
      </c>
      <c r="C84" s="364" t="s">
        <v>864</v>
      </c>
      <c r="D84" s="365" t="s">
        <v>807</v>
      </c>
      <c r="E84" s="366">
        <v>0</v>
      </c>
      <c r="F84" s="366">
        <f>(0.6*$Y$5)-0.7*$AT$5</f>
        <v>0</v>
      </c>
      <c r="G84" s="366">
        <f>-0.7*$AC$5+$AR$5*0.6</f>
        <v>0</v>
      </c>
      <c r="H84" s="366">
        <f t="shared" si="6"/>
        <v>0</v>
      </c>
      <c r="I84" s="367">
        <f>IF(Theta&lt;55,0,IF(-F84*Ecc&lt;0,0,-F84*Ecc))</f>
        <v>0</v>
      </c>
      <c r="M84" s="363">
        <v>22</v>
      </c>
      <c r="N84" s="364" t="s">
        <v>864</v>
      </c>
      <c r="O84" s="365" t="s">
        <v>807</v>
      </c>
      <c r="P84" s="366">
        <v>0</v>
      </c>
      <c r="Q84" s="366">
        <f>(0.6*$Y$8)-0.7*$AT$8</f>
        <v>0</v>
      </c>
      <c r="R84" s="366">
        <f>-0.7*$AC$8+$AR$8*0.6</f>
        <v>0</v>
      </c>
      <c r="S84" s="366">
        <f t="shared" si="7"/>
        <v>0</v>
      </c>
      <c r="T84" s="367">
        <f>-Q84*Ecc</f>
        <v>0</v>
      </c>
    </row>
    <row r="85" spans="1:20" x14ac:dyDescent="0.25">
      <c r="B85" s="368" t="s">
        <v>865</v>
      </c>
      <c r="C85" s="369" t="s">
        <v>866</v>
      </c>
      <c r="M85" s="368" t="s">
        <v>865</v>
      </c>
      <c r="N85" s="369" t="s">
        <v>866</v>
      </c>
    </row>
    <row r="86" spans="1:20" x14ac:dyDescent="0.25">
      <c r="B86" s="368" t="s">
        <v>836</v>
      </c>
      <c r="C86" s="369" t="s">
        <v>837</v>
      </c>
      <c r="M86" s="368" t="s">
        <v>836</v>
      </c>
      <c r="N86" s="369" t="s">
        <v>837</v>
      </c>
    </row>
    <row r="87" spans="1:20" x14ac:dyDescent="0.25">
      <c r="B87" s="368" t="s">
        <v>838</v>
      </c>
      <c r="C87" s="369" t="s">
        <v>839</v>
      </c>
      <c r="M87" s="368" t="s">
        <v>838</v>
      </c>
      <c r="N87" s="369" t="s">
        <v>839</v>
      </c>
    </row>
    <row r="88" spans="1:20" x14ac:dyDescent="0.25">
      <c r="A88" s="260"/>
      <c r="B88" s="368" t="s">
        <v>474</v>
      </c>
      <c r="C88" s="369" t="s">
        <v>840</v>
      </c>
      <c r="L88" s="260"/>
      <c r="M88" s="368" t="s">
        <v>474</v>
      </c>
      <c r="N88" s="369" t="s">
        <v>840</v>
      </c>
    </row>
    <row r="89" spans="1:20" x14ac:dyDescent="0.25">
      <c r="B89" s="368" t="s">
        <v>867</v>
      </c>
      <c r="C89" s="369" t="s">
        <v>868</v>
      </c>
      <c r="M89" s="368" t="s">
        <v>867</v>
      </c>
      <c r="N89" s="369" t="s">
        <v>868</v>
      </c>
    </row>
    <row r="90" spans="1:20" x14ac:dyDescent="0.25">
      <c r="B90" s="368" t="s">
        <v>266</v>
      </c>
      <c r="C90" s="369" t="s">
        <v>869</v>
      </c>
      <c r="M90" s="368" t="s">
        <v>266</v>
      </c>
      <c r="N90" s="369" t="s">
        <v>869</v>
      </c>
    </row>
    <row r="91" spans="1:20" x14ac:dyDescent="0.25">
      <c r="B91" s="368"/>
      <c r="C91" s="369"/>
      <c r="M91" s="368"/>
      <c r="N91" s="369"/>
    </row>
    <row r="92" spans="1:20" x14ac:dyDescent="0.25">
      <c r="B92" s="7"/>
      <c r="C92" s="77"/>
      <c r="D92" s="7"/>
      <c r="M92" s="7"/>
      <c r="N92" s="77"/>
      <c r="O92" s="7"/>
    </row>
    <row r="93" spans="1:20" x14ac:dyDescent="0.25">
      <c r="B93" s="7"/>
      <c r="C93" s="77"/>
      <c r="D93" s="7"/>
      <c r="E93" s="370"/>
      <c r="F93" s="370"/>
      <c r="G93" s="370"/>
      <c r="H93" s="370"/>
      <c r="I93" s="370"/>
      <c r="M93" s="7"/>
      <c r="N93" s="77"/>
      <c r="O93" s="7"/>
      <c r="P93" s="370"/>
      <c r="Q93" s="370"/>
      <c r="R93" s="370"/>
      <c r="S93" s="370"/>
      <c r="T93" s="370"/>
    </row>
    <row r="94" spans="1:20" x14ac:dyDescent="0.25">
      <c r="B94" s="7"/>
      <c r="C94" s="77"/>
      <c r="D94" s="7"/>
      <c r="E94" s="370"/>
      <c r="F94" s="370"/>
      <c r="G94" s="370"/>
      <c r="H94" s="370"/>
      <c r="I94" s="370"/>
      <c r="M94" s="7"/>
      <c r="N94" s="77"/>
      <c r="O94" s="7"/>
      <c r="P94" s="370"/>
      <c r="Q94" s="370"/>
      <c r="R94" s="370"/>
      <c r="S94" s="370"/>
      <c r="T94" s="370"/>
    </row>
    <row r="95" spans="1:20" x14ac:dyDescent="0.25">
      <c r="B95" s="7"/>
      <c r="C95" s="77"/>
      <c r="D95" s="7"/>
      <c r="E95" s="370"/>
      <c r="F95" s="370"/>
      <c r="G95" s="370"/>
      <c r="H95" s="370"/>
      <c r="I95" s="370"/>
      <c r="M95" s="7"/>
      <c r="N95" s="77"/>
      <c r="O95" s="7"/>
      <c r="P95" s="370"/>
      <c r="Q95" s="370"/>
      <c r="R95" s="370"/>
      <c r="S95" s="370"/>
      <c r="T95" s="370"/>
    </row>
    <row r="96" spans="1:20" x14ac:dyDescent="0.25">
      <c r="B96" s="7"/>
      <c r="C96" s="77"/>
      <c r="D96" s="7"/>
      <c r="E96" s="370"/>
      <c r="F96" s="370"/>
      <c r="G96" s="370"/>
      <c r="H96" s="370"/>
      <c r="I96" s="370"/>
      <c r="M96" s="7"/>
      <c r="N96" s="77"/>
      <c r="O96" s="7"/>
      <c r="P96" s="370"/>
      <c r="Q96" s="370"/>
      <c r="R96" s="370"/>
      <c r="S96" s="370"/>
      <c r="T96" s="370"/>
    </row>
    <row r="97" spans="2:20" x14ac:dyDescent="0.25">
      <c r="B97" s="7"/>
      <c r="C97" s="77"/>
      <c r="D97" s="7"/>
      <c r="E97" s="370"/>
      <c r="F97" s="370"/>
      <c r="G97" s="370"/>
      <c r="H97" s="370"/>
      <c r="I97" s="370"/>
      <c r="M97" s="7"/>
      <c r="N97" s="77"/>
      <c r="O97" s="7"/>
      <c r="P97" s="370"/>
      <c r="Q97" s="370"/>
      <c r="R97" s="370"/>
      <c r="S97" s="370"/>
      <c r="T97" s="370"/>
    </row>
    <row r="98" spans="2:20" x14ac:dyDescent="0.25">
      <c r="B98" s="7"/>
      <c r="C98" s="77"/>
      <c r="D98" s="7"/>
      <c r="E98" s="370"/>
      <c r="F98" s="370"/>
      <c r="G98" s="370"/>
      <c r="H98" s="370"/>
      <c r="I98" s="370"/>
      <c r="M98" s="7"/>
      <c r="N98" s="77"/>
      <c r="O98" s="7"/>
      <c r="P98" s="370"/>
      <c r="Q98" s="370"/>
      <c r="R98" s="370"/>
      <c r="S98" s="370"/>
      <c r="T98" s="370"/>
    </row>
    <row r="100" spans="2:20" ht="15.75" customHeight="1" x14ac:dyDescent="0.25">
      <c r="B100" s="345" t="s">
        <v>442</v>
      </c>
      <c r="C100" s="716" t="str">
        <f>$C$2</f>
        <v xml:space="preserve">Customer </v>
      </c>
      <c r="D100" s="554"/>
      <c r="E100" s="346"/>
      <c r="M100" s="345" t="s">
        <v>442</v>
      </c>
      <c r="N100" s="716" t="str">
        <f>$C$2</f>
        <v xml:space="preserve">Customer </v>
      </c>
      <c r="O100" s="554"/>
      <c r="P100" s="346"/>
    </row>
    <row r="101" spans="2:20" ht="15.75" customHeight="1" x14ac:dyDescent="0.25">
      <c r="B101" s="347" t="s">
        <v>443</v>
      </c>
      <c r="C101" s="713" t="str">
        <f>$C$3</f>
        <v xml:space="preserve">Project </v>
      </c>
      <c r="D101" s="556"/>
      <c r="E101" s="346"/>
      <c r="M101" s="347" t="s">
        <v>443</v>
      </c>
      <c r="N101" s="713" t="str">
        <f>$C$3</f>
        <v xml:space="preserve">Project </v>
      </c>
      <c r="O101" s="556"/>
      <c r="P101" s="346"/>
    </row>
    <row r="102" spans="2:20" ht="15.75" customHeight="1" x14ac:dyDescent="0.25">
      <c r="B102" s="347" t="s">
        <v>444</v>
      </c>
      <c r="C102" s="713" t="str">
        <f>$C$4</f>
        <v xml:space="preserve">City, State Zip </v>
      </c>
      <c r="D102" s="556"/>
      <c r="E102" s="346"/>
      <c r="M102" s="347" t="s">
        <v>444</v>
      </c>
      <c r="N102" s="713" t="str">
        <f>$C$4</f>
        <v xml:space="preserve">City, State Zip </v>
      </c>
      <c r="O102" s="556"/>
      <c r="P102" s="346"/>
    </row>
    <row r="103" spans="2:20" ht="16.5" customHeight="1" thickBot="1" x14ac:dyDescent="0.3">
      <c r="B103" s="347" t="s">
        <v>792</v>
      </c>
      <c r="C103" s="346" t="e">
        <f>$C$5</f>
        <v>#VALUE!</v>
      </c>
      <c r="D103" s="348"/>
      <c r="E103" s="346"/>
      <c r="M103" s="347" t="s">
        <v>792</v>
      </c>
      <c r="N103" s="346" t="e">
        <f>$C$5</f>
        <v>#VALUE!</v>
      </c>
      <c r="O103" s="348"/>
      <c r="P103" s="346"/>
    </row>
    <row r="104" spans="2:20" ht="15.75" customHeight="1" x14ac:dyDescent="0.25">
      <c r="B104" s="347" t="s">
        <v>793</v>
      </c>
      <c r="C104" s="710" t="str">
        <f>$C$6</f>
        <v>X/XX/XX - XXX</v>
      </c>
      <c r="D104" s="711"/>
      <c r="E104" s="349"/>
      <c r="F104" s="719" t="s">
        <v>1</v>
      </c>
      <c r="G104" s="548"/>
      <c r="M104" s="347" t="s">
        <v>793</v>
      </c>
      <c r="N104" s="710" t="str">
        <f>$C$6</f>
        <v>X/XX/XX - XXX</v>
      </c>
      <c r="O104" s="711"/>
      <c r="P104" s="349"/>
      <c r="Q104" s="709" t="s">
        <v>4</v>
      </c>
      <c r="R104" s="548"/>
    </row>
    <row r="105" spans="2:20" ht="16.5" customHeight="1" thickBot="1" x14ac:dyDescent="0.3">
      <c r="B105" s="350" t="s">
        <v>794</v>
      </c>
      <c r="C105" s="351" t="str">
        <f>$C$7</f>
        <v>TBD by Others</v>
      </c>
      <c r="D105" s="372"/>
      <c r="E105" s="349"/>
      <c r="F105" s="550"/>
      <c r="G105" s="552"/>
      <c r="M105" s="350" t="s">
        <v>794</v>
      </c>
      <c r="N105" s="351" t="str">
        <f>$C$7</f>
        <v>TBD by Others</v>
      </c>
      <c r="O105" s="372"/>
      <c r="P105" s="349"/>
      <c r="Q105" s="550"/>
      <c r="R105" s="552"/>
    </row>
    <row r="106" spans="2:20" ht="15.75" customHeight="1" x14ac:dyDescent="0.25">
      <c r="D106" s="371"/>
      <c r="E106" s="349"/>
      <c r="O106" s="371"/>
      <c r="P106" s="349"/>
    </row>
    <row r="107" spans="2:20" ht="15.75" customHeight="1" thickBot="1" x14ac:dyDescent="0.3"/>
    <row r="108" spans="2:20" x14ac:dyDescent="0.25">
      <c r="B108" s="715" t="str">
        <f>"Factored Post Reaction - IDLER @ "&amp;Inputs!$B$33&amp;" DEGREES"</f>
        <v>Factored Post Reaction - IDLER @ XX DEGREES</v>
      </c>
      <c r="C108" s="547"/>
      <c r="D108" s="547"/>
      <c r="E108" s="547"/>
      <c r="F108" s="547"/>
      <c r="G108" s="547"/>
      <c r="H108" s="547"/>
      <c r="I108" s="548"/>
      <c r="M108" s="715" t="str">
        <f>"Factored Post Reaction - IDLER @ "&amp;Inputs!$B$33&amp;" DEGREES"</f>
        <v>Factored Post Reaction - IDLER @ XX DEGREES</v>
      </c>
      <c r="N108" s="547"/>
      <c r="O108" s="547"/>
      <c r="P108" s="547"/>
      <c r="Q108" s="547"/>
      <c r="R108" s="547"/>
      <c r="S108" s="547"/>
      <c r="T108" s="548"/>
    </row>
    <row r="109" spans="2:20" ht="15.75" customHeight="1" thickBot="1" x14ac:dyDescent="0.3">
      <c r="B109" s="712" t="str">
        <f>B11</f>
        <v xml:space="preserve">Top of Pile Loads </v>
      </c>
      <c r="C109" s="551"/>
      <c r="D109" s="551"/>
      <c r="E109" s="551"/>
      <c r="F109" s="551"/>
      <c r="G109" s="551"/>
      <c r="H109" s="551"/>
      <c r="I109" s="552"/>
      <c r="M109" s="712" t="str">
        <f>B11</f>
        <v xml:space="preserve">Top of Pile Loads </v>
      </c>
      <c r="N109" s="551"/>
      <c r="O109" s="551"/>
      <c r="P109" s="551"/>
      <c r="Q109" s="551"/>
      <c r="R109" s="551"/>
      <c r="S109" s="551"/>
      <c r="T109" s="552"/>
    </row>
    <row r="110" spans="2:20" ht="60.75" customHeight="1" thickBot="1" x14ac:dyDescent="0.3">
      <c r="B110" s="352" t="s">
        <v>798</v>
      </c>
      <c r="C110" s="352" t="s">
        <v>799</v>
      </c>
      <c r="D110" s="352" t="s">
        <v>800</v>
      </c>
      <c r="E110" s="353" t="s">
        <v>801</v>
      </c>
      <c r="F110" s="353" t="s">
        <v>802</v>
      </c>
      <c r="G110" s="353" t="s">
        <v>803</v>
      </c>
      <c r="H110" s="353" t="s">
        <v>804</v>
      </c>
      <c r="I110" s="353" t="s">
        <v>805</v>
      </c>
      <c r="M110" s="352" t="s">
        <v>798</v>
      </c>
      <c r="N110" s="352" t="s">
        <v>799</v>
      </c>
      <c r="O110" s="352" t="s">
        <v>800</v>
      </c>
      <c r="P110" s="353" t="s">
        <v>801</v>
      </c>
      <c r="Q110" s="353" t="s">
        <v>802</v>
      </c>
      <c r="R110" s="353" t="s">
        <v>803</v>
      </c>
      <c r="S110" s="353" t="s">
        <v>804</v>
      </c>
      <c r="T110" s="353" t="s">
        <v>805</v>
      </c>
    </row>
    <row r="111" spans="2:20" x14ac:dyDescent="0.25">
      <c r="B111" s="354">
        <v>1</v>
      </c>
      <c r="C111" s="355" t="s">
        <v>836</v>
      </c>
      <c r="D111" s="356" t="s">
        <v>807</v>
      </c>
      <c r="E111" s="357">
        <v>0</v>
      </c>
      <c r="F111" s="357">
        <f>$Y$6</f>
        <v>0</v>
      </c>
      <c r="G111" s="357">
        <f>$AR$6</f>
        <v>0</v>
      </c>
      <c r="H111" s="357">
        <f t="shared" ref="H111:H132" si="8">G111*SMA</f>
        <v>0</v>
      </c>
      <c r="I111" s="358">
        <f>IF(Theta&lt;55,0,IF(-F111*Ecc&lt;0,0,-F111*Ecc))</f>
        <v>0</v>
      </c>
      <c r="M111" s="354">
        <v>1</v>
      </c>
      <c r="N111" s="355" t="s">
        <v>836</v>
      </c>
      <c r="O111" s="356" t="s">
        <v>807</v>
      </c>
      <c r="P111" s="357">
        <v>0</v>
      </c>
      <c r="Q111" s="357">
        <f>$Y$9</f>
        <v>0</v>
      </c>
      <c r="R111" s="357">
        <f>$AR$9</f>
        <v>0</v>
      </c>
      <c r="S111" s="357">
        <f t="shared" ref="S111:S132" si="9">R111*SMA</f>
        <v>0</v>
      </c>
      <c r="T111" s="358">
        <f>IF(Theta&lt;55,0,IF(-Q111*Ecc&lt;0,0,-Q111*Ecc))</f>
        <v>0</v>
      </c>
    </row>
    <row r="112" spans="2:20" x14ac:dyDescent="0.25">
      <c r="B112" s="359">
        <v>2</v>
      </c>
      <c r="C112" s="9" t="s">
        <v>844</v>
      </c>
      <c r="D112" s="209" t="s">
        <v>807</v>
      </c>
      <c r="E112" s="361">
        <v>0</v>
      </c>
      <c r="F112" s="361">
        <f>($Y$6)</f>
        <v>0</v>
      </c>
      <c r="G112" s="361">
        <f>$AR$6</f>
        <v>0</v>
      </c>
      <c r="H112" s="361">
        <f t="shared" si="8"/>
        <v>0</v>
      </c>
      <c r="I112" s="362">
        <f>IF(Theta&lt;55,0,IF(-F112*Ecc&lt;0,0,-F112*Ecc))</f>
        <v>0</v>
      </c>
      <c r="M112" s="359">
        <v>2</v>
      </c>
      <c r="N112" s="9" t="s">
        <v>844</v>
      </c>
      <c r="O112" s="209" t="s">
        <v>807</v>
      </c>
      <c r="P112" s="361">
        <v>0</v>
      </c>
      <c r="Q112" s="361">
        <f>($Y$9)</f>
        <v>0</v>
      </c>
      <c r="R112" s="361">
        <f>$AR$9</f>
        <v>0</v>
      </c>
      <c r="S112" s="361">
        <f t="shared" si="9"/>
        <v>0</v>
      </c>
      <c r="T112" s="362">
        <f>IF(Theta&lt;55,0,IF(-Q112*Ecc&lt;0,0,-Q112*Ecc))</f>
        <v>0</v>
      </c>
    </row>
    <row r="113" spans="2:20" x14ac:dyDescent="0.25">
      <c r="B113" s="359">
        <v>3</v>
      </c>
      <c r="C113" s="9" t="s">
        <v>845</v>
      </c>
      <c r="D113" s="209" t="s">
        <v>807</v>
      </c>
      <c r="E113" s="361">
        <v>0</v>
      </c>
      <c r="F113" s="361">
        <f>($Y$6+0.7*$Z$6)</f>
        <v>0</v>
      </c>
      <c r="G113" s="361">
        <f>$AR$6+$AS$6*0.7</f>
        <v>0</v>
      </c>
      <c r="H113" s="361">
        <f t="shared" si="8"/>
        <v>0</v>
      </c>
      <c r="I113" s="362">
        <f>IF(Theta&lt;55,0,IF(-F113*Ecc&lt;0,0,-F113*Ecc))</f>
        <v>0</v>
      </c>
      <c r="M113" s="359">
        <v>3</v>
      </c>
      <c r="N113" s="9" t="s">
        <v>845</v>
      </c>
      <c r="O113" s="209" t="s">
        <v>807</v>
      </c>
      <c r="P113" s="361">
        <v>0</v>
      </c>
      <c r="Q113" s="361">
        <f>($Y$9+0.7*$Z$9)</f>
        <v>0</v>
      </c>
      <c r="R113" s="361">
        <f>$AR$9+$AS$9*0.7</f>
        <v>0</v>
      </c>
      <c r="S113" s="361">
        <f t="shared" si="9"/>
        <v>0</v>
      </c>
      <c r="T113" s="362">
        <f>IF(Theta&lt;55,0,IF(-Q113*Ecc&lt;0,0,-Q113*Ecc))</f>
        <v>0</v>
      </c>
    </row>
    <row r="114" spans="2:20" x14ac:dyDescent="0.25">
      <c r="B114" s="359">
        <v>4</v>
      </c>
      <c r="C114" s="360" t="s">
        <v>846</v>
      </c>
      <c r="D114" s="209" t="s">
        <v>807</v>
      </c>
      <c r="E114" s="361">
        <v>0</v>
      </c>
      <c r="F114" s="361">
        <f>($Y$6+0.525*$Z$6)</f>
        <v>0</v>
      </c>
      <c r="G114" s="361">
        <f>$AR$6+$AS$6*0.525</f>
        <v>0</v>
      </c>
      <c r="H114" s="361">
        <f t="shared" si="8"/>
        <v>0</v>
      </c>
      <c r="I114" s="362">
        <f>IF(Theta&lt;55,0,IF(-F114*Ecc&lt;0,0,-F114*Ecc))</f>
        <v>0</v>
      </c>
      <c r="M114" s="359">
        <v>4</v>
      </c>
      <c r="N114" s="360" t="s">
        <v>846</v>
      </c>
      <c r="O114" s="209" t="s">
        <v>807</v>
      </c>
      <c r="P114" s="361">
        <v>0</v>
      </c>
      <c r="Q114" s="361">
        <f>($Y$9+0.525*$Z$9)</f>
        <v>0</v>
      </c>
      <c r="R114" s="361">
        <f>$AR$9+$AS$9*0.525</f>
        <v>0</v>
      </c>
      <c r="S114" s="361">
        <f t="shared" si="9"/>
        <v>0</v>
      </c>
      <c r="T114" s="362">
        <f>IF(Theta&lt;55,0,IF(-Q114*Ecc&lt;0,0,-Q114*Ecc))</f>
        <v>0</v>
      </c>
    </row>
    <row r="115" spans="2:20" x14ac:dyDescent="0.25">
      <c r="B115" s="359">
        <v>5</v>
      </c>
      <c r="C115" s="360" t="s">
        <v>847</v>
      </c>
      <c r="D115" s="209" t="s">
        <v>807</v>
      </c>
      <c r="E115" s="361" t="e">
        <f ca="1">(0.6*$AL$6)+(0.6*$AA$6)</f>
        <v>#VALUE!</v>
      </c>
      <c r="F115" s="361" t="e">
        <f ca="1">($Y$6)+(0.6*($AN$6))</f>
        <v>#VALUE!</v>
      </c>
      <c r="G115" s="361">
        <f>$AR$6</f>
        <v>0</v>
      </c>
      <c r="H115" s="361">
        <f t="shared" si="8"/>
        <v>0</v>
      </c>
      <c r="I115" s="362" t="e">
        <f ca="1">IF(Theta&lt;55,0,IF(((0.6*$AP$6)-(F115*Ecc))&lt;0,0,(0.6*$AP$6)-(F115*Ecc)))</f>
        <v>#VALUE!</v>
      </c>
      <c r="M115" s="359">
        <v>5</v>
      </c>
      <c r="N115" s="360" t="s">
        <v>847</v>
      </c>
      <c r="O115" s="209" t="s">
        <v>807</v>
      </c>
      <c r="P115" s="361" t="e">
        <f ca="1">(0.6*$AL$9)+(0.6*$AA$9)</f>
        <v>#VALUE!</v>
      </c>
      <c r="Q115" s="361" t="e">
        <f ca="1">($Y$9)+(0.6*($AN$9))</f>
        <v>#VALUE!</v>
      </c>
      <c r="R115" s="361">
        <f>$AR$9</f>
        <v>0</v>
      </c>
      <c r="S115" s="361">
        <f t="shared" si="9"/>
        <v>0</v>
      </c>
      <c r="T115" s="362" t="e">
        <f ca="1">IF(Theta&lt;55,0,IF(((0.6*$AP$9)-(Q115*Ecc))&lt;0,0,(0.6*$AP$9)-(Q115*Ecc)))</f>
        <v>#VALUE!</v>
      </c>
    </row>
    <row r="116" spans="2:20" x14ac:dyDescent="0.25">
      <c r="B116" s="359">
        <v>6</v>
      </c>
      <c r="C116" s="360" t="s">
        <v>848</v>
      </c>
      <c r="D116" s="209" t="s">
        <v>807</v>
      </c>
      <c r="E116" s="361" t="e">
        <f ca="1">(0.6*$AK$6)+(0.6*$AA$6)</f>
        <v>#VALUE!</v>
      </c>
      <c r="F116" s="361" t="e">
        <f ca="1">($Y$6)+(0.6*$AM$6)</f>
        <v>#VALUE!</v>
      </c>
      <c r="G116" s="361">
        <f>$AR$6</f>
        <v>0</v>
      </c>
      <c r="H116" s="361">
        <f t="shared" si="8"/>
        <v>0</v>
      </c>
      <c r="I116" s="362" t="e">
        <f ca="1">IF(Theta&lt;55,0,IF(((0.6*$AO$6)-(F116*Ecc))&lt;0,0,((0.6*$AO$6)-(F116*Ecc))))</f>
        <v>#VALUE!</v>
      </c>
      <c r="M116" s="359">
        <v>6</v>
      </c>
      <c r="N116" s="360" t="s">
        <v>848</v>
      </c>
      <c r="O116" s="209" t="s">
        <v>807</v>
      </c>
      <c r="P116" s="361" t="e">
        <f ca="1">(0.6*$AK$9)+(0.6*$AA$9)</f>
        <v>#VALUE!</v>
      </c>
      <c r="Q116" s="361" t="e">
        <f ca="1">($Y$9)+(0.6*$AM$9)</f>
        <v>#VALUE!</v>
      </c>
      <c r="R116" s="361">
        <f>$AR$9</f>
        <v>0</v>
      </c>
      <c r="S116" s="361">
        <f t="shared" si="9"/>
        <v>0</v>
      </c>
      <c r="T116" s="362" t="e">
        <f ca="1">IF(Theta&lt;55,0,IF(((0.6*$AO$9)-(Q116*Ecc))&lt;0,0,((0.6*$AO$9)-(Q116*Ecc))))</f>
        <v>#VALUE!</v>
      </c>
    </row>
    <row r="117" spans="2:20" x14ac:dyDescent="0.25">
      <c r="B117" s="359">
        <v>7</v>
      </c>
      <c r="C117" s="360" t="s">
        <v>849</v>
      </c>
      <c r="D117" s="209" t="s">
        <v>807</v>
      </c>
      <c r="E117" s="361" t="e">
        <f ca="1">+(0.45*($AL$6+$AA$6))</f>
        <v>#VALUE!</v>
      </c>
      <c r="F117" s="361" t="e">
        <f ca="1">($Y$6)+(0.45*$AN$6)+(0.525*$Z$6)</f>
        <v>#VALUE!</v>
      </c>
      <c r="G117" s="361">
        <f>$AR$6+0.525*$AS$6</f>
        <v>0</v>
      </c>
      <c r="H117" s="361">
        <f t="shared" si="8"/>
        <v>0</v>
      </c>
      <c r="I117" s="362" t="e">
        <f ca="1">IF(Theta&lt;55,0,IF(((0.45*$AP$6)-(F117*Ecc))&lt;0,0,((0.45*$AP$6)-(F117*Ecc))))</f>
        <v>#VALUE!</v>
      </c>
      <c r="M117" s="359">
        <v>7</v>
      </c>
      <c r="N117" s="360" t="s">
        <v>849</v>
      </c>
      <c r="O117" s="209" t="s">
        <v>807</v>
      </c>
      <c r="P117" s="361" t="e">
        <f ca="1">+(0.45*($AL$9+$AA$9))</f>
        <v>#VALUE!</v>
      </c>
      <c r="Q117" s="361" t="e">
        <f ca="1">($Y$9)+(0.45*$AN$9)+(0.525*$Z$9)</f>
        <v>#VALUE!</v>
      </c>
      <c r="R117" s="361">
        <f>$AR$9+0.525*$AS$9</f>
        <v>0</v>
      </c>
      <c r="S117" s="361">
        <f t="shared" si="9"/>
        <v>0</v>
      </c>
      <c r="T117" s="362" t="e">
        <f ca="1">IF(Theta&lt;55,0,IF(((0.45*$AP$9)-(Q117*Ecc))&lt;0,0,((0.45*$AP$9)-(Q117*Ecc))))</f>
        <v>#VALUE!</v>
      </c>
    </row>
    <row r="118" spans="2:20" x14ac:dyDescent="0.25">
      <c r="B118" s="359">
        <v>8</v>
      </c>
      <c r="C118" s="360" t="s">
        <v>850</v>
      </c>
      <c r="D118" s="209" t="s">
        <v>807</v>
      </c>
      <c r="E118" s="361" t="e">
        <f ca="1">(0.45*($AA$6+$AK$6))</f>
        <v>#VALUE!</v>
      </c>
      <c r="F118" s="361" t="e">
        <f ca="1">($Y$6)+(0.45*$AM$6)+(0.525*$Z$6)</f>
        <v>#VALUE!</v>
      </c>
      <c r="G118" s="361">
        <f>$AR$6+0.525*$AS$6</f>
        <v>0</v>
      </c>
      <c r="H118" s="361">
        <f t="shared" si="8"/>
        <v>0</v>
      </c>
      <c r="I118" s="362" t="e">
        <f ca="1">IF(Theta&lt;55,0,IF(((0.45*$AO$6)-(F118*Ecc))&lt;0,0,((0.45*$AO$6)-(F118*Ecc))))</f>
        <v>#VALUE!</v>
      </c>
      <c r="M118" s="359">
        <v>8</v>
      </c>
      <c r="N118" s="360" t="s">
        <v>850</v>
      </c>
      <c r="O118" s="209" t="s">
        <v>807</v>
      </c>
      <c r="P118" s="361" t="e">
        <f ca="1">(0.45*($AA$9+$AK$9))</f>
        <v>#VALUE!</v>
      </c>
      <c r="Q118" s="361" t="e">
        <f ca="1">($Y$9)+(0.45*$AM$9)+(0.525*$Z$9)</f>
        <v>#VALUE!</v>
      </c>
      <c r="R118" s="361">
        <f>$AR$9+0.525*$AS$9</f>
        <v>0</v>
      </c>
      <c r="S118" s="361">
        <f t="shared" si="9"/>
        <v>0</v>
      </c>
      <c r="T118" s="362" t="e">
        <f ca="1">IF(Theta&lt;55,0,IF(((0.45*$AO$9)-(Q118*Ecc))&lt;0,0,((0.45*$AO$9)-(Q118*Ecc))))</f>
        <v>#VALUE!</v>
      </c>
    </row>
    <row r="119" spans="2:20" x14ac:dyDescent="0.25">
      <c r="B119" s="359">
        <v>9</v>
      </c>
      <c r="C119" s="360" t="s">
        <v>851</v>
      </c>
      <c r="D119" s="209" t="s">
        <v>807</v>
      </c>
      <c r="E119" s="361" t="e">
        <f ca="1">(0.6*($AA$6+$AL$6))</f>
        <v>#VALUE!</v>
      </c>
      <c r="F119" s="361" t="e">
        <f ca="1">(0.6*$Y$6)+($AN$6*0.6)</f>
        <v>#VALUE!</v>
      </c>
      <c r="G119" s="361">
        <f>$AR$6*0.6</f>
        <v>0</v>
      </c>
      <c r="H119" s="361">
        <f t="shared" si="8"/>
        <v>0</v>
      </c>
      <c r="I119" s="362" t="e">
        <f ca="1">IF(Theta&lt;55,0,IF(((0.6*$AP$6)-(F119*Ecc))&lt;0,0,((0.6*$AP$6)-(F119*Ecc))))</f>
        <v>#VALUE!</v>
      </c>
      <c r="M119" s="359">
        <v>9</v>
      </c>
      <c r="N119" s="360" t="s">
        <v>851</v>
      </c>
      <c r="O119" s="209" t="s">
        <v>807</v>
      </c>
      <c r="P119" s="361" t="e">
        <f ca="1">(0.6*($AA$9+$AL$9))</f>
        <v>#VALUE!</v>
      </c>
      <c r="Q119" s="361" t="e">
        <f ca="1">(0.6*$Y$9)+($AN$9*0.6)</f>
        <v>#VALUE!</v>
      </c>
      <c r="R119" s="361">
        <f>$AR$9*0.6</f>
        <v>0</v>
      </c>
      <c r="S119" s="361">
        <f t="shared" si="9"/>
        <v>0</v>
      </c>
      <c r="T119" s="362" t="e">
        <f ca="1">IF(Theta&lt;55,0,IF(((0.6*$AP$9)-(Q119*Ecc))&lt;0,0,((0.6*$AP$9)-(Q119*Ecc))))</f>
        <v>#VALUE!</v>
      </c>
    </row>
    <row r="120" spans="2:20" x14ac:dyDescent="0.25">
      <c r="B120" s="359">
        <v>10</v>
      </c>
      <c r="C120" s="360" t="s">
        <v>852</v>
      </c>
      <c r="D120" s="209" t="s">
        <v>807</v>
      </c>
      <c r="E120" s="361" t="e">
        <f ca="1">(0.6*($AA$6+$AK$6))</f>
        <v>#VALUE!</v>
      </c>
      <c r="F120" s="361" t="e">
        <f ca="1">(0.6*$Y$6)+(0.6*$AM$6)</f>
        <v>#VALUE!</v>
      </c>
      <c r="G120" s="361">
        <f>$AR$6*0.6</f>
        <v>0</v>
      </c>
      <c r="H120" s="361">
        <f t="shared" si="8"/>
        <v>0</v>
      </c>
      <c r="I120" s="362" t="e">
        <f ca="1">IF(Theta&lt;55,0,IF(((0.6*$AO$6)-(F120*Ecc))&lt;0,0,((0.6*$AO$6)-(F120*Ecc))))</f>
        <v>#VALUE!</v>
      </c>
      <c r="M120" s="359">
        <v>10</v>
      </c>
      <c r="N120" s="360" t="s">
        <v>852</v>
      </c>
      <c r="O120" s="209" t="s">
        <v>807</v>
      </c>
      <c r="P120" s="361" t="e">
        <f ca="1">(0.6*($AA$9+$AK$9))</f>
        <v>#VALUE!</v>
      </c>
      <c r="Q120" s="361" t="e">
        <f ca="1">(0.6*$Y$9)+(0.6*$AM$9)</f>
        <v>#VALUE!</v>
      </c>
      <c r="R120" s="361">
        <f>$AR$9*0.6</f>
        <v>0</v>
      </c>
      <c r="S120" s="361">
        <f t="shared" si="9"/>
        <v>0</v>
      </c>
      <c r="T120" s="362" t="e">
        <f ca="1">IF(Theta&lt;55,0,IF(((0.6*$AO$9)-(Q120*Ecc))&lt;0,0,((0.6*$AO$9)-(Q120*Ecc))))</f>
        <v>#VALUE!</v>
      </c>
    </row>
    <row r="121" spans="2:20" x14ac:dyDescent="0.25">
      <c r="B121" s="359">
        <v>11</v>
      </c>
      <c r="C121" s="360" t="s">
        <v>853</v>
      </c>
      <c r="D121" s="209" t="s">
        <v>807</v>
      </c>
      <c r="E121" s="361">
        <f>(0.7*$AB$6)</f>
        <v>0</v>
      </c>
      <c r="F121" s="361">
        <f>($Y$6)+0.7*$AT$6</f>
        <v>0</v>
      </c>
      <c r="G121" s="361">
        <f>$AR$6</f>
        <v>0</v>
      </c>
      <c r="H121" s="361">
        <f t="shared" si="8"/>
        <v>0</v>
      </c>
      <c r="I121" s="362">
        <f>IF(Theta&lt;55,0,IF(((0.7*$AQ$6)-(F121*Ecc))&lt;0,0,((0.7*$AQ$6)-(F121*Ecc))))</f>
        <v>0</v>
      </c>
      <c r="M121" s="359">
        <v>11</v>
      </c>
      <c r="N121" s="360" t="s">
        <v>853</v>
      </c>
      <c r="O121" s="209" t="s">
        <v>807</v>
      </c>
      <c r="P121" s="361">
        <f>(0.7*$AB$9)</f>
        <v>0</v>
      </c>
      <c r="Q121" s="361">
        <f>($Y$9)+0.7*$AT$9</f>
        <v>0</v>
      </c>
      <c r="R121" s="361">
        <f>$AR$9</f>
        <v>0</v>
      </c>
      <c r="S121" s="361">
        <f t="shared" si="9"/>
        <v>0</v>
      </c>
      <c r="T121" s="362">
        <f>IF(Theta&lt;55,0,IF(((0.7*$AQ$9)-(Q121*Ecc))&lt;0,0,((0.7*$AQ$9)-(Q121*Ecc))))</f>
        <v>0</v>
      </c>
    </row>
    <row r="122" spans="2:20" x14ac:dyDescent="0.25">
      <c r="B122" s="359">
        <v>12</v>
      </c>
      <c r="C122" s="360" t="s">
        <v>854</v>
      </c>
      <c r="D122" s="209" t="s">
        <v>807</v>
      </c>
      <c r="E122" s="361">
        <f>-(0.7*$AB$6)</f>
        <v>0</v>
      </c>
      <c r="F122" s="361">
        <f>$Y$6-0.7*$AT$6</f>
        <v>0</v>
      </c>
      <c r="G122" s="361">
        <f>$AR$6</f>
        <v>0</v>
      </c>
      <c r="H122" s="361">
        <f t="shared" si="8"/>
        <v>0</v>
      </c>
      <c r="I122" s="362">
        <f>IF(Theta&lt;55,0,IF(((-0.7*$AQ$6)-(F122*Ecc))&lt;0,0,((-0.7*$AQ$6)-(F122*Ecc))))</f>
        <v>0</v>
      </c>
      <c r="M122" s="359">
        <v>12</v>
      </c>
      <c r="N122" s="360" t="s">
        <v>854</v>
      </c>
      <c r="O122" s="209" t="s">
        <v>807</v>
      </c>
      <c r="P122" s="361">
        <f>-(0.7*$AB$9)</f>
        <v>0</v>
      </c>
      <c r="Q122" s="361">
        <f>$Y$9-0.7*$AT$9</f>
        <v>0</v>
      </c>
      <c r="R122" s="361">
        <f>$AR$9</f>
        <v>0</v>
      </c>
      <c r="S122" s="361">
        <f t="shared" si="9"/>
        <v>0</v>
      </c>
      <c r="T122" s="362">
        <f>IF(Theta&lt;55,0,IF(((-0.7*$AQ$9)-(Q122*Ecc))&lt;0,0,((-0.7*$AQ$9)-(Q122*Ecc))))</f>
        <v>0</v>
      </c>
    </row>
    <row r="123" spans="2:20" x14ac:dyDescent="0.25">
      <c r="B123" s="359">
        <v>13</v>
      </c>
      <c r="C123" s="360" t="s">
        <v>855</v>
      </c>
      <c r="D123" s="209" t="s">
        <v>807</v>
      </c>
      <c r="E123" s="361">
        <v>0</v>
      </c>
      <c r="F123" s="361">
        <f>$Y$6+0.7*$AT$6</f>
        <v>0</v>
      </c>
      <c r="G123" s="361">
        <f>0.7*$AC$6+$AR$6</f>
        <v>0</v>
      </c>
      <c r="H123" s="361">
        <f t="shared" si="8"/>
        <v>0</v>
      </c>
      <c r="I123" s="362">
        <f>IF(Theta&lt;55,0,IF(-F123*Ecc&lt;0,0,-F123*Ecc))</f>
        <v>0</v>
      </c>
      <c r="M123" s="359">
        <v>13</v>
      </c>
      <c r="N123" s="360" t="s">
        <v>855</v>
      </c>
      <c r="O123" s="209" t="s">
        <v>807</v>
      </c>
      <c r="P123" s="361">
        <v>0</v>
      </c>
      <c r="Q123" s="361">
        <f>$Y$9+0.7*$AT$9</f>
        <v>0</v>
      </c>
      <c r="R123" s="361">
        <f>0.7*$AC$9+$AR$9</f>
        <v>0</v>
      </c>
      <c r="S123" s="361">
        <f t="shared" si="9"/>
        <v>0</v>
      </c>
      <c r="T123" s="362">
        <f>IF(Theta&lt;55,0,IF(-Q123*Ecc&lt;0,0,-Q123*Ecc))</f>
        <v>0</v>
      </c>
    </row>
    <row r="124" spans="2:20" x14ac:dyDescent="0.25">
      <c r="B124" s="359">
        <v>14</v>
      </c>
      <c r="C124" s="360" t="s">
        <v>856</v>
      </c>
      <c r="D124" s="209" t="s">
        <v>807</v>
      </c>
      <c r="E124" s="361">
        <v>0</v>
      </c>
      <c r="F124" s="361">
        <f>$Y$6-0.7*$AT$6</f>
        <v>0</v>
      </c>
      <c r="G124" s="361">
        <f>-0.7*$AC$6+$AR$6</f>
        <v>0</v>
      </c>
      <c r="H124" s="361">
        <f t="shared" si="8"/>
        <v>0</v>
      </c>
      <c r="I124" s="362">
        <f>IF(Theta&lt;55,0,IF(-F124*Ecc&lt;0,0,-F124*Ecc))</f>
        <v>0</v>
      </c>
      <c r="M124" s="359">
        <v>14</v>
      </c>
      <c r="N124" s="360" t="s">
        <v>856</v>
      </c>
      <c r="O124" s="209" t="s">
        <v>807</v>
      </c>
      <c r="P124" s="361">
        <v>0</v>
      </c>
      <c r="Q124" s="361">
        <f>$Y$9-0.7*$AT$9</f>
        <v>0</v>
      </c>
      <c r="R124" s="361">
        <f>-0.7*$AC$9+$AR$9</f>
        <v>0</v>
      </c>
      <c r="S124" s="361">
        <f t="shared" si="9"/>
        <v>0</v>
      </c>
      <c r="T124" s="362">
        <f>IF(Theta&lt;55,0,IF(-Q124*Ecc&lt;0,0,-Q124*Ecc))</f>
        <v>0</v>
      </c>
    </row>
    <row r="125" spans="2:20" x14ac:dyDescent="0.25">
      <c r="B125" s="359">
        <v>15</v>
      </c>
      <c r="C125" s="360" t="s">
        <v>857</v>
      </c>
      <c r="D125" s="209" t="s">
        <v>807</v>
      </c>
      <c r="E125" s="361">
        <f>(0.525*$AB$6)</f>
        <v>0</v>
      </c>
      <c r="F125" s="361">
        <f>($Y$6)+(0.1*$Z$6)+0.525*$AT$6</f>
        <v>0</v>
      </c>
      <c r="G125" s="361">
        <f>$AR$6+0.1*$AS$6</f>
        <v>0</v>
      </c>
      <c r="H125" s="361">
        <f t="shared" si="8"/>
        <v>0</v>
      </c>
      <c r="I125" s="362">
        <f>IF(Theta&lt;55,0,IF(((0.525*$AQ$6)-(F125*Ecc))&lt;0,0,((0.525*$AQ$6)-(F125*Ecc))))</f>
        <v>0</v>
      </c>
      <c r="M125" s="359">
        <v>15</v>
      </c>
      <c r="N125" s="360" t="s">
        <v>857</v>
      </c>
      <c r="O125" s="209" t="s">
        <v>807</v>
      </c>
      <c r="P125" s="361">
        <f>(0.525*$AB$9)</f>
        <v>0</v>
      </c>
      <c r="Q125" s="361">
        <f>($Y$9)+(0.1*$Z$9)+0.525*$AT$9</f>
        <v>0</v>
      </c>
      <c r="R125" s="361">
        <f>$AR$9+0.1*$AS$9</f>
        <v>0</v>
      </c>
      <c r="S125" s="361">
        <f t="shared" si="9"/>
        <v>0</v>
      </c>
      <c r="T125" s="362">
        <f>IF(Theta&lt;55,0,IF(((0.525*$AQ$9)-(Q125*Ecc))&lt;0,0,((0.525*$AQ$9)-(Q125*Ecc))))</f>
        <v>0</v>
      </c>
    </row>
    <row r="126" spans="2:20" x14ac:dyDescent="0.25">
      <c r="B126" s="359">
        <v>16</v>
      </c>
      <c r="C126" s="360" t="s">
        <v>858</v>
      </c>
      <c r="D126" s="209" t="s">
        <v>807</v>
      </c>
      <c r="E126" s="361">
        <f>-(0.525*$AB$6)</f>
        <v>0</v>
      </c>
      <c r="F126" s="361">
        <f>($Y$6)+(0.1*$Z$6)-0.525*$AT$6</f>
        <v>0</v>
      </c>
      <c r="G126" s="361">
        <f>$AR$6+0.1*$AS$6</f>
        <v>0</v>
      </c>
      <c r="H126" s="361">
        <f t="shared" si="8"/>
        <v>0</v>
      </c>
      <c r="I126" s="362">
        <f>IF(Theta&lt;55,0,IF(((-0.525*$AQ$6)-(F126*Ecc))&lt;0,0,((-0.525*$AQ$6)-(F126*Ecc))))</f>
        <v>0</v>
      </c>
      <c r="M126" s="359">
        <v>16</v>
      </c>
      <c r="N126" s="360" t="s">
        <v>858</v>
      </c>
      <c r="O126" s="209" t="s">
        <v>807</v>
      </c>
      <c r="P126" s="361">
        <f>-(0.525*$AB$9)</f>
        <v>0</v>
      </c>
      <c r="Q126" s="361">
        <f>($Y$9)+(0.1*$Z$9)-0.525*$AT$9</f>
        <v>0</v>
      </c>
      <c r="R126" s="361">
        <f>$AR$9+0.1*$AS$9</f>
        <v>0</v>
      </c>
      <c r="S126" s="361">
        <f t="shared" si="9"/>
        <v>0</v>
      </c>
      <c r="T126" s="362">
        <f>IF(Theta&lt;55,0,IF(((-0.525*$AQ$9)-(Q126*Ecc))&lt;0,0,((-0.525*$AQ$9)-(Q126*Ecc))))</f>
        <v>0</v>
      </c>
    </row>
    <row r="127" spans="2:20" x14ac:dyDescent="0.25">
      <c r="B127" s="359">
        <v>17</v>
      </c>
      <c r="C127" s="360" t="s">
        <v>859</v>
      </c>
      <c r="D127" s="209" t="s">
        <v>807</v>
      </c>
      <c r="E127" s="361">
        <v>0</v>
      </c>
      <c r="F127" s="361">
        <f>($Y$6)+(0.1*$Z$6)+0.525*$AT$6</f>
        <v>0</v>
      </c>
      <c r="G127" s="361">
        <f>0.525*$AC$6+$AR$6+0.1*$AS$6</f>
        <v>0</v>
      </c>
      <c r="H127" s="361">
        <f t="shared" si="8"/>
        <v>0</v>
      </c>
      <c r="I127" s="362">
        <f>IF(Theta&lt;55,0,IF(-F127*Ecc&lt;0,0,-F127*Ecc))</f>
        <v>0</v>
      </c>
      <c r="M127" s="359">
        <v>17</v>
      </c>
      <c r="N127" s="360" t="s">
        <v>859</v>
      </c>
      <c r="O127" s="209" t="s">
        <v>807</v>
      </c>
      <c r="P127" s="361">
        <v>0</v>
      </c>
      <c r="Q127" s="361">
        <f>($Y$9)+(0.1*$Z$9)+0.525*$AT$9</f>
        <v>0</v>
      </c>
      <c r="R127" s="361">
        <f>0.525*$AC$9+$AR$9+0.1*$AS$9</f>
        <v>0</v>
      </c>
      <c r="S127" s="361">
        <f t="shared" si="9"/>
        <v>0</v>
      </c>
      <c r="T127" s="362">
        <f>IF(Theta&lt;55,0,IF(-Q127*Ecc&lt;0,0,-Q127*Ecc))</f>
        <v>0</v>
      </c>
    </row>
    <row r="128" spans="2:20" x14ac:dyDescent="0.25">
      <c r="B128" s="359">
        <v>18</v>
      </c>
      <c r="C128" s="360" t="s">
        <v>860</v>
      </c>
      <c r="D128" s="209" t="s">
        <v>807</v>
      </c>
      <c r="E128" s="361">
        <v>0</v>
      </c>
      <c r="F128" s="361">
        <f>($Y$6)+(0.1*$Z$6)-0.525*$AT$6</f>
        <v>0</v>
      </c>
      <c r="G128" s="361">
        <f>-0.525*$AC$6+$AR$6+0.1*$AS$6</f>
        <v>0</v>
      </c>
      <c r="H128" s="361">
        <f t="shared" si="8"/>
        <v>0</v>
      </c>
      <c r="I128" s="362">
        <f>IF(Theta&lt;55,0,IF(-F128*Ecc&lt;0,0,-F128*Ecc))</f>
        <v>0</v>
      </c>
      <c r="M128" s="359">
        <v>18</v>
      </c>
      <c r="N128" s="360" t="s">
        <v>860</v>
      </c>
      <c r="O128" s="209" t="s">
        <v>807</v>
      </c>
      <c r="P128" s="361">
        <v>0</v>
      </c>
      <c r="Q128" s="361">
        <f>($Y$9)+(0.1*$Z$9)-0.525*$AT$9</f>
        <v>0</v>
      </c>
      <c r="R128" s="361">
        <f>-0.525*$AC$9+$AR$9+0.1*$AS$9</f>
        <v>0</v>
      </c>
      <c r="S128" s="361">
        <f t="shared" si="9"/>
        <v>0</v>
      </c>
      <c r="T128" s="362">
        <f>IF(Theta&lt;55,0,IF(-Q128*Ecc&lt;0,0,-Q128*Ecc))</f>
        <v>0</v>
      </c>
    </row>
    <row r="129" spans="1:20" x14ac:dyDescent="0.25">
      <c r="B129" s="359">
        <v>19</v>
      </c>
      <c r="C129" s="360" t="s">
        <v>861</v>
      </c>
      <c r="D129" s="209" t="s">
        <v>807</v>
      </c>
      <c r="E129" s="361">
        <f>(0.7*$AB$6)</f>
        <v>0</v>
      </c>
      <c r="F129" s="361">
        <f>($Y$6)*0.6+0.7*$AT$6</f>
        <v>0</v>
      </c>
      <c r="G129" s="361">
        <f>$AR$6*0.6</f>
        <v>0</v>
      </c>
      <c r="H129" s="361">
        <f t="shared" si="8"/>
        <v>0</v>
      </c>
      <c r="I129" s="362">
        <f>IF(Theta&lt;55,0,IF(((0.7*$AQ$6)-(F129*Ecc))&lt;0,0,((0.7*$AQ$6)-(F129*Ecc))))</f>
        <v>0</v>
      </c>
      <c r="M129" s="359">
        <v>19</v>
      </c>
      <c r="N129" s="360" t="s">
        <v>861</v>
      </c>
      <c r="O129" s="209" t="s">
        <v>807</v>
      </c>
      <c r="P129" s="361">
        <f>(0.7*$AB$9)</f>
        <v>0</v>
      </c>
      <c r="Q129" s="361">
        <f>($Y$9)*0.6+0.7*$AT$9</f>
        <v>0</v>
      </c>
      <c r="R129" s="361">
        <f>$AR$9*0.6</f>
        <v>0</v>
      </c>
      <c r="S129" s="361">
        <f t="shared" si="9"/>
        <v>0</v>
      </c>
      <c r="T129" s="362">
        <f>IF(Theta&lt;55,0,IF(((0.7*$AQ$9)-(Q129*Ecc))&lt;0,0,((0.7*$AQ$9)-(Q129*Ecc))))</f>
        <v>0</v>
      </c>
    </row>
    <row r="130" spans="1:20" x14ac:dyDescent="0.25">
      <c r="B130" s="359">
        <v>20</v>
      </c>
      <c r="C130" s="360" t="s">
        <v>862</v>
      </c>
      <c r="D130" s="209" t="s">
        <v>807</v>
      </c>
      <c r="E130" s="361">
        <f>-(0.7*$AB$6)</f>
        <v>0</v>
      </c>
      <c r="F130" s="361">
        <f>0.6*$Y$6-0.7*$AT$6</f>
        <v>0</v>
      </c>
      <c r="G130" s="361">
        <f>$AR$6*0.6</f>
        <v>0</v>
      </c>
      <c r="H130" s="361">
        <f t="shared" si="8"/>
        <v>0</v>
      </c>
      <c r="I130" s="362">
        <f>IF(Theta&lt;55,0,IF(((-0.7*$AQ$6)-(F130*Ecc))&lt;0,0,((-0.7*$AQ$6)-(F130*Ecc))))</f>
        <v>0</v>
      </c>
      <c r="M130" s="359">
        <v>20</v>
      </c>
      <c r="N130" s="360" t="s">
        <v>862</v>
      </c>
      <c r="O130" s="209" t="s">
        <v>807</v>
      </c>
      <c r="P130" s="361">
        <f>-(0.7*$AB$9)</f>
        <v>0</v>
      </c>
      <c r="Q130" s="361">
        <f>0.6*$Y$9-0.7*$AT$9</f>
        <v>0</v>
      </c>
      <c r="R130" s="361">
        <f>$AR$9*0.6</f>
        <v>0</v>
      </c>
      <c r="S130" s="361">
        <f t="shared" si="9"/>
        <v>0</v>
      </c>
      <c r="T130" s="362">
        <f>IF(Theta&lt;55,0,IF(((-0.7*$AQ$9)-(Q130*Ecc))&lt;0,0,((-0.7*$AQ$9)-(Q130*Ecc))))</f>
        <v>0</v>
      </c>
    </row>
    <row r="131" spans="1:20" x14ac:dyDescent="0.25">
      <c r="B131" s="359">
        <v>21</v>
      </c>
      <c r="C131" s="360" t="s">
        <v>863</v>
      </c>
      <c r="D131" s="209" t="s">
        <v>807</v>
      </c>
      <c r="E131" s="361">
        <v>0</v>
      </c>
      <c r="F131" s="361">
        <f>(0.6*$Y$6)+0.7*$AT$6</f>
        <v>0</v>
      </c>
      <c r="G131" s="361">
        <f>0.7*$AC$6+$AR$6*0.6</f>
        <v>0</v>
      </c>
      <c r="H131" s="361">
        <f t="shared" si="8"/>
        <v>0</v>
      </c>
      <c r="I131" s="362">
        <f>IF(Theta&lt;55,0,IF(-F131*Ecc&lt;0,0,-F131*Ecc))</f>
        <v>0</v>
      </c>
      <c r="M131" s="359">
        <v>21</v>
      </c>
      <c r="N131" s="360" t="s">
        <v>863</v>
      </c>
      <c r="O131" s="209" t="s">
        <v>807</v>
      </c>
      <c r="P131" s="361">
        <v>0</v>
      </c>
      <c r="Q131" s="361">
        <f>(0.6*$Y$9)+0.7*$AT$9</f>
        <v>0</v>
      </c>
      <c r="R131" s="361">
        <f>0.7*$AC$9+$AR$9*0.6</f>
        <v>0</v>
      </c>
      <c r="S131" s="361">
        <f t="shared" si="9"/>
        <v>0</v>
      </c>
      <c r="T131" s="362">
        <f>IF(Theta&lt;55,0,IF(-Q131*Ecc&lt;0,0,-Q131*Ecc))</f>
        <v>0</v>
      </c>
    </row>
    <row r="132" spans="1:20" ht="15.75" customHeight="1" thickBot="1" x14ac:dyDescent="0.3">
      <c r="B132" s="363">
        <v>22</v>
      </c>
      <c r="C132" s="364" t="s">
        <v>864</v>
      </c>
      <c r="D132" s="365" t="s">
        <v>807</v>
      </c>
      <c r="E132" s="366">
        <v>0</v>
      </c>
      <c r="F132" s="366">
        <f>(0.6*$Y$6)-0.7*$AT$6</f>
        <v>0</v>
      </c>
      <c r="G132" s="366">
        <f>-0.7*$AC$6+$AR$6*0.6</f>
        <v>0</v>
      </c>
      <c r="H132" s="366">
        <f t="shared" si="8"/>
        <v>0</v>
      </c>
      <c r="I132" s="367">
        <f>IF(Theta&lt;55,0,IF(-F132*Ecc&lt;0,0,-F132*Ecc))</f>
        <v>0</v>
      </c>
      <c r="M132" s="363">
        <v>22</v>
      </c>
      <c r="N132" s="364" t="s">
        <v>864</v>
      </c>
      <c r="O132" s="365" t="s">
        <v>807</v>
      </c>
      <c r="P132" s="366">
        <v>0</v>
      </c>
      <c r="Q132" s="366">
        <f>(0.6*$Y$9)-0.7*$AT$9</f>
        <v>0</v>
      </c>
      <c r="R132" s="366">
        <f>-0.7*$AC$9+$AR$9*0.6</f>
        <v>0</v>
      </c>
      <c r="S132" s="366">
        <f t="shared" si="9"/>
        <v>0</v>
      </c>
      <c r="T132" s="367">
        <f>IF(Theta&lt;55,0,IF(-Q132*Ecc&lt;0,0,-Q132*Ecc))</f>
        <v>0</v>
      </c>
    </row>
    <row r="133" spans="1:20" x14ac:dyDescent="0.25">
      <c r="B133" s="368" t="s">
        <v>865</v>
      </c>
      <c r="C133" s="369" t="s">
        <v>866</v>
      </c>
      <c r="M133" s="368" t="s">
        <v>865</v>
      </c>
      <c r="N133" s="369" t="s">
        <v>866</v>
      </c>
    </row>
    <row r="134" spans="1:20" x14ac:dyDescent="0.25">
      <c r="B134" s="368" t="s">
        <v>836</v>
      </c>
      <c r="C134" s="369" t="s">
        <v>837</v>
      </c>
      <c r="M134" s="368" t="s">
        <v>836</v>
      </c>
      <c r="N134" s="369" t="s">
        <v>837</v>
      </c>
    </row>
    <row r="135" spans="1:20" x14ac:dyDescent="0.25">
      <c r="B135" s="368" t="s">
        <v>838</v>
      </c>
      <c r="C135" s="369" t="s">
        <v>839</v>
      </c>
      <c r="M135" s="368" t="s">
        <v>838</v>
      </c>
      <c r="N135" s="369" t="s">
        <v>839</v>
      </c>
    </row>
    <row r="136" spans="1:20" x14ac:dyDescent="0.25">
      <c r="A136" s="260"/>
      <c r="B136" s="368" t="s">
        <v>474</v>
      </c>
      <c r="C136" s="369" t="s">
        <v>840</v>
      </c>
      <c r="L136" s="260"/>
      <c r="M136" s="368" t="s">
        <v>474</v>
      </c>
      <c r="N136" s="369" t="s">
        <v>840</v>
      </c>
    </row>
    <row r="137" spans="1:20" x14ac:dyDescent="0.25">
      <c r="B137" s="368" t="s">
        <v>867</v>
      </c>
      <c r="C137" s="369" t="s">
        <v>868</v>
      </c>
      <c r="M137" s="368" t="s">
        <v>867</v>
      </c>
      <c r="N137" s="369" t="s">
        <v>868</v>
      </c>
    </row>
    <row r="138" spans="1:20" x14ac:dyDescent="0.25">
      <c r="B138" s="368" t="s">
        <v>266</v>
      </c>
      <c r="C138" s="369" t="s">
        <v>869</v>
      </c>
      <c r="M138" s="368" t="s">
        <v>266</v>
      </c>
      <c r="N138" s="369" t="s">
        <v>869</v>
      </c>
    </row>
    <row r="139" spans="1:20" x14ac:dyDescent="0.25">
      <c r="B139" s="368"/>
      <c r="C139" s="369"/>
      <c r="M139" s="368"/>
      <c r="N139" s="369"/>
    </row>
    <row r="140" spans="1:20" x14ac:dyDescent="0.25">
      <c r="B140" s="7"/>
      <c r="C140" s="77"/>
      <c r="D140" s="7"/>
      <c r="M140" s="7"/>
      <c r="N140" s="77"/>
      <c r="O140" s="7"/>
    </row>
    <row r="141" spans="1:20" x14ac:dyDescent="0.25">
      <c r="B141" s="7"/>
      <c r="C141" s="77"/>
      <c r="D141" s="7"/>
      <c r="E141" s="370"/>
      <c r="F141" s="370"/>
      <c r="G141" s="370"/>
      <c r="H141" s="370"/>
      <c r="I141" s="370"/>
      <c r="M141" s="7"/>
      <c r="N141" s="77"/>
      <c r="O141" s="7"/>
      <c r="P141" s="370"/>
      <c r="Q141" s="370"/>
      <c r="R141" s="370"/>
      <c r="S141" s="370"/>
      <c r="T141" s="370"/>
    </row>
    <row r="142" spans="1:20" x14ac:dyDescent="0.25">
      <c r="B142" s="7"/>
      <c r="C142" s="77"/>
      <c r="D142" s="7"/>
      <c r="E142" s="370"/>
      <c r="F142" s="370"/>
      <c r="G142" s="370"/>
      <c r="H142" s="370"/>
      <c r="I142" s="370"/>
      <c r="M142" s="7"/>
      <c r="N142" s="77"/>
      <c r="O142" s="7"/>
      <c r="P142" s="370"/>
      <c r="Q142" s="370"/>
      <c r="R142" s="370"/>
      <c r="S142" s="370"/>
      <c r="T142" s="370"/>
    </row>
    <row r="143" spans="1:20" x14ac:dyDescent="0.25">
      <c r="B143" s="7"/>
      <c r="C143" s="77"/>
      <c r="D143" s="7"/>
      <c r="E143" s="370"/>
      <c r="F143" s="370"/>
      <c r="G143" s="370"/>
      <c r="H143" s="370"/>
      <c r="I143" s="370"/>
      <c r="M143" s="7"/>
      <c r="N143" s="77"/>
      <c r="O143" s="7"/>
      <c r="P143" s="370"/>
      <c r="Q143" s="370"/>
      <c r="R143" s="370"/>
      <c r="S143" s="370"/>
      <c r="T143" s="370"/>
    </row>
    <row r="144" spans="1:20" x14ac:dyDescent="0.25">
      <c r="B144" s="7"/>
      <c r="C144" s="77"/>
      <c r="D144" s="7"/>
      <c r="E144" s="370"/>
      <c r="F144" s="370"/>
      <c r="G144" s="370"/>
      <c r="H144" s="370"/>
      <c r="I144" s="370"/>
      <c r="M144" s="7"/>
      <c r="N144" s="77"/>
      <c r="O144" s="7"/>
      <c r="P144" s="370"/>
      <c r="Q144" s="370"/>
      <c r="R144" s="370"/>
      <c r="S144" s="370"/>
      <c r="T144" s="370"/>
    </row>
    <row r="145" spans="2:20" x14ac:dyDescent="0.25">
      <c r="B145" s="7"/>
      <c r="C145" s="77"/>
      <c r="D145" s="7"/>
      <c r="E145" s="370"/>
      <c r="F145" s="370"/>
      <c r="G145" s="370"/>
      <c r="H145" s="370"/>
      <c r="I145" s="370"/>
      <c r="M145" s="7"/>
      <c r="N145" s="77"/>
      <c r="O145" s="7"/>
      <c r="P145" s="370"/>
      <c r="Q145" s="370"/>
      <c r="R145" s="370"/>
      <c r="S145" s="370"/>
      <c r="T145" s="370"/>
    </row>
    <row r="146" spans="2:20" x14ac:dyDescent="0.25">
      <c r="B146" s="7"/>
      <c r="C146" s="77"/>
      <c r="D146" s="7"/>
      <c r="E146" s="370"/>
      <c r="F146" s="370"/>
      <c r="G146" s="370"/>
      <c r="H146" s="370"/>
      <c r="I146" s="370"/>
      <c r="M146" s="7"/>
      <c r="N146" s="77"/>
      <c r="O146" s="7"/>
      <c r="P146" s="370"/>
      <c r="Q146" s="370"/>
      <c r="R146" s="370"/>
      <c r="S146" s="370"/>
      <c r="T146" s="370"/>
    </row>
  </sheetData>
  <mergeCells count="42">
    <mergeCell ref="F104:G105"/>
    <mergeCell ref="N2:O2"/>
    <mergeCell ref="M11:T11"/>
    <mergeCell ref="C53:D53"/>
    <mergeCell ref="N102:O102"/>
    <mergeCell ref="B60:I60"/>
    <mergeCell ref="M10:T10"/>
    <mergeCell ref="B61:I61"/>
    <mergeCell ref="C56:D56"/>
    <mergeCell ref="N52:O52"/>
    <mergeCell ref="Q56:R57"/>
    <mergeCell ref="C2:D2"/>
    <mergeCell ref="B10:I10"/>
    <mergeCell ref="F6:G7"/>
    <mergeCell ref="C52:D52"/>
    <mergeCell ref="M61:T61"/>
    <mergeCell ref="N6:O6"/>
    <mergeCell ref="Q6:R7"/>
    <mergeCell ref="N53:O53"/>
    <mergeCell ref="C4:D4"/>
    <mergeCell ref="N56:O56"/>
    <mergeCell ref="N3:O3"/>
    <mergeCell ref="C54:D54"/>
    <mergeCell ref="B11:I11"/>
    <mergeCell ref="C3:D3"/>
    <mergeCell ref="N4:O4"/>
    <mergeCell ref="N101:O101"/>
    <mergeCell ref="C101:D101"/>
    <mergeCell ref="N104:O104"/>
    <mergeCell ref="C6:D6"/>
    <mergeCell ref="B109:I109"/>
    <mergeCell ref="F56:G57"/>
    <mergeCell ref="C104:D104"/>
    <mergeCell ref="N54:O54"/>
    <mergeCell ref="N100:O100"/>
    <mergeCell ref="C100:D100"/>
    <mergeCell ref="M60:T60"/>
    <mergeCell ref="M109:T109"/>
    <mergeCell ref="Q104:R105"/>
    <mergeCell ref="M108:T108"/>
    <mergeCell ref="B108:I108"/>
    <mergeCell ref="C102:D102"/>
  </mergeCells>
  <pageMargins left="0.7" right="0.7" top="0.75" bottom="0.75" header="0.3" footer="0.3"/>
  <pageSetup scale="55" orientation="landscape" r:id="rId1"/>
  <rowBreaks count="2" manualBreakCount="2">
    <brk id="50" max="21" man="1"/>
    <brk id="98" max="21" man="1"/>
  </rowBreaks>
  <colBreaks count="1" manualBreakCount="1">
    <brk id="11" max="145"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8"/>
  <dimension ref="A2:AT146"/>
  <sheetViews>
    <sheetView view="pageBreakPreview" zoomScale="80" zoomScaleNormal="100" zoomScaleSheetLayoutView="80" workbookViewId="0">
      <selection activeCell="K37" sqref="K37"/>
    </sheetView>
  </sheetViews>
  <sheetFormatPr defaultRowHeight="15" x14ac:dyDescent="0.25"/>
  <cols>
    <col min="2" max="2" width="22.28515625" bestFit="1" customWidth="1"/>
    <col min="3" max="3" width="41.85546875" customWidth="1"/>
    <col min="4" max="4" width="17.5703125" customWidth="1"/>
    <col min="5" max="5" width="16.7109375" customWidth="1"/>
    <col min="6" max="6" width="15.42578125" customWidth="1"/>
    <col min="7" max="7" width="14.140625" customWidth="1"/>
    <col min="8" max="8" width="13" customWidth="1"/>
    <col min="9" max="9" width="14.42578125" customWidth="1"/>
    <col min="13" max="13" width="22.28515625" bestFit="1" customWidth="1"/>
    <col min="14" max="14" width="41.85546875" customWidth="1"/>
    <col min="15" max="15" width="16.5703125" bestFit="1" customWidth="1"/>
    <col min="16" max="16" width="15.140625" customWidth="1"/>
    <col min="17" max="17" width="13.85546875" customWidth="1"/>
    <col min="18" max="18" width="11.7109375" customWidth="1"/>
    <col min="19" max="19" width="15.5703125" customWidth="1"/>
    <col min="20" max="20" width="13.140625" customWidth="1"/>
    <col min="24" max="24" width="15.42578125" bestFit="1" customWidth="1"/>
    <col min="26" max="26" width="15.7109375" bestFit="1" customWidth="1"/>
    <col min="27" max="29" width="20.7109375" customWidth="1"/>
    <col min="30" max="30" width="23.5703125" bestFit="1" customWidth="1"/>
    <col min="31" max="31" width="23.85546875" customWidth="1"/>
    <col min="32" max="32" width="23.5703125" bestFit="1" customWidth="1"/>
    <col min="33" max="33" width="24.7109375" bestFit="1" customWidth="1"/>
    <col min="34" max="34" width="20.7109375" customWidth="1"/>
    <col min="35" max="35" width="21.7109375" customWidth="1"/>
    <col min="36" max="36" width="23.5703125" bestFit="1" customWidth="1"/>
    <col min="37" max="37" width="26.42578125" bestFit="1" customWidth="1"/>
    <col min="38" max="38" width="28.85546875" customWidth="1"/>
    <col min="39" max="39" width="26.42578125" bestFit="1" customWidth="1"/>
    <col min="40" max="40" width="27.7109375" bestFit="1" customWidth="1"/>
    <col min="41" max="42" width="28.140625" bestFit="1" customWidth="1"/>
    <col min="43" max="43" width="17.140625" bestFit="1" customWidth="1"/>
    <col min="44" max="44" width="15" customWidth="1"/>
    <col min="45" max="45" width="19.85546875" bestFit="1" customWidth="1"/>
    <col min="46" max="46" width="22.85546875" bestFit="1" customWidth="1"/>
  </cols>
  <sheetData>
    <row r="2" spans="2:46" ht="15.75" customHeight="1" x14ac:dyDescent="0.25">
      <c r="B2" s="345" t="s">
        <v>442</v>
      </c>
      <c r="C2" s="716" t="str">
        <f>Inputs!B1</f>
        <v xml:space="preserve">Customer </v>
      </c>
      <c r="D2" s="554"/>
      <c r="E2" s="346"/>
      <c r="M2" s="345" t="s">
        <v>442</v>
      </c>
      <c r="N2" s="716" t="str">
        <f>$C$2</f>
        <v xml:space="preserve">Customer </v>
      </c>
      <c r="O2" s="554"/>
      <c r="P2" s="346"/>
      <c r="AO2" t="s">
        <v>164</v>
      </c>
      <c r="AP2" t="s">
        <v>164</v>
      </c>
    </row>
    <row r="3" spans="2:46" ht="15.75" customHeight="1" x14ac:dyDescent="0.25">
      <c r="B3" s="347" t="s">
        <v>443</v>
      </c>
      <c r="C3" s="713" t="str">
        <f>Inputs!B2</f>
        <v xml:space="preserve">Project </v>
      </c>
      <c r="D3" s="556"/>
      <c r="E3" s="346"/>
      <c r="M3" s="347" t="s">
        <v>443</v>
      </c>
      <c r="N3" s="713" t="str">
        <f>$C$3</f>
        <v xml:space="preserve">Project </v>
      </c>
      <c r="O3" s="556"/>
      <c r="P3" s="346"/>
      <c r="AH3" s="386"/>
      <c r="AI3" s="386"/>
      <c r="AK3" s="386"/>
      <c r="AL3" s="386"/>
      <c r="AM3" s="386"/>
      <c r="AN3" s="386"/>
      <c r="AO3" s="30"/>
      <c r="AP3" s="30"/>
    </row>
    <row r="4" spans="2:46" ht="15.75" customHeight="1" x14ac:dyDescent="0.25">
      <c r="B4" s="347" t="s">
        <v>444</v>
      </c>
      <c r="C4" s="713" t="str">
        <f>Inputs!B3</f>
        <v xml:space="preserve">City, State Zip </v>
      </c>
      <c r="D4" s="556"/>
      <c r="E4" s="346"/>
      <c r="M4" s="347" t="s">
        <v>444</v>
      </c>
      <c r="N4" s="713" t="str">
        <f>$C$4</f>
        <v xml:space="preserve">City, State Zip </v>
      </c>
      <c r="O4" s="556"/>
      <c r="P4" s="346"/>
      <c r="X4" s="35"/>
      <c r="Y4" s="35" t="s">
        <v>771</v>
      </c>
      <c r="Z4" s="35" t="s">
        <v>772</v>
      </c>
      <c r="AA4" s="35" t="s">
        <v>773</v>
      </c>
      <c r="AB4" s="35" t="s">
        <v>774</v>
      </c>
      <c r="AC4" s="35" t="s">
        <v>775</v>
      </c>
      <c r="AD4" s="35" t="s">
        <v>776</v>
      </c>
      <c r="AE4" s="35" t="s">
        <v>777</v>
      </c>
      <c r="AF4" s="35" t="s">
        <v>778</v>
      </c>
      <c r="AG4" s="35" t="s">
        <v>779</v>
      </c>
      <c r="AH4" s="341" t="s">
        <v>780</v>
      </c>
      <c r="AI4" s="332" t="s">
        <v>781</v>
      </c>
      <c r="AJ4" s="373" t="s">
        <v>782</v>
      </c>
      <c r="AK4" s="332" t="s">
        <v>783</v>
      </c>
      <c r="AL4" s="332" t="s">
        <v>784</v>
      </c>
      <c r="AM4" s="332" t="s">
        <v>785</v>
      </c>
      <c r="AN4" s="332" t="s">
        <v>786</v>
      </c>
      <c r="AO4" s="6" t="s">
        <v>787</v>
      </c>
      <c r="AP4" s="6" t="s">
        <v>788</v>
      </c>
      <c r="AQ4" s="35" t="s">
        <v>789</v>
      </c>
      <c r="AR4" s="35" t="s">
        <v>790</v>
      </c>
      <c r="AS4" s="35" t="s">
        <v>791</v>
      </c>
      <c r="AT4" s="35" t="s">
        <v>842</v>
      </c>
    </row>
    <row r="5" spans="2:46" ht="16.5" customHeight="1" thickBot="1" x14ac:dyDescent="0.3">
      <c r="B5" s="347" t="s">
        <v>792</v>
      </c>
      <c r="C5" s="346" t="e">
        <f>"1x"&amp;(P_Left+P_Right)&amp;" FTS Configuration"</f>
        <v>#VALUE!</v>
      </c>
      <c r="D5" s="348"/>
      <c r="E5" s="346"/>
      <c r="M5" s="347" t="s">
        <v>792</v>
      </c>
      <c r="N5" s="346" t="e">
        <f>$C$5</f>
        <v>#VALUE!</v>
      </c>
      <c r="O5" s="348"/>
      <c r="P5" s="346"/>
      <c r="X5" s="35" t="s">
        <v>0</v>
      </c>
      <c r="Y5" s="35">
        <f>'Top of Pile Load Calcs'!CV36</f>
        <v>0</v>
      </c>
      <c r="Z5" s="35">
        <f>'Top of Pile Load Calcs'!CW36</f>
        <v>0</v>
      </c>
      <c r="AA5" s="35">
        <f>IF(Theta=55, 0, 'Top of Pile Load Calcs'!CX36)</f>
        <v>0</v>
      </c>
      <c r="AB5" s="35">
        <f>'Top of Pile Load Calcs'!CY36</f>
        <v>0</v>
      </c>
      <c r="AC5" s="35">
        <f>'Top of Pile Load Calcs'!CZ36</f>
        <v>0</v>
      </c>
      <c r="AD5" s="35" t="e">
        <f>SIN(Radians)*'Top of Pile Load Calcs'!EA36</f>
        <v>#VALUE!</v>
      </c>
      <c r="AE5" s="35" t="e">
        <f>SIN(Radians)*'Top of Pile Load Calcs'!DZ36</f>
        <v>#VALUE!</v>
      </c>
      <c r="AF5" s="35" t="e">
        <f>COS(Radians)*'Top of Pile Load Calcs'!EA36</f>
        <v>#VALUE!</v>
      </c>
      <c r="AG5" s="35" t="e">
        <f>COS(Radians)*'Top of Pile Load Calcs'!DZ36</f>
        <v>#VALUE!</v>
      </c>
      <c r="AH5" s="35">
        <f>IF(Theta&lt;55,0,'Top of Pile Load Calcs'!EC36)</f>
        <v>0</v>
      </c>
      <c r="AI5" s="35">
        <f>IF(Theta&lt;55,0,'Top of Pile Load Calcs'!EB36)</f>
        <v>0</v>
      </c>
      <c r="AJ5" s="35">
        <f t="shared" ref="AJ5:AJ10" si="0">AC5*SMA</f>
        <v>0</v>
      </c>
      <c r="AK5" s="9" t="e">
        <f ca="1">AD5*Inputs!B58</f>
        <v>#VALUE!</v>
      </c>
      <c r="AL5" s="9" t="e">
        <f ca="1">AE5*Inputs!B57</f>
        <v>#VALUE!</v>
      </c>
      <c r="AM5" s="9" t="e">
        <f ca="1">AF5*Inputs!B58</f>
        <v>#VALUE!</v>
      </c>
      <c r="AN5" s="9" t="e">
        <f ca="1">AG5*Inputs!B57</f>
        <v>#VALUE!</v>
      </c>
      <c r="AO5" s="9" t="e">
        <f ca="1">AH5*Inputs!B58</f>
        <v>#VALUE!</v>
      </c>
      <c r="AP5" s="9" t="e">
        <f ca="1">AI5*Inputs!B57</f>
        <v>#VALUE!</v>
      </c>
      <c r="AQ5" s="9">
        <f t="shared" ref="AQ5:AQ10" si="1">AB5*SMA</f>
        <v>0</v>
      </c>
      <c r="AR5" s="9">
        <f t="shared" ref="AR5:AS7" si="2">Slope*Y5</f>
        <v>0</v>
      </c>
      <c r="AS5" s="9">
        <f t="shared" si="2"/>
        <v>0</v>
      </c>
      <c r="AT5" s="9">
        <f t="shared" ref="AT5:AT10" si="3">AB5</f>
        <v>0</v>
      </c>
    </row>
    <row r="6" spans="2:46" ht="15.75" customHeight="1" x14ac:dyDescent="0.25">
      <c r="B6" s="347" t="s">
        <v>793</v>
      </c>
      <c r="C6" s="710" t="str">
        <f>Inputs!B4</f>
        <v>X/XX/XX - XXX</v>
      </c>
      <c r="D6" s="711"/>
      <c r="E6" s="349"/>
      <c r="F6" s="718" t="s">
        <v>0</v>
      </c>
      <c r="G6" s="548"/>
      <c r="M6" s="347" t="s">
        <v>793</v>
      </c>
      <c r="N6" s="710" t="str">
        <f>$C$6</f>
        <v>X/XX/XX - XXX</v>
      </c>
      <c r="O6" s="711"/>
      <c r="P6" s="349"/>
      <c r="Q6" s="714" t="s">
        <v>2</v>
      </c>
      <c r="R6" s="548"/>
      <c r="X6" s="35" t="s">
        <v>1</v>
      </c>
      <c r="Y6" s="35">
        <f>'Top of Pile Load Calcs'!DA36</f>
        <v>0</v>
      </c>
      <c r="Z6" s="35">
        <f>'Top of Pile Load Calcs'!DB36</f>
        <v>0</v>
      </c>
      <c r="AA6" s="35">
        <f>IF(Theta=55,0, 'Top of Pile Load Calcs'!DC36)</f>
        <v>0</v>
      </c>
      <c r="AB6" s="35">
        <f>'Top of Pile Load Calcs'!DD36</f>
        <v>0</v>
      </c>
      <c r="AC6" s="35">
        <f>'Top of Pile Load Calcs'!DE36</f>
        <v>0</v>
      </c>
      <c r="AD6" s="35" t="e">
        <f>SIN(Radians)*'Top of Pile Load Calcs'!EE36</f>
        <v>#VALUE!</v>
      </c>
      <c r="AE6" s="35" t="e">
        <f>SIN(Radians)*'Top of Pile Load Calcs'!ED36</f>
        <v>#VALUE!</v>
      </c>
      <c r="AF6" s="35" t="e">
        <f>COS(Radians)*'Top of Pile Load Calcs'!EE36</f>
        <v>#VALUE!</v>
      </c>
      <c r="AG6" s="35" t="e">
        <f>COS(Radians)*'Top of Pile Load Calcs'!ED36</f>
        <v>#VALUE!</v>
      </c>
      <c r="AH6" s="35">
        <f>IF(Theta&lt;55,0,'Top of Pile Load Calcs'!EG36)</f>
        <v>0</v>
      </c>
      <c r="AI6" s="35">
        <f>IF(Theta&lt;55,0,'Top of Pile Load Calcs'!EF36)</f>
        <v>0</v>
      </c>
      <c r="AJ6" s="35">
        <f t="shared" si="0"/>
        <v>0</v>
      </c>
      <c r="AK6" s="9" t="e">
        <f ca="1">AD6*Inputs!B60</f>
        <v>#VALUE!</v>
      </c>
      <c r="AL6" s="9" t="e">
        <f ca="1">AE6*Inputs!B59</f>
        <v>#VALUE!</v>
      </c>
      <c r="AM6" s="9" t="e">
        <f ca="1">AF6*Inputs!B60</f>
        <v>#VALUE!</v>
      </c>
      <c r="AN6" s="9" t="e">
        <f ca="1">AG6*Inputs!B59</f>
        <v>#VALUE!</v>
      </c>
      <c r="AO6" s="9" t="e">
        <f ca="1">AH6*Inputs!B60</f>
        <v>#VALUE!</v>
      </c>
      <c r="AP6" s="9" t="e">
        <f ca="1">AI6*Inputs!B59</f>
        <v>#VALUE!</v>
      </c>
      <c r="AQ6" s="9">
        <f t="shared" si="1"/>
        <v>0</v>
      </c>
      <c r="AR6" s="9">
        <f t="shared" si="2"/>
        <v>0</v>
      </c>
      <c r="AS6" s="9">
        <f t="shared" si="2"/>
        <v>0</v>
      </c>
      <c r="AT6" s="9">
        <f t="shared" si="3"/>
        <v>0</v>
      </c>
    </row>
    <row r="7" spans="2:46" ht="16.5" customHeight="1" thickBot="1" x14ac:dyDescent="0.3">
      <c r="B7" s="350" t="s">
        <v>794</v>
      </c>
      <c r="C7" s="351" t="s">
        <v>795</v>
      </c>
      <c r="D7" s="372"/>
      <c r="E7" s="349"/>
      <c r="F7" s="550"/>
      <c r="G7" s="552"/>
      <c r="M7" s="350" t="s">
        <v>794</v>
      </c>
      <c r="N7" s="351" t="str">
        <f>$C$7</f>
        <v>TBD by Others</v>
      </c>
      <c r="O7" s="372"/>
      <c r="P7" s="349"/>
      <c r="Q7" s="550"/>
      <c r="R7" s="552"/>
      <c r="X7" s="35" t="s">
        <v>2</v>
      </c>
      <c r="Y7" s="35">
        <f>'Top of Pile Load Calcs'!DF36</f>
        <v>0</v>
      </c>
      <c r="Z7" s="35">
        <f>'Top of Pile Load Calcs'!DG36</f>
        <v>0</v>
      </c>
      <c r="AA7" s="35">
        <f>IF(Theta=55,0, 'Top of Pile Load Calcs'!DH36)</f>
        <v>0</v>
      </c>
      <c r="AB7" s="35">
        <f>'Top of Pile Load Calcs'!DI36</f>
        <v>0</v>
      </c>
      <c r="AC7" s="35">
        <f>'Top of Pile Load Calcs'!DJ36</f>
        <v>0</v>
      </c>
      <c r="AD7" s="35" t="e">
        <f>SIN(Radians)*'Top of Pile Load Calcs'!EI36</f>
        <v>#VALUE!</v>
      </c>
      <c r="AE7" s="35" t="e">
        <f>SIN(Radians)*'Top of Pile Load Calcs'!EH36</f>
        <v>#VALUE!</v>
      </c>
      <c r="AF7" s="35" t="e">
        <f>COS(Radians)*'Top of Pile Load Calcs'!EI36</f>
        <v>#VALUE!</v>
      </c>
      <c r="AG7" s="35" t="e">
        <f>COS(Radians)*'Top of Pile Load Calcs'!EH36</f>
        <v>#VALUE!</v>
      </c>
      <c r="AH7" s="35">
        <f>IF(Theta&lt;55,0,'Top of Pile Load Calcs'!EK36)</f>
        <v>0</v>
      </c>
      <c r="AI7" s="35">
        <f>IF(Theta&lt;55,0,'Top of Pile Load Calcs'!EJ36)</f>
        <v>0</v>
      </c>
      <c r="AJ7" s="35">
        <f t="shared" si="0"/>
        <v>0</v>
      </c>
      <c r="AK7" s="9" t="e">
        <f ca="1">AD7*Inputs!B62</f>
        <v>#VALUE!</v>
      </c>
      <c r="AL7" s="9" t="e">
        <f ca="1">AE7*Inputs!B61</f>
        <v>#VALUE!</v>
      </c>
      <c r="AM7" s="9" t="e">
        <f ca="1">AF7*Inputs!B62</f>
        <v>#VALUE!</v>
      </c>
      <c r="AN7" s="9" t="e">
        <f ca="1">AG7*Inputs!B61</f>
        <v>#VALUE!</v>
      </c>
      <c r="AO7" s="9" t="e">
        <f ca="1">AH7*Inputs!B62</f>
        <v>#VALUE!</v>
      </c>
      <c r="AP7" s="9" t="e">
        <f ca="1">AI7*Inputs!B61</f>
        <v>#VALUE!</v>
      </c>
      <c r="AQ7" s="9">
        <f t="shared" si="1"/>
        <v>0</v>
      </c>
      <c r="AR7" s="9">
        <f t="shared" si="2"/>
        <v>0</v>
      </c>
      <c r="AS7" s="9">
        <f t="shared" si="2"/>
        <v>0</v>
      </c>
      <c r="AT7" s="9">
        <f t="shared" si="3"/>
        <v>0</v>
      </c>
    </row>
    <row r="8" spans="2:46" ht="15.75" customHeight="1" x14ac:dyDescent="0.25">
      <c r="D8" s="371"/>
      <c r="E8" s="349"/>
      <c r="O8" s="371"/>
      <c r="P8" s="349"/>
      <c r="X8" s="35" t="s">
        <v>3</v>
      </c>
      <c r="Y8" s="35">
        <f>'Top of Pile Load Calcs'!DK36</f>
        <v>0</v>
      </c>
      <c r="Z8" s="35">
        <f>'Top of Pile Load Calcs'!DL36</f>
        <v>0</v>
      </c>
      <c r="AA8" s="35">
        <f>IF(Theta=55, 0, 'Top of Pile Load Calcs'!DM36)</f>
        <v>0</v>
      </c>
      <c r="AB8" s="35">
        <f>'Top of Pile Load Calcs'!DN36</f>
        <v>0</v>
      </c>
      <c r="AC8" s="35">
        <f>'Top of Pile Load Calcs'!DO36</f>
        <v>0</v>
      </c>
      <c r="AD8" s="35" t="e">
        <f>SIN(Radians)*'Top of Pile Load Calcs'!EM36</f>
        <v>#VALUE!</v>
      </c>
      <c r="AE8" s="35" t="e">
        <f>SIN(Radians)*'Top of Pile Load Calcs'!EL36</f>
        <v>#VALUE!</v>
      </c>
      <c r="AF8" s="35" t="e">
        <f>COS(Radians)*'Top of Pile Load Calcs'!EM36</f>
        <v>#VALUE!</v>
      </c>
      <c r="AG8" s="35" t="e">
        <f>COS(Radians)*'Top of Pile Load Calcs'!EL36</f>
        <v>#VALUE!</v>
      </c>
      <c r="AH8" s="35" t="e">
        <f>'Aerolastic Coefficients'!B51*-1</f>
        <v>#VALUE!</v>
      </c>
      <c r="AI8" s="35" t="e">
        <f>'Aerolastic Coefficients'!B50*-1</f>
        <v>#VALUE!</v>
      </c>
      <c r="AJ8" s="35">
        <f t="shared" si="0"/>
        <v>0</v>
      </c>
      <c r="AK8" s="9" t="e">
        <f ca="1">AD8*Inputs!B64</f>
        <v>#VALUE!</v>
      </c>
      <c r="AL8" s="9" t="e">
        <f ca="1">AE8*Inputs!B63</f>
        <v>#VALUE!</v>
      </c>
      <c r="AM8" s="9" t="e">
        <f ca="1">AF8*Inputs!B64</f>
        <v>#VALUE!</v>
      </c>
      <c r="AN8" s="9" t="e">
        <f ca="1">AG8*Inputs!B63</f>
        <v>#VALUE!</v>
      </c>
      <c r="AO8" s="9" t="e">
        <f>AH8</f>
        <v>#VALUE!</v>
      </c>
      <c r="AP8" s="9" t="e">
        <f>AI8</f>
        <v>#VALUE!</v>
      </c>
      <c r="AQ8" s="9">
        <f t="shared" si="1"/>
        <v>0</v>
      </c>
      <c r="AR8" s="9">
        <f>Slope*SUM('Top of Pile Load Calcs'!CQ5:CQ19)</f>
        <v>0</v>
      </c>
      <c r="AS8" s="9">
        <f>Slope*Z8</f>
        <v>0</v>
      </c>
      <c r="AT8" s="9">
        <f t="shared" si="3"/>
        <v>0</v>
      </c>
    </row>
    <row r="9" spans="2:46" ht="15.75" customHeight="1" thickBot="1" x14ac:dyDescent="0.3">
      <c r="X9" s="35" t="s">
        <v>4</v>
      </c>
      <c r="Y9" s="35">
        <f>'Top of Pile Load Calcs'!DP36</f>
        <v>0</v>
      </c>
      <c r="Z9" s="35">
        <f>'Top of Pile Load Calcs'!DQ36</f>
        <v>0</v>
      </c>
      <c r="AA9" s="35">
        <f>IF(Theta=55, 0, 'Top of Pile Load Calcs'!DR36)</f>
        <v>0</v>
      </c>
      <c r="AB9" s="35">
        <f>'Top of Pile Load Calcs'!DS36</f>
        <v>0</v>
      </c>
      <c r="AC9" s="35">
        <f>'Top of Pile Load Calcs'!DT36</f>
        <v>0</v>
      </c>
      <c r="AD9" s="35" t="e">
        <f>SIN(Radians)*'Top of Pile Load Calcs'!EQ36</f>
        <v>#VALUE!</v>
      </c>
      <c r="AE9" s="35" t="e">
        <f>SIN(Radians)*'Top of Pile Load Calcs'!EP36</f>
        <v>#VALUE!</v>
      </c>
      <c r="AF9" s="35" t="e">
        <f>COS(Radians)*'Top of Pile Load Calcs'!EQ36</f>
        <v>#VALUE!</v>
      </c>
      <c r="AG9" s="35" t="e">
        <f>COS(Radians)*'Top of Pile Load Calcs'!EP36</f>
        <v>#VALUE!</v>
      </c>
      <c r="AH9" s="35">
        <f>IF(Theta&lt;55,0,'Top of Pile Load Calcs'!ES36)</f>
        <v>0</v>
      </c>
      <c r="AI9" s="35">
        <f>IF(Theta&lt;55,0,'Top of Pile Load Calcs'!ER36)</f>
        <v>0</v>
      </c>
      <c r="AJ9" s="35">
        <f t="shared" si="0"/>
        <v>0</v>
      </c>
      <c r="AK9" s="9" t="e">
        <f ca="1">AD9*Inputs!B66</f>
        <v>#VALUE!</v>
      </c>
      <c r="AL9" s="9" t="e">
        <f ca="1">AE9*Inputs!B65</f>
        <v>#VALUE!</v>
      </c>
      <c r="AM9" s="9" t="e">
        <f ca="1">AF9*Inputs!B66</f>
        <v>#VALUE!</v>
      </c>
      <c r="AN9" s="9" t="e">
        <f ca="1">AG9*Inputs!B65</f>
        <v>#VALUE!</v>
      </c>
      <c r="AO9" s="9" t="e">
        <f ca="1">AH9*Inputs!B66</f>
        <v>#VALUE!</v>
      </c>
      <c r="AP9" s="9" t="e">
        <f ca="1">AI9*Inputs!B65</f>
        <v>#VALUE!</v>
      </c>
      <c r="AQ9" s="9">
        <f t="shared" si="1"/>
        <v>0</v>
      </c>
      <c r="AR9" s="9">
        <f>Slope*Y9</f>
        <v>0</v>
      </c>
      <c r="AS9" s="9">
        <f>Slope*Z9</f>
        <v>0</v>
      </c>
      <c r="AT9" s="9">
        <f t="shared" si="3"/>
        <v>0</v>
      </c>
    </row>
    <row r="10" spans="2:46" x14ac:dyDescent="0.25">
      <c r="B10" s="715" t="str">
        <f>"Factored Post Reaction - DRIVE @ "&amp;Inputs!$B$33&amp;" DEGREES"</f>
        <v>Factored Post Reaction - DRIVE @ XX DEGREES</v>
      </c>
      <c r="C10" s="547"/>
      <c r="D10" s="547"/>
      <c r="E10" s="547"/>
      <c r="F10" s="547"/>
      <c r="G10" s="547"/>
      <c r="H10" s="547"/>
      <c r="I10" s="548"/>
      <c r="M10" s="717" t="str">
        <f>"Factored Post Reaction - IDLER @ "&amp;Inputs!$B$33&amp;" DEGREES"</f>
        <v>Factored Post Reaction - IDLER @ XX DEGREES</v>
      </c>
      <c r="N10" s="547"/>
      <c r="O10" s="547"/>
      <c r="P10" s="547"/>
      <c r="Q10" s="547"/>
      <c r="R10" s="547"/>
      <c r="S10" s="547"/>
      <c r="T10" s="547"/>
      <c r="U10" s="14"/>
      <c r="X10" s="35" t="s">
        <v>796</v>
      </c>
      <c r="Y10" s="35">
        <f>'Top of Pile Load Calcs'!DU36</f>
        <v>0</v>
      </c>
      <c r="Z10" s="35">
        <f>'Top of Pile Load Calcs'!DV36</f>
        <v>0</v>
      </c>
      <c r="AA10" s="35">
        <f>IF(Theta=55,0,'Top of Pile Load Calcs'!DW36)</f>
        <v>0</v>
      </c>
      <c r="AB10" s="35">
        <f>'Top of Pile Load Calcs'!DX36</f>
        <v>0</v>
      </c>
      <c r="AC10" s="35">
        <f>'Top of Pile Load Calcs'!DY36</f>
        <v>0</v>
      </c>
      <c r="AD10" s="35" t="e">
        <f>SIN(Radians)*'Top of Pile Load Calcs'!EU36</f>
        <v>#VALUE!</v>
      </c>
      <c r="AE10" s="35" t="e">
        <f>SIN(Radians)*'Top of Pile Load Calcs'!ET36</f>
        <v>#VALUE!</v>
      </c>
      <c r="AF10" s="35" t="e">
        <f>COS(Radians)*'Top of Pile Load Calcs'!EU36</f>
        <v>#VALUE!</v>
      </c>
      <c r="AG10" s="35" t="e">
        <f>COS(Radians)*'Top of Pile Load Calcs'!ET36</f>
        <v>#VALUE!</v>
      </c>
      <c r="AH10" s="35" t="e">
        <f>'Aerolastic Coefficients'!B49*-1</f>
        <v>#VALUE!</v>
      </c>
      <c r="AI10" s="35" t="e">
        <f>'Aerolastic Coefficients'!B48*-1</f>
        <v>#VALUE!</v>
      </c>
      <c r="AJ10" s="35">
        <f t="shared" si="0"/>
        <v>0</v>
      </c>
      <c r="AK10" s="9" t="e">
        <f ca="1">AD10*Inputs!B58</f>
        <v>#VALUE!</v>
      </c>
      <c r="AL10" s="9" t="e">
        <f ca="1">AE10*Inputs!B57</f>
        <v>#VALUE!</v>
      </c>
      <c r="AM10" s="9" t="e">
        <f ca="1">AF10*Inputs!B58</f>
        <v>#VALUE!</v>
      </c>
      <c r="AN10" s="9" t="e">
        <f ca="1">AG10*Inputs!B57</f>
        <v>#VALUE!</v>
      </c>
      <c r="AO10" s="9" t="e">
        <f>AH10</f>
        <v>#VALUE!</v>
      </c>
      <c r="AP10" s="9" t="e">
        <f>AI10</f>
        <v>#VALUE!</v>
      </c>
      <c r="AQ10" s="9">
        <f t="shared" si="1"/>
        <v>0</v>
      </c>
      <c r="AR10" s="9">
        <f>Slope*SUM('Top of Pile Load Calcs'!CN5:CN19)</f>
        <v>0</v>
      </c>
      <c r="AS10" s="9">
        <f>Slope*Z10</f>
        <v>0</v>
      </c>
      <c r="AT10" s="9">
        <f t="shared" si="3"/>
        <v>0</v>
      </c>
    </row>
    <row r="11" spans="2:46" ht="15.75" customHeight="1" thickBot="1" x14ac:dyDescent="0.3">
      <c r="B11" s="712" t="s">
        <v>797</v>
      </c>
      <c r="C11" s="551"/>
      <c r="D11" s="551"/>
      <c r="E11" s="551"/>
      <c r="F11" s="551"/>
      <c r="G11" s="551"/>
      <c r="H11" s="551"/>
      <c r="I11" s="552"/>
      <c r="M11" s="712" t="str">
        <f>B11</f>
        <v xml:space="preserve">Top of Pile Loads </v>
      </c>
      <c r="N11" s="551"/>
      <c r="O11" s="551"/>
      <c r="P11" s="551"/>
      <c r="Q11" s="551"/>
      <c r="R11" s="551"/>
      <c r="S11" s="551"/>
      <c r="T11" s="552"/>
    </row>
    <row r="12" spans="2:46" ht="60.75" customHeight="1" thickBot="1" x14ac:dyDescent="0.3">
      <c r="B12" s="352" t="s">
        <v>798</v>
      </c>
      <c r="C12" s="352" t="s">
        <v>799</v>
      </c>
      <c r="D12" s="352" t="s">
        <v>800</v>
      </c>
      <c r="E12" s="353" t="s">
        <v>801</v>
      </c>
      <c r="F12" s="353" t="s">
        <v>802</v>
      </c>
      <c r="G12" s="353" t="s">
        <v>803</v>
      </c>
      <c r="H12" s="353" t="s">
        <v>804</v>
      </c>
      <c r="I12" s="353" t="s">
        <v>805</v>
      </c>
      <c r="M12" s="352" t="s">
        <v>798</v>
      </c>
      <c r="N12" s="352" t="s">
        <v>799</v>
      </c>
      <c r="O12" s="352" t="s">
        <v>800</v>
      </c>
      <c r="P12" s="353" t="s">
        <v>801</v>
      </c>
      <c r="Q12" s="353" t="s">
        <v>802</v>
      </c>
      <c r="R12" s="353" t="s">
        <v>803</v>
      </c>
      <c r="S12" s="353" t="s">
        <v>804</v>
      </c>
      <c r="T12" s="353" t="s">
        <v>805</v>
      </c>
    </row>
    <row r="13" spans="2:46" x14ac:dyDescent="0.25">
      <c r="B13" s="354">
        <v>1</v>
      </c>
      <c r="C13" s="355" t="s">
        <v>836</v>
      </c>
      <c r="D13" s="356" t="s">
        <v>807</v>
      </c>
      <c r="E13" s="357">
        <v>0</v>
      </c>
      <c r="F13" s="357">
        <f>$Y$10</f>
        <v>0</v>
      </c>
      <c r="G13" s="357">
        <f>$AR$10</f>
        <v>0</v>
      </c>
      <c r="H13" s="357">
        <f t="shared" ref="H13:H34" si="4">G13*SMA</f>
        <v>0</v>
      </c>
      <c r="I13" s="358">
        <f>-F13*Ecc</f>
        <v>0</v>
      </c>
      <c r="M13" s="354">
        <v>1</v>
      </c>
      <c r="N13" s="355" t="s">
        <v>836</v>
      </c>
      <c r="O13" s="356" t="s">
        <v>807</v>
      </c>
      <c r="P13" s="357">
        <v>0</v>
      </c>
      <c r="Q13" s="357">
        <f>$Y$7</f>
        <v>0</v>
      </c>
      <c r="R13" s="357">
        <f>$AR$7</f>
        <v>0</v>
      </c>
      <c r="S13" s="357">
        <f t="shared" ref="S13:S34" si="5">R13*SMA</f>
        <v>0</v>
      </c>
      <c r="T13" s="358">
        <f>IF(Theta&lt;55,0,IF((-Q13*Ecc)&lt;0,0, (-Q13*Ecc)))</f>
        <v>0</v>
      </c>
    </row>
    <row r="14" spans="2:46" x14ac:dyDescent="0.25">
      <c r="B14" s="359">
        <v>2</v>
      </c>
      <c r="C14" s="360" t="s">
        <v>870</v>
      </c>
      <c r="D14" s="209" t="s">
        <v>807</v>
      </c>
      <c r="E14" s="361">
        <v>0</v>
      </c>
      <c r="F14" s="361">
        <f>($Y$10+$Z$10)</f>
        <v>0</v>
      </c>
      <c r="G14" s="361">
        <f>$AR$10+$AS$10</f>
        <v>0</v>
      </c>
      <c r="H14" s="361">
        <f t="shared" si="4"/>
        <v>0</v>
      </c>
      <c r="I14" s="362">
        <f>-F14*Ecc</f>
        <v>0</v>
      </c>
      <c r="M14" s="359">
        <v>2</v>
      </c>
      <c r="N14" s="360" t="s">
        <v>870</v>
      </c>
      <c r="O14" s="209" t="s">
        <v>807</v>
      </c>
      <c r="P14" s="361">
        <v>0</v>
      </c>
      <c r="Q14" s="361">
        <f>($Y$7+$Z$7)</f>
        <v>0</v>
      </c>
      <c r="R14" s="361">
        <f>$AR$7+$AS$7</f>
        <v>0</v>
      </c>
      <c r="S14" s="361">
        <f t="shared" si="5"/>
        <v>0</v>
      </c>
      <c r="T14" s="362">
        <f>IF(Theta&lt;55,0,IF((-Q14*Ecc)&lt;0,0,(-Q14*Ecc)))</f>
        <v>0</v>
      </c>
    </row>
    <row r="15" spans="2:46" x14ac:dyDescent="0.25">
      <c r="B15" s="359">
        <v>3</v>
      </c>
      <c r="C15" s="360" t="s">
        <v>847</v>
      </c>
      <c r="D15" s="209" t="s">
        <v>807</v>
      </c>
      <c r="E15" s="361" t="e">
        <f ca="1">(0.6*$AL$10)+(0.6*$AA$10)</f>
        <v>#VALUE!</v>
      </c>
      <c r="F15" s="361" t="e">
        <f ca="1">($Y$10)+(0.6*($AN$10))</f>
        <v>#VALUE!</v>
      </c>
      <c r="G15" s="361">
        <f>$AR$10</f>
        <v>0</v>
      </c>
      <c r="H15" s="361">
        <f t="shared" si="4"/>
        <v>0</v>
      </c>
      <c r="I15" s="362" t="e">
        <f ca="1">(0.6*$AP$10)-(F15*Ecc)</f>
        <v>#VALUE!</v>
      </c>
      <c r="M15" s="359">
        <v>3</v>
      </c>
      <c r="N15" s="360" t="s">
        <v>847</v>
      </c>
      <c r="O15" s="209" t="s">
        <v>807</v>
      </c>
      <c r="P15" s="361" t="e">
        <f ca="1">(0.6*$AL$7)+(0.6*$AA$7)</f>
        <v>#VALUE!</v>
      </c>
      <c r="Q15" s="361" t="e">
        <f ca="1">($Y$7)+(0.6*($AN$7))</f>
        <v>#VALUE!</v>
      </c>
      <c r="R15" s="361">
        <f>$AR$7</f>
        <v>0</v>
      </c>
      <c r="S15" s="361">
        <f t="shared" si="5"/>
        <v>0</v>
      </c>
      <c r="T15" s="362" t="e">
        <f ca="1">IF(Theta&lt;55,0,IF(((0.6*$AP$7)-(Q15*Ecc))&lt;0,0,((0.6*$AP$7)-(Q15*Ecc))))</f>
        <v>#VALUE!</v>
      </c>
    </row>
    <row r="16" spans="2:46" x14ac:dyDescent="0.25">
      <c r="B16" s="359">
        <v>4</v>
      </c>
      <c r="C16" s="360" t="s">
        <v>848</v>
      </c>
      <c r="D16" s="209" t="s">
        <v>807</v>
      </c>
      <c r="E16" s="361" t="e">
        <f ca="1">(0.6*$AK$10)+(0.6*$AA$10)</f>
        <v>#VALUE!</v>
      </c>
      <c r="F16" s="361" t="e">
        <f ca="1">($Y$10)+(0.6*$AM$10)</f>
        <v>#VALUE!</v>
      </c>
      <c r="G16" s="361">
        <f>$AR$10</f>
        <v>0</v>
      </c>
      <c r="H16" s="361">
        <f t="shared" si="4"/>
        <v>0</v>
      </c>
      <c r="I16" s="362" t="e">
        <f ca="1">(0.6*$AO$10)-(F16*Ecc)</f>
        <v>#VALUE!</v>
      </c>
      <c r="M16" s="359">
        <v>4</v>
      </c>
      <c r="N16" s="360" t="s">
        <v>848</v>
      </c>
      <c r="O16" s="209" t="s">
        <v>807</v>
      </c>
      <c r="P16" s="361" t="e">
        <f ca="1">(0.6*$AK$7)+(0.6*$AA$7)</f>
        <v>#VALUE!</v>
      </c>
      <c r="Q16" s="361" t="e">
        <f ca="1">($Y$7)+(0.6*$AM$7)</f>
        <v>#VALUE!</v>
      </c>
      <c r="R16" s="361">
        <f>$AR$7</f>
        <v>0</v>
      </c>
      <c r="S16" s="361">
        <f t="shared" si="5"/>
        <v>0</v>
      </c>
      <c r="T16" s="362" t="e">
        <f ca="1">IF(Theta&lt;55,0,IF(((0.6*$AO$7)-(Q16*Ecc))&lt;0,0,((0.6*$AO$7)-(Q16*Ecc))))</f>
        <v>#VALUE!</v>
      </c>
    </row>
    <row r="17" spans="2:20" x14ac:dyDescent="0.25">
      <c r="B17" s="359">
        <v>5</v>
      </c>
      <c r="C17" s="360" t="s">
        <v>871</v>
      </c>
      <c r="D17" s="209" t="s">
        <v>807</v>
      </c>
      <c r="E17" s="361" t="e">
        <f>(0.45*$AE$10)+(0.45*$AA$10)</f>
        <v>#VALUE!</v>
      </c>
      <c r="F17" s="361" t="e">
        <f>($Y$10)+(0.45*$AG$10)+(0.75*$Z$10)</f>
        <v>#VALUE!</v>
      </c>
      <c r="G17" s="361">
        <f>$AR$10+0.75*$AS$10</f>
        <v>0</v>
      </c>
      <c r="H17" s="361">
        <f t="shared" si="4"/>
        <v>0</v>
      </c>
      <c r="I17" s="362" t="e">
        <f>(0.45*$AI$10)-(F17*Ecc)</f>
        <v>#VALUE!</v>
      </c>
      <c r="M17" s="359">
        <v>5</v>
      </c>
      <c r="N17" s="360" t="s">
        <v>871</v>
      </c>
      <c r="O17" s="209" t="s">
        <v>807</v>
      </c>
      <c r="P17" s="361" t="e">
        <f>(0.45*$AE$7)+(0.45*$AA$7)</f>
        <v>#VALUE!</v>
      </c>
      <c r="Q17" s="361" t="e">
        <f>($Y$7)+(0.45*$AG$7)+(0.75*$Z$7)</f>
        <v>#VALUE!</v>
      </c>
      <c r="R17" s="361">
        <f>$AR$7+0.77*$AS$7</f>
        <v>0</v>
      </c>
      <c r="S17" s="361">
        <f t="shared" si="5"/>
        <v>0</v>
      </c>
      <c r="T17" s="362" t="e">
        <f>IF(Theta&lt;55,0,IF(((0.45*$AI$7)-(Q17*Ecc))&lt;0,0,((0.45*$AI$7)-(Q17*Ecc))))</f>
        <v>#VALUE!</v>
      </c>
    </row>
    <row r="18" spans="2:20" x14ac:dyDescent="0.25">
      <c r="B18" s="359">
        <v>6</v>
      </c>
      <c r="C18" s="360" t="s">
        <v>872</v>
      </c>
      <c r="D18" s="209" t="s">
        <v>807</v>
      </c>
      <c r="E18" s="361" t="e">
        <f>(0.45*$AD$10)+(0.45*$AA$10)</f>
        <v>#VALUE!</v>
      </c>
      <c r="F18" s="361" t="e">
        <f>($Y$10)+(0.45*($AF$10))+(0.75*$Z$10)</f>
        <v>#VALUE!</v>
      </c>
      <c r="G18" s="361">
        <f>$AR$10+0.75*$AS$10</f>
        <v>0</v>
      </c>
      <c r="H18" s="361">
        <f t="shared" si="4"/>
        <v>0</v>
      </c>
      <c r="I18" s="362" t="e">
        <f>(0.45*$AH$10)-(F18*Ecc)</f>
        <v>#VALUE!</v>
      </c>
      <c r="M18" s="359">
        <v>6</v>
      </c>
      <c r="N18" s="360" t="s">
        <v>872</v>
      </c>
      <c r="O18" s="209" t="s">
        <v>807</v>
      </c>
      <c r="P18" s="361" t="e">
        <f>(0.45*$AD$7)+(0.45*$AA$7)</f>
        <v>#VALUE!</v>
      </c>
      <c r="Q18" s="361" t="e">
        <f>($Y$7)+(0.45*($AF$7))+(0.75*$Z$7)</f>
        <v>#VALUE!</v>
      </c>
      <c r="R18" s="361">
        <f>$AR$7+0.77*$AS$7</f>
        <v>0</v>
      </c>
      <c r="S18" s="361">
        <f t="shared" si="5"/>
        <v>0</v>
      </c>
      <c r="T18" s="362" t="e">
        <f>IF(Theta&lt;55,0,IF(((0.45*$AH$7)-(Q18*Ecc))&lt;0,0,((0.45*$AH$7)-(Q18*Ecc))))</f>
        <v>#VALUE!</v>
      </c>
    </row>
    <row r="19" spans="2:20" x14ac:dyDescent="0.25">
      <c r="B19" s="359">
        <v>7</v>
      </c>
      <c r="C19" s="360" t="s">
        <v>873</v>
      </c>
      <c r="D19" s="209" t="s">
        <v>807</v>
      </c>
      <c r="E19" s="361" t="e">
        <f ca="1">+(0.45*($AL$10+$AA$10))</f>
        <v>#VALUE!</v>
      </c>
      <c r="F19" s="361" t="e">
        <f ca="1">($Y$10)+(0.45*$AN$10)+(0.25*$Z$10)</f>
        <v>#VALUE!</v>
      </c>
      <c r="G19" s="361">
        <f>$AR$10+0.75*$AS$10</f>
        <v>0</v>
      </c>
      <c r="H19" s="361">
        <f t="shared" si="4"/>
        <v>0</v>
      </c>
      <c r="I19" s="362" t="e">
        <f ca="1">(0.45*$AP$10)-(F19*Ecc)</f>
        <v>#VALUE!</v>
      </c>
      <c r="M19" s="359">
        <v>7</v>
      </c>
      <c r="N19" s="360" t="s">
        <v>873</v>
      </c>
      <c r="O19" s="209" t="s">
        <v>807</v>
      </c>
      <c r="P19" s="361" t="e">
        <f ca="1">+(0.45*($AL$7+$AA$7))</f>
        <v>#VALUE!</v>
      </c>
      <c r="Q19" s="361" t="e">
        <f ca="1">($Y$7)+(0.45*$AN$7)+(0.25*$Z$7)</f>
        <v>#VALUE!</v>
      </c>
      <c r="R19" s="361">
        <f>$AR$7+0.77*$AS$7</f>
        <v>0</v>
      </c>
      <c r="S19" s="361">
        <f t="shared" si="5"/>
        <v>0</v>
      </c>
      <c r="T19" s="362" t="e">
        <f ca="1">IF(Theta&lt;55,0,IF(((0.45*$AP$7)-(Q19*Ecc))&lt;0,0, ((0.45*$AP$7)-(Q19*Ecc))))</f>
        <v>#VALUE!</v>
      </c>
    </row>
    <row r="20" spans="2:20" x14ac:dyDescent="0.25">
      <c r="B20" s="359">
        <v>8</v>
      </c>
      <c r="C20" s="360" t="s">
        <v>874</v>
      </c>
      <c r="D20" s="209" t="s">
        <v>807</v>
      </c>
      <c r="E20" s="361" t="e">
        <f ca="1">(0.45*($AA$10+$AK$10))</f>
        <v>#VALUE!</v>
      </c>
      <c r="F20" s="361" t="e">
        <f ca="1">($Y$10)+(0.45*$AM$10)+(0.25*$Z$10)</f>
        <v>#VALUE!</v>
      </c>
      <c r="G20" s="361">
        <f>$AR$10+0.75*$AS$10</f>
        <v>0</v>
      </c>
      <c r="H20" s="361">
        <f t="shared" si="4"/>
        <v>0</v>
      </c>
      <c r="I20" s="362" t="e">
        <f ca="1">(0.45*$AO$10)-(F20*Ecc)</f>
        <v>#VALUE!</v>
      </c>
      <c r="M20" s="359">
        <v>8</v>
      </c>
      <c r="N20" s="360" t="s">
        <v>874</v>
      </c>
      <c r="O20" s="209" t="s">
        <v>807</v>
      </c>
      <c r="P20" s="361" t="e">
        <f ca="1">(0.45*($AA$7+$AK$7))</f>
        <v>#VALUE!</v>
      </c>
      <c r="Q20" s="361" t="e">
        <f ca="1">($Y$7)+(0.45*$AM$7)+(0.25*$Z$7)</f>
        <v>#VALUE!</v>
      </c>
      <c r="R20" s="361">
        <f>$AR$7+0.77*$AS$7</f>
        <v>0</v>
      </c>
      <c r="S20" s="361">
        <f t="shared" si="5"/>
        <v>0</v>
      </c>
      <c r="T20" s="362" t="e">
        <f ca="1">IF(Theta&lt;55,0,IF(((0.45*$AO$7)-(Q20*Ecc))&lt;0,0,((0.45*$AO$7)-(Q20*Ecc))))</f>
        <v>#VALUE!</v>
      </c>
    </row>
    <row r="21" spans="2:20" x14ac:dyDescent="0.25">
      <c r="B21" s="359">
        <v>9</v>
      </c>
      <c r="C21" s="360" t="s">
        <v>851</v>
      </c>
      <c r="D21" s="209" t="s">
        <v>807</v>
      </c>
      <c r="E21" s="361" t="e">
        <f ca="1">(0.6*($AA$10+$AL$10))</f>
        <v>#VALUE!</v>
      </c>
      <c r="F21" s="361" t="e">
        <f ca="1">(0.6*$Y$10)+($AN$10*0.6)</f>
        <v>#VALUE!</v>
      </c>
      <c r="G21" s="361">
        <f>$AR$10*0.6</f>
        <v>0</v>
      </c>
      <c r="H21" s="361">
        <f t="shared" si="4"/>
        <v>0</v>
      </c>
      <c r="I21" s="362" t="e">
        <f ca="1">(0.6*$AP$10)-(F21*Ecc)</f>
        <v>#VALUE!</v>
      </c>
      <c r="M21" s="359">
        <v>9</v>
      </c>
      <c r="N21" s="360" t="s">
        <v>851</v>
      </c>
      <c r="O21" s="209" t="s">
        <v>807</v>
      </c>
      <c r="P21" s="361" t="e">
        <f ca="1">(0.6*($AA$7+$AL$7))</f>
        <v>#VALUE!</v>
      </c>
      <c r="Q21" s="361" t="e">
        <f ca="1">(0.6*$Y$7)+($AN$7*0.6)</f>
        <v>#VALUE!</v>
      </c>
      <c r="R21" s="361">
        <f>$AR$7*0.7</f>
        <v>0</v>
      </c>
      <c r="S21" s="361">
        <f t="shared" si="5"/>
        <v>0</v>
      </c>
      <c r="T21" s="362" t="e">
        <f ca="1">IF(Theta&lt;55,0,IF(((0.6*$AP$7)-(Q21*Ecc))&lt;0,0,((0.6*$AP$7)-(Q21*Ecc))))</f>
        <v>#VALUE!</v>
      </c>
    </row>
    <row r="22" spans="2:20" x14ac:dyDescent="0.25">
      <c r="B22" s="359">
        <v>10</v>
      </c>
      <c r="C22" s="360" t="s">
        <v>852</v>
      </c>
      <c r="D22" s="209" t="s">
        <v>807</v>
      </c>
      <c r="E22" s="361" t="e">
        <f ca="1">(0.6*($AA$10+$AK$10))</f>
        <v>#VALUE!</v>
      </c>
      <c r="F22" s="361" t="e">
        <f ca="1">(0.6*$Y$10)+(0.6*$AM$10)</f>
        <v>#VALUE!</v>
      </c>
      <c r="G22" s="361">
        <f>$AR$10*0.6</f>
        <v>0</v>
      </c>
      <c r="H22" s="361">
        <f t="shared" si="4"/>
        <v>0</v>
      </c>
      <c r="I22" s="362" t="e">
        <f ca="1">(0.6*$AO$10)-(F22*Ecc)</f>
        <v>#VALUE!</v>
      </c>
      <c r="M22" s="359">
        <v>10</v>
      </c>
      <c r="N22" s="360" t="s">
        <v>852</v>
      </c>
      <c r="O22" s="209" t="s">
        <v>807</v>
      </c>
      <c r="P22" s="361" t="e">
        <f ca="1">(0.6*($AA$7+$AK$7))</f>
        <v>#VALUE!</v>
      </c>
      <c r="Q22" s="361" t="e">
        <f ca="1">(0.6*$Y$7)+(0.6*$AM$7)</f>
        <v>#VALUE!</v>
      </c>
      <c r="R22" s="361">
        <f>$AR$7*0.7</f>
        <v>0</v>
      </c>
      <c r="S22" s="361">
        <f t="shared" si="5"/>
        <v>0</v>
      </c>
      <c r="T22" s="362" t="e">
        <f ca="1">IF(Theta&lt;55,0,IF(((0.6*$AO$7)-(Q22*Ecc))&lt;0,0,((0.6*$AO$7)-(Q22*Ecc))))</f>
        <v>#VALUE!</v>
      </c>
    </row>
    <row r="23" spans="2:20" x14ac:dyDescent="0.25">
      <c r="B23" s="359">
        <v>11</v>
      </c>
      <c r="C23" s="360" t="s">
        <v>853</v>
      </c>
      <c r="D23" s="209" t="s">
        <v>807</v>
      </c>
      <c r="E23" s="361">
        <f>(0.7*$AB$10)</f>
        <v>0</v>
      </c>
      <c r="F23" s="361">
        <f>($Y$10)+0.7*$AT$10</f>
        <v>0</v>
      </c>
      <c r="G23" s="361">
        <f>$AR$10</f>
        <v>0</v>
      </c>
      <c r="H23" s="361">
        <f t="shared" si="4"/>
        <v>0</v>
      </c>
      <c r="I23" s="362">
        <f>(0.7*$AQ$10)-(F23*Ecc)</f>
        <v>0</v>
      </c>
      <c r="M23" s="359">
        <v>11</v>
      </c>
      <c r="N23" s="360" t="s">
        <v>853</v>
      </c>
      <c r="O23" s="209" t="s">
        <v>807</v>
      </c>
      <c r="P23" s="361">
        <f>(0.7*$AB$7)</f>
        <v>0</v>
      </c>
      <c r="Q23" s="361">
        <f>($Y$7)+0.7*$AT$7</f>
        <v>0</v>
      </c>
      <c r="R23" s="361">
        <f>$AR$7</f>
        <v>0</v>
      </c>
      <c r="S23" s="361">
        <f t="shared" si="5"/>
        <v>0</v>
      </c>
      <c r="T23" s="362">
        <f>IF(Theta&lt;55,0,IF(((0.7*$AQ$7)-(Q23*Ecc))&lt;0,0,((0.7*$AQ$7)-(Q23*Ecc))))</f>
        <v>0</v>
      </c>
    </row>
    <row r="24" spans="2:20" x14ac:dyDescent="0.25">
      <c r="B24" s="359">
        <v>12</v>
      </c>
      <c r="C24" s="360" t="s">
        <v>854</v>
      </c>
      <c r="D24" s="209" t="s">
        <v>807</v>
      </c>
      <c r="E24" s="361">
        <f>-(0.7*$AB$10)</f>
        <v>0</v>
      </c>
      <c r="F24" s="361">
        <f>$Y$10-0.7*$AT$10</f>
        <v>0</v>
      </c>
      <c r="G24" s="361">
        <f>$AR$10</f>
        <v>0</v>
      </c>
      <c r="H24" s="361">
        <f t="shared" si="4"/>
        <v>0</v>
      </c>
      <c r="I24" s="362">
        <f>(-0.7*$AQ$10)-(F24*Ecc)</f>
        <v>0</v>
      </c>
      <c r="M24" s="359">
        <v>12</v>
      </c>
      <c r="N24" s="360" t="s">
        <v>854</v>
      </c>
      <c r="O24" s="209" t="s">
        <v>807</v>
      </c>
      <c r="P24" s="361">
        <f>-(0.7*$AB$7)</f>
        <v>0</v>
      </c>
      <c r="Q24" s="361">
        <f>$Y$7-0.7*$AT$7</f>
        <v>0</v>
      </c>
      <c r="R24" s="361">
        <f>$AR$7</f>
        <v>0</v>
      </c>
      <c r="S24" s="361">
        <f t="shared" si="5"/>
        <v>0</v>
      </c>
      <c r="T24" s="362">
        <f>IF(Theta&lt;55,0,IF(((-0.7*$AQ$7)-(Q24*Ecc))&lt;0,0,((-0.7*$AQ$7)-(Q24*Ecc))))</f>
        <v>0</v>
      </c>
    </row>
    <row r="25" spans="2:20" x14ac:dyDescent="0.25">
      <c r="B25" s="359">
        <v>13</v>
      </c>
      <c r="C25" s="360" t="s">
        <v>855</v>
      </c>
      <c r="D25" s="209" t="s">
        <v>807</v>
      </c>
      <c r="E25" s="361">
        <v>0</v>
      </c>
      <c r="F25" s="361">
        <f>$Y$10+0.7*$AT$10</f>
        <v>0</v>
      </c>
      <c r="G25" s="361">
        <f>0.7*$AC$10+$AR$10</f>
        <v>0</v>
      </c>
      <c r="H25" s="361">
        <f t="shared" si="4"/>
        <v>0</v>
      </c>
      <c r="I25" s="362">
        <f>-F25*Ecc</f>
        <v>0</v>
      </c>
      <c r="M25" s="359">
        <v>13</v>
      </c>
      <c r="N25" s="360" t="s">
        <v>855</v>
      </c>
      <c r="O25" s="209" t="s">
        <v>807</v>
      </c>
      <c r="P25" s="361">
        <v>0</v>
      </c>
      <c r="Q25" s="361">
        <f>$Y$7+0.7*$AT$7</f>
        <v>0</v>
      </c>
      <c r="R25" s="361">
        <f>0.7*$AC$7+$AR$7</f>
        <v>0</v>
      </c>
      <c r="S25" s="361">
        <f t="shared" si="5"/>
        <v>0</v>
      </c>
      <c r="T25" s="362">
        <f>IF(Theta&lt;55,0,IF((-Q25*Ecc)&lt;0,0,(-Q25*Ecc)))</f>
        <v>0</v>
      </c>
    </row>
    <row r="26" spans="2:20" x14ac:dyDescent="0.25">
      <c r="B26" s="359">
        <v>14</v>
      </c>
      <c r="C26" s="360" t="s">
        <v>856</v>
      </c>
      <c r="D26" s="209" t="s">
        <v>807</v>
      </c>
      <c r="E26" s="361">
        <v>0</v>
      </c>
      <c r="F26" s="361">
        <f>$Y$10-0.7*$AT$10</f>
        <v>0</v>
      </c>
      <c r="G26" s="361">
        <f>-0.7*$AC$10+$AR$10</f>
        <v>0</v>
      </c>
      <c r="H26" s="361">
        <f t="shared" si="4"/>
        <v>0</v>
      </c>
      <c r="I26" s="362">
        <f>-F26*Ecc</f>
        <v>0</v>
      </c>
      <c r="M26" s="359">
        <v>14</v>
      </c>
      <c r="N26" s="360" t="s">
        <v>856</v>
      </c>
      <c r="O26" s="209" t="s">
        <v>807</v>
      </c>
      <c r="P26" s="361">
        <v>0</v>
      </c>
      <c r="Q26" s="361">
        <f>$Y$7-0.7*$AT$7</f>
        <v>0</v>
      </c>
      <c r="R26" s="361">
        <f>-0.7*$AC$7+$AR$7</f>
        <v>0</v>
      </c>
      <c r="S26" s="361">
        <f t="shared" si="5"/>
        <v>0</v>
      </c>
      <c r="T26" s="362">
        <f>IF(Theta&lt;55,0,IF((-Q26*Ecc)&lt;0,0,(-Q26*Ecc)))</f>
        <v>0</v>
      </c>
    </row>
    <row r="27" spans="2:20" x14ac:dyDescent="0.25">
      <c r="B27" s="359">
        <v>15</v>
      </c>
      <c r="C27" s="360" t="s">
        <v>875</v>
      </c>
      <c r="D27" s="209" t="s">
        <v>807</v>
      </c>
      <c r="E27" s="361">
        <f>(0.525*$AB$10)</f>
        <v>0</v>
      </c>
      <c r="F27" s="361">
        <f>($Y$10)+(0.75*$Z$10)+0.525*$AT$10</f>
        <v>0</v>
      </c>
      <c r="G27" s="361">
        <f>$AR$10+0.75*$AS$10</f>
        <v>0</v>
      </c>
      <c r="H27" s="361">
        <f t="shared" si="4"/>
        <v>0</v>
      </c>
      <c r="I27" s="362">
        <f>(0.525*$AQ$10)-(F27*Ecc)</f>
        <v>0</v>
      </c>
      <c r="M27" s="359">
        <v>15</v>
      </c>
      <c r="N27" s="360" t="s">
        <v>875</v>
      </c>
      <c r="O27" s="209" t="s">
        <v>807</v>
      </c>
      <c r="P27" s="361">
        <f>(0.525*$AB$7)</f>
        <v>0</v>
      </c>
      <c r="Q27" s="361">
        <f>($Y$7)+(0.75*$Z$7)+0.525*$AT$7</f>
        <v>0</v>
      </c>
      <c r="R27" s="361">
        <f>$AR$7+0.77*$AS$7</f>
        <v>0</v>
      </c>
      <c r="S27" s="361">
        <f t="shared" si="5"/>
        <v>0</v>
      </c>
      <c r="T27" s="362">
        <f>IF(Theta&lt;55,0,IF(((0.525*$AQ$7)-(Q27*Ecc))&lt;0,0,((0.525*$AQ$7)-(Q27*Ecc))))</f>
        <v>0</v>
      </c>
    </row>
    <row r="28" spans="2:20" x14ac:dyDescent="0.25">
      <c r="B28" s="359">
        <v>16</v>
      </c>
      <c r="C28" s="360" t="s">
        <v>876</v>
      </c>
      <c r="D28" s="209" t="s">
        <v>807</v>
      </c>
      <c r="E28" s="361">
        <f>-(0.525*$AB$10)</f>
        <v>0</v>
      </c>
      <c r="F28" s="361">
        <f>($Y$10)+(0.75*$Z$10)-0.525*$AT$10</f>
        <v>0</v>
      </c>
      <c r="G28" s="361">
        <f>$AR$10+0.75*$AS$10</f>
        <v>0</v>
      </c>
      <c r="H28" s="361">
        <f t="shared" si="4"/>
        <v>0</v>
      </c>
      <c r="I28" s="362">
        <f>(-0.525*$AQ$10)-(F28*Ecc)</f>
        <v>0</v>
      </c>
      <c r="M28" s="359">
        <v>16</v>
      </c>
      <c r="N28" s="360" t="s">
        <v>876</v>
      </c>
      <c r="O28" s="209" t="s">
        <v>807</v>
      </c>
      <c r="P28" s="361">
        <f>-(0.525*$AB$7)</f>
        <v>0</v>
      </c>
      <c r="Q28" s="361">
        <f>($Y$7)+(0.75*$Z$7)-0.525*$AT$7</f>
        <v>0</v>
      </c>
      <c r="R28" s="361">
        <f>$AR$7+0.77*$AS$7</f>
        <v>0</v>
      </c>
      <c r="S28" s="361">
        <f t="shared" si="5"/>
        <v>0</v>
      </c>
      <c r="T28" s="362">
        <f>IF(Theta&lt;55,0,IF(((-0.525*$AQ$7)-(Q28*Ecc))&lt;0,0,((-0.525*$AQ$7)-(Q28*Ecc))))</f>
        <v>0</v>
      </c>
    </row>
    <row r="29" spans="2:20" x14ac:dyDescent="0.25">
      <c r="B29" s="359">
        <v>17</v>
      </c>
      <c r="C29" s="360" t="s">
        <v>877</v>
      </c>
      <c r="D29" s="209" t="s">
        <v>807</v>
      </c>
      <c r="E29" s="361">
        <v>0</v>
      </c>
      <c r="F29" s="361">
        <f>($Y$10)+(0.75*$Z$10)+0.525*$AT$10</f>
        <v>0</v>
      </c>
      <c r="G29" s="361">
        <f>0.525*$AC$10+$AR$10+0.75*$AS$10</f>
        <v>0</v>
      </c>
      <c r="H29" s="361">
        <f t="shared" si="4"/>
        <v>0</v>
      </c>
      <c r="I29" s="362">
        <f>-F29*Ecc</f>
        <v>0</v>
      </c>
      <c r="M29" s="359">
        <v>17</v>
      </c>
      <c r="N29" s="360" t="s">
        <v>877</v>
      </c>
      <c r="O29" s="209" t="s">
        <v>807</v>
      </c>
      <c r="P29" s="361">
        <v>0</v>
      </c>
      <c r="Q29" s="361">
        <f>($Y$7)+(0.75*$Z$7)+0.525*$AT$7</f>
        <v>0</v>
      </c>
      <c r="R29" s="361">
        <f>0.727*$AC$7+$AR$7+0.77*$AS$7</f>
        <v>0</v>
      </c>
      <c r="S29" s="361">
        <f t="shared" si="5"/>
        <v>0</v>
      </c>
      <c r="T29" s="362">
        <f>IF(Theta&lt;55,0,IF((-Q29*Ecc)&lt;0,0,(-Q29*Ecc)))</f>
        <v>0</v>
      </c>
    </row>
    <row r="30" spans="2:20" x14ac:dyDescent="0.25">
      <c r="B30" s="359">
        <v>18</v>
      </c>
      <c r="C30" s="360" t="s">
        <v>878</v>
      </c>
      <c r="D30" s="209" t="s">
        <v>807</v>
      </c>
      <c r="E30" s="361">
        <v>0</v>
      </c>
      <c r="F30" s="361">
        <f>($Y$10)+(0.75*$Z$10)-0.525*$AT$10</f>
        <v>0</v>
      </c>
      <c r="G30" s="361">
        <f>-0.525*$AC$10+$AR$10+0.75*$AS$10</f>
        <v>0</v>
      </c>
      <c r="H30" s="361">
        <f t="shared" si="4"/>
        <v>0</v>
      </c>
      <c r="I30" s="362">
        <f>-F30*Ecc</f>
        <v>0</v>
      </c>
      <c r="M30" s="359">
        <v>18</v>
      </c>
      <c r="N30" s="360" t="s">
        <v>878</v>
      </c>
      <c r="O30" s="209" t="s">
        <v>807</v>
      </c>
      <c r="P30" s="361">
        <v>0</v>
      </c>
      <c r="Q30" s="361">
        <f>($Y$7)+(0.75*$Z$7)-0.525*$AT$7</f>
        <v>0</v>
      </c>
      <c r="R30" s="361">
        <f>-0.727*$AC$7+$AR$7+0.77*$AS$7</f>
        <v>0</v>
      </c>
      <c r="S30" s="361">
        <f t="shared" si="5"/>
        <v>0</v>
      </c>
      <c r="T30" s="362">
        <f>IF(Theta&lt;55,0,IF((-Q30*Ecc)&lt;0,0,(-Q30*Ecc)))</f>
        <v>0</v>
      </c>
    </row>
    <row r="31" spans="2:20" x14ac:dyDescent="0.25">
      <c r="B31" s="359">
        <v>19</v>
      </c>
      <c r="C31" s="360" t="s">
        <v>861</v>
      </c>
      <c r="D31" s="209" t="s">
        <v>807</v>
      </c>
      <c r="E31" s="361">
        <f>(0.7*$AB$10)</f>
        <v>0</v>
      </c>
      <c r="F31" s="361">
        <f>($Y$10)*0.6+0.7*$AT$10</f>
        <v>0</v>
      </c>
      <c r="G31" s="361">
        <f>$AR$10*0.6</f>
        <v>0</v>
      </c>
      <c r="H31" s="361">
        <f t="shared" si="4"/>
        <v>0</v>
      </c>
      <c r="I31" s="362">
        <f>(0.7*$AQ$10)-(F31*Ecc)</f>
        <v>0</v>
      </c>
      <c r="M31" s="359">
        <v>19</v>
      </c>
      <c r="N31" s="360" t="s">
        <v>861</v>
      </c>
      <c r="O31" s="209" t="s">
        <v>807</v>
      </c>
      <c r="P31" s="361">
        <f>(0.7*$AB$7)</f>
        <v>0</v>
      </c>
      <c r="Q31" s="361">
        <f>($Y$7)*0.6+0.7*$AT$7</f>
        <v>0</v>
      </c>
      <c r="R31" s="361">
        <f>$AR$7*0.7</f>
        <v>0</v>
      </c>
      <c r="S31" s="361">
        <f t="shared" si="5"/>
        <v>0</v>
      </c>
      <c r="T31" s="362">
        <f>IF(Theta&lt;55,0,IF(((0.7*$AQ$7)-(Q31*Ecc))&lt;0,0,((0.7*$AQ$7)-(Q31*Ecc))))</f>
        <v>0</v>
      </c>
    </row>
    <row r="32" spans="2:20" x14ac:dyDescent="0.25">
      <c r="B32" s="359">
        <v>20</v>
      </c>
      <c r="C32" s="360" t="s">
        <v>862</v>
      </c>
      <c r="D32" s="209" t="s">
        <v>807</v>
      </c>
      <c r="E32" s="361">
        <f>-(0.7*$AB$10)</f>
        <v>0</v>
      </c>
      <c r="F32" s="361">
        <f>0.6*$Y$10-0.7*$AT$10</f>
        <v>0</v>
      </c>
      <c r="G32" s="361">
        <f>$AR$10*0.6</f>
        <v>0</v>
      </c>
      <c r="H32" s="361">
        <f t="shared" si="4"/>
        <v>0</v>
      </c>
      <c r="I32" s="362">
        <f>(-0.7*$AQ$10)-(F32*Ecc)</f>
        <v>0</v>
      </c>
      <c r="M32" s="359">
        <v>20</v>
      </c>
      <c r="N32" s="360" t="s">
        <v>862</v>
      </c>
      <c r="O32" s="209" t="s">
        <v>807</v>
      </c>
      <c r="P32" s="361">
        <f>-(0.7*$AB$7)</f>
        <v>0</v>
      </c>
      <c r="Q32" s="361">
        <f>0.6*$Y$7-0.7*$AT$7</f>
        <v>0</v>
      </c>
      <c r="R32" s="361">
        <f>$AR$7*0.7</f>
        <v>0</v>
      </c>
      <c r="S32" s="361">
        <f t="shared" si="5"/>
        <v>0</v>
      </c>
      <c r="T32" s="362">
        <f>IF(Theta&lt;55,0,IF(((-0.7*$AQ$7)-(Q32*Ecc))&lt;0,0,((-0.7*$AQ$7)-(Q32*Ecc))))</f>
        <v>0</v>
      </c>
    </row>
    <row r="33" spans="1:20" x14ac:dyDescent="0.25">
      <c r="B33" s="359">
        <v>21</v>
      </c>
      <c r="C33" s="360" t="s">
        <v>863</v>
      </c>
      <c r="D33" s="209" t="s">
        <v>807</v>
      </c>
      <c r="E33" s="361">
        <v>0</v>
      </c>
      <c r="F33" s="361">
        <f>(0.6*$Y$10)+0.7*$AT$10</f>
        <v>0</v>
      </c>
      <c r="G33" s="361">
        <f>0.7*$AC$10+$AR$10*0.6</f>
        <v>0</v>
      </c>
      <c r="H33" s="361">
        <f t="shared" si="4"/>
        <v>0</v>
      </c>
      <c r="I33" s="362">
        <f>-F33*Ecc</f>
        <v>0</v>
      </c>
      <c r="M33" s="359">
        <v>21</v>
      </c>
      <c r="N33" s="360" t="s">
        <v>863</v>
      </c>
      <c r="O33" s="209" t="s">
        <v>807</v>
      </c>
      <c r="P33" s="361">
        <v>0</v>
      </c>
      <c r="Q33" s="361">
        <f>(0.6*$Y$7)+0.7*$AT$7</f>
        <v>0</v>
      </c>
      <c r="R33" s="361">
        <f>0.7*$AC$7+$AR$7*0.7</f>
        <v>0</v>
      </c>
      <c r="S33" s="361">
        <f t="shared" si="5"/>
        <v>0</v>
      </c>
      <c r="T33" s="362">
        <f>IF(Theta&lt;55,0,IF((-Q33*Ecc)&lt;0,0,(-Q33*Ecc)))</f>
        <v>0</v>
      </c>
    </row>
    <row r="34" spans="1:20" ht="15.75" customHeight="1" thickBot="1" x14ac:dyDescent="0.3">
      <c r="B34" s="363">
        <v>22</v>
      </c>
      <c r="C34" s="364" t="s">
        <v>864</v>
      </c>
      <c r="D34" s="365" t="s">
        <v>807</v>
      </c>
      <c r="E34" s="366">
        <v>0</v>
      </c>
      <c r="F34" s="366">
        <f>(0.6*$Y$10)-0.7*$AT$10</f>
        <v>0</v>
      </c>
      <c r="G34" s="366">
        <f>-0.7*$AC$10+$AR$10*0.6</f>
        <v>0</v>
      </c>
      <c r="H34" s="366">
        <f t="shared" si="4"/>
        <v>0</v>
      </c>
      <c r="I34" s="367">
        <f>-F34*Ecc</f>
        <v>0</v>
      </c>
      <c r="M34" s="363">
        <v>22</v>
      </c>
      <c r="N34" s="364" t="s">
        <v>864</v>
      </c>
      <c r="O34" s="365" t="s">
        <v>807</v>
      </c>
      <c r="P34" s="366">
        <v>0</v>
      </c>
      <c r="Q34" s="366">
        <f>(0.6*$Y$7)-0.7*$AT$7</f>
        <v>0</v>
      </c>
      <c r="R34" s="366">
        <f>-0.7*$AC$7+$AR$7*0.7</f>
        <v>0</v>
      </c>
      <c r="S34" s="366">
        <f t="shared" si="5"/>
        <v>0</v>
      </c>
      <c r="T34" s="367">
        <f>IF(Theta&lt;55,0,IF((-Q34*Ecc)&lt;0,0,(-Q34*Ecc)))</f>
        <v>0</v>
      </c>
    </row>
    <row r="35" spans="1:20" x14ac:dyDescent="0.25">
      <c r="B35" s="368" t="s">
        <v>865</v>
      </c>
      <c r="C35" s="369" t="s">
        <v>866</v>
      </c>
      <c r="M35" s="368" t="s">
        <v>865</v>
      </c>
      <c r="N35" s="369" t="s">
        <v>866</v>
      </c>
    </row>
    <row r="36" spans="1:20" x14ac:dyDescent="0.25">
      <c r="B36" s="368" t="s">
        <v>836</v>
      </c>
      <c r="C36" s="369" t="s">
        <v>837</v>
      </c>
      <c r="M36" s="368" t="s">
        <v>836</v>
      </c>
      <c r="N36" s="369" t="s">
        <v>837</v>
      </c>
    </row>
    <row r="37" spans="1:20" x14ac:dyDescent="0.25">
      <c r="B37" s="368" t="s">
        <v>838</v>
      </c>
      <c r="C37" s="369" t="s">
        <v>839</v>
      </c>
      <c r="M37" s="368" t="s">
        <v>838</v>
      </c>
      <c r="N37" s="369" t="s">
        <v>839</v>
      </c>
    </row>
    <row r="38" spans="1:20" x14ac:dyDescent="0.25">
      <c r="A38" s="260"/>
      <c r="B38" s="368" t="s">
        <v>474</v>
      </c>
      <c r="C38" s="369" t="s">
        <v>840</v>
      </c>
      <c r="L38" s="260"/>
      <c r="M38" s="368" t="s">
        <v>474</v>
      </c>
      <c r="N38" s="369" t="s">
        <v>840</v>
      </c>
    </row>
    <row r="39" spans="1:20" x14ac:dyDescent="0.25">
      <c r="B39" s="368" t="s">
        <v>867</v>
      </c>
      <c r="C39" s="369" t="s">
        <v>868</v>
      </c>
      <c r="M39" s="368" t="s">
        <v>867</v>
      </c>
      <c r="N39" s="369" t="s">
        <v>868</v>
      </c>
    </row>
    <row r="40" spans="1:20" x14ac:dyDescent="0.25">
      <c r="B40" s="368" t="s">
        <v>266</v>
      </c>
      <c r="C40" s="369" t="s">
        <v>869</v>
      </c>
      <c r="M40" s="368" t="s">
        <v>266</v>
      </c>
      <c r="N40" s="369" t="s">
        <v>869</v>
      </c>
    </row>
    <row r="41" spans="1:20" x14ac:dyDescent="0.25">
      <c r="B41" s="368" t="s">
        <v>879</v>
      </c>
      <c r="C41" s="369" t="s">
        <v>880</v>
      </c>
      <c r="M41" s="368" t="s">
        <v>879</v>
      </c>
      <c r="N41" s="369" t="s">
        <v>880</v>
      </c>
    </row>
    <row r="42" spans="1:20" x14ac:dyDescent="0.25">
      <c r="B42" s="7"/>
      <c r="C42" s="77"/>
      <c r="D42" s="7"/>
      <c r="M42" s="7"/>
      <c r="N42" s="77"/>
      <c r="O42" s="7"/>
    </row>
    <row r="43" spans="1:20" x14ac:dyDescent="0.25">
      <c r="B43" s="7"/>
      <c r="C43" s="77"/>
      <c r="D43" s="7"/>
      <c r="E43" s="370"/>
      <c r="F43" s="370"/>
      <c r="G43" s="370"/>
      <c r="H43" s="370"/>
      <c r="I43" s="370"/>
      <c r="M43" s="7"/>
      <c r="N43" s="77"/>
      <c r="O43" s="7"/>
      <c r="P43" s="370"/>
      <c r="Q43" s="370"/>
      <c r="R43" s="370"/>
      <c r="S43" s="370"/>
      <c r="T43" s="370"/>
    </row>
    <row r="44" spans="1:20" x14ac:dyDescent="0.25">
      <c r="B44" s="7"/>
      <c r="C44" s="77"/>
      <c r="D44" s="7"/>
      <c r="E44" s="370"/>
      <c r="F44" s="370"/>
      <c r="G44" s="370"/>
      <c r="H44" s="370"/>
      <c r="I44" s="370"/>
      <c r="M44" s="7"/>
      <c r="N44" s="77"/>
      <c r="O44" s="7"/>
      <c r="P44" s="370"/>
      <c r="Q44" s="370"/>
      <c r="R44" s="370"/>
      <c r="S44" s="370"/>
      <c r="T44" s="370"/>
    </row>
    <row r="45" spans="1:20" x14ac:dyDescent="0.25">
      <c r="B45" s="7"/>
      <c r="C45" s="77"/>
      <c r="D45" s="7"/>
      <c r="E45" s="370"/>
      <c r="F45" s="370"/>
      <c r="G45" s="370"/>
      <c r="H45" s="370"/>
      <c r="I45" s="370"/>
      <c r="M45" s="7"/>
      <c r="N45" s="77"/>
      <c r="O45" s="7"/>
      <c r="P45" s="370"/>
      <c r="Q45" s="370"/>
      <c r="R45" s="370"/>
      <c r="S45" s="370"/>
      <c r="T45" s="370"/>
    </row>
    <row r="46" spans="1:20" x14ac:dyDescent="0.25">
      <c r="B46" s="7"/>
      <c r="C46" s="77"/>
      <c r="D46" s="7"/>
      <c r="E46" s="370"/>
      <c r="F46" s="370"/>
      <c r="G46" s="370"/>
      <c r="H46" s="370"/>
      <c r="I46" s="370"/>
      <c r="M46" s="7"/>
      <c r="N46" s="77"/>
      <c r="O46" s="7"/>
      <c r="P46" s="370"/>
      <c r="Q46" s="370"/>
      <c r="R46" s="370"/>
      <c r="S46" s="370"/>
      <c r="T46" s="370"/>
    </row>
    <row r="47" spans="1:20" x14ac:dyDescent="0.25">
      <c r="B47" s="7"/>
      <c r="C47" s="77"/>
      <c r="D47" s="7"/>
      <c r="E47" s="370"/>
      <c r="F47" s="370"/>
      <c r="G47" s="370"/>
      <c r="H47" s="370"/>
      <c r="I47" s="370"/>
      <c r="M47" s="7"/>
      <c r="N47" s="77"/>
      <c r="O47" s="7"/>
      <c r="P47" s="370"/>
      <c r="Q47" s="370"/>
      <c r="R47" s="370"/>
      <c r="S47" s="370"/>
      <c r="T47" s="370"/>
    </row>
    <row r="48" spans="1:20" x14ac:dyDescent="0.25">
      <c r="B48" s="7"/>
      <c r="C48" s="77"/>
      <c r="D48" s="7"/>
      <c r="E48" s="370"/>
      <c r="F48" s="370"/>
      <c r="G48" s="370"/>
      <c r="H48" s="370"/>
      <c r="I48" s="370"/>
      <c r="M48" s="7"/>
      <c r="N48" s="77"/>
      <c r="O48" s="7"/>
      <c r="P48" s="370"/>
      <c r="Q48" s="370"/>
      <c r="R48" s="370"/>
      <c r="S48" s="370"/>
      <c r="T48" s="370"/>
    </row>
    <row r="49" spans="2:20" x14ac:dyDescent="0.25">
      <c r="B49" s="7"/>
      <c r="C49" s="77"/>
      <c r="D49" s="7"/>
      <c r="E49" s="370"/>
      <c r="F49" s="370"/>
      <c r="G49" s="370"/>
      <c r="H49" s="370"/>
      <c r="I49" s="370"/>
      <c r="M49" s="7"/>
      <c r="N49" s="77"/>
      <c r="O49" s="7"/>
      <c r="P49" s="370"/>
      <c r="Q49" s="370"/>
      <c r="R49" s="370"/>
      <c r="S49" s="370"/>
      <c r="T49" s="370"/>
    </row>
    <row r="50" spans="2:20" x14ac:dyDescent="0.25">
      <c r="B50" s="7"/>
      <c r="C50" s="77"/>
      <c r="D50" s="7"/>
      <c r="E50" s="370"/>
      <c r="F50" s="370"/>
      <c r="G50" s="370"/>
      <c r="H50" s="370"/>
      <c r="I50" s="370"/>
      <c r="M50" s="7"/>
      <c r="N50" s="77"/>
      <c r="O50" s="7"/>
      <c r="P50" s="370"/>
      <c r="Q50" s="370"/>
      <c r="R50" s="370"/>
      <c r="S50" s="370"/>
      <c r="T50" s="370"/>
    </row>
    <row r="52" spans="2:20" ht="15.75" customHeight="1" x14ac:dyDescent="0.25">
      <c r="B52" s="345" t="s">
        <v>442</v>
      </c>
      <c r="C52" s="716" t="str">
        <f>$C$2</f>
        <v xml:space="preserve">Customer </v>
      </c>
      <c r="D52" s="554"/>
      <c r="E52" s="346"/>
      <c r="M52" s="345" t="s">
        <v>442</v>
      </c>
      <c r="N52" s="716" t="str">
        <f>$C$2</f>
        <v xml:space="preserve">Customer </v>
      </c>
      <c r="O52" s="554"/>
      <c r="P52" s="346"/>
    </row>
    <row r="53" spans="2:20" ht="15.75" customHeight="1" x14ac:dyDescent="0.25">
      <c r="B53" s="347" t="s">
        <v>443</v>
      </c>
      <c r="C53" s="713" t="str">
        <f>$C$3</f>
        <v xml:space="preserve">Project </v>
      </c>
      <c r="D53" s="556"/>
      <c r="E53" s="346"/>
      <c r="M53" s="347" t="s">
        <v>443</v>
      </c>
      <c r="N53" s="713" t="str">
        <f>$C$3</f>
        <v xml:space="preserve">Project </v>
      </c>
      <c r="O53" s="556"/>
      <c r="P53" s="346"/>
    </row>
    <row r="54" spans="2:20" ht="15.75" customHeight="1" x14ac:dyDescent="0.25">
      <c r="B54" s="347" t="s">
        <v>444</v>
      </c>
      <c r="C54" s="713" t="str">
        <f>$C$4</f>
        <v xml:space="preserve">City, State Zip </v>
      </c>
      <c r="D54" s="556"/>
      <c r="E54" s="346"/>
      <c r="M54" s="347" t="s">
        <v>444</v>
      </c>
      <c r="N54" s="713" t="str">
        <f>$C$4</f>
        <v xml:space="preserve">City, State Zip </v>
      </c>
      <c r="O54" s="556"/>
      <c r="P54" s="346"/>
    </row>
    <row r="55" spans="2:20" ht="16.5" customHeight="1" thickBot="1" x14ac:dyDescent="0.3">
      <c r="B55" s="347" t="s">
        <v>792</v>
      </c>
      <c r="C55" s="346" t="e">
        <f>$C$5</f>
        <v>#VALUE!</v>
      </c>
      <c r="D55" s="348"/>
      <c r="E55" s="346"/>
      <c r="M55" s="347" t="s">
        <v>792</v>
      </c>
      <c r="N55" s="346" t="e">
        <f>$C$5</f>
        <v>#VALUE!</v>
      </c>
      <c r="O55" s="348"/>
      <c r="P55" s="346"/>
    </row>
    <row r="56" spans="2:20" ht="15.75" customHeight="1" x14ac:dyDescent="0.25">
      <c r="B56" s="347" t="s">
        <v>793</v>
      </c>
      <c r="C56" s="710" t="str">
        <f>$C$6</f>
        <v>X/XX/XX - XXX</v>
      </c>
      <c r="D56" s="711"/>
      <c r="E56" s="349"/>
      <c r="F56" s="718" t="s">
        <v>0</v>
      </c>
      <c r="G56" s="548"/>
      <c r="M56" s="347" t="s">
        <v>793</v>
      </c>
      <c r="N56" s="710" t="str">
        <f>$C$6</f>
        <v>X/XX/XX - XXX</v>
      </c>
      <c r="O56" s="711"/>
      <c r="P56" s="349"/>
      <c r="Q56" s="720" t="s">
        <v>3</v>
      </c>
      <c r="R56" s="548"/>
    </row>
    <row r="57" spans="2:20" ht="16.5" customHeight="1" thickBot="1" x14ac:dyDescent="0.3">
      <c r="B57" s="350" t="s">
        <v>794</v>
      </c>
      <c r="C57" s="351" t="str">
        <f>$C$7</f>
        <v>TBD by Others</v>
      </c>
      <c r="D57" s="372"/>
      <c r="E57" s="349"/>
      <c r="F57" s="550"/>
      <c r="G57" s="552"/>
      <c r="M57" s="350" t="s">
        <v>794</v>
      </c>
      <c r="N57" s="351" t="str">
        <f>$C$7</f>
        <v>TBD by Others</v>
      </c>
      <c r="O57" s="372"/>
      <c r="P57" s="349"/>
      <c r="Q57" s="550"/>
      <c r="R57" s="552"/>
    </row>
    <row r="58" spans="2:20" ht="15.75" customHeight="1" x14ac:dyDescent="0.25">
      <c r="D58" s="371"/>
      <c r="E58" s="349"/>
      <c r="O58" s="371"/>
      <c r="P58" s="349"/>
    </row>
    <row r="59" spans="2:20" ht="15.75" customHeight="1" thickBot="1" x14ac:dyDescent="0.3"/>
    <row r="60" spans="2:20" x14ac:dyDescent="0.25">
      <c r="B60" s="715" t="str">
        <f>"Factored Post Reaction - IDLER @ "&amp;Inputs!$B$33&amp;" DEGREES"</f>
        <v>Factored Post Reaction - IDLER @ XX DEGREES</v>
      </c>
      <c r="C60" s="547"/>
      <c r="D60" s="547"/>
      <c r="E60" s="547"/>
      <c r="F60" s="547"/>
      <c r="G60" s="547"/>
      <c r="H60" s="547"/>
      <c r="I60" s="548"/>
      <c r="M60" s="715" t="str">
        <f>"Factored Post Reaction - DRIVE @ "&amp;Inputs!$B$33&amp;" DEGREES"</f>
        <v>Factored Post Reaction - DRIVE @ XX DEGREES</v>
      </c>
      <c r="N60" s="547"/>
      <c r="O60" s="547"/>
      <c r="P60" s="547"/>
      <c r="Q60" s="547"/>
      <c r="R60" s="547"/>
      <c r="S60" s="547"/>
      <c r="T60" s="548"/>
    </row>
    <row r="61" spans="2:20" ht="15.75" customHeight="1" thickBot="1" x14ac:dyDescent="0.3">
      <c r="B61" s="712" t="str">
        <f>B11</f>
        <v xml:space="preserve">Top of Pile Loads </v>
      </c>
      <c r="C61" s="551"/>
      <c r="D61" s="551"/>
      <c r="E61" s="551"/>
      <c r="F61" s="551"/>
      <c r="G61" s="551"/>
      <c r="H61" s="551"/>
      <c r="I61" s="552"/>
      <c r="M61" s="712" t="str">
        <f>B11</f>
        <v xml:space="preserve">Top of Pile Loads </v>
      </c>
      <c r="N61" s="551"/>
      <c r="O61" s="551"/>
      <c r="P61" s="551"/>
      <c r="Q61" s="551"/>
      <c r="R61" s="551"/>
      <c r="S61" s="551"/>
      <c r="T61" s="552"/>
    </row>
    <row r="62" spans="2:20" ht="60.75" customHeight="1" thickBot="1" x14ac:dyDescent="0.3">
      <c r="B62" s="352" t="s">
        <v>798</v>
      </c>
      <c r="C62" s="352" t="s">
        <v>799</v>
      </c>
      <c r="D62" s="352" t="s">
        <v>800</v>
      </c>
      <c r="E62" s="353" t="s">
        <v>801</v>
      </c>
      <c r="F62" s="353" t="s">
        <v>802</v>
      </c>
      <c r="G62" s="353" t="s">
        <v>803</v>
      </c>
      <c r="H62" s="353" t="s">
        <v>804</v>
      </c>
      <c r="I62" s="353" t="s">
        <v>805</v>
      </c>
      <c r="M62" s="352" t="s">
        <v>798</v>
      </c>
      <c r="N62" s="352" t="s">
        <v>799</v>
      </c>
      <c r="O62" s="352" t="s">
        <v>800</v>
      </c>
      <c r="P62" s="353" t="s">
        <v>801</v>
      </c>
      <c r="Q62" s="353" t="s">
        <v>802</v>
      </c>
      <c r="R62" s="353" t="s">
        <v>803</v>
      </c>
      <c r="S62" s="353" t="s">
        <v>804</v>
      </c>
      <c r="T62" s="353" t="s">
        <v>805</v>
      </c>
    </row>
    <row r="63" spans="2:20" x14ac:dyDescent="0.25">
      <c r="B63" s="354">
        <v>1</v>
      </c>
      <c r="C63" s="355" t="s">
        <v>836</v>
      </c>
      <c r="D63" s="356" t="s">
        <v>807</v>
      </c>
      <c r="E63" s="357">
        <v>0</v>
      </c>
      <c r="F63" s="357">
        <f>$Y$5</f>
        <v>0</v>
      </c>
      <c r="G63" s="357">
        <f>$AR$5</f>
        <v>0</v>
      </c>
      <c r="H63" s="357">
        <f t="shared" ref="H63:H84" si="6">G63*SMA</f>
        <v>0</v>
      </c>
      <c r="I63" s="358">
        <f>IF(Theta&lt;55,0,IF((-F63*Ecc)&lt;0,0, (-F63*Ecc)))</f>
        <v>0</v>
      </c>
      <c r="M63" s="354">
        <v>1</v>
      </c>
      <c r="N63" s="355" t="s">
        <v>836</v>
      </c>
      <c r="O63" s="356" t="s">
        <v>807</v>
      </c>
      <c r="P63" s="357">
        <v>0</v>
      </c>
      <c r="Q63" s="357">
        <f>$Y$8</f>
        <v>0</v>
      </c>
      <c r="R63" s="357">
        <f>$AR$8</f>
        <v>0</v>
      </c>
      <c r="S63" s="357">
        <f t="shared" ref="S63:S84" si="7">R63*SMA</f>
        <v>0</v>
      </c>
      <c r="T63" s="358">
        <f>-Q63*Ecc</f>
        <v>0</v>
      </c>
    </row>
    <row r="64" spans="2:20" x14ac:dyDescent="0.25">
      <c r="B64" s="359">
        <v>2</v>
      </c>
      <c r="C64" s="360" t="s">
        <v>870</v>
      </c>
      <c r="D64" s="209" t="s">
        <v>807</v>
      </c>
      <c r="E64" s="361">
        <v>0</v>
      </c>
      <c r="F64" s="361">
        <f>($Y$5+$Z$5)</f>
        <v>0</v>
      </c>
      <c r="G64" s="361">
        <f>$AR$5+$AS$5</f>
        <v>0</v>
      </c>
      <c r="H64" s="361">
        <f t="shared" si="6"/>
        <v>0</v>
      </c>
      <c r="I64" s="362">
        <f>IF(Theta&lt;55,0,IF((-F64*Ecc)&lt;0,0,(-F64*Ecc)))</f>
        <v>0</v>
      </c>
      <c r="M64" s="359">
        <v>2</v>
      </c>
      <c r="N64" s="360" t="s">
        <v>870</v>
      </c>
      <c r="O64" s="209" t="s">
        <v>807</v>
      </c>
      <c r="P64" s="361">
        <v>0</v>
      </c>
      <c r="Q64" s="361">
        <f>($Y$8+$Z$8)</f>
        <v>0</v>
      </c>
      <c r="R64" s="361">
        <f>$AR$8+$AS$8</f>
        <v>0</v>
      </c>
      <c r="S64" s="361">
        <f t="shared" si="7"/>
        <v>0</v>
      </c>
      <c r="T64" s="362">
        <f>-Q64*Ecc</f>
        <v>0</v>
      </c>
    </row>
    <row r="65" spans="2:20" x14ac:dyDescent="0.25">
      <c r="B65" s="359">
        <v>3</v>
      </c>
      <c r="C65" s="360" t="s">
        <v>847</v>
      </c>
      <c r="D65" s="209" t="s">
        <v>807</v>
      </c>
      <c r="E65" s="361" t="e">
        <f ca="1">(0.6*$AL$5)+(0.6*$AA$5)</f>
        <v>#VALUE!</v>
      </c>
      <c r="F65" s="361" t="e">
        <f ca="1">($Y$5)+(0.6*($AN$5))</f>
        <v>#VALUE!</v>
      </c>
      <c r="G65" s="361">
        <f>$AR$5</f>
        <v>0</v>
      </c>
      <c r="H65" s="361">
        <f t="shared" si="6"/>
        <v>0</v>
      </c>
      <c r="I65" s="362" t="e">
        <f ca="1">IF(Theta&lt;55,0,IF(((0.6*$AP$5)-(F65*Ecc))&lt;0,0,((0.6*$AP$5)-(F65*Ecc))))</f>
        <v>#VALUE!</v>
      </c>
      <c r="M65" s="359">
        <v>3</v>
      </c>
      <c r="N65" s="360" t="s">
        <v>847</v>
      </c>
      <c r="O65" s="209" t="s">
        <v>807</v>
      </c>
      <c r="P65" s="361" t="e">
        <f ca="1">(0.6*$AL$8)+(0.6*$AA$8)</f>
        <v>#VALUE!</v>
      </c>
      <c r="Q65" s="361" t="e">
        <f ca="1">($Y$8)+(0.6*($AN$8))</f>
        <v>#VALUE!</v>
      </c>
      <c r="R65" s="361">
        <f>$AR$8</f>
        <v>0</v>
      </c>
      <c r="S65" s="361">
        <f t="shared" si="7"/>
        <v>0</v>
      </c>
      <c r="T65" s="362" t="e">
        <f ca="1">(0.6*$AP$8)-(Q65*Ecc)</f>
        <v>#VALUE!</v>
      </c>
    </row>
    <row r="66" spans="2:20" x14ac:dyDescent="0.25">
      <c r="B66" s="359">
        <v>4</v>
      </c>
      <c r="C66" s="360" t="s">
        <v>848</v>
      </c>
      <c r="D66" s="209" t="s">
        <v>807</v>
      </c>
      <c r="E66" s="361" t="e">
        <f ca="1">(0.6*$AK$5)+(0.6*$AA$5)</f>
        <v>#VALUE!</v>
      </c>
      <c r="F66" s="361" t="e">
        <f ca="1">($Y$5)+(0.6*$AM$5)</f>
        <v>#VALUE!</v>
      </c>
      <c r="G66" s="361">
        <f>$AR$5</f>
        <v>0</v>
      </c>
      <c r="H66" s="361">
        <f t="shared" si="6"/>
        <v>0</v>
      </c>
      <c r="I66" s="362" t="e">
        <f ca="1">IF(Theta&lt;55,0,IF(((0.6*$AO$5)-(F66*Ecc))&lt;0,0,((0.6*$AO$5)-(F66*Ecc))))</f>
        <v>#VALUE!</v>
      </c>
      <c r="M66" s="359">
        <v>4</v>
      </c>
      <c r="N66" s="360" t="s">
        <v>848</v>
      </c>
      <c r="O66" s="209" t="s">
        <v>807</v>
      </c>
      <c r="P66" s="361" t="e">
        <f ca="1">(0.6*$AK$8)+(0.6*$AA$8)</f>
        <v>#VALUE!</v>
      </c>
      <c r="Q66" s="361" t="e">
        <f ca="1">($Y$8)+(0.6*$AM$8)</f>
        <v>#VALUE!</v>
      </c>
      <c r="R66" s="361">
        <f>$AR$8</f>
        <v>0</v>
      </c>
      <c r="S66" s="361">
        <f t="shared" si="7"/>
        <v>0</v>
      </c>
      <c r="T66" s="362" t="e">
        <f ca="1">(0.6*$AO$8)-(Q66*Ecc)</f>
        <v>#VALUE!</v>
      </c>
    </row>
    <row r="67" spans="2:20" x14ac:dyDescent="0.25">
      <c r="B67" s="359">
        <v>5</v>
      </c>
      <c r="C67" s="360" t="s">
        <v>871</v>
      </c>
      <c r="D67" s="209" t="s">
        <v>807</v>
      </c>
      <c r="E67" s="361" t="e">
        <f>(0.45*$AE$5)+(0.45*$AA$5)</f>
        <v>#VALUE!</v>
      </c>
      <c r="F67" s="361" t="e">
        <f>($Y$5)+(0.45*$AG$5)+(0.75*$Z$5)</f>
        <v>#VALUE!</v>
      </c>
      <c r="G67" s="361">
        <f>$AR$5+0.75*$AS$5</f>
        <v>0</v>
      </c>
      <c r="H67" s="361">
        <f t="shared" si="6"/>
        <v>0</v>
      </c>
      <c r="I67" s="362" t="e">
        <f>IF(Theta&lt;55,0,IF(((0.45*$AI$5)-(F67*Ecc))&lt;0,0,((0.45*$AI$5)-(F67*Ecc))))</f>
        <v>#VALUE!</v>
      </c>
      <c r="M67" s="359">
        <v>5</v>
      </c>
      <c r="N67" s="360" t="s">
        <v>871</v>
      </c>
      <c r="O67" s="209" t="s">
        <v>807</v>
      </c>
      <c r="P67" s="361" t="e">
        <f>(0.45*$AE$8)+(0.45*$AA$8)</f>
        <v>#VALUE!</v>
      </c>
      <c r="Q67" s="361" t="e">
        <f>($Y$8)+(0.45*$AG$8)+(0.75*$Z$8)</f>
        <v>#VALUE!</v>
      </c>
      <c r="R67" s="361">
        <f>$AR$8+0.88*$AS$8</f>
        <v>0</v>
      </c>
      <c r="S67" s="361">
        <f t="shared" si="7"/>
        <v>0</v>
      </c>
      <c r="T67" s="362" t="e">
        <f>(0.45*$AI$8)-(Q67*Ecc)</f>
        <v>#VALUE!</v>
      </c>
    </row>
    <row r="68" spans="2:20" x14ac:dyDescent="0.25">
      <c r="B68" s="359">
        <v>6</v>
      </c>
      <c r="C68" s="360" t="s">
        <v>872</v>
      </c>
      <c r="D68" s="209" t="s">
        <v>807</v>
      </c>
      <c r="E68" s="361" t="e">
        <f>(0.45*$AD$5)+(0.45*$AA$5)</f>
        <v>#VALUE!</v>
      </c>
      <c r="F68" s="361" t="e">
        <f>($Y$5)+(0.45*($AF$5))+(0.75*$Z$5)</f>
        <v>#VALUE!</v>
      </c>
      <c r="G68" s="361">
        <f>$AR$5+0.75*$AS$5</f>
        <v>0</v>
      </c>
      <c r="H68" s="361">
        <f t="shared" si="6"/>
        <v>0</v>
      </c>
      <c r="I68" s="362" t="e">
        <f>IF(Theta&lt;55,0,IF(((0.45*$AH$5)-(F68*Ecc))&lt;0,0,((0.45*$AH$5)-(F68*Ecc))))</f>
        <v>#VALUE!</v>
      </c>
      <c r="M68" s="359">
        <v>6</v>
      </c>
      <c r="N68" s="360" t="s">
        <v>872</v>
      </c>
      <c r="O68" s="209" t="s">
        <v>807</v>
      </c>
      <c r="P68" s="361" t="e">
        <f>(0.45*$AD$8)+(0.45*$AA$8)</f>
        <v>#VALUE!</v>
      </c>
      <c r="Q68" s="361" t="e">
        <f>($Y$8)+(0.45*($AF$8))+(0.75*$Z$8)</f>
        <v>#VALUE!</v>
      </c>
      <c r="R68" s="361">
        <f>$AR$8+0.88*$AS$8</f>
        <v>0</v>
      </c>
      <c r="S68" s="361">
        <f t="shared" si="7"/>
        <v>0</v>
      </c>
      <c r="T68" s="362" t="e">
        <f>(0.45*$AH$8)-(Q68*Ecc)</f>
        <v>#VALUE!</v>
      </c>
    </row>
    <row r="69" spans="2:20" x14ac:dyDescent="0.25">
      <c r="B69" s="359">
        <v>7</v>
      </c>
      <c r="C69" s="360" t="s">
        <v>873</v>
      </c>
      <c r="D69" s="209" t="s">
        <v>807</v>
      </c>
      <c r="E69" s="361" t="e">
        <f ca="1">+(0.45*($AL$5+$AA$5))</f>
        <v>#VALUE!</v>
      </c>
      <c r="F69" s="361" t="e">
        <f ca="1">($Y$5)+(0.45*$AN$5)+(0.25*$Z$5)</f>
        <v>#VALUE!</v>
      </c>
      <c r="G69" s="361">
        <f>$AR$5+0.75*$AS$5</f>
        <v>0</v>
      </c>
      <c r="H69" s="361">
        <f t="shared" si="6"/>
        <v>0</v>
      </c>
      <c r="I69" s="362" t="e">
        <f ca="1">IF(Theta&lt;55,0,IF(((0.45*$AP$5)-(F69*Ecc))&lt;0,0, ((0.45*$AP$5)-(F69*Ecc))))</f>
        <v>#VALUE!</v>
      </c>
      <c r="M69" s="359">
        <v>7</v>
      </c>
      <c r="N69" s="360" t="s">
        <v>873</v>
      </c>
      <c r="O69" s="209" t="s">
        <v>807</v>
      </c>
      <c r="P69" s="361" t="e">
        <f ca="1">+(0.45*($AL$8+$AA$8))</f>
        <v>#VALUE!</v>
      </c>
      <c r="Q69" s="361" t="e">
        <f ca="1">($Y$8)+(0.45*$AN$8)+(0.25*$Z$8)</f>
        <v>#VALUE!</v>
      </c>
      <c r="R69" s="361">
        <f>$AR$8+0.88*$AS$8</f>
        <v>0</v>
      </c>
      <c r="S69" s="361">
        <f t="shared" si="7"/>
        <v>0</v>
      </c>
      <c r="T69" s="362" t="e">
        <f ca="1">(0.45*$AP$8)-(Q69*Ecc)</f>
        <v>#VALUE!</v>
      </c>
    </row>
    <row r="70" spans="2:20" x14ac:dyDescent="0.25">
      <c r="B70" s="359">
        <v>8</v>
      </c>
      <c r="C70" s="360" t="s">
        <v>874</v>
      </c>
      <c r="D70" s="209" t="s">
        <v>807</v>
      </c>
      <c r="E70" s="361" t="e">
        <f ca="1">(0.45*($AA$5+$AK$5))</f>
        <v>#VALUE!</v>
      </c>
      <c r="F70" s="361" t="e">
        <f ca="1">($Y$5)+(0.45*$AM$5)+(0.25*$Z$5)</f>
        <v>#VALUE!</v>
      </c>
      <c r="G70" s="361">
        <f>$AR$5+0.75*$AS$5</f>
        <v>0</v>
      </c>
      <c r="H70" s="361">
        <f t="shared" si="6"/>
        <v>0</v>
      </c>
      <c r="I70" s="362" t="e">
        <f ca="1">IF(Theta&lt;55,0,IF(((0.45*$AO$5)-(F70*Ecc))&lt;0,0,((0.45*$AO$5)-(F70*Ecc))))</f>
        <v>#VALUE!</v>
      </c>
      <c r="M70" s="359">
        <v>8</v>
      </c>
      <c r="N70" s="360" t="s">
        <v>874</v>
      </c>
      <c r="O70" s="209" t="s">
        <v>807</v>
      </c>
      <c r="P70" s="361" t="e">
        <f ca="1">(0.45*($AA$8+$AK$8))</f>
        <v>#VALUE!</v>
      </c>
      <c r="Q70" s="361" t="e">
        <f ca="1">($Y$8)+(0.45*$AM$8)+(0.25*$Z$8)</f>
        <v>#VALUE!</v>
      </c>
      <c r="R70" s="361">
        <f>$AR$8+0.88*$AS$8</f>
        <v>0</v>
      </c>
      <c r="S70" s="361">
        <f t="shared" si="7"/>
        <v>0</v>
      </c>
      <c r="T70" s="362" t="e">
        <f ca="1">(0.45*$AO$8)-(Q70*Ecc)</f>
        <v>#VALUE!</v>
      </c>
    </row>
    <row r="71" spans="2:20" x14ac:dyDescent="0.25">
      <c r="B71" s="359">
        <v>9</v>
      </c>
      <c r="C71" s="360" t="s">
        <v>851</v>
      </c>
      <c r="D71" s="209" t="s">
        <v>807</v>
      </c>
      <c r="E71" s="361" t="e">
        <f ca="1">(0.6*($AA$5+$AL$5))</f>
        <v>#VALUE!</v>
      </c>
      <c r="F71" s="361" t="e">
        <f ca="1">(0.6*$Y$5)+($AN$5*0.6)</f>
        <v>#VALUE!</v>
      </c>
      <c r="G71" s="361">
        <f>$AR$5*0.6</f>
        <v>0</v>
      </c>
      <c r="H71" s="361">
        <f t="shared" si="6"/>
        <v>0</v>
      </c>
      <c r="I71" s="362" t="e">
        <f ca="1">IF(Theta&lt;55,0,IF(((0.6*$AP$5)-(F71*Ecc))&lt;0,0,((0.6*$AP$5)-(F71*Ecc))))</f>
        <v>#VALUE!</v>
      </c>
      <c r="M71" s="359">
        <v>9</v>
      </c>
      <c r="N71" s="360" t="s">
        <v>851</v>
      </c>
      <c r="O71" s="209" t="s">
        <v>807</v>
      </c>
      <c r="P71" s="361" t="e">
        <f ca="1">(0.6*($AA$8+$AL$8))</f>
        <v>#VALUE!</v>
      </c>
      <c r="Q71" s="361" t="e">
        <f ca="1">(0.6*$Y$8)+($AN$8*0.6)</f>
        <v>#VALUE!</v>
      </c>
      <c r="R71" s="361">
        <f>$AR$8*0.8</f>
        <v>0</v>
      </c>
      <c r="S71" s="361">
        <f t="shared" si="7"/>
        <v>0</v>
      </c>
      <c r="T71" s="362" t="e">
        <f ca="1">(0.6*$AP$8)-(Q71*Ecc)</f>
        <v>#VALUE!</v>
      </c>
    </row>
    <row r="72" spans="2:20" x14ac:dyDescent="0.25">
      <c r="B72" s="359">
        <v>10</v>
      </c>
      <c r="C72" s="360" t="s">
        <v>852</v>
      </c>
      <c r="D72" s="209" t="s">
        <v>807</v>
      </c>
      <c r="E72" s="361" t="e">
        <f ca="1">(0.6*($AA$5+$AK$5))</f>
        <v>#VALUE!</v>
      </c>
      <c r="F72" s="361" t="e">
        <f ca="1">(0.6*$Y$5)+(0.6*$AM$5)</f>
        <v>#VALUE!</v>
      </c>
      <c r="G72" s="361">
        <f>$AR$5*0.6</f>
        <v>0</v>
      </c>
      <c r="H72" s="361">
        <f t="shared" si="6"/>
        <v>0</v>
      </c>
      <c r="I72" s="362" t="e">
        <f ca="1">IF(Theta&lt;55,0,IF(((0.6*$AO$5)-(F72*Ecc))&lt;0,0,((0.6*$AO$5)-(F72*Ecc))))</f>
        <v>#VALUE!</v>
      </c>
      <c r="M72" s="359">
        <v>10</v>
      </c>
      <c r="N72" s="360" t="s">
        <v>852</v>
      </c>
      <c r="O72" s="209" t="s">
        <v>807</v>
      </c>
      <c r="P72" s="361" t="e">
        <f ca="1">(0.6*($AA$8+$AK$8))</f>
        <v>#VALUE!</v>
      </c>
      <c r="Q72" s="361" t="e">
        <f ca="1">(0.6*$Y$8)+(0.6*$AM$8)</f>
        <v>#VALUE!</v>
      </c>
      <c r="R72" s="361">
        <f>$AR$8*0.8</f>
        <v>0</v>
      </c>
      <c r="S72" s="361">
        <f t="shared" si="7"/>
        <v>0</v>
      </c>
      <c r="T72" s="362" t="e">
        <f ca="1">(0.6*$AO$8)-(Q72*Ecc)</f>
        <v>#VALUE!</v>
      </c>
    </row>
    <row r="73" spans="2:20" x14ac:dyDescent="0.25">
      <c r="B73" s="359">
        <v>11</v>
      </c>
      <c r="C73" s="360" t="s">
        <v>853</v>
      </c>
      <c r="D73" s="209" t="s">
        <v>807</v>
      </c>
      <c r="E73" s="361">
        <f>(0.7*$AB$5)</f>
        <v>0</v>
      </c>
      <c r="F73" s="361">
        <f>($Y$5)+0.7*$AT$5</f>
        <v>0</v>
      </c>
      <c r="G73" s="361">
        <f>$AR$5</f>
        <v>0</v>
      </c>
      <c r="H73" s="361">
        <f t="shared" si="6"/>
        <v>0</v>
      </c>
      <c r="I73" s="362">
        <f>IF(Theta&lt;55,0,IF(((0.7*$AQ$5)-(F73*Ecc))&lt;0,0,((0.7*$AQ$5)-(F73*Ecc))))</f>
        <v>0</v>
      </c>
      <c r="M73" s="359">
        <v>11</v>
      </c>
      <c r="N73" s="360" t="s">
        <v>853</v>
      </c>
      <c r="O73" s="209" t="s">
        <v>807</v>
      </c>
      <c r="P73" s="361">
        <f>(0.7*$AB$8)</f>
        <v>0</v>
      </c>
      <c r="Q73" s="361">
        <f>($Y$8)+0.7*$AT$8</f>
        <v>0</v>
      </c>
      <c r="R73" s="361">
        <f>$AR$8</f>
        <v>0</v>
      </c>
      <c r="S73" s="361">
        <f t="shared" si="7"/>
        <v>0</v>
      </c>
      <c r="T73" s="362">
        <f>(0.7*$AQ$8)-(Q73*Ecc)</f>
        <v>0</v>
      </c>
    </row>
    <row r="74" spans="2:20" x14ac:dyDescent="0.25">
      <c r="B74" s="359">
        <v>12</v>
      </c>
      <c r="C74" s="360" t="s">
        <v>854</v>
      </c>
      <c r="D74" s="209" t="s">
        <v>807</v>
      </c>
      <c r="E74" s="361">
        <f>-(0.7*$AB$5)</f>
        <v>0</v>
      </c>
      <c r="F74" s="361">
        <f>$Y$5-0.7*$AT$5</f>
        <v>0</v>
      </c>
      <c r="G74" s="361">
        <f>$AR$5</f>
        <v>0</v>
      </c>
      <c r="H74" s="361">
        <f t="shared" si="6"/>
        <v>0</v>
      </c>
      <c r="I74" s="362">
        <f>IF(Theta&lt;55,0,IF(((-0.7*$AQ$5)-(F74*Ecc))&lt;0,0,((-0.7*$AQ$5)-(F74*Ecc))))</f>
        <v>0</v>
      </c>
      <c r="M74" s="359">
        <v>12</v>
      </c>
      <c r="N74" s="360" t="s">
        <v>854</v>
      </c>
      <c r="O74" s="209" t="s">
        <v>807</v>
      </c>
      <c r="P74" s="361">
        <f>-(0.7*$AB$8)</f>
        <v>0</v>
      </c>
      <c r="Q74" s="361">
        <f>$Y$8-0.7*$AT$8</f>
        <v>0</v>
      </c>
      <c r="R74" s="361">
        <f>$AR$8</f>
        <v>0</v>
      </c>
      <c r="S74" s="361">
        <f t="shared" si="7"/>
        <v>0</v>
      </c>
      <c r="T74" s="362">
        <f>(-0.7*$AQ$8)-(Q74*Ecc)</f>
        <v>0</v>
      </c>
    </row>
    <row r="75" spans="2:20" x14ac:dyDescent="0.25">
      <c r="B75" s="359">
        <v>13</v>
      </c>
      <c r="C75" s="360" t="s">
        <v>855</v>
      </c>
      <c r="D75" s="209" t="s">
        <v>807</v>
      </c>
      <c r="E75" s="361">
        <v>0</v>
      </c>
      <c r="F75" s="361">
        <f>$Y$5+0.7*$AT$5</f>
        <v>0</v>
      </c>
      <c r="G75" s="361">
        <f>0.7*$AC$5+$AR$5</f>
        <v>0</v>
      </c>
      <c r="H75" s="361">
        <f t="shared" si="6"/>
        <v>0</v>
      </c>
      <c r="I75" s="362">
        <f>IF(Theta&lt;55,0,IF((-F75*Ecc)&lt;0,0,(-F75*Ecc)))</f>
        <v>0</v>
      </c>
      <c r="M75" s="359">
        <v>13</v>
      </c>
      <c r="N75" s="360" t="s">
        <v>855</v>
      </c>
      <c r="O75" s="209" t="s">
        <v>807</v>
      </c>
      <c r="P75" s="361">
        <v>0</v>
      </c>
      <c r="Q75" s="361">
        <f>$Y$8+0.7*$AT$8</f>
        <v>0</v>
      </c>
      <c r="R75" s="361">
        <f>0.8*$AC$8+$AR$8</f>
        <v>0</v>
      </c>
      <c r="S75" s="361">
        <f t="shared" si="7"/>
        <v>0</v>
      </c>
      <c r="T75" s="362">
        <f>-Q75*Ecc</f>
        <v>0</v>
      </c>
    </row>
    <row r="76" spans="2:20" x14ac:dyDescent="0.25">
      <c r="B76" s="359">
        <v>14</v>
      </c>
      <c r="C76" s="360" t="s">
        <v>856</v>
      </c>
      <c r="D76" s="209" t="s">
        <v>807</v>
      </c>
      <c r="E76" s="361">
        <v>0</v>
      </c>
      <c r="F76" s="361">
        <f>$Y$5-0.7*$AT$5</f>
        <v>0</v>
      </c>
      <c r="G76" s="361">
        <f>-0.7*$AC$5+$AR$5</f>
        <v>0</v>
      </c>
      <c r="H76" s="361">
        <f t="shared" si="6"/>
        <v>0</v>
      </c>
      <c r="I76" s="362">
        <f>IF(Theta&lt;55,0,IF((-F76*Ecc)&lt;0,0,(-F76*Ecc)))</f>
        <v>0</v>
      </c>
      <c r="M76" s="359">
        <v>14</v>
      </c>
      <c r="N76" s="360" t="s">
        <v>856</v>
      </c>
      <c r="O76" s="209" t="s">
        <v>807</v>
      </c>
      <c r="P76" s="361">
        <v>0</v>
      </c>
      <c r="Q76" s="361">
        <f>$Y$8-0.7*$AT$8</f>
        <v>0</v>
      </c>
      <c r="R76" s="361">
        <f>-0.8*$AC$8+$AR$8</f>
        <v>0</v>
      </c>
      <c r="S76" s="361">
        <f t="shared" si="7"/>
        <v>0</v>
      </c>
      <c r="T76" s="362">
        <f>-Q76*Ecc</f>
        <v>0</v>
      </c>
    </row>
    <row r="77" spans="2:20" x14ac:dyDescent="0.25">
      <c r="B77" s="359">
        <v>15</v>
      </c>
      <c r="C77" s="360" t="s">
        <v>875</v>
      </c>
      <c r="D77" s="209" t="s">
        <v>807</v>
      </c>
      <c r="E77" s="361">
        <f>(0.525*$AB$5)</f>
        <v>0</v>
      </c>
      <c r="F77" s="361">
        <f>($Y$5)+(0.75*$Z$5)+0.525*$AT$5</f>
        <v>0</v>
      </c>
      <c r="G77" s="361">
        <f>$AR$5+0.75*$AS$5</f>
        <v>0</v>
      </c>
      <c r="H77" s="361">
        <f t="shared" si="6"/>
        <v>0</v>
      </c>
      <c r="I77" s="362">
        <f>IF(Theta&lt;55,0,IF(((0.525*$AQ$5)-(F77*Ecc))&lt;0,0,((0.525*$AQ$5)-(F77*Ecc))))</f>
        <v>0</v>
      </c>
      <c r="M77" s="359">
        <v>15</v>
      </c>
      <c r="N77" s="360" t="s">
        <v>875</v>
      </c>
      <c r="O77" s="209" t="s">
        <v>807</v>
      </c>
      <c r="P77" s="361">
        <f>(0.525*$AB$8)</f>
        <v>0</v>
      </c>
      <c r="Q77" s="361">
        <f>($Y$8)+(0.75*$Z$8)+0.525*$AT$8</f>
        <v>0</v>
      </c>
      <c r="R77" s="361">
        <f>$AR$8+0.88*$AS$8</f>
        <v>0</v>
      </c>
      <c r="S77" s="361">
        <f t="shared" si="7"/>
        <v>0</v>
      </c>
      <c r="T77" s="362">
        <f>(0.525*$AQ$8)-(Q77*Ecc)</f>
        <v>0</v>
      </c>
    </row>
    <row r="78" spans="2:20" x14ac:dyDescent="0.25">
      <c r="B78" s="359">
        <v>16</v>
      </c>
      <c r="C78" s="360" t="s">
        <v>876</v>
      </c>
      <c r="D78" s="209" t="s">
        <v>807</v>
      </c>
      <c r="E78" s="361">
        <f>-(0.525*$AB$5)</f>
        <v>0</v>
      </c>
      <c r="F78" s="361">
        <f>($Y$5)+(0.75*$Z$5)-0.525*$AT$5</f>
        <v>0</v>
      </c>
      <c r="G78" s="361">
        <f>$AR$5+0.75*$AS$5</f>
        <v>0</v>
      </c>
      <c r="H78" s="361">
        <f t="shared" si="6"/>
        <v>0</v>
      </c>
      <c r="I78" s="362">
        <f>IF(Theta&lt;55,0,IF(((-0.525*$AQ$5)-(F78*Ecc))&lt;0,0,((-0.525*$AQ$5)-(F78*Ecc))))</f>
        <v>0</v>
      </c>
      <c r="M78" s="359">
        <v>16</v>
      </c>
      <c r="N78" s="360" t="s">
        <v>876</v>
      </c>
      <c r="O78" s="209" t="s">
        <v>807</v>
      </c>
      <c r="P78" s="361">
        <f>-(0.525*$AB$8)</f>
        <v>0</v>
      </c>
      <c r="Q78" s="361">
        <f>($Y$8)+(0.75*$Z$8)-0.525*$AT$8</f>
        <v>0</v>
      </c>
      <c r="R78" s="361">
        <f>$AR$8+0.88*$AS$8</f>
        <v>0</v>
      </c>
      <c r="S78" s="361">
        <f t="shared" si="7"/>
        <v>0</v>
      </c>
      <c r="T78" s="362">
        <f>(-0.525*$AQ$8)-(Q78*Ecc)</f>
        <v>0</v>
      </c>
    </row>
    <row r="79" spans="2:20" x14ac:dyDescent="0.25">
      <c r="B79" s="359">
        <v>17</v>
      </c>
      <c r="C79" s="360" t="s">
        <v>877</v>
      </c>
      <c r="D79" s="209" t="s">
        <v>807</v>
      </c>
      <c r="E79" s="361">
        <v>0</v>
      </c>
      <c r="F79" s="361">
        <f>($Y$5)+(0.75*$Z$5)+0.525*$AT$5</f>
        <v>0</v>
      </c>
      <c r="G79" s="361">
        <f>0.525*$AC$5+$AR$5+0.75*$AS$5</f>
        <v>0</v>
      </c>
      <c r="H79" s="361">
        <f t="shared" si="6"/>
        <v>0</v>
      </c>
      <c r="I79" s="362">
        <f>IF(Theta&lt;55,0,IF((-F79*Ecc)&lt;0,0,(-F79*Ecc)))</f>
        <v>0</v>
      </c>
      <c r="M79" s="359">
        <v>17</v>
      </c>
      <c r="N79" s="360" t="s">
        <v>877</v>
      </c>
      <c r="O79" s="209" t="s">
        <v>807</v>
      </c>
      <c r="P79" s="361">
        <v>0</v>
      </c>
      <c r="Q79" s="361">
        <f>($Y$8)+(0.75*$Z$8)+0.525*$AT$8</f>
        <v>0</v>
      </c>
      <c r="R79" s="361">
        <f>0.828*$AC$8+$AR$8+0.88*$AS$8</f>
        <v>0</v>
      </c>
      <c r="S79" s="361">
        <f t="shared" si="7"/>
        <v>0</v>
      </c>
      <c r="T79" s="362">
        <f>-Q79*Ecc</f>
        <v>0</v>
      </c>
    </row>
    <row r="80" spans="2:20" x14ac:dyDescent="0.25">
      <c r="B80" s="359">
        <v>18</v>
      </c>
      <c r="C80" s="360" t="s">
        <v>878</v>
      </c>
      <c r="D80" s="209" t="s">
        <v>807</v>
      </c>
      <c r="E80" s="361">
        <v>0</v>
      </c>
      <c r="F80" s="361">
        <f>($Y$5)+(0.75*$Z$5)-0.525*$AT$5</f>
        <v>0</v>
      </c>
      <c r="G80" s="361">
        <f>-0.525*$AC$5+$AR$5+0.75*$AS$5</f>
        <v>0</v>
      </c>
      <c r="H80" s="361">
        <f t="shared" si="6"/>
        <v>0</v>
      </c>
      <c r="I80" s="362">
        <f>IF(Theta&lt;55,0,IF((-F80*Ecc)&lt;0,0,(-F80*Ecc)))</f>
        <v>0</v>
      </c>
      <c r="M80" s="359">
        <v>18</v>
      </c>
      <c r="N80" s="360" t="s">
        <v>878</v>
      </c>
      <c r="O80" s="209" t="s">
        <v>807</v>
      </c>
      <c r="P80" s="361">
        <v>0</v>
      </c>
      <c r="Q80" s="361">
        <f>($Y$8)+(0.75*$Z$8)-0.525*$AT$8</f>
        <v>0</v>
      </c>
      <c r="R80" s="361">
        <f>-0.828*$AC$8+$AR$8+0.88*$AS$8</f>
        <v>0</v>
      </c>
      <c r="S80" s="361">
        <f t="shared" si="7"/>
        <v>0</v>
      </c>
      <c r="T80" s="362">
        <f>-Q80*Ecc</f>
        <v>0</v>
      </c>
    </row>
    <row r="81" spans="1:20" x14ac:dyDescent="0.25">
      <c r="B81" s="359">
        <v>19</v>
      </c>
      <c r="C81" s="360" t="s">
        <v>861</v>
      </c>
      <c r="D81" s="209" t="s">
        <v>807</v>
      </c>
      <c r="E81" s="361">
        <f>(0.7*$AB$5)</f>
        <v>0</v>
      </c>
      <c r="F81" s="361">
        <f>($Y$5)*0.6+0.7*$AT$5</f>
        <v>0</v>
      </c>
      <c r="G81" s="361">
        <f>$AR$5*0.6</f>
        <v>0</v>
      </c>
      <c r="H81" s="361">
        <f t="shared" si="6"/>
        <v>0</v>
      </c>
      <c r="I81" s="362">
        <f>IF(Theta&lt;55,0,IF(((0.7*$AQ$5)-(F81*Ecc))&lt;0,0,((0.7*$AQ$5)-(F81*Ecc))))</f>
        <v>0</v>
      </c>
      <c r="M81" s="359">
        <v>19</v>
      </c>
      <c r="N81" s="360" t="s">
        <v>861</v>
      </c>
      <c r="O81" s="209" t="s">
        <v>807</v>
      </c>
      <c r="P81" s="361">
        <f>(0.7*$AB$8)</f>
        <v>0</v>
      </c>
      <c r="Q81" s="361">
        <f>($Y$8)*0.6+0.7*$AT$8</f>
        <v>0</v>
      </c>
      <c r="R81" s="361">
        <f>$AR$8*0.8</f>
        <v>0</v>
      </c>
      <c r="S81" s="361">
        <f t="shared" si="7"/>
        <v>0</v>
      </c>
      <c r="T81" s="362">
        <f>(0.7*$AQ$8)-(Q81*Ecc)</f>
        <v>0</v>
      </c>
    </row>
    <row r="82" spans="1:20" x14ac:dyDescent="0.25">
      <c r="B82" s="359">
        <v>20</v>
      </c>
      <c r="C82" s="360" t="s">
        <v>862</v>
      </c>
      <c r="D82" s="209" t="s">
        <v>807</v>
      </c>
      <c r="E82" s="361">
        <f>-(0.7*$AB$5)</f>
        <v>0</v>
      </c>
      <c r="F82" s="361">
        <f>0.6*$Y$5-0.7*$AT$5</f>
        <v>0</v>
      </c>
      <c r="G82" s="361">
        <f>$AR$5*0.6</f>
        <v>0</v>
      </c>
      <c r="H82" s="361">
        <f t="shared" si="6"/>
        <v>0</v>
      </c>
      <c r="I82" s="362">
        <f>IF(Theta&lt;55,0,IF(((-0.7*$AQ$5)-(F82*Ecc))&lt;0,0,((-0.7*$AQ$5)-(F82*Ecc))))</f>
        <v>0</v>
      </c>
      <c r="M82" s="359">
        <v>20</v>
      </c>
      <c r="N82" s="360" t="s">
        <v>862</v>
      </c>
      <c r="O82" s="209" t="s">
        <v>807</v>
      </c>
      <c r="P82" s="361">
        <f>-(0.7*$AB$8)</f>
        <v>0</v>
      </c>
      <c r="Q82" s="361">
        <f>0.6*$Y$8-0.7*$AT$8</f>
        <v>0</v>
      </c>
      <c r="R82" s="361">
        <f>$AR$8*0.8</f>
        <v>0</v>
      </c>
      <c r="S82" s="361">
        <f t="shared" si="7"/>
        <v>0</v>
      </c>
      <c r="T82" s="362">
        <f>(-0.7*$AQ$8)-(Q82*Ecc)</f>
        <v>0</v>
      </c>
    </row>
    <row r="83" spans="1:20" x14ac:dyDescent="0.25">
      <c r="B83" s="359">
        <v>21</v>
      </c>
      <c r="C83" s="360" t="s">
        <v>863</v>
      </c>
      <c r="D83" s="209" t="s">
        <v>807</v>
      </c>
      <c r="E83" s="361">
        <v>0</v>
      </c>
      <c r="F83" s="361">
        <f>(0.6*$Y$5)+0.7*$AT$5</f>
        <v>0</v>
      </c>
      <c r="G83" s="361">
        <f>0.7*$AC$5+$AR$5*0.6</f>
        <v>0</v>
      </c>
      <c r="H83" s="361">
        <f t="shared" si="6"/>
        <v>0</v>
      </c>
      <c r="I83" s="362">
        <f>IF(Theta&lt;55,0,IF((-F83*Ecc)&lt;0,0,(-F83*Ecc)))</f>
        <v>0</v>
      </c>
      <c r="M83" s="359">
        <v>21</v>
      </c>
      <c r="N83" s="360" t="s">
        <v>863</v>
      </c>
      <c r="O83" s="209" t="s">
        <v>807</v>
      </c>
      <c r="P83" s="361">
        <v>0</v>
      </c>
      <c r="Q83" s="361">
        <f>(0.6*$Y$8)+0.7*$AT$8</f>
        <v>0</v>
      </c>
      <c r="R83" s="361">
        <f>0.8*$AC$8+$AR$8*0.8</f>
        <v>0</v>
      </c>
      <c r="S83" s="361">
        <f t="shared" si="7"/>
        <v>0</v>
      </c>
      <c r="T83" s="362">
        <f>-Q83*Ecc</f>
        <v>0</v>
      </c>
    </row>
    <row r="84" spans="1:20" ht="15.75" customHeight="1" thickBot="1" x14ac:dyDescent="0.3">
      <c r="B84" s="363">
        <v>22</v>
      </c>
      <c r="C84" s="364" t="s">
        <v>864</v>
      </c>
      <c r="D84" s="365" t="s">
        <v>807</v>
      </c>
      <c r="E84" s="366">
        <v>0</v>
      </c>
      <c r="F84" s="366">
        <f>(0.6*$Y$5)-0.7*$AT$5</f>
        <v>0</v>
      </c>
      <c r="G84" s="366">
        <f>-0.7*$AC$5+$AR$5*0.6</f>
        <v>0</v>
      </c>
      <c r="H84" s="366">
        <f t="shared" si="6"/>
        <v>0</v>
      </c>
      <c r="I84" s="367">
        <f>IF(Theta&lt;55,0,IF((-F84*Ecc)&lt;0,0,(-F84*Ecc)))</f>
        <v>0</v>
      </c>
      <c r="M84" s="363">
        <v>22</v>
      </c>
      <c r="N84" s="364" t="s">
        <v>864</v>
      </c>
      <c r="O84" s="365" t="s">
        <v>807</v>
      </c>
      <c r="P84" s="366">
        <v>0</v>
      </c>
      <c r="Q84" s="366">
        <f>(0.6*$Y$8)-0.7*$AT$8</f>
        <v>0</v>
      </c>
      <c r="R84" s="366">
        <f>-0.8*$AC$8+$AR$8*0.8</f>
        <v>0</v>
      </c>
      <c r="S84" s="366">
        <f t="shared" si="7"/>
        <v>0</v>
      </c>
      <c r="T84" s="367">
        <f>-Q84*Ecc</f>
        <v>0</v>
      </c>
    </row>
    <row r="85" spans="1:20" x14ac:dyDescent="0.25">
      <c r="B85" s="368" t="s">
        <v>865</v>
      </c>
      <c r="C85" s="369" t="s">
        <v>866</v>
      </c>
      <c r="M85" s="368" t="s">
        <v>865</v>
      </c>
      <c r="N85" s="369" t="s">
        <v>866</v>
      </c>
    </row>
    <row r="86" spans="1:20" x14ac:dyDescent="0.25">
      <c r="B86" s="368" t="s">
        <v>836</v>
      </c>
      <c r="C86" s="369" t="s">
        <v>837</v>
      </c>
      <c r="M86" s="368" t="s">
        <v>836</v>
      </c>
      <c r="N86" s="369" t="s">
        <v>837</v>
      </c>
    </row>
    <row r="87" spans="1:20" x14ac:dyDescent="0.25">
      <c r="B87" s="368" t="s">
        <v>838</v>
      </c>
      <c r="C87" s="369" t="s">
        <v>839</v>
      </c>
      <c r="M87" s="368" t="s">
        <v>838</v>
      </c>
      <c r="N87" s="369" t="s">
        <v>839</v>
      </c>
    </row>
    <row r="88" spans="1:20" x14ac:dyDescent="0.25">
      <c r="A88" s="260"/>
      <c r="B88" s="368" t="s">
        <v>474</v>
      </c>
      <c r="C88" s="369" t="s">
        <v>840</v>
      </c>
      <c r="L88" s="260"/>
      <c r="M88" s="368" t="s">
        <v>474</v>
      </c>
      <c r="N88" s="369" t="s">
        <v>840</v>
      </c>
    </row>
    <row r="89" spans="1:20" x14ac:dyDescent="0.25">
      <c r="B89" s="368" t="s">
        <v>867</v>
      </c>
      <c r="C89" s="369" t="s">
        <v>868</v>
      </c>
      <c r="M89" s="368" t="s">
        <v>867</v>
      </c>
      <c r="N89" s="369" t="s">
        <v>868</v>
      </c>
    </row>
    <row r="90" spans="1:20" x14ac:dyDescent="0.25">
      <c r="B90" s="368" t="s">
        <v>266</v>
      </c>
      <c r="C90" s="369" t="s">
        <v>869</v>
      </c>
      <c r="M90" s="368" t="s">
        <v>266</v>
      </c>
      <c r="N90" s="369" t="s">
        <v>869</v>
      </c>
    </row>
    <row r="91" spans="1:20" x14ac:dyDescent="0.25">
      <c r="B91" s="368" t="s">
        <v>879</v>
      </c>
      <c r="C91" s="369" t="s">
        <v>880</v>
      </c>
      <c r="M91" s="368" t="s">
        <v>879</v>
      </c>
      <c r="N91" s="369" t="s">
        <v>880</v>
      </c>
    </row>
    <row r="92" spans="1:20" x14ac:dyDescent="0.25">
      <c r="B92" s="7"/>
      <c r="C92" s="77"/>
      <c r="D92" s="7"/>
      <c r="M92" s="7"/>
      <c r="N92" s="77"/>
      <c r="O92" s="7"/>
    </row>
    <row r="93" spans="1:20" x14ac:dyDescent="0.25">
      <c r="B93" s="7"/>
      <c r="C93" s="77"/>
      <c r="D93" s="7"/>
      <c r="E93" s="370"/>
      <c r="F93" s="370"/>
      <c r="G93" s="370"/>
      <c r="H93" s="370"/>
      <c r="I93" s="370"/>
      <c r="M93" s="7"/>
      <c r="N93" s="77"/>
      <c r="O93" s="7"/>
      <c r="P93" s="370"/>
      <c r="Q93" s="370"/>
      <c r="R93" s="370"/>
      <c r="S93" s="370"/>
      <c r="T93" s="370"/>
    </row>
    <row r="94" spans="1:20" x14ac:dyDescent="0.25">
      <c r="B94" s="7"/>
      <c r="C94" s="77"/>
      <c r="D94" s="7"/>
      <c r="E94" s="370"/>
      <c r="F94" s="370"/>
      <c r="G94" s="370"/>
      <c r="H94" s="370"/>
      <c r="I94" s="370"/>
      <c r="M94" s="7"/>
      <c r="N94" s="77"/>
      <c r="O94" s="7"/>
      <c r="P94" s="370"/>
      <c r="Q94" s="370"/>
      <c r="R94" s="370"/>
      <c r="S94" s="370"/>
      <c r="T94" s="370"/>
    </row>
    <row r="95" spans="1:20" x14ac:dyDescent="0.25">
      <c r="B95" s="7"/>
      <c r="C95" s="77"/>
      <c r="D95" s="7"/>
      <c r="E95" s="370"/>
      <c r="F95" s="370"/>
      <c r="G95" s="370"/>
      <c r="H95" s="370"/>
      <c r="I95" s="370"/>
      <c r="M95" s="7"/>
      <c r="N95" s="77"/>
      <c r="O95" s="7"/>
      <c r="P95" s="370"/>
      <c r="Q95" s="370"/>
      <c r="R95" s="370"/>
      <c r="S95" s="370"/>
      <c r="T95" s="370"/>
    </row>
    <row r="96" spans="1:20" x14ac:dyDescent="0.25">
      <c r="B96" s="7"/>
      <c r="C96" s="77"/>
      <c r="D96" s="7"/>
      <c r="E96" s="370"/>
      <c r="F96" s="370"/>
      <c r="G96" s="370"/>
      <c r="H96" s="370"/>
      <c r="I96" s="370"/>
      <c r="M96" s="7"/>
      <c r="N96" s="77"/>
      <c r="O96" s="7"/>
      <c r="P96" s="370"/>
      <c r="Q96" s="370"/>
      <c r="R96" s="370"/>
      <c r="S96" s="370"/>
      <c r="T96" s="370"/>
    </row>
    <row r="97" spans="2:20" x14ac:dyDescent="0.25">
      <c r="B97" s="7"/>
      <c r="C97" s="77"/>
      <c r="D97" s="7"/>
      <c r="E97" s="370"/>
      <c r="F97" s="370"/>
      <c r="G97" s="370"/>
      <c r="H97" s="370"/>
      <c r="I97" s="370"/>
      <c r="M97" s="7"/>
      <c r="N97" s="77"/>
      <c r="O97" s="7"/>
      <c r="P97" s="370"/>
      <c r="Q97" s="370"/>
      <c r="R97" s="370"/>
      <c r="S97" s="370"/>
      <c r="T97" s="370"/>
    </row>
    <row r="98" spans="2:20" x14ac:dyDescent="0.25">
      <c r="B98" s="7"/>
      <c r="C98" s="77"/>
      <c r="D98" s="7"/>
      <c r="E98" s="370"/>
      <c r="F98" s="370"/>
      <c r="G98" s="370"/>
      <c r="H98" s="370"/>
      <c r="I98" s="370"/>
      <c r="M98" s="7"/>
      <c r="N98" s="77"/>
      <c r="O98" s="7"/>
      <c r="P98" s="370"/>
      <c r="Q98" s="370"/>
      <c r="R98" s="370"/>
      <c r="S98" s="370"/>
      <c r="T98" s="370"/>
    </row>
    <row r="100" spans="2:20" ht="15.75" customHeight="1" x14ac:dyDescent="0.25">
      <c r="B100" s="345" t="s">
        <v>442</v>
      </c>
      <c r="C100" s="716" t="str">
        <f>$C$2</f>
        <v xml:space="preserve">Customer </v>
      </c>
      <c r="D100" s="554"/>
      <c r="E100" s="346"/>
      <c r="M100" s="345" t="s">
        <v>442</v>
      </c>
      <c r="N100" s="716" t="str">
        <f>$C$2</f>
        <v xml:space="preserve">Customer </v>
      </c>
      <c r="O100" s="554"/>
      <c r="P100" s="346"/>
    </row>
    <row r="101" spans="2:20" ht="15.75" customHeight="1" x14ac:dyDescent="0.25">
      <c r="B101" s="347" t="s">
        <v>443</v>
      </c>
      <c r="C101" s="713" t="str">
        <f>$C$3</f>
        <v xml:space="preserve">Project </v>
      </c>
      <c r="D101" s="556"/>
      <c r="E101" s="346"/>
      <c r="M101" s="347" t="s">
        <v>443</v>
      </c>
      <c r="N101" s="713" t="str">
        <f>$C$3</f>
        <v xml:space="preserve">Project </v>
      </c>
      <c r="O101" s="556"/>
      <c r="P101" s="346"/>
    </row>
    <row r="102" spans="2:20" ht="15.75" customHeight="1" x14ac:dyDescent="0.25">
      <c r="B102" s="347" t="s">
        <v>444</v>
      </c>
      <c r="C102" s="713" t="str">
        <f>$C$4</f>
        <v xml:space="preserve">City, State Zip </v>
      </c>
      <c r="D102" s="556"/>
      <c r="E102" s="346"/>
      <c r="M102" s="347" t="s">
        <v>444</v>
      </c>
      <c r="N102" s="713" t="str">
        <f>$C$4</f>
        <v xml:space="preserve">City, State Zip </v>
      </c>
      <c r="O102" s="556"/>
      <c r="P102" s="346"/>
    </row>
    <row r="103" spans="2:20" ht="16.5" customHeight="1" thickBot="1" x14ac:dyDescent="0.3">
      <c r="B103" s="347" t="s">
        <v>792</v>
      </c>
      <c r="C103" s="346" t="e">
        <f>$C$5</f>
        <v>#VALUE!</v>
      </c>
      <c r="D103" s="348"/>
      <c r="E103" s="346"/>
      <c r="M103" s="347" t="s">
        <v>792</v>
      </c>
      <c r="N103" s="346" t="e">
        <f>$C$5</f>
        <v>#VALUE!</v>
      </c>
      <c r="O103" s="348"/>
      <c r="P103" s="346"/>
    </row>
    <row r="104" spans="2:20" ht="15.75" customHeight="1" x14ac:dyDescent="0.25">
      <c r="B104" s="347" t="s">
        <v>793</v>
      </c>
      <c r="C104" s="710" t="str">
        <f>$C$6</f>
        <v>X/XX/XX - XXX</v>
      </c>
      <c r="D104" s="711"/>
      <c r="E104" s="349"/>
      <c r="F104" s="719" t="s">
        <v>1</v>
      </c>
      <c r="G104" s="548"/>
      <c r="M104" s="347" t="s">
        <v>793</v>
      </c>
      <c r="N104" s="710" t="str">
        <f>$C$6</f>
        <v>X/XX/XX - XXX</v>
      </c>
      <c r="O104" s="711"/>
      <c r="P104" s="349"/>
      <c r="Q104" s="709" t="s">
        <v>4</v>
      </c>
      <c r="R104" s="548"/>
    </row>
    <row r="105" spans="2:20" ht="16.5" customHeight="1" thickBot="1" x14ac:dyDescent="0.3">
      <c r="B105" s="350" t="s">
        <v>794</v>
      </c>
      <c r="C105" s="351" t="str">
        <f>$C$7</f>
        <v>TBD by Others</v>
      </c>
      <c r="D105" s="372"/>
      <c r="E105" s="349"/>
      <c r="F105" s="550"/>
      <c r="G105" s="552"/>
      <c r="M105" s="350" t="s">
        <v>794</v>
      </c>
      <c r="N105" s="351" t="str">
        <f>$C$7</f>
        <v>TBD by Others</v>
      </c>
      <c r="O105" s="372"/>
      <c r="P105" s="349"/>
      <c r="Q105" s="550"/>
      <c r="R105" s="552"/>
    </row>
    <row r="106" spans="2:20" ht="15.75" customHeight="1" x14ac:dyDescent="0.25">
      <c r="D106" s="371"/>
      <c r="E106" s="349"/>
      <c r="O106" s="371"/>
      <c r="P106" s="349"/>
    </row>
    <row r="107" spans="2:20" ht="15.75" customHeight="1" thickBot="1" x14ac:dyDescent="0.3"/>
    <row r="108" spans="2:20" x14ac:dyDescent="0.25">
      <c r="B108" s="715" t="str">
        <f>"Factored Post Reaction - IDLER @ "&amp;Inputs!$B$33&amp;" DEGREES"</f>
        <v>Factored Post Reaction - IDLER @ XX DEGREES</v>
      </c>
      <c r="C108" s="547"/>
      <c r="D108" s="547"/>
      <c r="E108" s="547"/>
      <c r="F108" s="547"/>
      <c r="G108" s="547"/>
      <c r="H108" s="547"/>
      <c r="I108" s="548"/>
      <c r="M108" s="715" t="str">
        <f>"Factored Post Reaction - IDLER @ "&amp;Inputs!$B$33&amp;" DEGREES"</f>
        <v>Factored Post Reaction - IDLER @ XX DEGREES</v>
      </c>
      <c r="N108" s="547"/>
      <c r="O108" s="547"/>
      <c r="P108" s="547"/>
      <c r="Q108" s="547"/>
      <c r="R108" s="547"/>
      <c r="S108" s="547"/>
      <c r="T108" s="548"/>
    </row>
    <row r="109" spans="2:20" ht="15.75" customHeight="1" thickBot="1" x14ac:dyDescent="0.3">
      <c r="B109" s="712" t="str">
        <f>B11</f>
        <v xml:space="preserve">Top of Pile Loads </v>
      </c>
      <c r="C109" s="551"/>
      <c r="D109" s="551"/>
      <c r="E109" s="551"/>
      <c r="F109" s="551"/>
      <c r="G109" s="551"/>
      <c r="H109" s="551"/>
      <c r="I109" s="552"/>
      <c r="M109" s="712" t="str">
        <f>B11</f>
        <v xml:space="preserve">Top of Pile Loads </v>
      </c>
      <c r="N109" s="551"/>
      <c r="O109" s="551"/>
      <c r="P109" s="551"/>
      <c r="Q109" s="551"/>
      <c r="R109" s="551"/>
      <c r="S109" s="551"/>
      <c r="T109" s="552"/>
    </row>
    <row r="110" spans="2:20" ht="60.75" customHeight="1" thickBot="1" x14ac:dyDescent="0.3">
      <c r="B110" s="352" t="s">
        <v>798</v>
      </c>
      <c r="C110" s="352" t="s">
        <v>799</v>
      </c>
      <c r="D110" s="352" t="s">
        <v>800</v>
      </c>
      <c r="E110" s="353" t="s">
        <v>801</v>
      </c>
      <c r="F110" s="353" t="s">
        <v>802</v>
      </c>
      <c r="G110" s="353" t="s">
        <v>803</v>
      </c>
      <c r="H110" s="353" t="s">
        <v>804</v>
      </c>
      <c r="I110" s="353" t="s">
        <v>805</v>
      </c>
      <c r="M110" s="352" t="s">
        <v>798</v>
      </c>
      <c r="N110" s="352" t="s">
        <v>799</v>
      </c>
      <c r="O110" s="352" t="s">
        <v>800</v>
      </c>
      <c r="P110" s="353" t="s">
        <v>801</v>
      </c>
      <c r="Q110" s="353" t="s">
        <v>802</v>
      </c>
      <c r="R110" s="353" t="s">
        <v>803</v>
      </c>
      <c r="S110" s="353" t="s">
        <v>804</v>
      </c>
      <c r="T110" s="353" t="s">
        <v>805</v>
      </c>
    </row>
    <row r="111" spans="2:20" x14ac:dyDescent="0.25">
      <c r="B111" s="354">
        <v>1</v>
      </c>
      <c r="C111" s="355" t="s">
        <v>836</v>
      </c>
      <c r="D111" s="356" t="s">
        <v>807</v>
      </c>
      <c r="E111" s="357">
        <v>0</v>
      </c>
      <c r="F111" s="357">
        <f>$Y$6</f>
        <v>0</v>
      </c>
      <c r="G111" s="357">
        <f>$AR$6</f>
        <v>0</v>
      </c>
      <c r="H111" s="357">
        <f t="shared" ref="H111:H132" si="8">G111*SMA</f>
        <v>0</v>
      </c>
      <c r="I111" s="358">
        <f>IF(Theta&lt;55,0,IF((-F111*Ecc)&lt;0,0, (-F111*Ecc)))</f>
        <v>0</v>
      </c>
      <c r="M111" s="354">
        <v>1</v>
      </c>
      <c r="N111" s="355" t="s">
        <v>836</v>
      </c>
      <c r="O111" s="356" t="s">
        <v>807</v>
      </c>
      <c r="P111" s="357">
        <v>0</v>
      </c>
      <c r="Q111" s="357">
        <f>$Y$9</f>
        <v>0</v>
      </c>
      <c r="R111" s="357">
        <f>$AR$9</f>
        <v>0</v>
      </c>
      <c r="S111" s="357">
        <f t="shared" ref="S111:S132" si="9">R111*SMA</f>
        <v>0</v>
      </c>
      <c r="T111" s="358">
        <f>IF(Theta&lt;55,0,IF((-Q111*Ecc)&lt;0,0, (-Q111*Ecc)))</f>
        <v>0</v>
      </c>
    </row>
    <row r="112" spans="2:20" x14ac:dyDescent="0.25">
      <c r="B112" s="359">
        <v>2</v>
      </c>
      <c r="C112" s="360" t="s">
        <v>870</v>
      </c>
      <c r="D112" s="209" t="s">
        <v>807</v>
      </c>
      <c r="E112" s="361">
        <v>0</v>
      </c>
      <c r="F112" s="361">
        <f>($Y$6+$Z$6)</f>
        <v>0</v>
      </c>
      <c r="G112" s="361">
        <f>$AR$6+$AS$6</f>
        <v>0</v>
      </c>
      <c r="H112" s="361">
        <f t="shared" si="8"/>
        <v>0</v>
      </c>
      <c r="I112" s="362">
        <f>IF(Theta&lt;55,0,IF((-F112*Ecc)&lt;0,0,(-F112*Ecc)))</f>
        <v>0</v>
      </c>
      <c r="M112" s="359">
        <v>2</v>
      </c>
      <c r="N112" s="360" t="s">
        <v>870</v>
      </c>
      <c r="O112" s="209" t="s">
        <v>807</v>
      </c>
      <c r="P112" s="361">
        <v>0</v>
      </c>
      <c r="Q112" s="361">
        <f>($Y$9+$Z$9)</f>
        <v>0</v>
      </c>
      <c r="R112" s="361">
        <f>$AR$9+$AS$9</f>
        <v>0</v>
      </c>
      <c r="S112" s="361">
        <f t="shared" si="9"/>
        <v>0</v>
      </c>
      <c r="T112" s="362">
        <f>IF(Theta&lt;55,0,IF((-Q112*Ecc)&lt;0,0,(-Q112*Ecc)))</f>
        <v>0</v>
      </c>
    </row>
    <row r="113" spans="2:20" x14ac:dyDescent="0.25">
      <c r="B113" s="359">
        <v>3</v>
      </c>
      <c r="C113" s="360" t="s">
        <v>847</v>
      </c>
      <c r="D113" s="209" t="s">
        <v>807</v>
      </c>
      <c r="E113" s="361" t="e">
        <f ca="1">(0.6*$AL$6)+(0.6*$AA$6)</f>
        <v>#VALUE!</v>
      </c>
      <c r="F113" s="361" t="e">
        <f ca="1">($Y$6)+(0.6*($AN$6))</f>
        <v>#VALUE!</v>
      </c>
      <c r="G113" s="361">
        <f>$AR$6</f>
        <v>0</v>
      </c>
      <c r="H113" s="361">
        <f t="shared" si="8"/>
        <v>0</v>
      </c>
      <c r="I113" s="362" t="e">
        <f ca="1">IF(Theta&lt;55,0,IF(((0.6*$AP$6)-(F113*Ecc))&lt;0,0,((0.6*$AP$6)-(F113*Ecc))))</f>
        <v>#VALUE!</v>
      </c>
      <c r="M113" s="359">
        <v>3</v>
      </c>
      <c r="N113" s="360" t="s">
        <v>847</v>
      </c>
      <c r="O113" s="209" t="s">
        <v>807</v>
      </c>
      <c r="P113" s="361" t="e">
        <f ca="1">(0.6*$AL$9)+(0.6*$AA$9)</f>
        <v>#VALUE!</v>
      </c>
      <c r="Q113" s="361" t="e">
        <f ca="1">($Y$9)+(0.6*($AN$9))</f>
        <v>#VALUE!</v>
      </c>
      <c r="R113" s="361">
        <f>$AR$9</f>
        <v>0</v>
      </c>
      <c r="S113" s="361">
        <f t="shared" si="9"/>
        <v>0</v>
      </c>
      <c r="T113" s="362" t="e">
        <f ca="1">IF(Theta&lt;55,0,IF(((0.6*$AP$9)-(Q113*Ecc))&lt;0,0,((0.6*$AP$9)-(Q113*Ecc))))</f>
        <v>#VALUE!</v>
      </c>
    </row>
    <row r="114" spans="2:20" x14ac:dyDescent="0.25">
      <c r="B114" s="359">
        <v>4</v>
      </c>
      <c r="C114" s="360" t="s">
        <v>848</v>
      </c>
      <c r="D114" s="209" t="s">
        <v>807</v>
      </c>
      <c r="E114" s="361" t="e">
        <f ca="1">(0.6*$AK$6)+(0.6*$AA$6)</f>
        <v>#VALUE!</v>
      </c>
      <c r="F114" s="361" t="e">
        <f ca="1">($Y$6)+(0.6*$AM$6)</f>
        <v>#VALUE!</v>
      </c>
      <c r="G114" s="361">
        <f>$AR$6</f>
        <v>0</v>
      </c>
      <c r="H114" s="361">
        <f t="shared" si="8"/>
        <v>0</v>
      </c>
      <c r="I114" s="362" t="e">
        <f ca="1">IF(Theta&lt;55,0,IF(((0.6*$AO$6)-(F114*Ecc))&lt;0,0,((0.6*$AO$6)-(F114*Ecc))))</f>
        <v>#VALUE!</v>
      </c>
      <c r="M114" s="359">
        <v>4</v>
      </c>
      <c r="N114" s="360" t="s">
        <v>848</v>
      </c>
      <c r="O114" s="209" t="s">
        <v>807</v>
      </c>
      <c r="P114" s="361" t="e">
        <f ca="1">(0.6*$AK$9)+(0.6*$AA$9)</f>
        <v>#VALUE!</v>
      </c>
      <c r="Q114" s="361" t="e">
        <f ca="1">($Y$9)+(0.6*$AM$9)</f>
        <v>#VALUE!</v>
      </c>
      <c r="R114" s="361">
        <f>$AR$9</f>
        <v>0</v>
      </c>
      <c r="S114" s="361">
        <f t="shared" si="9"/>
        <v>0</v>
      </c>
      <c r="T114" s="362" t="e">
        <f ca="1">IF(Theta&lt;55,0,IF(((0.6*$AO$9)-(Q114*Ecc))&lt;0,0,((0.6*$AO$9)-(Q114*Ecc))))</f>
        <v>#VALUE!</v>
      </c>
    </row>
    <row r="115" spans="2:20" x14ac:dyDescent="0.25">
      <c r="B115" s="359">
        <v>5</v>
      </c>
      <c r="C115" s="360" t="s">
        <v>871</v>
      </c>
      <c r="D115" s="209" t="s">
        <v>807</v>
      </c>
      <c r="E115" s="361" t="e">
        <f>(0.45*$AE$6)+(0.45*$AA$6)</f>
        <v>#VALUE!</v>
      </c>
      <c r="F115" s="361" t="e">
        <f>($Y$6)+(0.45*$AG$6)+(0.75*$Z$6)</f>
        <v>#VALUE!</v>
      </c>
      <c r="G115" s="361">
        <f>$AR$6+0.76*$AS$6</f>
        <v>0</v>
      </c>
      <c r="H115" s="361">
        <f t="shared" si="8"/>
        <v>0</v>
      </c>
      <c r="I115" s="362" t="e">
        <f>IF(Theta&lt;55,0,IF(((0.45*$AI$6)-(F115*Ecc))&lt;0,0,((0.45*$AI$6)-(F115*Ecc))))</f>
        <v>#VALUE!</v>
      </c>
      <c r="M115" s="359">
        <v>5</v>
      </c>
      <c r="N115" s="360" t="s">
        <v>871</v>
      </c>
      <c r="O115" s="209" t="s">
        <v>807</v>
      </c>
      <c r="P115" s="361" t="e">
        <f>(0.45*$AE$9)+(0.45*$AA$9)</f>
        <v>#VALUE!</v>
      </c>
      <c r="Q115" s="361" t="e">
        <f>($Y$9)+(0.45*$AG$9)+(0.75*$Z$9)</f>
        <v>#VALUE!</v>
      </c>
      <c r="R115" s="361">
        <f>$AR$9+0.99*$AS$9</f>
        <v>0</v>
      </c>
      <c r="S115" s="361">
        <f t="shared" si="9"/>
        <v>0</v>
      </c>
      <c r="T115" s="362" t="e">
        <f>IF(Theta&lt;55,0,IF(((0.45*$AI$9)-(Q115*Ecc))&lt;0,0,((0.45*$AI$9)-(Q115*Ecc))))</f>
        <v>#VALUE!</v>
      </c>
    </row>
    <row r="116" spans="2:20" x14ac:dyDescent="0.25">
      <c r="B116" s="359">
        <v>6</v>
      </c>
      <c r="C116" s="360" t="s">
        <v>872</v>
      </c>
      <c r="D116" s="209" t="s">
        <v>807</v>
      </c>
      <c r="E116" s="361" t="e">
        <f>(0.45*$AD$6)+(0.45*$AA$6)</f>
        <v>#VALUE!</v>
      </c>
      <c r="F116" s="361" t="e">
        <f>($Y$6)+(0.45*($AF$6))+(0.75*$Z$6)</f>
        <v>#VALUE!</v>
      </c>
      <c r="G116" s="361">
        <f>$AR$6+0.76*$AS$6</f>
        <v>0</v>
      </c>
      <c r="H116" s="361">
        <f t="shared" si="8"/>
        <v>0</v>
      </c>
      <c r="I116" s="362" t="e">
        <f>IF(Theta&lt;55,0,IF(((0.45*$AH$6)-(F116*Ecc))&lt;0,0,((0.45*$AH$6)-(F116*Ecc))))</f>
        <v>#VALUE!</v>
      </c>
      <c r="M116" s="359">
        <v>6</v>
      </c>
      <c r="N116" s="360" t="s">
        <v>872</v>
      </c>
      <c r="O116" s="209" t="s">
        <v>807</v>
      </c>
      <c r="P116" s="361" t="e">
        <f>(0.45*$AD$9)+(0.45*$AA$9)</f>
        <v>#VALUE!</v>
      </c>
      <c r="Q116" s="361" t="e">
        <f>($Y$9)+(0.45*($AF$9))+(0.75*$Z$9)</f>
        <v>#VALUE!</v>
      </c>
      <c r="R116" s="361">
        <f>$AR$9+0.99*$AS$9</f>
        <v>0</v>
      </c>
      <c r="S116" s="361">
        <f t="shared" si="9"/>
        <v>0</v>
      </c>
      <c r="T116" s="362" t="e">
        <f>IF(Theta&lt;55,0,IF(((0.45*$AH$9)-(Q116*Ecc))&lt;0,0,((0.45*$AH$9)-(Q116*Ecc))))</f>
        <v>#VALUE!</v>
      </c>
    </row>
    <row r="117" spans="2:20" x14ac:dyDescent="0.25">
      <c r="B117" s="359">
        <v>7</v>
      </c>
      <c r="C117" s="360" t="s">
        <v>873</v>
      </c>
      <c r="D117" s="209" t="s">
        <v>807</v>
      </c>
      <c r="E117" s="361" t="e">
        <f ca="1">+(0.45*($AL$6+$AA$6))</f>
        <v>#VALUE!</v>
      </c>
      <c r="F117" s="361" t="e">
        <f ca="1">($Y$6)+(0.45*$AN$6)+(0.25*$Z$6)</f>
        <v>#VALUE!</v>
      </c>
      <c r="G117" s="361">
        <f>$AR$6+0.76*$AS$6</f>
        <v>0</v>
      </c>
      <c r="H117" s="361">
        <f t="shared" si="8"/>
        <v>0</v>
      </c>
      <c r="I117" s="362" t="e">
        <f ca="1">IF(Theta&lt;55,0,IF(((0.45*$AP$6)-(F117*Ecc))&lt;0,0, ((0.45*$AP$6)-(F117*Ecc))))</f>
        <v>#VALUE!</v>
      </c>
      <c r="M117" s="359">
        <v>7</v>
      </c>
      <c r="N117" s="360" t="s">
        <v>873</v>
      </c>
      <c r="O117" s="209" t="s">
        <v>807</v>
      </c>
      <c r="P117" s="361" t="e">
        <f ca="1">+(0.45*($AL$9+$AA$9))</f>
        <v>#VALUE!</v>
      </c>
      <c r="Q117" s="361" t="e">
        <f ca="1">($Y$9)+(0.45*$AN$9)+(0.25*$Z$9)</f>
        <v>#VALUE!</v>
      </c>
      <c r="R117" s="361">
        <f>$AR$9+0.99*$AS$9</f>
        <v>0</v>
      </c>
      <c r="S117" s="361">
        <f t="shared" si="9"/>
        <v>0</v>
      </c>
      <c r="T117" s="362" t="e">
        <f ca="1">IF(Theta&lt;55,0,IF(((0.45*$AP$9)-(Q117*Ecc))&lt;0,0, ((0.45*$AP$9)-(Q117*Ecc))))</f>
        <v>#VALUE!</v>
      </c>
    </row>
    <row r="118" spans="2:20" x14ac:dyDescent="0.25">
      <c r="B118" s="359">
        <v>8</v>
      </c>
      <c r="C118" s="360" t="s">
        <v>874</v>
      </c>
      <c r="D118" s="209" t="s">
        <v>807</v>
      </c>
      <c r="E118" s="361" t="e">
        <f ca="1">(0.45*($AA$6+$AK$6))</f>
        <v>#VALUE!</v>
      </c>
      <c r="F118" s="361" t="e">
        <f ca="1">($Y$6)+(0.45*$AM$6)+(0.25*$Z$6)</f>
        <v>#VALUE!</v>
      </c>
      <c r="G118" s="361">
        <f>$AR$6+0.76*$AS$6</f>
        <v>0</v>
      </c>
      <c r="H118" s="361">
        <f t="shared" si="8"/>
        <v>0</v>
      </c>
      <c r="I118" s="362" t="e">
        <f ca="1">IF(Theta&lt;55,0,IF(((0.45*$AO$6)-(F118*Ecc))&lt;0,0,((0.45*$AO$6)-(F118*Ecc))))</f>
        <v>#VALUE!</v>
      </c>
      <c r="M118" s="359">
        <v>8</v>
      </c>
      <c r="N118" s="360" t="s">
        <v>874</v>
      </c>
      <c r="O118" s="209" t="s">
        <v>807</v>
      </c>
      <c r="P118" s="361" t="e">
        <f ca="1">(0.45*($AA$9+$AK$9))</f>
        <v>#VALUE!</v>
      </c>
      <c r="Q118" s="361" t="e">
        <f ca="1">($Y$9)+(0.45*$AM$9)+(0.25*$Z$9)</f>
        <v>#VALUE!</v>
      </c>
      <c r="R118" s="361">
        <f>$AR$9+0.99*$AS$9</f>
        <v>0</v>
      </c>
      <c r="S118" s="361">
        <f t="shared" si="9"/>
        <v>0</v>
      </c>
      <c r="T118" s="362" t="e">
        <f ca="1">IF(Theta&lt;55,0,IF(((0.45*$AO$9)-(Q118*Ecc))&lt;0,0,((0.45*$AO$9)-(Q118*Ecc))))</f>
        <v>#VALUE!</v>
      </c>
    </row>
    <row r="119" spans="2:20" x14ac:dyDescent="0.25">
      <c r="B119" s="359">
        <v>9</v>
      </c>
      <c r="C119" s="360" t="s">
        <v>851</v>
      </c>
      <c r="D119" s="209" t="s">
        <v>807</v>
      </c>
      <c r="E119" s="361" t="e">
        <f ca="1">(0.6*($AA$6+$AL$6))</f>
        <v>#VALUE!</v>
      </c>
      <c r="F119" s="361" t="e">
        <f ca="1">(0.6*$Y$6)+($AN$6*0.6)</f>
        <v>#VALUE!</v>
      </c>
      <c r="G119" s="361">
        <f>$AR$6*0.6</f>
        <v>0</v>
      </c>
      <c r="H119" s="361">
        <f t="shared" si="8"/>
        <v>0</v>
      </c>
      <c r="I119" s="362" t="e">
        <f ca="1">IF(Theta&lt;55,0,IF(((0.6*$AP$6)-(F119*Ecc))&lt;0,0,((0.6*$AP$6)-(F119*Ecc))))</f>
        <v>#VALUE!</v>
      </c>
      <c r="M119" s="359">
        <v>9</v>
      </c>
      <c r="N119" s="360" t="s">
        <v>851</v>
      </c>
      <c r="O119" s="209" t="s">
        <v>807</v>
      </c>
      <c r="P119" s="361" t="e">
        <f ca="1">(0.6*($AA$9+$AL$9))</f>
        <v>#VALUE!</v>
      </c>
      <c r="Q119" s="361" t="e">
        <f ca="1">(0.6*$Y$9)+($AN$9*0.6)</f>
        <v>#VALUE!</v>
      </c>
      <c r="R119" s="361">
        <f>$AR$9*0.9</f>
        <v>0</v>
      </c>
      <c r="S119" s="361">
        <f t="shared" si="9"/>
        <v>0</v>
      </c>
      <c r="T119" s="362" t="e">
        <f ca="1">IF(Theta&lt;55,0,IF(((0.6*$AP$9)-(Q119*Ecc))&lt;0,0,((0.6*$AP$9)-(Q119*Ecc))))</f>
        <v>#VALUE!</v>
      </c>
    </row>
    <row r="120" spans="2:20" x14ac:dyDescent="0.25">
      <c r="B120" s="359">
        <v>10</v>
      </c>
      <c r="C120" s="360" t="s">
        <v>852</v>
      </c>
      <c r="D120" s="209" t="s">
        <v>807</v>
      </c>
      <c r="E120" s="361" t="e">
        <f ca="1">(0.6*($AA$6+$AK$6))</f>
        <v>#VALUE!</v>
      </c>
      <c r="F120" s="361" t="e">
        <f ca="1">(0.6*$Y$6)+(0.6*$AM$6)</f>
        <v>#VALUE!</v>
      </c>
      <c r="G120" s="361">
        <f>$AR$6*0.6</f>
        <v>0</v>
      </c>
      <c r="H120" s="361">
        <f t="shared" si="8"/>
        <v>0</v>
      </c>
      <c r="I120" s="362" t="e">
        <f ca="1">IF(Theta&lt;55,0,IF(((0.6*$AO$6)-(F120*Ecc))&lt;0,0,((0.6*$AO$6)-(F120*Ecc))))</f>
        <v>#VALUE!</v>
      </c>
      <c r="M120" s="359">
        <v>10</v>
      </c>
      <c r="N120" s="360" t="s">
        <v>852</v>
      </c>
      <c r="O120" s="209" t="s">
        <v>807</v>
      </c>
      <c r="P120" s="361" t="e">
        <f ca="1">(0.6*($AA$9+$AK$9))</f>
        <v>#VALUE!</v>
      </c>
      <c r="Q120" s="361" t="e">
        <f ca="1">(0.6*$Y$9)+(0.6*$AM$9)</f>
        <v>#VALUE!</v>
      </c>
      <c r="R120" s="361">
        <f>$AR$9*0.9</f>
        <v>0</v>
      </c>
      <c r="S120" s="361">
        <f t="shared" si="9"/>
        <v>0</v>
      </c>
      <c r="T120" s="362" t="e">
        <f ca="1">IF(Theta&lt;55,0,IF(((0.6*$AO$9)-(Q120*Ecc))&lt;0,0,((0.6*$AO$9)-(Q120*Ecc))))</f>
        <v>#VALUE!</v>
      </c>
    </row>
    <row r="121" spans="2:20" x14ac:dyDescent="0.25">
      <c r="B121" s="359">
        <v>11</v>
      </c>
      <c r="C121" s="360" t="s">
        <v>853</v>
      </c>
      <c r="D121" s="209" t="s">
        <v>807</v>
      </c>
      <c r="E121" s="361">
        <f>(0.7*$AB$6)</f>
        <v>0</v>
      </c>
      <c r="F121" s="361">
        <f>($Y$6)+0.7*$AT$6</f>
        <v>0</v>
      </c>
      <c r="G121" s="361">
        <f>$AR$6</f>
        <v>0</v>
      </c>
      <c r="H121" s="361">
        <f t="shared" si="8"/>
        <v>0</v>
      </c>
      <c r="I121" s="362">
        <f>IF(Theta&lt;55,0,IF(((0.7*$AQ$6)-(F121*Ecc))&lt;0,0,((0.7*$AQ$6)-(F121*Ecc))))</f>
        <v>0</v>
      </c>
      <c r="M121" s="359">
        <v>11</v>
      </c>
      <c r="N121" s="360" t="s">
        <v>853</v>
      </c>
      <c r="O121" s="209" t="s">
        <v>807</v>
      </c>
      <c r="P121" s="361">
        <f>(0.7*$AB$9)</f>
        <v>0</v>
      </c>
      <c r="Q121" s="361">
        <f>($Y$9)+0.7*$AT$9</f>
        <v>0</v>
      </c>
      <c r="R121" s="361">
        <f>$AR$9</f>
        <v>0</v>
      </c>
      <c r="S121" s="361">
        <f t="shared" si="9"/>
        <v>0</v>
      </c>
      <c r="T121" s="362">
        <f>IF(Theta&lt;55,0,IF(((0.7*$AQ$9)-(Q121*Ecc))&lt;0,0,((0.7*$AQ$9)-(Q121*Ecc))))</f>
        <v>0</v>
      </c>
    </row>
    <row r="122" spans="2:20" x14ac:dyDescent="0.25">
      <c r="B122" s="359">
        <v>12</v>
      </c>
      <c r="C122" s="360" t="s">
        <v>854</v>
      </c>
      <c r="D122" s="209" t="s">
        <v>807</v>
      </c>
      <c r="E122" s="361">
        <f>-(0.7*$AB$6)</f>
        <v>0</v>
      </c>
      <c r="F122" s="361">
        <f>$Y$6-0.7*$AT$6</f>
        <v>0</v>
      </c>
      <c r="G122" s="361">
        <f>$AR$6</f>
        <v>0</v>
      </c>
      <c r="H122" s="361">
        <f t="shared" si="8"/>
        <v>0</v>
      </c>
      <c r="I122" s="362">
        <f>IF(Theta&lt;55,0,IF(((-0.7*$AQ$6)-(F122*Ecc))&lt;0,0,((-0.7*$AQ$6)-(F122*Ecc))))</f>
        <v>0</v>
      </c>
      <c r="M122" s="359">
        <v>12</v>
      </c>
      <c r="N122" s="360" t="s">
        <v>854</v>
      </c>
      <c r="O122" s="209" t="s">
        <v>807</v>
      </c>
      <c r="P122" s="361">
        <f>-(0.7*$AB$9)</f>
        <v>0</v>
      </c>
      <c r="Q122" s="361">
        <f>$Y$9-0.7*$AT$9</f>
        <v>0</v>
      </c>
      <c r="R122" s="361">
        <f>$AR$9</f>
        <v>0</v>
      </c>
      <c r="S122" s="361">
        <f t="shared" si="9"/>
        <v>0</v>
      </c>
      <c r="T122" s="362">
        <f>IF(Theta&lt;55,0,IF(((-0.7*$AQ$9)-(Q122*Ecc))&lt;0,0,((-0.7*$AQ$9)-(Q122*Ecc))))</f>
        <v>0</v>
      </c>
    </row>
    <row r="123" spans="2:20" x14ac:dyDescent="0.25">
      <c r="B123" s="359">
        <v>13</v>
      </c>
      <c r="C123" s="360" t="s">
        <v>855</v>
      </c>
      <c r="D123" s="209" t="s">
        <v>807</v>
      </c>
      <c r="E123" s="361">
        <v>0</v>
      </c>
      <c r="F123" s="361">
        <f>$Y$6+0.7*$AT$6</f>
        <v>0</v>
      </c>
      <c r="G123" s="361">
        <f>0.7*$AC$6+$AR$6</f>
        <v>0</v>
      </c>
      <c r="H123" s="361">
        <f t="shared" si="8"/>
        <v>0</v>
      </c>
      <c r="I123" s="362">
        <f>IF(Theta&lt;55,0,IF((-F123*Ecc)&lt;0,0,(-F123*Ecc)))</f>
        <v>0</v>
      </c>
      <c r="M123" s="359">
        <v>13</v>
      </c>
      <c r="N123" s="360" t="s">
        <v>855</v>
      </c>
      <c r="O123" s="209" t="s">
        <v>807</v>
      </c>
      <c r="P123" s="361">
        <v>0</v>
      </c>
      <c r="Q123" s="361">
        <f>$Y$9+0.7*$AT$9</f>
        <v>0</v>
      </c>
      <c r="R123" s="361">
        <f>0.9*$AC$9+$AR$9</f>
        <v>0</v>
      </c>
      <c r="S123" s="361">
        <f t="shared" si="9"/>
        <v>0</v>
      </c>
      <c r="T123" s="362">
        <f>IF(Theta&lt;55,0,IF((-Q123*Ecc)&lt;0,0,(-Q123*Ecc)))</f>
        <v>0</v>
      </c>
    </row>
    <row r="124" spans="2:20" x14ac:dyDescent="0.25">
      <c r="B124" s="359">
        <v>14</v>
      </c>
      <c r="C124" s="360" t="s">
        <v>856</v>
      </c>
      <c r="D124" s="209" t="s">
        <v>807</v>
      </c>
      <c r="E124" s="361">
        <v>0</v>
      </c>
      <c r="F124" s="361">
        <f>$Y$6-0.7*$AT$6</f>
        <v>0</v>
      </c>
      <c r="G124" s="361">
        <f>-0.7*$AC$6+$AR$6</f>
        <v>0</v>
      </c>
      <c r="H124" s="361">
        <f t="shared" si="8"/>
        <v>0</v>
      </c>
      <c r="I124" s="362">
        <f>IF(Theta&lt;55,0,IF((-F124*Ecc)&lt;0,0,(-F124*Ecc)))</f>
        <v>0</v>
      </c>
      <c r="M124" s="359">
        <v>14</v>
      </c>
      <c r="N124" s="360" t="s">
        <v>856</v>
      </c>
      <c r="O124" s="209" t="s">
        <v>807</v>
      </c>
      <c r="P124" s="361">
        <v>0</v>
      </c>
      <c r="Q124" s="361">
        <f>$Y$9-0.7*$AT$9</f>
        <v>0</v>
      </c>
      <c r="R124" s="361">
        <f>-0.9*$AC$9+$AR$9</f>
        <v>0</v>
      </c>
      <c r="S124" s="361">
        <f t="shared" si="9"/>
        <v>0</v>
      </c>
      <c r="T124" s="362">
        <f>IF(Theta&lt;55,0,IF((-Q124*Ecc)&lt;0,0,(-Q124*Ecc)))</f>
        <v>0</v>
      </c>
    </row>
    <row r="125" spans="2:20" x14ac:dyDescent="0.25">
      <c r="B125" s="359">
        <v>15</v>
      </c>
      <c r="C125" s="360" t="s">
        <v>875</v>
      </c>
      <c r="D125" s="209" t="s">
        <v>807</v>
      </c>
      <c r="E125" s="361">
        <f>(0.525*$AB$6)</f>
        <v>0</v>
      </c>
      <c r="F125" s="361">
        <f>($Y$6)+(0.75*$Z$6)+0.525*$AT$6</f>
        <v>0</v>
      </c>
      <c r="G125" s="361">
        <f>$AR$6+0.76*$AS$6</f>
        <v>0</v>
      </c>
      <c r="H125" s="361">
        <f t="shared" si="8"/>
        <v>0</v>
      </c>
      <c r="I125" s="362">
        <f>IF(Theta&lt;55,0,IF(((0.525*$AQ$6)-(F125*Ecc))&lt;0,0,((0.525*$AQ$6)-(F125*Ecc))))</f>
        <v>0</v>
      </c>
      <c r="M125" s="359">
        <v>15</v>
      </c>
      <c r="N125" s="360" t="s">
        <v>875</v>
      </c>
      <c r="O125" s="209" t="s">
        <v>807</v>
      </c>
      <c r="P125" s="361">
        <f>(0.525*$AB$9)</f>
        <v>0</v>
      </c>
      <c r="Q125" s="361">
        <f>($Y$9)+(0.75*$Z$9)+0.525*$AT$9</f>
        <v>0</v>
      </c>
      <c r="R125" s="361">
        <f>$AR$9+0.99*$AS$9</f>
        <v>0</v>
      </c>
      <c r="S125" s="361">
        <f t="shared" si="9"/>
        <v>0</v>
      </c>
      <c r="T125" s="362">
        <f>IF(Theta&lt;55,0,IF(((0.525*$AQ$9)-(Q125*Ecc))&lt;0,0,((0.525*$AQ$9)-(Q125*Ecc))))</f>
        <v>0</v>
      </c>
    </row>
    <row r="126" spans="2:20" x14ac:dyDescent="0.25">
      <c r="B126" s="359">
        <v>16</v>
      </c>
      <c r="C126" s="360" t="s">
        <v>876</v>
      </c>
      <c r="D126" s="209" t="s">
        <v>807</v>
      </c>
      <c r="E126" s="361">
        <f>-(0.525*$AB$6)</f>
        <v>0</v>
      </c>
      <c r="F126" s="361">
        <f>($Y$6)+(0.75*$Z$6)-0.525*$AT$6</f>
        <v>0</v>
      </c>
      <c r="G126" s="361">
        <f>$AR$6+0.76*$AS$6</f>
        <v>0</v>
      </c>
      <c r="H126" s="361">
        <f t="shared" si="8"/>
        <v>0</v>
      </c>
      <c r="I126" s="362">
        <f>IF(Theta&lt;55,0,IF(((-0.525*$AQ$6)-(F126*Ecc))&lt;0,0,((-0.525*$AQ$6)-(F126*Ecc))))</f>
        <v>0</v>
      </c>
      <c r="M126" s="359">
        <v>16</v>
      </c>
      <c r="N126" s="360" t="s">
        <v>876</v>
      </c>
      <c r="O126" s="209" t="s">
        <v>807</v>
      </c>
      <c r="P126" s="361">
        <f>-(0.525*$AB$9)</f>
        <v>0</v>
      </c>
      <c r="Q126" s="361">
        <f>($Y$9)+(0.75*$Z$9)-0.525*$AT$9</f>
        <v>0</v>
      </c>
      <c r="R126" s="361">
        <f>$AR$9+0.99*$AS$9</f>
        <v>0</v>
      </c>
      <c r="S126" s="361">
        <f t="shared" si="9"/>
        <v>0</v>
      </c>
      <c r="T126" s="362">
        <f>IF(Theta&lt;55,0,IF(((-0.525*$AQ$9)-(Q126*Ecc))&lt;0,0,((-0.525*$AQ$9)-(Q126*Ecc))))</f>
        <v>0</v>
      </c>
    </row>
    <row r="127" spans="2:20" x14ac:dyDescent="0.25">
      <c r="B127" s="359">
        <v>17</v>
      </c>
      <c r="C127" s="360" t="s">
        <v>877</v>
      </c>
      <c r="D127" s="209" t="s">
        <v>807</v>
      </c>
      <c r="E127" s="361">
        <v>0</v>
      </c>
      <c r="F127" s="361">
        <f>($Y$6)+(0.75*$Z$6)+0.525*$AT$6</f>
        <v>0</v>
      </c>
      <c r="G127" s="361">
        <f>0.626*$AC$6+$AR$6+0.76*$AS$6</f>
        <v>0</v>
      </c>
      <c r="H127" s="361">
        <f t="shared" si="8"/>
        <v>0</v>
      </c>
      <c r="I127" s="362">
        <f>IF(Theta&lt;55,0,IF((-F127*Ecc)&lt;0,0,(-F127*Ecc)))</f>
        <v>0</v>
      </c>
      <c r="M127" s="359">
        <v>17</v>
      </c>
      <c r="N127" s="360" t="s">
        <v>877</v>
      </c>
      <c r="O127" s="209" t="s">
        <v>807</v>
      </c>
      <c r="P127" s="361">
        <v>0</v>
      </c>
      <c r="Q127" s="361">
        <f>($Y$9)+(0.75*$Z$9)+0.525*$AT$9</f>
        <v>0</v>
      </c>
      <c r="R127" s="361">
        <f>0.929*$AC$9+$AR$9+0.99*$AS$9</f>
        <v>0</v>
      </c>
      <c r="S127" s="361">
        <f t="shared" si="9"/>
        <v>0</v>
      </c>
      <c r="T127" s="362">
        <f>IF(Theta&lt;55,0,IF((-Q127*Ecc)&lt;0,0,(-Q127*Ecc)))</f>
        <v>0</v>
      </c>
    </row>
    <row r="128" spans="2:20" x14ac:dyDescent="0.25">
      <c r="B128" s="359">
        <v>18</v>
      </c>
      <c r="C128" s="360" t="s">
        <v>878</v>
      </c>
      <c r="D128" s="209" t="s">
        <v>807</v>
      </c>
      <c r="E128" s="361">
        <v>0</v>
      </c>
      <c r="F128" s="361">
        <f>($Y$6)+(0.75*$Z$6)-0.525*$AT$6</f>
        <v>0</v>
      </c>
      <c r="G128" s="361">
        <f>-0.626*$AC$6+$AR$6+0.76*$AS$6</f>
        <v>0</v>
      </c>
      <c r="H128" s="361">
        <f t="shared" si="8"/>
        <v>0</v>
      </c>
      <c r="I128" s="362">
        <f>IF(Theta&lt;55,0,IF((-F128*Ecc)&lt;0,0,(-F128*Ecc)))</f>
        <v>0</v>
      </c>
      <c r="M128" s="359">
        <v>18</v>
      </c>
      <c r="N128" s="360" t="s">
        <v>878</v>
      </c>
      <c r="O128" s="209" t="s">
        <v>807</v>
      </c>
      <c r="P128" s="361">
        <v>0</v>
      </c>
      <c r="Q128" s="361">
        <f>($Y$9)+(0.75*$Z$9)-0.525*$AT$9</f>
        <v>0</v>
      </c>
      <c r="R128" s="361">
        <f>-0.929*$AC$9+$AR$9+0.99*$AS$9</f>
        <v>0</v>
      </c>
      <c r="S128" s="361">
        <f t="shared" si="9"/>
        <v>0</v>
      </c>
      <c r="T128" s="362">
        <f>IF(Theta&lt;55,0,IF((-Q128*Ecc)&lt;0,0,(-Q128*Ecc)))</f>
        <v>0</v>
      </c>
    </row>
    <row r="129" spans="1:20" x14ac:dyDescent="0.25">
      <c r="B129" s="359">
        <v>19</v>
      </c>
      <c r="C129" s="360" t="s">
        <v>861</v>
      </c>
      <c r="D129" s="209" t="s">
        <v>807</v>
      </c>
      <c r="E129" s="361">
        <f>(0.7*$AB$6)</f>
        <v>0</v>
      </c>
      <c r="F129" s="361">
        <f>($Y$6)*0.6+0.7*$AT$6</f>
        <v>0</v>
      </c>
      <c r="G129" s="361">
        <f>$AR$6*0.6</f>
        <v>0</v>
      </c>
      <c r="H129" s="361">
        <f t="shared" si="8"/>
        <v>0</v>
      </c>
      <c r="I129" s="362">
        <f>IF(Theta&lt;55,0,IF(((0.7*$AQ$6)-(F129*Ecc))&lt;0,0,((0.7*$AQ$6)-(F129*Ecc))))</f>
        <v>0</v>
      </c>
      <c r="M129" s="359">
        <v>19</v>
      </c>
      <c r="N129" s="360" t="s">
        <v>861</v>
      </c>
      <c r="O129" s="209" t="s">
        <v>807</v>
      </c>
      <c r="P129" s="361">
        <f>(0.7*$AB$9)</f>
        <v>0</v>
      </c>
      <c r="Q129" s="361">
        <f>($Y$9)*0.6+0.7*$AT$9</f>
        <v>0</v>
      </c>
      <c r="R129" s="361">
        <f>$AR$9*0.9</f>
        <v>0</v>
      </c>
      <c r="S129" s="361">
        <f t="shared" si="9"/>
        <v>0</v>
      </c>
      <c r="T129" s="362">
        <f>IF(Theta&lt;55,0,IF(((0.7*$AQ$9)-(Q129*Ecc))&lt;0,0,((0.7*$AQ$9)-(Q129*Ecc))))</f>
        <v>0</v>
      </c>
    </row>
    <row r="130" spans="1:20" x14ac:dyDescent="0.25">
      <c r="B130" s="359">
        <v>20</v>
      </c>
      <c r="C130" s="360" t="s">
        <v>862</v>
      </c>
      <c r="D130" s="209" t="s">
        <v>807</v>
      </c>
      <c r="E130" s="361">
        <f>-(0.7*$AB$6)</f>
        <v>0</v>
      </c>
      <c r="F130" s="361">
        <f>0.6*$Y$6-0.7*$AT$6</f>
        <v>0</v>
      </c>
      <c r="G130" s="361">
        <f>$AR$6*0.6</f>
        <v>0</v>
      </c>
      <c r="H130" s="361">
        <f t="shared" si="8"/>
        <v>0</v>
      </c>
      <c r="I130" s="362">
        <f>IF(Theta&lt;55,0,IF(((-0.7*$AQ$6)-(F130*Ecc))&lt;0,0,((-0.7*$AQ$6)-(F130*Ecc))))</f>
        <v>0</v>
      </c>
      <c r="M130" s="359">
        <v>20</v>
      </c>
      <c r="N130" s="360" t="s">
        <v>862</v>
      </c>
      <c r="O130" s="209" t="s">
        <v>807</v>
      </c>
      <c r="P130" s="361">
        <f>-(0.7*$AB$9)</f>
        <v>0</v>
      </c>
      <c r="Q130" s="361">
        <f>0.6*$Y$9-0.7*$AT$9</f>
        <v>0</v>
      </c>
      <c r="R130" s="361">
        <f>$AR$9*0.9</f>
        <v>0</v>
      </c>
      <c r="S130" s="361">
        <f t="shared" si="9"/>
        <v>0</v>
      </c>
      <c r="T130" s="362">
        <f>IF(Theta&lt;55,0,IF(((-0.7*$AQ$9)-(Q130*Ecc))&lt;0,0,((-0.7*$AQ$9)-(Q130*Ecc))))</f>
        <v>0</v>
      </c>
    </row>
    <row r="131" spans="1:20" x14ac:dyDescent="0.25">
      <c r="B131" s="359">
        <v>21</v>
      </c>
      <c r="C131" s="360" t="s">
        <v>863</v>
      </c>
      <c r="D131" s="209" t="s">
        <v>807</v>
      </c>
      <c r="E131" s="361">
        <v>0</v>
      </c>
      <c r="F131" s="361">
        <f>(0.6*$Y$6)+0.7*$AT$6</f>
        <v>0</v>
      </c>
      <c r="G131" s="361">
        <f>0.7*$AC$6+$AR$6*0.6</f>
        <v>0</v>
      </c>
      <c r="H131" s="361">
        <f t="shared" si="8"/>
        <v>0</v>
      </c>
      <c r="I131" s="362">
        <f>IF(Theta&lt;55,0,IF((-F131*Ecc)&lt;0,0,(-F131*Ecc)))</f>
        <v>0</v>
      </c>
      <c r="M131" s="359">
        <v>21</v>
      </c>
      <c r="N131" s="360" t="s">
        <v>863</v>
      </c>
      <c r="O131" s="209" t="s">
        <v>807</v>
      </c>
      <c r="P131" s="361">
        <v>0</v>
      </c>
      <c r="Q131" s="361">
        <f>(0.6*$Y$9)+0.7*$AT$9</f>
        <v>0</v>
      </c>
      <c r="R131" s="361">
        <f>0.9*$AC$9+$AR$9*0.9</f>
        <v>0</v>
      </c>
      <c r="S131" s="361">
        <f t="shared" si="9"/>
        <v>0</v>
      </c>
      <c r="T131" s="362">
        <f>IF(Theta&lt;55,0,IF((-Q131*Ecc)&lt;0,0,(-Q131*Ecc)))</f>
        <v>0</v>
      </c>
    </row>
    <row r="132" spans="1:20" ht="15.75" customHeight="1" thickBot="1" x14ac:dyDescent="0.3">
      <c r="B132" s="363">
        <v>22</v>
      </c>
      <c r="C132" s="364" t="s">
        <v>864</v>
      </c>
      <c r="D132" s="365" t="s">
        <v>807</v>
      </c>
      <c r="E132" s="366">
        <v>0</v>
      </c>
      <c r="F132" s="366">
        <f>(0.6*$Y$6)-0.7*$AT$6</f>
        <v>0</v>
      </c>
      <c r="G132" s="366">
        <f>-0.7*$AC$6+$AR$6*0.6</f>
        <v>0</v>
      </c>
      <c r="H132" s="366">
        <f t="shared" si="8"/>
        <v>0</v>
      </c>
      <c r="I132" s="367">
        <f>IF(Theta&lt;55,0,IF((-F132*Ecc)&lt;0,0,(-F132*Ecc)))</f>
        <v>0</v>
      </c>
      <c r="M132" s="363">
        <v>22</v>
      </c>
      <c r="N132" s="364" t="s">
        <v>864</v>
      </c>
      <c r="O132" s="365" t="s">
        <v>807</v>
      </c>
      <c r="P132" s="366">
        <v>0</v>
      </c>
      <c r="Q132" s="366">
        <f>(0.6*$Y$9)-0.7*$AT$9</f>
        <v>0</v>
      </c>
      <c r="R132" s="366">
        <f>-0.9*$AC$9+$AR$9*0.9</f>
        <v>0</v>
      </c>
      <c r="S132" s="366">
        <f t="shared" si="9"/>
        <v>0</v>
      </c>
      <c r="T132" s="367">
        <f>IF(Theta&lt;55,0,IF((-Q132*Ecc)&lt;0,0,(-Q132*Ecc)))</f>
        <v>0</v>
      </c>
    </row>
    <row r="133" spans="1:20" x14ac:dyDescent="0.25">
      <c r="B133" s="368" t="s">
        <v>865</v>
      </c>
      <c r="C133" s="369" t="s">
        <v>866</v>
      </c>
      <c r="M133" s="368" t="s">
        <v>865</v>
      </c>
      <c r="N133" s="369" t="s">
        <v>866</v>
      </c>
    </row>
    <row r="134" spans="1:20" x14ac:dyDescent="0.25">
      <c r="B134" s="368" t="s">
        <v>836</v>
      </c>
      <c r="C134" s="369" t="s">
        <v>837</v>
      </c>
      <c r="M134" s="368" t="s">
        <v>836</v>
      </c>
      <c r="N134" s="369" t="s">
        <v>837</v>
      </c>
    </row>
    <row r="135" spans="1:20" x14ac:dyDescent="0.25">
      <c r="B135" s="368" t="s">
        <v>838</v>
      </c>
      <c r="C135" s="369" t="s">
        <v>839</v>
      </c>
      <c r="M135" s="368" t="s">
        <v>838</v>
      </c>
      <c r="N135" s="369" t="s">
        <v>839</v>
      </c>
    </row>
    <row r="136" spans="1:20" x14ac:dyDescent="0.25">
      <c r="A136" s="260"/>
      <c r="B136" s="368" t="s">
        <v>474</v>
      </c>
      <c r="C136" s="369" t="s">
        <v>840</v>
      </c>
      <c r="L136" s="260"/>
      <c r="M136" s="368" t="s">
        <v>474</v>
      </c>
      <c r="N136" s="369" t="s">
        <v>840</v>
      </c>
    </row>
    <row r="137" spans="1:20" x14ac:dyDescent="0.25">
      <c r="B137" s="368" t="s">
        <v>867</v>
      </c>
      <c r="C137" s="369" t="s">
        <v>868</v>
      </c>
      <c r="M137" s="368" t="s">
        <v>867</v>
      </c>
      <c r="N137" s="369" t="s">
        <v>868</v>
      </c>
    </row>
    <row r="138" spans="1:20" x14ac:dyDescent="0.25">
      <c r="B138" s="368" t="s">
        <v>266</v>
      </c>
      <c r="C138" s="369" t="s">
        <v>869</v>
      </c>
      <c r="M138" s="368" t="s">
        <v>266</v>
      </c>
      <c r="N138" s="369" t="s">
        <v>869</v>
      </c>
    </row>
    <row r="139" spans="1:20" x14ac:dyDescent="0.25">
      <c r="B139" s="368" t="s">
        <v>879</v>
      </c>
      <c r="C139" s="369" t="s">
        <v>880</v>
      </c>
      <c r="M139" s="368" t="s">
        <v>879</v>
      </c>
      <c r="N139" s="369" t="s">
        <v>880</v>
      </c>
    </row>
    <row r="140" spans="1:20" x14ac:dyDescent="0.25">
      <c r="B140" s="7"/>
      <c r="C140" s="77"/>
      <c r="D140" s="7"/>
      <c r="M140" s="7"/>
      <c r="N140" s="77"/>
      <c r="O140" s="7"/>
    </row>
    <row r="141" spans="1:20" x14ac:dyDescent="0.25">
      <c r="B141" s="7"/>
      <c r="C141" s="77"/>
      <c r="D141" s="7"/>
      <c r="E141" s="370"/>
      <c r="F141" s="370"/>
      <c r="G141" s="370"/>
      <c r="H141" s="370"/>
      <c r="I141" s="370"/>
      <c r="M141" s="7"/>
      <c r="N141" s="77"/>
      <c r="O141" s="7"/>
      <c r="P141" s="370"/>
      <c r="Q141" s="370"/>
      <c r="R141" s="370"/>
      <c r="S141" s="370"/>
      <c r="T141" s="370"/>
    </row>
    <row r="142" spans="1:20" x14ac:dyDescent="0.25">
      <c r="B142" s="7"/>
      <c r="C142" s="77"/>
      <c r="D142" s="7"/>
      <c r="E142" s="370"/>
      <c r="F142" s="370"/>
      <c r="G142" s="370"/>
      <c r="H142" s="370"/>
      <c r="I142" s="370"/>
      <c r="M142" s="7"/>
      <c r="N142" s="77"/>
      <c r="O142" s="7"/>
      <c r="P142" s="370"/>
      <c r="Q142" s="370"/>
      <c r="R142" s="370"/>
      <c r="S142" s="370"/>
      <c r="T142" s="370"/>
    </row>
    <row r="143" spans="1:20" x14ac:dyDescent="0.25">
      <c r="B143" s="7"/>
      <c r="C143" s="77"/>
      <c r="D143" s="7"/>
      <c r="E143" s="370"/>
      <c r="F143" s="370"/>
      <c r="G143" s="370"/>
      <c r="H143" s="370"/>
      <c r="I143" s="370"/>
      <c r="M143" s="7"/>
      <c r="N143" s="77"/>
      <c r="O143" s="7"/>
      <c r="P143" s="370"/>
      <c r="Q143" s="370"/>
      <c r="R143" s="370"/>
      <c r="S143" s="370"/>
      <c r="T143" s="370"/>
    </row>
    <row r="144" spans="1:20" x14ac:dyDescent="0.25">
      <c r="B144" s="7"/>
      <c r="C144" s="77"/>
      <c r="D144" s="7"/>
      <c r="E144" s="370"/>
      <c r="F144" s="370"/>
      <c r="G144" s="370"/>
      <c r="H144" s="370"/>
      <c r="I144" s="370"/>
      <c r="M144" s="7"/>
      <c r="N144" s="77"/>
      <c r="O144" s="7"/>
      <c r="P144" s="370"/>
      <c r="Q144" s="370"/>
      <c r="R144" s="370"/>
      <c r="S144" s="370"/>
      <c r="T144" s="370"/>
    </row>
    <row r="145" spans="2:20" x14ac:dyDescent="0.25">
      <c r="B145" s="7"/>
      <c r="C145" s="77"/>
      <c r="D145" s="7"/>
      <c r="E145" s="370"/>
      <c r="F145" s="370"/>
      <c r="G145" s="370"/>
      <c r="H145" s="370"/>
      <c r="I145" s="370"/>
      <c r="M145" s="7"/>
      <c r="N145" s="77"/>
      <c r="O145" s="7"/>
      <c r="P145" s="370"/>
      <c r="Q145" s="370"/>
      <c r="R145" s="370"/>
      <c r="S145" s="370"/>
      <c r="T145" s="370"/>
    </row>
    <row r="146" spans="2:20" x14ac:dyDescent="0.25">
      <c r="B146" s="7"/>
      <c r="C146" s="77"/>
      <c r="D146" s="7"/>
      <c r="E146" s="370"/>
      <c r="F146" s="370"/>
      <c r="G146" s="370"/>
      <c r="H146" s="370"/>
      <c r="I146" s="370"/>
      <c r="M146" s="7"/>
      <c r="N146" s="77"/>
      <c r="O146" s="7"/>
      <c r="P146" s="370"/>
      <c r="Q146" s="370"/>
      <c r="R146" s="370"/>
      <c r="S146" s="370"/>
      <c r="T146" s="370"/>
    </row>
  </sheetData>
  <mergeCells count="42">
    <mergeCell ref="N2:O2"/>
    <mergeCell ref="M11:T11"/>
    <mergeCell ref="C102:D102"/>
    <mergeCell ref="M109:T109"/>
    <mergeCell ref="N102:O102"/>
    <mergeCell ref="B60:I60"/>
    <mergeCell ref="M10:T10"/>
    <mergeCell ref="B61:I61"/>
    <mergeCell ref="Q104:R105"/>
    <mergeCell ref="C56:D56"/>
    <mergeCell ref="N52:O52"/>
    <mergeCell ref="M108:T108"/>
    <mergeCell ref="Q56:R57"/>
    <mergeCell ref="C2:D2"/>
    <mergeCell ref="B10:I10"/>
    <mergeCell ref="F6:G7"/>
    <mergeCell ref="Q6:R7"/>
    <mergeCell ref="N53:O53"/>
    <mergeCell ref="C4:D4"/>
    <mergeCell ref="N56:O56"/>
    <mergeCell ref="N3:O3"/>
    <mergeCell ref="C54:D54"/>
    <mergeCell ref="B11:I11"/>
    <mergeCell ref="C52:D52"/>
    <mergeCell ref="N6:O6"/>
    <mergeCell ref="C53:D53"/>
    <mergeCell ref="C3:D3"/>
    <mergeCell ref="N4:O4"/>
    <mergeCell ref="N101:O101"/>
    <mergeCell ref="C101:D101"/>
    <mergeCell ref="N104:O104"/>
    <mergeCell ref="C6:D6"/>
    <mergeCell ref="B109:I109"/>
    <mergeCell ref="F56:G57"/>
    <mergeCell ref="C104:D104"/>
    <mergeCell ref="N100:O100"/>
    <mergeCell ref="N54:O54"/>
    <mergeCell ref="C100:D100"/>
    <mergeCell ref="M60:T60"/>
    <mergeCell ref="B108:I108"/>
    <mergeCell ref="M61:T61"/>
    <mergeCell ref="F104:G105"/>
  </mergeCells>
  <pageMargins left="0.7" right="0.7" top="0.75" bottom="0.75" header="0.3" footer="0.3"/>
  <pageSetup scale="55" orientation="landscape" r:id="rId1"/>
  <rowBreaks count="2" manualBreakCount="2">
    <brk id="50" max="21" man="1"/>
    <brk id="98" max="21" man="1"/>
  </rowBreaks>
  <colBreaks count="1" manualBreakCount="1">
    <brk id="11" max="145"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dimension ref="A1:AN19"/>
  <sheetViews>
    <sheetView workbookViewId="0">
      <selection activeCell="G24" sqref="G24"/>
    </sheetView>
  </sheetViews>
  <sheetFormatPr defaultRowHeight="15" x14ac:dyDescent="0.25"/>
  <cols>
    <col min="1" max="1" width="26.7109375" style="402" bestFit="1" customWidth="1"/>
    <col min="2" max="25" width="9.140625" style="402" customWidth="1"/>
    <col min="26" max="26" width="9.7109375" style="402" customWidth="1"/>
    <col min="27" max="38" width="9.140625" style="402" customWidth="1"/>
    <col min="39" max="40" width="9.140625" style="406" customWidth="1"/>
  </cols>
  <sheetData>
    <row r="1" spans="1:40" x14ac:dyDescent="0.25">
      <c r="A1" s="393" t="s">
        <v>881</v>
      </c>
      <c r="B1" s="394" t="s">
        <v>882</v>
      </c>
      <c r="C1" s="394" t="s">
        <v>160</v>
      </c>
      <c r="D1" s="394" t="s">
        <v>883</v>
      </c>
      <c r="E1" s="394" t="s">
        <v>884</v>
      </c>
      <c r="F1" s="394" t="s">
        <v>885</v>
      </c>
      <c r="G1" s="395" t="s">
        <v>886</v>
      </c>
      <c r="H1" s="394" t="s">
        <v>887</v>
      </c>
      <c r="I1" s="395" t="s">
        <v>888</v>
      </c>
      <c r="J1" s="396" t="s">
        <v>889</v>
      </c>
      <c r="K1" s="394" t="s">
        <v>890</v>
      </c>
      <c r="L1" s="396" t="s">
        <v>891</v>
      </c>
      <c r="M1" s="394" t="s">
        <v>892</v>
      </c>
      <c r="N1" s="396" t="s">
        <v>893</v>
      </c>
      <c r="O1" s="396" t="s">
        <v>894</v>
      </c>
      <c r="P1" s="394" t="s">
        <v>895</v>
      </c>
      <c r="Q1" s="394" t="s">
        <v>896</v>
      </c>
      <c r="R1" s="394" t="s">
        <v>897</v>
      </c>
      <c r="S1" s="394" t="s">
        <v>898</v>
      </c>
      <c r="T1" s="394" t="s">
        <v>899</v>
      </c>
      <c r="U1" s="394" t="s">
        <v>900</v>
      </c>
      <c r="V1" s="394" t="s">
        <v>901</v>
      </c>
      <c r="W1" s="394" t="s">
        <v>902</v>
      </c>
      <c r="X1" s="394" t="s">
        <v>903</v>
      </c>
      <c r="Y1" s="394" t="s">
        <v>904</v>
      </c>
      <c r="Z1" s="394" t="s">
        <v>177</v>
      </c>
      <c r="AA1" s="394" t="s">
        <v>905</v>
      </c>
      <c r="AB1" s="394" t="s">
        <v>168</v>
      </c>
      <c r="AC1" s="394" t="s">
        <v>906</v>
      </c>
      <c r="AD1" s="394" t="s">
        <v>907</v>
      </c>
      <c r="AE1" s="394" t="s">
        <v>908</v>
      </c>
      <c r="AF1" s="394" t="s">
        <v>909</v>
      </c>
      <c r="AG1" s="394" t="s">
        <v>910</v>
      </c>
      <c r="AH1" s="394" t="s">
        <v>911</v>
      </c>
      <c r="AI1" s="394" t="s">
        <v>912</v>
      </c>
      <c r="AJ1" s="394" t="s">
        <v>913</v>
      </c>
      <c r="AK1" s="394" t="s">
        <v>914</v>
      </c>
      <c r="AL1" s="394" t="s">
        <v>915</v>
      </c>
      <c r="AM1" s="395" t="s">
        <v>179</v>
      </c>
      <c r="AN1" s="395" t="s">
        <v>916</v>
      </c>
    </row>
    <row r="2" spans="1:40" x14ac:dyDescent="0.25">
      <c r="A2" s="397" t="s">
        <v>917</v>
      </c>
      <c r="B2" s="398">
        <v>31</v>
      </c>
      <c r="C2" s="398">
        <v>9.1300000000000008</v>
      </c>
      <c r="D2" s="398">
        <v>8</v>
      </c>
      <c r="E2" s="398">
        <v>8</v>
      </c>
      <c r="F2" s="398">
        <v>8</v>
      </c>
      <c r="G2" s="398">
        <v>8</v>
      </c>
      <c r="H2" s="398">
        <v>0.28499999999999998</v>
      </c>
      <c r="I2" s="398">
        <v>0.3125</v>
      </c>
      <c r="J2" s="399">
        <v>0.1875</v>
      </c>
      <c r="K2" s="398">
        <v>0.435</v>
      </c>
      <c r="L2" s="399">
        <v>0.4375</v>
      </c>
      <c r="M2" s="400">
        <v>0.82899999999999996</v>
      </c>
      <c r="N2" s="401">
        <v>1.125</v>
      </c>
      <c r="O2" s="401">
        <v>0.75</v>
      </c>
      <c r="P2" s="398">
        <v>9.19</v>
      </c>
      <c r="Q2" s="398">
        <v>22.3</v>
      </c>
      <c r="R2" s="398">
        <v>110</v>
      </c>
      <c r="S2" s="398">
        <v>30.4</v>
      </c>
      <c r="T2" s="398">
        <v>27.5</v>
      </c>
      <c r="U2" s="398">
        <v>3.47</v>
      </c>
      <c r="V2" s="398">
        <v>37.1</v>
      </c>
      <c r="W2" s="398">
        <v>14.1</v>
      </c>
      <c r="X2" s="398">
        <v>9.27</v>
      </c>
      <c r="Y2" s="398">
        <v>2.02</v>
      </c>
      <c r="Z2" s="398">
        <v>0.53600000000000003</v>
      </c>
      <c r="AA2" s="398">
        <v>530</v>
      </c>
      <c r="AB2" s="398" t="s">
        <v>918</v>
      </c>
      <c r="AC2" s="398">
        <v>15.1</v>
      </c>
      <c r="AD2" s="398">
        <v>13.2</v>
      </c>
      <c r="AE2" s="398">
        <v>6.35</v>
      </c>
      <c r="AF2" s="398">
        <v>15</v>
      </c>
      <c r="AG2" s="398">
        <v>2.2599999999999998</v>
      </c>
      <c r="AH2" s="398">
        <v>7.57</v>
      </c>
      <c r="AI2" s="398">
        <v>38.799999999999997</v>
      </c>
      <c r="AJ2" s="398">
        <v>46.8</v>
      </c>
      <c r="AK2" s="398">
        <v>24</v>
      </c>
      <c r="AL2" s="398">
        <v>32</v>
      </c>
      <c r="AM2" s="398">
        <v>5.75</v>
      </c>
      <c r="AN2" s="398">
        <v>5.5</v>
      </c>
    </row>
    <row r="3" spans="1:40" x14ac:dyDescent="0.25">
      <c r="A3" s="397" t="s">
        <v>919</v>
      </c>
      <c r="B3" s="398">
        <v>28</v>
      </c>
      <c r="C3" s="398">
        <v>8.25</v>
      </c>
      <c r="D3" s="398">
        <v>8.06</v>
      </c>
      <c r="E3" s="398">
        <v>8</v>
      </c>
      <c r="F3" s="398">
        <v>6.54</v>
      </c>
      <c r="G3" s="398">
        <v>6.5</v>
      </c>
      <c r="H3" s="398">
        <v>0.28499999999999998</v>
      </c>
      <c r="I3" s="398">
        <v>0.3125</v>
      </c>
      <c r="J3" s="399">
        <v>0.1875</v>
      </c>
      <c r="K3" s="398">
        <v>0.46500000000000002</v>
      </c>
      <c r="L3" s="399">
        <v>0.4375</v>
      </c>
      <c r="M3" s="400">
        <v>0.85899999999999999</v>
      </c>
      <c r="N3" s="401">
        <v>0.9375</v>
      </c>
      <c r="O3" s="401">
        <v>0.625</v>
      </c>
      <c r="P3" s="398">
        <v>7.03</v>
      </c>
      <c r="Q3" s="398">
        <v>22.3</v>
      </c>
      <c r="R3" s="398">
        <v>98</v>
      </c>
      <c r="S3" s="398">
        <v>27.2</v>
      </c>
      <c r="T3" s="398">
        <v>24.3</v>
      </c>
      <c r="U3" s="398">
        <v>3.45</v>
      </c>
      <c r="V3" s="398">
        <v>21.7</v>
      </c>
      <c r="W3" s="398">
        <v>10.1</v>
      </c>
      <c r="X3" s="398">
        <v>6.63</v>
      </c>
      <c r="Y3" s="398">
        <v>1.62</v>
      </c>
      <c r="Z3" s="398">
        <v>0.53700000000000003</v>
      </c>
      <c r="AA3" s="398">
        <v>312</v>
      </c>
      <c r="AB3" s="398" t="s">
        <v>918</v>
      </c>
      <c r="AC3" s="398">
        <v>12.4</v>
      </c>
      <c r="AD3" s="398">
        <v>9.44</v>
      </c>
      <c r="AE3" s="398">
        <v>5.52</v>
      </c>
      <c r="AF3" s="398">
        <v>13.4</v>
      </c>
      <c r="AG3" s="398">
        <v>1.84</v>
      </c>
      <c r="AH3" s="398">
        <v>7.6</v>
      </c>
      <c r="AI3" s="398">
        <v>34.5</v>
      </c>
      <c r="AJ3" s="398">
        <v>41</v>
      </c>
      <c r="AK3" s="398">
        <v>22.7</v>
      </c>
      <c r="AL3" s="398">
        <v>29.2</v>
      </c>
      <c r="AM3" s="398">
        <v>6.125</v>
      </c>
      <c r="AN3" s="398">
        <v>4</v>
      </c>
    </row>
    <row r="4" spans="1:40" x14ac:dyDescent="0.25">
      <c r="A4" s="397" t="s">
        <v>920</v>
      </c>
      <c r="B4" s="398">
        <v>24</v>
      </c>
      <c r="C4" s="398">
        <v>7.08</v>
      </c>
      <c r="D4" s="398">
        <v>7.93</v>
      </c>
      <c r="E4" s="398">
        <v>7.875</v>
      </c>
      <c r="F4" s="398">
        <v>6.5</v>
      </c>
      <c r="G4" s="398">
        <v>6.5</v>
      </c>
      <c r="H4" s="398">
        <v>0.245</v>
      </c>
      <c r="I4" s="398">
        <v>0.25</v>
      </c>
      <c r="J4" s="399">
        <v>0.125</v>
      </c>
      <c r="K4" s="398">
        <v>0.4</v>
      </c>
      <c r="L4" s="399">
        <v>0.375</v>
      </c>
      <c r="M4" s="400">
        <v>0.79400000000000004</v>
      </c>
      <c r="N4" s="401">
        <v>0.875</v>
      </c>
      <c r="O4" s="401">
        <v>0.5625</v>
      </c>
      <c r="P4" s="398">
        <v>8.1199999999999992</v>
      </c>
      <c r="Q4" s="398">
        <v>25.9</v>
      </c>
      <c r="R4" s="398">
        <v>82.7</v>
      </c>
      <c r="S4" s="398">
        <v>23.1</v>
      </c>
      <c r="T4" s="398">
        <v>20.9</v>
      </c>
      <c r="U4" s="398">
        <v>3.42</v>
      </c>
      <c r="V4" s="398">
        <v>18.3</v>
      </c>
      <c r="W4" s="398">
        <v>8.57</v>
      </c>
      <c r="X4" s="398">
        <v>5.63</v>
      </c>
      <c r="Y4" s="398">
        <v>1.61</v>
      </c>
      <c r="Z4" s="398">
        <v>0.34599999999999997</v>
      </c>
      <c r="AA4" s="398">
        <v>259</v>
      </c>
      <c r="AB4" s="398" t="s">
        <v>918</v>
      </c>
      <c r="AC4" s="398">
        <v>12.2</v>
      </c>
      <c r="AD4" s="398">
        <v>7.95</v>
      </c>
      <c r="AE4" s="398">
        <v>4.71</v>
      </c>
      <c r="AF4" s="398">
        <v>11.3</v>
      </c>
      <c r="AG4" s="398">
        <v>1.81</v>
      </c>
      <c r="AH4" s="398">
        <v>7.53</v>
      </c>
      <c r="AI4" s="398">
        <v>34.200000000000003</v>
      </c>
      <c r="AJ4" s="398">
        <v>40.700000000000003</v>
      </c>
      <c r="AK4" s="398">
        <v>22.4</v>
      </c>
      <c r="AL4" s="398">
        <v>28.9</v>
      </c>
      <c r="AM4" s="398">
        <v>6.125</v>
      </c>
      <c r="AN4" s="398">
        <v>4</v>
      </c>
    </row>
    <row r="5" spans="1:40" x14ac:dyDescent="0.25">
      <c r="A5" s="397" t="s">
        <v>921</v>
      </c>
      <c r="B5" s="398">
        <v>21</v>
      </c>
      <c r="C5" s="398">
        <v>6.16</v>
      </c>
      <c r="D5" s="398">
        <v>8.2799999999999994</v>
      </c>
      <c r="E5" s="398">
        <v>8.25</v>
      </c>
      <c r="F5" s="398">
        <v>5.27</v>
      </c>
      <c r="G5" s="398">
        <v>5.25</v>
      </c>
      <c r="H5" s="398">
        <v>0.25</v>
      </c>
      <c r="I5" s="398">
        <v>0.25</v>
      </c>
      <c r="J5" s="399">
        <v>0.125</v>
      </c>
      <c r="K5" s="398">
        <v>0.4</v>
      </c>
      <c r="L5" s="399">
        <v>0.375</v>
      </c>
      <c r="M5" s="400">
        <v>0.7</v>
      </c>
      <c r="N5" s="401">
        <v>0.875</v>
      </c>
      <c r="O5" s="401">
        <v>0.5625</v>
      </c>
      <c r="P5" s="398">
        <v>6.59</v>
      </c>
      <c r="Q5" s="398">
        <v>27.5</v>
      </c>
      <c r="R5" s="398">
        <v>75.3</v>
      </c>
      <c r="S5" s="398">
        <v>20.399999999999999</v>
      </c>
      <c r="T5" s="398">
        <v>18.2</v>
      </c>
      <c r="U5" s="398">
        <v>3.49</v>
      </c>
      <c r="V5" s="398">
        <v>9.77</v>
      </c>
      <c r="W5" s="398">
        <v>5.69</v>
      </c>
      <c r="X5" s="398">
        <v>3.71</v>
      </c>
      <c r="Y5" s="398">
        <v>1.26</v>
      </c>
      <c r="Z5" s="398">
        <v>0.28199999999999997</v>
      </c>
      <c r="AA5" s="398">
        <v>152</v>
      </c>
      <c r="AB5" s="398" t="s">
        <v>918</v>
      </c>
      <c r="AC5" s="398">
        <v>10.4</v>
      </c>
      <c r="AD5" s="398">
        <v>5.47</v>
      </c>
      <c r="AE5" s="398">
        <v>3.96</v>
      </c>
      <c r="AF5" s="398">
        <v>10.1</v>
      </c>
      <c r="AG5" s="398">
        <v>1.46</v>
      </c>
      <c r="AH5" s="398">
        <v>7.88</v>
      </c>
      <c r="AI5" s="398">
        <v>31.3</v>
      </c>
      <c r="AJ5" s="398">
        <v>36.6</v>
      </c>
      <c r="AK5" s="398">
        <v>21.8</v>
      </c>
      <c r="AL5" s="398">
        <v>27.1</v>
      </c>
      <c r="AM5" s="398">
        <v>6.5</v>
      </c>
      <c r="AN5" s="398">
        <v>2.75</v>
      </c>
    </row>
    <row r="6" spans="1:40" x14ac:dyDescent="0.25">
      <c r="A6" s="397" t="s">
        <v>922</v>
      </c>
      <c r="B6" s="398">
        <v>18</v>
      </c>
      <c r="C6" s="398">
        <v>5.26</v>
      </c>
      <c r="D6" s="398">
        <v>8.14</v>
      </c>
      <c r="E6" s="398">
        <v>8.125</v>
      </c>
      <c r="F6" s="398">
        <v>5.25</v>
      </c>
      <c r="G6" s="398">
        <v>5.25</v>
      </c>
      <c r="H6" s="398">
        <v>0.23</v>
      </c>
      <c r="I6" s="398">
        <v>0.25</v>
      </c>
      <c r="J6" s="399">
        <v>0.125</v>
      </c>
      <c r="K6" s="398">
        <v>0.33</v>
      </c>
      <c r="L6" s="399">
        <v>0.3125</v>
      </c>
      <c r="M6" s="400">
        <v>0.63</v>
      </c>
      <c r="N6" s="401">
        <v>0.8125</v>
      </c>
      <c r="O6" s="401">
        <v>0.5625</v>
      </c>
      <c r="P6" s="398">
        <v>7.95</v>
      </c>
      <c r="Q6" s="398">
        <v>29.9</v>
      </c>
      <c r="R6" s="398">
        <v>61.9</v>
      </c>
      <c r="S6" s="398">
        <v>17</v>
      </c>
      <c r="T6" s="398">
        <v>15.2</v>
      </c>
      <c r="U6" s="398">
        <v>3.43</v>
      </c>
      <c r="V6" s="398">
        <v>7.97</v>
      </c>
      <c r="W6" s="398">
        <v>4.66</v>
      </c>
      <c r="X6" s="398">
        <v>3.04</v>
      </c>
      <c r="Y6" s="398">
        <v>1.23</v>
      </c>
      <c r="Z6" s="398">
        <v>0.17199999999999999</v>
      </c>
      <c r="AA6" s="398">
        <v>122</v>
      </c>
      <c r="AB6" s="398" t="s">
        <v>918</v>
      </c>
      <c r="AC6" s="398">
        <v>10.3</v>
      </c>
      <c r="AD6" s="398">
        <v>4.4400000000000004</v>
      </c>
      <c r="AE6" s="398">
        <v>3.23</v>
      </c>
      <c r="AF6" s="398">
        <v>8.3699999999999992</v>
      </c>
      <c r="AG6" s="398">
        <v>1.43</v>
      </c>
      <c r="AH6" s="398">
        <v>7.81</v>
      </c>
      <c r="AI6" s="398">
        <v>31</v>
      </c>
      <c r="AJ6" s="398">
        <v>36.299999999999997</v>
      </c>
      <c r="AK6" s="398">
        <v>21.5</v>
      </c>
      <c r="AL6" s="398">
        <v>26.8</v>
      </c>
      <c r="AM6" s="398">
        <v>6.5</v>
      </c>
      <c r="AN6" s="398">
        <v>2.75</v>
      </c>
    </row>
    <row r="7" spans="1:40" x14ac:dyDescent="0.25">
      <c r="A7" s="397" t="s">
        <v>923</v>
      </c>
      <c r="B7" s="398">
        <v>15</v>
      </c>
      <c r="C7" s="398">
        <v>4.4400000000000004</v>
      </c>
      <c r="D7" s="398">
        <v>8.11</v>
      </c>
      <c r="E7" s="398">
        <v>8.125</v>
      </c>
      <c r="F7" s="398">
        <v>4.0199999999999996</v>
      </c>
      <c r="G7" s="398">
        <v>4</v>
      </c>
      <c r="H7" s="398">
        <v>0.245</v>
      </c>
      <c r="I7" s="398">
        <v>0.25</v>
      </c>
      <c r="J7" s="399">
        <v>0.125</v>
      </c>
      <c r="K7" s="398">
        <v>0.315</v>
      </c>
      <c r="L7" s="399">
        <v>0.3125</v>
      </c>
      <c r="M7" s="400">
        <v>0.61499999999999999</v>
      </c>
      <c r="N7" s="401">
        <v>0.8125</v>
      </c>
      <c r="O7" s="401">
        <v>0.5625</v>
      </c>
      <c r="P7" s="398">
        <v>6.37</v>
      </c>
      <c r="Q7" s="398">
        <v>28.1</v>
      </c>
      <c r="R7" s="398">
        <v>48</v>
      </c>
      <c r="S7" s="398">
        <v>13.6</v>
      </c>
      <c r="T7" s="398">
        <v>11.8</v>
      </c>
      <c r="U7" s="398">
        <v>3.29</v>
      </c>
      <c r="V7" s="398">
        <v>3.41</v>
      </c>
      <c r="W7" s="398">
        <v>2.67</v>
      </c>
      <c r="X7" s="398">
        <v>1.7</v>
      </c>
      <c r="Y7" s="398">
        <v>0.876</v>
      </c>
      <c r="Z7" s="398">
        <v>0.13700000000000001</v>
      </c>
      <c r="AA7" s="398">
        <v>51.8</v>
      </c>
      <c r="AB7" s="398" t="s">
        <v>918</v>
      </c>
      <c r="AC7" s="398">
        <v>7.81</v>
      </c>
      <c r="AD7" s="398">
        <v>2.4700000000000002</v>
      </c>
      <c r="AE7" s="398">
        <v>2.31</v>
      </c>
      <c r="AF7" s="398">
        <v>6.64</v>
      </c>
      <c r="AG7" s="398">
        <v>1.06</v>
      </c>
      <c r="AH7" s="398">
        <v>7.8</v>
      </c>
      <c r="AI7" s="398">
        <v>27.3</v>
      </c>
      <c r="AJ7" s="398">
        <v>31.3</v>
      </c>
      <c r="AK7" s="398">
        <v>20.2</v>
      </c>
      <c r="AL7" s="398">
        <v>24.2</v>
      </c>
      <c r="AM7" s="398">
        <v>6.5</v>
      </c>
      <c r="AN7" s="398">
        <v>2.25</v>
      </c>
    </row>
    <row r="8" spans="1:40" x14ac:dyDescent="0.25">
      <c r="A8" s="397" t="s">
        <v>924</v>
      </c>
      <c r="B8" s="398">
        <v>13</v>
      </c>
      <c r="C8" s="398">
        <v>3.84</v>
      </c>
      <c r="D8" s="398">
        <v>7.99</v>
      </c>
      <c r="E8" s="398">
        <v>8</v>
      </c>
      <c r="F8" s="398">
        <v>4</v>
      </c>
      <c r="G8" s="398">
        <v>4</v>
      </c>
      <c r="H8" s="398">
        <v>0.23</v>
      </c>
      <c r="I8" s="398">
        <v>0.25</v>
      </c>
      <c r="J8" s="399">
        <v>0.125</v>
      </c>
      <c r="K8" s="398">
        <v>0.255</v>
      </c>
      <c r="L8" s="399">
        <v>0.25</v>
      </c>
      <c r="M8" s="400">
        <v>0.55500000000000005</v>
      </c>
      <c r="N8" s="401">
        <v>0.75</v>
      </c>
      <c r="O8" s="401">
        <v>0.5625</v>
      </c>
      <c r="P8" s="398">
        <v>7.84</v>
      </c>
      <c r="Q8" s="398">
        <v>29.9</v>
      </c>
      <c r="R8" s="398">
        <v>39.6</v>
      </c>
      <c r="S8" s="398">
        <v>11.4</v>
      </c>
      <c r="T8" s="398">
        <v>9.91</v>
      </c>
      <c r="U8" s="398">
        <v>3.21</v>
      </c>
      <c r="V8" s="398">
        <v>2.73</v>
      </c>
      <c r="W8" s="398">
        <v>2.15</v>
      </c>
      <c r="X8" s="398">
        <v>1.37</v>
      </c>
      <c r="Y8" s="398">
        <v>0.84299999999999997</v>
      </c>
      <c r="Z8" s="398">
        <v>8.7099999999999997E-2</v>
      </c>
      <c r="AA8" s="398">
        <v>40.799999999999997</v>
      </c>
      <c r="AB8" s="398" t="s">
        <v>918</v>
      </c>
      <c r="AC8" s="398">
        <v>7.74</v>
      </c>
      <c r="AD8" s="398">
        <v>1.97</v>
      </c>
      <c r="AE8" s="398">
        <v>1.86</v>
      </c>
      <c r="AF8" s="398">
        <v>5.55</v>
      </c>
      <c r="AG8" s="398">
        <v>1.03</v>
      </c>
      <c r="AH8" s="398">
        <v>7.74</v>
      </c>
      <c r="AI8" s="398">
        <v>27</v>
      </c>
      <c r="AJ8" s="398">
        <v>31</v>
      </c>
      <c r="AK8" s="398">
        <v>20</v>
      </c>
      <c r="AL8" s="398">
        <v>24</v>
      </c>
      <c r="AM8" s="398">
        <v>6.5</v>
      </c>
      <c r="AN8" s="398">
        <v>2.25</v>
      </c>
    </row>
    <row r="9" spans="1:40" x14ac:dyDescent="0.25">
      <c r="A9" s="397" t="s">
        <v>925</v>
      </c>
      <c r="B9" s="398">
        <v>10</v>
      </c>
      <c r="C9" s="398">
        <v>2.96</v>
      </c>
      <c r="D9" s="398">
        <v>7.89</v>
      </c>
      <c r="E9" s="398">
        <v>7.875</v>
      </c>
      <c r="F9" s="398">
        <v>3.94</v>
      </c>
      <c r="G9" s="398">
        <v>4</v>
      </c>
      <c r="H9" s="398">
        <v>0.17</v>
      </c>
      <c r="I9" s="398">
        <v>0.1875</v>
      </c>
      <c r="J9" s="399">
        <v>0.125</v>
      </c>
      <c r="K9" s="398">
        <v>0.20499999999999999</v>
      </c>
      <c r="L9" s="399">
        <v>0.1875</v>
      </c>
      <c r="M9" s="400">
        <v>0.505</v>
      </c>
      <c r="N9" s="401">
        <v>0.6875</v>
      </c>
      <c r="O9" s="401">
        <v>0.5</v>
      </c>
      <c r="P9" s="398">
        <v>9.61</v>
      </c>
      <c r="Q9" s="398">
        <v>40.5</v>
      </c>
      <c r="R9" s="398">
        <v>30.8</v>
      </c>
      <c r="S9" s="398">
        <v>8.8699999999999992</v>
      </c>
      <c r="T9" s="398">
        <v>7.81</v>
      </c>
      <c r="U9" s="398">
        <v>3.22</v>
      </c>
      <c r="V9" s="398">
        <v>2.09</v>
      </c>
      <c r="W9" s="398">
        <v>1.66</v>
      </c>
      <c r="X9" s="398">
        <v>1.06</v>
      </c>
      <c r="Y9" s="398">
        <v>0.84099999999999997</v>
      </c>
      <c r="Z9" s="398">
        <v>4.2599999999999999E-2</v>
      </c>
      <c r="AA9" s="398">
        <v>30.9</v>
      </c>
      <c r="AB9" s="398" t="s">
        <v>918</v>
      </c>
      <c r="AC9" s="398">
        <v>7.57</v>
      </c>
      <c r="AD9" s="398">
        <v>1.53</v>
      </c>
      <c r="AE9" s="398">
        <v>1.48</v>
      </c>
      <c r="AF9" s="398">
        <v>4.29</v>
      </c>
      <c r="AG9" s="398">
        <v>1.01</v>
      </c>
      <c r="AH9" s="398">
        <v>7.69</v>
      </c>
      <c r="AI9" s="398">
        <v>26.8</v>
      </c>
      <c r="AJ9" s="398">
        <v>30.7</v>
      </c>
      <c r="AK9" s="398">
        <v>19.7</v>
      </c>
      <c r="AL9" s="398">
        <v>23.7</v>
      </c>
      <c r="AM9" s="398">
        <v>6.5</v>
      </c>
      <c r="AN9" s="398">
        <v>2.25</v>
      </c>
    </row>
    <row r="10" spans="1:40" x14ac:dyDescent="0.25">
      <c r="A10" s="397" t="s">
        <v>926</v>
      </c>
      <c r="B10" s="398">
        <v>25</v>
      </c>
      <c r="C10" s="398">
        <v>7.34</v>
      </c>
      <c r="D10" s="398">
        <v>6.38</v>
      </c>
      <c r="E10" s="398">
        <v>6.375</v>
      </c>
      <c r="F10" s="398">
        <v>6.08</v>
      </c>
      <c r="G10" s="398">
        <v>6.125</v>
      </c>
      <c r="H10" s="398">
        <v>0.32</v>
      </c>
      <c r="I10" s="398">
        <v>0.3125</v>
      </c>
      <c r="J10" s="399">
        <v>0.1875</v>
      </c>
      <c r="K10" s="398">
        <v>0.45500000000000002</v>
      </c>
      <c r="L10" s="399">
        <v>0.4375</v>
      </c>
      <c r="M10" s="400">
        <v>0.70499999999999996</v>
      </c>
      <c r="N10" s="401">
        <v>0.9375</v>
      </c>
      <c r="O10" s="401">
        <v>0.5625</v>
      </c>
      <c r="P10" s="398">
        <v>6.68</v>
      </c>
      <c r="Q10" s="398">
        <v>15.5</v>
      </c>
      <c r="R10" s="398">
        <v>53.4</v>
      </c>
      <c r="S10" s="398">
        <v>18.899999999999999</v>
      </c>
      <c r="T10" s="398">
        <v>16.7</v>
      </c>
      <c r="U10" s="398">
        <v>2.7</v>
      </c>
      <c r="V10" s="398">
        <v>17.100000000000001</v>
      </c>
      <c r="W10" s="398">
        <v>8.56</v>
      </c>
      <c r="X10" s="398">
        <v>5.61</v>
      </c>
      <c r="Y10" s="398">
        <v>1.52</v>
      </c>
      <c r="Z10" s="398">
        <v>0.46100000000000002</v>
      </c>
      <c r="AA10" s="398">
        <v>150</v>
      </c>
      <c r="AB10" s="398" t="s">
        <v>918</v>
      </c>
      <c r="AC10" s="398">
        <v>9.01</v>
      </c>
      <c r="AD10" s="398">
        <v>6.23</v>
      </c>
      <c r="AE10" s="398">
        <v>3.88</v>
      </c>
      <c r="AF10" s="398">
        <v>9.39</v>
      </c>
      <c r="AG10" s="398">
        <v>1.74</v>
      </c>
      <c r="AH10" s="398">
        <v>5.93</v>
      </c>
      <c r="AI10" s="398">
        <v>29.9</v>
      </c>
      <c r="AJ10" s="398">
        <v>36</v>
      </c>
      <c r="AK10" s="398">
        <v>18.8</v>
      </c>
      <c r="AL10" s="398">
        <v>24.9</v>
      </c>
      <c r="AM10" s="398">
        <v>4.5</v>
      </c>
      <c r="AN10" s="398">
        <v>3.5</v>
      </c>
    </row>
    <row r="11" spans="1:40" x14ac:dyDescent="0.25">
      <c r="A11" s="397" t="s">
        <v>927</v>
      </c>
      <c r="B11" s="398">
        <v>20</v>
      </c>
      <c r="C11" s="398">
        <v>5.87</v>
      </c>
      <c r="D11" s="398">
        <v>6.2</v>
      </c>
      <c r="E11" s="398">
        <v>6.25</v>
      </c>
      <c r="F11" s="398">
        <v>6.02</v>
      </c>
      <c r="G11" s="398">
        <v>6</v>
      </c>
      <c r="H11" s="398">
        <v>0.26</v>
      </c>
      <c r="I11" s="398">
        <v>0.25</v>
      </c>
      <c r="J11" s="399">
        <v>0.125</v>
      </c>
      <c r="K11" s="398">
        <v>0.36499999999999999</v>
      </c>
      <c r="L11" s="399">
        <v>0.375</v>
      </c>
      <c r="M11" s="400">
        <v>0.61499999999999999</v>
      </c>
      <c r="N11" s="401">
        <v>0.875</v>
      </c>
      <c r="O11" s="401">
        <v>0.5625</v>
      </c>
      <c r="P11" s="398">
        <v>8.25</v>
      </c>
      <c r="Q11" s="398">
        <v>19.100000000000001</v>
      </c>
      <c r="R11" s="398">
        <v>41.4</v>
      </c>
      <c r="S11" s="398">
        <v>14.9</v>
      </c>
      <c r="T11" s="398">
        <v>13.4</v>
      </c>
      <c r="U11" s="398">
        <v>2.66</v>
      </c>
      <c r="V11" s="398">
        <v>13.3</v>
      </c>
      <c r="W11" s="398">
        <v>6.72</v>
      </c>
      <c r="X11" s="398">
        <v>4.41</v>
      </c>
      <c r="Y11" s="398">
        <v>1.5</v>
      </c>
      <c r="Z11" s="398">
        <v>0.24</v>
      </c>
      <c r="AA11" s="398">
        <v>113</v>
      </c>
      <c r="AB11" s="398" t="s">
        <v>918</v>
      </c>
      <c r="AC11" s="398">
        <v>8.7799999999999994</v>
      </c>
      <c r="AD11" s="398">
        <v>4.82</v>
      </c>
      <c r="AE11" s="398">
        <v>3.07</v>
      </c>
      <c r="AF11" s="398">
        <v>7.38</v>
      </c>
      <c r="AG11" s="398">
        <v>1.7</v>
      </c>
      <c r="AH11" s="398">
        <v>5.84</v>
      </c>
      <c r="AI11" s="398">
        <v>29.5</v>
      </c>
      <c r="AJ11" s="398">
        <v>35.5</v>
      </c>
      <c r="AK11" s="398">
        <v>18.399999999999999</v>
      </c>
      <c r="AL11" s="398">
        <v>24.4</v>
      </c>
      <c r="AM11" s="398">
        <v>4.5</v>
      </c>
      <c r="AN11" s="398">
        <v>3.5</v>
      </c>
    </row>
    <row r="12" spans="1:40" x14ac:dyDescent="0.25">
      <c r="A12" s="397" t="s">
        <v>928</v>
      </c>
      <c r="B12" s="398">
        <v>15</v>
      </c>
      <c r="C12" s="398">
        <v>4.43</v>
      </c>
      <c r="D12" s="398">
        <v>5.99</v>
      </c>
      <c r="E12" s="398">
        <v>6</v>
      </c>
      <c r="F12" s="398">
        <v>5.99</v>
      </c>
      <c r="G12" s="398">
        <v>6</v>
      </c>
      <c r="H12" s="398">
        <v>0.23</v>
      </c>
      <c r="I12" s="398">
        <v>0.25</v>
      </c>
      <c r="J12" s="399">
        <v>0.125</v>
      </c>
      <c r="K12" s="398">
        <v>0.26</v>
      </c>
      <c r="L12" s="399">
        <v>0.25</v>
      </c>
      <c r="M12" s="400">
        <v>0.51</v>
      </c>
      <c r="N12" s="401">
        <v>0.75</v>
      </c>
      <c r="O12" s="401">
        <v>0.5625</v>
      </c>
      <c r="P12" s="398">
        <v>11.5</v>
      </c>
      <c r="Q12" s="398">
        <v>21.6</v>
      </c>
      <c r="R12" s="398">
        <v>29.1</v>
      </c>
      <c r="S12" s="398">
        <v>10.8</v>
      </c>
      <c r="T12" s="398">
        <v>9.7200000000000006</v>
      </c>
      <c r="U12" s="398">
        <v>2.56</v>
      </c>
      <c r="V12" s="398">
        <v>9.32</v>
      </c>
      <c r="W12" s="398">
        <v>4.75</v>
      </c>
      <c r="X12" s="398">
        <v>3.11</v>
      </c>
      <c r="Y12" s="398">
        <v>1.45</v>
      </c>
      <c r="Z12" s="398">
        <v>0.10100000000000001</v>
      </c>
      <c r="AA12" s="398">
        <v>76.5</v>
      </c>
      <c r="AB12" s="398" t="s">
        <v>918</v>
      </c>
      <c r="AC12" s="398">
        <v>8.58</v>
      </c>
      <c r="AD12" s="398">
        <v>3.34</v>
      </c>
      <c r="AE12" s="398">
        <v>2.15</v>
      </c>
      <c r="AF12" s="398">
        <v>5.32</v>
      </c>
      <c r="AG12" s="398">
        <v>1.66</v>
      </c>
      <c r="AH12" s="398">
        <v>5.73</v>
      </c>
      <c r="AI12" s="398">
        <v>29.1</v>
      </c>
      <c r="AJ12" s="398">
        <v>35.1</v>
      </c>
      <c r="AK12" s="398">
        <v>18</v>
      </c>
      <c r="AL12" s="398">
        <v>24</v>
      </c>
      <c r="AM12" s="398">
        <v>4.5</v>
      </c>
      <c r="AN12" s="398">
        <v>3.5</v>
      </c>
    </row>
    <row r="13" spans="1:40" x14ac:dyDescent="0.25">
      <c r="A13" s="397" t="s">
        <v>929</v>
      </c>
      <c r="B13" s="398">
        <v>16</v>
      </c>
      <c r="C13" s="398">
        <v>4.74</v>
      </c>
      <c r="D13" s="398">
        <v>6.28</v>
      </c>
      <c r="E13" s="398">
        <v>6.25</v>
      </c>
      <c r="F13" s="398">
        <v>4.03</v>
      </c>
      <c r="G13" s="398">
        <v>4</v>
      </c>
      <c r="H13" s="398">
        <v>0.26</v>
      </c>
      <c r="I13" s="398">
        <v>0.25</v>
      </c>
      <c r="J13" s="399">
        <v>0.125</v>
      </c>
      <c r="K13" s="398">
        <v>0.40500000000000003</v>
      </c>
      <c r="L13" s="399">
        <v>0.375</v>
      </c>
      <c r="M13" s="400">
        <v>0.65500000000000003</v>
      </c>
      <c r="N13" s="401">
        <v>0.875</v>
      </c>
      <c r="O13" s="401">
        <v>0.5625</v>
      </c>
      <c r="P13" s="398">
        <v>4.9800000000000004</v>
      </c>
      <c r="Q13" s="398">
        <v>19.100000000000001</v>
      </c>
      <c r="R13" s="398">
        <v>32.1</v>
      </c>
      <c r="S13" s="398">
        <v>11.7</v>
      </c>
      <c r="T13" s="398">
        <v>10.199999999999999</v>
      </c>
      <c r="U13" s="398">
        <v>2.6</v>
      </c>
      <c r="V13" s="398">
        <v>4.43</v>
      </c>
      <c r="W13" s="398">
        <v>3.39</v>
      </c>
      <c r="X13" s="398">
        <v>2.2000000000000002</v>
      </c>
      <c r="Y13" s="398">
        <v>0.96699999999999997</v>
      </c>
      <c r="Z13" s="398">
        <v>0.223</v>
      </c>
      <c r="AA13" s="398">
        <v>38.200000000000003</v>
      </c>
      <c r="AB13" s="398" t="s">
        <v>918</v>
      </c>
      <c r="AC13" s="398">
        <v>5.92</v>
      </c>
      <c r="AD13" s="398">
        <v>2.42</v>
      </c>
      <c r="AE13" s="398">
        <v>2.2400000000000002</v>
      </c>
      <c r="AF13" s="398">
        <v>5.77</v>
      </c>
      <c r="AG13" s="398">
        <v>1.1299999999999999</v>
      </c>
      <c r="AH13" s="398">
        <v>5.88</v>
      </c>
      <c r="AI13" s="398">
        <v>23.7</v>
      </c>
      <c r="AJ13" s="398">
        <v>27.7</v>
      </c>
      <c r="AK13" s="398">
        <v>16.600000000000001</v>
      </c>
      <c r="AL13" s="398">
        <v>20.6</v>
      </c>
      <c r="AM13" s="398">
        <v>4.5</v>
      </c>
      <c r="AN13" s="398">
        <v>2.25</v>
      </c>
    </row>
    <row r="14" spans="1:40" x14ac:dyDescent="0.25">
      <c r="A14" s="397" t="s">
        <v>930</v>
      </c>
      <c r="B14" s="398">
        <v>12</v>
      </c>
      <c r="C14" s="398">
        <v>3.55</v>
      </c>
      <c r="D14" s="398">
        <v>6.03</v>
      </c>
      <c r="E14" s="398">
        <v>6</v>
      </c>
      <c r="F14" s="398">
        <v>4</v>
      </c>
      <c r="G14" s="398">
        <v>4</v>
      </c>
      <c r="H14" s="398">
        <v>0.23</v>
      </c>
      <c r="I14" s="398">
        <v>0.25</v>
      </c>
      <c r="J14" s="399">
        <v>0.125</v>
      </c>
      <c r="K14" s="398">
        <v>0.28000000000000003</v>
      </c>
      <c r="L14" s="399">
        <v>0.25</v>
      </c>
      <c r="M14" s="400">
        <v>0.53</v>
      </c>
      <c r="N14" s="401">
        <v>0.75</v>
      </c>
      <c r="O14" s="401">
        <v>0.5625</v>
      </c>
      <c r="P14" s="398">
        <v>7.14</v>
      </c>
      <c r="Q14" s="398">
        <v>21.6</v>
      </c>
      <c r="R14" s="398">
        <v>22.1</v>
      </c>
      <c r="S14" s="398">
        <v>8.3000000000000007</v>
      </c>
      <c r="T14" s="398">
        <v>7.31</v>
      </c>
      <c r="U14" s="398">
        <v>2.4900000000000002</v>
      </c>
      <c r="V14" s="398">
        <v>2.99</v>
      </c>
      <c r="W14" s="398">
        <v>2.3199999999999998</v>
      </c>
      <c r="X14" s="398">
        <v>1.5</v>
      </c>
      <c r="Y14" s="398">
        <v>0.91800000000000004</v>
      </c>
      <c r="Z14" s="398">
        <v>9.0300000000000005E-2</v>
      </c>
      <c r="AA14" s="398">
        <v>24.7</v>
      </c>
      <c r="AB14" s="398" t="s">
        <v>918</v>
      </c>
      <c r="AC14" s="398">
        <v>5.75</v>
      </c>
      <c r="AD14" s="398">
        <v>1.61</v>
      </c>
      <c r="AE14" s="398">
        <v>1.52</v>
      </c>
      <c r="AF14" s="398">
        <v>4.08</v>
      </c>
      <c r="AG14" s="398">
        <v>1.08</v>
      </c>
      <c r="AH14" s="398">
        <v>5.75</v>
      </c>
      <c r="AI14" s="398">
        <v>23.2</v>
      </c>
      <c r="AJ14" s="398">
        <v>27.2</v>
      </c>
      <c r="AK14" s="398">
        <v>16.100000000000001</v>
      </c>
      <c r="AL14" s="398">
        <v>20.100000000000001</v>
      </c>
      <c r="AM14" s="398">
        <v>4.5</v>
      </c>
      <c r="AN14" s="398">
        <v>2.25</v>
      </c>
    </row>
    <row r="15" spans="1:40" x14ac:dyDescent="0.25">
      <c r="A15" s="397" t="s">
        <v>931</v>
      </c>
      <c r="B15" s="398">
        <v>10.4</v>
      </c>
      <c r="C15" s="398">
        <v>3.13</v>
      </c>
      <c r="D15" s="398">
        <v>5.96</v>
      </c>
      <c r="E15" s="398"/>
      <c r="F15" s="398">
        <v>3.97</v>
      </c>
      <c r="G15" s="398"/>
      <c r="H15" s="398">
        <v>0.2</v>
      </c>
      <c r="I15" s="398"/>
      <c r="J15" s="399"/>
      <c r="K15" s="398">
        <v>0.247</v>
      </c>
      <c r="L15" s="399"/>
      <c r="M15" s="400"/>
      <c r="N15" s="401"/>
      <c r="O15" s="401"/>
      <c r="P15" s="398"/>
      <c r="Q15" s="398"/>
      <c r="R15" s="398">
        <v>19.3</v>
      </c>
      <c r="S15" s="398">
        <v>7.31</v>
      </c>
      <c r="T15" s="398">
        <v>6.48</v>
      </c>
      <c r="U15" s="398">
        <v>2.48</v>
      </c>
      <c r="V15" s="398">
        <v>2.58</v>
      </c>
      <c r="W15" s="398">
        <v>2.0099999999999998</v>
      </c>
      <c r="X15" s="398">
        <v>1.3</v>
      </c>
      <c r="Y15" s="398">
        <v>0.90800000000000003</v>
      </c>
      <c r="Z15" s="398"/>
      <c r="AA15" s="398"/>
      <c r="AB15" s="398"/>
      <c r="AC15" s="398"/>
      <c r="AD15" s="398"/>
      <c r="AE15" s="398"/>
      <c r="AF15" s="398"/>
      <c r="AG15" s="398"/>
      <c r="AH15" s="398"/>
      <c r="AI15" s="398"/>
      <c r="AJ15" s="398"/>
      <c r="AK15" s="398"/>
      <c r="AL15" s="398"/>
      <c r="AM15" s="398"/>
      <c r="AN15" s="398"/>
    </row>
    <row r="16" spans="1:40" x14ac:dyDescent="0.25">
      <c r="A16" s="397" t="s">
        <v>932</v>
      </c>
      <c r="B16" s="398">
        <v>9</v>
      </c>
      <c r="C16" s="398">
        <v>2.68</v>
      </c>
      <c r="D16" s="398">
        <v>5.9</v>
      </c>
      <c r="E16" s="398">
        <v>5.875</v>
      </c>
      <c r="F16" s="398">
        <v>3.94</v>
      </c>
      <c r="G16" s="398">
        <v>4</v>
      </c>
      <c r="H16" s="398">
        <v>0.17</v>
      </c>
      <c r="I16" s="398">
        <v>0.1875</v>
      </c>
      <c r="J16" s="399">
        <v>0.125</v>
      </c>
      <c r="K16" s="398">
        <v>0.215</v>
      </c>
      <c r="L16" s="399">
        <v>0.1875</v>
      </c>
      <c r="M16" s="400">
        <v>0.46500000000000002</v>
      </c>
      <c r="N16" s="401">
        <v>0.6875</v>
      </c>
      <c r="O16" s="401">
        <v>0.5</v>
      </c>
      <c r="P16" s="398">
        <v>9.16</v>
      </c>
      <c r="Q16" s="398">
        <v>29.2</v>
      </c>
      <c r="R16" s="398">
        <v>16.399999999999999</v>
      </c>
      <c r="S16" s="398">
        <v>6.23</v>
      </c>
      <c r="T16" s="398">
        <v>5.56</v>
      </c>
      <c r="U16" s="398">
        <v>2.4700000000000002</v>
      </c>
      <c r="V16" s="398">
        <v>2.2000000000000002</v>
      </c>
      <c r="W16" s="398">
        <v>1.72</v>
      </c>
      <c r="X16" s="398">
        <v>1.1100000000000001</v>
      </c>
      <c r="Y16" s="398">
        <v>0.90500000000000003</v>
      </c>
      <c r="Z16" s="398">
        <v>4.0500000000000001E-2</v>
      </c>
      <c r="AA16" s="398">
        <v>17.7</v>
      </c>
      <c r="AB16" s="398" t="s">
        <v>918</v>
      </c>
      <c r="AC16" s="398">
        <v>5.6</v>
      </c>
      <c r="AD16" s="398">
        <v>1.19</v>
      </c>
      <c r="AE16" s="398">
        <v>1.1499999999999999</v>
      </c>
      <c r="AF16" s="398">
        <v>3.04</v>
      </c>
      <c r="AG16" s="398">
        <v>1.06</v>
      </c>
      <c r="AH16" s="398">
        <v>5.69</v>
      </c>
      <c r="AI16" s="398">
        <v>22.9</v>
      </c>
      <c r="AJ16" s="398">
        <v>26.8</v>
      </c>
      <c r="AK16" s="398">
        <v>15.7</v>
      </c>
      <c r="AL16" s="398">
        <v>19.7</v>
      </c>
      <c r="AM16" s="398">
        <v>4.5</v>
      </c>
      <c r="AN16" s="398">
        <v>2.25</v>
      </c>
    </row>
    <row r="17" spans="1:40" x14ac:dyDescent="0.25">
      <c r="A17" s="397" t="s">
        <v>933</v>
      </c>
      <c r="B17" s="398">
        <v>8.5</v>
      </c>
      <c r="C17" s="398">
        <v>2.52</v>
      </c>
      <c r="D17" s="398">
        <v>5.83</v>
      </c>
      <c r="E17" s="398">
        <v>5.875</v>
      </c>
      <c r="F17" s="398">
        <v>3.94</v>
      </c>
      <c r="G17" s="398">
        <v>4</v>
      </c>
      <c r="H17" s="398">
        <v>0.17</v>
      </c>
      <c r="I17" s="398">
        <v>0.1875</v>
      </c>
      <c r="J17" s="399">
        <v>0.125</v>
      </c>
      <c r="K17" s="398">
        <v>0.19500000000000001</v>
      </c>
      <c r="L17" s="399">
        <v>0.1875</v>
      </c>
      <c r="M17" s="400">
        <v>0.44500000000000001</v>
      </c>
      <c r="N17" s="401">
        <v>0.6875</v>
      </c>
      <c r="O17" s="401">
        <v>0.5</v>
      </c>
      <c r="P17" s="398">
        <v>10.1</v>
      </c>
      <c r="Q17" s="398">
        <v>29.1</v>
      </c>
      <c r="R17" s="398">
        <v>14.9</v>
      </c>
      <c r="S17" s="398">
        <v>5.73</v>
      </c>
      <c r="T17" s="398">
        <v>5.0999999999999996</v>
      </c>
      <c r="U17" s="398">
        <v>2.4300000000000002</v>
      </c>
      <c r="V17" s="398">
        <v>1.99</v>
      </c>
      <c r="W17" s="398">
        <v>1.56</v>
      </c>
      <c r="X17" s="398">
        <v>1.01</v>
      </c>
      <c r="Y17" s="398">
        <v>0.89</v>
      </c>
      <c r="Z17" s="398">
        <v>3.3300000000000003E-2</v>
      </c>
      <c r="AA17" s="398">
        <v>15.8</v>
      </c>
      <c r="AB17" s="398" t="s">
        <v>918</v>
      </c>
      <c r="AC17" s="398">
        <v>5.55</v>
      </c>
      <c r="AD17" s="398">
        <v>1.06</v>
      </c>
      <c r="AE17" s="398">
        <v>1.03</v>
      </c>
      <c r="AF17" s="398">
        <v>2.78</v>
      </c>
      <c r="AG17" s="398">
        <v>1.05</v>
      </c>
      <c r="AH17" s="398">
        <v>5.64</v>
      </c>
      <c r="AI17" s="398">
        <v>22.8</v>
      </c>
      <c r="AJ17" s="398">
        <v>26.7</v>
      </c>
      <c r="AK17" s="398">
        <v>15.6</v>
      </c>
      <c r="AL17" s="398">
        <v>19.5</v>
      </c>
      <c r="AM17" s="398">
        <v>4.5</v>
      </c>
      <c r="AN17" s="398">
        <v>2.25</v>
      </c>
    </row>
    <row r="18" spans="1:40" x14ac:dyDescent="0.25">
      <c r="B18" s="12"/>
      <c r="C18" s="138"/>
      <c r="D18" s="12"/>
      <c r="E18" s="138"/>
      <c r="F18" s="12"/>
      <c r="G18" s="403"/>
      <c r="H18" s="12"/>
      <c r="I18" s="404"/>
      <c r="J18" s="405"/>
      <c r="K18" s="12"/>
      <c r="L18" s="405"/>
      <c r="M18" s="12"/>
      <c r="N18" s="405"/>
      <c r="O18" s="405"/>
      <c r="P18" s="12"/>
      <c r="Q18" s="12"/>
      <c r="R18" s="12"/>
      <c r="S18" s="12"/>
      <c r="T18" s="12"/>
      <c r="U18" s="12"/>
      <c r="V18" s="12"/>
      <c r="W18" s="12"/>
      <c r="X18" s="12"/>
      <c r="Y18" s="12"/>
      <c r="Z18" s="12"/>
      <c r="AA18" s="12"/>
      <c r="AB18" s="12"/>
      <c r="AC18" s="12"/>
      <c r="AD18" s="12"/>
      <c r="AE18" s="12"/>
      <c r="AF18" s="12"/>
      <c r="AG18" s="12"/>
      <c r="AH18" s="12"/>
      <c r="AI18" s="12"/>
      <c r="AJ18" s="12"/>
      <c r="AK18" s="12"/>
      <c r="AL18" s="12"/>
      <c r="AM18" s="403"/>
      <c r="AN18" s="403"/>
    </row>
    <row r="19" spans="1:40" x14ac:dyDescent="0.25">
      <c r="B19" s="12"/>
      <c r="C19" s="138"/>
      <c r="D19" s="12"/>
      <c r="E19" s="138"/>
      <c r="F19" s="12"/>
      <c r="G19" s="403"/>
      <c r="H19" s="12"/>
      <c r="I19" s="404"/>
      <c r="J19" s="405"/>
      <c r="K19" s="12"/>
      <c r="L19" s="405"/>
      <c r="M19" s="12"/>
      <c r="N19" s="405"/>
      <c r="O19" s="405"/>
      <c r="P19" s="12"/>
      <c r="Q19" s="12"/>
      <c r="R19" s="12"/>
      <c r="S19" s="12"/>
      <c r="T19" s="12"/>
      <c r="U19" s="12"/>
      <c r="V19" s="12"/>
      <c r="W19" s="12"/>
      <c r="X19" s="12"/>
      <c r="Y19" s="12"/>
      <c r="Z19" s="12"/>
      <c r="AA19" s="12"/>
      <c r="AB19" s="12"/>
      <c r="AC19" s="12"/>
      <c r="AD19" s="12"/>
      <c r="AE19" s="12"/>
      <c r="AF19" s="12"/>
      <c r="AG19" s="12"/>
      <c r="AH19" s="12"/>
      <c r="AI19" s="12"/>
      <c r="AJ19" s="12"/>
      <c r="AK19" s="12"/>
      <c r="AL19" s="12"/>
      <c r="AM19" s="403"/>
      <c r="AN19" s="403"/>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2:U151"/>
  <sheetViews>
    <sheetView workbookViewId="0">
      <selection activeCell="K9" sqref="K9"/>
    </sheetView>
  </sheetViews>
  <sheetFormatPr defaultRowHeight="15" x14ac:dyDescent="0.25"/>
  <cols>
    <col min="1" max="1" width="21.140625" bestFit="1" customWidth="1"/>
    <col min="2" max="2" width="25.28515625" bestFit="1" customWidth="1"/>
    <col min="3" max="3" width="27.5703125" bestFit="1" customWidth="1"/>
    <col min="4" max="4" width="14.85546875" customWidth="1"/>
    <col min="5" max="5" width="6.85546875" customWidth="1"/>
    <col min="6" max="6" width="13.28515625" bestFit="1" customWidth="1"/>
    <col min="7" max="7" width="21.85546875" customWidth="1"/>
    <col min="8" max="8" width="8.5703125" customWidth="1"/>
    <col min="9" max="9" width="11.28515625" bestFit="1" customWidth="1"/>
    <col min="14" max="14" width="32.140625" bestFit="1" customWidth="1"/>
    <col min="15" max="15" width="13" customWidth="1"/>
    <col min="16" max="21" width="13.7109375" customWidth="1"/>
  </cols>
  <sheetData>
    <row r="2" spans="2:11" ht="15.75" customHeight="1" x14ac:dyDescent="0.25">
      <c r="B2" s="407" t="s">
        <v>442</v>
      </c>
      <c r="C2" s="390" t="str">
        <f>Inputs!B1</f>
        <v xml:space="preserve">Customer </v>
      </c>
      <c r="D2" s="390"/>
      <c r="E2" s="390"/>
      <c r="F2" s="391"/>
      <c r="H2" s="346"/>
    </row>
    <row r="3" spans="2:11" ht="15.75" customHeight="1" x14ac:dyDescent="0.25">
      <c r="B3" s="408" t="s">
        <v>443</v>
      </c>
      <c r="C3" s="346" t="str">
        <f>Inputs!B2</f>
        <v xml:space="preserve">Project </v>
      </c>
      <c r="D3" s="346"/>
      <c r="E3" s="346"/>
      <c r="F3" s="348"/>
      <c r="H3" s="346"/>
    </row>
    <row r="4" spans="2:11" ht="15.75" customHeight="1" x14ac:dyDescent="0.25">
      <c r="B4" s="408" t="s">
        <v>444</v>
      </c>
      <c r="C4" s="346" t="str">
        <f>Inputs!B3</f>
        <v xml:space="preserve">City, State Zip </v>
      </c>
      <c r="D4" s="346"/>
      <c r="E4" s="346"/>
      <c r="F4" s="348"/>
      <c r="H4" s="346"/>
    </row>
    <row r="5" spans="2:11" ht="15.75" customHeight="1" x14ac:dyDescent="0.25">
      <c r="B5" s="408" t="s">
        <v>792</v>
      </c>
      <c r="C5" s="346" t="e">
        <f>"1x"&amp;(P_Left+P_Right)&amp;" FTS Configuration"</f>
        <v>#VALUE!</v>
      </c>
      <c r="D5" s="346"/>
      <c r="E5" s="346"/>
      <c r="F5" s="348"/>
      <c r="H5" s="346"/>
    </row>
    <row r="6" spans="2:11" ht="15.75" customHeight="1" x14ac:dyDescent="0.25">
      <c r="B6" s="409" t="s">
        <v>793</v>
      </c>
      <c r="C6" s="410" t="str">
        <f>Inputs!B4</f>
        <v>X/XX/XX - XXX</v>
      </c>
      <c r="D6" s="410"/>
      <c r="E6" s="410"/>
      <c r="F6" s="372"/>
      <c r="H6" s="349"/>
    </row>
    <row r="7" spans="2:11" ht="15.75" customHeight="1" x14ac:dyDescent="0.25">
      <c r="B7" s="411"/>
      <c r="C7" s="411"/>
      <c r="D7" s="371"/>
      <c r="E7" s="371"/>
      <c r="F7" s="371"/>
      <c r="G7" s="349"/>
      <c r="H7" s="349"/>
    </row>
    <row r="8" spans="2:11" ht="15.75" customHeight="1" thickBot="1" x14ac:dyDescent="0.3">
      <c r="I8" t="s">
        <v>176</v>
      </c>
      <c r="J8">
        <v>29000</v>
      </c>
      <c r="K8" t="s">
        <v>934</v>
      </c>
    </row>
    <row r="9" spans="2:11" x14ac:dyDescent="0.25">
      <c r="C9" s="431" t="s">
        <v>935</v>
      </c>
      <c r="D9" s="432" t="s">
        <v>928</v>
      </c>
      <c r="E9" s="427"/>
      <c r="F9" s="433" t="s">
        <v>0</v>
      </c>
      <c r="I9" t="s">
        <v>936</v>
      </c>
      <c r="J9">
        <v>65</v>
      </c>
      <c r="K9" t="s">
        <v>934</v>
      </c>
    </row>
    <row r="10" spans="2:11" x14ac:dyDescent="0.25">
      <c r="B10" s="412"/>
      <c r="C10" s="434" t="s">
        <v>937</v>
      </c>
      <c r="D10" s="210">
        <v>35</v>
      </c>
      <c r="F10" s="435"/>
    </row>
    <row r="11" spans="2:11" x14ac:dyDescent="0.25">
      <c r="B11" s="412"/>
      <c r="C11" s="434" t="s">
        <v>938</v>
      </c>
      <c r="D11" s="210" t="s">
        <v>572</v>
      </c>
      <c r="F11" s="435"/>
    </row>
    <row r="12" spans="2:11" x14ac:dyDescent="0.25">
      <c r="B12" s="412"/>
      <c r="C12" s="434" t="s">
        <v>939</v>
      </c>
      <c r="D12" s="210">
        <v>3</v>
      </c>
      <c r="E12" t="s">
        <v>940</v>
      </c>
      <c r="F12" s="435"/>
    </row>
    <row r="13" spans="2:11" x14ac:dyDescent="0.25">
      <c r="C13" s="434" t="s">
        <v>941</v>
      </c>
      <c r="D13" s="7">
        <f>IF(D12=0,0,IF(D11="Mildly",ROUNDDOWN((D12-(2*0.58))/(0.16)+2,0),IF(D11="Moderately",ROUNDDOWN((D12-(2*0.725))/(0.2)+2,0),IF(D11="Highly",ROUNDDOWN((D12-(2*0.87))/(0.24)+2,0)))))</f>
        <v>9</v>
      </c>
      <c r="F13" s="15"/>
    </row>
    <row r="14" spans="2:11" ht="15.75" customHeight="1" thickBot="1" x14ac:dyDescent="0.3">
      <c r="C14" s="436" t="s">
        <v>942</v>
      </c>
      <c r="D14" s="430">
        <f>IF(D10=0,0,IF(D11="Mildly",((D10-1)-D13)*0.00094,IF(D11="Moderately",(((D10-1)-D13)*0.00118),IF(D11="Highly",((D10-1)-D13)*0.00141))))</f>
        <v>2.9500000000000002E-2</v>
      </c>
      <c r="E14" s="16" t="s">
        <v>119</v>
      </c>
      <c r="F14" s="17"/>
    </row>
    <row r="15" spans="2:11" ht="15.75" customHeight="1" thickBot="1" x14ac:dyDescent="0.3">
      <c r="C15" s="412"/>
    </row>
    <row r="16" spans="2:11" x14ac:dyDescent="0.25">
      <c r="B16" s="722" t="s">
        <v>943</v>
      </c>
      <c r="C16" s="547"/>
      <c r="D16" s="426">
        <f>2*(bf*tf)+((d-(2*tf))*tw)</f>
        <v>3.8504402500000001</v>
      </c>
      <c r="E16" s="427" t="s">
        <v>119</v>
      </c>
      <c r="F16" s="438"/>
      <c r="G16" s="729" t="s">
        <v>944</v>
      </c>
      <c r="H16" s="547"/>
      <c r="I16" s="426">
        <f>((tw^3*Wh)/12)+2*(((bf^3)*tf)/12)</f>
        <v>8.1388849448950076</v>
      </c>
      <c r="J16" s="428" t="s">
        <v>945</v>
      </c>
    </row>
    <row r="17" spans="2:21" x14ac:dyDescent="0.25">
      <c r="B17" s="724" t="s">
        <v>946</v>
      </c>
      <c r="C17" s="565"/>
      <c r="D17" s="429">
        <f>INDEX(Shapes!D$2:D$17,MATCH(Profile,Shapes!$A$2:$A$17,0))-Metal_Loss</f>
        <v>5.9605000000000006</v>
      </c>
      <c r="E17" t="s">
        <v>119</v>
      </c>
      <c r="F17" s="439"/>
      <c r="G17" s="721" t="s">
        <v>947</v>
      </c>
      <c r="H17" s="565"/>
      <c r="I17" s="7">
        <f>(2*Iy)/bf</f>
        <v>2.730940338862514</v>
      </c>
      <c r="J17" s="15" t="s">
        <v>948</v>
      </c>
    </row>
    <row r="18" spans="2:21" x14ac:dyDescent="0.25">
      <c r="B18" s="724" t="s">
        <v>949</v>
      </c>
      <c r="C18" s="565"/>
      <c r="D18" s="429">
        <f>INDEX(Shapes!H$2:H$17,MATCH(Profile,Shapes!$A$2:$A$17,0))-Metal_Loss</f>
        <v>0.20050000000000001</v>
      </c>
      <c r="E18" t="s">
        <v>119</v>
      </c>
      <c r="F18" s="439"/>
      <c r="G18" s="721" t="s">
        <v>950</v>
      </c>
      <c r="H18" s="565"/>
      <c r="I18" s="7">
        <f>INDEX(Shapes!Y$2:Y$17,MATCH(Profile,Shapes!$A$2:$A$17,0))</f>
        <v>1.45</v>
      </c>
      <c r="J18" s="15" t="s">
        <v>948</v>
      </c>
    </row>
    <row r="19" spans="2:21" x14ac:dyDescent="0.25">
      <c r="B19" s="724" t="s">
        <v>951</v>
      </c>
      <c r="C19" s="565"/>
      <c r="D19" s="429">
        <f>INDEX(Shapes!K$2:K$17,MATCH(Profile,Shapes!$A$2:$A$17,0))-Metal_Loss</f>
        <v>0.23050000000000001</v>
      </c>
      <c r="E19" t="s">
        <v>119</v>
      </c>
      <c r="F19" s="439"/>
      <c r="G19" s="721" t="s">
        <v>952</v>
      </c>
      <c r="H19" s="565"/>
      <c r="I19" s="7">
        <f>((bf^2*tf)/2)+((tw^2)*(Wh))/4</f>
        <v>4.1498216375312511</v>
      </c>
      <c r="J19" s="15" t="s">
        <v>948</v>
      </c>
    </row>
    <row r="20" spans="2:21" x14ac:dyDescent="0.25">
      <c r="B20" s="724" t="s">
        <v>953</v>
      </c>
      <c r="C20" s="565"/>
      <c r="D20" s="429">
        <f>INDEX(Shapes!F$2:F$17,MATCH(Profile,Shapes!$A$2:$A$17,0))-Metal_Loss</f>
        <v>5.9605000000000006</v>
      </c>
      <c r="E20" t="s">
        <v>119</v>
      </c>
      <c r="F20" s="439"/>
      <c r="G20" s="721" t="s">
        <v>911</v>
      </c>
      <c r="H20" s="565"/>
      <c r="I20">
        <f>d-(tf)</f>
        <v>5.73</v>
      </c>
      <c r="J20" s="15"/>
    </row>
    <row r="21" spans="2:21" x14ac:dyDescent="0.25">
      <c r="B21" s="724" t="s">
        <v>954</v>
      </c>
      <c r="C21" s="565"/>
      <c r="D21" s="7">
        <f>((Wh^3)*tw)/12+2*(((tf^3*bf)/12)+((tf*bf*(Wh+tf)^2)/4))</f>
        <v>25.345739463175008</v>
      </c>
      <c r="E21" t="s">
        <v>945</v>
      </c>
      <c r="F21" s="439"/>
      <c r="G21" s="721" t="s">
        <v>955</v>
      </c>
      <c r="H21" s="565"/>
      <c r="I21" s="7">
        <f>SQRT((Iy*ho)/(2*Sx))</f>
        <v>1.6558410038396401</v>
      </c>
      <c r="J21" s="15" t="s">
        <v>948</v>
      </c>
    </row>
    <row r="22" spans="2:21" x14ac:dyDescent="0.25">
      <c r="B22" s="724" t="s">
        <v>956</v>
      </c>
      <c r="C22" s="565"/>
      <c r="D22" s="7">
        <f>(2*Ix)/((Wh+2*tf))</f>
        <v>8.5045682285630413</v>
      </c>
      <c r="E22" t="s">
        <v>948</v>
      </c>
      <c r="F22" s="439"/>
      <c r="G22" s="721" t="s">
        <v>957</v>
      </c>
      <c r="H22" s="565"/>
      <c r="I22" s="7">
        <f>((2*bf*tf^3)+(ho*tw^3))/3</f>
        <v>6.4058485476291685E-2</v>
      </c>
      <c r="J22" s="15" t="s">
        <v>945</v>
      </c>
    </row>
    <row r="23" spans="2:21" x14ac:dyDescent="0.25">
      <c r="B23" s="724" t="s">
        <v>958</v>
      </c>
      <c r="C23" s="565"/>
      <c r="D23" s="7">
        <f>(Ix/A)^0.5</f>
        <v>2.5656492807658888</v>
      </c>
      <c r="E23" t="s">
        <v>119</v>
      </c>
      <c r="F23" s="439"/>
      <c r="G23" s="721" t="s">
        <v>896</v>
      </c>
      <c r="H23" s="565"/>
      <c r="I23" s="7">
        <f>Wh/tw</f>
        <v>27.428927680798004</v>
      </c>
      <c r="J23" s="15"/>
    </row>
    <row r="24" spans="2:21" x14ac:dyDescent="0.25">
      <c r="B24" s="724" t="s">
        <v>959</v>
      </c>
      <c r="C24" s="565"/>
      <c r="D24" s="7">
        <f>(bf*tf*(d-tf))+((tw*(Wh)^2)/4)</f>
        <v>9.3884253575312524</v>
      </c>
      <c r="E24" t="s">
        <v>948</v>
      </c>
      <c r="F24" s="439"/>
      <c r="G24" s="413"/>
      <c r="H24" s="413"/>
      <c r="J24" s="15"/>
    </row>
    <row r="25" spans="2:21" ht="15.75" customHeight="1" thickBot="1" x14ac:dyDescent="0.3">
      <c r="B25" s="723" t="s">
        <v>960</v>
      </c>
      <c r="C25" s="551"/>
      <c r="D25" s="430">
        <f>d-tf*2</f>
        <v>5.4995000000000003</v>
      </c>
      <c r="E25" s="16" t="s">
        <v>119</v>
      </c>
      <c r="F25" s="440"/>
      <c r="G25" s="437"/>
      <c r="H25" s="437"/>
      <c r="I25" s="430"/>
      <c r="J25" s="17"/>
    </row>
    <row r="26" spans="2:21" ht="15.75" customHeight="1" thickBot="1" x14ac:dyDescent="0.3">
      <c r="B26" s="7"/>
      <c r="C26" s="7"/>
      <c r="D26" s="7"/>
      <c r="G26" s="7"/>
      <c r="H26" s="7"/>
      <c r="I26" s="7"/>
    </row>
    <row r="27" spans="2:21" ht="15.75" customHeight="1" thickBot="1" x14ac:dyDescent="0.3">
      <c r="B27" s="210" t="s">
        <v>961</v>
      </c>
      <c r="C27" s="210" t="e">
        <f>Inputs!B78-12</f>
        <v>#VALUE!</v>
      </c>
      <c r="D27" s="7"/>
      <c r="G27" s="7"/>
      <c r="H27" s="7"/>
      <c r="I27" s="7"/>
      <c r="M27" s="727" t="s">
        <v>962</v>
      </c>
      <c r="N27" s="544"/>
      <c r="O27" s="343">
        <f>Mp/1.67</f>
        <v>365.41775343684515</v>
      </c>
      <c r="P27" s="441" t="str">
        <f>IF(O27&gt;=T27,"&gt;","&lt;")</f>
        <v>&gt;</v>
      </c>
      <c r="Q27" s="725" t="s">
        <v>963</v>
      </c>
      <c r="R27" s="544"/>
      <c r="S27" s="544"/>
      <c r="T27" s="343">
        <v>300</v>
      </c>
      <c r="U27" s="344" t="str">
        <f>IF(O27&gt;=T27,"Satisfactory","Unsatisfactory")</f>
        <v>Satisfactory</v>
      </c>
    </row>
    <row r="28" spans="2:21" x14ac:dyDescent="0.25">
      <c r="B28" s="210" t="s">
        <v>964</v>
      </c>
      <c r="C28" s="210">
        <v>12</v>
      </c>
    </row>
    <row r="29" spans="2:21" x14ac:dyDescent="0.25">
      <c r="B29" t="s">
        <v>965</v>
      </c>
      <c r="C29" s="210" t="e">
        <f>C27+C28+9</f>
        <v>#VALUE!</v>
      </c>
    </row>
    <row r="30" spans="2:21" x14ac:dyDescent="0.25">
      <c r="D30" t="s">
        <v>966</v>
      </c>
      <c r="E30" t="e">
        <f>C27+C28</f>
        <v>#VALUE!</v>
      </c>
      <c r="F30" t="s">
        <v>119</v>
      </c>
      <c r="G30" t="s">
        <v>967</v>
      </c>
      <c r="H30" t="e">
        <f>C27+C28</f>
        <v>#VALUE!</v>
      </c>
      <c r="I30" t="s">
        <v>119</v>
      </c>
    </row>
    <row r="32" spans="2:21" ht="15.75" customHeight="1" thickBot="1" x14ac:dyDescent="0.3">
      <c r="B32" s="413" t="s">
        <v>968</v>
      </c>
    </row>
    <row r="33" spans="1:21" x14ac:dyDescent="0.25">
      <c r="B33" t="s">
        <v>969</v>
      </c>
      <c r="M33" s="726" t="str">
        <f>F9&amp;" Pile Utlization Ratios"</f>
        <v>Zone 1 Pile Utlization Ratios</v>
      </c>
      <c r="N33" s="547"/>
      <c r="O33" s="547"/>
      <c r="P33" s="547"/>
      <c r="Q33" s="547"/>
      <c r="R33" s="547"/>
      <c r="S33" s="547"/>
      <c r="T33" s="547"/>
      <c r="U33" s="548"/>
    </row>
    <row r="34" spans="1:21" ht="15.75" customHeight="1" thickBot="1" x14ac:dyDescent="0.3">
      <c r="B34" t="s">
        <v>970</v>
      </c>
      <c r="C34">
        <f>(bf/2)/tf</f>
        <v>12.9295010845987</v>
      </c>
      <c r="M34" s="728" t="s">
        <v>971</v>
      </c>
      <c r="N34" s="551"/>
      <c r="O34" s="551"/>
      <c r="P34" s="551"/>
      <c r="Q34" s="551"/>
      <c r="R34" s="551"/>
      <c r="S34" s="551"/>
      <c r="T34" s="551"/>
      <c r="U34" s="552"/>
    </row>
    <row r="35" spans="1:21" ht="60.75" customHeight="1" thickBot="1" x14ac:dyDescent="0.3">
      <c r="B35" t="s">
        <v>972</v>
      </c>
      <c r="C35">
        <f>0.56*SQRT(E/Fy)</f>
        <v>11.828518341442694</v>
      </c>
      <c r="D35" t="str">
        <f>IF(C34&lt;=C35,"Non-Slender","Slender")</f>
        <v>Slender</v>
      </c>
      <c r="M35" s="352" t="s">
        <v>798</v>
      </c>
      <c r="N35" s="352" t="s">
        <v>799</v>
      </c>
      <c r="O35" s="352" t="s">
        <v>800</v>
      </c>
      <c r="P35" s="414" t="s">
        <v>973</v>
      </c>
      <c r="Q35" s="414" t="s">
        <v>974</v>
      </c>
      <c r="R35" s="414" t="s">
        <v>975</v>
      </c>
      <c r="S35" s="425" t="s">
        <v>976</v>
      </c>
      <c r="T35" s="414" t="s">
        <v>977</v>
      </c>
      <c r="U35" s="414" t="s">
        <v>978</v>
      </c>
    </row>
    <row r="36" spans="1:21" x14ac:dyDescent="0.25">
      <c r="B36" t="s">
        <v>979</v>
      </c>
      <c r="M36" s="354">
        <v>1</v>
      </c>
      <c r="N36" s="355" t="s">
        <v>836</v>
      </c>
      <c r="O36" s="356" t="s">
        <v>807</v>
      </c>
      <c r="P36" s="415">
        <f>IF($F$9="Zone 1 - Drive",'Results ASCE 7-16'!E13,IF($F$9="Zone 1",'Results ASCE 7-16'!E63,IF($F$9="Zone 2",'Results ASCE 7-16'!E111,IF($F$9="Zone 3",'Results ASCE 7-16'!P13,IF($F$9="Zone 4",'Results ASCE 7-16'!P63,IF($F$9="Zone 5",'Results ASCE 7-16'!P111," "))))))/1000</f>
        <v>0</v>
      </c>
      <c r="Q36" s="415">
        <f>IF($F$9="Zone 1 - Drive",'Results ASCE 7-16'!F13,IF($F$9="Zone 1",'Results ASCE 7-16'!F63,IF($F$9="Zone 2",'Results ASCE 7-16'!F111,IF($F$9="Zone 3",'Results ASCE 7-16'!Q13,IF($F$9="Zone 4",'Results ASCE 7-16'!Q63,IF($F$9="Zone 5",'Results ASCE 7-16'!Q111," "))))))/1000</f>
        <v>0</v>
      </c>
      <c r="R36" s="415">
        <f>(IF($F$9="Zone 1 - Drive",'Results ASCE 7-16'!G13,IF($F$9="Zone 1",'Results ASCE 7-16'!G63,IF($F$9="Zone 2",'Results ASCE 7-16'!G111,IF($F$9="Zone 3",'Results ASCE 7-16'!R13,IF($F$9="Zone 4",'Results ASCE 7-16'!R63,IF($F$9="Zone 5",'Results ASCE 7-16'!R111," ")))))))/1000</f>
        <v>0</v>
      </c>
      <c r="S36" s="424" t="e">
        <f>((IF($F$9="Zone 1 - Drive",'Results ASCE 7-16'!H13,IF($F$9="Zone 1",'Results ASCE 7-16'!H63,IF($F$9="Zone 2",'Results ASCE 7-16'!H111,IF($F$9="Zone 3",'Results ASCE 7-16'!S13,IF($F$9="Zone 4",'Results ASCE 7-16'!S63,IF($F$9="Zone 5",'Results ASCE 7-16'!S111," ")))))))/1000)-(R36)*$C$29</f>
        <v>#VALUE!</v>
      </c>
      <c r="T36" s="415" t="e">
        <f>(IF($F$9="Zone 1 - Drive",'Results ASCE 7-16'!I13,IF($F$9="Zone 1",'Results ASCE 7-16'!I63,IF($F$9="Zone 2",'Results ASCE 7-16'!I111,IF($F$9="Zone 3",'Results ASCE 7-16'!T13,IF($F$9="Zone 4",'Results ASCE 7-16'!T63,IF($F$9="Zone 5",'Results ASCE 7-16'!T111," "))))))/1000)-P36*$C$29</f>
        <v>#VALUE!</v>
      </c>
      <c r="U36" s="416" t="e">
        <f t="shared" ref="U36:U57" si="0">IF((ABS(Q36)/$C$82)&lt;=0.2,(ABS(Q36)/(2*$C$82))+((ABS(T36)/$C$121)+(ABS(S36)/$C$130)),(ABS(Q36)/$C$82)+(8/9)*((ABS(T36)/$C$121)+(ABS(S36)/$C$130)))</f>
        <v>#VALUE!</v>
      </c>
    </row>
    <row r="37" spans="1:21" x14ac:dyDescent="0.25">
      <c r="B37" t="s">
        <v>896</v>
      </c>
      <c r="C37">
        <f>I23</f>
        <v>27.428927680798004</v>
      </c>
      <c r="M37" s="359">
        <v>2</v>
      </c>
      <c r="N37" s="360" t="s">
        <v>870</v>
      </c>
      <c r="O37" s="209" t="s">
        <v>807</v>
      </c>
      <c r="P37" s="417">
        <f>IF($F$9="Zone 1 - Drive",'Results ASCE 7-16'!E14,IF($F$9="Zone 1",'Results ASCE 7-16'!E64,IF($F$9="Zone 2",'Results ASCE 7-16'!E112,IF($F$9="Zone 3",'Results ASCE 7-16'!P14,IF($F$9="Zone 4",'Results ASCE 7-16'!P64,IF($F$9="Zone 5",'Results ASCE 7-16'!P112," "))))))/1000</f>
        <v>0</v>
      </c>
      <c r="Q37" s="417">
        <f>IF($F$9="Zone 1 - Drive",'Results ASCE 7-16'!F14,IF($F$9="Zone 1",'Results ASCE 7-16'!F64,IF($F$9="Zone 2",'Results ASCE 7-16'!F112,IF($F$9="Zone 3",'Results ASCE 7-16'!Q14,IF($F$9="Zone 4",'Results ASCE 7-16'!Q64,IF($F$9="Zone 5",'Results ASCE 7-16'!Q112," "))))))/1000</f>
        <v>0</v>
      </c>
      <c r="R37" s="417">
        <f>(IF($F$9="Zone 1 - Drive",'Results ASCE 7-16'!G14,IF($F$9="Zone 1",'Results ASCE 7-16'!G64,IF($F$9="Zone 2",'Results ASCE 7-16'!G112,IF($F$9="Zone 3",'Results ASCE 7-16'!R14,IF($F$9="Zone 4",'Results ASCE 7-16'!R64,IF($F$9="Zone 5",'Results ASCE 7-16'!R112," ")))))))/1000</f>
        <v>0</v>
      </c>
      <c r="S37" s="417" t="e">
        <f>((IF($F$9="Zone 1 - Drive",'Results ASCE 7-16'!H14,IF($F$9="Zone 1",'Results ASCE 7-16'!H64,IF($F$9="Zone 2",'Results ASCE 7-16'!H112,IF($F$9="Zone 3",'Results ASCE 7-16'!S14,IF($F$9="Zone 4",'Results ASCE 7-16'!S64,IF($F$9="Zone 5",'Results ASCE 7-16'!S112," ")))))))/1000)-(R37)*$C$29</f>
        <v>#VALUE!</v>
      </c>
      <c r="T37" s="417" t="e">
        <f>(IF($F$9="Zone 1 - Drive",'Results ASCE 7-16'!I14,IF($F$9="Zone 1",'Results ASCE 7-16'!I64,IF($F$9="Zone 2",'Results ASCE 7-16'!I112,IF($F$9="Zone 3",'Results ASCE 7-16'!T14,IF($F$9="Zone 4",'Results ASCE 7-16'!T64,IF($F$9="Zone 5",'Results ASCE 7-16'!T112," "))))))/1000)-P37*$C$29</f>
        <v>#VALUE!</v>
      </c>
      <c r="U37" s="418" t="e">
        <f t="shared" si="0"/>
        <v>#VALUE!</v>
      </c>
    </row>
    <row r="38" spans="1:21" x14ac:dyDescent="0.25">
      <c r="B38" t="s">
        <v>980</v>
      </c>
      <c r="C38">
        <f>1.49*(SQRT(E/Fy))</f>
        <v>31.472307729910018</v>
      </c>
      <c r="D38" t="str">
        <f>IF(C37&lt;=C38,"Non-Slender","Slender")</f>
        <v>Non-Slender</v>
      </c>
      <c r="M38" s="359">
        <v>3</v>
      </c>
      <c r="N38" s="360" t="s">
        <v>847</v>
      </c>
      <c r="O38" s="209" t="s">
        <v>807</v>
      </c>
      <c r="P38" s="417" t="e">
        <f ca="1">IF($F$9="Zone 1 - Drive",'Results ASCE 7-16'!E15,IF($F$9="Zone 1",'Results ASCE 7-16'!E65,IF($F$9="Zone 2",'Results ASCE 7-16'!E113,IF($F$9="Zone 3",'Results ASCE 7-16'!P15,IF($F$9="Zone 4",'Results ASCE 7-16'!P65,IF($F$9="Zone 5",'Results ASCE 7-16'!P113," "))))))/1000</f>
        <v>#VALUE!</v>
      </c>
      <c r="Q38" s="417" t="e">
        <f ca="1">IF($F$9="Zone 1 - Drive",'Results ASCE 7-16'!F15,IF($F$9="Zone 1",'Results ASCE 7-16'!F65,IF($F$9="Zone 2",'Results ASCE 7-16'!F113,IF($F$9="Zone 3",'Results ASCE 7-16'!Q15,IF($F$9="Zone 4",'Results ASCE 7-16'!Q65,IF($F$9="Zone 5",'Results ASCE 7-16'!Q113," "))))))/1000</f>
        <v>#VALUE!</v>
      </c>
      <c r="R38" s="417">
        <f>(IF($F$9="Zone 1 - Drive",'Results ASCE 7-16'!G15,IF($F$9="Zone 1",'Results ASCE 7-16'!G65,IF($F$9="Zone 2",'Results ASCE 7-16'!G113,IF($F$9="Zone 3",'Results ASCE 7-16'!R15,IF($F$9="Zone 4",'Results ASCE 7-16'!R65,IF($F$9="Zone 5",'Results ASCE 7-16'!R113," ")))))))/1000</f>
        <v>0</v>
      </c>
      <c r="S38" s="417" t="e">
        <f>((IF($F$9="Zone 1 - Drive",'Results ASCE 7-16'!H15,IF($F$9="Zone 1",'Results ASCE 7-16'!H65,IF($F$9="Zone 2",'Results ASCE 7-16'!H113,IF($F$9="Zone 3",'Results ASCE 7-16'!S15,IF($F$9="Zone 4",'Results ASCE 7-16'!S65,IF($F$9="Zone 5",'Results ASCE 7-16'!S113," ")))))))/1000)-(R38)*$C$29</f>
        <v>#VALUE!</v>
      </c>
      <c r="T38" s="417" t="e">
        <f ca="1">(IF($F$9="Zone 1 - Drive",'Results ASCE 7-16'!I15,IF($F$9="Zone 1",'Results ASCE 7-16'!I65,IF($F$9="Zone 2",'Results ASCE 7-16'!I113,IF($F$9="Zone 3",'Results ASCE 7-16'!T15,IF($F$9="Zone 4",'Results ASCE 7-16'!T65,IF($F$9="Zone 5",'Results ASCE 7-16'!T113," "))))))/1000)-P38*$C$29</f>
        <v>#VALUE!</v>
      </c>
      <c r="U38" s="418" t="e">
        <f t="shared" ca="1" si="0"/>
        <v>#VALUE!</v>
      </c>
    </row>
    <row r="39" spans="1:21" x14ac:dyDescent="0.25">
      <c r="M39" s="359">
        <v>4</v>
      </c>
      <c r="N39" s="360" t="s">
        <v>848</v>
      </c>
      <c r="O39" s="209" t="s">
        <v>807</v>
      </c>
      <c r="P39" s="417" t="e">
        <f ca="1">IF($F$9="Zone 1 - Drive",'Results ASCE 7-16'!E16,IF($F$9="Zone 1",'Results ASCE 7-16'!E66,IF($F$9="Zone 2",'Results ASCE 7-16'!E114,IF($F$9="Zone 3",'Results ASCE 7-16'!P16,IF($F$9="Zone 4",'Results ASCE 7-16'!P66,IF($F$9="Zone 5",'Results ASCE 7-16'!P114," "))))))/1000</f>
        <v>#VALUE!</v>
      </c>
      <c r="Q39" s="417" t="e">
        <f ca="1">IF($F$9="Zone 1 - Drive",'Results ASCE 7-16'!F16,IF($F$9="Zone 1",'Results ASCE 7-16'!F66,IF($F$9="Zone 2",'Results ASCE 7-16'!F114,IF($F$9="Zone 3",'Results ASCE 7-16'!Q16,IF($F$9="Zone 4",'Results ASCE 7-16'!Q66,IF($F$9="Zone 5",'Results ASCE 7-16'!Q114," "))))))/1000</f>
        <v>#VALUE!</v>
      </c>
      <c r="R39" s="417">
        <f>(IF($F$9="Zone 1 - Drive",'Results ASCE 7-16'!G16,IF($F$9="Zone 1",'Results ASCE 7-16'!G66,IF($F$9="Zone 2",'Results ASCE 7-16'!G114,IF($F$9="Zone 3",'Results ASCE 7-16'!R16,IF($F$9="Zone 4",'Results ASCE 7-16'!R66,IF($F$9="Zone 5",'Results ASCE 7-16'!R114," ")))))))/1000</f>
        <v>0</v>
      </c>
      <c r="S39" s="417" t="e">
        <f>((IF($F$9="Zone 1 - Drive",'Results ASCE 7-16'!H16,IF($F$9="Zone 1",'Results ASCE 7-16'!H66,IF($F$9="Zone 2",'Results ASCE 7-16'!H114,IF($F$9="Zone 3",'Results ASCE 7-16'!S16,IF($F$9="Zone 4",'Results ASCE 7-16'!S66,IF($F$9="Zone 5",'Results ASCE 7-16'!S114," ")))))))/1000)-(R39)*$C$29</f>
        <v>#VALUE!</v>
      </c>
      <c r="T39" s="417" t="e">
        <f ca="1">(IF($F$9="Zone 1 - Drive",'Results ASCE 7-16'!I16,IF($F$9="Zone 1",'Results ASCE 7-16'!I66,IF($F$9="Zone 2",'Results ASCE 7-16'!I114,IF($F$9="Zone 3",'Results ASCE 7-16'!T16,IF($F$9="Zone 4",'Results ASCE 7-16'!T66,IF($F$9="Zone 5",'Results ASCE 7-16'!T114," "))))))/1000)-P39*$C$29</f>
        <v>#VALUE!</v>
      </c>
      <c r="U39" s="418" t="e">
        <f t="shared" ca="1" si="0"/>
        <v>#VALUE!</v>
      </c>
    </row>
    <row r="40" spans="1:21" x14ac:dyDescent="0.25">
      <c r="B40" s="413" t="s">
        <v>981</v>
      </c>
      <c r="M40" s="359">
        <v>5</v>
      </c>
      <c r="N40" s="360" t="s">
        <v>871</v>
      </c>
      <c r="O40" s="209" t="s">
        <v>807</v>
      </c>
      <c r="P40" s="417" t="e">
        <f>IF($F$9="Zone 1 - Drive",'Results ASCE 7-16'!E17,IF($F$9="Zone 1",'Results ASCE 7-16'!E67,IF($F$9="Zone 2",'Results ASCE 7-16'!E115,IF($F$9="Zone 3",'Results ASCE 7-16'!P17,IF($F$9="Zone 4",'Results ASCE 7-16'!P67,IF($F$9="Zone 5",'Results ASCE 7-16'!P115," "))))))/1000</f>
        <v>#VALUE!</v>
      </c>
      <c r="Q40" s="417" t="e">
        <f>IF($F$9="Zone 1 - Drive",'Results ASCE 7-16'!F17,IF($F$9="Zone 1",'Results ASCE 7-16'!F67,IF($F$9="Zone 2",'Results ASCE 7-16'!F115,IF($F$9="Zone 3",'Results ASCE 7-16'!Q17,IF($F$9="Zone 4",'Results ASCE 7-16'!Q67,IF($F$9="Zone 5",'Results ASCE 7-16'!Q115," "))))))/1000</f>
        <v>#VALUE!</v>
      </c>
      <c r="R40" s="417">
        <f>(IF($F$9="Zone 1 - Drive",'Results ASCE 7-16'!G17,IF($F$9="Zone 1",'Results ASCE 7-16'!G67,IF($F$9="Zone 2",'Results ASCE 7-16'!G115,IF($F$9="Zone 3",'Results ASCE 7-16'!R17,IF($F$9="Zone 4",'Results ASCE 7-16'!R67,IF($F$9="Zone 5",'Results ASCE 7-16'!R115," ")))))))/1000</f>
        <v>0</v>
      </c>
      <c r="S40" s="417" t="e">
        <f>((IF($F$9="Zone 1 - Drive",'Results ASCE 7-16'!H17,IF($F$9="Zone 1",'Results ASCE 7-16'!H67,IF($F$9="Zone 2",'Results ASCE 7-16'!H115,IF($F$9="Zone 3",'Results ASCE 7-16'!S17,IF($F$9="Zone 4",'Results ASCE 7-16'!S67,IF($F$9="Zone 5",'Results ASCE 7-16'!S115," ")))))))/1000)-(R40)*$C$29</f>
        <v>#VALUE!</v>
      </c>
      <c r="T40" s="417" t="e">
        <f>(IF($F$9="Zone 1 - Drive",'Results ASCE 7-16'!I17,IF($F$9="Zone 1",'Results ASCE 7-16'!I67,IF($F$9="Zone 2",'Results ASCE 7-16'!I115,IF($F$9="Zone 3",'Results ASCE 7-16'!T17,IF($F$9="Zone 4",'Results ASCE 7-16'!T67,IF($F$9="Zone 5",'Results ASCE 7-16'!T115," "))))))/1000)-P40*$C$29</f>
        <v>#VALUE!</v>
      </c>
      <c r="U40" s="418" t="e">
        <f t="shared" si="0"/>
        <v>#VALUE!</v>
      </c>
    </row>
    <row r="41" spans="1:21" x14ac:dyDescent="0.25">
      <c r="B41" t="s">
        <v>970</v>
      </c>
      <c r="C41">
        <f>C34</f>
        <v>12.9295010845987</v>
      </c>
      <c r="M41" s="359">
        <v>6</v>
      </c>
      <c r="N41" s="360" t="s">
        <v>872</v>
      </c>
      <c r="O41" s="209" t="s">
        <v>807</v>
      </c>
      <c r="P41" s="417" t="e">
        <f>IF($F$9="Zone 1 - Drive",'Results ASCE 7-16'!E18,IF($F$9="Zone 1",'Results ASCE 7-16'!E68,IF($F$9="Zone 2",'Results ASCE 7-16'!E116,IF($F$9="Zone 3",'Results ASCE 7-16'!P18,IF($F$9="Zone 4",'Results ASCE 7-16'!P68,IF($F$9="Zone 5",'Results ASCE 7-16'!P116," "))))))/1000</f>
        <v>#VALUE!</v>
      </c>
      <c r="Q41" s="417" t="e">
        <f>IF($F$9="Zone 1 - Drive",'Results ASCE 7-16'!F18,IF($F$9="Zone 1",'Results ASCE 7-16'!F68,IF($F$9="Zone 2",'Results ASCE 7-16'!F116,IF($F$9="Zone 3",'Results ASCE 7-16'!Q18,IF($F$9="Zone 4",'Results ASCE 7-16'!Q68,IF($F$9="Zone 5",'Results ASCE 7-16'!Q116," "))))))/1000</f>
        <v>#VALUE!</v>
      </c>
      <c r="R41" s="417">
        <f>(IF($F$9="Zone 1 - Drive",'Results ASCE 7-16'!G18,IF($F$9="Zone 1",'Results ASCE 7-16'!G68,IF($F$9="Zone 2",'Results ASCE 7-16'!G116,IF($F$9="Zone 3",'Results ASCE 7-16'!R18,IF($F$9="Zone 4",'Results ASCE 7-16'!R68,IF($F$9="Zone 5",'Results ASCE 7-16'!R116," ")))))))/1000</f>
        <v>0</v>
      </c>
      <c r="S41" s="417" t="e">
        <f>((IF($F$9="Zone 1 - Drive",'Results ASCE 7-16'!H18,IF($F$9="Zone 1",'Results ASCE 7-16'!H68,IF($F$9="Zone 2",'Results ASCE 7-16'!H116,IF($F$9="Zone 3",'Results ASCE 7-16'!S18,IF($F$9="Zone 4",'Results ASCE 7-16'!S68,IF($F$9="Zone 5",'Results ASCE 7-16'!S116," ")))))))/1000)-(R41)*$C$29</f>
        <v>#VALUE!</v>
      </c>
      <c r="T41" s="417" t="e">
        <f>(IF($F$9="Zone 1 - Drive",'Results ASCE 7-16'!I18,IF($F$9="Zone 1",'Results ASCE 7-16'!I68,IF($F$9="Zone 2",'Results ASCE 7-16'!I116,IF($F$9="Zone 3",'Results ASCE 7-16'!T18,IF($F$9="Zone 4",'Results ASCE 7-16'!T68,IF($F$9="Zone 5",'Results ASCE 7-16'!T116," "))))))/1000)-P41*$C$29</f>
        <v>#VALUE!</v>
      </c>
      <c r="U41" s="418" t="e">
        <f t="shared" si="0"/>
        <v>#VALUE!</v>
      </c>
    </row>
    <row r="42" spans="1:21" x14ac:dyDescent="0.25">
      <c r="A42" t="s">
        <v>982</v>
      </c>
      <c r="B42" t="s">
        <v>983</v>
      </c>
      <c r="C42">
        <f>0.38*SQRT(E/Fy)</f>
        <v>8.0264945888361119</v>
      </c>
      <c r="D42" t="str">
        <f>IF(C41&lt;=C42,"Compact",IF(C41&gt;C43," ","Non-Compact"))</f>
        <v>Non-Compact</v>
      </c>
      <c r="M42" s="359">
        <v>7</v>
      </c>
      <c r="N42" s="360" t="s">
        <v>873</v>
      </c>
      <c r="O42" s="209" t="s">
        <v>807</v>
      </c>
      <c r="P42" s="417" t="e">
        <f ca="1">IF($F$9="Zone 1 - Drive",'Results ASCE 7-16'!E19,IF($F$9="Zone 1",'Results ASCE 7-16'!E69,IF($F$9="Zone 2",'Results ASCE 7-16'!E117,IF($F$9="Zone 3",'Results ASCE 7-16'!P19,IF($F$9="Zone 4",'Results ASCE 7-16'!P69,IF($F$9="Zone 5",'Results ASCE 7-16'!P117," "))))))/1000</f>
        <v>#VALUE!</v>
      </c>
      <c r="Q42" s="417" t="e">
        <f ca="1">IF($F$9="Zone 1 - Drive",'Results ASCE 7-16'!F19,IF($F$9="Zone 1",'Results ASCE 7-16'!F69,IF($F$9="Zone 2",'Results ASCE 7-16'!F117,IF($F$9="Zone 3",'Results ASCE 7-16'!Q19,IF($F$9="Zone 4",'Results ASCE 7-16'!Q69,IF($F$9="Zone 5",'Results ASCE 7-16'!Q117," "))))))/1000</f>
        <v>#VALUE!</v>
      </c>
      <c r="R42" s="417">
        <f>(IF($F$9="Zone 1 - Drive",'Results ASCE 7-16'!G19,IF($F$9="Zone 1",'Results ASCE 7-16'!G69,IF($F$9="Zone 2",'Results ASCE 7-16'!G117,IF($F$9="Zone 3",'Results ASCE 7-16'!R19,IF($F$9="Zone 4",'Results ASCE 7-16'!R69,IF($F$9="Zone 5",'Results ASCE 7-16'!R117," ")))))))/1000</f>
        <v>0</v>
      </c>
      <c r="S42" s="417" t="e">
        <f>((IF($F$9="Zone 1 - Drive",'Results ASCE 7-16'!H19,IF($F$9="Zone 1",'Results ASCE 7-16'!H69,IF($F$9="Zone 2",'Results ASCE 7-16'!H117,IF($F$9="Zone 3",'Results ASCE 7-16'!S19,IF($F$9="Zone 4",'Results ASCE 7-16'!S69,IF($F$9="Zone 5",'Results ASCE 7-16'!S117," ")))))))/1000)-(R42)*$C$29</f>
        <v>#VALUE!</v>
      </c>
      <c r="T42" s="417" t="e">
        <f ca="1">(IF($F$9="Zone 1 - Drive",'Results ASCE 7-16'!I19,IF($F$9="Zone 1",'Results ASCE 7-16'!I69,IF($F$9="Zone 2",'Results ASCE 7-16'!I117,IF($F$9="Zone 3",'Results ASCE 7-16'!T19,IF($F$9="Zone 4",'Results ASCE 7-16'!T69,IF($F$9="Zone 5",'Results ASCE 7-16'!T117," "))))))/1000)-P42*$C$29</f>
        <v>#VALUE!</v>
      </c>
      <c r="U42" s="418" t="e">
        <f t="shared" ca="1" si="0"/>
        <v>#VALUE!</v>
      </c>
    </row>
    <row r="43" spans="1:21" x14ac:dyDescent="0.25">
      <c r="A43" t="s">
        <v>984</v>
      </c>
      <c r="B43" t="s">
        <v>985</v>
      </c>
      <c r="C43">
        <f>1*SQRT(E/Fy)</f>
        <v>21.122354181147664</v>
      </c>
      <c r="D43" t="str">
        <f>IF(C41&gt;=C43,"Slender"," ")</f>
        <v xml:space="preserve"> </v>
      </c>
      <c r="M43" s="359">
        <v>8</v>
      </c>
      <c r="N43" s="360" t="s">
        <v>874</v>
      </c>
      <c r="O43" s="209" t="s">
        <v>807</v>
      </c>
      <c r="P43" s="417" t="e">
        <f ca="1">IF($F$9="Zone 1 - Drive",'Results ASCE 7-16'!E20,IF($F$9="Zone 1",'Results ASCE 7-16'!E70,IF($F$9="Zone 2",'Results ASCE 7-16'!E118,IF($F$9="Zone 3",'Results ASCE 7-16'!P20,IF($F$9="Zone 4",'Results ASCE 7-16'!P70,IF($F$9="Zone 5",'Results ASCE 7-16'!P118," "))))))/1000</f>
        <v>#VALUE!</v>
      </c>
      <c r="Q43" s="417" t="e">
        <f ca="1">IF($F$9="Zone 1 - Drive",'Results ASCE 7-16'!F20,IF($F$9="Zone 1",'Results ASCE 7-16'!F70,IF($F$9="Zone 2",'Results ASCE 7-16'!F118,IF($F$9="Zone 3",'Results ASCE 7-16'!Q20,IF($F$9="Zone 4",'Results ASCE 7-16'!Q70,IF($F$9="Zone 5",'Results ASCE 7-16'!Q118," "))))))/1000</f>
        <v>#VALUE!</v>
      </c>
      <c r="R43" s="417">
        <f>(IF($F$9="Zone 1 - Drive",'Results ASCE 7-16'!G20,IF($F$9="Zone 1",'Results ASCE 7-16'!G70,IF($F$9="Zone 2",'Results ASCE 7-16'!G118,IF($F$9="Zone 3",'Results ASCE 7-16'!R20,IF($F$9="Zone 4",'Results ASCE 7-16'!R70,IF($F$9="Zone 5",'Results ASCE 7-16'!R118," ")))))))/1000</f>
        <v>0</v>
      </c>
      <c r="S43" s="417" t="e">
        <f>((IF($F$9="Zone 1 - Drive",'Results ASCE 7-16'!H20,IF($F$9="Zone 1",'Results ASCE 7-16'!H70,IF($F$9="Zone 2",'Results ASCE 7-16'!H118,IF($F$9="Zone 3",'Results ASCE 7-16'!S20,IF($F$9="Zone 4",'Results ASCE 7-16'!S70,IF($F$9="Zone 5",'Results ASCE 7-16'!S118," ")))))))/1000)-(R43)*$C$29</f>
        <v>#VALUE!</v>
      </c>
      <c r="T43" s="417" t="e">
        <f ca="1">(IF($F$9="Zone 1 - Drive",'Results ASCE 7-16'!I20,IF($F$9="Zone 1",'Results ASCE 7-16'!I70,IF($F$9="Zone 2",'Results ASCE 7-16'!I118,IF($F$9="Zone 3",'Results ASCE 7-16'!T20,IF($F$9="Zone 4",'Results ASCE 7-16'!T70,IF($F$9="Zone 5",'Results ASCE 7-16'!T118," "))))))/1000)-P43*$C$29</f>
        <v>#VALUE!</v>
      </c>
      <c r="U43" s="418" t="e">
        <f t="shared" ca="1" si="0"/>
        <v>#VALUE!</v>
      </c>
    </row>
    <row r="44" spans="1:21" x14ac:dyDescent="0.25">
      <c r="B44" t="s">
        <v>896</v>
      </c>
      <c r="C44">
        <f>C37</f>
        <v>27.428927680798004</v>
      </c>
      <c r="M44" s="359">
        <v>9</v>
      </c>
      <c r="N44" s="360" t="s">
        <v>851</v>
      </c>
      <c r="O44" s="209" t="s">
        <v>807</v>
      </c>
      <c r="P44" s="417" t="e">
        <f ca="1">IF($F$9="Zone 1 - Drive",'Results ASCE 7-16'!E21,IF($F$9="Zone 1",'Results ASCE 7-16'!E71,IF($F$9="Zone 2",'Results ASCE 7-16'!E119,IF($F$9="Zone 3",'Results ASCE 7-16'!P21,IF($F$9="Zone 4",'Results ASCE 7-16'!P71,IF($F$9="Zone 5",'Results ASCE 7-16'!P119," "))))))/1000</f>
        <v>#VALUE!</v>
      </c>
      <c r="Q44" s="417" t="e">
        <f ca="1">IF($F$9="Zone 1 - Drive",'Results ASCE 7-16'!F21,IF($F$9="Zone 1",'Results ASCE 7-16'!F71,IF($F$9="Zone 2",'Results ASCE 7-16'!F119,IF($F$9="Zone 3",'Results ASCE 7-16'!Q21,IF($F$9="Zone 4",'Results ASCE 7-16'!Q71,IF($F$9="Zone 5",'Results ASCE 7-16'!Q119," "))))))/1000</f>
        <v>#VALUE!</v>
      </c>
      <c r="R44" s="417">
        <f>(IF($F$9="Zone 1 - Drive",'Results ASCE 7-16'!G21,IF($F$9="Zone 1",'Results ASCE 7-16'!G71,IF($F$9="Zone 2",'Results ASCE 7-16'!G119,IF($F$9="Zone 3",'Results ASCE 7-16'!R21,IF($F$9="Zone 4",'Results ASCE 7-16'!R71,IF($F$9="Zone 5",'Results ASCE 7-16'!R119," ")))))))/1000</f>
        <v>0</v>
      </c>
      <c r="S44" s="417" t="e">
        <f>((IF($F$9="Zone 1 - Drive",'Results ASCE 7-16'!H21,IF($F$9="Zone 1",'Results ASCE 7-16'!H71,IF($F$9="Zone 2",'Results ASCE 7-16'!H119,IF($F$9="Zone 3",'Results ASCE 7-16'!S21,IF($F$9="Zone 4",'Results ASCE 7-16'!S71,IF($F$9="Zone 5",'Results ASCE 7-16'!S119," ")))))))/1000)-(R44)*$C$29</f>
        <v>#VALUE!</v>
      </c>
      <c r="T44" s="417" t="e">
        <f ca="1">(IF($F$9="Zone 1 - Drive",'Results ASCE 7-16'!I21,IF($F$9="Zone 1",'Results ASCE 7-16'!I71,IF($F$9="Zone 2",'Results ASCE 7-16'!I119,IF($F$9="Zone 3",'Results ASCE 7-16'!T21,IF($F$9="Zone 4",'Results ASCE 7-16'!T71,IF($F$9="Zone 5",'Results ASCE 7-16'!T119," "))))))/1000)-P44*$C$29</f>
        <v>#VALUE!</v>
      </c>
      <c r="U44" s="418" t="e">
        <f t="shared" ca="1" si="0"/>
        <v>#VALUE!</v>
      </c>
    </row>
    <row r="45" spans="1:21" x14ac:dyDescent="0.25">
      <c r="A45" t="s">
        <v>982</v>
      </c>
      <c r="B45" t="s">
        <v>986</v>
      </c>
      <c r="C45">
        <f>3.76*SQRT(E/Fy)</f>
        <v>79.420051721115215</v>
      </c>
      <c r="D45" t="str">
        <f>IF(C44&lt;=C45,"Compact",IF(C44&gt;C46," ","Non-Compact"))</f>
        <v>Compact</v>
      </c>
      <c r="M45" s="359">
        <v>10</v>
      </c>
      <c r="N45" s="360" t="s">
        <v>852</v>
      </c>
      <c r="O45" s="209" t="s">
        <v>807</v>
      </c>
      <c r="P45" s="417" t="e">
        <f ca="1">IF($F$9="Zone 1 - Drive",'Results ASCE 7-16'!E22,IF($F$9="Zone 1",'Results ASCE 7-16'!E72,IF($F$9="Zone 2",'Results ASCE 7-16'!E120,IF($F$9="Zone 3",'Results ASCE 7-16'!P22,IF($F$9="Zone 4",'Results ASCE 7-16'!P72,IF($F$9="Zone 5",'Results ASCE 7-16'!P120," "))))))/1000</f>
        <v>#VALUE!</v>
      </c>
      <c r="Q45" s="417" t="e">
        <f ca="1">IF($F$9="Zone 1 - Drive",'Results ASCE 7-16'!F22,IF($F$9="Zone 1",'Results ASCE 7-16'!F72,IF($F$9="Zone 2",'Results ASCE 7-16'!F120,IF($F$9="Zone 3",'Results ASCE 7-16'!Q22,IF($F$9="Zone 4",'Results ASCE 7-16'!Q72,IF($F$9="Zone 5",'Results ASCE 7-16'!Q120," "))))))/1000</f>
        <v>#VALUE!</v>
      </c>
      <c r="R45" s="417">
        <f>(IF($F$9="Zone 1 - Drive",'Results ASCE 7-16'!G22,IF($F$9="Zone 1",'Results ASCE 7-16'!G72,IF($F$9="Zone 2",'Results ASCE 7-16'!G120,IF($F$9="Zone 3",'Results ASCE 7-16'!R22,IF($F$9="Zone 4",'Results ASCE 7-16'!R72,IF($F$9="Zone 5",'Results ASCE 7-16'!R120," ")))))))/1000</f>
        <v>0</v>
      </c>
      <c r="S45" s="417" t="e">
        <f>((IF($F$9="Zone 1 - Drive",'Results ASCE 7-16'!H22,IF($F$9="Zone 1",'Results ASCE 7-16'!H72,IF($F$9="Zone 2",'Results ASCE 7-16'!H120,IF($F$9="Zone 3",'Results ASCE 7-16'!S22,IF($F$9="Zone 4",'Results ASCE 7-16'!S72,IF($F$9="Zone 5",'Results ASCE 7-16'!S120," ")))))))/1000)-(R45)*$C$29</f>
        <v>#VALUE!</v>
      </c>
      <c r="T45" s="417" t="e">
        <f ca="1">(IF($F$9="Zone 1 - Drive",'Results ASCE 7-16'!I22,IF($F$9="Zone 1",'Results ASCE 7-16'!I72,IF($F$9="Zone 2",'Results ASCE 7-16'!I120,IF($F$9="Zone 3",'Results ASCE 7-16'!T22,IF($F$9="Zone 4",'Results ASCE 7-16'!T72,IF($F$9="Zone 5",'Results ASCE 7-16'!T120," "))))))/1000)-P45*$C$29</f>
        <v>#VALUE!</v>
      </c>
      <c r="U45" s="418" t="e">
        <f t="shared" ca="1" si="0"/>
        <v>#VALUE!</v>
      </c>
    </row>
    <row r="46" spans="1:21" x14ac:dyDescent="0.25">
      <c r="A46" t="s">
        <v>984</v>
      </c>
      <c r="B46" t="s">
        <v>987</v>
      </c>
      <c r="C46">
        <f>5.7*SQRT(E/Fy)</f>
        <v>120.39741883254169</v>
      </c>
      <c r="M46" s="359">
        <v>11</v>
      </c>
      <c r="N46" s="360" t="s">
        <v>988</v>
      </c>
      <c r="O46" s="209" t="s">
        <v>807</v>
      </c>
      <c r="P46" s="417">
        <f>IF($F$9="Zone 1 - Drive",'Results ASCE 7-16'!E23,IF($F$9="Zone 1",'Results ASCE 7-16'!E73,IF($F$9="Zone 2",'Results ASCE 7-16'!E121,IF($F$9="Zone 3",'Results ASCE 7-16'!P23,IF($F$9="Zone 4",'Results ASCE 7-16'!P73,IF($F$9="Zone 5",'Results ASCE 7-16'!P121," "))))))/1000</f>
        <v>0</v>
      </c>
      <c r="Q46" s="417">
        <f>IF($F$9="Zone 1 - Drive",'Results ASCE 7-16'!F23,IF($F$9="Zone 1",'Results ASCE 7-16'!F73,IF($F$9="Zone 2",'Results ASCE 7-16'!F121,IF($F$9="Zone 3",'Results ASCE 7-16'!Q23,IF($F$9="Zone 4",'Results ASCE 7-16'!Q73,IF($F$9="Zone 5",'Results ASCE 7-16'!Q121," "))))))/1000</f>
        <v>0</v>
      </c>
      <c r="R46" s="417">
        <f>(IF($F$9="Zone 1 - Drive",'Results ASCE 7-16'!G23,IF($F$9="Zone 1",'Results ASCE 7-16'!G73,IF($F$9="Zone 2",'Results ASCE 7-16'!G121,IF($F$9="Zone 3",'Results ASCE 7-16'!R23,IF($F$9="Zone 4",'Results ASCE 7-16'!R73,IF($F$9="Zone 5",'Results ASCE 7-16'!R121," ")))))))/1000</f>
        <v>0</v>
      </c>
      <c r="S46" s="417" t="e">
        <f>((IF($F$9="Zone 1 - Drive",'Results ASCE 7-16'!H23,IF($F$9="Zone 1",'Results ASCE 7-16'!H73,IF($F$9="Zone 2",'Results ASCE 7-16'!H121,IF($F$9="Zone 3",'Results ASCE 7-16'!S23,IF($F$9="Zone 4",'Results ASCE 7-16'!S73,IF($F$9="Zone 5",'Results ASCE 7-16'!S121," ")))))))/1000)-(R46)*$C$29</f>
        <v>#VALUE!</v>
      </c>
      <c r="T46" s="417" t="e">
        <f>(IF($F$9="Zone 1 - Drive",'Results ASCE 7-16'!I23,IF($F$9="Zone 1",'Results ASCE 7-16'!I73,IF($F$9="Zone 2",'Results ASCE 7-16'!I121,IF($F$9="Zone 3",'Results ASCE 7-16'!T23,IF($F$9="Zone 4",'Results ASCE 7-16'!T73,IF($F$9="Zone 5",'Results ASCE 7-16'!T121," "))))))/1000)-P46*$C$29</f>
        <v>#VALUE!</v>
      </c>
      <c r="U46" s="418" t="e">
        <f t="shared" si="0"/>
        <v>#VALUE!</v>
      </c>
    </row>
    <row r="47" spans="1:21" x14ac:dyDescent="0.25">
      <c r="M47" s="359">
        <v>12</v>
      </c>
      <c r="N47" s="360" t="s">
        <v>989</v>
      </c>
      <c r="O47" s="209" t="s">
        <v>807</v>
      </c>
      <c r="P47" s="417">
        <f>IF($F$9="Zone 1 - Drive",'Results ASCE 7-16'!E24,IF($F$9="Zone 1",'Results ASCE 7-16'!E74,IF($F$9="Zone 2",'Results ASCE 7-16'!E122,IF($F$9="Zone 3",'Results ASCE 7-16'!P24,IF($F$9="Zone 4",'Results ASCE 7-16'!P74,IF($F$9="Zone 5",'Results ASCE 7-16'!P122," "))))))/1000</f>
        <v>0</v>
      </c>
      <c r="Q47" s="417">
        <f>IF($F$9="Zone 1 - Drive",'Results ASCE 7-16'!F24,IF($F$9="Zone 1",'Results ASCE 7-16'!F74,IF($F$9="Zone 2",'Results ASCE 7-16'!F122,IF($F$9="Zone 3",'Results ASCE 7-16'!Q24,IF($F$9="Zone 4",'Results ASCE 7-16'!Q74,IF($F$9="Zone 5",'Results ASCE 7-16'!Q122," "))))))/1000</f>
        <v>0</v>
      </c>
      <c r="R47" s="417">
        <f>(IF($F$9="Zone 1 - Drive",'Results ASCE 7-16'!G24,IF($F$9="Zone 1",'Results ASCE 7-16'!G74,IF($F$9="Zone 2",'Results ASCE 7-16'!G122,IF($F$9="Zone 3",'Results ASCE 7-16'!R24,IF($F$9="Zone 4",'Results ASCE 7-16'!R74,IF($F$9="Zone 5",'Results ASCE 7-16'!R122," ")))))))/1000</f>
        <v>0</v>
      </c>
      <c r="S47" s="417" t="e">
        <f>((IF($F$9="Zone 1 - Drive",'Results ASCE 7-16'!H24,IF($F$9="Zone 1",'Results ASCE 7-16'!H74,IF($F$9="Zone 2",'Results ASCE 7-16'!H122,IF($F$9="Zone 3",'Results ASCE 7-16'!S24,IF($F$9="Zone 4",'Results ASCE 7-16'!S74,IF($F$9="Zone 5",'Results ASCE 7-16'!S122," ")))))))/1000)-(R47)*$C$29</f>
        <v>#VALUE!</v>
      </c>
      <c r="T47" s="417" t="e">
        <f>(IF($F$9="Zone 1 - Drive",'Results ASCE 7-16'!I24,IF($F$9="Zone 1",'Results ASCE 7-16'!I74,IF($F$9="Zone 2",'Results ASCE 7-16'!I122,IF($F$9="Zone 3",'Results ASCE 7-16'!T24,IF($F$9="Zone 4",'Results ASCE 7-16'!T74,IF($F$9="Zone 5",'Results ASCE 7-16'!T122," "))))))/1000)-P47*$C$29</f>
        <v>#VALUE!</v>
      </c>
      <c r="U47" s="418" t="e">
        <f t="shared" si="0"/>
        <v>#VALUE!</v>
      </c>
    </row>
    <row r="48" spans="1:21" x14ac:dyDescent="0.25">
      <c r="A48" s="419" t="s">
        <v>990</v>
      </c>
      <c r="M48" s="359">
        <v>13</v>
      </c>
      <c r="N48" s="360" t="s">
        <v>991</v>
      </c>
      <c r="O48" s="209" t="s">
        <v>807</v>
      </c>
      <c r="P48" s="417">
        <f>IF($F$9="Zone 1 - Drive",'Results ASCE 7-16'!E25,IF($F$9="Zone 1",'Results ASCE 7-16'!E75,IF($F$9="Zone 2",'Results ASCE 7-16'!E123,IF($F$9="Zone 3",'Results ASCE 7-16'!P25,IF($F$9="Zone 4",'Results ASCE 7-16'!P75,IF($F$9="Zone 5",'Results ASCE 7-16'!P123," "))))))/1000</f>
        <v>0</v>
      </c>
      <c r="Q48" s="417">
        <f>IF($F$9="Zone 1 - Drive",'Results ASCE 7-16'!F25,IF($F$9="Zone 1",'Results ASCE 7-16'!F75,IF($F$9="Zone 2",'Results ASCE 7-16'!F123,IF($F$9="Zone 3",'Results ASCE 7-16'!Q25,IF($F$9="Zone 4",'Results ASCE 7-16'!Q75,IF($F$9="Zone 5",'Results ASCE 7-16'!Q123," "))))))/1000</f>
        <v>0</v>
      </c>
      <c r="R48" s="417">
        <f>(IF($F$9="Zone 1 - Drive",'Results ASCE 7-16'!G25,IF($F$9="Zone 1",'Results ASCE 7-16'!G75,IF($F$9="Zone 2",'Results ASCE 7-16'!G123,IF($F$9="Zone 3",'Results ASCE 7-16'!R25,IF($F$9="Zone 4",'Results ASCE 7-16'!R75,IF($F$9="Zone 5",'Results ASCE 7-16'!R123," ")))))))/1000</f>
        <v>0</v>
      </c>
      <c r="S48" s="417" t="e">
        <f>((IF($F$9="Zone 1 - Drive",'Results ASCE 7-16'!H25,IF($F$9="Zone 1",'Results ASCE 7-16'!H75,IF($F$9="Zone 2",'Results ASCE 7-16'!H123,IF($F$9="Zone 3",'Results ASCE 7-16'!S25,IF($F$9="Zone 4",'Results ASCE 7-16'!S75,IF($F$9="Zone 5",'Results ASCE 7-16'!S123," ")))))))/1000)-(R48)*$C$29</f>
        <v>#VALUE!</v>
      </c>
      <c r="T48" s="417" t="e">
        <f>(IF($F$9="Zone 1 - Drive",'Results ASCE 7-16'!I25,IF($F$9="Zone 1",'Results ASCE 7-16'!I75,IF($F$9="Zone 2",'Results ASCE 7-16'!I123,IF($F$9="Zone 3",'Results ASCE 7-16'!T25,IF($F$9="Zone 4",'Results ASCE 7-16'!T75,IF($F$9="Zone 5",'Results ASCE 7-16'!T123," "))))))/1000)-P48*$C$29</f>
        <v>#VALUE!</v>
      </c>
      <c r="U48" s="418" t="e">
        <f t="shared" si="0"/>
        <v>#VALUE!</v>
      </c>
    </row>
    <row r="49" spans="1:21" x14ac:dyDescent="0.25">
      <c r="A49" s="419" t="s">
        <v>992</v>
      </c>
      <c r="B49" t="s">
        <v>993</v>
      </c>
      <c r="C49">
        <v>2.1</v>
      </c>
      <c r="M49" s="359">
        <v>14</v>
      </c>
      <c r="N49" s="360" t="s">
        <v>994</v>
      </c>
      <c r="O49" s="209" t="s">
        <v>807</v>
      </c>
      <c r="P49" s="417">
        <f>IF($F$9="Zone 1 - Drive",'Results ASCE 7-16'!E26,IF($F$9="Zone 1",'Results ASCE 7-16'!E76,IF($F$9="Zone 2",'Results ASCE 7-16'!E124,IF($F$9="Zone 3",'Results ASCE 7-16'!P26,IF($F$9="Zone 4",'Results ASCE 7-16'!P76,IF($F$9="Zone 5",'Results ASCE 7-16'!P124," "))))))/1000</f>
        <v>0</v>
      </c>
      <c r="Q49" s="417">
        <f>IF($F$9="Zone 1 - Drive",'Results ASCE 7-16'!F26,IF($F$9="Zone 1",'Results ASCE 7-16'!F76,IF($F$9="Zone 2",'Results ASCE 7-16'!F124,IF($F$9="Zone 3",'Results ASCE 7-16'!Q26,IF($F$9="Zone 4",'Results ASCE 7-16'!Q76,IF($F$9="Zone 5",'Results ASCE 7-16'!Q124," "))))))/1000</f>
        <v>0</v>
      </c>
      <c r="R49" s="417">
        <f>(IF($F$9="Zone 1 - Drive",'Results ASCE 7-16'!G26,IF($F$9="Zone 1",'Results ASCE 7-16'!G76,IF($F$9="Zone 2",'Results ASCE 7-16'!G124,IF($F$9="Zone 3",'Results ASCE 7-16'!R26,IF($F$9="Zone 4",'Results ASCE 7-16'!R76,IF($F$9="Zone 5",'Results ASCE 7-16'!R124," ")))))))/1000</f>
        <v>0</v>
      </c>
      <c r="S49" s="417" t="e">
        <f>((IF($F$9="Zone 1 - Drive",'Results ASCE 7-16'!H26,IF($F$9="Zone 1",'Results ASCE 7-16'!H76,IF($F$9="Zone 2",'Results ASCE 7-16'!H124,IF($F$9="Zone 3",'Results ASCE 7-16'!S26,IF($F$9="Zone 4",'Results ASCE 7-16'!S76,IF($F$9="Zone 5",'Results ASCE 7-16'!S124," ")))))))/1000)-(R49)*$C$29</f>
        <v>#VALUE!</v>
      </c>
      <c r="T49" s="417" t="e">
        <f>(IF($F$9="Zone 1 - Drive",'Results ASCE 7-16'!I26,IF($F$9="Zone 1",'Results ASCE 7-16'!I76,IF($F$9="Zone 2",'Results ASCE 7-16'!I124,IF($F$9="Zone 3",'Results ASCE 7-16'!T26,IF($F$9="Zone 4",'Results ASCE 7-16'!T76,IF($F$9="Zone 5",'Results ASCE 7-16'!T124," "))))))/1000)-P49*$C$29</f>
        <v>#VALUE!</v>
      </c>
      <c r="U49" s="418" t="e">
        <f t="shared" si="0"/>
        <v>#VALUE!</v>
      </c>
    </row>
    <row r="50" spans="1:21" x14ac:dyDescent="0.25">
      <c r="M50" s="359">
        <v>15</v>
      </c>
      <c r="N50" s="360" t="s">
        <v>995</v>
      </c>
      <c r="O50" s="209" t="s">
        <v>807</v>
      </c>
      <c r="P50" s="417">
        <f>IF($F$9="Zone 1 - Drive",'Results ASCE 7-16'!E27,IF($F$9="Zone 1",'Results ASCE 7-16'!E77,IF($F$9="Zone 2",'Results ASCE 7-16'!E125,IF($F$9="Zone 3",'Results ASCE 7-16'!P27,IF($F$9="Zone 4",'Results ASCE 7-16'!P77,IF($F$9="Zone 5",'Results ASCE 7-16'!P125," "))))))/1000</f>
        <v>0</v>
      </c>
      <c r="Q50" s="417">
        <f>IF($F$9="Zone 1 - Drive",'Results ASCE 7-16'!F27,IF($F$9="Zone 1",'Results ASCE 7-16'!F77,IF($F$9="Zone 2",'Results ASCE 7-16'!F125,IF($F$9="Zone 3",'Results ASCE 7-16'!Q27,IF($F$9="Zone 4",'Results ASCE 7-16'!Q77,IF($F$9="Zone 5",'Results ASCE 7-16'!Q125," "))))))/1000</f>
        <v>0</v>
      </c>
      <c r="R50" s="417">
        <f>(IF($F$9="Zone 1 - Drive",'Results ASCE 7-16'!G27,IF($F$9="Zone 1",'Results ASCE 7-16'!G77,IF($F$9="Zone 2",'Results ASCE 7-16'!G125,IF($F$9="Zone 3",'Results ASCE 7-16'!R27,IF($F$9="Zone 4",'Results ASCE 7-16'!R77,IF($F$9="Zone 5",'Results ASCE 7-16'!R125," ")))))))/1000</f>
        <v>0</v>
      </c>
      <c r="S50" s="417" t="e">
        <f>((IF($F$9="Zone 1 - Drive",'Results ASCE 7-16'!H27,IF($F$9="Zone 1",'Results ASCE 7-16'!H77,IF($F$9="Zone 2",'Results ASCE 7-16'!H125,IF($F$9="Zone 3",'Results ASCE 7-16'!S27,IF($F$9="Zone 4",'Results ASCE 7-16'!S77,IF($F$9="Zone 5",'Results ASCE 7-16'!S125," ")))))))/1000)-(R50)*$C$29</f>
        <v>#VALUE!</v>
      </c>
      <c r="T50" s="417" t="e">
        <f>(IF($F$9="Zone 1 - Drive",'Results ASCE 7-16'!I27,IF($F$9="Zone 1",'Results ASCE 7-16'!I77,IF($F$9="Zone 2",'Results ASCE 7-16'!I125,IF($F$9="Zone 3",'Results ASCE 7-16'!T27,IF($F$9="Zone 4",'Results ASCE 7-16'!T77,IF($F$9="Zone 5",'Results ASCE 7-16'!T125," "))))))/1000)-P50*$C$29</f>
        <v>#VALUE!</v>
      </c>
      <c r="U50" s="418" t="e">
        <f t="shared" si="0"/>
        <v>#VALUE!</v>
      </c>
    </row>
    <row r="51" spans="1:21" x14ac:dyDescent="0.25">
      <c r="B51" t="s">
        <v>996</v>
      </c>
      <c r="C51" s="2" t="e">
        <f>(K*E30)/rx</f>
        <v>#VALUE!</v>
      </c>
      <c r="M51" s="359">
        <v>16</v>
      </c>
      <c r="N51" s="360" t="s">
        <v>997</v>
      </c>
      <c r="O51" s="209" t="s">
        <v>807</v>
      </c>
      <c r="P51" s="417">
        <f>IF($F$9="Zone 1 - Drive",'Results ASCE 7-16'!E28,IF($F$9="Zone 1",'Results ASCE 7-16'!E78,IF($F$9="Zone 2",'Results ASCE 7-16'!E126,IF($F$9="Zone 3",'Results ASCE 7-16'!P28,IF($F$9="Zone 4",'Results ASCE 7-16'!P78,IF($F$9="Zone 5",'Results ASCE 7-16'!P126," "))))))/1000</f>
        <v>0</v>
      </c>
      <c r="Q51" s="417">
        <f>IF($F$9="Zone 1 - Drive",'Results ASCE 7-16'!F28,IF($F$9="Zone 1",'Results ASCE 7-16'!F78,IF($F$9="Zone 2",'Results ASCE 7-16'!F126,IF($F$9="Zone 3",'Results ASCE 7-16'!Q28,IF($F$9="Zone 4",'Results ASCE 7-16'!Q78,IF($F$9="Zone 5",'Results ASCE 7-16'!Q126," "))))))/1000</f>
        <v>0</v>
      </c>
      <c r="R51" s="417">
        <f>(IF($F$9="Zone 1 - Drive",'Results ASCE 7-16'!G28,IF($F$9="Zone 1",'Results ASCE 7-16'!G78,IF($F$9="Zone 2",'Results ASCE 7-16'!G126,IF($F$9="Zone 3",'Results ASCE 7-16'!R28,IF($F$9="Zone 4",'Results ASCE 7-16'!R78,IF($F$9="Zone 5",'Results ASCE 7-16'!R126," ")))))))/1000</f>
        <v>0</v>
      </c>
      <c r="S51" s="417" t="e">
        <f>((IF($F$9="Zone 1 - Drive",'Results ASCE 7-16'!H28,IF($F$9="Zone 1",'Results ASCE 7-16'!H78,IF($F$9="Zone 2",'Results ASCE 7-16'!H126,IF($F$9="Zone 3",'Results ASCE 7-16'!S28,IF($F$9="Zone 4",'Results ASCE 7-16'!S78,IF($F$9="Zone 5",'Results ASCE 7-16'!S126," ")))))))/1000)-(R51)*$C$29</f>
        <v>#VALUE!</v>
      </c>
      <c r="T51" s="417" t="e">
        <f>(IF($F$9="Zone 1 - Drive",'Results ASCE 7-16'!I28,IF($F$9="Zone 1",'Results ASCE 7-16'!I78,IF($F$9="Zone 2",'Results ASCE 7-16'!I126,IF($F$9="Zone 3",'Results ASCE 7-16'!T28,IF($F$9="Zone 4",'Results ASCE 7-16'!T78,IF($F$9="Zone 5",'Results ASCE 7-16'!T126," "))))))/1000)-P51*$C$29</f>
        <v>#VALUE!</v>
      </c>
      <c r="U51" s="418" t="e">
        <f t="shared" si="0"/>
        <v>#VALUE!</v>
      </c>
    </row>
    <row r="52" spans="1:21" x14ac:dyDescent="0.25">
      <c r="C52" s="2"/>
      <c r="M52" s="359">
        <v>17</v>
      </c>
      <c r="N52" s="360" t="s">
        <v>998</v>
      </c>
      <c r="O52" s="209" t="s">
        <v>807</v>
      </c>
      <c r="P52" s="417">
        <f>IF($F$9="Zone 1 - Drive",'Results ASCE 7-16'!E29,IF($F$9="Zone 1",'Results ASCE 7-16'!E79,IF($F$9="Zone 2",'Results ASCE 7-16'!E127,IF($F$9="Zone 3",'Results ASCE 7-16'!P29,IF($F$9="Zone 4",'Results ASCE 7-16'!P79,IF($F$9="Zone 5",'Results ASCE 7-16'!P127," "))))))/1000</f>
        <v>0</v>
      </c>
      <c r="Q52" s="417">
        <f>IF($F$9="Zone 1 - Drive",'Results ASCE 7-16'!F29,IF($F$9="Zone 1",'Results ASCE 7-16'!F79,IF($F$9="Zone 2",'Results ASCE 7-16'!F127,IF($F$9="Zone 3",'Results ASCE 7-16'!Q29,IF($F$9="Zone 4",'Results ASCE 7-16'!Q79,IF($F$9="Zone 5",'Results ASCE 7-16'!Q127," "))))))/1000</f>
        <v>0</v>
      </c>
      <c r="R52" s="417">
        <f>(IF($F$9="Zone 1 - Drive",'Results ASCE 7-16'!G29,IF($F$9="Zone 1",'Results ASCE 7-16'!G79,IF($F$9="Zone 2",'Results ASCE 7-16'!G127,IF($F$9="Zone 3",'Results ASCE 7-16'!R29,IF($F$9="Zone 4",'Results ASCE 7-16'!R79,IF($F$9="Zone 5",'Results ASCE 7-16'!R127," ")))))))/1000</f>
        <v>0</v>
      </c>
      <c r="S52" s="417" t="e">
        <f>((IF($F$9="Zone 1 - Drive",'Results ASCE 7-16'!H29,IF($F$9="Zone 1",'Results ASCE 7-16'!H79,IF($F$9="Zone 2",'Results ASCE 7-16'!H127,IF($F$9="Zone 3",'Results ASCE 7-16'!S29,IF($F$9="Zone 4",'Results ASCE 7-16'!S79,IF($F$9="Zone 5",'Results ASCE 7-16'!S127," ")))))))/1000)-(R52)*$C$29</f>
        <v>#VALUE!</v>
      </c>
      <c r="T52" s="417" t="e">
        <f>(IF($F$9="Zone 1 - Drive",'Results ASCE 7-16'!I29,IF($F$9="Zone 1",'Results ASCE 7-16'!I79,IF($F$9="Zone 2",'Results ASCE 7-16'!I127,IF($F$9="Zone 3",'Results ASCE 7-16'!T29,IF($F$9="Zone 4",'Results ASCE 7-16'!T79,IF($F$9="Zone 5",'Results ASCE 7-16'!T127," "))))))/1000)-P52*$C$29</f>
        <v>#VALUE!</v>
      </c>
      <c r="U52" s="418" t="e">
        <f t="shared" si="0"/>
        <v>#VALUE!</v>
      </c>
    </row>
    <row r="53" spans="1:21" x14ac:dyDescent="0.25">
      <c r="B53" t="s">
        <v>999</v>
      </c>
      <c r="C53" s="2" t="e">
        <f>(K*H30)/ry</f>
        <v>#VALUE!</v>
      </c>
      <c r="M53" s="359">
        <v>18</v>
      </c>
      <c r="N53" s="360" t="s">
        <v>1000</v>
      </c>
      <c r="O53" s="209" t="s">
        <v>807</v>
      </c>
      <c r="P53" s="417">
        <f>IF($F$9="Zone 1 - Drive",'Results ASCE 7-16'!E30,IF($F$9="Zone 1",'Results ASCE 7-16'!E80,IF($F$9="Zone 2",'Results ASCE 7-16'!E128,IF($F$9="Zone 3",'Results ASCE 7-16'!P30,IF($F$9="Zone 4",'Results ASCE 7-16'!P80,IF($F$9="Zone 5",'Results ASCE 7-16'!P128," "))))))/1000</f>
        <v>0</v>
      </c>
      <c r="Q53" s="417">
        <f>IF($F$9="Zone 1 - Drive",'Results ASCE 7-16'!F30,IF($F$9="Zone 1",'Results ASCE 7-16'!F80,IF($F$9="Zone 2",'Results ASCE 7-16'!F128,IF($F$9="Zone 3",'Results ASCE 7-16'!Q30,IF($F$9="Zone 4",'Results ASCE 7-16'!Q80,IF($F$9="Zone 5",'Results ASCE 7-16'!Q128," "))))))/1000</f>
        <v>0</v>
      </c>
      <c r="R53" s="417">
        <f>(IF($F$9="Zone 1 - Drive",'Results ASCE 7-16'!G30,IF($F$9="Zone 1",'Results ASCE 7-16'!G80,IF($F$9="Zone 2",'Results ASCE 7-16'!G128,IF($F$9="Zone 3",'Results ASCE 7-16'!R30,IF($F$9="Zone 4",'Results ASCE 7-16'!R80,IF($F$9="Zone 5",'Results ASCE 7-16'!R128," ")))))))/1000</f>
        <v>0</v>
      </c>
      <c r="S53" s="417" t="e">
        <f>((IF($F$9="Zone 1 - Drive",'Results ASCE 7-16'!H30,IF($F$9="Zone 1",'Results ASCE 7-16'!H80,IF($F$9="Zone 2",'Results ASCE 7-16'!H128,IF($F$9="Zone 3",'Results ASCE 7-16'!S30,IF($F$9="Zone 4",'Results ASCE 7-16'!S80,IF($F$9="Zone 5",'Results ASCE 7-16'!S128," ")))))))/1000)-(R53)*$C$29</f>
        <v>#VALUE!</v>
      </c>
      <c r="T53" s="417" t="e">
        <f>(IF($F$9="Zone 1 - Drive",'Results ASCE 7-16'!I30,IF($F$9="Zone 1",'Results ASCE 7-16'!I80,IF($F$9="Zone 2",'Results ASCE 7-16'!I128,IF($F$9="Zone 3",'Results ASCE 7-16'!T30,IF($F$9="Zone 4",'Results ASCE 7-16'!T80,IF($F$9="Zone 5",'Results ASCE 7-16'!T128," "))))))/1000)-P53*$C$29</f>
        <v>#VALUE!</v>
      </c>
      <c r="U53" s="418" t="e">
        <f t="shared" si="0"/>
        <v>#VALUE!</v>
      </c>
    </row>
    <row r="54" spans="1:21" x14ac:dyDescent="0.25">
      <c r="M54" s="359">
        <v>19</v>
      </c>
      <c r="N54" s="360" t="s">
        <v>1001</v>
      </c>
      <c r="O54" s="209" t="s">
        <v>807</v>
      </c>
      <c r="P54" s="417">
        <f>IF($F$9="Zone 1 - Drive",'Results ASCE 7-16'!E31,IF($F$9="Zone 1",'Results ASCE 7-16'!E81,IF($F$9="Zone 2",'Results ASCE 7-16'!E129,IF($F$9="Zone 3",'Results ASCE 7-16'!P31,IF($F$9="Zone 4",'Results ASCE 7-16'!P81,IF($F$9="Zone 5",'Results ASCE 7-16'!P129," "))))))/1000</f>
        <v>0</v>
      </c>
      <c r="Q54" s="417">
        <f>IF($F$9="Zone 1 - Drive",'Results ASCE 7-16'!F31,IF($F$9="Zone 1",'Results ASCE 7-16'!F81,IF($F$9="Zone 2",'Results ASCE 7-16'!F129,IF($F$9="Zone 3",'Results ASCE 7-16'!Q31,IF($F$9="Zone 4",'Results ASCE 7-16'!Q81,IF($F$9="Zone 5",'Results ASCE 7-16'!Q129," "))))))/1000</f>
        <v>0</v>
      </c>
      <c r="R54" s="417">
        <f>(IF($F$9="Zone 1 - Drive",'Results ASCE 7-16'!G31,IF($F$9="Zone 1",'Results ASCE 7-16'!G81,IF($F$9="Zone 2",'Results ASCE 7-16'!G129,IF($F$9="Zone 3",'Results ASCE 7-16'!R31,IF($F$9="Zone 4",'Results ASCE 7-16'!R81,IF($F$9="Zone 5",'Results ASCE 7-16'!R129," ")))))))/1000</f>
        <v>0</v>
      </c>
      <c r="S54" s="417" t="e">
        <f>((IF($F$9="Zone 1 - Drive",'Results ASCE 7-16'!H31,IF($F$9="Zone 1",'Results ASCE 7-16'!H81,IF($F$9="Zone 2",'Results ASCE 7-16'!H129,IF($F$9="Zone 3",'Results ASCE 7-16'!S31,IF($F$9="Zone 4",'Results ASCE 7-16'!S81,IF($F$9="Zone 5",'Results ASCE 7-16'!S129," ")))))))/1000)-(R54)*$C$29</f>
        <v>#VALUE!</v>
      </c>
      <c r="T54" s="417" t="e">
        <f>(IF($F$9="Zone 1 - Drive",'Results ASCE 7-16'!I31,IF($F$9="Zone 1",'Results ASCE 7-16'!I81,IF($F$9="Zone 2",'Results ASCE 7-16'!I129,IF($F$9="Zone 3",'Results ASCE 7-16'!T31,IF($F$9="Zone 4",'Results ASCE 7-16'!T81,IF($F$9="Zone 5",'Results ASCE 7-16'!T129," "))))))/1000)-P54*$C$29</f>
        <v>#VALUE!</v>
      </c>
      <c r="U54" s="418" t="e">
        <f t="shared" si="0"/>
        <v>#VALUE!</v>
      </c>
    </row>
    <row r="55" spans="1:21" x14ac:dyDescent="0.25">
      <c r="B55" t="s">
        <v>1002</v>
      </c>
      <c r="C55" s="2" t="e">
        <f>MAX(C51,C53)</f>
        <v>#VALUE!</v>
      </c>
      <c r="M55" s="359">
        <v>20</v>
      </c>
      <c r="N55" s="360" t="s">
        <v>1003</v>
      </c>
      <c r="O55" s="209" t="s">
        <v>807</v>
      </c>
      <c r="P55" s="417">
        <f>IF($F$9="Zone 1 - Drive",'Results ASCE 7-16'!E32,IF($F$9="Zone 1",'Results ASCE 7-16'!E82,IF($F$9="Zone 2",'Results ASCE 7-16'!E130,IF($F$9="Zone 3",'Results ASCE 7-16'!P32,IF($F$9="Zone 4",'Results ASCE 7-16'!P82,IF($F$9="Zone 5",'Results ASCE 7-16'!P130," "))))))/1000</f>
        <v>0</v>
      </c>
      <c r="Q55" s="417">
        <f>IF($F$9="Zone 1 - Drive",'Results ASCE 7-16'!F32,IF($F$9="Zone 1",'Results ASCE 7-16'!F82,IF($F$9="Zone 2",'Results ASCE 7-16'!F130,IF($F$9="Zone 3",'Results ASCE 7-16'!Q32,IF($F$9="Zone 4",'Results ASCE 7-16'!Q82,IF($F$9="Zone 5",'Results ASCE 7-16'!Q130," "))))))/1000</f>
        <v>0</v>
      </c>
      <c r="R55" s="417">
        <f>(IF($F$9="Zone 1 - Drive",'Results ASCE 7-16'!G32,IF($F$9="Zone 1",'Results ASCE 7-16'!G82,IF($F$9="Zone 2",'Results ASCE 7-16'!G130,IF($F$9="Zone 3",'Results ASCE 7-16'!R32,IF($F$9="Zone 4",'Results ASCE 7-16'!R82,IF($F$9="Zone 5",'Results ASCE 7-16'!R130," ")))))))/1000</f>
        <v>0</v>
      </c>
      <c r="S55" s="417" t="e">
        <f>((IF($F$9="Zone 1 - Drive",'Results ASCE 7-16'!H32,IF($F$9="Zone 1",'Results ASCE 7-16'!H82,IF($F$9="Zone 2",'Results ASCE 7-16'!H130,IF($F$9="Zone 3",'Results ASCE 7-16'!S32,IF($F$9="Zone 4",'Results ASCE 7-16'!S82,IF($F$9="Zone 5",'Results ASCE 7-16'!S130," ")))))))/1000)-(R55)*$C$29</f>
        <v>#VALUE!</v>
      </c>
      <c r="T55" s="417" t="e">
        <f>(IF($F$9="Zone 1 - Drive",'Results ASCE 7-16'!I32,IF($F$9="Zone 1",'Results ASCE 7-16'!I82,IF($F$9="Zone 2",'Results ASCE 7-16'!I130,IF($F$9="Zone 3",'Results ASCE 7-16'!T32,IF($F$9="Zone 4",'Results ASCE 7-16'!T82,IF($F$9="Zone 5",'Results ASCE 7-16'!T130," "))))))/1000)-P55*$C$29</f>
        <v>#VALUE!</v>
      </c>
      <c r="U55" s="418" t="e">
        <f t="shared" si="0"/>
        <v>#VALUE!</v>
      </c>
    </row>
    <row r="56" spans="1:21" x14ac:dyDescent="0.25">
      <c r="M56" s="359">
        <v>21</v>
      </c>
      <c r="N56" s="360" t="s">
        <v>1004</v>
      </c>
      <c r="O56" s="209" t="s">
        <v>807</v>
      </c>
      <c r="P56" s="417">
        <f>IF($F$9="Zone 1 - Drive",'Results ASCE 7-16'!E33,IF($F$9="Zone 1",'Results ASCE 7-16'!E83,IF($F$9="Zone 2",'Results ASCE 7-16'!E131,IF($F$9="Zone 3",'Results ASCE 7-16'!P33,IF($F$9="Zone 4",'Results ASCE 7-16'!P83,IF($F$9="Zone 5",'Results ASCE 7-16'!P131," "))))))/1000</f>
        <v>0</v>
      </c>
      <c r="Q56" s="417">
        <f>IF($F$9="Zone 1 - Drive",'Results ASCE 7-16'!F33,IF($F$9="Zone 1",'Results ASCE 7-16'!F83,IF($F$9="Zone 2",'Results ASCE 7-16'!F131,IF($F$9="Zone 3",'Results ASCE 7-16'!Q33,IF($F$9="Zone 4",'Results ASCE 7-16'!Q83,IF($F$9="Zone 5",'Results ASCE 7-16'!Q131," "))))))/1000</f>
        <v>0</v>
      </c>
      <c r="R56" s="417">
        <f>(IF($F$9="Zone 1 - Drive",'Results ASCE 7-16'!G33,IF($F$9="Zone 1",'Results ASCE 7-16'!G83,IF($F$9="Zone 2",'Results ASCE 7-16'!G131,IF($F$9="Zone 3",'Results ASCE 7-16'!R33,IF($F$9="Zone 4",'Results ASCE 7-16'!R83,IF($F$9="Zone 5",'Results ASCE 7-16'!R131," ")))))))/1000</f>
        <v>0</v>
      </c>
      <c r="S56" s="417" t="e">
        <f>((IF($F$9="Zone 1 - Drive",'Results ASCE 7-16'!H33,IF($F$9="Zone 1",'Results ASCE 7-16'!H83,IF($F$9="Zone 2",'Results ASCE 7-16'!H131,IF($F$9="Zone 3",'Results ASCE 7-16'!S33,IF($F$9="Zone 4",'Results ASCE 7-16'!S83,IF($F$9="Zone 5",'Results ASCE 7-16'!S131," ")))))))/1000)-(R56)*$C$29</f>
        <v>#VALUE!</v>
      </c>
      <c r="T56" s="417" t="e">
        <f>(IF($F$9="Zone 1 - Drive",'Results ASCE 7-16'!I33,IF($F$9="Zone 1",'Results ASCE 7-16'!I83,IF($F$9="Zone 2",'Results ASCE 7-16'!I131,IF($F$9="Zone 3",'Results ASCE 7-16'!T33,IF($F$9="Zone 4",'Results ASCE 7-16'!T83,IF($F$9="Zone 5",'Results ASCE 7-16'!T131," "))))))/1000)-P56*$C$29</f>
        <v>#VALUE!</v>
      </c>
      <c r="U56" s="418" t="e">
        <f t="shared" si="0"/>
        <v>#VALUE!</v>
      </c>
    </row>
    <row r="57" spans="1:21" ht="15.75" customHeight="1" thickBot="1" x14ac:dyDescent="0.3">
      <c r="B57" t="s">
        <v>1005</v>
      </c>
      <c r="C57" t="e">
        <f>((3.14^2)*E)/(C55^2)</f>
        <v>#VALUE!</v>
      </c>
      <c r="M57" s="363">
        <v>22</v>
      </c>
      <c r="N57" s="364" t="s">
        <v>1006</v>
      </c>
      <c r="O57" s="365" t="s">
        <v>807</v>
      </c>
      <c r="P57" s="420">
        <f>IF($F$9="Zone 1 - Drive",'Results ASCE 7-16'!E34,IF($F$9="Zone 1",'Results ASCE 7-16'!E84,IF($F$9="Zone 2",'Results ASCE 7-16'!E132,IF($F$9="Zone 3",'Results ASCE 7-16'!P34,IF($F$9="Zone 4",'Results ASCE 7-16'!P84,IF($F$9="Zone 5",'Results ASCE 7-16'!P132," "))))))/1000</f>
        <v>0</v>
      </c>
      <c r="Q57" s="420">
        <f>IF($F$9="Zone 1 - Drive",'Results ASCE 7-16'!F34,IF($F$9="Zone 1",'Results ASCE 7-16'!F84,IF($F$9="Zone 2",'Results ASCE 7-16'!F132,IF($F$9="Zone 3",'Results ASCE 7-16'!Q34,IF($F$9="Zone 4",'Results ASCE 7-16'!Q84,IF($F$9="Zone 5",'Results ASCE 7-16'!Q132," "))))))/1000</f>
        <v>0</v>
      </c>
      <c r="R57" s="420">
        <f>(IF($F$9="Zone 1 - Drive",'Results ASCE 7-16'!G34,IF($F$9="Zone 1",'Results ASCE 7-16'!G84,IF($F$9="Zone 2",'Results ASCE 7-16'!G132,IF($F$9="Zone 3",'Results ASCE 7-16'!R34,IF($F$9="Zone 4",'Results ASCE 7-16'!R84,IF($F$9="Zone 5",'Results ASCE 7-16'!R132," ")))))))/1000</f>
        <v>0</v>
      </c>
      <c r="S57" s="420" t="e">
        <f>((IF($F$9="Zone 1 - Drive",'Results ASCE 7-16'!H34,IF($F$9="Zone 1",'Results ASCE 7-16'!H84,IF($F$9="Zone 2",'Results ASCE 7-16'!H132,IF($F$9="Zone 3",'Results ASCE 7-16'!S34,IF($F$9="Zone 4",'Results ASCE 7-16'!S84,IF($F$9="Zone 5",'Results ASCE 7-16'!S132," ")))))))/1000)-(R57)*$C$29</f>
        <v>#VALUE!</v>
      </c>
      <c r="T57" s="420" t="e">
        <f>(IF($F$9="Zone 1 - Drive",'Results ASCE 7-16'!I34,IF($F$9="Zone 1",'Results ASCE 7-16'!I84,IF($F$9="Zone 2",'Results ASCE 7-16'!I132,IF($F$9="Zone 3",'Results ASCE 7-16'!T34,IF($F$9="Zone 4",'Results ASCE 7-16'!T84,IF($F$9="Zone 5",'Results ASCE 7-16'!T132," "))))))/1000)-P57*$C$29</f>
        <v>#VALUE!</v>
      </c>
      <c r="U57" s="421" t="e">
        <f t="shared" si="0"/>
        <v>#VALUE!</v>
      </c>
    </row>
    <row r="59" spans="1:21" x14ac:dyDescent="0.25">
      <c r="B59" t="s">
        <v>1007</v>
      </c>
      <c r="C59">
        <f>4.71*SQRT(E/Fy)</f>
        <v>99.486288193205496</v>
      </c>
    </row>
    <row r="61" spans="1:21" x14ac:dyDescent="0.25">
      <c r="B61" t="s">
        <v>1008</v>
      </c>
      <c r="C61" t="e">
        <f>IF(C55&lt;=C59,(0.658^(Fy/C57))*Fy,(0.877*C57))</f>
        <v>#VALUE!</v>
      </c>
      <c r="D61" t="s">
        <v>934</v>
      </c>
    </row>
    <row r="63" spans="1:21" x14ac:dyDescent="0.25">
      <c r="B63" t="s">
        <v>1009</v>
      </c>
      <c r="C63" t="e">
        <f>IF(C61&gt;Fy,(Fy*A)/1.67,(C61*A))</f>
        <v>#VALUE!</v>
      </c>
      <c r="D63" t="s">
        <v>1010</v>
      </c>
    </row>
    <row r="65" spans="2:4" x14ac:dyDescent="0.25">
      <c r="B65" s="413" t="s">
        <v>1011</v>
      </c>
    </row>
    <row r="67" spans="2:4" x14ac:dyDescent="0.25">
      <c r="B67" s="413" t="s">
        <v>969</v>
      </c>
    </row>
    <row r="68" spans="2:4" x14ac:dyDescent="0.25">
      <c r="B68" s="422" t="s">
        <v>1012</v>
      </c>
      <c r="C68" t="e">
        <f>C35*(Fy/Fcr)</f>
        <v>#VALUE!</v>
      </c>
    </row>
    <row r="69" spans="2:4" x14ac:dyDescent="0.25">
      <c r="B69" s="422" t="s">
        <v>1013</v>
      </c>
      <c r="C69">
        <f>0.22</f>
        <v>0.22</v>
      </c>
    </row>
    <row r="70" spans="2:4" x14ac:dyDescent="0.25">
      <c r="B70" s="422" t="s">
        <v>1014</v>
      </c>
      <c r="C70">
        <v>1.49</v>
      </c>
    </row>
    <row r="71" spans="2:4" x14ac:dyDescent="0.25">
      <c r="B71" s="422" t="s">
        <v>1015</v>
      </c>
      <c r="C71">
        <f>(C70*(C35/C34))^2*Fy</f>
        <v>120.77667100786185</v>
      </c>
    </row>
    <row r="72" spans="2:4" x14ac:dyDescent="0.25">
      <c r="B72" s="422" t="s">
        <v>1016</v>
      </c>
      <c r="C72" t="e">
        <f t="array" ref="C72">IF(C34&lt;=C68,bf,bf*(1-(C69*SQRT(Fel/Fcr)))*SQRT(Fel/Fcr))</f>
        <v>#VALUE!</v>
      </c>
      <c r="D72" t="s">
        <v>119</v>
      </c>
    </row>
    <row r="74" spans="2:4" x14ac:dyDescent="0.25">
      <c r="B74" s="413" t="s">
        <v>979</v>
      </c>
    </row>
    <row r="75" spans="2:4" x14ac:dyDescent="0.25">
      <c r="B75" s="422" t="s">
        <v>1012</v>
      </c>
      <c r="C75" t="e">
        <f>C38*SQRT(Fy/Fcr)</f>
        <v>#VALUE!</v>
      </c>
    </row>
    <row r="76" spans="2:4" x14ac:dyDescent="0.25">
      <c r="B76" s="422" t="s">
        <v>1015</v>
      </c>
      <c r="C76">
        <f>(C70*(C38/C37))^2*Fy</f>
        <v>189.98766828613981</v>
      </c>
    </row>
    <row r="77" spans="2:4" x14ac:dyDescent="0.25">
      <c r="B77" s="422" t="s">
        <v>1017</v>
      </c>
      <c r="C77" t="e">
        <f>IF(C37&lt;=C75,d,d*(1-(C69*SQRT(Felb/Fcr)))*SQRT(Felb/Fcr))</f>
        <v>#VALUE!</v>
      </c>
      <c r="D77" t="s">
        <v>1018</v>
      </c>
    </row>
    <row r="78" spans="2:4" x14ac:dyDescent="0.25">
      <c r="B78" t="s">
        <v>1019</v>
      </c>
      <c r="C78" t="e">
        <f>2*(be*tf)+((de-(2*tf))*tw)</f>
        <v>#VALUE!</v>
      </c>
      <c r="D78" t="s">
        <v>1018</v>
      </c>
    </row>
    <row r="80" spans="2:4" x14ac:dyDescent="0.25">
      <c r="B80" t="s">
        <v>1009</v>
      </c>
      <c r="C80" t="e">
        <f>(Fcr*Ae)</f>
        <v>#VALUE!</v>
      </c>
      <c r="D80" t="s">
        <v>1010</v>
      </c>
    </row>
    <row r="82" spans="1:9" x14ac:dyDescent="0.25">
      <c r="B82" t="s">
        <v>1020</v>
      </c>
      <c r="C82" t="e">
        <f>IF(AND(D35="Non-Slender",D38="Non-Slender"),C63,C80)/1.67</f>
        <v>#VALUE!</v>
      </c>
      <c r="E82" t="e">
        <f ca="1">IF(C63&gt;G82,"&gt;","&lt;")</f>
        <v>#VALUE!</v>
      </c>
      <c r="F82" t="s">
        <v>1021</v>
      </c>
      <c r="G82" s="423" t="e">
        <f ca="1">MAX(Q36:Q57)</f>
        <v>#VALUE!</v>
      </c>
      <c r="I82" t="e">
        <f ca="1">IF(C63&gt;=G82,"Satisfactory","Unsatisfactory")</f>
        <v>#VALUE!</v>
      </c>
    </row>
    <row r="84" spans="1:9" x14ac:dyDescent="0.25">
      <c r="A84" s="419" t="s">
        <v>1022</v>
      </c>
    </row>
    <row r="85" spans="1:9" x14ac:dyDescent="0.25">
      <c r="B85" t="s">
        <v>1023</v>
      </c>
    </row>
    <row r="86" spans="1:9" x14ac:dyDescent="0.25">
      <c r="A86" t="s">
        <v>1024</v>
      </c>
      <c r="B86" s="413" t="s">
        <v>1025</v>
      </c>
    </row>
    <row r="87" spans="1:9" x14ac:dyDescent="0.25">
      <c r="B87" t="s">
        <v>1026</v>
      </c>
      <c r="C87">
        <f>Fy*Zx</f>
        <v>610.24764823953137</v>
      </c>
      <c r="D87" t="s">
        <v>1027</v>
      </c>
    </row>
    <row r="89" spans="1:9" x14ac:dyDescent="0.25">
      <c r="A89" t="s">
        <v>1028</v>
      </c>
      <c r="B89" s="413" t="s">
        <v>1029</v>
      </c>
      <c r="C89" t="e">
        <f>IF(Lb&gt;Lp,"Applies","D.N.A")</f>
        <v>#VALUE!</v>
      </c>
    </row>
    <row r="90" spans="1:9" x14ac:dyDescent="0.25">
      <c r="B90" t="s">
        <v>1030</v>
      </c>
      <c r="C90" t="e">
        <f>E30</f>
        <v>#VALUE!</v>
      </c>
    </row>
    <row r="91" spans="1:9" x14ac:dyDescent="0.25">
      <c r="B91" t="s">
        <v>1031</v>
      </c>
      <c r="C91">
        <f>1.76*ry*SQRT(E/Fy)</f>
        <v>53.904247870288842</v>
      </c>
    </row>
    <row r="92" spans="1:9" x14ac:dyDescent="0.25">
      <c r="B92" t="s">
        <v>1032</v>
      </c>
      <c r="C92">
        <f>(1.95*rts*(E/(0.7*Fy)))*SQRT((J/(Sx*ho))+SQRT((J/(Sx*ho))^2+6.76*((0.7*Fy)/E)^2))</f>
        <v>154.01024825902493</v>
      </c>
    </row>
    <row r="93" spans="1:9" x14ac:dyDescent="0.25">
      <c r="B93" t="s">
        <v>1033</v>
      </c>
      <c r="C93">
        <v>1</v>
      </c>
    </row>
    <row r="94" spans="1:9" x14ac:dyDescent="0.25">
      <c r="B94" t="s">
        <v>1034</v>
      </c>
      <c r="C94" t="e">
        <f>(Cb*9.87*E)/((Lb/rts)^2)*SQRT(1+0.078*((J/(Sx*ho))*((Lb/rts)^2)))</f>
        <v>#VALUE!</v>
      </c>
    </row>
    <row r="96" spans="1:9" x14ac:dyDescent="0.25">
      <c r="B96" t="s">
        <v>1035</v>
      </c>
      <c r="C96" t="e">
        <f>IF(Lb&lt;=Lp,Fy*Zx,IF(Lb&lt;Lr,Cb*(Mp-(Mp-0.7*Fy*Sx)*((Lb-Lp)/(Lr-Lp))),FcrM*Sx))</f>
        <v>#VALUE!</v>
      </c>
      <c r="D96" t="s">
        <v>1027</v>
      </c>
    </row>
    <row r="100" spans="1:4" x14ac:dyDescent="0.25">
      <c r="A100" t="s">
        <v>1036</v>
      </c>
      <c r="B100" s="721" t="s">
        <v>1037</v>
      </c>
      <c r="C100" s="565"/>
    </row>
    <row r="101" spans="1:4" x14ac:dyDescent="0.25">
      <c r="B101" t="s">
        <v>1038</v>
      </c>
      <c r="C101">
        <f>4/(SQRT(C44))</f>
        <v>0.76375765586145827</v>
      </c>
    </row>
    <row r="102" spans="1:4" x14ac:dyDescent="0.25">
      <c r="B102" t="s">
        <v>1035</v>
      </c>
      <c r="C102">
        <f t="array" ref="C102">IF(D43="Slender",(0.9*E*Kc*Sx)/(C41^2),IF(D42="Non-Compact",(Mp-(Mp-(0.7*Fy*Sx))*((C41-C42)/(C43-C42)))," "))</f>
        <v>526.64937033211368</v>
      </c>
      <c r="D102" t="s">
        <v>1027</v>
      </c>
    </row>
    <row r="104" spans="1:4" x14ac:dyDescent="0.25">
      <c r="A104" t="s">
        <v>1039</v>
      </c>
      <c r="B104" s="721" t="s">
        <v>1040</v>
      </c>
      <c r="C104" s="565"/>
    </row>
    <row r="105" spans="1:4" x14ac:dyDescent="0.25">
      <c r="B105" s="77" t="s">
        <v>1041</v>
      </c>
      <c r="C105" s="7">
        <f>C44*tw</f>
        <v>5.4995000000000003</v>
      </c>
    </row>
    <row r="106" spans="1:4" x14ac:dyDescent="0.25">
      <c r="B106" s="77" t="s">
        <v>1042</v>
      </c>
      <c r="C106" s="7">
        <f>(hc*tw)/(bf*tf)</f>
        <v>0.8025719209670461</v>
      </c>
    </row>
    <row r="107" spans="1:4" x14ac:dyDescent="0.25">
      <c r="B107" s="77" t="s">
        <v>1043</v>
      </c>
      <c r="C107" s="7">
        <f>1-((aw/(1200+300*aw))*((hc/tw)-5.7*SQRT(E/Fy)))</f>
        <v>1.0517874601088317</v>
      </c>
    </row>
    <row r="108" spans="1:4" x14ac:dyDescent="0.25">
      <c r="B108" s="77" t="s">
        <v>1044</v>
      </c>
      <c r="C108" s="7">
        <f>IF(C107&gt;1,1,C107)</f>
        <v>1</v>
      </c>
    </row>
    <row r="110" spans="1:4" x14ac:dyDescent="0.25">
      <c r="B110" s="77" t="s">
        <v>1035</v>
      </c>
      <c r="C110" t="str">
        <f>IF(D45="Compact"," ",Rpg*Fy*Sx)</f>
        <v xml:space="preserve"> </v>
      </c>
      <c r="D110" t="s">
        <v>1027</v>
      </c>
    </row>
    <row r="112" spans="1:4" x14ac:dyDescent="0.25">
      <c r="A112" t="s">
        <v>1045</v>
      </c>
      <c r="B112" s="721" t="s">
        <v>1046</v>
      </c>
      <c r="C112" s="565"/>
    </row>
    <row r="113" spans="1:9" x14ac:dyDescent="0.25">
      <c r="B113" s="77" t="s">
        <v>1047</v>
      </c>
      <c r="C113" s="7">
        <f>bf/SQRT(12*(1+0.1667*aw))</f>
        <v>1.6159428587617906</v>
      </c>
    </row>
    <row r="114" spans="1:9" x14ac:dyDescent="0.25">
      <c r="B114" s="77" t="s">
        <v>1048</v>
      </c>
      <c r="C114" t="e">
        <f t="array" ref="C114">IF(Lb&lt;=Lp," ",IF(AND(Lb&gt;Lp,Lb&lt;Lr),Cb*(Fy-(0.3*Fy)*((Lb-Lp)/(Lr-Lp))),(Cb*9.86*E)/((Lb/rt)^2)))</f>
        <v>#VALUE!</v>
      </c>
      <c r="D114" t="s">
        <v>934</v>
      </c>
    </row>
    <row r="115" spans="1:9" x14ac:dyDescent="0.25">
      <c r="B115" s="77" t="s">
        <v>1035</v>
      </c>
      <c r="C115" t="str">
        <f>IF(D45="Compact"," ",Rpg*C114*Sx)</f>
        <v xml:space="preserve"> </v>
      </c>
      <c r="D115" t="s">
        <v>1027</v>
      </c>
    </row>
    <row r="117" spans="1:9" x14ac:dyDescent="0.25">
      <c r="A117" t="s">
        <v>1049</v>
      </c>
      <c r="B117" s="721" t="s">
        <v>1050</v>
      </c>
      <c r="C117" s="565"/>
    </row>
    <row r="118" spans="1:9" x14ac:dyDescent="0.25">
      <c r="B118" s="77" t="s">
        <v>1048</v>
      </c>
      <c r="C118" t="str">
        <f>IF(D45="Compact"," ",IF(D45="Non-Compact",(Fy-(0.3*Fy)*((C44-C45)/C46-C45)),(0.9*C101*E)/((C41)^2)))</f>
        <v xml:space="preserve"> </v>
      </c>
    </row>
    <row r="119" spans="1:9" x14ac:dyDescent="0.25">
      <c r="B119" s="77" t="s">
        <v>1035</v>
      </c>
      <c r="C119" t="str">
        <f>IF(C118=" "," ",Rpg*C118*Sx)</f>
        <v xml:space="preserve"> </v>
      </c>
    </row>
    <row r="120" spans="1:9" x14ac:dyDescent="0.25">
      <c r="B120" s="721" t="s">
        <v>1051</v>
      </c>
      <c r="C120" s="565"/>
    </row>
    <row r="121" spans="1:9" x14ac:dyDescent="0.25">
      <c r="B121" t="s">
        <v>1052</v>
      </c>
      <c r="C121" t="e">
        <f>MIN(C115,C110,C102,C96,Mp)/1.67</f>
        <v>#VALUE!</v>
      </c>
      <c r="D121" t="s">
        <v>1027</v>
      </c>
      <c r="E121" t="e">
        <f>IF(C121&gt;G121,"&gt;","&lt;")</f>
        <v>#VALUE!</v>
      </c>
      <c r="F121" t="s">
        <v>1053</v>
      </c>
      <c r="G121" s="423" t="e">
        <f>MAX(T36:T57)</f>
        <v>#VALUE!</v>
      </c>
      <c r="I121" t="e">
        <f>IF(C121&gt;=G121,"Satisfactory","Unsatisfactory")</f>
        <v>#VALUE!</v>
      </c>
    </row>
    <row r="123" spans="1:9" x14ac:dyDescent="0.25">
      <c r="A123" t="s">
        <v>1054</v>
      </c>
      <c r="B123" s="721" t="s">
        <v>1055</v>
      </c>
      <c r="C123" s="565"/>
    </row>
    <row r="124" spans="1:9" x14ac:dyDescent="0.25">
      <c r="B124" t="s">
        <v>1048</v>
      </c>
      <c r="C124">
        <f>(0.69*E)/(C41^2)</f>
        <v>119.69707967774116</v>
      </c>
    </row>
    <row r="125" spans="1:9" x14ac:dyDescent="0.25">
      <c r="B125" t="s">
        <v>1056</v>
      </c>
      <c r="C125">
        <f>Fy*Zy</f>
        <v>269.73840643953133</v>
      </c>
      <c r="D125" t="s">
        <v>1027</v>
      </c>
    </row>
    <row r="126" spans="1:9" x14ac:dyDescent="0.25">
      <c r="B126" t="s">
        <v>1057</v>
      </c>
      <c r="C126">
        <f>1.6*Fy*Sy</f>
        <v>284.01779524170144</v>
      </c>
      <c r="D126" t="s">
        <v>1058</v>
      </c>
    </row>
    <row r="127" spans="1:9" x14ac:dyDescent="0.25">
      <c r="B127" t="s">
        <v>1059</v>
      </c>
      <c r="C127">
        <f>MIN(C125:C126)</f>
        <v>269.73840643953133</v>
      </c>
      <c r="D127" t="s">
        <v>1027</v>
      </c>
    </row>
    <row r="128" spans="1:9" x14ac:dyDescent="0.25">
      <c r="B128" t="s">
        <v>1035</v>
      </c>
      <c r="C128">
        <f>IF(D42="Compact",C127,IF(D42="Non-Compact",C127-(0.7*Fy*Sy)*((C41-C42)/(C43-C42)),C124*Sy))</f>
        <v>223.21708229427227</v>
      </c>
      <c r="D128" t="s">
        <v>1027</v>
      </c>
    </row>
    <row r="130" spans="1:9" x14ac:dyDescent="0.25">
      <c r="B130" t="s">
        <v>1052</v>
      </c>
      <c r="C130">
        <f>C128/1.67</f>
        <v>133.66292352950435</v>
      </c>
      <c r="D130" t="s">
        <v>1027</v>
      </c>
      <c r="E130" t="e">
        <f>IF(C130&gt;G130,"&gt;","&lt;")</f>
        <v>#VALUE!</v>
      </c>
      <c r="F130" t="s">
        <v>1053</v>
      </c>
      <c r="G130" s="423" t="e">
        <f>MAX(S36:S57)</f>
        <v>#VALUE!</v>
      </c>
      <c r="I130" t="e">
        <f>IF(C130&gt;=G130,"Satisfactory","Unsatisfactory")</f>
        <v>#VALUE!</v>
      </c>
    </row>
    <row r="133" spans="1:9" x14ac:dyDescent="0.25">
      <c r="A133" s="419" t="s">
        <v>1060</v>
      </c>
    </row>
    <row r="134" spans="1:9" x14ac:dyDescent="0.25">
      <c r="A134" t="s">
        <v>1061</v>
      </c>
      <c r="B134" s="721" t="s">
        <v>1062</v>
      </c>
      <c r="C134" s="565"/>
    </row>
    <row r="135" spans="1:9" x14ac:dyDescent="0.25">
      <c r="B135" t="s">
        <v>1063</v>
      </c>
      <c r="C135">
        <f>d*tw</f>
        <v>1.1950802500000002</v>
      </c>
    </row>
    <row r="136" spans="1:9" x14ac:dyDescent="0.25">
      <c r="B136" t="s">
        <v>896</v>
      </c>
      <c r="C136">
        <f>C37</f>
        <v>27.428927680798004</v>
      </c>
    </row>
    <row r="137" spans="1:9" x14ac:dyDescent="0.25">
      <c r="B137" t="s">
        <v>1064</v>
      </c>
      <c r="C137">
        <v>5.34</v>
      </c>
    </row>
    <row r="138" spans="1:9" x14ac:dyDescent="0.25">
      <c r="B138" t="s">
        <v>1065</v>
      </c>
      <c r="C138">
        <f>2.24*SQRT(E/Fy)</f>
        <v>47.314073365770774</v>
      </c>
    </row>
    <row r="139" spans="1:9" x14ac:dyDescent="0.25">
      <c r="B139" t="s">
        <v>470</v>
      </c>
      <c r="C139" t="str">
        <f>IF(C136&lt;=C138,"True","False")</f>
        <v>True</v>
      </c>
    </row>
    <row r="140" spans="1:9" x14ac:dyDescent="0.25">
      <c r="B140" t="s">
        <v>1066</v>
      </c>
      <c r="C140">
        <f>1.1*SQRT((kv*E)/Fy)</f>
        <v>53.691512006447184</v>
      </c>
    </row>
    <row r="141" spans="1:9" x14ac:dyDescent="0.25">
      <c r="B141" t="s">
        <v>1067</v>
      </c>
      <c r="C141">
        <f>IF(C139="True",1,IF(C136&lt;=C140,1,(C140/C136)))</f>
        <v>1</v>
      </c>
    </row>
    <row r="143" spans="1:9" x14ac:dyDescent="0.25">
      <c r="B143" t="s">
        <v>1068</v>
      </c>
      <c r="C143">
        <f>(0.6*Fy*C135*C141)/1.67</f>
        <v>27.909059730538925</v>
      </c>
      <c r="D143" t="s">
        <v>1069</v>
      </c>
      <c r="E143" t="e">
        <f ca="1">IF(C143&gt;G143,"&gt;","&lt;")</f>
        <v>#VALUE!</v>
      </c>
      <c r="F143" t="s">
        <v>1070</v>
      </c>
      <c r="G143" s="423" t="e">
        <f ca="1">MAX(P36:P57)</f>
        <v>#VALUE!</v>
      </c>
      <c r="I143" t="e">
        <f ca="1">IF(C143&gt;=G143,"Satisfactory","Unsatisfactory")</f>
        <v>#VALUE!</v>
      </c>
    </row>
    <row r="146" spans="2:9" x14ac:dyDescent="0.25">
      <c r="B146" s="721" t="s">
        <v>1071</v>
      </c>
      <c r="C146" s="565"/>
    </row>
    <row r="147" spans="2:9" x14ac:dyDescent="0.25">
      <c r="B147" t="s">
        <v>1066</v>
      </c>
      <c r="C147">
        <f>1.1*SQRT((kv*E)/Fy)</f>
        <v>53.691512006447184</v>
      </c>
    </row>
    <row r="148" spans="2:9" x14ac:dyDescent="0.25">
      <c r="B148" t="s">
        <v>1072</v>
      </c>
      <c r="C148">
        <f>1.37*SQRT((kv*E)/Fy)</f>
        <v>66.870337680756947</v>
      </c>
    </row>
    <row r="149" spans="2:9" x14ac:dyDescent="0.25">
      <c r="B149" t="s">
        <v>1073</v>
      </c>
      <c r="C149">
        <f>IF(C136&lt;=C147,1,IF(AND(C136&gt;C147,C136&lt;=C148),C147/C136,(1.51*kv*E)/(C136^2*Fy)))</f>
        <v>1</v>
      </c>
    </row>
    <row r="151" spans="2:9" x14ac:dyDescent="0.25">
      <c r="B151" t="s">
        <v>1068</v>
      </c>
      <c r="C151">
        <f>(0.6*Fy*2*bf*tf*C149)/1.67</f>
        <v>64.169957784431148</v>
      </c>
      <c r="D151" t="s">
        <v>1069</v>
      </c>
      <c r="E151" t="str">
        <f>IF(C151&gt;G151,"&gt;","&lt;")</f>
        <v>&gt;</v>
      </c>
      <c r="F151" t="s">
        <v>1070</v>
      </c>
      <c r="G151" s="423">
        <f>MAX(R36:R57)</f>
        <v>0</v>
      </c>
      <c r="I151" t="str">
        <f>IF(C151&gt;=G151,"Satisfactory","Unsatisfactory")</f>
        <v>Satisfactory</v>
      </c>
    </row>
  </sheetData>
  <mergeCells count="30">
    <mergeCell ref="B146:C146"/>
    <mergeCell ref="M27:N27"/>
    <mergeCell ref="M34:U34"/>
    <mergeCell ref="G20:H20"/>
    <mergeCell ref="B24:C24"/>
    <mergeCell ref="B104:C104"/>
    <mergeCell ref="B20:C20"/>
    <mergeCell ref="B123:C123"/>
    <mergeCell ref="G22:H22"/>
    <mergeCell ref="Q27:S27"/>
    <mergeCell ref="B117:C117"/>
    <mergeCell ref="M33:U33"/>
    <mergeCell ref="G19:H19"/>
    <mergeCell ref="B23:C23"/>
    <mergeCell ref="B112:C112"/>
    <mergeCell ref="B19:C19"/>
    <mergeCell ref="G21:H21"/>
    <mergeCell ref="B16:C16"/>
    <mergeCell ref="B100:C100"/>
    <mergeCell ref="B25:C25"/>
    <mergeCell ref="B134:C134"/>
    <mergeCell ref="B22:C22"/>
    <mergeCell ref="G23:H23"/>
    <mergeCell ref="B18:C18"/>
    <mergeCell ref="G17:H17"/>
    <mergeCell ref="B21:C21"/>
    <mergeCell ref="B120:C120"/>
    <mergeCell ref="B17:C17"/>
    <mergeCell ref="G18:H18"/>
    <mergeCell ref="G16:H16"/>
  </mergeCells>
  <conditionalFormatting sqref="F9">
    <cfRule type="expression" dxfId="7" priority="4">
      <formula>$F$9="Zone 5"</formula>
    </cfRule>
    <cfRule type="expression" dxfId="6" priority="5">
      <formula>$F$9="Zone 4"</formula>
    </cfRule>
    <cfRule type="expression" dxfId="5" priority="6">
      <formula>$F$9="Zone 3"</formula>
    </cfRule>
    <cfRule type="expression" dxfId="4" priority="7">
      <formula>$F$9="Zone 2"</formula>
    </cfRule>
    <cfRule type="expression" dxfId="3" priority="8">
      <formula>$F$9="Zone 1"</formula>
    </cfRule>
    <cfRule type="expression" dxfId="2" priority="9">
      <formula>$F$9="Zone 1 - Drive"</formula>
    </cfRule>
  </conditionalFormatting>
  <conditionalFormatting sqref="U36:U57">
    <cfRule type="top10" dxfId="1" priority="3" rank="1"/>
  </conditionalFormatting>
  <conditionalFormatting sqref="I36:I151">
    <cfRule type="expression" dxfId="0" priority="2">
      <formula>I36="Satisfactory"</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142</vt:i4>
      </vt:variant>
    </vt:vector>
  </HeadingPairs>
  <TitlesOfParts>
    <vt:vector size="169" baseType="lpstr">
      <vt:lpstr>Code Checks</vt:lpstr>
      <vt:lpstr>Inputs</vt:lpstr>
      <vt:lpstr>Master Key</vt:lpstr>
      <vt:lpstr>Aerolastic Coefficients</vt:lpstr>
      <vt:lpstr>Client Inputs</vt:lpstr>
      <vt:lpstr>Revision History</vt:lpstr>
      <vt:lpstr>RISA</vt:lpstr>
      <vt:lpstr>Module Pressure ASCE 7-22</vt:lpstr>
      <vt:lpstr>Module Pressure ASCE 7-16</vt:lpstr>
      <vt:lpstr>DAFs (External)</vt:lpstr>
      <vt:lpstr>GCM_Cantilever 1.0</vt:lpstr>
      <vt:lpstr>GCM_Halftracker 1.0</vt:lpstr>
      <vt:lpstr>GCM_HalfTracker_DAF 1.0</vt:lpstr>
      <vt:lpstr>GCN_Module</vt:lpstr>
      <vt:lpstr>GCN_Post 1.0</vt:lpstr>
      <vt:lpstr>GCM_Purlin 1.0</vt:lpstr>
      <vt:lpstr>GCN_Clip 1.0</vt:lpstr>
      <vt:lpstr>GCN_Post_DAF 1.0</vt:lpstr>
      <vt:lpstr>List Data</vt:lpstr>
      <vt:lpstr>Top of Pile Load Calcs</vt:lpstr>
      <vt:lpstr>Wind Calcs</vt:lpstr>
      <vt:lpstr>Vertical Rail Loading</vt:lpstr>
      <vt:lpstr>Canadian TOPL Results</vt:lpstr>
      <vt:lpstr>Results ASCE 7-22</vt:lpstr>
      <vt:lpstr>Results ASCE 7-16</vt:lpstr>
      <vt:lpstr>Shapes</vt:lpstr>
      <vt:lpstr>Pile Design</vt:lpstr>
      <vt:lpstr>A</vt:lpstr>
      <vt:lpstr>Ae</vt:lpstr>
      <vt:lpstr>aw</vt:lpstr>
      <vt:lpstr>be</vt:lpstr>
      <vt:lpstr>bf</vt:lpstr>
      <vt:lpstr>Cb</vt:lpstr>
      <vt:lpstr>controlling_code</vt:lpstr>
      <vt:lpstr>d</vt:lpstr>
      <vt:lpstr>de</vt:lpstr>
      <vt:lpstr>Drive_E</vt:lpstr>
      <vt:lpstr>Drive_I</vt:lpstr>
      <vt:lpstr>E</vt:lpstr>
      <vt:lpstr>Ecc</vt:lpstr>
      <vt:lpstr>EVS</vt:lpstr>
      <vt:lpstr>Fcr</vt:lpstr>
      <vt:lpstr>FcrM</vt:lpstr>
      <vt:lpstr>Fel</vt:lpstr>
      <vt:lpstr>Felb</vt:lpstr>
      <vt:lpstr>Fy</vt:lpstr>
      <vt:lpstr>GCR</vt:lpstr>
      <vt:lpstr>GL</vt:lpstr>
      <vt:lpstr>GR</vt:lpstr>
      <vt:lpstr>hc</vt:lpstr>
      <vt:lpstr>ho</vt:lpstr>
      <vt:lpstr>ICW</vt:lpstr>
      <vt:lpstr>IVS</vt:lpstr>
      <vt:lpstr>Ix</vt:lpstr>
      <vt:lpstr>Iy</vt:lpstr>
      <vt:lpstr>J</vt:lpstr>
      <vt:lpstr>K</vt:lpstr>
      <vt:lpstr>Ke</vt:lpstr>
      <vt:lpstr>kv</vt:lpstr>
      <vt:lpstr>Lb</vt:lpstr>
      <vt:lpstr>Lp</vt:lpstr>
      <vt:lpstr>Lr</vt:lpstr>
      <vt:lpstr>LS</vt:lpstr>
      <vt:lpstr>LSE_1</vt:lpstr>
      <vt:lpstr>LSE_10</vt:lpstr>
      <vt:lpstr>LSE_2</vt:lpstr>
      <vt:lpstr>LSE_3</vt:lpstr>
      <vt:lpstr>LSE_4</vt:lpstr>
      <vt:lpstr>LSE_5</vt:lpstr>
      <vt:lpstr>LSE_6</vt:lpstr>
      <vt:lpstr>LSE_7</vt:lpstr>
      <vt:lpstr>LSE_8</vt:lpstr>
      <vt:lpstr>LSE_9</vt:lpstr>
      <vt:lpstr>LSI_1</vt:lpstr>
      <vt:lpstr>LSI_10</vt:lpstr>
      <vt:lpstr>LSI_2</vt:lpstr>
      <vt:lpstr>LSI_3</vt:lpstr>
      <vt:lpstr>LSI_4</vt:lpstr>
      <vt:lpstr>LSI_5</vt:lpstr>
      <vt:lpstr>LSI_6</vt:lpstr>
      <vt:lpstr>LSI_7</vt:lpstr>
      <vt:lpstr>LSI_8</vt:lpstr>
      <vt:lpstr>LSI_9</vt:lpstr>
      <vt:lpstr>LSR</vt:lpstr>
      <vt:lpstr>M1A</vt:lpstr>
      <vt:lpstr>m1b</vt:lpstr>
      <vt:lpstr>M2A</vt:lpstr>
      <vt:lpstr>m2b</vt:lpstr>
      <vt:lpstr>M3A</vt:lpstr>
      <vt:lpstr>m3b</vt:lpstr>
      <vt:lpstr>M4A</vt:lpstr>
      <vt:lpstr>m4b</vt:lpstr>
      <vt:lpstr>Metal_Loss</vt:lpstr>
      <vt:lpstr>ML</vt:lpstr>
      <vt:lpstr>Mp</vt:lpstr>
      <vt:lpstr>MSL</vt:lpstr>
      <vt:lpstr>MSW</vt:lpstr>
      <vt:lpstr>MT</vt:lpstr>
      <vt:lpstr>MW</vt:lpstr>
      <vt:lpstr>P_Left</vt:lpstr>
      <vt:lpstr>P_Right</vt:lpstr>
      <vt:lpstr>P_Weight</vt:lpstr>
      <vt:lpstr>pf</vt:lpstr>
      <vt:lpstr>PL</vt:lpstr>
      <vt:lpstr>Post_NE</vt:lpstr>
      <vt:lpstr>Post_NI</vt:lpstr>
      <vt:lpstr>'Canadian TOPL Results'!Print_Area</vt:lpstr>
      <vt:lpstr>'DAFs (External)'!Print_Area</vt:lpstr>
      <vt:lpstr>'GCM_Cantilever 1.0'!Print_Area</vt:lpstr>
      <vt:lpstr>'GCM_Halftracker 1.0'!Print_Area</vt:lpstr>
      <vt:lpstr>'GCM_Purlin 1.0'!Print_Area</vt:lpstr>
      <vt:lpstr>GCN_Module!Print_Area</vt:lpstr>
      <vt:lpstr>'GCN_Post 1.0'!Print_Area</vt:lpstr>
      <vt:lpstr>'Module Pressure ASCE 7-16'!Print_Area</vt:lpstr>
      <vt:lpstr>'Module Pressure ASCE 7-22'!Print_Area</vt:lpstr>
      <vt:lpstr>'Results ASCE 7-16'!Print_Area</vt:lpstr>
      <vt:lpstr>'Results ASCE 7-22'!Print_Area</vt:lpstr>
      <vt:lpstr>Profile</vt:lpstr>
      <vt:lpstr>Pult</vt:lpstr>
      <vt:lpstr>PW</vt:lpstr>
      <vt:lpstr>Quarter_Area</vt:lpstr>
      <vt:lpstr>Radians</vt:lpstr>
      <vt:lpstr>Rpg</vt:lpstr>
      <vt:lpstr>RS</vt:lpstr>
      <vt:lpstr>RSE_1</vt:lpstr>
      <vt:lpstr>RSE_10</vt:lpstr>
      <vt:lpstr>RSE_2</vt:lpstr>
      <vt:lpstr>RSE_3</vt:lpstr>
      <vt:lpstr>RSE_4</vt:lpstr>
      <vt:lpstr>RSE_5</vt:lpstr>
      <vt:lpstr>RSE_6</vt:lpstr>
      <vt:lpstr>RSE_7</vt:lpstr>
      <vt:lpstr>RSE_8</vt:lpstr>
      <vt:lpstr>RSE_9</vt:lpstr>
      <vt:lpstr>RSI_1</vt:lpstr>
      <vt:lpstr>RSI_10</vt:lpstr>
      <vt:lpstr>RSI_2</vt:lpstr>
      <vt:lpstr>RSI_3</vt:lpstr>
      <vt:lpstr>RSI_4</vt:lpstr>
      <vt:lpstr>RSI_5</vt:lpstr>
      <vt:lpstr>RSI_6</vt:lpstr>
      <vt:lpstr>RSI_7</vt:lpstr>
      <vt:lpstr>RSI_8</vt:lpstr>
      <vt:lpstr>RSI_9</vt:lpstr>
      <vt:lpstr>RSL</vt:lpstr>
      <vt:lpstr>RSR</vt:lpstr>
      <vt:lpstr>rts</vt:lpstr>
      <vt:lpstr>rx</vt:lpstr>
      <vt:lpstr>ry</vt:lpstr>
      <vt:lpstr>SDW</vt:lpstr>
      <vt:lpstr>Slope</vt:lpstr>
      <vt:lpstr>SMA</vt:lpstr>
      <vt:lpstr>Sx</vt:lpstr>
      <vt:lpstr>Sy</vt:lpstr>
      <vt:lpstr>tf</vt:lpstr>
      <vt:lpstr>TG</vt:lpstr>
      <vt:lpstr>Theta</vt:lpstr>
      <vt:lpstr>TotS</vt:lpstr>
      <vt:lpstr>TS</vt:lpstr>
      <vt:lpstr>tw</vt:lpstr>
      <vt:lpstr>Twidth</vt:lpstr>
      <vt:lpstr>V_Left</vt:lpstr>
      <vt:lpstr>V_Right</vt:lpstr>
      <vt:lpstr>VL</vt:lpstr>
      <vt:lpstr>VS</vt:lpstr>
      <vt:lpstr>Wh</vt:lpstr>
      <vt:lpstr>WL</vt:lpstr>
      <vt:lpstr>Zx</vt:lpstr>
      <vt:lpstr>Zy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dc:creator>
  <cp:lastModifiedBy>Alaina DeFranco</cp:lastModifiedBy>
  <cp:lastPrinted>2025-06-02T18:53:44Z</cp:lastPrinted>
  <dcterms:created xsi:type="dcterms:W3CDTF">2020-06-18T13:22:49Z</dcterms:created>
  <dcterms:modified xsi:type="dcterms:W3CDTF">2026-08-25T00:14:57Z</dcterms:modified>
</cp:coreProperties>
</file>